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DieseArbeitsmappe"/>
  <mc:AlternateContent xmlns:mc="http://schemas.openxmlformats.org/markup-compatibility/2006">
    <mc:Choice Requires="x15">
      <x15ac:absPath xmlns:x15ac="http://schemas.microsoft.com/office/spreadsheetml/2010/11/ac" url="C:\Users\U80873486\Downloads\"/>
    </mc:Choice>
  </mc:AlternateContent>
  <xr:revisionPtr revIDLastSave="0" documentId="8_{B7BC7BC6-55F0-4733-A8FD-C20F629E0399}" xr6:coauthVersionLast="47" xr6:coauthVersionMax="47" xr10:uidLastSave="{00000000-0000-0000-0000-000000000000}"/>
  <bookViews>
    <workbookView xWindow="-120" yWindow="-120" windowWidth="29040" windowHeight="15720" tabRatio="930" xr2:uid="{00000000-000D-0000-FFFF-FFFF00000000}"/>
  </bookViews>
  <sheets>
    <sheet name="Intro" sheetId="2" r:id="rId1"/>
    <sheet name="Update" sheetId="3" r:id="rId2"/>
    <sheet name="list_of_sheets" sheetId="4" r:id="rId3"/>
    <sheet name="Translation" sheetId="1" r:id="rId4"/>
    <sheet name="Inputparam" sheetId="6" r:id="rId5"/>
    <sheet name="Fundamental_Data" sheetId="55" r:id="rId6"/>
    <sheet name="Marktnahe_Bilanz" sheetId="8" r:id="rId7"/>
    <sheet name="Vorhandene_Reserven" sheetId="9" r:id="rId8"/>
    <sheet name="Sensitivitaeten Delta_Market" sheetId="10" r:id="rId9"/>
    <sheet name="Market_Risk (Delta Normal)" sheetId="12" r:id="rId10"/>
    <sheet name="Szenarien_RiskFactors" sheetId="13" r:id="rId11"/>
    <sheet name="BAG 0" sheetId="56" r:id="rId12"/>
    <sheet name="BAG_Scenarios" sheetId="57" r:id="rId13"/>
    <sheet name="Health_Scen_Aggregation" sheetId="22" r:id="rId14"/>
    <sheet name="Scenarios" sheetId="23" r:id="rId15"/>
    <sheet name="Credit_Risk" sheetId="25" r:id="rId16"/>
    <sheet name="Input Basel III" sheetId="24" r:id="rId17"/>
    <sheet name="Risk_Compensation" sheetId="62" r:id="rId18"/>
    <sheet name="Risk_Compensation_calc" sheetId="63" r:id="rId19"/>
    <sheet name="HE_ExpctdRes" sheetId="48" r:id="rId20"/>
    <sheet name="HE_Insurance_Risk" sheetId="47" r:id="rId21"/>
    <sheet name="HE_MindesthöheReserven" sheetId="49" r:id="rId22"/>
    <sheet name="Anleitung_Statut-Marktnah" sheetId="51" r:id="rId23"/>
    <sheet name="BewDifferenzen_Statut-Marktnah" sheetId="52" r:id="rId24"/>
    <sheet name="Gliederung_VorRes_Stat_Marktnah" sheetId="53" r:id="rId25"/>
  </sheets>
  <definedNames>
    <definedName name="_xlnm._FilterDatabase" localSheetId="5" hidden="1">Fundamental_Data!$B$5:$H$2916</definedName>
    <definedName name="_xlnm._FilterDatabase" localSheetId="3" hidden="1">Translation!$C$10:$E$10</definedName>
    <definedName name="_ReportingDate" localSheetId="5">Inputparam!$C$4</definedName>
    <definedName name="_ReportingDate">Inputparam!$C$4</definedName>
    <definedName name="alpha" localSheetId="5">Inputparam!$C$52</definedName>
    <definedName name="alpha">Inputparam!$C$52</definedName>
    <definedName name="CoC">Inputparam!$C$47</definedName>
    <definedName name="Correlation_Matrix_MR">'Market_Risk (Delta Normal)'!$L$35:$AV$71</definedName>
    <definedName name="current_year" localSheetId="5">Intro!$H$4</definedName>
    <definedName name="current_year">Intro!$H$4</definedName>
    <definedName name="evektor1">'Market_Risk (Delta Normal)'!$I$35:$I$70</definedName>
    <definedName name="evektor2">'Market_Risk (Delta Normal)'!$G$35:$G$70</definedName>
    <definedName name="GPHIP">HE_Insurance_Risk!$R$129</definedName>
    <definedName name="GPHIPEU">HE_Insurance_Risk!$P$129</definedName>
    <definedName name="gPHIPK">HE_Insurance_Risk!$R$131</definedName>
    <definedName name="gPHIPKEU">HE_Insurance_Risk!$P$131</definedName>
    <definedName name="_xlnm.Print_Titles" localSheetId="23">'BewDifferenzen_Statut-Marktnah'!$1:$9</definedName>
    <definedName name="_xlnm.Print_Titles" localSheetId="15">Credit_Risk!$1:$2</definedName>
    <definedName name="_xlnm.Print_Titles" localSheetId="24">Gliederung_VorRes_Stat_Marktnah!$1:$2</definedName>
    <definedName name="_xlnm.Print_Titles" localSheetId="19">HE_ExpctdRes!$1:$2</definedName>
    <definedName name="_xlnm.Print_Titles" localSheetId="20">HE_Insurance_Risk!$1:$2</definedName>
    <definedName name="_xlnm.Print_Titles" localSheetId="21">HE_MindesthöheReserven!$1:$2</definedName>
    <definedName name="_xlnm.Print_Titles" localSheetId="13">Health_Scen_Aggregation!$A:$G,Health_Scen_Aggregation!$1:$2</definedName>
    <definedName name="_xlnm.Print_Titles" localSheetId="16">'Input Basel III'!$1:$4</definedName>
    <definedName name="_xlnm.Print_Titles" localSheetId="4">Inputparam!$A:$B,Inputparam!$1:$2</definedName>
    <definedName name="_xlnm.Print_Titles" localSheetId="0">Intro!$1:$2</definedName>
    <definedName name="_xlnm.Print_Titles" localSheetId="2">list_of_sheets!$1:$2</definedName>
    <definedName name="_xlnm.Print_Titles" localSheetId="9">'Market_Risk (Delta Normal)'!$1:$2</definedName>
    <definedName name="_xlnm.Print_Titles" localSheetId="6">Marktnahe_Bilanz!$1:$9</definedName>
    <definedName name="_xlnm.Print_Titles" localSheetId="14">Scenarios!$1:$2</definedName>
    <definedName name="_xlnm.Print_Titles" localSheetId="8">'Sensitivitaeten Delta_Market'!$1:$2</definedName>
    <definedName name="_xlnm.Print_Titles" localSheetId="10">Szenarien_RiskFactors!$A:$D,Szenarien_RiskFactors!$1:$2</definedName>
    <definedName name="_xlnm.Print_Titles" localSheetId="1">Update!$1:$2</definedName>
    <definedName name="_xlnm.Print_Titles" localSheetId="7">Vorhandene_Reserven!$1:$2</definedName>
    <definedName name="K">HE_Insurance_Risk!$R$124</definedName>
    <definedName name="KEU">HE_Insurance_Risk!$P$124</definedName>
    <definedName name="Konfidenzniveau" localSheetId="5">Inputparam!$C$53</definedName>
    <definedName name="Konfidenzniveau">Inputparam!$C$53</definedName>
    <definedName name="kphiP">HE_Insurance_Risk!$R$128</definedName>
    <definedName name="kphiPEU">HE_Insurance_Risk!$P$128</definedName>
    <definedName name="kphiPK">HE_Insurance_Risk!$R$130</definedName>
    <definedName name="kphiPKEU">HE_Insurance_Risk!$P$130</definedName>
    <definedName name="L_BV_Deckungskap_oblig" localSheetId="5">#REF!</definedName>
    <definedName name="L_BV_Deckungskap_oblig">#REF!</definedName>
    <definedName name="L_BV_Deckungskap_ueberoblig" localSheetId="5">#REF!</definedName>
    <definedName name="L_BV_Deckungskap_ueberoblig">#REF!</definedName>
    <definedName name="language" localSheetId="5">Translation!$E$3</definedName>
    <definedName name="language">Translation!$E$3</definedName>
    <definedName name="mu">HE_Insurance_Risk!$R$134</definedName>
    <definedName name="muEU">HE_Insurance_Risk!$P$134</definedName>
    <definedName name="name_of_insurer" localSheetId="5">Inputparam!$C$8</definedName>
    <definedName name="name_of_insurer">Inputparam!$C$8</definedName>
    <definedName name="ndis_alpha" localSheetId="5">#REF!</definedName>
    <definedName name="ndis_alpha">#REF!</definedName>
    <definedName name="P">HE_Insurance_Risk!$R$123</definedName>
    <definedName name="PEU">HE_Insurance_Risk!$P$123</definedName>
    <definedName name="PositionVector" localSheetId="9">'Market_Risk (Delta Normal)'!$G$35:$G$71</definedName>
    <definedName name="rrr">HE_Insurance_Risk!$R$134</definedName>
    <definedName name="sig">HE_Insurance_Risk!$R$139</definedName>
    <definedName name="sigEU">HE_Insurance_Risk!$P$139</definedName>
    <definedName name="sprache">Translation!$E$3</definedName>
    <definedName name="sprachen">Translation!$B$4:$B$6</definedName>
    <definedName name="StDev_HE" localSheetId="5">Health_Scen_Aggregation!$H$5</definedName>
    <definedName name="StDev_HE">Health_Scen_Aggregation!$H$5</definedName>
    <definedName name="type_i_of_insurer" localSheetId="5">Inputparam!$K$17</definedName>
    <definedName name="type_i_of_insurer">Inputparam!$K$17</definedName>
    <definedName name="Z_3ABD1DBE_6A6D_4410_B875_EE622E8FDC13_.wvu.Cols" localSheetId="16" hidden="1">'Input Basel III'!$E:$F,'Input Basel III'!$I:$I,'Input Basel III'!$L:$L</definedName>
    <definedName name="Z_3ABD1DBE_6A6D_4410_B875_EE622E8FDC13_.wvu.PrintArea" localSheetId="16" hidden="1">'Input Basel III'!$A$4:$Q$257</definedName>
    <definedName name="Z_3ABD1DBE_6A6D_4410_B875_EE622E8FDC13_.wvu.PrintTitles" localSheetId="16" hidden="1">'Input Basel III'!$4:$4</definedName>
    <definedName name="Z_3ABD1DBE_6A6D_4410_B875_EE622E8FDC13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III'!$170:$172,'Input Basel III'!#REF!,'Input Basel III'!$186:$188,'Input Basel III'!#REF!,'Input Basel III'!#REF!,'Input Basel III'!$206:$206,'Input Basel III'!$213:$215,'Input Basel III'!#REF!,'Input Basel III'!$228:$232,'Input Basel III'!#REF!,'Input Basel III'!$245:$247,'Input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definedName>
    <definedName name="Z_D0635E7D_E1B2_4FCC_9C4A_D2D81414434A_.wvu.PrintArea" localSheetId="5" hidden="1">Fundamental_Data!$B$5:$D$141</definedName>
    <definedName name="Z_F15DEFD8_B0F4_4CC3_8896_92BF7E7815B1_.wvu.Cols" localSheetId="23" hidden="1">'BewDifferenzen_Statut-Marktnah'!$I:$I</definedName>
    <definedName name="Z_F15DEFD8_B0F4_4CC3_8896_92BF7E7815B1_.wvu.Cols" localSheetId="20" hidden="1">HE_Insurance_Risk!$F:$F</definedName>
    <definedName name="Z_F15DEFD8_B0F4_4CC3_8896_92BF7E7815B1_.wvu.Cols" localSheetId="13" hidden="1">Health_Scen_Aggregation!$N:$O</definedName>
    <definedName name="Z_F15DEFD8_B0F4_4CC3_8896_92BF7E7815B1_.wvu.Cols" localSheetId="16" hidden="1">'Input Basel III'!$E:$F</definedName>
    <definedName name="Z_F15DEFD8_B0F4_4CC3_8896_92BF7E7815B1_.wvu.Cols" localSheetId="9" hidden="1">'Market_Risk (Delta Normal)'!$I:$I</definedName>
    <definedName name="Z_F15DEFD8_B0F4_4CC3_8896_92BF7E7815B1_.wvu.PrintArea" localSheetId="22" hidden="1">'Anleitung_Statut-Marktnah'!$A$1:$J$57</definedName>
    <definedName name="Z_F15DEFD8_B0F4_4CC3_8896_92BF7E7815B1_.wvu.PrintArea" localSheetId="23" hidden="1">'BewDifferenzen_Statut-Marktnah'!$A$1:$O$139</definedName>
    <definedName name="Z_F15DEFD8_B0F4_4CC3_8896_92BF7E7815B1_.wvu.PrintArea" localSheetId="15" hidden="1">Credit_Risk!$A$1:$F$38</definedName>
    <definedName name="Z_F15DEFD8_B0F4_4CC3_8896_92BF7E7815B1_.wvu.PrintArea" localSheetId="5" hidden="1">Fundamental_Data!$B$1:$D$145</definedName>
    <definedName name="Z_F15DEFD8_B0F4_4CC3_8896_92BF7E7815B1_.wvu.PrintArea" localSheetId="24" hidden="1">Gliederung_VorRes_Stat_Marktnah!$A$1:$F$105</definedName>
    <definedName name="Z_F15DEFD8_B0F4_4CC3_8896_92BF7E7815B1_.wvu.PrintArea" localSheetId="20" hidden="1">HE_Insurance_Risk!$A$1:$AC$107</definedName>
    <definedName name="Z_F15DEFD8_B0F4_4CC3_8896_92BF7E7815B1_.wvu.PrintArea" localSheetId="21" hidden="1">HE_MindesthöheReserven!$A$1:$L$102</definedName>
    <definedName name="Z_F15DEFD8_B0F4_4CC3_8896_92BF7E7815B1_.wvu.PrintArea" localSheetId="13" hidden="1">Health_Scen_Aggregation!$A$1:$T$41</definedName>
    <definedName name="Z_F15DEFD8_B0F4_4CC3_8896_92BF7E7815B1_.wvu.PrintArea" localSheetId="16" hidden="1">'Input Basel III'!$A$4:$Q$257</definedName>
    <definedName name="Z_F15DEFD8_B0F4_4CC3_8896_92BF7E7815B1_.wvu.PrintArea" localSheetId="4" hidden="1">Inputparam!$A$1:$K$53</definedName>
    <definedName name="Z_F15DEFD8_B0F4_4CC3_8896_92BF7E7815B1_.wvu.PrintArea" localSheetId="0" hidden="1">Intro!$A$1:$I$39</definedName>
    <definedName name="Z_F15DEFD8_B0F4_4CC3_8896_92BF7E7815B1_.wvu.PrintArea" localSheetId="2" hidden="1">list_of_sheets!$A$1:$C$37</definedName>
    <definedName name="Z_F15DEFD8_B0F4_4CC3_8896_92BF7E7815B1_.wvu.PrintArea" localSheetId="9" hidden="1">'Market_Risk (Delta Normal)'!$A$1:$I$75</definedName>
    <definedName name="Z_F15DEFD8_B0F4_4CC3_8896_92BF7E7815B1_.wvu.PrintArea" localSheetId="6" hidden="1">Marktnahe_Bilanz!$A$1:$U$139</definedName>
    <definedName name="Z_F15DEFD8_B0F4_4CC3_8896_92BF7E7815B1_.wvu.PrintArea" localSheetId="14" hidden="1">Scenarios!$A$1:$P$84</definedName>
    <definedName name="Z_F15DEFD8_B0F4_4CC3_8896_92BF7E7815B1_.wvu.PrintArea" localSheetId="8" hidden="1">'Sensitivitaeten Delta_Market'!$A$1:$AD$52</definedName>
    <definedName name="Z_F15DEFD8_B0F4_4CC3_8896_92BF7E7815B1_.wvu.PrintArea" localSheetId="10" hidden="1">Szenarien_RiskFactors!$A$1:$DA$66</definedName>
    <definedName name="Z_F15DEFD8_B0F4_4CC3_8896_92BF7E7815B1_.wvu.PrintArea" localSheetId="1" hidden="1">Update!$A$1:$H$31</definedName>
    <definedName name="Z_F15DEFD8_B0F4_4CC3_8896_92BF7E7815B1_.wvu.PrintArea" localSheetId="7" hidden="1">Vorhandene_Reserven!$A$1:$E$40</definedName>
    <definedName name="Z_F15DEFD8_B0F4_4CC3_8896_92BF7E7815B1_.wvu.PrintTitles" localSheetId="23" hidden="1">'BewDifferenzen_Statut-Marktnah'!$1:$9</definedName>
    <definedName name="Z_F15DEFD8_B0F4_4CC3_8896_92BF7E7815B1_.wvu.PrintTitles" localSheetId="15" hidden="1">Credit_Risk!$1:$2</definedName>
    <definedName name="Z_F15DEFD8_B0F4_4CC3_8896_92BF7E7815B1_.wvu.PrintTitles" localSheetId="24" hidden="1">Gliederung_VorRes_Stat_Marktnah!$1:$2</definedName>
    <definedName name="Z_F15DEFD8_B0F4_4CC3_8896_92BF7E7815B1_.wvu.PrintTitles" localSheetId="19" hidden="1">HE_ExpctdRes!$1:$2</definedName>
    <definedName name="Z_F15DEFD8_B0F4_4CC3_8896_92BF7E7815B1_.wvu.PrintTitles" localSheetId="20" hidden="1">HE_Insurance_Risk!$1:$2</definedName>
    <definedName name="Z_F15DEFD8_B0F4_4CC3_8896_92BF7E7815B1_.wvu.PrintTitles" localSheetId="21" hidden="1">HE_MindesthöheReserven!$1:$2</definedName>
    <definedName name="Z_F15DEFD8_B0F4_4CC3_8896_92BF7E7815B1_.wvu.PrintTitles" localSheetId="13" hidden="1">Health_Scen_Aggregation!$A:$G,Health_Scen_Aggregation!$1:$2</definedName>
    <definedName name="Z_F15DEFD8_B0F4_4CC3_8896_92BF7E7815B1_.wvu.PrintTitles" localSheetId="16" hidden="1">'Input Basel III'!$4:$4</definedName>
    <definedName name="Z_F15DEFD8_B0F4_4CC3_8896_92BF7E7815B1_.wvu.PrintTitles" localSheetId="4" hidden="1">Inputparam!$A:$B,Inputparam!$1:$2</definedName>
    <definedName name="Z_F15DEFD8_B0F4_4CC3_8896_92BF7E7815B1_.wvu.PrintTitles" localSheetId="0" hidden="1">Intro!$1:$2</definedName>
    <definedName name="Z_F15DEFD8_B0F4_4CC3_8896_92BF7E7815B1_.wvu.PrintTitles" localSheetId="2" hidden="1">list_of_sheets!$1:$2</definedName>
    <definedName name="Z_F15DEFD8_B0F4_4CC3_8896_92BF7E7815B1_.wvu.PrintTitles" localSheetId="9" hidden="1">'Market_Risk (Delta Normal)'!$1:$2</definedName>
    <definedName name="Z_F15DEFD8_B0F4_4CC3_8896_92BF7E7815B1_.wvu.PrintTitles" localSheetId="6" hidden="1">Marktnahe_Bilanz!$1:$9</definedName>
    <definedName name="Z_F15DEFD8_B0F4_4CC3_8896_92BF7E7815B1_.wvu.PrintTitles" localSheetId="14" hidden="1">Scenarios!$1:$2</definedName>
    <definedName name="Z_F15DEFD8_B0F4_4CC3_8896_92BF7E7815B1_.wvu.PrintTitles" localSheetId="8" hidden="1">'Sensitivitaeten Delta_Market'!$1:$2</definedName>
    <definedName name="Z_F15DEFD8_B0F4_4CC3_8896_92BF7E7815B1_.wvu.PrintTitles" localSheetId="10" hidden="1">Szenarien_RiskFactors!$A:$D,Szenarien_RiskFactors!$1:$2</definedName>
    <definedName name="Z_F15DEFD8_B0F4_4CC3_8896_92BF7E7815B1_.wvu.PrintTitles" localSheetId="1" hidden="1">Update!$1:$2</definedName>
    <definedName name="Z_F15DEFD8_B0F4_4CC3_8896_92BF7E7815B1_.wvu.PrintTitles" localSheetId="7" hidden="1">Vorhandene_Reserven!$1:$2</definedName>
    <definedName name="Z_F15DEFD8_B0F4_4CC3_8896_92BF7E7815B1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III'!#REF!,'Input Basel III'!$170:$172,'Input Basel III'!#REF!,'Input Basel III'!$186:$188,'Input Basel III'!#REF!,'Input Basel III'!#REF!,'Input Basel III'!$206:$206,'Input Basel III'!$213:$215,'Input Basel III'!#REF!,'Input Basel III'!$228:$232,'Input Basel III'!#REF!,'Input Basel III'!$245:$247,'Input Basel III'!#REF!</definedName>
    <definedName name="Z_F15DEFD8_B0F4_4CC3_8896_92BF7E7815B1_.wvu.Rows" localSheetId="4" hidden="1">Inputparam!$19:$48</definedName>
    <definedName name="Z_F15DEFD8_B0F4_4CC3_8896_92BF7E7815B1_.wvu.Rows" localSheetId="2" hidden="1">list_of_sheets!#REF!,list_of_sheets!#REF!,list_of_sheets!$28:$28</definedName>
    <definedName name="Z_F15DEFD8_B0F4_4CC3_8896_92BF7E7815B1_.wvu.Rows" localSheetId="9" hidden="1">'Market_Risk (Delta Normal)'!$77:$84</definedName>
    <definedName name="Z_F15DEFD8_B0F4_4CC3_8896_92BF7E7815B1_.wvu.Rows" localSheetId="14" hidden="1">Scenarios!$46:$64</definedName>
    <definedName name="_xlnm.Print_Area" localSheetId="22">'Anleitung_Statut-Marktnah'!$A$1:$J$57</definedName>
    <definedName name="_xlnm.Print_Area" localSheetId="23">'BewDifferenzen_Statut-Marktnah'!$A$1:$O$139</definedName>
    <definedName name="_xlnm.Print_Area" localSheetId="15">Credit_Risk!$A$1:$F$38</definedName>
    <definedName name="_xlnm.Print_Area" localSheetId="5">Fundamental_Data!$B$1500:$H$2009</definedName>
    <definedName name="_xlnm.Print_Area" localSheetId="24">Gliederung_VorRes_Stat_Marktnah!$A$1:$F$105</definedName>
    <definedName name="_xlnm.Print_Area" localSheetId="20">HE_Insurance_Risk!$A$1:$AC$107</definedName>
    <definedName name="_xlnm.Print_Area" localSheetId="21">HE_MindesthöheReserven!$A$1:$L$106</definedName>
    <definedName name="_xlnm.Print_Area" localSheetId="13">Health_Scen_Aggregation!$A$1:$V$41</definedName>
    <definedName name="_xlnm.Print_Area" localSheetId="16">'Input Basel III'!$A$1:$Q$257</definedName>
    <definedName name="_xlnm.Print_Area" localSheetId="4">Inputparam!$A$1:$K$53</definedName>
    <definedName name="_xlnm.Print_Area" localSheetId="0">Intro!$A$1:$I$39</definedName>
    <definedName name="_xlnm.Print_Area" localSheetId="2">list_of_sheets!$A$1:$C$37</definedName>
    <definedName name="_xlnm.Print_Area" localSheetId="9">'Market_Risk (Delta Normal)'!$A$1:$I$75</definedName>
    <definedName name="_xlnm.Print_Area" localSheetId="6">Marktnahe_Bilanz!$A$1:$U$139</definedName>
    <definedName name="_xlnm.Print_Area" localSheetId="14">Scenarios!$A$1:$P$84</definedName>
    <definedName name="_xlnm.Print_Area" localSheetId="8">'Sensitivitaeten Delta_Market'!$B$7:$AD$58</definedName>
    <definedName name="_xlnm.Print_Area" localSheetId="10">Szenarien_RiskFactors!$A$1:$EN$66</definedName>
    <definedName name="_xlnm.Print_Area" localSheetId="3">Translation!$A:$E</definedName>
    <definedName name="_xlnm.Print_Area" localSheetId="1">Update!$A$1:$H$31</definedName>
    <definedName name="_xlnm.Print_Area" localSheetId="7">Vorhandene_Reserven!$A$1:$E$40</definedName>
  </definedNames>
  <calcPr calcId="191029"/>
  <customWorkbookViews>
    <customWorkbookView name="Reding Abril Isabel - Persönliche Ansicht" guid="{F15DEFD8-B0F4-4CC3-8896-92BF7E7815B1}" mergeInterval="0" personalView="1" maximized="1" xWindow="1" yWindow="1" windowWidth="1676" windowHeight="756" activeSheetId="5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801" i="55" l="1"/>
  <c r="H7800" i="55"/>
  <c r="H7799" i="55"/>
  <c r="B7798" i="55"/>
  <c r="B7799" i="55"/>
  <c r="B7800" i="55"/>
  <c r="B7801" i="55"/>
  <c r="H7788" i="55"/>
  <c r="H7787" i="55"/>
  <c r="H7786" i="55"/>
  <c r="H7784" i="55"/>
  <c r="H7783" i="55"/>
  <c r="H7781" i="55"/>
  <c r="H7779" i="55"/>
  <c r="H7777" i="55"/>
  <c r="H7776" i="55"/>
  <c r="H7774" i="55"/>
  <c r="H7772" i="55"/>
  <c r="H7771" i="55"/>
  <c r="H7770" i="55"/>
  <c r="H7768" i="55"/>
  <c r="H7767" i="55"/>
  <c r="H7765" i="55"/>
  <c r="H7763" i="55"/>
  <c r="H7762" i="55"/>
  <c r="H7758" i="55" l="1"/>
  <c r="H7757" i="55"/>
  <c r="H7756" i="55"/>
  <c r="H7730" i="55"/>
  <c r="H7729" i="55"/>
  <c r="H7728" i="55"/>
  <c r="H7727" i="55"/>
  <c r="H7726" i="55"/>
  <c r="H7725" i="55"/>
  <c r="H7724" i="55"/>
  <c r="H7723" i="55"/>
  <c r="H7722" i="55"/>
  <c r="H7721" i="55"/>
  <c r="H7720" i="55"/>
  <c r="H7718" i="55"/>
  <c r="H7717" i="55"/>
  <c r="H7716" i="55"/>
  <c r="H7715" i="55"/>
  <c r="H7714" i="55"/>
  <c r="H7713" i="55"/>
  <c r="H7697" i="55"/>
  <c r="H7696" i="55"/>
  <c r="H7695" i="55"/>
  <c r="H7694" i="55"/>
  <c r="H7693" i="55"/>
  <c r="H7692" i="55"/>
  <c r="H7691" i="55"/>
  <c r="H7690" i="55"/>
  <c r="H7689" i="55"/>
  <c r="H7688" i="55"/>
  <c r="H7687" i="55"/>
  <c r="H7686" i="55"/>
  <c r="H7685" i="55"/>
  <c r="H7684" i="55"/>
  <c r="H7754" i="55"/>
  <c r="H7753" i="55"/>
  <c r="H7752" i="55"/>
  <c r="H7751" i="55"/>
  <c r="H7750" i="55"/>
  <c r="H7749" i="55"/>
  <c r="H7748" i="55"/>
  <c r="H7747" i="55"/>
  <c r="H7746" i="55"/>
  <c r="H7745" i="55"/>
  <c r="H7744" i="55"/>
  <c r="H7743" i="55"/>
  <c r="H7742" i="55"/>
  <c r="H7741" i="55"/>
  <c r="H7740" i="55"/>
  <c r="H7739" i="55"/>
  <c r="H7738" i="55"/>
  <c r="H7737" i="55"/>
  <c r="H7736" i="55"/>
  <c r="H7735" i="55"/>
  <c r="H7734" i="55"/>
  <c r="H7733" i="55"/>
  <c r="H7732" i="55"/>
  <c r="H7731" i="55"/>
  <c r="H7711" i="55"/>
  <c r="H7710" i="55"/>
  <c r="H7709" i="55"/>
  <c r="H7708" i="55"/>
  <c r="H7707" i="55"/>
  <c r="H7706" i="55"/>
  <c r="H7705" i="55"/>
  <c r="H7704" i="55"/>
  <c r="H7703" i="55"/>
  <c r="H7702" i="55"/>
  <c r="H7701" i="55"/>
  <c r="H7700" i="55"/>
  <c r="H7699" i="55"/>
  <c r="H7698" i="55"/>
  <c r="H7674" i="55"/>
  <c r="H7675" i="55"/>
  <c r="H7676" i="55"/>
  <c r="H7677" i="55"/>
  <c r="H7678" i="55"/>
  <c r="H7679" i="55"/>
  <c r="H7680" i="55"/>
  <c r="H7681" i="55"/>
  <c r="H3226" i="55"/>
  <c r="H3225" i="55"/>
  <c r="H3223" i="55"/>
  <c r="H3224" i="55"/>
  <c r="F75" i="12"/>
  <c r="F74" i="12"/>
  <c r="B39" i="6"/>
  <c r="B20" i="6"/>
  <c r="C10" i="57"/>
  <c r="F7711" i="55"/>
  <c r="F7710" i="55"/>
  <c r="F7709" i="55"/>
  <c r="F7708" i="55"/>
  <c r="F7707" i="55"/>
  <c r="F7706" i="55"/>
  <c r="F7704" i="55"/>
  <c r="F7703" i="55"/>
  <c r="F7702" i="55"/>
  <c r="F7701" i="55"/>
  <c r="F7700" i="55"/>
  <c r="F7699" i="55"/>
  <c r="C13" i="57" l="1"/>
  <c r="C11" i="57"/>
  <c r="C9" i="57"/>
  <c r="D964" i="1"/>
  <c r="C964" i="1"/>
  <c r="J20" i="56"/>
  <c r="I20" i="56"/>
  <c r="H20" i="56"/>
  <c r="G20" i="56"/>
  <c r="F20" i="56"/>
  <c r="E20" i="56"/>
  <c r="D20" i="56"/>
  <c r="J19" i="56"/>
  <c r="I19" i="56"/>
  <c r="H19" i="56"/>
  <c r="G19" i="56"/>
  <c r="F19" i="56"/>
  <c r="E19" i="56"/>
  <c r="D19" i="56"/>
  <c r="C20" i="56"/>
  <c r="H7719" i="55" s="1"/>
  <c r="C19" i="56"/>
  <c r="H7712" i="55" s="1"/>
  <c r="B976" i="1"/>
  <c r="B14" i="56" s="1"/>
  <c r="J14" i="56"/>
  <c r="J15" i="56"/>
  <c r="I13" i="56"/>
  <c r="H13" i="56"/>
  <c r="G13" i="56"/>
  <c r="F13" i="56"/>
  <c r="E13" i="56"/>
  <c r="D13" i="56"/>
  <c r="C13" i="56"/>
  <c r="C250" i="1"/>
  <c r="E259" i="1"/>
  <c r="D259" i="1"/>
  <c r="C259" i="1"/>
  <c r="D258" i="1"/>
  <c r="C258" i="1"/>
  <c r="E258" i="1"/>
  <c r="E975" i="1"/>
  <c r="D975" i="1"/>
  <c r="C975" i="1"/>
  <c r="E253" i="1"/>
  <c r="D253" i="1"/>
  <c r="C253" i="1"/>
  <c r="C979" i="1"/>
  <c r="E979" i="1"/>
  <c r="D979" i="1"/>
  <c r="C24" i="56" l="1"/>
  <c r="C28" i="57"/>
  <c r="C29" i="57" l="1"/>
  <c r="E977" i="1" l="1"/>
  <c r="D977" i="1"/>
  <c r="C977" i="1"/>
  <c r="P131" i="47" l="1"/>
  <c r="P130" i="47"/>
  <c r="P129" i="47"/>
  <c r="R130" i="47"/>
  <c r="R129" i="47"/>
  <c r="T131" i="47"/>
  <c r="T129" i="47"/>
  <c r="W51" i="47"/>
  <c r="W50" i="47"/>
  <c r="W48" i="47"/>
  <c r="W47" i="47"/>
  <c r="W43" i="47"/>
  <c r="W39" i="47"/>
  <c r="W32" i="47"/>
  <c r="W28" i="47"/>
  <c r="AB51" i="47"/>
  <c r="AB50" i="47"/>
  <c r="AB48" i="47"/>
  <c r="AB47" i="47"/>
  <c r="AB43" i="47"/>
  <c r="AB39" i="47"/>
  <c r="AB32" i="47"/>
  <c r="AB28" i="47"/>
  <c r="P73" i="47"/>
  <c r="H7789" i="55" l="1"/>
  <c r="P74" i="47"/>
  <c r="H7790" i="55" s="1"/>
  <c r="C987" i="1"/>
  <c r="B987" i="1" s="1"/>
  <c r="G17" i="57" s="1"/>
  <c r="D987" i="1"/>
  <c r="E987" i="1"/>
  <c r="B7797" i="55" l="1"/>
  <c r="B7796" i="55"/>
  <c r="B7795" i="55"/>
  <c r="B7794" i="55"/>
  <c r="B7793" i="55"/>
  <c r="B7792" i="55"/>
  <c r="B7791" i="55"/>
  <c r="B7790" i="55"/>
  <c r="B7789" i="55"/>
  <c r="B7788" i="55"/>
  <c r="B7787" i="55"/>
  <c r="B7786" i="55"/>
  <c r="B7785" i="55"/>
  <c r="B7784" i="55"/>
  <c r="B7783" i="55"/>
  <c r="B7782" i="55"/>
  <c r="B7781" i="55"/>
  <c r="B7780" i="55"/>
  <c r="B7779" i="55"/>
  <c r="B7778" i="55"/>
  <c r="B7777" i="55"/>
  <c r="B7776" i="55"/>
  <c r="B7775" i="55"/>
  <c r="B7774" i="55"/>
  <c r="B7773" i="55"/>
  <c r="B7772" i="55"/>
  <c r="B7771" i="55"/>
  <c r="B7770" i="55"/>
  <c r="B7769" i="55"/>
  <c r="B7768" i="55"/>
  <c r="B7767" i="55"/>
  <c r="B7766" i="55"/>
  <c r="B7765" i="55"/>
  <c r="B7764" i="55"/>
  <c r="B7763" i="55"/>
  <c r="B7762" i="55"/>
  <c r="B7761" i="55"/>
  <c r="B7758" i="55"/>
  <c r="B7756" i="55"/>
  <c r="B3208" i="55" l="1"/>
  <c r="B3207" i="55"/>
  <c r="B3206" i="55"/>
  <c r="B3205" i="55"/>
  <c r="B3204" i="55"/>
  <c r="B3203" i="55"/>
  <c r="B3202" i="55"/>
  <c r="B3201" i="55"/>
  <c r="B3200" i="55"/>
  <c r="B3199" i="55"/>
  <c r="B3198" i="55"/>
  <c r="B3197" i="55"/>
  <c r="B3196" i="55"/>
  <c r="B3195" i="55"/>
  <c r="B3194" i="55"/>
  <c r="B3193" i="55"/>
  <c r="B3192" i="55"/>
  <c r="B3191" i="55"/>
  <c r="B3190" i="55"/>
  <c r="B3189" i="55"/>
  <c r="B3188" i="55"/>
  <c r="B3187" i="55"/>
  <c r="B3186" i="55"/>
  <c r="B3185" i="55"/>
  <c r="B3184" i="55"/>
  <c r="B3183" i="55"/>
  <c r="B3182" i="55"/>
  <c r="B3181" i="55"/>
  <c r="B3180" i="55"/>
  <c r="B3179" i="55"/>
  <c r="B3178" i="55"/>
  <c r="B3177" i="55"/>
  <c r="E986" i="1"/>
  <c r="D986" i="1"/>
  <c r="C986" i="1"/>
  <c r="B986" i="1" s="1"/>
  <c r="E17" i="57" s="1"/>
  <c r="B985" i="1"/>
  <c r="A15" i="57" s="1"/>
  <c r="B984" i="1"/>
  <c r="A11" i="57" s="1"/>
  <c r="F7725" i="55"/>
  <c r="F7724" i="55"/>
  <c r="F7723" i="55"/>
  <c r="F7722" i="55"/>
  <c r="F7721" i="55"/>
  <c r="F7718" i="55"/>
  <c r="F7717" i="55"/>
  <c r="F7716" i="55"/>
  <c r="F7715" i="55"/>
  <c r="F7714" i="55"/>
  <c r="F7697" i="55"/>
  <c r="F7696" i="55"/>
  <c r="F7695" i="55"/>
  <c r="F7694" i="55"/>
  <c r="F7693" i="55"/>
  <c r="F7690" i="55"/>
  <c r="F7689" i="55"/>
  <c r="F7688" i="55"/>
  <c r="F7687" i="55"/>
  <c r="F7686" i="55"/>
  <c r="D3206" i="55" l="1"/>
  <c r="E3206" i="55"/>
  <c r="H3206" i="55"/>
  <c r="B3140" i="55"/>
  <c r="B3139" i="55"/>
  <c r="B3138" i="55"/>
  <c r="B3137" i="55"/>
  <c r="B3136" i="55"/>
  <c r="B3135" i="55"/>
  <c r="B3175" i="55"/>
  <c r="B3174" i="55"/>
  <c r="B3173" i="55"/>
  <c r="B3172" i="55"/>
  <c r="B3171" i="55"/>
  <c r="B3170" i="55"/>
  <c r="B3169" i="55"/>
  <c r="B3168" i="55"/>
  <c r="B3167" i="55"/>
  <c r="B3166" i="55"/>
  <c r="B3165" i="55"/>
  <c r="B3164" i="55"/>
  <c r="B3163" i="55"/>
  <c r="B3162" i="55"/>
  <c r="B3161" i="55"/>
  <c r="B3160" i="55"/>
  <c r="B3159" i="55"/>
  <c r="B3158" i="55"/>
  <c r="B3157" i="55"/>
  <c r="B3156" i="55"/>
  <c r="B3155" i="55"/>
  <c r="B3154" i="55"/>
  <c r="B3153" i="55"/>
  <c r="B3152" i="55"/>
  <c r="B3151" i="55"/>
  <c r="B3150" i="55"/>
  <c r="B3149" i="55"/>
  <c r="B3148" i="55"/>
  <c r="B3147" i="55"/>
  <c r="B3146" i="55"/>
  <c r="B3145" i="55"/>
  <c r="B3144" i="55"/>
  <c r="B3143" i="55"/>
  <c r="B3142" i="55"/>
  <c r="B3141" i="55"/>
  <c r="E964" i="1"/>
  <c r="E963" i="1"/>
  <c r="D963" i="1"/>
  <c r="C963" i="1"/>
  <c r="G72" i="49"/>
  <c r="G70" i="49"/>
  <c r="G68" i="49"/>
  <c r="G66" i="49"/>
  <c r="C72" i="49"/>
  <c r="C70" i="49"/>
  <c r="C68" i="49"/>
  <c r="C66" i="49"/>
  <c r="P53" i="47"/>
  <c r="H7780" i="55" s="1"/>
  <c r="R53" i="47"/>
  <c r="O13" i="22" l="1"/>
  <c r="N13" i="22"/>
  <c r="M13" i="22"/>
  <c r="L13" i="22"/>
  <c r="K13" i="22"/>
  <c r="J13" i="22"/>
  <c r="I13" i="22"/>
  <c r="R13" i="22" l="1"/>
  <c r="T13" i="22"/>
  <c r="V13" i="22"/>
  <c r="X13" i="22"/>
  <c r="R73" i="47" l="1"/>
  <c r="R74" i="47" s="1"/>
  <c r="P75" i="47" l="1"/>
  <c r="H7791" i="55" s="1"/>
  <c r="R27" i="47" l="1"/>
  <c r="AB55" i="47" l="1"/>
  <c r="W24" i="47" l="1"/>
  <c r="AB24" i="47"/>
  <c r="W25" i="47"/>
  <c r="AB25" i="47"/>
  <c r="W33" i="47"/>
  <c r="AB33" i="47"/>
  <c r="W38" i="47"/>
  <c r="AB38" i="47"/>
  <c r="AB40" i="47"/>
  <c r="W40" i="47"/>
  <c r="W55" i="47"/>
  <c r="P79" i="47"/>
  <c r="H7793" i="55" s="1"/>
  <c r="A68" i="57"/>
  <c r="B978" i="1"/>
  <c r="A31" i="56" s="1"/>
  <c r="A30" i="56" l="1"/>
  <c r="F7754" i="55"/>
  <c r="D7754" i="55"/>
  <c r="A66" i="57"/>
  <c r="P128" i="47"/>
  <c r="R79" i="47"/>
  <c r="H1811" i="55" s="1"/>
  <c r="C55" i="57"/>
  <c r="C56" i="57" s="1"/>
  <c r="P42" i="47"/>
  <c r="H7773" i="55" s="1"/>
  <c r="B983" i="1"/>
  <c r="B982" i="1"/>
  <c r="B979" i="1"/>
  <c r="F7759" i="55" s="1"/>
  <c r="E980" i="1"/>
  <c r="D980" i="1"/>
  <c r="C980" i="1"/>
  <c r="E981" i="1"/>
  <c r="D981" i="1"/>
  <c r="C981" i="1"/>
  <c r="E974" i="1"/>
  <c r="E973" i="1"/>
  <c r="D974" i="1"/>
  <c r="D973" i="1"/>
  <c r="C973" i="1"/>
  <c r="C974" i="1"/>
  <c r="B258" i="1"/>
  <c r="A19" i="56" s="1"/>
  <c r="B977" i="1"/>
  <c r="A23" i="56" s="1"/>
  <c r="B975" i="1"/>
  <c r="A18" i="56" s="1"/>
  <c r="H3111" i="55"/>
  <c r="J17" i="56"/>
  <c r="C12" i="57"/>
  <c r="H3110" i="55" s="1"/>
  <c r="C8" i="57"/>
  <c r="H3109" i="55" s="1"/>
  <c r="B972" i="1"/>
  <c r="G14" i="57" s="1"/>
  <c r="B971" i="1"/>
  <c r="E12" i="57" s="1"/>
  <c r="B970" i="1"/>
  <c r="E8" i="57" s="1"/>
  <c r="B969" i="1"/>
  <c r="E5" i="57" s="1"/>
  <c r="B968" i="1"/>
  <c r="A14" i="57" s="1"/>
  <c r="B967" i="1"/>
  <c r="A13" i="57" s="1"/>
  <c r="B966" i="1"/>
  <c r="A10" i="57" s="1"/>
  <c r="B965" i="1"/>
  <c r="A9" i="57" s="1"/>
  <c r="E3111" i="55" s="1"/>
  <c r="B964" i="1"/>
  <c r="A12" i="57" s="1"/>
  <c r="E3110" i="55" s="1"/>
  <c r="B963" i="1"/>
  <c r="A8" i="57" s="1"/>
  <c r="E3109" i="55" s="1"/>
  <c r="Z13" i="22"/>
  <c r="G74" i="49" s="1"/>
  <c r="Y13" i="22"/>
  <c r="W13" i="22"/>
  <c r="G71" i="49" s="1"/>
  <c r="U13" i="22"/>
  <c r="G69" i="49" s="1"/>
  <c r="S13" i="22"/>
  <c r="G67" i="49" s="1"/>
  <c r="Q13" i="22"/>
  <c r="G65" i="49" s="1"/>
  <c r="P13" i="22"/>
  <c r="G63" i="49"/>
  <c r="G62" i="49"/>
  <c r="G61" i="49"/>
  <c r="F77" i="57"/>
  <c r="H3150" i="55" s="1"/>
  <c r="B301" i="1"/>
  <c r="A83" i="57" s="1"/>
  <c r="B281" i="1"/>
  <c r="D251" i="1"/>
  <c r="E251" i="1"/>
  <c r="E250" i="1"/>
  <c r="C251" i="1"/>
  <c r="B114" i="3"/>
  <c r="B115" i="3" s="1"/>
  <c r="B116" i="3" s="1"/>
  <c r="B117" i="3" s="1"/>
  <c r="B118" i="3" s="1"/>
  <c r="B119" i="3" s="1"/>
  <c r="B120" i="3" s="1"/>
  <c r="B121" i="3" s="1"/>
  <c r="C8" i="6"/>
  <c r="B12" i="1"/>
  <c r="C4" i="2" s="1"/>
  <c r="D6" i="55" s="1"/>
  <c r="B13" i="1"/>
  <c r="C34" i="6"/>
  <c r="C35" i="6"/>
  <c r="C36" i="6"/>
  <c r="C33" i="6"/>
  <c r="AF72" i="63"/>
  <c r="EH62" i="13"/>
  <c r="EH56" i="13"/>
  <c r="DX56" i="13"/>
  <c r="DX62" i="13"/>
  <c r="DN62" i="13"/>
  <c r="DN56" i="13"/>
  <c r="DD56" i="13"/>
  <c r="DD62" i="13"/>
  <c r="CT62" i="13"/>
  <c r="CT56" i="13"/>
  <c r="CJ56" i="13"/>
  <c r="CJ62" i="13"/>
  <c r="BZ62" i="13"/>
  <c r="BZ56" i="13"/>
  <c r="BP56" i="13"/>
  <c r="BP62" i="13"/>
  <c r="BF56" i="13"/>
  <c r="AV56" i="13"/>
  <c r="AV62" i="13"/>
  <c r="AL62" i="13"/>
  <c r="AL56" i="13"/>
  <c r="AB56" i="13"/>
  <c r="AB62" i="13"/>
  <c r="R62" i="13"/>
  <c r="R56" i="13"/>
  <c r="BF62" i="13"/>
  <c r="C27" i="56"/>
  <c r="B7615" i="55"/>
  <c r="B7614" i="55"/>
  <c r="B7613" i="55"/>
  <c r="B7612" i="55"/>
  <c r="B7611" i="55"/>
  <c r="B7610" i="55"/>
  <c r="B7609" i="55"/>
  <c r="B7608" i="55"/>
  <c r="B7607" i="55"/>
  <c r="B7606" i="55"/>
  <c r="B7605" i="55"/>
  <c r="B7604" i="55"/>
  <c r="B7603" i="55"/>
  <c r="B7602" i="55"/>
  <c r="B7601" i="55"/>
  <c r="B7600" i="55"/>
  <c r="B7599" i="55"/>
  <c r="B7598" i="55"/>
  <c r="B7597" i="55"/>
  <c r="B7596" i="55"/>
  <c r="B7595" i="55"/>
  <c r="B7594" i="55"/>
  <c r="B7593" i="55"/>
  <c r="B7592" i="55"/>
  <c r="B7591" i="55"/>
  <c r="B7590" i="55"/>
  <c r="B7589" i="55"/>
  <c r="B7588" i="55"/>
  <c r="B7587" i="55"/>
  <c r="B7586" i="55"/>
  <c r="B7585" i="55"/>
  <c r="B7584" i="55"/>
  <c r="B7583" i="55"/>
  <c r="B7582" i="55"/>
  <c r="B7580" i="55"/>
  <c r="B7579" i="55"/>
  <c r="B7578" i="55"/>
  <c r="B7577" i="55"/>
  <c r="B7576" i="55"/>
  <c r="B7575" i="55"/>
  <c r="B7574" i="55"/>
  <c r="B7573" i="55"/>
  <c r="B7572" i="55"/>
  <c r="B7571" i="55"/>
  <c r="B7570" i="55"/>
  <c r="B7569" i="55"/>
  <c r="B7568" i="55"/>
  <c r="B7567" i="55"/>
  <c r="B7566" i="55"/>
  <c r="B7565" i="55"/>
  <c r="B7564" i="55"/>
  <c r="B7563" i="55"/>
  <c r="B7562" i="55"/>
  <c r="B7561" i="55"/>
  <c r="B7560" i="55"/>
  <c r="B7559" i="55"/>
  <c r="B7558" i="55"/>
  <c r="B7557" i="55"/>
  <c r="B7556" i="55"/>
  <c r="B7555" i="55"/>
  <c r="B7553" i="55"/>
  <c r="B7552" i="55"/>
  <c r="B7551" i="55"/>
  <c r="B7550" i="55"/>
  <c r="B7549" i="55"/>
  <c r="B7548" i="55"/>
  <c r="B7547" i="55"/>
  <c r="B7546" i="55"/>
  <c r="B7545" i="55"/>
  <c r="B7544" i="55"/>
  <c r="B7543" i="55"/>
  <c r="B7542" i="55"/>
  <c r="B7541" i="55"/>
  <c r="B7540" i="55"/>
  <c r="B7539" i="55"/>
  <c r="B7538" i="55"/>
  <c r="B7537" i="55"/>
  <c r="B7536" i="55"/>
  <c r="B7535" i="55"/>
  <c r="B7534" i="55"/>
  <c r="B7533" i="55"/>
  <c r="B7532" i="55"/>
  <c r="B7531" i="55"/>
  <c r="B7530" i="55"/>
  <c r="B7529" i="55"/>
  <c r="B7528" i="55"/>
  <c r="B7527" i="55"/>
  <c r="B7526" i="55"/>
  <c r="B7525" i="55"/>
  <c r="B7524" i="55"/>
  <c r="B7523" i="55"/>
  <c r="B7522" i="55"/>
  <c r="B7521" i="55"/>
  <c r="B7520" i="55"/>
  <c r="B7518" i="55"/>
  <c r="B7517" i="55"/>
  <c r="B7516" i="55"/>
  <c r="B7515" i="55"/>
  <c r="B7514" i="55"/>
  <c r="B7513" i="55"/>
  <c r="B7512" i="55"/>
  <c r="B7511" i="55"/>
  <c r="B7510" i="55"/>
  <c r="B7509" i="55"/>
  <c r="B7508" i="55"/>
  <c r="B7507" i="55"/>
  <c r="B7506" i="55"/>
  <c r="B7505" i="55"/>
  <c r="B7504" i="55"/>
  <c r="B7503" i="55"/>
  <c r="B7502" i="55"/>
  <c r="B7501" i="55"/>
  <c r="B7500" i="55"/>
  <c r="B7499" i="55"/>
  <c r="B7498" i="55"/>
  <c r="B7497" i="55"/>
  <c r="B7496" i="55"/>
  <c r="B7495" i="55"/>
  <c r="B7494" i="55"/>
  <c r="B7493" i="55"/>
  <c r="B7492" i="55"/>
  <c r="B7491" i="55"/>
  <c r="B7490" i="55"/>
  <c r="B7489" i="55"/>
  <c r="B7488" i="55"/>
  <c r="B7487" i="55"/>
  <c r="B7486" i="55"/>
  <c r="B7485" i="55"/>
  <c r="B7483" i="55"/>
  <c r="B7482" i="55"/>
  <c r="B7481" i="55"/>
  <c r="B7480" i="55"/>
  <c r="B7479" i="55"/>
  <c r="B7478" i="55"/>
  <c r="B7477" i="55"/>
  <c r="B7476" i="55"/>
  <c r="B7475" i="55"/>
  <c r="B7474" i="55"/>
  <c r="B7473" i="55"/>
  <c r="B7472" i="55"/>
  <c r="B7471" i="55"/>
  <c r="B7470" i="55"/>
  <c r="B7469" i="55"/>
  <c r="B7468" i="55"/>
  <c r="B7467" i="55"/>
  <c r="B7466" i="55"/>
  <c r="B7465" i="55"/>
  <c r="B7464" i="55"/>
  <c r="B7463" i="55"/>
  <c r="B7462" i="55"/>
  <c r="B7461" i="55"/>
  <c r="B7460" i="55"/>
  <c r="B7459" i="55"/>
  <c r="B7458" i="55"/>
  <c r="B7457" i="55"/>
  <c r="B7456" i="55"/>
  <c r="B7455" i="55"/>
  <c r="B7454" i="55"/>
  <c r="B7453" i="55"/>
  <c r="B7452" i="55"/>
  <c r="B7451" i="55"/>
  <c r="B7450" i="55"/>
  <c r="B7448" i="55"/>
  <c r="B7447" i="55"/>
  <c r="B7446" i="55"/>
  <c r="B7445" i="55"/>
  <c r="B7444" i="55"/>
  <c r="B7443" i="55"/>
  <c r="B7442" i="55"/>
  <c r="B7441" i="55"/>
  <c r="B7440" i="55"/>
  <c r="B7439" i="55"/>
  <c r="B7438" i="55"/>
  <c r="B7437" i="55"/>
  <c r="B7436" i="55"/>
  <c r="B7435" i="55"/>
  <c r="B7434" i="55"/>
  <c r="B7433" i="55"/>
  <c r="B7432" i="55"/>
  <c r="B7431" i="55"/>
  <c r="B7430" i="55"/>
  <c r="B7429" i="55"/>
  <c r="B7428" i="55"/>
  <c r="B7427" i="55"/>
  <c r="B7426" i="55"/>
  <c r="B7425" i="55"/>
  <c r="B7424" i="55"/>
  <c r="B7423" i="55"/>
  <c r="B7422" i="55"/>
  <c r="B7421" i="55"/>
  <c r="B7420" i="55"/>
  <c r="B7419" i="55"/>
  <c r="B7418" i="55"/>
  <c r="B7417" i="55"/>
  <c r="B7416" i="55"/>
  <c r="B7415" i="55"/>
  <c r="B7413" i="55"/>
  <c r="B7412" i="55"/>
  <c r="B7411" i="55"/>
  <c r="B7410" i="55"/>
  <c r="B7409" i="55"/>
  <c r="B7408" i="55"/>
  <c r="B7407" i="55"/>
  <c r="B7406" i="55"/>
  <c r="B7405" i="55"/>
  <c r="B7404" i="55"/>
  <c r="B7403" i="55"/>
  <c r="B7402" i="55"/>
  <c r="B7401" i="55"/>
  <c r="B7400" i="55"/>
  <c r="B7399" i="55"/>
  <c r="B7398" i="55"/>
  <c r="B7397" i="55"/>
  <c r="B7396" i="55"/>
  <c r="B7395" i="55"/>
  <c r="B7394" i="55"/>
  <c r="B7393" i="55"/>
  <c r="B7392" i="55"/>
  <c r="B7391" i="55"/>
  <c r="B7390" i="55"/>
  <c r="B7389" i="55"/>
  <c r="B7388" i="55"/>
  <c r="B7387" i="55"/>
  <c r="B7386" i="55"/>
  <c r="B7385" i="55"/>
  <c r="B7384" i="55"/>
  <c r="B7383" i="55"/>
  <c r="B7382" i="55"/>
  <c r="B7381" i="55"/>
  <c r="B7380" i="55"/>
  <c r="B7378" i="55"/>
  <c r="B7377" i="55"/>
  <c r="B7376" i="55"/>
  <c r="B7375" i="55"/>
  <c r="B7374" i="55"/>
  <c r="B7373" i="55"/>
  <c r="B7372" i="55"/>
  <c r="B7371" i="55"/>
  <c r="B7370" i="55"/>
  <c r="B7369" i="55"/>
  <c r="B7368" i="55"/>
  <c r="B7367" i="55"/>
  <c r="B7366" i="55"/>
  <c r="B7365" i="55"/>
  <c r="B7364" i="55"/>
  <c r="B7363" i="55"/>
  <c r="B7362" i="55"/>
  <c r="B7361" i="55"/>
  <c r="B7360" i="55"/>
  <c r="B7359" i="55"/>
  <c r="B7358" i="55"/>
  <c r="B7357" i="55"/>
  <c r="B7356" i="55"/>
  <c r="B7355" i="55"/>
  <c r="B7354" i="55"/>
  <c r="B7353" i="55"/>
  <c r="B7352" i="55"/>
  <c r="B7351" i="55"/>
  <c r="B7350" i="55"/>
  <c r="B7349" i="55"/>
  <c r="B7348" i="55"/>
  <c r="B7347" i="55"/>
  <c r="B7346" i="55"/>
  <c r="B7345" i="55"/>
  <c r="B7343" i="55"/>
  <c r="B7342" i="55"/>
  <c r="B7341" i="55"/>
  <c r="B7340" i="55"/>
  <c r="B7339" i="55"/>
  <c r="B7338" i="55"/>
  <c r="B7337" i="55"/>
  <c r="B7336" i="55"/>
  <c r="B7335" i="55"/>
  <c r="B7334" i="55"/>
  <c r="B7333" i="55"/>
  <c r="B7332" i="55"/>
  <c r="B7331" i="55"/>
  <c r="B7330" i="55"/>
  <c r="B7329" i="55"/>
  <c r="B7328" i="55"/>
  <c r="B7327" i="55"/>
  <c r="B7326" i="55"/>
  <c r="B7325" i="55"/>
  <c r="B7324" i="55"/>
  <c r="B7323" i="55"/>
  <c r="B7322" i="55"/>
  <c r="B7321" i="55"/>
  <c r="B7320" i="55"/>
  <c r="B7319" i="55"/>
  <c r="B7318" i="55"/>
  <c r="B7317" i="55"/>
  <c r="B7316" i="55"/>
  <c r="B7315" i="55"/>
  <c r="B7314" i="55"/>
  <c r="B7313" i="55"/>
  <c r="B7312" i="55"/>
  <c r="B7311" i="55"/>
  <c r="B7310" i="55"/>
  <c r="B7308" i="55"/>
  <c r="B7307" i="55"/>
  <c r="B7306" i="55"/>
  <c r="B7305" i="55"/>
  <c r="B7304" i="55"/>
  <c r="B7303" i="55"/>
  <c r="B7302" i="55"/>
  <c r="B7301" i="55"/>
  <c r="B7300" i="55"/>
  <c r="B7299" i="55"/>
  <c r="B7298" i="55"/>
  <c r="B7297" i="55"/>
  <c r="B7296" i="55"/>
  <c r="B7295" i="55"/>
  <c r="B7294" i="55"/>
  <c r="B7293" i="55"/>
  <c r="B7292" i="55"/>
  <c r="B7291" i="55"/>
  <c r="B7290" i="55"/>
  <c r="B7289" i="55"/>
  <c r="B7288" i="55"/>
  <c r="B7287" i="55"/>
  <c r="B7286" i="55"/>
  <c r="B7285" i="55"/>
  <c r="B7284" i="55"/>
  <c r="B7283" i="55"/>
  <c r="B7282" i="55"/>
  <c r="B7281" i="55"/>
  <c r="B7280" i="55"/>
  <c r="B7279" i="55"/>
  <c r="B7278" i="55"/>
  <c r="B7277" i="55"/>
  <c r="B7276" i="55"/>
  <c r="B7275" i="55"/>
  <c r="B7273" i="55"/>
  <c r="B7272" i="55"/>
  <c r="B7271" i="55"/>
  <c r="B7270" i="55"/>
  <c r="B7269" i="55"/>
  <c r="B7268" i="55"/>
  <c r="B7267" i="55"/>
  <c r="B7266" i="55"/>
  <c r="B7265" i="55"/>
  <c r="B7264" i="55"/>
  <c r="B7263" i="55"/>
  <c r="B7262" i="55"/>
  <c r="B7261" i="55"/>
  <c r="B7260" i="55"/>
  <c r="B7259" i="55"/>
  <c r="B7258" i="55"/>
  <c r="B7257" i="55"/>
  <c r="B7256" i="55"/>
  <c r="B7255" i="55"/>
  <c r="B7254" i="55"/>
  <c r="B7253" i="55"/>
  <c r="B7252" i="55"/>
  <c r="B7251" i="55"/>
  <c r="B7250" i="55"/>
  <c r="B7249" i="55"/>
  <c r="B7248" i="55"/>
  <c r="B7247" i="55"/>
  <c r="B7246" i="55"/>
  <c r="B7245" i="55"/>
  <c r="B7244" i="55"/>
  <c r="B7243" i="55"/>
  <c r="B7242" i="55"/>
  <c r="B7241" i="55"/>
  <c r="B7240" i="55"/>
  <c r="B7238" i="55"/>
  <c r="B7237" i="55"/>
  <c r="B7236" i="55"/>
  <c r="B7235" i="55"/>
  <c r="B7234" i="55"/>
  <c r="B7233" i="55"/>
  <c r="B7232" i="55"/>
  <c r="B7231" i="55"/>
  <c r="B7230" i="55"/>
  <c r="B7229" i="55"/>
  <c r="B7228" i="55"/>
  <c r="B7227" i="55"/>
  <c r="B7226" i="55"/>
  <c r="B7225" i="55"/>
  <c r="B7224" i="55"/>
  <c r="B7223" i="55"/>
  <c r="B7222" i="55"/>
  <c r="B7221" i="55"/>
  <c r="B7220" i="55"/>
  <c r="B7219" i="55"/>
  <c r="B7218" i="55"/>
  <c r="B7217" i="55"/>
  <c r="B7216" i="55"/>
  <c r="B7215" i="55"/>
  <c r="B7214" i="55"/>
  <c r="B7213" i="55"/>
  <c r="B7212" i="55"/>
  <c r="B7211" i="55"/>
  <c r="B7210" i="55"/>
  <c r="B7209" i="55"/>
  <c r="B7208" i="55"/>
  <c r="B7207" i="55"/>
  <c r="B7206" i="55"/>
  <c r="B7205" i="55"/>
  <c r="B7203" i="55"/>
  <c r="B7202" i="55"/>
  <c r="B7201" i="55"/>
  <c r="B7200" i="55"/>
  <c r="B7199" i="55"/>
  <c r="B7198" i="55"/>
  <c r="B7197" i="55"/>
  <c r="B7196" i="55"/>
  <c r="B7195" i="55"/>
  <c r="B7194" i="55"/>
  <c r="B7193" i="55"/>
  <c r="B7192" i="55"/>
  <c r="B7191" i="55"/>
  <c r="B7190" i="55"/>
  <c r="B7189" i="55"/>
  <c r="B7188" i="55"/>
  <c r="B7187" i="55"/>
  <c r="B7186" i="55"/>
  <c r="B7185" i="55"/>
  <c r="B7184" i="55"/>
  <c r="B7183" i="55"/>
  <c r="B7182" i="55"/>
  <c r="B7181" i="55"/>
  <c r="B7180" i="55"/>
  <c r="B7179" i="55"/>
  <c r="B7178" i="55"/>
  <c r="B7177" i="55"/>
  <c r="B7176" i="55"/>
  <c r="B7175" i="55"/>
  <c r="B7174" i="55"/>
  <c r="B7173" i="55"/>
  <c r="B7172" i="55"/>
  <c r="B7171" i="55"/>
  <c r="B7170" i="55"/>
  <c r="B7168" i="55"/>
  <c r="B7167" i="55"/>
  <c r="B7166" i="55"/>
  <c r="B7165" i="55"/>
  <c r="B7164" i="55"/>
  <c r="B7163" i="55"/>
  <c r="B7162" i="55"/>
  <c r="B7161" i="55"/>
  <c r="B7160" i="55"/>
  <c r="B7159" i="55"/>
  <c r="B7158" i="55"/>
  <c r="B7157" i="55"/>
  <c r="B7156" i="55"/>
  <c r="B7155" i="55"/>
  <c r="B7154" i="55"/>
  <c r="B7153" i="55"/>
  <c r="B7152" i="55"/>
  <c r="B7151" i="55"/>
  <c r="B7150" i="55"/>
  <c r="B7149" i="55"/>
  <c r="B7148" i="55"/>
  <c r="B7147" i="55"/>
  <c r="B7146" i="55"/>
  <c r="B7145" i="55"/>
  <c r="B7144" i="55"/>
  <c r="B7143" i="55"/>
  <c r="B7142" i="55"/>
  <c r="B7141" i="55"/>
  <c r="B7140" i="55"/>
  <c r="B7139" i="55"/>
  <c r="B7138" i="55"/>
  <c r="B7137" i="55"/>
  <c r="B7136" i="55"/>
  <c r="B7135" i="55"/>
  <c r="B7133" i="55"/>
  <c r="B7132" i="55"/>
  <c r="B7131" i="55"/>
  <c r="B7130" i="55"/>
  <c r="B7129" i="55"/>
  <c r="B7128" i="55"/>
  <c r="B7127" i="55"/>
  <c r="B7126" i="55"/>
  <c r="B7125" i="55"/>
  <c r="B7124" i="55"/>
  <c r="B7123" i="55"/>
  <c r="B7122" i="55"/>
  <c r="B7121" i="55"/>
  <c r="B7120" i="55"/>
  <c r="B7119" i="55"/>
  <c r="B7118" i="55"/>
  <c r="B7117" i="55"/>
  <c r="B7116" i="55"/>
  <c r="B7115" i="55"/>
  <c r="B7114" i="55"/>
  <c r="B7113" i="55"/>
  <c r="B7112" i="55"/>
  <c r="B7111" i="55"/>
  <c r="B7110" i="55"/>
  <c r="B7109" i="55"/>
  <c r="B7108" i="55"/>
  <c r="B7107" i="55"/>
  <c r="B7106" i="55"/>
  <c r="B7105" i="55"/>
  <c r="B7104" i="55"/>
  <c r="B7103" i="55"/>
  <c r="B7102" i="55"/>
  <c r="B7101" i="55"/>
  <c r="B7100" i="55"/>
  <c r="B7098" i="55"/>
  <c r="B7097" i="55"/>
  <c r="B7096" i="55"/>
  <c r="B7095" i="55"/>
  <c r="B7094" i="55"/>
  <c r="B7093" i="55"/>
  <c r="B7092" i="55"/>
  <c r="B7091" i="55"/>
  <c r="B7090" i="55"/>
  <c r="B7089" i="55"/>
  <c r="B7088" i="55"/>
  <c r="B7087" i="55"/>
  <c r="B7086" i="55"/>
  <c r="B7085" i="55"/>
  <c r="B7084" i="55"/>
  <c r="B7083" i="55"/>
  <c r="B7082" i="55"/>
  <c r="B7081" i="55"/>
  <c r="B7080" i="55"/>
  <c r="B7079" i="55"/>
  <c r="B7078" i="55"/>
  <c r="B7077" i="55"/>
  <c r="B7076" i="55"/>
  <c r="B7075" i="55"/>
  <c r="B7074" i="55"/>
  <c r="B7073" i="55"/>
  <c r="B7072" i="55"/>
  <c r="B7071" i="55"/>
  <c r="B7070" i="55"/>
  <c r="B7069" i="55"/>
  <c r="B7068" i="55"/>
  <c r="B7067" i="55"/>
  <c r="B7066" i="55"/>
  <c r="B7065" i="55"/>
  <c r="B7063" i="55"/>
  <c r="B7062" i="55"/>
  <c r="B7061" i="55"/>
  <c r="B7060" i="55"/>
  <c r="B7059" i="55"/>
  <c r="B7058" i="55"/>
  <c r="B7057" i="55"/>
  <c r="B7056" i="55"/>
  <c r="B7055" i="55"/>
  <c r="B7054" i="55"/>
  <c r="B7053" i="55"/>
  <c r="B7052" i="55"/>
  <c r="B7051" i="55"/>
  <c r="B7050" i="55"/>
  <c r="B7049" i="55"/>
  <c r="B7048" i="55"/>
  <c r="B7047" i="55"/>
  <c r="B7046" i="55"/>
  <c r="B7045" i="55"/>
  <c r="B7044" i="55"/>
  <c r="B7043" i="55"/>
  <c r="B7042" i="55"/>
  <c r="B7041" i="55"/>
  <c r="B7040" i="55"/>
  <c r="B7039" i="55"/>
  <c r="B7038" i="55"/>
  <c r="B7037" i="55"/>
  <c r="B7036" i="55"/>
  <c r="B7035" i="55"/>
  <c r="B7034" i="55"/>
  <c r="B7033" i="55"/>
  <c r="B7032" i="55"/>
  <c r="B7031" i="55"/>
  <c r="B7030" i="55"/>
  <c r="B7028" i="55"/>
  <c r="B7027" i="55"/>
  <c r="B7026" i="55"/>
  <c r="B7025" i="55"/>
  <c r="B7024" i="55"/>
  <c r="B7023" i="55"/>
  <c r="B7022" i="55"/>
  <c r="B7021" i="55"/>
  <c r="B7020" i="55"/>
  <c r="B7019" i="55"/>
  <c r="B7018" i="55"/>
  <c r="B7017" i="55"/>
  <c r="B7016" i="55"/>
  <c r="B7015" i="55"/>
  <c r="B7014" i="55"/>
  <c r="B7013" i="55"/>
  <c r="B7012" i="55"/>
  <c r="B7011" i="55"/>
  <c r="B7010" i="55"/>
  <c r="B7009" i="55"/>
  <c r="B7008" i="55"/>
  <c r="B7007" i="55"/>
  <c r="B7006" i="55"/>
  <c r="B7005" i="55"/>
  <c r="B7004" i="55"/>
  <c r="B7003" i="55"/>
  <c r="B7002" i="55"/>
  <c r="B7001" i="55"/>
  <c r="B7000" i="55"/>
  <c r="B6999" i="55"/>
  <c r="B6998" i="55"/>
  <c r="B6997" i="55"/>
  <c r="B6996" i="55"/>
  <c r="B6995" i="55"/>
  <c r="B6993" i="55"/>
  <c r="B6992" i="55"/>
  <c r="B6991" i="55"/>
  <c r="B6990" i="55"/>
  <c r="B6989" i="55"/>
  <c r="B6988" i="55"/>
  <c r="B6987" i="55"/>
  <c r="B6986" i="55"/>
  <c r="B6985" i="55"/>
  <c r="B6984" i="55"/>
  <c r="B6983" i="55"/>
  <c r="B6982" i="55"/>
  <c r="B6981" i="55"/>
  <c r="B6980" i="55"/>
  <c r="B6979" i="55"/>
  <c r="B6978" i="55"/>
  <c r="B6977" i="55"/>
  <c r="B6976" i="55"/>
  <c r="B6975" i="55"/>
  <c r="B6974" i="55"/>
  <c r="B6973" i="55"/>
  <c r="B6972" i="55"/>
  <c r="B6971" i="55"/>
  <c r="B6970" i="55"/>
  <c r="B6969" i="55"/>
  <c r="B6968" i="55"/>
  <c r="B6967" i="55"/>
  <c r="B6966" i="55"/>
  <c r="B6965" i="55"/>
  <c r="B6964" i="55"/>
  <c r="B6963" i="55"/>
  <c r="B6962" i="55"/>
  <c r="B6961" i="55"/>
  <c r="B6960" i="55"/>
  <c r="B6958" i="55"/>
  <c r="B6957" i="55"/>
  <c r="B6956" i="55"/>
  <c r="B6955" i="55"/>
  <c r="B6954" i="55"/>
  <c r="B6953" i="55"/>
  <c r="B6952" i="55"/>
  <c r="B6951" i="55"/>
  <c r="B6950" i="55"/>
  <c r="B6949" i="55"/>
  <c r="B6948" i="55"/>
  <c r="B6947" i="55"/>
  <c r="B6946" i="55"/>
  <c r="B6945" i="55"/>
  <c r="B6944" i="55"/>
  <c r="B6943" i="55"/>
  <c r="B6942" i="55"/>
  <c r="B6941" i="55"/>
  <c r="B6940" i="55"/>
  <c r="B6939" i="55"/>
  <c r="B6938" i="55"/>
  <c r="B6937" i="55"/>
  <c r="B6936" i="55"/>
  <c r="B6935" i="55"/>
  <c r="B6934" i="55"/>
  <c r="B6933" i="55"/>
  <c r="B6932" i="55"/>
  <c r="B6931" i="55"/>
  <c r="B6930" i="55"/>
  <c r="B6929" i="55"/>
  <c r="B6928" i="55"/>
  <c r="B6927" i="55"/>
  <c r="B6926" i="55"/>
  <c r="B6925" i="55"/>
  <c r="B6923" i="55"/>
  <c r="B6922" i="55"/>
  <c r="B6921" i="55"/>
  <c r="B6920" i="55"/>
  <c r="B6919" i="55"/>
  <c r="B6918" i="55"/>
  <c r="B6917" i="55"/>
  <c r="B6916" i="55"/>
  <c r="B6915" i="55"/>
  <c r="B6914" i="55"/>
  <c r="B6913" i="55"/>
  <c r="B6912" i="55"/>
  <c r="B6911" i="55"/>
  <c r="B6910" i="55"/>
  <c r="B6909" i="55"/>
  <c r="B6908" i="55"/>
  <c r="B6907" i="55"/>
  <c r="B6906" i="55"/>
  <c r="B6905" i="55"/>
  <c r="B6904" i="55"/>
  <c r="B6903" i="55"/>
  <c r="B6902" i="55"/>
  <c r="B6901" i="55"/>
  <c r="B6900" i="55"/>
  <c r="B6899" i="55"/>
  <c r="B6898" i="55"/>
  <c r="B6897" i="55"/>
  <c r="B6896" i="55"/>
  <c r="B6895" i="55"/>
  <c r="B6894" i="55"/>
  <c r="B6893" i="55"/>
  <c r="B6892" i="55"/>
  <c r="B6891" i="55"/>
  <c r="B6890" i="55"/>
  <c r="B6888" i="55"/>
  <c r="B6887" i="55"/>
  <c r="B6886" i="55"/>
  <c r="B6885" i="55"/>
  <c r="B6884" i="55"/>
  <c r="B6883" i="55"/>
  <c r="B6882" i="55"/>
  <c r="B6881" i="55"/>
  <c r="B6880" i="55"/>
  <c r="B6879" i="55"/>
  <c r="B6878" i="55"/>
  <c r="B6877" i="55"/>
  <c r="B6876" i="55"/>
  <c r="B6875" i="55"/>
  <c r="B6874" i="55"/>
  <c r="B6873" i="55"/>
  <c r="B6872" i="55"/>
  <c r="B6871" i="55"/>
  <c r="B6870" i="55"/>
  <c r="B6869" i="55"/>
  <c r="B6868" i="55"/>
  <c r="B6867" i="55"/>
  <c r="B6866" i="55"/>
  <c r="B6865" i="55"/>
  <c r="B6864" i="55"/>
  <c r="B6863" i="55"/>
  <c r="B6862" i="55"/>
  <c r="B6861" i="55"/>
  <c r="B6860" i="55"/>
  <c r="B6859" i="55"/>
  <c r="B6858" i="55"/>
  <c r="B6857" i="55"/>
  <c r="B6856" i="55"/>
  <c r="B6855" i="55"/>
  <c r="B6853" i="55"/>
  <c r="B6852" i="55"/>
  <c r="B6851" i="55"/>
  <c r="B6850" i="55"/>
  <c r="B6849" i="55"/>
  <c r="B6848" i="55"/>
  <c r="B6847" i="55"/>
  <c r="B6846" i="55"/>
  <c r="B6845" i="55"/>
  <c r="B6844" i="55"/>
  <c r="B6843" i="55"/>
  <c r="B6842" i="55"/>
  <c r="B6841" i="55"/>
  <c r="B6840" i="55"/>
  <c r="B6839" i="55"/>
  <c r="B6838" i="55"/>
  <c r="B6837" i="55"/>
  <c r="B6836" i="55"/>
  <c r="B6835" i="55"/>
  <c r="B6834" i="55"/>
  <c r="B6833" i="55"/>
  <c r="B6832" i="55"/>
  <c r="B6831" i="55"/>
  <c r="B6830" i="55"/>
  <c r="B6829" i="55"/>
  <c r="B6828" i="55"/>
  <c r="B6827" i="55"/>
  <c r="B6826" i="55"/>
  <c r="B6825" i="55"/>
  <c r="B6824" i="55"/>
  <c r="B6823" i="55"/>
  <c r="B6822" i="55"/>
  <c r="B6821" i="55"/>
  <c r="B6820" i="55"/>
  <c r="B6818" i="55"/>
  <c r="B6817" i="55"/>
  <c r="B6816" i="55"/>
  <c r="B6815" i="55"/>
  <c r="B6814" i="55"/>
  <c r="B6813" i="55"/>
  <c r="B6812" i="55"/>
  <c r="B6811" i="55"/>
  <c r="B6810" i="55"/>
  <c r="B6809" i="55"/>
  <c r="B6808" i="55"/>
  <c r="B6807" i="55"/>
  <c r="B6806" i="55"/>
  <c r="B6805" i="55"/>
  <c r="B6804" i="55"/>
  <c r="B6803" i="55"/>
  <c r="B6802" i="55"/>
  <c r="B6801" i="55"/>
  <c r="B6800" i="55"/>
  <c r="B6799" i="55"/>
  <c r="B6798" i="55"/>
  <c r="B6797" i="55"/>
  <c r="B6796" i="55"/>
  <c r="B6795" i="55"/>
  <c r="B6794" i="55"/>
  <c r="B6793" i="55"/>
  <c r="B6792" i="55"/>
  <c r="B6791" i="55"/>
  <c r="B6790" i="55"/>
  <c r="B6789" i="55"/>
  <c r="B6788" i="55"/>
  <c r="B6787" i="55"/>
  <c r="B6786" i="55"/>
  <c r="B6785" i="55"/>
  <c r="B6783" i="55"/>
  <c r="B6782" i="55"/>
  <c r="B6781" i="55"/>
  <c r="B6780" i="55"/>
  <c r="B6779" i="55"/>
  <c r="B6778" i="55"/>
  <c r="B6777" i="55"/>
  <c r="B6776" i="55"/>
  <c r="B6775" i="55"/>
  <c r="B6774" i="55"/>
  <c r="B6773" i="55"/>
  <c r="B6772" i="55"/>
  <c r="B6771" i="55"/>
  <c r="B6770" i="55"/>
  <c r="B6769" i="55"/>
  <c r="B6768" i="55"/>
  <c r="B6767" i="55"/>
  <c r="B6766" i="55"/>
  <c r="B6765" i="55"/>
  <c r="B6764" i="55"/>
  <c r="B6763" i="55"/>
  <c r="B6762" i="55"/>
  <c r="B6761" i="55"/>
  <c r="B6760" i="55"/>
  <c r="B6759" i="55"/>
  <c r="B6758" i="55"/>
  <c r="B6757" i="55"/>
  <c r="B6756" i="55"/>
  <c r="B6755" i="55"/>
  <c r="B6754" i="55"/>
  <c r="B6753" i="55"/>
  <c r="B6752" i="55"/>
  <c r="B6751" i="55"/>
  <c r="B6750" i="55"/>
  <c r="B6748" i="55"/>
  <c r="B6747" i="55"/>
  <c r="B6746" i="55"/>
  <c r="B6745" i="55"/>
  <c r="B6744" i="55"/>
  <c r="B6743" i="55"/>
  <c r="B6742" i="55"/>
  <c r="B6741" i="55"/>
  <c r="B6740" i="55"/>
  <c r="B6739" i="55"/>
  <c r="B6738" i="55"/>
  <c r="B6737" i="55"/>
  <c r="B6736" i="55"/>
  <c r="B6735" i="55"/>
  <c r="B6734" i="55"/>
  <c r="B6733" i="55"/>
  <c r="B6732" i="55"/>
  <c r="B6731" i="55"/>
  <c r="B6730" i="55"/>
  <c r="B6729" i="55"/>
  <c r="B6728" i="55"/>
  <c r="B6727" i="55"/>
  <c r="B6726" i="55"/>
  <c r="B6725" i="55"/>
  <c r="B6724" i="55"/>
  <c r="B6723" i="55"/>
  <c r="B6722" i="55"/>
  <c r="B6721" i="55"/>
  <c r="B6720" i="55"/>
  <c r="B6719" i="55"/>
  <c r="B6718" i="55"/>
  <c r="B6717" i="55"/>
  <c r="B6716" i="55"/>
  <c r="B6715" i="55"/>
  <c r="B6713" i="55"/>
  <c r="B6712" i="55"/>
  <c r="B6711" i="55"/>
  <c r="B6710" i="55"/>
  <c r="B6709" i="55"/>
  <c r="B6708" i="55"/>
  <c r="B6707" i="55"/>
  <c r="B6706" i="55"/>
  <c r="B6705" i="55"/>
  <c r="B6704" i="55"/>
  <c r="B6703" i="55"/>
  <c r="B6702" i="55"/>
  <c r="B6701" i="55"/>
  <c r="B6700" i="55"/>
  <c r="B6699" i="55"/>
  <c r="B6698" i="55"/>
  <c r="B6697" i="55"/>
  <c r="B6696" i="55"/>
  <c r="B6695" i="55"/>
  <c r="B6694" i="55"/>
  <c r="B6693" i="55"/>
  <c r="B6692" i="55"/>
  <c r="B6691" i="55"/>
  <c r="B6690" i="55"/>
  <c r="B6689" i="55"/>
  <c r="B6688" i="55"/>
  <c r="B6687" i="55"/>
  <c r="B6686" i="55"/>
  <c r="B6685" i="55"/>
  <c r="B6684" i="55"/>
  <c r="B6683" i="55"/>
  <c r="B6682" i="55"/>
  <c r="B6681" i="55"/>
  <c r="B6680" i="55"/>
  <c r="B6678" i="55"/>
  <c r="B6677" i="55"/>
  <c r="B6676" i="55"/>
  <c r="B6675" i="55"/>
  <c r="B6674" i="55"/>
  <c r="B6673" i="55"/>
  <c r="B6672" i="55"/>
  <c r="B6671" i="55"/>
  <c r="B6670" i="55"/>
  <c r="B6669" i="55"/>
  <c r="B6668" i="55"/>
  <c r="B6667" i="55"/>
  <c r="B6666" i="55"/>
  <c r="B6665" i="55"/>
  <c r="B6664" i="55"/>
  <c r="B6663" i="55"/>
  <c r="B6662" i="55"/>
  <c r="B6661" i="55"/>
  <c r="B6660" i="55"/>
  <c r="B6659" i="55"/>
  <c r="B6658" i="55"/>
  <c r="B6657" i="55"/>
  <c r="B6656" i="55"/>
  <c r="B6655" i="55"/>
  <c r="B6654" i="55"/>
  <c r="B6653" i="55"/>
  <c r="B6652" i="55"/>
  <c r="B6651" i="55"/>
  <c r="B6650" i="55"/>
  <c r="B6649" i="55"/>
  <c r="B6648" i="55"/>
  <c r="B6647" i="55"/>
  <c r="B6646" i="55"/>
  <c r="B6645" i="55"/>
  <c r="B6643" i="55"/>
  <c r="B6642" i="55"/>
  <c r="B6641" i="55"/>
  <c r="B6640" i="55"/>
  <c r="B6639" i="55"/>
  <c r="B6638" i="55"/>
  <c r="B6637" i="55"/>
  <c r="B6636" i="55"/>
  <c r="B6635" i="55"/>
  <c r="B6634" i="55"/>
  <c r="B6633" i="55"/>
  <c r="B6632" i="55"/>
  <c r="B6631" i="55"/>
  <c r="B6630" i="55"/>
  <c r="B6629" i="55"/>
  <c r="B6628" i="55"/>
  <c r="B6627" i="55"/>
  <c r="B6626" i="55"/>
  <c r="B6625" i="55"/>
  <c r="B6624" i="55"/>
  <c r="B6623" i="55"/>
  <c r="B6622" i="55"/>
  <c r="B6621" i="55"/>
  <c r="B6620" i="55"/>
  <c r="B6619" i="55"/>
  <c r="B6618" i="55"/>
  <c r="B6617" i="55"/>
  <c r="B6616" i="55"/>
  <c r="B6615" i="55"/>
  <c r="B6614" i="55"/>
  <c r="B6613" i="55"/>
  <c r="B6612" i="55"/>
  <c r="B6611" i="55"/>
  <c r="B6610" i="55"/>
  <c r="B6609" i="55"/>
  <c r="B6608" i="55"/>
  <c r="B6607" i="55"/>
  <c r="B6606" i="55"/>
  <c r="B6605" i="55"/>
  <c r="B6604" i="55"/>
  <c r="B6603" i="55"/>
  <c r="B6602" i="55"/>
  <c r="B6601" i="55"/>
  <c r="B6600" i="55"/>
  <c r="B6599" i="55"/>
  <c r="B6598" i="55"/>
  <c r="B6597" i="55"/>
  <c r="B6596" i="55"/>
  <c r="B6595" i="55"/>
  <c r="B6594" i="55"/>
  <c r="B6593" i="55"/>
  <c r="B6592" i="55"/>
  <c r="B6591" i="55"/>
  <c r="B6590" i="55"/>
  <c r="B6589" i="55"/>
  <c r="B6588" i="55"/>
  <c r="B6587" i="55"/>
  <c r="B6586" i="55"/>
  <c r="B6585" i="55"/>
  <c r="B6584" i="55"/>
  <c r="B6582" i="55"/>
  <c r="B6581" i="55"/>
  <c r="B6580" i="55"/>
  <c r="B6579" i="55"/>
  <c r="B6578" i="55"/>
  <c r="B6577" i="55"/>
  <c r="B6576" i="55"/>
  <c r="B6575" i="55"/>
  <c r="B6574" i="55"/>
  <c r="B6573" i="55"/>
  <c r="B6572" i="55"/>
  <c r="B6571" i="55"/>
  <c r="B6570" i="55"/>
  <c r="B6569" i="55"/>
  <c r="B6568" i="55"/>
  <c r="B6567" i="55"/>
  <c r="B6566" i="55"/>
  <c r="B6565" i="55"/>
  <c r="B6564" i="55"/>
  <c r="B6563" i="55"/>
  <c r="B6562" i="55"/>
  <c r="B6561" i="55"/>
  <c r="B6560" i="55"/>
  <c r="B6559" i="55"/>
  <c r="B6558" i="55"/>
  <c r="B6557" i="55"/>
  <c r="B6556" i="55"/>
  <c r="B6555" i="55"/>
  <c r="B6554" i="55"/>
  <c r="B6553" i="55"/>
  <c r="B6552" i="55"/>
  <c r="B6551" i="55"/>
  <c r="B6550" i="55"/>
  <c r="B6549" i="55"/>
  <c r="B6548" i="55"/>
  <c r="B6547" i="55"/>
  <c r="B6546" i="55"/>
  <c r="B6545" i="55"/>
  <c r="B6544" i="55"/>
  <c r="B6543" i="55"/>
  <c r="B6542" i="55"/>
  <c r="B6541" i="55"/>
  <c r="B6540" i="55"/>
  <c r="B6539" i="55"/>
  <c r="B6538" i="55"/>
  <c r="B6537" i="55"/>
  <c r="B6536" i="55"/>
  <c r="B6535" i="55"/>
  <c r="B6534" i="55"/>
  <c r="B6533" i="55"/>
  <c r="B6532" i="55"/>
  <c r="B6531" i="55"/>
  <c r="B6530" i="55"/>
  <c r="B6529" i="55"/>
  <c r="B6528" i="55"/>
  <c r="B6527" i="55"/>
  <c r="B6526" i="55"/>
  <c r="B6525" i="55"/>
  <c r="B6524" i="55"/>
  <c r="B6523" i="55"/>
  <c r="B6521" i="55"/>
  <c r="B6520" i="55"/>
  <c r="B6519" i="55"/>
  <c r="B6518" i="55"/>
  <c r="B6517" i="55"/>
  <c r="B6516" i="55"/>
  <c r="B6515" i="55"/>
  <c r="B6514" i="55"/>
  <c r="B6513" i="55"/>
  <c r="B6512" i="55"/>
  <c r="B6511" i="55"/>
  <c r="B6510" i="55"/>
  <c r="B6509" i="55"/>
  <c r="B6508" i="55"/>
  <c r="B6507" i="55"/>
  <c r="B6506" i="55"/>
  <c r="B6505" i="55"/>
  <c r="B6504" i="55"/>
  <c r="B6503" i="55"/>
  <c r="B6502" i="55"/>
  <c r="B6501" i="55"/>
  <c r="B6500" i="55"/>
  <c r="B6499" i="55"/>
  <c r="B6498" i="55"/>
  <c r="B6497" i="55"/>
  <c r="B6496" i="55"/>
  <c r="B6495" i="55"/>
  <c r="B6494" i="55"/>
  <c r="B6493" i="55"/>
  <c r="B6492" i="55"/>
  <c r="B6491" i="55"/>
  <c r="B6490" i="55"/>
  <c r="B6489" i="55"/>
  <c r="B6488" i="55"/>
  <c r="B6487" i="55"/>
  <c r="B6486" i="55"/>
  <c r="B6485" i="55"/>
  <c r="B6484" i="55"/>
  <c r="B6483" i="55"/>
  <c r="B6482" i="55"/>
  <c r="B6481" i="55"/>
  <c r="B6480" i="55"/>
  <c r="B6479" i="55"/>
  <c r="B6478" i="55"/>
  <c r="B6477" i="55"/>
  <c r="B6476" i="55"/>
  <c r="B6475" i="55"/>
  <c r="B6474" i="55"/>
  <c r="B6473" i="55"/>
  <c r="B6472" i="55"/>
  <c r="B6471" i="55"/>
  <c r="B6470" i="55"/>
  <c r="B6469" i="55"/>
  <c r="B6468" i="55"/>
  <c r="B6467" i="55"/>
  <c r="B6466" i="55"/>
  <c r="B6465" i="55"/>
  <c r="B6464" i="55"/>
  <c r="B6463" i="55"/>
  <c r="B6462" i="55"/>
  <c r="B6460" i="55"/>
  <c r="B6459" i="55"/>
  <c r="B6458" i="55"/>
  <c r="B6457" i="55"/>
  <c r="B6456" i="55"/>
  <c r="B6455" i="55"/>
  <c r="B6454" i="55"/>
  <c r="B6453" i="55"/>
  <c r="B6452" i="55"/>
  <c r="B6451" i="55"/>
  <c r="B6450" i="55"/>
  <c r="B6449" i="55"/>
  <c r="B6448" i="55"/>
  <c r="B6447" i="55"/>
  <c r="B6446" i="55"/>
  <c r="B6445" i="55"/>
  <c r="B6444" i="55"/>
  <c r="B6443" i="55"/>
  <c r="B6442" i="55"/>
  <c r="B6441" i="55"/>
  <c r="B6440" i="55"/>
  <c r="B6439" i="55"/>
  <c r="B6438" i="55"/>
  <c r="B6437" i="55"/>
  <c r="B6436" i="55"/>
  <c r="B6435" i="55"/>
  <c r="B6434" i="55"/>
  <c r="B6433" i="55"/>
  <c r="B6432" i="55"/>
  <c r="B6431" i="55"/>
  <c r="B6430" i="55"/>
  <c r="B6429" i="55"/>
  <c r="B6428" i="55"/>
  <c r="B6427" i="55"/>
  <c r="B6426" i="55"/>
  <c r="B6425" i="55"/>
  <c r="B6424" i="55"/>
  <c r="B6423" i="55"/>
  <c r="B6422" i="55"/>
  <c r="B6421" i="55"/>
  <c r="B6420" i="55"/>
  <c r="B6419" i="55"/>
  <c r="B6418" i="55"/>
  <c r="B6417" i="55"/>
  <c r="B6416" i="55"/>
  <c r="B6415" i="55"/>
  <c r="B6414" i="55"/>
  <c r="B6413" i="55"/>
  <c r="B6412" i="55"/>
  <c r="B6411" i="55"/>
  <c r="B6410" i="55"/>
  <c r="B6409" i="55"/>
  <c r="B6408" i="55"/>
  <c r="B6407" i="55"/>
  <c r="B6406" i="55"/>
  <c r="B6405" i="55"/>
  <c r="B6404" i="55"/>
  <c r="B6403" i="55"/>
  <c r="B6402" i="55"/>
  <c r="B6401" i="55"/>
  <c r="B6399" i="55"/>
  <c r="B6398" i="55"/>
  <c r="B6397" i="55"/>
  <c r="B6396" i="55"/>
  <c r="B6395" i="55"/>
  <c r="B6394" i="55"/>
  <c r="B6393" i="55"/>
  <c r="B6392" i="55"/>
  <c r="B6391" i="55"/>
  <c r="B6390" i="55"/>
  <c r="B6389" i="55"/>
  <c r="B6388" i="55"/>
  <c r="B6387" i="55"/>
  <c r="B6386" i="55"/>
  <c r="B6385" i="55"/>
  <c r="B6384" i="55"/>
  <c r="B6383" i="55"/>
  <c r="B6382" i="55"/>
  <c r="B6381" i="55"/>
  <c r="B6380" i="55"/>
  <c r="B6379" i="55"/>
  <c r="B6378" i="55"/>
  <c r="B6377" i="55"/>
  <c r="B6376" i="55"/>
  <c r="B6375" i="55"/>
  <c r="B6374" i="55"/>
  <c r="B6373" i="55"/>
  <c r="B6372" i="55"/>
  <c r="B6371" i="55"/>
  <c r="B6370" i="55"/>
  <c r="B6369" i="55"/>
  <c r="B6368" i="55"/>
  <c r="B6367" i="55"/>
  <c r="B6366" i="55"/>
  <c r="B6365" i="55"/>
  <c r="B6364" i="55"/>
  <c r="B6363" i="55"/>
  <c r="B6362" i="55"/>
  <c r="B6361" i="55"/>
  <c r="B6360" i="55"/>
  <c r="B6359" i="55"/>
  <c r="B6358" i="55"/>
  <c r="B6357" i="55"/>
  <c r="B6356" i="55"/>
  <c r="B6355" i="55"/>
  <c r="B6354" i="55"/>
  <c r="B6353" i="55"/>
  <c r="B6352" i="55"/>
  <c r="B6351" i="55"/>
  <c r="B6350" i="55"/>
  <c r="B6349" i="55"/>
  <c r="B6348" i="55"/>
  <c r="B6347" i="55"/>
  <c r="B6346" i="55"/>
  <c r="B6345" i="55"/>
  <c r="B6344" i="55"/>
  <c r="B6343" i="55"/>
  <c r="B6342" i="55"/>
  <c r="B6341" i="55"/>
  <c r="B6340" i="55"/>
  <c r="B6338" i="55"/>
  <c r="B6337" i="55"/>
  <c r="B6336" i="55"/>
  <c r="B6335" i="55"/>
  <c r="B6334" i="55"/>
  <c r="B6333" i="55"/>
  <c r="B6332" i="55"/>
  <c r="B6331" i="55"/>
  <c r="B6330" i="55"/>
  <c r="B6329" i="55"/>
  <c r="B6328" i="55"/>
  <c r="B6327" i="55"/>
  <c r="B6326" i="55"/>
  <c r="B6325" i="55"/>
  <c r="B6324" i="55"/>
  <c r="B6323" i="55"/>
  <c r="B6322" i="55"/>
  <c r="B6321" i="55"/>
  <c r="B6320" i="55"/>
  <c r="B6319" i="55"/>
  <c r="B6318" i="55"/>
  <c r="B6317" i="55"/>
  <c r="B6316" i="55"/>
  <c r="B6315" i="55"/>
  <c r="B6314" i="55"/>
  <c r="B6313" i="55"/>
  <c r="B6312" i="55"/>
  <c r="B6311" i="55"/>
  <c r="B6310" i="55"/>
  <c r="B6309" i="55"/>
  <c r="B6308" i="55"/>
  <c r="B6307" i="55"/>
  <c r="B6306" i="55"/>
  <c r="B6305" i="55"/>
  <c r="B6304" i="55"/>
  <c r="B6303" i="55"/>
  <c r="B6302" i="55"/>
  <c r="B6301" i="55"/>
  <c r="B6300" i="55"/>
  <c r="B6299" i="55"/>
  <c r="B6298" i="55"/>
  <c r="B6297" i="55"/>
  <c r="B6296" i="55"/>
  <c r="B6295" i="55"/>
  <c r="B6294" i="55"/>
  <c r="B6293" i="55"/>
  <c r="B6292" i="55"/>
  <c r="B6291" i="55"/>
  <c r="B6290" i="55"/>
  <c r="B6289" i="55"/>
  <c r="B6288" i="55"/>
  <c r="B6287" i="55"/>
  <c r="B6286" i="55"/>
  <c r="B6285" i="55"/>
  <c r="B6284" i="55"/>
  <c r="B6283" i="55"/>
  <c r="B6282" i="55"/>
  <c r="B6281" i="55"/>
  <c r="B6280" i="55"/>
  <c r="B6279" i="55"/>
  <c r="B6277" i="55"/>
  <c r="B6276" i="55"/>
  <c r="B6275" i="55"/>
  <c r="B6274" i="55"/>
  <c r="B6273" i="55"/>
  <c r="B6272" i="55"/>
  <c r="B6271" i="55"/>
  <c r="B6270" i="55"/>
  <c r="B6269" i="55"/>
  <c r="B6268" i="55"/>
  <c r="B6267" i="55"/>
  <c r="B6266" i="55"/>
  <c r="B6265" i="55"/>
  <c r="B6264" i="55"/>
  <c r="B6263" i="55"/>
  <c r="B6262" i="55"/>
  <c r="B6261" i="55"/>
  <c r="B6260" i="55"/>
  <c r="B6259" i="55"/>
  <c r="B6258" i="55"/>
  <c r="B6257" i="55"/>
  <c r="B6256" i="55"/>
  <c r="B6255" i="55"/>
  <c r="B6254" i="55"/>
  <c r="B6253" i="55"/>
  <c r="B6252" i="55"/>
  <c r="B6251" i="55"/>
  <c r="B6250" i="55"/>
  <c r="B6249" i="55"/>
  <c r="B6248" i="55"/>
  <c r="B6247" i="55"/>
  <c r="B6246" i="55"/>
  <c r="B6245" i="55"/>
  <c r="B6244" i="55"/>
  <c r="B6243" i="55"/>
  <c r="B6242" i="55"/>
  <c r="B6241" i="55"/>
  <c r="B6240" i="55"/>
  <c r="B6239" i="55"/>
  <c r="B6238" i="55"/>
  <c r="B6237" i="55"/>
  <c r="B6236" i="55"/>
  <c r="B6235" i="55"/>
  <c r="B6234" i="55"/>
  <c r="B6233" i="55"/>
  <c r="B6232" i="55"/>
  <c r="B6231" i="55"/>
  <c r="B6230" i="55"/>
  <c r="B6229" i="55"/>
  <c r="B6228" i="55"/>
  <c r="B6227" i="55"/>
  <c r="B6226" i="55"/>
  <c r="B6225" i="55"/>
  <c r="B6224" i="55"/>
  <c r="B6223" i="55"/>
  <c r="B6222" i="55"/>
  <c r="B6221" i="55"/>
  <c r="B6220" i="55"/>
  <c r="B6219" i="55"/>
  <c r="B6218" i="55"/>
  <c r="B6216" i="55"/>
  <c r="B6215" i="55"/>
  <c r="B6214" i="55"/>
  <c r="B6213" i="55"/>
  <c r="B6212" i="55"/>
  <c r="B6211" i="55"/>
  <c r="B6210" i="55"/>
  <c r="B6209" i="55"/>
  <c r="B6208" i="55"/>
  <c r="B6207" i="55"/>
  <c r="B6206" i="55"/>
  <c r="B6205" i="55"/>
  <c r="B6204" i="55"/>
  <c r="B6203" i="55"/>
  <c r="B6202" i="55"/>
  <c r="B6201" i="55"/>
  <c r="B6200" i="55"/>
  <c r="B6199" i="55"/>
  <c r="B6198" i="55"/>
  <c r="B6197" i="55"/>
  <c r="B6196" i="55"/>
  <c r="B6195" i="55"/>
  <c r="B6194" i="55"/>
  <c r="B6193" i="55"/>
  <c r="B6192" i="55"/>
  <c r="B6191" i="55"/>
  <c r="B6190" i="55"/>
  <c r="B6189" i="55"/>
  <c r="B6188" i="55"/>
  <c r="B6187" i="55"/>
  <c r="B6186" i="55"/>
  <c r="B6185" i="55"/>
  <c r="B6184" i="55"/>
  <c r="B6183" i="55"/>
  <c r="B6182" i="55"/>
  <c r="B6181" i="55"/>
  <c r="B6180" i="55"/>
  <c r="B6179" i="55"/>
  <c r="B6178" i="55"/>
  <c r="B6177" i="55"/>
  <c r="B6176" i="55"/>
  <c r="B6175" i="55"/>
  <c r="B6174" i="55"/>
  <c r="B6173" i="55"/>
  <c r="B6172" i="55"/>
  <c r="B6171" i="55"/>
  <c r="B6170" i="55"/>
  <c r="B6169" i="55"/>
  <c r="B6168" i="55"/>
  <c r="B6167" i="55"/>
  <c r="B6166" i="55"/>
  <c r="B6165" i="55"/>
  <c r="B6164" i="55"/>
  <c r="B6163" i="55"/>
  <c r="B6162" i="55"/>
  <c r="B6161" i="55"/>
  <c r="B6160" i="55"/>
  <c r="B6159" i="55"/>
  <c r="B6158" i="55"/>
  <c r="B6157" i="55"/>
  <c r="B6155" i="55"/>
  <c r="B6154" i="55"/>
  <c r="B6153" i="55"/>
  <c r="B6152" i="55"/>
  <c r="B6151" i="55"/>
  <c r="B6150" i="55"/>
  <c r="B6149" i="55"/>
  <c r="B6148" i="55"/>
  <c r="B6147" i="55"/>
  <c r="B6146" i="55"/>
  <c r="B6145" i="55"/>
  <c r="B6144" i="55"/>
  <c r="B6143" i="55"/>
  <c r="B6142" i="55"/>
  <c r="B6141" i="55"/>
  <c r="B6140" i="55"/>
  <c r="B6139" i="55"/>
  <c r="B6138" i="55"/>
  <c r="B6137" i="55"/>
  <c r="B6136" i="55"/>
  <c r="B6135" i="55"/>
  <c r="B6134" i="55"/>
  <c r="B6133" i="55"/>
  <c r="B6132" i="55"/>
  <c r="B6131" i="55"/>
  <c r="B6130" i="55"/>
  <c r="B6129" i="55"/>
  <c r="B6128" i="55"/>
  <c r="B6127" i="55"/>
  <c r="B6126" i="55"/>
  <c r="B6125" i="55"/>
  <c r="B6124" i="55"/>
  <c r="B6123" i="55"/>
  <c r="B6122" i="55"/>
  <c r="B6121" i="55"/>
  <c r="B6120" i="55"/>
  <c r="B6119" i="55"/>
  <c r="B6118" i="55"/>
  <c r="B6117" i="55"/>
  <c r="B6116" i="55"/>
  <c r="B6115" i="55"/>
  <c r="B6114" i="55"/>
  <c r="B6113" i="55"/>
  <c r="B6112" i="55"/>
  <c r="B6111" i="55"/>
  <c r="B6110" i="55"/>
  <c r="B6109" i="55"/>
  <c r="B6108" i="55"/>
  <c r="B6107" i="55"/>
  <c r="B6106" i="55"/>
  <c r="B6105" i="55"/>
  <c r="B6104" i="55"/>
  <c r="B6103" i="55"/>
  <c r="B6102" i="55"/>
  <c r="B6101" i="55"/>
  <c r="B6100" i="55"/>
  <c r="B6099" i="55"/>
  <c r="B6098" i="55"/>
  <c r="B6097" i="55"/>
  <c r="B6096" i="55"/>
  <c r="B6094" i="55"/>
  <c r="B6093" i="55"/>
  <c r="B6092" i="55"/>
  <c r="B6091" i="55"/>
  <c r="B6090" i="55"/>
  <c r="B6089" i="55"/>
  <c r="B6088" i="55"/>
  <c r="B6087" i="55"/>
  <c r="B6086" i="55"/>
  <c r="B6085" i="55"/>
  <c r="B6084" i="55"/>
  <c r="B6083" i="55"/>
  <c r="B6082" i="55"/>
  <c r="B6081" i="55"/>
  <c r="B6080" i="55"/>
  <c r="B6079" i="55"/>
  <c r="B6078" i="55"/>
  <c r="B6077" i="55"/>
  <c r="B6076" i="55"/>
  <c r="B6075" i="55"/>
  <c r="B6074" i="55"/>
  <c r="B6073" i="55"/>
  <c r="B6072" i="55"/>
  <c r="B6071" i="55"/>
  <c r="B6070" i="55"/>
  <c r="B6069" i="55"/>
  <c r="B6068" i="55"/>
  <c r="B6067" i="55"/>
  <c r="B6066" i="55"/>
  <c r="B6065" i="55"/>
  <c r="B6064" i="55"/>
  <c r="B6063" i="55"/>
  <c r="B6062" i="55"/>
  <c r="B6061" i="55"/>
  <c r="B6060" i="55"/>
  <c r="B6059" i="55"/>
  <c r="B6058" i="55"/>
  <c r="B6057" i="55"/>
  <c r="B6056" i="55"/>
  <c r="B6055" i="55"/>
  <c r="B6054" i="55"/>
  <c r="B6053" i="55"/>
  <c r="B6052" i="55"/>
  <c r="B6051" i="55"/>
  <c r="B6050" i="55"/>
  <c r="B6049" i="55"/>
  <c r="B6048" i="55"/>
  <c r="B6047" i="55"/>
  <c r="B6046" i="55"/>
  <c r="B6045" i="55"/>
  <c r="B6044" i="55"/>
  <c r="B6043" i="55"/>
  <c r="B6042" i="55"/>
  <c r="B6041" i="55"/>
  <c r="B6040" i="55"/>
  <c r="B6039" i="55"/>
  <c r="B6038" i="55"/>
  <c r="B6037" i="55"/>
  <c r="B6036" i="55"/>
  <c r="B6035" i="55"/>
  <c r="B6033" i="55"/>
  <c r="B6032" i="55"/>
  <c r="B6031" i="55"/>
  <c r="B6030" i="55"/>
  <c r="B6029" i="55"/>
  <c r="B6028" i="55"/>
  <c r="B6027" i="55"/>
  <c r="B6026" i="55"/>
  <c r="B6025" i="55"/>
  <c r="B6024" i="55"/>
  <c r="B6023" i="55"/>
  <c r="B6022" i="55"/>
  <c r="B6021" i="55"/>
  <c r="B6020" i="55"/>
  <c r="B6019" i="55"/>
  <c r="B6018" i="55"/>
  <c r="B6017" i="55"/>
  <c r="B6016" i="55"/>
  <c r="B6015" i="55"/>
  <c r="B6014" i="55"/>
  <c r="B6013" i="55"/>
  <c r="B6012" i="55"/>
  <c r="B6011" i="55"/>
  <c r="B6010" i="55"/>
  <c r="B6009" i="55"/>
  <c r="B6008" i="55"/>
  <c r="B6007" i="55"/>
  <c r="B6006" i="55"/>
  <c r="B6005" i="55"/>
  <c r="B6004" i="55"/>
  <c r="B6003" i="55"/>
  <c r="B6002" i="55"/>
  <c r="B6001" i="55"/>
  <c r="B6000" i="55"/>
  <c r="B5999" i="55"/>
  <c r="B5998" i="55"/>
  <c r="B5997" i="55"/>
  <c r="B5996" i="55"/>
  <c r="B5995" i="55"/>
  <c r="B5994" i="55"/>
  <c r="B5993" i="55"/>
  <c r="B5992" i="55"/>
  <c r="B5991" i="55"/>
  <c r="B5990" i="55"/>
  <c r="B5989" i="55"/>
  <c r="B5988" i="55"/>
  <c r="B5987" i="55"/>
  <c r="B5986" i="55"/>
  <c r="B5985" i="55"/>
  <c r="B5984" i="55"/>
  <c r="B5983" i="55"/>
  <c r="B5982" i="55"/>
  <c r="B5981" i="55"/>
  <c r="B5980" i="55"/>
  <c r="B5979" i="55"/>
  <c r="B5978" i="55"/>
  <c r="B5977" i="55"/>
  <c r="B5976" i="55"/>
  <c r="B5975" i="55"/>
  <c r="B5974" i="55"/>
  <c r="B5972" i="55"/>
  <c r="B5971" i="55"/>
  <c r="B5970" i="55"/>
  <c r="B5969" i="55"/>
  <c r="B5968" i="55"/>
  <c r="B5967" i="55"/>
  <c r="B5966" i="55"/>
  <c r="B5965" i="55"/>
  <c r="B5964" i="55"/>
  <c r="B5963" i="55"/>
  <c r="B5962" i="55"/>
  <c r="B5961" i="55"/>
  <c r="B5960" i="55"/>
  <c r="B5959" i="55"/>
  <c r="B5958" i="55"/>
  <c r="B5957" i="55"/>
  <c r="B5956" i="55"/>
  <c r="B5955" i="55"/>
  <c r="B5954" i="55"/>
  <c r="B5953" i="55"/>
  <c r="B5952" i="55"/>
  <c r="B5951" i="55"/>
  <c r="B5950" i="55"/>
  <c r="B5949" i="55"/>
  <c r="B5948" i="55"/>
  <c r="B5947" i="55"/>
  <c r="B5946" i="55"/>
  <c r="B5945" i="55"/>
  <c r="B5944" i="55"/>
  <c r="B5943" i="55"/>
  <c r="B5942" i="55"/>
  <c r="B5941" i="55"/>
  <c r="B5940" i="55"/>
  <c r="B5939" i="55"/>
  <c r="B5938" i="55"/>
  <c r="B5937" i="55"/>
  <c r="B5936" i="55"/>
  <c r="B5935" i="55"/>
  <c r="B5934" i="55"/>
  <c r="B5933" i="55"/>
  <c r="B5932" i="55"/>
  <c r="B5931" i="55"/>
  <c r="B5930" i="55"/>
  <c r="B5929" i="55"/>
  <c r="B5928" i="55"/>
  <c r="B5927" i="55"/>
  <c r="B5926" i="55"/>
  <c r="B5925" i="55"/>
  <c r="B5924" i="55"/>
  <c r="B5923" i="55"/>
  <c r="B5922" i="55"/>
  <c r="B5921" i="55"/>
  <c r="B5920" i="55"/>
  <c r="B5919" i="55"/>
  <c r="B5918" i="55"/>
  <c r="B5917" i="55"/>
  <c r="B5916" i="55"/>
  <c r="B5915" i="55"/>
  <c r="B5914" i="55"/>
  <c r="B5913" i="55"/>
  <c r="B5911" i="55"/>
  <c r="B5910" i="55"/>
  <c r="B5909" i="55"/>
  <c r="B5908" i="55"/>
  <c r="B5907" i="55"/>
  <c r="B5906" i="55"/>
  <c r="B5905" i="55"/>
  <c r="B5904" i="55"/>
  <c r="B5903" i="55"/>
  <c r="B5902" i="55"/>
  <c r="B5901" i="55"/>
  <c r="B5900" i="55"/>
  <c r="B5899" i="55"/>
  <c r="B5898" i="55"/>
  <c r="B5897" i="55"/>
  <c r="B5896" i="55"/>
  <c r="B5895" i="55"/>
  <c r="B5894" i="55"/>
  <c r="B5893" i="55"/>
  <c r="B5892" i="55"/>
  <c r="B5891" i="55"/>
  <c r="B5890" i="55"/>
  <c r="B5889" i="55"/>
  <c r="B5888" i="55"/>
  <c r="B5887" i="55"/>
  <c r="B5886" i="55"/>
  <c r="B5885" i="55"/>
  <c r="B5884" i="55"/>
  <c r="B5883" i="55"/>
  <c r="B5882" i="55"/>
  <c r="B5881" i="55"/>
  <c r="B5880" i="55"/>
  <c r="B5879" i="55"/>
  <c r="B5878" i="55"/>
  <c r="B5877" i="55"/>
  <c r="B5876" i="55"/>
  <c r="B5875" i="55"/>
  <c r="B5874" i="55"/>
  <c r="B5873" i="55"/>
  <c r="B5872" i="55"/>
  <c r="B5871" i="55"/>
  <c r="B5870" i="55"/>
  <c r="B5869" i="55"/>
  <c r="B5868" i="55"/>
  <c r="B5867" i="55"/>
  <c r="B5866" i="55"/>
  <c r="B5865" i="55"/>
  <c r="B5864" i="55"/>
  <c r="B5863" i="55"/>
  <c r="B5862" i="55"/>
  <c r="B5861" i="55"/>
  <c r="B5860" i="55"/>
  <c r="B5859" i="55"/>
  <c r="B5858" i="55"/>
  <c r="B5857" i="55"/>
  <c r="B5856" i="55"/>
  <c r="B5855" i="55"/>
  <c r="B5854" i="55"/>
  <c r="B5853" i="55"/>
  <c r="B5852" i="55"/>
  <c r="B5850" i="55"/>
  <c r="B5849" i="55"/>
  <c r="B5848" i="55"/>
  <c r="B5847" i="55"/>
  <c r="B5846" i="55"/>
  <c r="B5845" i="55"/>
  <c r="B5844" i="55"/>
  <c r="B5843" i="55"/>
  <c r="B5842" i="55"/>
  <c r="B5841" i="55"/>
  <c r="B5840" i="55"/>
  <c r="B5839" i="55"/>
  <c r="B5838" i="55"/>
  <c r="B5837" i="55"/>
  <c r="B5836" i="55"/>
  <c r="B5835" i="55"/>
  <c r="B5834" i="55"/>
  <c r="B5833" i="55"/>
  <c r="B5832" i="55"/>
  <c r="B5831" i="55"/>
  <c r="B5830" i="55"/>
  <c r="B5829" i="55"/>
  <c r="B5828" i="55"/>
  <c r="B5827" i="55"/>
  <c r="B5826" i="55"/>
  <c r="B5825" i="55"/>
  <c r="B5824" i="55"/>
  <c r="B5823" i="55"/>
  <c r="B5822" i="55"/>
  <c r="B5821" i="55"/>
  <c r="B5820" i="55"/>
  <c r="B5819" i="55"/>
  <c r="B5818" i="55"/>
  <c r="B5817" i="55"/>
  <c r="B5816" i="55"/>
  <c r="B5815" i="55"/>
  <c r="B5814" i="55"/>
  <c r="B5813" i="55"/>
  <c r="B5812" i="55"/>
  <c r="B5811" i="55"/>
  <c r="B5810" i="55"/>
  <c r="B5809" i="55"/>
  <c r="B5808" i="55"/>
  <c r="B5807" i="55"/>
  <c r="B5806" i="55"/>
  <c r="B5805" i="55"/>
  <c r="B5804" i="55"/>
  <c r="B5803" i="55"/>
  <c r="B5802" i="55"/>
  <c r="B5801" i="55"/>
  <c r="B5800" i="55"/>
  <c r="B5799" i="55"/>
  <c r="B5798" i="55"/>
  <c r="B5797" i="55"/>
  <c r="B5796" i="55"/>
  <c r="B5795" i="55"/>
  <c r="B5794" i="55"/>
  <c r="B5793" i="55"/>
  <c r="B5792" i="55"/>
  <c r="B5791" i="55"/>
  <c r="B5789" i="55"/>
  <c r="B5788" i="55"/>
  <c r="B5787" i="55"/>
  <c r="B5786" i="55"/>
  <c r="B5785" i="55"/>
  <c r="B5784" i="55"/>
  <c r="B5783" i="55"/>
  <c r="B5782" i="55"/>
  <c r="B5781" i="55"/>
  <c r="B5780" i="55"/>
  <c r="B5779" i="55"/>
  <c r="B5778" i="55"/>
  <c r="B5777" i="55"/>
  <c r="B5776" i="55"/>
  <c r="B5775" i="55"/>
  <c r="B5774" i="55"/>
  <c r="B5773" i="55"/>
  <c r="B5772" i="55"/>
  <c r="B5771" i="55"/>
  <c r="B5770" i="55"/>
  <c r="B5769" i="55"/>
  <c r="B5768" i="55"/>
  <c r="B5767" i="55"/>
  <c r="B5766" i="55"/>
  <c r="B5765" i="55"/>
  <c r="B5764" i="55"/>
  <c r="B5763" i="55"/>
  <c r="B5762" i="55"/>
  <c r="B5761" i="55"/>
  <c r="B5760" i="55"/>
  <c r="B5759" i="55"/>
  <c r="B5758" i="55"/>
  <c r="B5757" i="55"/>
  <c r="B5756" i="55"/>
  <c r="B5755" i="55"/>
  <c r="B5754" i="55"/>
  <c r="B5753" i="55"/>
  <c r="B5752" i="55"/>
  <c r="B5751" i="55"/>
  <c r="B5750" i="55"/>
  <c r="B5749" i="55"/>
  <c r="B5748" i="55"/>
  <c r="B5747" i="55"/>
  <c r="B5746" i="55"/>
  <c r="B5745" i="55"/>
  <c r="B5744" i="55"/>
  <c r="B5743" i="55"/>
  <c r="B5742" i="55"/>
  <c r="B5741" i="55"/>
  <c r="B5740" i="55"/>
  <c r="B5739" i="55"/>
  <c r="B5738" i="55"/>
  <c r="B5737" i="55"/>
  <c r="B5736" i="55"/>
  <c r="B5735" i="55"/>
  <c r="B5734" i="55"/>
  <c r="B5733" i="55"/>
  <c r="B5732" i="55"/>
  <c r="B5731" i="55"/>
  <c r="B5730" i="55"/>
  <c r="B5728" i="55"/>
  <c r="B5727" i="55"/>
  <c r="B5726" i="55"/>
  <c r="B5725" i="55"/>
  <c r="B5724" i="55"/>
  <c r="B5723" i="55"/>
  <c r="B5722" i="55"/>
  <c r="B5721" i="55"/>
  <c r="B5720" i="55"/>
  <c r="B5719" i="55"/>
  <c r="B5718" i="55"/>
  <c r="B5717" i="55"/>
  <c r="B5716" i="55"/>
  <c r="B5715" i="55"/>
  <c r="B5714" i="55"/>
  <c r="B5713" i="55"/>
  <c r="B5712" i="55"/>
  <c r="B5711" i="55"/>
  <c r="B5710" i="55"/>
  <c r="B5709" i="55"/>
  <c r="B5708" i="55"/>
  <c r="B5707" i="55"/>
  <c r="B5706" i="55"/>
  <c r="B5705" i="55"/>
  <c r="B5704" i="55"/>
  <c r="B5703" i="55"/>
  <c r="B5702" i="55"/>
  <c r="B5701" i="55"/>
  <c r="B5700" i="55"/>
  <c r="B5699" i="55"/>
  <c r="B5698" i="55"/>
  <c r="B5697" i="55"/>
  <c r="B5696" i="55"/>
  <c r="B5695" i="55"/>
  <c r="B5694" i="55"/>
  <c r="B5693" i="55"/>
  <c r="B5692" i="55"/>
  <c r="B5691" i="55"/>
  <c r="B5690" i="55"/>
  <c r="B5689" i="55"/>
  <c r="B5688" i="55"/>
  <c r="B5687" i="55"/>
  <c r="B5686" i="55"/>
  <c r="B5685" i="55"/>
  <c r="B5684" i="55"/>
  <c r="B5683" i="55"/>
  <c r="B5682" i="55"/>
  <c r="B5681" i="55"/>
  <c r="B5680" i="55"/>
  <c r="B5679" i="55"/>
  <c r="B5678" i="55"/>
  <c r="B5677" i="55"/>
  <c r="B5676" i="55"/>
  <c r="B5675" i="55"/>
  <c r="B5674" i="55"/>
  <c r="B5673" i="55"/>
  <c r="B5672" i="55"/>
  <c r="B5671" i="55"/>
  <c r="B5670" i="55"/>
  <c r="B5669" i="55"/>
  <c r="B5667" i="55"/>
  <c r="B5666" i="55"/>
  <c r="B5665" i="55"/>
  <c r="B5664" i="55"/>
  <c r="B5663" i="55"/>
  <c r="B5662" i="55"/>
  <c r="B5661" i="55"/>
  <c r="B5660" i="55"/>
  <c r="B5659" i="55"/>
  <c r="B5658" i="55"/>
  <c r="B5657" i="55"/>
  <c r="B5656" i="55"/>
  <c r="B5655" i="55"/>
  <c r="B5654" i="55"/>
  <c r="B5653" i="55"/>
  <c r="B5652" i="55"/>
  <c r="B5651" i="55"/>
  <c r="B5650" i="55"/>
  <c r="B5649" i="55"/>
  <c r="B5648" i="55"/>
  <c r="B5647" i="55"/>
  <c r="B5646" i="55"/>
  <c r="B5645" i="55"/>
  <c r="B5644" i="55"/>
  <c r="B5643" i="55"/>
  <c r="B5642" i="55"/>
  <c r="B5641" i="55"/>
  <c r="B5640" i="55"/>
  <c r="B5639" i="55"/>
  <c r="B5638" i="55"/>
  <c r="B5637" i="55"/>
  <c r="B5636" i="55"/>
  <c r="B5635" i="55"/>
  <c r="B5634" i="55"/>
  <c r="B5633" i="55"/>
  <c r="B5632" i="55"/>
  <c r="B5631" i="55"/>
  <c r="B5630" i="55"/>
  <c r="B5629" i="55"/>
  <c r="B5628" i="55"/>
  <c r="B5627" i="55"/>
  <c r="B5626" i="55"/>
  <c r="B5625" i="55"/>
  <c r="B5624" i="55"/>
  <c r="B5623" i="55"/>
  <c r="B5622" i="55"/>
  <c r="B5621" i="55"/>
  <c r="B5620" i="55"/>
  <c r="B5619" i="55"/>
  <c r="B5618" i="55"/>
  <c r="B5617" i="55"/>
  <c r="B5616" i="55"/>
  <c r="B5615" i="55"/>
  <c r="B5614" i="55"/>
  <c r="B5613" i="55"/>
  <c r="B5612" i="55"/>
  <c r="B5611" i="55"/>
  <c r="B5610" i="55"/>
  <c r="B5609" i="55"/>
  <c r="B5608" i="55"/>
  <c r="B5606" i="55"/>
  <c r="B5605" i="55"/>
  <c r="B5604" i="55"/>
  <c r="B5603" i="55"/>
  <c r="B5602" i="55"/>
  <c r="B5601" i="55"/>
  <c r="B5600" i="55"/>
  <c r="B5599" i="55"/>
  <c r="B5598" i="55"/>
  <c r="B5597" i="55"/>
  <c r="B5596" i="55"/>
  <c r="B5595" i="55"/>
  <c r="B5594" i="55"/>
  <c r="B5593" i="55"/>
  <c r="B5592" i="55"/>
  <c r="B5591" i="55"/>
  <c r="B5590" i="55"/>
  <c r="B5589" i="55"/>
  <c r="B5588" i="55"/>
  <c r="B5587" i="55"/>
  <c r="B5586" i="55"/>
  <c r="B5585" i="55"/>
  <c r="B5584" i="55"/>
  <c r="B5583" i="55"/>
  <c r="B5582" i="55"/>
  <c r="B5581" i="55"/>
  <c r="B5580" i="55"/>
  <c r="B5579" i="55"/>
  <c r="B5578" i="55"/>
  <c r="B5577" i="55"/>
  <c r="B5576" i="55"/>
  <c r="B5575" i="55"/>
  <c r="B5574" i="55"/>
  <c r="B5573" i="55"/>
  <c r="B5572" i="55"/>
  <c r="B5571" i="55"/>
  <c r="B5570" i="55"/>
  <c r="B5569" i="55"/>
  <c r="B5568" i="55"/>
  <c r="B5567" i="55"/>
  <c r="B5566" i="55"/>
  <c r="B5565" i="55"/>
  <c r="B5564" i="55"/>
  <c r="B5563" i="55"/>
  <c r="B5562" i="55"/>
  <c r="B5561" i="55"/>
  <c r="B5560" i="55"/>
  <c r="B5559" i="55"/>
  <c r="B5558" i="55"/>
  <c r="B5557" i="55"/>
  <c r="B5556" i="55"/>
  <c r="B5555" i="55"/>
  <c r="B5554" i="55"/>
  <c r="B5553" i="55"/>
  <c r="B5552" i="55"/>
  <c r="B5551" i="55"/>
  <c r="B5550" i="55"/>
  <c r="B5549" i="55"/>
  <c r="B5548" i="55"/>
  <c r="B5547" i="55"/>
  <c r="B5545" i="55"/>
  <c r="B5544" i="55"/>
  <c r="B5543" i="55"/>
  <c r="B5542" i="55"/>
  <c r="B5541" i="55"/>
  <c r="B5540" i="55"/>
  <c r="B5539" i="55"/>
  <c r="B5538" i="55"/>
  <c r="B5537" i="55"/>
  <c r="B5536" i="55"/>
  <c r="B5535" i="55"/>
  <c r="B5534" i="55"/>
  <c r="B5533" i="55"/>
  <c r="B5532" i="55"/>
  <c r="B5531" i="55"/>
  <c r="B5530" i="55"/>
  <c r="B5529" i="55"/>
  <c r="B5528" i="55"/>
  <c r="B5527" i="55"/>
  <c r="B5526" i="55"/>
  <c r="B5525" i="55"/>
  <c r="B5524" i="55"/>
  <c r="B5523" i="55"/>
  <c r="B5522" i="55"/>
  <c r="B5521" i="55"/>
  <c r="B5520" i="55"/>
  <c r="B5519" i="55"/>
  <c r="B5518" i="55"/>
  <c r="B5517" i="55"/>
  <c r="B5516" i="55"/>
  <c r="B5515" i="55"/>
  <c r="B5514" i="55"/>
  <c r="B5513" i="55"/>
  <c r="B5512" i="55"/>
  <c r="B5511" i="55"/>
  <c r="B5510" i="55"/>
  <c r="B5509" i="55"/>
  <c r="B5508" i="55"/>
  <c r="B5507" i="55"/>
  <c r="B5506" i="55"/>
  <c r="B5505" i="55"/>
  <c r="B5504" i="55"/>
  <c r="B5503" i="55"/>
  <c r="B5502" i="55"/>
  <c r="B5501" i="55"/>
  <c r="B5500" i="55"/>
  <c r="B5499" i="55"/>
  <c r="B5498" i="55"/>
  <c r="B5497" i="55"/>
  <c r="B5496" i="55"/>
  <c r="B5495" i="55"/>
  <c r="B5494" i="55"/>
  <c r="B5493" i="55"/>
  <c r="B5492" i="55"/>
  <c r="B5491" i="55"/>
  <c r="B5490" i="55"/>
  <c r="B5489" i="55"/>
  <c r="B5488" i="55"/>
  <c r="B5487" i="55"/>
  <c r="B5486" i="55"/>
  <c r="B5484" i="55"/>
  <c r="B5483" i="55"/>
  <c r="B5482" i="55"/>
  <c r="B5481" i="55"/>
  <c r="B5480" i="55"/>
  <c r="B5479" i="55"/>
  <c r="B5478" i="55"/>
  <c r="B5477" i="55"/>
  <c r="B5476" i="55"/>
  <c r="B5475" i="55"/>
  <c r="B5474" i="55"/>
  <c r="B5473" i="55"/>
  <c r="B5472" i="55"/>
  <c r="B5471" i="55"/>
  <c r="B5470" i="55"/>
  <c r="B5469" i="55"/>
  <c r="B5468" i="55"/>
  <c r="B5467" i="55"/>
  <c r="B5466" i="55"/>
  <c r="B5465" i="55"/>
  <c r="B5464" i="55"/>
  <c r="B5463" i="55"/>
  <c r="B5462" i="55"/>
  <c r="B5461" i="55"/>
  <c r="B5460" i="55"/>
  <c r="B5459" i="55"/>
  <c r="B5458" i="55"/>
  <c r="B5457" i="55"/>
  <c r="B5456" i="55"/>
  <c r="B5455" i="55"/>
  <c r="B5454" i="55"/>
  <c r="B5453" i="55"/>
  <c r="B5452" i="55"/>
  <c r="B5451" i="55"/>
  <c r="B5450" i="55"/>
  <c r="B5449" i="55"/>
  <c r="B5448" i="55"/>
  <c r="B5447" i="55"/>
  <c r="B5446" i="55"/>
  <c r="B5445" i="55"/>
  <c r="B5444" i="55"/>
  <c r="B5443" i="55"/>
  <c r="B5442" i="55"/>
  <c r="B5441" i="55"/>
  <c r="B5440" i="55"/>
  <c r="B5439" i="55"/>
  <c r="B5438" i="55"/>
  <c r="B5437" i="55"/>
  <c r="B5436" i="55"/>
  <c r="B5435" i="55"/>
  <c r="B5434" i="55"/>
  <c r="B5433" i="55"/>
  <c r="B5432" i="55"/>
  <c r="B5431" i="55"/>
  <c r="B5430" i="55"/>
  <c r="B5429" i="55"/>
  <c r="B5428" i="55"/>
  <c r="B5427" i="55"/>
  <c r="B5426" i="55"/>
  <c r="B5425" i="55"/>
  <c r="B5423" i="55"/>
  <c r="B5422" i="55"/>
  <c r="B5421" i="55"/>
  <c r="B5420" i="55"/>
  <c r="B5419" i="55"/>
  <c r="B5418" i="55"/>
  <c r="B5417" i="55"/>
  <c r="B5416" i="55"/>
  <c r="B5415" i="55"/>
  <c r="B5414" i="55"/>
  <c r="B5413" i="55"/>
  <c r="B5412" i="55"/>
  <c r="B5411" i="55"/>
  <c r="B5410" i="55"/>
  <c r="B5409" i="55"/>
  <c r="B5408" i="55"/>
  <c r="B5407" i="55"/>
  <c r="B5406" i="55"/>
  <c r="B5405" i="55"/>
  <c r="B5404" i="55"/>
  <c r="B5403" i="55"/>
  <c r="B5402" i="55"/>
  <c r="B5401" i="55"/>
  <c r="B5400" i="55"/>
  <c r="B5399" i="55"/>
  <c r="B5398" i="55"/>
  <c r="B5397" i="55"/>
  <c r="B5396" i="55"/>
  <c r="B5395" i="55"/>
  <c r="B5394" i="55"/>
  <c r="B5393" i="55"/>
  <c r="B5392" i="55"/>
  <c r="B5391" i="55"/>
  <c r="B5390" i="55"/>
  <c r="B5389" i="55"/>
  <c r="B5388" i="55"/>
  <c r="B5387" i="55"/>
  <c r="B5386" i="55"/>
  <c r="B5385" i="55"/>
  <c r="B5384" i="55"/>
  <c r="B5383" i="55"/>
  <c r="B5382" i="55"/>
  <c r="B5381" i="55"/>
  <c r="B5380" i="55"/>
  <c r="B5379" i="55"/>
  <c r="B5378" i="55"/>
  <c r="B5377" i="55"/>
  <c r="B5376" i="55"/>
  <c r="B5375" i="55"/>
  <c r="B5374" i="55"/>
  <c r="B5373" i="55"/>
  <c r="B5372" i="55"/>
  <c r="B5371" i="55"/>
  <c r="B5370" i="55"/>
  <c r="B5369" i="55"/>
  <c r="B5368" i="55"/>
  <c r="B5367" i="55"/>
  <c r="B5366" i="55"/>
  <c r="B5365" i="55"/>
  <c r="B5364" i="55"/>
  <c r="B5362" i="55"/>
  <c r="B5361" i="55"/>
  <c r="B5360" i="55"/>
  <c r="B5359" i="55"/>
  <c r="B5358" i="55"/>
  <c r="B5357" i="55"/>
  <c r="B5356" i="55"/>
  <c r="B5355" i="55"/>
  <c r="B5354" i="55"/>
  <c r="B5353" i="55"/>
  <c r="B5352" i="55"/>
  <c r="B5351" i="55"/>
  <c r="B5350" i="55"/>
  <c r="B5349" i="55"/>
  <c r="B5348" i="55"/>
  <c r="B5347" i="55"/>
  <c r="B5346" i="55"/>
  <c r="B5345" i="55"/>
  <c r="B5344" i="55"/>
  <c r="B5343" i="55"/>
  <c r="B5342" i="55"/>
  <c r="B5341" i="55"/>
  <c r="B5340" i="55"/>
  <c r="B5339" i="55"/>
  <c r="B5338" i="55"/>
  <c r="B5337" i="55"/>
  <c r="B5336" i="55"/>
  <c r="B5335" i="55"/>
  <c r="B5334" i="55"/>
  <c r="B5333" i="55"/>
  <c r="B5332" i="55"/>
  <c r="B5331" i="55"/>
  <c r="B5330" i="55"/>
  <c r="B5329" i="55"/>
  <c r="B5328" i="55"/>
  <c r="B5327" i="55"/>
  <c r="B5326" i="55"/>
  <c r="B5325" i="55"/>
  <c r="B5324" i="55"/>
  <c r="B5323" i="55"/>
  <c r="B5322" i="55"/>
  <c r="B5321" i="55"/>
  <c r="B5320" i="55"/>
  <c r="B5319" i="55"/>
  <c r="B5318" i="55"/>
  <c r="B5317" i="55"/>
  <c r="B5316" i="55"/>
  <c r="B5315" i="55"/>
  <c r="B5314" i="55"/>
  <c r="B5313" i="55"/>
  <c r="B5312" i="55"/>
  <c r="B5311" i="55"/>
  <c r="B5310" i="55"/>
  <c r="B5309" i="55"/>
  <c r="B5308" i="55"/>
  <c r="B5307" i="55"/>
  <c r="B5306" i="55"/>
  <c r="B5305" i="55"/>
  <c r="B5304" i="55"/>
  <c r="B5303" i="55"/>
  <c r="B5301" i="55"/>
  <c r="B5300" i="55"/>
  <c r="B5299" i="55"/>
  <c r="B5298" i="55"/>
  <c r="B5297" i="55"/>
  <c r="B5296" i="55"/>
  <c r="B5295" i="55"/>
  <c r="B5294" i="55"/>
  <c r="B5293" i="55"/>
  <c r="B5292" i="55"/>
  <c r="B5291" i="55"/>
  <c r="B5290" i="55"/>
  <c r="B5289" i="55"/>
  <c r="B5288" i="55"/>
  <c r="B5287" i="55"/>
  <c r="B5286" i="55"/>
  <c r="B5285" i="55"/>
  <c r="B5284" i="55"/>
  <c r="B5283" i="55"/>
  <c r="B5282" i="55"/>
  <c r="B5281" i="55"/>
  <c r="B5280" i="55"/>
  <c r="B5279" i="55"/>
  <c r="B5278" i="55"/>
  <c r="B5277" i="55"/>
  <c r="B5276" i="55"/>
  <c r="B5275" i="55"/>
  <c r="B5274" i="55"/>
  <c r="B5273" i="55"/>
  <c r="B5272" i="55"/>
  <c r="B5271" i="55"/>
  <c r="B5270" i="55"/>
  <c r="B5269" i="55"/>
  <c r="B5268" i="55"/>
  <c r="B5267" i="55"/>
  <c r="B5266" i="55"/>
  <c r="B5265" i="55"/>
  <c r="B5264" i="55"/>
  <c r="B5263" i="55"/>
  <c r="B5262" i="55"/>
  <c r="B5261" i="55"/>
  <c r="B5260" i="55"/>
  <c r="B5259" i="55"/>
  <c r="B5258" i="55"/>
  <c r="B5257" i="55"/>
  <c r="B5256" i="55"/>
  <c r="B5255" i="55"/>
  <c r="B5254" i="55"/>
  <c r="B5253" i="55"/>
  <c r="B5252" i="55"/>
  <c r="B5251" i="55"/>
  <c r="B5250" i="55"/>
  <c r="B5249" i="55"/>
  <c r="B5248" i="55"/>
  <c r="B5247" i="55"/>
  <c r="B5246" i="55"/>
  <c r="B5245" i="55"/>
  <c r="B5244" i="55"/>
  <c r="B5243" i="55"/>
  <c r="B5242" i="55"/>
  <c r="B5240" i="55"/>
  <c r="B5239" i="55"/>
  <c r="B5238" i="55"/>
  <c r="B5237" i="55"/>
  <c r="B5236" i="55"/>
  <c r="B5235" i="55"/>
  <c r="B5234" i="55"/>
  <c r="B5233" i="55"/>
  <c r="B5232" i="55"/>
  <c r="B5231" i="55"/>
  <c r="B5230" i="55"/>
  <c r="B5229" i="55"/>
  <c r="B5228" i="55"/>
  <c r="B5227" i="55"/>
  <c r="B5226" i="55"/>
  <c r="B5225" i="55"/>
  <c r="B5224" i="55"/>
  <c r="B5223" i="55"/>
  <c r="B5222" i="55"/>
  <c r="B5221" i="55"/>
  <c r="B5220" i="55"/>
  <c r="B5219" i="55"/>
  <c r="B5218" i="55"/>
  <c r="B5217" i="55"/>
  <c r="B5216" i="55"/>
  <c r="B5215" i="55"/>
  <c r="B5214" i="55"/>
  <c r="B5213" i="55"/>
  <c r="B5212" i="55"/>
  <c r="B5211" i="55"/>
  <c r="B5210" i="55"/>
  <c r="B5209" i="55"/>
  <c r="B5208" i="55"/>
  <c r="B5207" i="55"/>
  <c r="B5206" i="55"/>
  <c r="B5205" i="55"/>
  <c r="B5204" i="55"/>
  <c r="B5203" i="55"/>
  <c r="B5202" i="55"/>
  <c r="B5201" i="55"/>
  <c r="B5200" i="55"/>
  <c r="B5199" i="55"/>
  <c r="B5198" i="55"/>
  <c r="B5197" i="55"/>
  <c r="B5196" i="55"/>
  <c r="B5195" i="55"/>
  <c r="B5194" i="55"/>
  <c r="B5193" i="55"/>
  <c r="B5192" i="55"/>
  <c r="B5191" i="55"/>
  <c r="B5190" i="55"/>
  <c r="B5189" i="55"/>
  <c r="B5188" i="55"/>
  <c r="B5187" i="55"/>
  <c r="B5186" i="55"/>
  <c r="B5185" i="55"/>
  <c r="B5184" i="55"/>
  <c r="B5183" i="55"/>
  <c r="B5182" i="55"/>
  <c r="B5181" i="55"/>
  <c r="B5179" i="55"/>
  <c r="B5178" i="55"/>
  <c r="B5177" i="55"/>
  <c r="B5176" i="55"/>
  <c r="B5175" i="55"/>
  <c r="B5174" i="55"/>
  <c r="B5173" i="55"/>
  <c r="B5172" i="55"/>
  <c r="B5171" i="55"/>
  <c r="B5170" i="55"/>
  <c r="B5169" i="55"/>
  <c r="B5168" i="55"/>
  <c r="B5167" i="55"/>
  <c r="B5166" i="55"/>
  <c r="B5165" i="55"/>
  <c r="B5164" i="55"/>
  <c r="B5163" i="55"/>
  <c r="B5162" i="55"/>
  <c r="B5161" i="55"/>
  <c r="B5160" i="55"/>
  <c r="B5159" i="55"/>
  <c r="B5158" i="55"/>
  <c r="B5157" i="55"/>
  <c r="B5156" i="55"/>
  <c r="B5155" i="55"/>
  <c r="B5154" i="55"/>
  <c r="B5153" i="55"/>
  <c r="B5152" i="55"/>
  <c r="B5151" i="55"/>
  <c r="B5150" i="55"/>
  <c r="B5149" i="55"/>
  <c r="B5148" i="55"/>
  <c r="B5147" i="55"/>
  <c r="B5146" i="55"/>
  <c r="B5145" i="55"/>
  <c r="B5144" i="55"/>
  <c r="B5143" i="55"/>
  <c r="B5142" i="55"/>
  <c r="B5141" i="55"/>
  <c r="B5140" i="55"/>
  <c r="B5139" i="55"/>
  <c r="B5138" i="55"/>
  <c r="B5137" i="55"/>
  <c r="B5136" i="55"/>
  <c r="B5135" i="55"/>
  <c r="B5134" i="55"/>
  <c r="B5133" i="55"/>
  <c r="B5132" i="55"/>
  <c r="B5131" i="55"/>
  <c r="B5130" i="55"/>
  <c r="B5129" i="55"/>
  <c r="B5128" i="55"/>
  <c r="B5127" i="55"/>
  <c r="B5126" i="55"/>
  <c r="B5125" i="55"/>
  <c r="B5124" i="55"/>
  <c r="B5123" i="55"/>
  <c r="B5122" i="55"/>
  <c r="B5121" i="55"/>
  <c r="B5120" i="55"/>
  <c r="B5118" i="55"/>
  <c r="B5117" i="55"/>
  <c r="B5116" i="55"/>
  <c r="B5115" i="55"/>
  <c r="B5114" i="55"/>
  <c r="B5113" i="55"/>
  <c r="B5112" i="55"/>
  <c r="B5111" i="55"/>
  <c r="B5110" i="55"/>
  <c r="B5109" i="55"/>
  <c r="B5108" i="55"/>
  <c r="B5107" i="55"/>
  <c r="B5106" i="55"/>
  <c r="B5105" i="55"/>
  <c r="B5104" i="55"/>
  <c r="B5103" i="55"/>
  <c r="B5102" i="55"/>
  <c r="B5101" i="55"/>
  <c r="B5100" i="55"/>
  <c r="B5099" i="55"/>
  <c r="B5098" i="55"/>
  <c r="B5097" i="55"/>
  <c r="B5096" i="55"/>
  <c r="B5095" i="55"/>
  <c r="B5094" i="55"/>
  <c r="B5093" i="55"/>
  <c r="B5092" i="55"/>
  <c r="B5091" i="55"/>
  <c r="B5090" i="55"/>
  <c r="B5089" i="55"/>
  <c r="B5088" i="55"/>
  <c r="B5087" i="55"/>
  <c r="B5086" i="55"/>
  <c r="B5085" i="55"/>
  <c r="B5084" i="55"/>
  <c r="B5083" i="55"/>
  <c r="B5082" i="55"/>
  <c r="B5081" i="55"/>
  <c r="B5080" i="55"/>
  <c r="B5079" i="55"/>
  <c r="B5078" i="55"/>
  <c r="B5077" i="55"/>
  <c r="B5076" i="55"/>
  <c r="B5075" i="55"/>
  <c r="B5074" i="55"/>
  <c r="B5073" i="55"/>
  <c r="B5072" i="55"/>
  <c r="B5071" i="55"/>
  <c r="B5070" i="55"/>
  <c r="B5069" i="55"/>
  <c r="B5068" i="55"/>
  <c r="B5067" i="55"/>
  <c r="B5066" i="55"/>
  <c r="B5065" i="55"/>
  <c r="B5064" i="55"/>
  <c r="B5063" i="55"/>
  <c r="B5062" i="55"/>
  <c r="B5061" i="55"/>
  <c r="B5060" i="55"/>
  <c r="B5059" i="55"/>
  <c r="B5057" i="55"/>
  <c r="B5056" i="55"/>
  <c r="B5055" i="55"/>
  <c r="B5054" i="55"/>
  <c r="B5053" i="55"/>
  <c r="B5052" i="55"/>
  <c r="B5051" i="55"/>
  <c r="B5050" i="55"/>
  <c r="B5049" i="55"/>
  <c r="B5048" i="55"/>
  <c r="B5047" i="55"/>
  <c r="B5046" i="55"/>
  <c r="B5045" i="55"/>
  <c r="B5044" i="55"/>
  <c r="B5043" i="55"/>
  <c r="B5042" i="55"/>
  <c r="B5041" i="55"/>
  <c r="B5040" i="55"/>
  <c r="B5039" i="55"/>
  <c r="B5038" i="55"/>
  <c r="B5037" i="55"/>
  <c r="B5036" i="55"/>
  <c r="B5035" i="55"/>
  <c r="B5034" i="55"/>
  <c r="B5033" i="55"/>
  <c r="B5032" i="55"/>
  <c r="B5030" i="55"/>
  <c r="B5029" i="55"/>
  <c r="B5028" i="55"/>
  <c r="B5027" i="55"/>
  <c r="B5026" i="55"/>
  <c r="B5025" i="55"/>
  <c r="B5024" i="55"/>
  <c r="B5023" i="55"/>
  <c r="B5022" i="55"/>
  <c r="B5021" i="55"/>
  <c r="B5020" i="55"/>
  <c r="B5019" i="55"/>
  <c r="B5018" i="55"/>
  <c r="B5017" i="55"/>
  <c r="B5016" i="55"/>
  <c r="B5015" i="55"/>
  <c r="B5014" i="55"/>
  <c r="B5013" i="55"/>
  <c r="B5012" i="55"/>
  <c r="B5011" i="55"/>
  <c r="B5010" i="55"/>
  <c r="B5009" i="55"/>
  <c r="B5008" i="55"/>
  <c r="B5007" i="55"/>
  <c r="B5006" i="55"/>
  <c r="B5005" i="55"/>
  <c r="B5004" i="55"/>
  <c r="B5003" i="55"/>
  <c r="B5002" i="55"/>
  <c r="B5001" i="55"/>
  <c r="B5000" i="55"/>
  <c r="B4999" i="55"/>
  <c r="B4998" i="55"/>
  <c r="B4997" i="55"/>
  <c r="B4996" i="55"/>
  <c r="B4995" i="55"/>
  <c r="B4994" i="55"/>
  <c r="B4993" i="55"/>
  <c r="B4992" i="55"/>
  <c r="B4991" i="55"/>
  <c r="B4990" i="55"/>
  <c r="B4989" i="55"/>
  <c r="B4988" i="55"/>
  <c r="B4987" i="55"/>
  <c r="B4986" i="55"/>
  <c r="B4985" i="55"/>
  <c r="B4984" i="55"/>
  <c r="B4983" i="55"/>
  <c r="B4982" i="55"/>
  <c r="B4981" i="55"/>
  <c r="B4980" i="55"/>
  <c r="B4979" i="55"/>
  <c r="B4978" i="55"/>
  <c r="B4977" i="55"/>
  <c r="B4976" i="55"/>
  <c r="B4975" i="55"/>
  <c r="B4974" i="55"/>
  <c r="B4973" i="55"/>
  <c r="B4972" i="55"/>
  <c r="B4971" i="55"/>
  <c r="B4969" i="55"/>
  <c r="B4968" i="55"/>
  <c r="B4967" i="55"/>
  <c r="B4966" i="55"/>
  <c r="B4965" i="55"/>
  <c r="B4964" i="55"/>
  <c r="B4963" i="55"/>
  <c r="B4962" i="55"/>
  <c r="B4961" i="55"/>
  <c r="B4960" i="55"/>
  <c r="B4959" i="55"/>
  <c r="B4958" i="55"/>
  <c r="B4957" i="55"/>
  <c r="B4956" i="55"/>
  <c r="B4955" i="55"/>
  <c r="B4954" i="55"/>
  <c r="B4953" i="55"/>
  <c r="B4952" i="55"/>
  <c r="B4951" i="55"/>
  <c r="B4950" i="55"/>
  <c r="B4949" i="55"/>
  <c r="B4948" i="55"/>
  <c r="B4947" i="55"/>
  <c r="B4946" i="55"/>
  <c r="B4945" i="55"/>
  <c r="B4944" i="55"/>
  <c r="B4943" i="55"/>
  <c r="B4942" i="55"/>
  <c r="B4941" i="55"/>
  <c r="B4940" i="55"/>
  <c r="B4939" i="55"/>
  <c r="B4938" i="55"/>
  <c r="B4937" i="55"/>
  <c r="B4936" i="55"/>
  <c r="B4935" i="55"/>
  <c r="B4934" i="55"/>
  <c r="B4933" i="55"/>
  <c r="B4932" i="55"/>
  <c r="B4931" i="55"/>
  <c r="B4930" i="55"/>
  <c r="B4929" i="55"/>
  <c r="B4928" i="55"/>
  <c r="B4927" i="55"/>
  <c r="B4926" i="55"/>
  <c r="B4925" i="55"/>
  <c r="B4924" i="55"/>
  <c r="B4923" i="55"/>
  <c r="B4922" i="55"/>
  <c r="B4921" i="55"/>
  <c r="B4920" i="55"/>
  <c r="B4919" i="55"/>
  <c r="B4918" i="55"/>
  <c r="B4917" i="55"/>
  <c r="B4916" i="55"/>
  <c r="B4915" i="55"/>
  <c r="B4914" i="55"/>
  <c r="B4913" i="55"/>
  <c r="B4912" i="55"/>
  <c r="B4911" i="55"/>
  <c r="B4910" i="55"/>
  <c r="B4908" i="55"/>
  <c r="B4907" i="55"/>
  <c r="B4906" i="55"/>
  <c r="B4905" i="55"/>
  <c r="B4904" i="55"/>
  <c r="B4903" i="55"/>
  <c r="B4902" i="55"/>
  <c r="B4901" i="55"/>
  <c r="B4900" i="55"/>
  <c r="B4899" i="55"/>
  <c r="B4898" i="55"/>
  <c r="B4897" i="55"/>
  <c r="B4896" i="55"/>
  <c r="B4895" i="55"/>
  <c r="B4894" i="55"/>
  <c r="B4893" i="55"/>
  <c r="B4892" i="55"/>
  <c r="B4891" i="55"/>
  <c r="B4890" i="55"/>
  <c r="B4889" i="55"/>
  <c r="B4888" i="55"/>
  <c r="B4887" i="55"/>
  <c r="B4886" i="55"/>
  <c r="B4885" i="55"/>
  <c r="B4884" i="55"/>
  <c r="B4883" i="55"/>
  <c r="B4882" i="55"/>
  <c r="B4881" i="55"/>
  <c r="B4880" i="55"/>
  <c r="B4879" i="55"/>
  <c r="B4878" i="55"/>
  <c r="B4877" i="55"/>
  <c r="B4876" i="55"/>
  <c r="B4875" i="55"/>
  <c r="B4874" i="55"/>
  <c r="B4873" i="55"/>
  <c r="B4872" i="55"/>
  <c r="B4871" i="55"/>
  <c r="B4870" i="55"/>
  <c r="B4869" i="55"/>
  <c r="B4868" i="55"/>
  <c r="B4867" i="55"/>
  <c r="B4866" i="55"/>
  <c r="B4865" i="55"/>
  <c r="B4864" i="55"/>
  <c r="B4863" i="55"/>
  <c r="B4862" i="55"/>
  <c r="B4861" i="55"/>
  <c r="B4860" i="55"/>
  <c r="B4859" i="55"/>
  <c r="B4858" i="55"/>
  <c r="B4857" i="55"/>
  <c r="B4856" i="55"/>
  <c r="B4855" i="55"/>
  <c r="B4854" i="55"/>
  <c r="B4853" i="55"/>
  <c r="B4852" i="55"/>
  <c r="B4851" i="55"/>
  <c r="B4850" i="55"/>
  <c r="B4849" i="55"/>
  <c r="B4847" i="55"/>
  <c r="B4846" i="55"/>
  <c r="B4845" i="55"/>
  <c r="B4844" i="55"/>
  <c r="B4843" i="55"/>
  <c r="B4842" i="55"/>
  <c r="B4841" i="55"/>
  <c r="B4840" i="55"/>
  <c r="B4839" i="55"/>
  <c r="B4838" i="55"/>
  <c r="B4837" i="55"/>
  <c r="B4836" i="55"/>
  <c r="B4835" i="55"/>
  <c r="B4834" i="55"/>
  <c r="B4833" i="55"/>
  <c r="B4832" i="55"/>
  <c r="B4831" i="55"/>
  <c r="B4830" i="55"/>
  <c r="B4829" i="55"/>
  <c r="B4828" i="55"/>
  <c r="B4827" i="55"/>
  <c r="B4826" i="55"/>
  <c r="B4825" i="55"/>
  <c r="B4824" i="55"/>
  <c r="B4823" i="55"/>
  <c r="B4822" i="55"/>
  <c r="B4821" i="55"/>
  <c r="B4820" i="55"/>
  <c r="B4819" i="55"/>
  <c r="B4818" i="55"/>
  <c r="B4817" i="55"/>
  <c r="B4816" i="55"/>
  <c r="B4815" i="55"/>
  <c r="B4814" i="55"/>
  <c r="B4813" i="55"/>
  <c r="B4812" i="55"/>
  <c r="B4811" i="55"/>
  <c r="B4810" i="55"/>
  <c r="B4809" i="55"/>
  <c r="B4808" i="55"/>
  <c r="B4807" i="55"/>
  <c r="B4806" i="55"/>
  <c r="B4805" i="55"/>
  <c r="B4804" i="55"/>
  <c r="B4803" i="55"/>
  <c r="B4802" i="55"/>
  <c r="B4801" i="55"/>
  <c r="B4800" i="55"/>
  <c r="B4799" i="55"/>
  <c r="B4798" i="55"/>
  <c r="B4797" i="55"/>
  <c r="B4796" i="55"/>
  <c r="B4795" i="55"/>
  <c r="B4794" i="55"/>
  <c r="B4793" i="55"/>
  <c r="B4792" i="55"/>
  <c r="B4791" i="55"/>
  <c r="B4790" i="55"/>
  <c r="B4789" i="55"/>
  <c r="B4788" i="55"/>
  <c r="B4786" i="55"/>
  <c r="B4785" i="55"/>
  <c r="B4784" i="55"/>
  <c r="B4783" i="55"/>
  <c r="B4782" i="55"/>
  <c r="B4781" i="55"/>
  <c r="B4780" i="55"/>
  <c r="B4779" i="55"/>
  <c r="B4778" i="55"/>
  <c r="B4777" i="55"/>
  <c r="B4776" i="55"/>
  <c r="B4775" i="55"/>
  <c r="B4774" i="55"/>
  <c r="B4773" i="55"/>
  <c r="B4772" i="55"/>
  <c r="B4771" i="55"/>
  <c r="B4770" i="55"/>
  <c r="B4769" i="55"/>
  <c r="B4768" i="55"/>
  <c r="B4767" i="55"/>
  <c r="B4766" i="55"/>
  <c r="B4765" i="55"/>
  <c r="B4764" i="55"/>
  <c r="B4763" i="55"/>
  <c r="B4762" i="55"/>
  <c r="B4761" i="55"/>
  <c r="B4760" i="55"/>
  <c r="B4759" i="55"/>
  <c r="B4758" i="55"/>
  <c r="B4757" i="55"/>
  <c r="B4756" i="55"/>
  <c r="B4755" i="55"/>
  <c r="B4754" i="55"/>
  <c r="B4753" i="55"/>
  <c r="B4752" i="55"/>
  <c r="B4751" i="55"/>
  <c r="B4750" i="55"/>
  <c r="B4749" i="55"/>
  <c r="B4748" i="55"/>
  <c r="B4747" i="55"/>
  <c r="B4746" i="55"/>
  <c r="B4745" i="55"/>
  <c r="B4744" i="55"/>
  <c r="B4743" i="55"/>
  <c r="B4742" i="55"/>
  <c r="B4741" i="55"/>
  <c r="B4740" i="55"/>
  <c r="B4739" i="55"/>
  <c r="B4738" i="55"/>
  <c r="B4737" i="55"/>
  <c r="B4736" i="55"/>
  <c r="B4735" i="55"/>
  <c r="B4734" i="55"/>
  <c r="B4733" i="55"/>
  <c r="B4732" i="55"/>
  <c r="B4731" i="55"/>
  <c r="B4730" i="55"/>
  <c r="B4729" i="55"/>
  <c r="B4728" i="55"/>
  <c r="B4727" i="55"/>
  <c r="B4725" i="55"/>
  <c r="B4724" i="55"/>
  <c r="B4723" i="55"/>
  <c r="B4722" i="55"/>
  <c r="B4721" i="55"/>
  <c r="B4720" i="55"/>
  <c r="B4719" i="55"/>
  <c r="B4718" i="55"/>
  <c r="B4717" i="55"/>
  <c r="B4716" i="55"/>
  <c r="B4715" i="55"/>
  <c r="B4714" i="55"/>
  <c r="B4713" i="55"/>
  <c r="B4712" i="55"/>
  <c r="B4711" i="55"/>
  <c r="B4710" i="55"/>
  <c r="B4709" i="55"/>
  <c r="B4708" i="55"/>
  <c r="B4707" i="55"/>
  <c r="B4706" i="55"/>
  <c r="B4705" i="55"/>
  <c r="B4704" i="55"/>
  <c r="B4703" i="55"/>
  <c r="B4702" i="55"/>
  <c r="B4701" i="55"/>
  <c r="B4700" i="55"/>
  <c r="B4699" i="55"/>
  <c r="B4698" i="55"/>
  <c r="B4697" i="55"/>
  <c r="B4696" i="55"/>
  <c r="B4695" i="55"/>
  <c r="B4694" i="55"/>
  <c r="B4693" i="55"/>
  <c r="B4692" i="55"/>
  <c r="B4691" i="55"/>
  <c r="B4690" i="55"/>
  <c r="B4689" i="55"/>
  <c r="B4688" i="55"/>
  <c r="B4687" i="55"/>
  <c r="B4686" i="55"/>
  <c r="B4685" i="55"/>
  <c r="B4684" i="55"/>
  <c r="B4683" i="55"/>
  <c r="B4682" i="55"/>
  <c r="B4681" i="55"/>
  <c r="B4680" i="55"/>
  <c r="B4679" i="55"/>
  <c r="B4678" i="55"/>
  <c r="B4677" i="55"/>
  <c r="B4676" i="55"/>
  <c r="B4675" i="55"/>
  <c r="B4674" i="55"/>
  <c r="B4673" i="55"/>
  <c r="B4672" i="55"/>
  <c r="B4671" i="55"/>
  <c r="B4670" i="55"/>
  <c r="B4669" i="55"/>
  <c r="B4668" i="55"/>
  <c r="B4667" i="55"/>
  <c r="B4666" i="55"/>
  <c r="B4664" i="55"/>
  <c r="B4663" i="55"/>
  <c r="B4662" i="55"/>
  <c r="B4661" i="55"/>
  <c r="B4660" i="55"/>
  <c r="B4659" i="55"/>
  <c r="B4658" i="55"/>
  <c r="B4657" i="55"/>
  <c r="B4656" i="55"/>
  <c r="B4655" i="55"/>
  <c r="B4654" i="55"/>
  <c r="B4653" i="55"/>
  <c r="B4652" i="55"/>
  <c r="B4651" i="55"/>
  <c r="B4650" i="55"/>
  <c r="B4649" i="55"/>
  <c r="B4648" i="55"/>
  <c r="B4647" i="55"/>
  <c r="B4646" i="55"/>
  <c r="B4645" i="55"/>
  <c r="B4644" i="55"/>
  <c r="B4643" i="55"/>
  <c r="B4642" i="55"/>
  <c r="B4641" i="55"/>
  <c r="B4640" i="55"/>
  <c r="B4639" i="55"/>
  <c r="B4638" i="55"/>
  <c r="B4637" i="55"/>
  <c r="B4636" i="55"/>
  <c r="B4635" i="55"/>
  <c r="B4634" i="55"/>
  <c r="B4633" i="55"/>
  <c r="B4632" i="55"/>
  <c r="B4631" i="55"/>
  <c r="B4630" i="55"/>
  <c r="B4629" i="55"/>
  <c r="B4628" i="55"/>
  <c r="B4627" i="55"/>
  <c r="B4626" i="55"/>
  <c r="B4625" i="55"/>
  <c r="B4624" i="55"/>
  <c r="B4623" i="55"/>
  <c r="B4622" i="55"/>
  <c r="B4621" i="55"/>
  <c r="B4620" i="55"/>
  <c r="B4619" i="55"/>
  <c r="B4618" i="55"/>
  <c r="B4617" i="55"/>
  <c r="B4616" i="55"/>
  <c r="B4615" i="55"/>
  <c r="B4614" i="55"/>
  <c r="B4613" i="55"/>
  <c r="B4612" i="55"/>
  <c r="B4611" i="55"/>
  <c r="B4610" i="55"/>
  <c r="B4609" i="55"/>
  <c r="B4608" i="55"/>
  <c r="B4607" i="55"/>
  <c r="B4606" i="55"/>
  <c r="B4605" i="55"/>
  <c r="B4603" i="55"/>
  <c r="B4602" i="55"/>
  <c r="B4601" i="55"/>
  <c r="B4600" i="55"/>
  <c r="B4599" i="55"/>
  <c r="B4598" i="55"/>
  <c r="B4597" i="55"/>
  <c r="B4596" i="55"/>
  <c r="B4595" i="55"/>
  <c r="B4594" i="55"/>
  <c r="B4593" i="55"/>
  <c r="B4592" i="55"/>
  <c r="B4591" i="55"/>
  <c r="B4590" i="55"/>
  <c r="B4589" i="55"/>
  <c r="B4588" i="55"/>
  <c r="B4587" i="55"/>
  <c r="B4586" i="55"/>
  <c r="B4585" i="55"/>
  <c r="B4584" i="55"/>
  <c r="B4583" i="55"/>
  <c r="B4582" i="55"/>
  <c r="B4581" i="55"/>
  <c r="B4580" i="55"/>
  <c r="B4579" i="55"/>
  <c r="B4578" i="55"/>
  <c r="B4577" i="55"/>
  <c r="B4576" i="55"/>
  <c r="B4575" i="55"/>
  <c r="B4574" i="55"/>
  <c r="B4573" i="55"/>
  <c r="B4572" i="55"/>
  <c r="B4571" i="55"/>
  <c r="B4570" i="55"/>
  <c r="B4569" i="55"/>
  <c r="B4568" i="55"/>
  <c r="B4567" i="55"/>
  <c r="B4566" i="55"/>
  <c r="B4565" i="55"/>
  <c r="B4564" i="55"/>
  <c r="B4563" i="55"/>
  <c r="B4562" i="55"/>
  <c r="B4561" i="55"/>
  <c r="B4560" i="55"/>
  <c r="B4559" i="55"/>
  <c r="B4558" i="55"/>
  <c r="B4557" i="55"/>
  <c r="B4556" i="55"/>
  <c r="B4555" i="55"/>
  <c r="B4554" i="55"/>
  <c r="B4553" i="55"/>
  <c r="B4552" i="55"/>
  <c r="B4551" i="55"/>
  <c r="B4550" i="55"/>
  <c r="B4549" i="55"/>
  <c r="B4548" i="55"/>
  <c r="B4547" i="55"/>
  <c r="B4546" i="55"/>
  <c r="B4545" i="55"/>
  <c r="B4544" i="55"/>
  <c r="B4542" i="55"/>
  <c r="B4541" i="55"/>
  <c r="B4540" i="55"/>
  <c r="B4539" i="55"/>
  <c r="B4538" i="55"/>
  <c r="B4537" i="55"/>
  <c r="B4536" i="55"/>
  <c r="B4535" i="55"/>
  <c r="B4534" i="55"/>
  <c r="B4533" i="55"/>
  <c r="B4532" i="55"/>
  <c r="B4531" i="55"/>
  <c r="B4530" i="55"/>
  <c r="B4529" i="55"/>
  <c r="B4528" i="55"/>
  <c r="B4527" i="55"/>
  <c r="B4526" i="55"/>
  <c r="B4525" i="55"/>
  <c r="B4524" i="55"/>
  <c r="B4523" i="55"/>
  <c r="B4522" i="55"/>
  <c r="B4521" i="55"/>
  <c r="B4520" i="55"/>
  <c r="B4519" i="55"/>
  <c r="B4518" i="55"/>
  <c r="B4517" i="55"/>
  <c r="B4516" i="55"/>
  <c r="B4515" i="55"/>
  <c r="B4514" i="55"/>
  <c r="B4513" i="55"/>
  <c r="B4512" i="55"/>
  <c r="B4511" i="55"/>
  <c r="B4510" i="55"/>
  <c r="B4509" i="55"/>
  <c r="B4508" i="55"/>
  <c r="B4507" i="55"/>
  <c r="B4506" i="55"/>
  <c r="B4505" i="55"/>
  <c r="B4504" i="55"/>
  <c r="B4503" i="55"/>
  <c r="B4502" i="55"/>
  <c r="B4501" i="55"/>
  <c r="B4500" i="55"/>
  <c r="B4499" i="55"/>
  <c r="B4498" i="55"/>
  <c r="B4497" i="55"/>
  <c r="B4496" i="55"/>
  <c r="B4495" i="55"/>
  <c r="B4494" i="55"/>
  <c r="B4493" i="55"/>
  <c r="B4492" i="55"/>
  <c r="B4491" i="55"/>
  <c r="B4490" i="55"/>
  <c r="B4489" i="55"/>
  <c r="B4488" i="55"/>
  <c r="B4487" i="55"/>
  <c r="B4486" i="55"/>
  <c r="B4485" i="55"/>
  <c r="B4484" i="55"/>
  <c r="B4483" i="55"/>
  <c r="B4481" i="55"/>
  <c r="B4480" i="55"/>
  <c r="B4479" i="55"/>
  <c r="B4478" i="55"/>
  <c r="B4477" i="55"/>
  <c r="B4476" i="55"/>
  <c r="B4475" i="55"/>
  <c r="B4474" i="55"/>
  <c r="B4473" i="55"/>
  <c r="B4472" i="55"/>
  <c r="B4471" i="55"/>
  <c r="B4470" i="55"/>
  <c r="B4469" i="55"/>
  <c r="B4468" i="55"/>
  <c r="B4467" i="55"/>
  <c r="B4466" i="55"/>
  <c r="B4465" i="55"/>
  <c r="B4464" i="55"/>
  <c r="B4463" i="55"/>
  <c r="B4462" i="55"/>
  <c r="B4461" i="55"/>
  <c r="B4460" i="55"/>
  <c r="B4459" i="55"/>
  <c r="B4458" i="55"/>
  <c r="B4457" i="55"/>
  <c r="B4456" i="55"/>
  <c r="B4455" i="55"/>
  <c r="B4454" i="55"/>
  <c r="B4453" i="55"/>
  <c r="B4452" i="55"/>
  <c r="B4451" i="55"/>
  <c r="B4450" i="55"/>
  <c r="B4449" i="55"/>
  <c r="B4448" i="55"/>
  <c r="B4447" i="55"/>
  <c r="B4446" i="55"/>
  <c r="B4445" i="55"/>
  <c r="B4444" i="55"/>
  <c r="B4443" i="55"/>
  <c r="B4442" i="55"/>
  <c r="B4441" i="55"/>
  <c r="B4440" i="55"/>
  <c r="B4439" i="55"/>
  <c r="B4438" i="55"/>
  <c r="B4437" i="55"/>
  <c r="B4436" i="55"/>
  <c r="B4435" i="55"/>
  <c r="B4434" i="55"/>
  <c r="B4433" i="55"/>
  <c r="B4432" i="55"/>
  <c r="B4431" i="55"/>
  <c r="B4430" i="55"/>
  <c r="B4429" i="55"/>
  <c r="B4428" i="55"/>
  <c r="B4427" i="55"/>
  <c r="B4426" i="55"/>
  <c r="B4425" i="55"/>
  <c r="B4424" i="55"/>
  <c r="B4423" i="55"/>
  <c r="B4422" i="55"/>
  <c r="B4420" i="55"/>
  <c r="B4419" i="55"/>
  <c r="B4418" i="55"/>
  <c r="B4417" i="55"/>
  <c r="B4416" i="55"/>
  <c r="B4415" i="55"/>
  <c r="B4414" i="55"/>
  <c r="B4413" i="55"/>
  <c r="B4412" i="55"/>
  <c r="B4411" i="55"/>
  <c r="B4410" i="55"/>
  <c r="B4409" i="55"/>
  <c r="B4408" i="55"/>
  <c r="B4407" i="55"/>
  <c r="B4406" i="55"/>
  <c r="B4405" i="55"/>
  <c r="B4404" i="55"/>
  <c r="B4403" i="55"/>
  <c r="B4402" i="55"/>
  <c r="B4401" i="55"/>
  <c r="B4400" i="55"/>
  <c r="B4399" i="55"/>
  <c r="B4398" i="55"/>
  <c r="B4397" i="55"/>
  <c r="B4396" i="55"/>
  <c r="B4395" i="55"/>
  <c r="B4394" i="55"/>
  <c r="B4393" i="55"/>
  <c r="B4392" i="55"/>
  <c r="B4391" i="55"/>
  <c r="B4390" i="55"/>
  <c r="B4389" i="55"/>
  <c r="B4388" i="55"/>
  <c r="B4387" i="55"/>
  <c r="B4386" i="55"/>
  <c r="B4385" i="55"/>
  <c r="B4384" i="55"/>
  <c r="B4383" i="55"/>
  <c r="B4382" i="55"/>
  <c r="B4381" i="55"/>
  <c r="B4380" i="55"/>
  <c r="B4379" i="55"/>
  <c r="B4378" i="55"/>
  <c r="B4377" i="55"/>
  <c r="B4376" i="55"/>
  <c r="B4375" i="55"/>
  <c r="B4374" i="55"/>
  <c r="B4373" i="55"/>
  <c r="B4372" i="55"/>
  <c r="B4371" i="55"/>
  <c r="B4370" i="55"/>
  <c r="B4369" i="55"/>
  <c r="B4368" i="55"/>
  <c r="B4367" i="55"/>
  <c r="B4366" i="55"/>
  <c r="B4365" i="55"/>
  <c r="B4364" i="55"/>
  <c r="B4363" i="55"/>
  <c r="B4362" i="55"/>
  <c r="B4361" i="55"/>
  <c r="B4359" i="55"/>
  <c r="B4358" i="55"/>
  <c r="B4357" i="55"/>
  <c r="B4356" i="55"/>
  <c r="B4355" i="55"/>
  <c r="B4354" i="55"/>
  <c r="B4353" i="55"/>
  <c r="B4352" i="55"/>
  <c r="B4351" i="55"/>
  <c r="B4350" i="55"/>
  <c r="B4349" i="55"/>
  <c r="B4348" i="55"/>
  <c r="B4347" i="55"/>
  <c r="B4346" i="55"/>
  <c r="B4345" i="55"/>
  <c r="B4344" i="55"/>
  <c r="B4343" i="55"/>
  <c r="B4342" i="55"/>
  <c r="B4341" i="55"/>
  <c r="B4340" i="55"/>
  <c r="B4339" i="55"/>
  <c r="B4338" i="55"/>
  <c r="B4337" i="55"/>
  <c r="B4336" i="55"/>
  <c r="B4335" i="55"/>
  <c r="B4334" i="55"/>
  <c r="B4333" i="55"/>
  <c r="B4332" i="55"/>
  <c r="B4331" i="55"/>
  <c r="B4330" i="55"/>
  <c r="B4329" i="55"/>
  <c r="B4328" i="55"/>
  <c r="B4327" i="55"/>
  <c r="B4326" i="55"/>
  <c r="B4325" i="55"/>
  <c r="B4324" i="55"/>
  <c r="B4323" i="55"/>
  <c r="B4322" i="55"/>
  <c r="B4321" i="55"/>
  <c r="B4320" i="55"/>
  <c r="B4319" i="55"/>
  <c r="B4318" i="55"/>
  <c r="B4317" i="55"/>
  <c r="B4316" i="55"/>
  <c r="B4315" i="55"/>
  <c r="B4314" i="55"/>
  <c r="B4313" i="55"/>
  <c r="B4312" i="55"/>
  <c r="B4311" i="55"/>
  <c r="B4310" i="55"/>
  <c r="B4309" i="55"/>
  <c r="B4308" i="55"/>
  <c r="B4307" i="55"/>
  <c r="B4306" i="55"/>
  <c r="B4305" i="55"/>
  <c r="B4304" i="55"/>
  <c r="B4303" i="55"/>
  <c r="B4302" i="55"/>
  <c r="B4301" i="55"/>
  <c r="B4300" i="55"/>
  <c r="B4298" i="55"/>
  <c r="B4297" i="55"/>
  <c r="B4296" i="55"/>
  <c r="B4295" i="55"/>
  <c r="B4294" i="55"/>
  <c r="B4293" i="55"/>
  <c r="B4292" i="55"/>
  <c r="B4291" i="55"/>
  <c r="B4290" i="55"/>
  <c r="B4289" i="55"/>
  <c r="B4288" i="55"/>
  <c r="B4287" i="55"/>
  <c r="B4286" i="55"/>
  <c r="B4285" i="55"/>
  <c r="B4284" i="55"/>
  <c r="B4283" i="55"/>
  <c r="B4282" i="55"/>
  <c r="B4281" i="55"/>
  <c r="B4280" i="55"/>
  <c r="B4279" i="55"/>
  <c r="B4278" i="55"/>
  <c r="B4277" i="55"/>
  <c r="B4276" i="55"/>
  <c r="B4275" i="55"/>
  <c r="B4274" i="55"/>
  <c r="B4273" i="55"/>
  <c r="B4272" i="55"/>
  <c r="B4271" i="55"/>
  <c r="B4270" i="55"/>
  <c r="B4269" i="55"/>
  <c r="B4268" i="55"/>
  <c r="B4267" i="55"/>
  <c r="B4266" i="55"/>
  <c r="B4265" i="55"/>
  <c r="B4264" i="55"/>
  <c r="B4263" i="55"/>
  <c r="B4262" i="55"/>
  <c r="B4261" i="55"/>
  <c r="B4260" i="55"/>
  <c r="B4259" i="55"/>
  <c r="B4258" i="55"/>
  <c r="B4257" i="55"/>
  <c r="B4256" i="55"/>
  <c r="B4255" i="55"/>
  <c r="B4254" i="55"/>
  <c r="B4253" i="55"/>
  <c r="B4252" i="55"/>
  <c r="B4251" i="55"/>
  <c r="B4250" i="55"/>
  <c r="B4249" i="55"/>
  <c r="B4248" i="55"/>
  <c r="B4247" i="55"/>
  <c r="B4246" i="55"/>
  <c r="B4245" i="55"/>
  <c r="B4244" i="55"/>
  <c r="B4243" i="55"/>
  <c r="B4242" i="55"/>
  <c r="B4241" i="55"/>
  <c r="B4240" i="55"/>
  <c r="B4239" i="55"/>
  <c r="B4237" i="55"/>
  <c r="B4236" i="55"/>
  <c r="B4235" i="55"/>
  <c r="B4234" i="55"/>
  <c r="B4233" i="55"/>
  <c r="B4232" i="55"/>
  <c r="B4231" i="55"/>
  <c r="B4230" i="55"/>
  <c r="B4229" i="55"/>
  <c r="B4228" i="55"/>
  <c r="B4227" i="55"/>
  <c r="B4226" i="55"/>
  <c r="B4225" i="55"/>
  <c r="B4224" i="55"/>
  <c r="B4223" i="55"/>
  <c r="B4222" i="55"/>
  <c r="B4221" i="55"/>
  <c r="B4220" i="55"/>
  <c r="B4219" i="55"/>
  <c r="B4218" i="55"/>
  <c r="B4217" i="55"/>
  <c r="B4216" i="55"/>
  <c r="B4215" i="55"/>
  <c r="B4214" i="55"/>
  <c r="B4213" i="55"/>
  <c r="B4212" i="55"/>
  <c r="B4211" i="55"/>
  <c r="B4210" i="55"/>
  <c r="B4209" i="55"/>
  <c r="B4208" i="55"/>
  <c r="B4207" i="55"/>
  <c r="B4206" i="55"/>
  <c r="B4205" i="55"/>
  <c r="B4204" i="55"/>
  <c r="B4203" i="55"/>
  <c r="B4202" i="55"/>
  <c r="B4201" i="55"/>
  <c r="B4200" i="55"/>
  <c r="B4199" i="55"/>
  <c r="B4198" i="55"/>
  <c r="B4197" i="55"/>
  <c r="B4196" i="55"/>
  <c r="B4195" i="55"/>
  <c r="B4194" i="55"/>
  <c r="B4193" i="55"/>
  <c r="B4192" i="55"/>
  <c r="B4191" i="55"/>
  <c r="B4190" i="55"/>
  <c r="B4189" i="55"/>
  <c r="B4188" i="55"/>
  <c r="B4187" i="55"/>
  <c r="B4186" i="55"/>
  <c r="B4185" i="55"/>
  <c r="B4184" i="55"/>
  <c r="B4183" i="55"/>
  <c r="B4182" i="55"/>
  <c r="B4181" i="55"/>
  <c r="B4180" i="55"/>
  <c r="B4179" i="55"/>
  <c r="B4178" i="55"/>
  <c r="B4176" i="55"/>
  <c r="B4175" i="55"/>
  <c r="B4174" i="55"/>
  <c r="B4173" i="55"/>
  <c r="B4172" i="55"/>
  <c r="B4171" i="55"/>
  <c r="B4170" i="55"/>
  <c r="B4169" i="55"/>
  <c r="B4168" i="55"/>
  <c r="B4167" i="55"/>
  <c r="B4166" i="55"/>
  <c r="B4165" i="55"/>
  <c r="B4164" i="55"/>
  <c r="B4163" i="55"/>
  <c r="B4162" i="55"/>
  <c r="B4161" i="55"/>
  <c r="B4160" i="55"/>
  <c r="B4159" i="55"/>
  <c r="B4158" i="55"/>
  <c r="B4157" i="55"/>
  <c r="B4156" i="55"/>
  <c r="B4155" i="55"/>
  <c r="B4154" i="55"/>
  <c r="B4153" i="55"/>
  <c r="B4152" i="55"/>
  <c r="B4151" i="55"/>
  <c r="B4150" i="55"/>
  <c r="B4149" i="55"/>
  <c r="B4148" i="55"/>
  <c r="B4147" i="55"/>
  <c r="B4146" i="55"/>
  <c r="B4145" i="55"/>
  <c r="B4144" i="55"/>
  <c r="B4143" i="55"/>
  <c r="B4142" i="55"/>
  <c r="B4141" i="55"/>
  <c r="B4140" i="55"/>
  <c r="B4139" i="55"/>
  <c r="B4138" i="55"/>
  <c r="B4137" i="55"/>
  <c r="B4136" i="55"/>
  <c r="B4135" i="55"/>
  <c r="B4134" i="55"/>
  <c r="B4133" i="55"/>
  <c r="B4132" i="55"/>
  <c r="B4131" i="55"/>
  <c r="B4130" i="55"/>
  <c r="B4129" i="55"/>
  <c r="B4128" i="55"/>
  <c r="B4127" i="55"/>
  <c r="B4126" i="55"/>
  <c r="B4125" i="55"/>
  <c r="B4124" i="55"/>
  <c r="B4123" i="55"/>
  <c r="B4122" i="55"/>
  <c r="B4121" i="55"/>
  <c r="B4120" i="55"/>
  <c r="B4119" i="55"/>
  <c r="B4118" i="55"/>
  <c r="B4117" i="55"/>
  <c r="B4115" i="55"/>
  <c r="B4114" i="55"/>
  <c r="B4113" i="55"/>
  <c r="B4112" i="55"/>
  <c r="B4111" i="55"/>
  <c r="B4110" i="55"/>
  <c r="B4109" i="55"/>
  <c r="B4108" i="55"/>
  <c r="B4107" i="55"/>
  <c r="B4106" i="55"/>
  <c r="B4105" i="55"/>
  <c r="B4104" i="55"/>
  <c r="B4103" i="55"/>
  <c r="B4102" i="55"/>
  <c r="B4101" i="55"/>
  <c r="B4100" i="55"/>
  <c r="B4099" i="55"/>
  <c r="B4098" i="55"/>
  <c r="B4097" i="55"/>
  <c r="B4096" i="55"/>
  <c r="B4095" i="55"/>
  <c r="B4094" i="55"/>
  <c r="B4093" i="55"/>
  <c r="B4092" i="55"/>
  <c r="B4091" i="55"/>
  <c r="B4090" i="55"/>
  <c r="B4089" i="55"/>
  <c r="B4088" i="55"/>
  <c r="B4087" i="55"/>
  <c r="B4086" i="55"/>
  <c r="B4085" i="55"/>
  <c r="B4084" i="55"/>
  <c r="B4083" i="55"/>
  <c r="B4082" i="55"/>
  <c r="B4081" i="55"/>
  <c r="B4080" i="55"/>
  <c r="B4079" i="55"/>
  <c r="B4078" i="55"/>
  <c r="B4077" i="55"/>
  <c r="B4076" i="55"/>
  <c r="B4075" i="55"/>
  <c r="B4074" i="55"/>
  <c r="B4073" i="55"/>
  <c r="B4072" i="55"/>
  <c r="B4071" i="55"/>
  <c r="B4070" i="55"/>
  <c r="B4069" i="55"/>
  <c r="B4068" i="55"/>
  <c r="B4067" i="55"/>
  <c r="B4066" i="55"/>
  <c r="B4065" i="55"/>
  <c r="B4064" i="55"/>
  <c r="B4063" i="55"/>
  <c r="B4062" i="55"/>
  <c r="B4061" i="55"/>
  <c r="B4060" i="55"/>
  <c r="B4059" i="55"/>
  <c r="B4058" i="55"/>
  <c r="B4057" i="55"/>
  <c r="B4056" i="55"/>
  <c r="B4054" i="55"/>
  <c r="B4053" i="55"/>
  <c r="B4052" i="55"/>
  <c r="B4051" i="55"/>
  <c r="B4050" i="55"/>
  <c r="B4049" i="55"/>
  <c r="B4048" i="55"/>
  <c r="B4047" i="55"/>
  <c r="B4046" i="55"/>
  <c r="B4045" i="55"/>
  <c r="B4044" i="55"/>
  <c r="B4043" i="55"/>
  <c r="B4042" i="55"/>
  <c r="B4041" i="55"/>
  <c r="B4040" i="55"/>
  <c r="B4039" i="55"/>
  <c r="B4038" i="55"/>
  <c r="B4037" i="55"/>
  <c r="B4036" i="55"/>
  <c r="B4035" i="55"/>
  <c r="B4034" i="55"/>
  <c r="B4033" i="55"/>
  <c r="B4032" i="55"/>
  <c r="B4031" i="55"/>
  <c r="B4030" i="55"/>
  <c r="B4029" i="55"/>
  <c r="B4028" i="55"/>
  <c r="B4027" i="55"/>
  <c r="B4026" i="55"/>
  <c r="B4025" i="55"/>
  <c r="B4024" i="55"/>
  <c r="B4023" i="55"/>
  <c r="B4022" i="55"/>
  <c r="B4021" i="55"/>
  <c r="B4020" i="55"/>
  <c r="B4019" i="55"/>
  <c r="B4018" i="55"/>
  <c r="B4017" i="55"/>
  <c r="B4016" i="55"/>
  <c r="B4015" i="55"/>
  <c r="B4014" i="55"/>
  <c r="B4013" i="55"/>
  <c r="B4012" i="55"/>
  <c r="B4011" i="55"/>
  <c r="B4010" i="55"/>
  <c r="B4009" i="55"/>
  <c r="B4008" i="55"/>
  <c r="B4007" i="55"/>
  <c r="B4006" i="55"/>
  <c r="B4005" i="55"/>
  <c r="B4004" i="55"/>
  <c r="B4003" i="55"/>
  <c r="B4002" i="55"/>
  <c r="B4001" i="55"/>
  <c r="B4000" i="55"/>
  <c r="B3999" i="55"/>
  <c r="B3998" i="55"/>
  <c r="B3997" i="55"/>
  <c r="B3996" i="55"/>
  <c r="B3995" i="55"/>
  <c r="B3993" i="55"/>
  <c r="B3992" i="55"/>
  <c r="B3991" i="55"/>
  <c r="B3990" i="55"/>
  <c r="B3989" i="55"/>
  <c r="B3988" i="55"/>
  <c r="B3987" i="55"/>
  <c r="B3986" i="55"/>
  <c r="B3985" i="55"/>
  <c r="B3984" i="55"/>
  <c r="B3983" i="55"/>
  <c r="B3982" i="55"/>
  <c r="B3981" i="55"/>
  <c r="B3980" i="55"/>
  <c r="B3979" i="55"/>
  <c r="B3978" i="55"/>
  <c r="B3977" i="55"/>
  <c r="B3976" i="55"/>
  <c r="B3975" i="55"/>
  <c r="B3974" i="55"/>
  <c r="B3973" i="55"/>
  <c r="B3972" i="55"/>
  <c r="B3971" i="55"/>
  <c r="B3970" i="55"/>
  <c r="B3969" i="55"/>
  <c r="B3968" i="55"/>
  <c r="B3967" i="55"/>
  <c r="B3966" i="55"/>
  <c r="B3965" i="55"/>
  <c r="B3964" i="55"/>
  <c r="B3963" i="55"/>
  <c r="B3962" i="55"/>
  <c r="B3961" i="55"/>
  <c r="B3960" i="55"/>
  <c r="B3959" i="55"/>
  <c r="B3958" i="55"/>
  <c r="B3957" i="55"/>
  <c r="B3956" i="55"/>
  <c r="B3955" i="55"/>
  <c r="B3954" i="55"/>
  <c r="B3953" i="55"/>
  <c r="B3952" i="55"/>
  <c r="B3951" i="55"/>
  <c r="B3950" i="55"/>
  <c r="B3949" i="55"/>
  <c r="B3948" i="55"/>
  <c r="B3947" i="55"/>
  <c r="B3946" i="55"/>
  <c r="B3945" i="55"/>
  <c r="B3944" i="55"/>
  <c r="B3943" i="55"/>
  <c r="B3942" i="55"/>
  <c r="B3941" i="55"/>
  <c r="B3940" i="55"/>
  <c r="B3939" i="55"/>
  <c r="B3938" i="55"/>
  <c r="B3937" i="55"/>
  <c r="B3936" i="55"/>
  <c r="B3935" i="55"/>
  <c r="B3934" i="55"/>
  <c r="B3932" i="55"/>
  <c r="B3931" i="55"/>
  <c r="B3930" i="55"/>
  <c r="B3929" i="55"/>
  <c r="B3928" i="55"/>
  <c r="B3927" i="55"/>
  <c r="B3926" i="55"/>
  <c r="B3925" i="55"/>
  <c r="B3924" i="55"/>
  <c r="B3923" i="55"/>
  <c r="B3922" i="55"/>
  <c r="B3921" i="55"/>
  <c r="B3920" i="55"/>
  <c r="B3919" i="55"/>
  <c r="B3918" i="55"/>
  <c r="B3917" i="55"/>
  <c r="B3916" i="55"/>
  <c r="B3915" i="55"/>
  <c r="B3914" i="55"/>
  <c r="B3913" i="55"/>
  <c r="B3912" i="55"/>
  <c r="B3911" i="55"/>
  <c r="B3910" i="55"/>
  <c r="B3909" i="55"/>
  <c r="B3908" i="55"/>
  <c r="B3907" i="55"/>
  <c r="B3906" i="55"/>
  <c r="B3905" i="55"/>
  <c r="B3904" i="55"/>
  <c r="B3903" i="55"/>
  <c r="B3902" i="55"/>
  <c r="B3901" i="55"/>
  <c r="B3900" i="55"/>
  <c r="B3899" i="55"/>
  <c r="B3898" i="55"/>
  <c r="B3897" i="55"/>
  <c r="B3896" i="55"/>
  <c r="B3895" i="55"/>
  <c r="B3894" i="55"/>
  <c r="B3893" i="55"/>
  <c r="B3892" i="55"/>
  <c r="B3891" i="55"/>
  <c r="B3890" i="55"/>
  <c r="B3889" i="55"/>
  <c r="B3888" i="55"/>
  <c r="B3887" i="55"/>
  <c r="B3886" i="55"/>
  <c r="B3885" i="55"/>
  <c r="B3884" i="55"/>
  <c r="B3883" i="55"/>
  <c r="B3882" i="55"/>
  <c r="B3881" i="55"/>
  <c r="B3880" i="55"/>
  <c r="B3879" i="55"/>
  <c r="B3878" i="55"/>
  <c r="B3877" i="55"/>
  <c r="B3876" i="55"/>
  <c r="B3875" i="55"/>
  <c r="B3874" i="55"/>
  <c r="B3873" i="55"/>
  <c r="B3871" i="55"/>
  <c r="B3870" i="55"/>
  <c r="B3869" i="55"/>
  <c r="B3868" i="55"/>
  <c r="B3867" i="55"/>
  <c r="B3866" i="55"/>
  <c r="B3865" i="55"/>
  <c r="B3864" i="55"/>
  <c r="B3863" i="55"/>
  <c r="B3862" i="55"/>
  <c r="B3861" i="55"/>
  <c r="B3860" i="55"/>
  <c r="B3859" i="55"/>
  <c r="B3858" i="55"/>
  <c r="B3857" i="55"/>
  <c r="B3856" i="55"/>
  <c r="B3855" i="55"/>
  <c r="B3854" i="55"/>
  <c r="B3853" i="55"/>
  <c r="B3852" i="55"/>
  <c r="B3851" i="55"/>
  <c r="B3850" i="55"/>
  <c r="B3849" i="55"/>
  <c r="B3848" i="55"/>
  <c r="B3847" i="55"/>
  <c r="B3846" i="55"/>
  <c r="B3845" i="55"/>
  <c r="B3844" i="55"/>
  <c r="B3843" i="55"/>
  <c r="B3842" i="55"/>
  <c r="B3841" i="55"/>
  <c r="B3840" i="55"/>
  <c r="B3839" i="55"/>
  <c r="B3838" i="55"/>
  <c r="B3837" i="55"/>
  <c r="B3836" i="55"/>
  <c r="B3835" i="55"/>
  <c r="B3834" i="55"/>
  <c r="B3833" i="55"/>
  <c r="B3832" i="55"/>
  <c r="B3831" i="55"/>
  <c r="B3830" i="55"/>
  <c r="B3829" i="55"/>
  <c r="B3828" i="55"/>
  <c r="B3827" i="55"/>
  <c r="B3826" i="55"/>
  <c r="B3825" i="55"/>
  <c r="B3824" i="55"/>
  <c r="B3823" i="55"/>
  <c r="B3822" i="55"/>
  <c r="B3821" i="55"/>
  <c r="B3820" i="55"/>
  <c r="B3819" i="55"/>
  <c r="B3818" i="55"/>
  <c r="B3817" i="55"/>
  <c r="B3816" i="55"/>
  <c r="B3815" i="55"/>
  <c r="B3814" i="55"/>
  <c r="B3813" i="55"/>
  <c r="B3812" i="55"/>
  <c r="B3810" i="55"/>
  <c r="B3809" i="55"/>
  <c r="B3808" i="55"/>
  <c r="B3807" i="55"/>
  <c r="B3806" i="55"/>
  <c r="B3805" i="55"/>
  <c r="B3804" i="55"/>
  <c r="B3803" i="55"/>
  <c r="B3802" i="55"/>
  <c r="B3801" i="55"/>
  <c r="B3800" i="55"/>
  <c r="B3799" i="55"/>
  <c r="B3798" i="55"/>
  <c r="B3797" i="55"/>
  <c r="B3796" i="55"/>
  <c r="B3795" i="55"/>
  <c r="B3794" i="55"/>
  <c r="B3793" i="55"/>
  <c r="B3792" i="55"/>
  <c r="B3791" i="55"/>
  <c r="B3790" i="55"/>
  <c r="B3789" i="55"/>
  <c r="B3788" i="55"/>
  <c r="B3787" i="55"/>
  <c r="B3786" i="55"/>
  <c r="B3785" i="55"/>
  <c r="B3784" i="55"/>
  <c r="B3783" i="55"/>
  <c r="B3782" i="55"/>
  <c r="B3781" i="55"/>
  <c r="B3780" i="55"/>
  <c r="B3779" i="55"/>
  <c r="B3778" i="55"/>
  <c r="B3777" i="55"/>
  <c r="B3776" i="55"/>
  <c r="B3775" i="55"/>
  <c r="B3774" i="55"/>
  <c r="B3773" i="55"/>
  <c r="B3772" i="55"/>
  <c r="B3771" i="55"/>
  <c r="B3770" i="55"/>
  <c r="B3769" i="55"/>
  <c r="B3768" i="55"/>
  <c r="B3767" i="55"/>
  <c r="B3766" i="55"/>
  <c r="B3765" i="55"/>
  <c r="B3764" i="55"/>
  <c r="B3763" i="55"/>
  <c r="B3762" i="55"/>
  <c r="B3761" i="55"/>
  <c r="B3760" i="55"/>
  <c r="B3759" i="55"/>
  <c r="B3758" i="55"/>
  <c r="B3757" i="55"/>
  <c r="B3756" i="55"/>
  <c r="B3755" i="55"/>
  <c r="B3754" i="55"/>
  <c r="B3753" i="55"/>
  <c r="B3752" i="55"/>
  <c r="B3751" i="55"/>
  <c r="B3749" i="55"/>
  <c r="B3748" i="55"/>
  <c r="B3747" i="55"/>
  <c r="B3746" i="55"/>
  <c r="B3745" i="55"/>
  <c r="B3744" i="55"/>
  <c r="B3743" i="55"/>
  <c r="B3742" i="55"/>
  <c r="B3741" i="55"/>
  <c r="B3740" i="55"/>
  <c r="B3739" i="55"/>
  <c r="B3738" i="55"/>
  <c r="B3737" i="55"/>
  <c r="B3736" i="55"/>
  <c r="B3735" i="55"/>
  <c r="B3734" i="55"/>
  <c r="B3733" i="55"/>
  <c r="B3732" i="55"/>
  <c r="B3731" i="55"/>
  <c r="B3730" i="55"/>
  <c r="B3729" i="55"/>
  <c r="B3728" i="55"/>
  <c r="B3727" i="55"/>
  <c r="B3726" i="55"/>
  <c r="B3725" i="55"/>
  <c r="B3724" i="55"/>
  <c r="B3723" i="55"/>
  <c r="B3722" i="55"/>
  <c r="B3721" i="55"/>
  <c r="B3720" i="55"/>
  <c r="B3719" i="55"/>
  <c r="B3718" i="55"/>
  <c r="B3717" i="55"/>
  <c r="B3716" i="55"/>
  <c r="B3715" i="55"/>
  <c r="B3714" i="55"/>
  <c r="B3713" i="55"/>
  <c r="B3712" i="55"/>
  <c r="B3711" i="55"/>
  <c r="B3710" i="55"/>
  <c r="B3709" i="55"/>
  <c r="B3708" i="55"/>
  <c r="B3707" i="55"/>
  <c r="B3706" i="55"/>
  <c r="B3705" i="55"/>
  <c r="B3704" i="55"/>
  <c r="B3703" i="55"/>
  <c r="B3702" i="55"/>
  <c r="B3701" i="55"/>
  <c r="B3700" i="55"/>
  <c r="B3699" i="55"/>
  <c r="B3698" i="55"/>
  <c r="B3697" i="55"/>
  <c r="B3696" i="55"/>
  <c r="B3695" i="55"/>
  <c r="B3694" i="55"/>
  <c r="B3693" i="55"/>
  <c r="B3692" i="55"/>
  <c r="B3691" i="55"/>
  <c r="B3690" i="55"/>
  <c r="B3688" i="55"/>
  <c r="B3687" i="55"/>
  <c r="B3686" i="55"/>
  <c r="B3685" i="55"/>
  <c r="B3684" i="55"/>
  <c r="B3683" i="55"/>
  <c r="B3682" i="55"/>
  <c r="B3681" i="55"/>
  <c r="B3680" i="55"/>
  <c r="B3679" i="55"/>
  <c r="B3678" i="55"/>
  <c r="B3677" i="55"/>
  <c r="B3676" i="55"/>
  <c r="B3675" i="55"/>
  <c r="B3674" i="55"/>
  <c r="B3673" i="55"/>
  <c r="B3672" i="55"/>
  <c r="B3671" i="55"/>
  <c r="B3670" i="55"/>
  <c r="B3669" i="55"/>
  <c r="B3668" i="55"/>
  <c r="B3667" i="55"/>
  <c r="B3666" i="55"/>
  <c r="B3665" i="55"/>
  <c r="B3664" i="55"/>
  <c r="B3663" i="55"/>
  <c r="B3662" i="55"/>
  <c r="B3661" i="55"/>
  <c r="B3660" i="55"/>
  <c r="B3659" i="55"/>
  <c r="B3658" i="55"/>
  <c r="B3657" i="55"/>
  <c r="B3656" i="55"/>
  <c r="B3655" i="55"/>
  <c r="B3654" i="55"/>
  <c r="B3653" i="55"/>
  <c r="B3652" i="55"/>
  <c r="B3651" i="55"/>
  <c r="B3650" i="55"/>
  <c r="B3649" i="55"/>
  <c r="B3648" i="55"/>
  <c r="B3647" i="55"/>
  <c r="B3646" i="55"/>
  <c r="B3645" i="55"/>
  <c r="B3644" i="55"/>
  <c r="B3643" i="55"/>
  <c r="B3642" i="55"/>
  <c r="B3641" i="55"/>
  <c r="B3640" i="55"/>
  <c r="B3639" i="55"/>
  <c r="B3638" i="55"/>
  <c r="B3637" i="55"/>
  <c r="B3636" i="55"/>
  <c r="B3635" i="55"/>
  <c r="B3634" i="55"/>
  <c r="B3633" i="55"/>
  <c r="B3632" i="55"/>
  <c r="B3631" i="55"/>
  <c r="B3630" i="55"/>
  <c r="B3629" i="55"/>
  <c r="B3627" i="55"/>
  <c r="B3626" i="55"/>
  <c r="B3625" i="55"/>
  <c r="B3624" i="55"/>
  <c r="B3623" i="55"/>
  <c r="B3622" i="55"/>
  <c r="B3621" i="55"/>
  <c r="B3620" i="55"/>
  <c r="B3619" i="55"/>
  <c r="B3618" i="55"/>
  <c r="B3617" i="55"/>
  <c r="B3616" i="55"/>
  <c r="B3615" i="55"/>
  <c r="B3614" i="55"/>
  <c r="B3613" i="55"/>
  <c r="B3612" i="55"/>
  <c r="B3611" i="55"/>
  <c r="B3610" i="55"/>
  <c r="B3609" i="55"/>
  <c r="B3608" i="55"/>
  <c r="B3607" i="55"/>
  <c r="B3606" i="55"/>
  <c r="B3605" i="55"/>
  <c r="B3604" i="55"/>
  <c r="B3603" i="55"/>
  <c r="B3602" i="55"/>
  <c r="B3601" i="55"/>
  <c r="B3600" i="55"/>
  <c r="B3599" i="55"/>
  <c r="B3598" i="55"/>
  <c r="B3597" i="55"/>
  <c r="B3596" i="55"/>
  <c r="B3595" i="55"/>
  <c r="B3594" i="55"/>
  <c r="B3593" i="55"/>
  <c r="B3592" i="55"/>
  <c r="B3591" i="55"/>
  <c r="B3590" i="55"/>
  <c r="B3589" i="55"/>
  <c r="B3588" i="55"/>
  <c r="B3587" i="55"/>
  <c r="B3586" i="55"/>
  <c r="B3585" i="55"/>
  <c r="B3584" i="55"/>
  <c r="B3583" i="55"/>
  <c r="B3582" i="55"/>
  <c r="B3581" i="55"/>
  <c r="B3580" i="55"/>
  <c r="B3579" i="55"/>
  <c r="B3578" i="55"/>
  <c r="B3577" i="55"/>
  <c r="B3576" i="55"/>
  <c r="B3575" i="55"/>
  <c r="B3574" i="55"/>
  <c r="B3573" i="55"/>
  <c r="B3572" i="55"/>
  <c r="B3571" i="55"/>
  <c r="B3570" i="55"/>
  <c r="B3569" i="55"/>
  <c r="B3568" i="55"/>
  <c r="B3566" i="55"/>
  <c r="B3565" i="55"/>
  <c r="B3564" i="55"/>
  <c r="B3563" i="55"/>
  <c r="B3562" i="55"/>
  <c r="B3561" i="55"/>
  <c r="B3560" i="55"/>
  <c r="B3559" i="55"/>
  <c r="B3558" i="55"/>
  <c r="B3557" i="55"/>
  <c r="B3556" i="55"/>
  <c r="B3555" i="55"/>
  <c r="B3554" i="55"/>
  <c r="B3553" i="55"/>
  <c r="B3552" i="55"/>
  <c r="B3551" i="55"/>
  <c r="B3550" i="55"/>
  <c r="B3549" i="55"/>
  <c r="B3548" i="55"/>
  <c r="B3547" i="55"/>
  <c r="B3546" i="55"/>
  <c r="B3545" i="55"/>
  <c r="B3544" i="55"/>
  <c r="B3543" i="55"/>
  <c r="B3542" i="55"/>
  <c r="B3541" i="55"/>
  <c r="B3540" i="55"/>
  <c r="B3539" i="55"/>
  <c r="B3538" i="55"/>
  <c r="B3537" i="55"/>
  <c r="B3536" i="55"/>
  <c r="B3535" i="55"/>
  <c r="B3534" i="55"/>
  <c r="B3533" i="55"/>
  <c r="B3532" i="55"/>
  <c r="B3531" i="55"/>
  <c r="B3530" i="55"/>
  <c r="B3529" i="55"/>
  <c r="B3528" i="55"/>
  <c r="B3527" i="55"/>
  <c r="B3526" i="55"/>
  <c r="B3525" i="55"/>
  <c r="B3524" i="55"/>
  <c r="B3523" i="55"/>
  <c r="B3522" i="55"/>
  <c r="B3521" i="55"/>
  <c r="B3520" i="55"/>
  <c r="B3519" i="55"/>
  <c r="B3518" i="55"/>
  <c r="B3517" i="55"/>
  <c r="B3516" i="55"/>
  <c r="B3515" i="55"/>
  <c r="B3514" i="55"/>
  <c r="B3513" i="55"/>
  <c r="B3512" i="55"/>
  <c r="B3511" i="55"/>
  <c r="B3510" i="55"/>
  <c r="B3509" i="55"/>
  <c r="B3508" i="55"/>
  <c r="B3507" i="55"/>
  <c r="B3505" i="55"/>
  <c r="B3504" i="55"/>
  <c r="B3503" i="55"/>
  <c r="B3502" i="55"/>
  <c r="B3501" i="55"/>
  <c r="B3500" i="55"/>
  <c r="B3499" i="55"/>
  <c r="B3498" i="55"/>
  <c r="B3497" i="55"/>
  <c r="B3496" i="55"/>
  <c r="B3495" i="55"/>
  <c r="B3494" i="55"/>
  <c r="B3493" i="55"/>
  <c r="B3492" i="55"/>
  <c r="B3491" i="55"/>
  <c r="B3490" i="55"/>
  <c r="B3489" i="55"/>
  <c r="B3488" i="55"/>
  <c r="B3487" i="55"/>
  <c r="B3486" i="55"/>
  <c r="B3485" i="55"/>
  <c r="B3484" i="55"/>
  <c r="B3483" i="55"/>
  <c r="B3482" i="55"/>
  <c r="B3481" i="55"/>
  <c r="B3480" i="55"/>
  <c r="B3479" i="55"/>
  <c r="B3478" i="55"/>
  <c r="B3477" i="55"/>
  <c r="B3476" i="55"/>
  <c r="B3475" i="55"/>
  <c r="B3474" i="55"/>
  <c r="B3473" i="55"/>
  <c r="B3472" i="55"/>
  <c r="B3471" i="55"/>
  <c r="B3470" i="55"/>
  <c r="B3469" i="55"/>
  <c r="B3468" i="55"/>
  <c r="B3467" i="55"/>
  <c r="B3466" i="55"/>
  <c r="B3465" i="55"/>
  <c r="B3464" i="55"/>
  <c r="B3463" i="55"/>
  <c r="B3462" i="55"/>
  <c r="B3461" i="55"/>
  <c r="B3460" i="55"/>
  <c r="B3459" i="55"/>
  <c r="B3458" i="55"/>
  <c r="B3457" i="55"/>
  <c r="B3456" i="55"/>
  <c r="B3455" i="55"/>
  <c r="B3454" i="55"/>
  <c r="B3453" i="55"/>
  <c r="B3452" i="55"/>
  <c r="B3451" i="55"/>
  <c r="B3450" i="55"/>
  <c r="B3449" i="55"/>
  <c r="B3448" i="55"/>
  <c r="B3447" i="55"/>
  <c r="B3446" i="55"/>
  <c r="B3440" i="55"/>
  <c r="B3441" i="55"/>
  <c r="E3441" i="55"/>
  <c r="B3442" i="55"/>
  <c r="E3442" i="55"/>
  <c r="B3443" i="55"/>
  <c r="B3444" i="55"/>
  <c r="B3445" i="55"/>
  <c r="E3446" i="55"/>
  <c r="F3446" i="55"/>
  <c r="H3446" i="55"/>
  <c r="E3447" i="55"/>
  <c r="F3447" i="55"/>
  <c r="H3447" i="55"/>
  <c r="E3448" i="55"/>
  <c r="F3448" i="55"/>
  <c r="H3448" i="55"/>
  <c r="E3449" i="55"/>
  <c r="F3449" i="55"/>
  <c r="H3449" i="55"/>
  <c r="E3450" i="55"/>
  <c r="F3450" i="55"/>
  <c r="H3450" i="55"/>
  <c r="E3451" i="55"/>
  <c r="F3451" i="55"/>
  <c r="H3451" i="55"/>
  <c r="E3452" i="55"/>
  <c r="F3452" i="55"/>
  <c r="H3452" i="55"/>
  <c r="E3453" i="55"/>
  <c r="F3453" i="55"/>
  <c r="H3453" i="55"/>
  <c r="E3454" i="55"/>
  <c r="F3454" i="55"/>
  <c r="H3454" i="55"/>
  <c r="E3455" i="55"/>
  <c r="F3455" i="55"/>
  <c r="H3455" i="55"/>
  <c r="E3456" i="55"/>
  <c r="F3456" i="55"/>
  <c r="H3456" i="55"/>
  <c r="E3457" i="55"/>
  <c r="F3457" i="55"/>
  <c r="H3457" i="55"/>
  <c r="E3458" i="55"/>
  <c r="F3458" i="55"/>
  <c r="H3458" i="55"/>
  <c r="E3459" i="55"/>
  <c r="F3459" i="55"/>
  <c r="H3459" i="55"/>
  <c r="E3460" i="55"/>
  <c r="F3460" i="55"/>
  <c r="H3460" i="55"/>
  <c r="E3461" i="55"/>
  <c r="F3461" i="55"/>
  <c r="H3461" i="55"/>
  <c r="E3462" i="55"/>
  <c r="F3462" i="55"/>
  <c r="H3462" i="55"/>
  <c r="E3463" i="55"/>
  <c r="F3463" i="55"/>
  <c r="H3463" i="55"/>
  <c r="E3464" i="55"/>
  <c r="F3464" i="55"/>
  <c r="H3464" i="55"/>
  <c r="E3465" i="55"/>
  <c r="F3465" i="55"/>
  <c r="H3465" i="55"/>
  <c r="E3466" i="55"/>
  <c r="F3466" i="55"/>
  <c r="H3466" i="55"/>
  <c r="E3467" i="55"/>
  <c r="F3467" i="55"/>
  <c r="H3467" i="55"/>
  <c r="E3468" i="55"/>
  <c r="F3468" i="55"/>
  <c r="H3468" i="55"/>
  <c r="E3469" i="55"/>
  <c r="F3469" i="55"/>
  <c r="H3469" i="55"/>
  <c r="E3470" i="55"/>
  <c r="F3470" i="55"/>
  <c r="H3470" i="55"/>
  <c r="E3471" i="55"/>
  <c r="F3471" i="55"/>
  <c r="H3471" i="55"/>
  <c r="E3472" i="55"/>
  <c r="F3472" i="55"/>
  <c r="H3472" i="55"/>
  <c r="E3473" i="55"/>
  <c r="F3473" i="55"/>
  <c r="H3473" i="55"/>
  <c r="E3474" i="55"/>
  <c r="F3474" i="55"/>
  <c r="H3474" i="55"/>
  <c r="E3475" i="55"/>
  <c r="F3475" i="55"/>
  <c r="H3475" i="55"/>
  <c r="E3476" i="55"/>
  <c r="F3476" i="55"/>
  <c r="H3476" i="55"/>
  <c r="E3477" i="55"/>
  <c r="F3477" i="55"/>
  <c r="H3477" i="55"/>
  <c r="E3478" i="55"/>
  <c r="F3478" i="55"/>
  <c r="H3478" i="55"/>
  <c r="E3479" i="55"/>
  <c r="F3479" i="55"/>
  <c r="H3479" i="55"/>
  <c r="E3480" i="55"/>
  <c r="F3480" i="55"/>
  <c r="H3480" i="55"/>
  <c r="E3481" i="55"/>
  <c r="F3481" i="55"/>
  <c r="H3481" i="55"/>
  <c r="E3482" i="55"/>
  <c r="F3482" i="55"/>
  <c r="H3482" i="55"/>
  <c r="E3483" i="55"/>
  <c r="F3483" i="55"/>
  <c r="H3483" i="55"/>
  <c r="E3484" i="55"/>
  <c r="F3484" i="55"/>
  <c r="H3484" i="55"/>
  <c r="E3485" i="55"/>
  <c r="F3485" i="55"/>
  <c r="H3485" i="55"/>
  <c r="E3486" i="55"/>
  <c r="F3486" i="55"/>
  <c r="H3486" i="55"/>
  <c r="E3487" i="55"/>
  <c r="F3487" i="55"/>
  <c r="H3487" i="55"/>
  <c r="E3488" i="55"/>
  <c r="F3488" i="55"/>
  <c r="H3488" i="55"/>
  <c r="E3489" i="55"/>
  <c r="F3489" i="55"/>
  <c r="H3489" i="55"/>
  <c r="E3490" i="55"/>
  <c r="F3490" i="55"/>
  <c r="H3490" i="55"/>
  <c r="E3491" i="55"/>
  <c r="F3491" i="55"/>
  <c r="H3491" i="55"/>
  <c r="E3492" i="55"/>
  <c r="F3492" i="55"/>
  <c r="H3492" i="55"/>
  <c r="E3493" i="55"/>
  <c r="F3493" i="55"/>
  <c r="H3493" i="55"/>
  <c r="E3494" i="55"/>
  <c r="F3494" i="55"/>
  <c r="H3494" i="55"/>
  <c r="E3495" i="55"/>
  <c r="F3495" i="55"/>
  <c r="H3495" i="55"/>
  <c r="E3496" i="55"/>
  <c r="F3496" i="55"/>
  <c r="H3496" i="55"/>
  <c r="E3497" i="55"/>
  <c r="F3497" i="55"/>
  <c r="H3497" i="55"/>
  <c r="E3498" i="55"/>
  <c r="F3498" i="55"/>
  <c r="H3498" i="55"/>
  <c r="E3499" i="55"/>
  <c r="F3499" i="55"/>
  <c r="H3499" i="55"/>
  <c r="E3500" i="55"/>
  <c r="F3500" i="55"/>
  <c r="H3500" i="55"/>
  <c r="E3501" i="55"/>
  <c r="F3501" i="55"/>
  <c r="H3501" i="55"/>
  <c r="E3502" i="55"/>
  <c r="F3502" i="55"/>
  <c r="H3502" i="55"/>
  <c r="E3503" i="55"/>
  <c r="F3503" i="55"/>
  <c r="H3503" i="55"/>
  <c r="E3504" i="55"/>
  <c r="F3504" i="55"/>
  <c r="H3504" i="55"/>
  <c r="E3505" i="55"/>
  <c r="F3505" i="55"/>
  <c r="H3505" i="55"/>
  <c r="E3507" i="55"/>
  <c r="F3507" i="55"/>
  <c r="H3507" i="55"/>
  <c r="E3508" i="55"/>
  <c r="F3508" i="55"/>
  <c r="H3508" i="55"/>
  <c r="E3509" i="55"/>
  <c r="F3509" i="55"/>
  <c r="H3509" i="55"/>
  <c r="E3510" i="55"/>
  <c r="F3510" i="55"/>
  <c r="H3510" i="55"/>
  <c r="E3511" i="55"/>
  <c r="F3511" i="55"/>
  <c r="H3511" i="55"/>
  <c r="E3512" i="55"/>
  <c r="F3512" i="55"/>
  <c r="H3512" i="55"/>
  <c r="E3513" i="55"/>
  <c r="F3513" i="55"/>
  <c r="H3513" i="55"/>
  <c r="E3514" i="55"/>
  <c r="F3514" i="55"/>
  <c r="H3514" i="55"/>
  <c r="E3515" i="55"/>
  <c r="F3515" i="55"/>
  <c r="H3515" i="55"/>
  <c r="E3516" i="55"/>
  <c r="F3516" i="55"/>
  <c r="H3516" i="55"/>
  <c r="E3517" i="55"/>
  <c r="F3517" i="55"/>
  <c r="H3517" i="55"/>
  <c r="E3518" i="55"/>
  <c r="F3518" i="55"/>
  <c r="H3518" i="55"/>
  <c r="E3519" i="55"/>
  <c r="F3519" i="55"/>
  <c r="H3519" i="55"/>
  <c r="E3520" i="55"/>
  <c r="F3520" i="55"/>
  <c r="H3520" i="55"/>
  <c r="E3521" i="55"/>
  <c r="F3521" i="55"/>
  <c r="H3521" i="55"/>
  <c r="E3522" i="55"/>
  <c r="F3522" i="55"/>
  <c r="H3522" i="55"/>
  <c r="E3523" i="55"/>
  <c r="F3523" i="55"/>
  <c r="H3523" i="55"/>
  <c r="E3524" i="55"/>
  <c r="F3524" i="55"/>
  <c r="H3524" i="55"/>
  <c r="E3525" i="55"/>
  <c r="F3525" i="55"/>
  <c r="H3525" i="55"/>
  <c r="E3526" i="55"/>
  <c r="F3526" i="55"/>
  <c r="H3526" i="55"/>
  <c r="E3527" i="55"/>
  <c r="F3527" i="55"/>
  <c r="H3527" i="55"/>
  <c r="E3528" i="55"/>
  <c r="F3528" i="55"/>
  <c r="H3528" i="55"/>
  <c r="E3529" i="55"/>
  <c r="F3529" i="55"/>
  <c r="H3529" i="55"/>
  <c r="E3530" i="55"/>
  <c r="F3530" i="55"/>
  <c r="H3530" i="55"/>
  <c r="E3531" i="55"/>
  <c r="F3531" i="55"/>
  <c r="H3531" i="55"/>
  <c r="E3532" i="55"/>
  <c r="F3532" i="55"/>
  <c r="H3532" i="55"/>
  <c r="E3533" i="55"/>
  <c r="F3533" i="55"/>
  <c r="H3533" i="55"/>
  <c r="E3534" i="55"/>
  <c r="F3534" i="55"/>
  <c r="H3534" i="55"/>
  <c r="E3535" i="55"/>
  <c r="F3535" i="55"/>
  <c r="H3535" i="55"/>
  <c r="E3536" i="55"/>
  <c r="F3536" i="55"/>
  <c r="H3536" i="55"/>
  <c r="E3537" i="55"/>
  <c r="F3537" i="55"/>
  <c r="H3537" i="55"/>
  <c r="E3538" i="55"/>
  <c r="F3538" i="55"/>
  <c r="H3538" i="55"/>
  <c r="E3539" i="55"/>
  <c r="F3539" i="55"/>
  <c r="H3539" i="55"/>
  <c r="E3540" i="55"/>
  <c r="F3540" i="55"/>
  <c r="H3540" i="55"/>
  <c r="E3541" i="55"/>
  <c r="F3541" i="55"/>
  <c r="H3541" i="55"/>
  <c r="E3542" i="55"/>
  <c r="F3542" i="55"/>
  <c r="H3542" i="55"/>
  <c r="E3543" i="55"/>
  <c r="F3543" i="55"/>
  <c r="H3543" i="55"/>
  <c r="E3544" i="55"/>
  <c r="F3544" i="55"/>
  <c r="H3544" i="55"/>
  <c r="E3545" i="55"/>
  <c r="F3545" i="55"/>
  <c r="H3545" i="55"/>
  <c r="E3546" i="55"/>
  <c r="F3546" i="55"/>
  <c r="H3546" i="55"/>
  <c r="E3547" i="55"/>
  <c r="F3547" i="55"/>
  <c r="H3547" i="55"/>
  <c r="E3548" i="55"/>
  <c r="F3548" i="55"/>
  <c r="H3548" i="55"/>
  <c r="E3549" i="55"/>
  <c r="F3549" i="55"/>
  <c r="H3549" i="55"/>
  <c r="E3550" i="55"/>
  <c r="F3550" i="55"/>
  <c r="H3550" i="55"/>
  <c r="E3551" i="55"/>
  <c r="F3551" i="55"/>
  <c r="H3551" i="55"/>
  <c r="E3552" i="55"/>
  <c r="F3552" i="55"/>
  <c r="H3552" i="55"/>
  <c r="E3553" i="55"/>
  <c r="F3553" i="55"/>
  <c r="H3553" i="55"/>
  <c r="E3554" i="55"/>
  <c r="F3554" i="55"/>
  <c r="H3554" i="55"/>
  <c r="E3555" i="55"/>
  <c r="F3555" i="55"/>
  <c r="H3555" i="55"/>
  <c r="E3556" i="55"/>
  <c r="F3556" i="55"/>
  <c r="H3556" i="55"/>
  <c r="E3557" i="55"/>
  <c r="F3557" i="55"/>
  <c r="H3557" i="55"/>
  <c r="E3558" i="55"/>
  <c r="F3558" i="55"/>
  <c r="H3558" i="55"/>
  <c r="E3559" i="55"/>
  <c r="F3559" i="55"/>
  <c r="H3559" i="55"/>
  <c r="E3560" i="55"/>
  <c r="F3560" i="55"/>
  <c r="H3560" i="55"/>
  <c r="E3561" i="55"/>
  <c r="F3561" i="55"/>
  <c r="H3561" i="55"/>
  <c r="E3562" i="55"/>
  <c r="F3562" i="55"/>
  <c r="H3562" i="55"/>
  <c r="E3563" i="55"/>
  <c r="F3563" i="55"/>
  <c r="H3563" i="55"/>
  <c r="E3564" i="55"/>
  <c r="F3564" i="55"/>
  <c r="H3564" i="55"/>
  <c r="E3565" i="55"/>
  <c r="F3565" i="55"/>
  <c r="H3565" i="55"/>
  <c r="E3566" i="55"/>
  <c r="F3566" i="55"/>
  <c r="H3566" i="55"/>
  <c r="E3568" i="55"/>
  <c r="F3568" i="55"/>
  <c r="H3568" i="55"/>
  <c r="E3569" i="55"/>
  <c r="F3569" i="55"/>
  <c r="H3569" i="55"/>
  <c r="E3570" i="55"/>
  <c r="F3570" i="55"/>
  <c r="H3570" i="55"/>
  <c r="E3571" i="55"/>
  <c r="F3571" i="55"/>
  <c r="H3571" i="55"/>
  <c r="E3572" i="55"/>
  <c r="F3572" i="55"/>
  <c r="H3572" i="55"/>
  <c r="E3573" i="55"/>
  <c r="F3573" i="55"/>
  <c r="H3573" i="55"/>
  <c r="E3574" i="55"/>
  <c r="F3574" i="55"/>
  <c r="H3574" i="55"/>
  <c r="E3575" i="55"/>
  <c r="F3575" i="55"/>
  <c r="H3575" i="55"/>
  <c r="E3576" i="55"/>
  <c r="F3576" i="55"/>
  <c r="H3576" i="55"/>
  <c r="E3577" i="55"/>
  <c r="F3577" i="55"/>
  <c r="H3577" i="55"/>
  <c r="E3578" i="55"/>
  <c r="F3578" i="55"/>
  <c r="H3578" i="55"/>
  <c r="E3579" i="55"/>
  <c r="F3579" i="55"/>
  <c r="H3579" i="55"/>
  <c r="E3580" i="55"/>
  <c r="F3580" i="55"/>
  <c r="H3580" i="55"/>
  <c r="E3581" i="55"/>
  <c r="F3581" i="55"/>
  <c r="H3581" i="55"/>
  <c r="E3582" i="55"/>
  <c r="F3582" i="55"/>
  <c r="H3582" i="55"/>
  <c r="E3583" i="55"/>
  <c r="F3583" i="55"/>
  <c r="H3583" i="55"/>
  <c r="E3584" i="55"/>
  <c r="F3584" i="55"/>
  <c r="H3584" i="55"/>
  <c r="E3585" i="55"/>
  <c r="F3585" i="55"/>
  <c r="H3585" i="55"/>
  <c r="E3586" i="55"/>
  <c r="F3586" i="55"/>
  <c r="H3586" i="55"/>
  <c r="E3587" i="55"/>
  <c r="F3587" i="55"/>
  <c r="H3587" i="55"/>
  <c r="E3588" i="55"/>
  <c r="F3588" i="55"/>
  <c r="H3588" i="55"/>
  <c r="E3589" i="55"/>
  <c r="F3589" i="55"/>
  <c r="H3589" i="55"/>
  <c r="E3590" i="55"/>
  <c r="F3590" i="55"/>
  <c r="H3590" i="55"/>
  <c r="E3591" i="55"/>
  <c r="F3591" i="55"/>
  <c r="H3591" i="55"/>
  <c r="E3592" i="55"/>
  <c r="F3592" i="55"/>
  <c r="H3592" i="55"/>
  <c r="E3593" i="55"/>
  <c r="F3593" i="55"/>
  <c r="H3593" i="55"/>
  <c r="E3594" i="55"/>
  <c r="F3594" i="55"/>
  <c r="H3594" i="55"/>
  <c r="E3595" i="55"/>
  <c r="F3595" i="55"/>
  <c r="H3595" i="55"/>
  <c r="E3596" i="55"/>
  <c r="F3596" i="55"/>
  <c r="H3596" i="55"/>
  <c r="E3597" i="55"/>
  <c r="F3597" i="55"/>
  <c r="H3597" i="55"/>
  <c r="E3598" i="55"/>
  <c r="F3598" i="55"/>
  <c r="H3598" i="55"/>
  <c r="E3599" i="55"/>
  <c r="F3599" i="55"/>
  <c r="H3599" i="55"/>
  <c r="E3600" i="55"/>
  <c r="F3600" i="55"/>
  <c r="H3600" i="55"/>
  <c r="E3601" i="55"/>
  <c r="F3601" i="55"/>
  <c r="H3601" i="55"/>
  <c r="E3602" i="55"/>
  <c r="F3602" i="55"/>
  <c r="H3602" i="55"/>
  <c r="E3603" i="55"/>
  <c r="F3603" i="55"/>
  <c r="H3603" i="55"/>
  <c r="E3604" i="55"/>
  <c r="F3604" i="55"/>
  <c r="H3604" i="55"/>
  <c r="E3605" i="55"/>
  <c r="F3605" i="55"/>
  <c r="H3605" i="55"/>
  <c r="E3606" i="55"/>
  <c r="F3606" i="55"/>
  <c r="H3606" i="55"/>
  <c r="E3607" i="55"/>
  <c r="F3607" i="55"/>
  <c r="H3607" i="55"/>
  <c r="E3608" i="55"/>
  <c r="F3608" i="55"/>
  <c r="H3608" i="55"/>
  <c r="E3609" i="55"/>
  <c r="F3609" i="55"/>
  <c r="H3609" i="55"/>
  <c r="E3610" i="55"/>
  <c r="F3610" i="55"/>
  <c r="H3610" i="55"/>
  <c r="E3611" i="55"/>
  <c r="F3611" i="55"/>
  <c r="H3611" i="55"/>
  <c r="E3612" i="55"/>
  <c r="F3612" i="55"/>
  <c r="H3612" i="55"/>
  <c r="E3613" i="55"/>
  <c r="F3613" i="55"/>
  <c r="H3613" i="55"/>
  <c r="E3614" i="55"/>
  <c r="F3614" i="55"/>
  <c r="H3614" i="55"/>
  <c r="E3615" i="55"/>
  <c r="F3615" i="55"/>
  <c r="H3615" i="55"/>
  <c r="E3616" i="55"/>
  <c r="F3616" i="55"/>
  <c r="H3616" i="55"/>
  <c r="E3617" i="55"/>
  <c r="F3617" i="55"/>
  <c r="H3617" i="55"/>
  <c r="E3618" i="55"/>
  <c r="F3618" i="55"/>
  <c r="H3618" i="55"/>
  <c r="E3619" i="55"/>
  <c r="F3619" i="55"/>
  <c r="H3619" i="55"/>
  <c r="E3620" i="55"/>
  <c r="F3620" i="55"/>
  <c r="H3620" i="55"/>
  <c r="E3621" i="55"/>
  <c r="F3621" i="55"/>
  <c r="H3621" i="55"/>
  <c r="E3622" i="55"/>
  <c r="F3622" i="55"/>
  <c r="H3622" i="55"/>
  <c r="E3623" i="55"/>
  <c r="F3623" i="55"/>
  <c r="H3623" i="55"/>
  <c r="E3624" i="55"/>
  <c r="F3624" i="55"/>
  <c r="H3624" i="55"/>
  <c r="E3625" i="55"/>
  <c r="F3625" i="55"/>
  <c r="H3625" i="55"/>
  <c r="E3626" i="55"/>
  <c r="F3626" i="55"/>
  <c r="H3626" i="55"/>
  <c r="E3627" i="55"/>
  <c r="F3627" i="55"/>
  <c r="H3627" i="55"/>
  <c r="E3629" i="55"/>
  <c r="F3629" i="55"/>
  <c r="H3629" i="55"/>
  <c r="E3630" i="55"/>
  <c r="F3630" i="55"/>
  <c r="H3630" i="55"/>
  <c r="E3631" i="55"/>
  <c r="F3631" i="55"/>
  <c r="H3631" i="55"/>
  <c r="E3632" i="55"/>
  <c r="F3632" i="55"/>
  <c r="H3632" i="55"/>
  <c r="E3633" i="55"/>
  <c r="F3633" i="55"/>
  <c r="H3633" i="55"/>
  <c r="E3634" i="55"/>
  <c r="F3634" i="55"/>
  <c r="H3634" i="55"/>
  <c r="E3635" i="55"/>
  <c r="F3635" i="55"/>
  <c r="H3635" i="55"/>
  <c r="E3636" i="55"/>
  <c r="F3636" i="55"/>
  <c r="H3636" i="55"/>
  <c r="E3637" i="55"/>
  <c r="F3637" i="55"/>
  <c r="H3637" i="55"/>
  <c r="E3638" i="55"/>
  <c r="F3638" i="55"/>
  <c r="H3638" i="55"/>
  <c r="E3639" i="55"/>
  <c r="F3639" i="55"/>
  <c r="H3639" i="55"/>
  <c r="E3640" i="55"/>
  <c r="F3640" i="55"/>
  <c r="H3640" i="55"/>
  <c r="E3641" i="55"/>
  <c r="F3641" i="55"/>
  <c r="H3641" i="55"/>
  <c r="E3642" i="55"/>
  <c r="F3642" i="55"/>
  <c r="H3642" i="55"/>
  <c r="E3643" i="55"/>
  <c r="F3643" i="55"/>
  <c r="H3643" i="55"/>
  <c r="E3644" i="55"/>
  <c r="F3644" i="55"/>
  <c r="H3644" i="55"/>
  <c r="E3645" i="55"/>
  <c r="F3645" i="55"/>
  <c r="H3645" i="55"/>
  <c r="E3646" i="55"/>
  <c r="F3646" i="55"/>
  <c r="H3646" i="55"/>
  <c r="H7615" i="55"/>
  <c r="E7615" i="55"/>
  <c r="H7614" i="55"/>
  <c r="E7614" i="55"/>
  <c r="H7613" i="55"/>
  <c r="E7613" i="55"/>
  <c r="H7612" i="55"/>
  <c r="E7612" i="55"/>
  <c r="H7611" i="55"/>
  <c r="E7611" i="55"/>
  <c r="H7610" i="55"/>
  <c r="E7610" i="55"/>
  <c r="H7609" i="55"/>
  <c r="E7609" i="55"/>
  <c r="H7608" i="55"/>
  <c r="E7608" i="55"/>
  <c r="H7607" i="55"/>
  <c r="E7607" i="55"/>
  <c r="H7606" i="55"/>
  <c r="E7606" i="55"/>
  <c r="H7605" i="55"/>
  <c r="E7605" i="55"/>
  <c r="H7604" i="55"/>
  <c r="E7604" i="55"/>
  <c r="H7603" i="55"/>
  <c r="E7603" i="55"/>
  <c r="H7602" i="55"/>
  <c r="E7602" i="55"/>
  <c r="H7601" i="55"/>
  <c r="E7601" i="55"/>
  <c r="H7600" i="55"/>
  <c r="E7600" i="55"/>
  <c r="H7599" i="55"/>
  <c r="E7599" i="55"/>
  <c r="H7598" i="55"/>
  <c r="E7598" i="55"/>
  <c r="H7597" i="55"/>
  <c r="E7597" i="55"/>
  <c r="H7596" i="55"/>
  <c r="E7596" i="55"/>
  <c r="H7595" i="55"/>
  <c r="E7595" i="55"/>
  <c r="H7594" i="55"/>
  <c r="E7594" i="55"/>
  <c r="H7593" i="55"/>
  <c r="E7593" i="55"/>
  <c r="H7592" i="55"/>
  <c r="E7592" i="55"/>
  <c r="H7591" i="55"/>
  <c r="E7591" i="55"/>
  <c r="H7590" i="55"/>
  <c r="E7590" i="55"/>
  <c r="H7589" i="55"/>
  <c r="E7589" i="55"/>
  <c r="H7588" i="55"/>
  <c r="E7588" i="55"/>
  <c r="H7587" i="55"/>
  <c r="E7587" i="55"/>
  <c r="H7586" i="55"/>
  <c r="E7586" i="55"/>
  <c r="H7585" i="55"/>
  <c r="E7585" i="55"/>
  <c r="H7584" i="55"/>
  <c r="E7584" i="55"/>
  <c r="H7583" i="55"/>
  <c r="E7583" i="55"/>
  <c r="H7582" i="55"/>
  <c r="E7582" i="55"/>
  <c r="F7580" i="55"/>
  <c r="F7579" i="55"/>
  <c r="F7578" i="55"/>
  <c r="F7577" i="55"/>
  <c r="F7576" i="55"/>
  <c r="F7575" i="55"/>
  <c r="F7574" i="55"/>
  <c r="F7573" i="55"/>
  <c r="F7572" i="55"/>
  <c r="F7571" i="55"/>
  <c r="F7570" i="55"/>
  <c r="F7569" i="55"/>
  <c r="F7568" i="55"/>
  <c r="F7567" i="55"/>
  <c r="F7566" i="55"/>
  <c r="F7565" i="55"/>
  <c r="F7564" i="55"/>
  <c r="F7563" i="55"/>
  <c r="F7562" i="55"/>
  <c r="F7561" i="55"/>
  <c r="F7560" i="55"/>
  <c r="F7559" i="55"/>
  <c r="F7558" i="55"/>
  <c r="F7557" i="55"/>
  <c r="F7556" i="55"/>
  <c r="F7555" i="55"/>
  <c r="H7553" i="55"/>
  <c r="F7553" i="55"/>
  <c r="E7553" i="55"/>
  <c r="H7552" i="55"/>
  <c r="F7552" i="55"/>
  <c r="E7552" i="55"/>
  <c r="H7551" i="55"/>
  <c r="F7551" i="55"/>
  <c r="E7551" i="55"/>
  <c r="H7550" i="55"/>
  <c r="F7550" i="55"/>
  <c r="E7550" i="55"/>
  <c r="H7549" i="55"/>
  <c r="F7549" i="55"/>
  <c r="E7549" i="55"/>
  <c r="H7548" i="55"/>
  <c r="F7548" i="55"/>
  <c r="E7548" i="55"/>
  <c r="H7547" i="55"/>
  <c r="F7547" i="55"/>
  <c r="E7547" i="55"/>
  <c r="H7546" i="55"/>
  <c r="F7546" i="55"/>
  <c r="E7546" i="55"/>
  <c r="H7545" i="55"/>
  <c r="F7545" i="55"/>
  <c r="E7545" i="55"/>
  <c r="H7544" i="55"/>
  <c r="F7544" i="55"/>
  <c r="E7544" i="55"/>
  <c r="H7543" i="55"/>
  <c r="F7543" i="55"/>
  <c r="E7543" i="55"/>
  <c r="H7542" i="55"/>
  <c r="F7542" i="55"/>
  <c r="E7542" i="55"/>
  <c r="H7541" i="55"/>
  <c r="F7541" i="55"/>
  <c r="E7541" i="55"/>
  <c r="H7540" i="55"/>
  <c r="F7540" i="55"/>
  <c r="E7540" i="55"/>
  <c r="H7539" i="55"/>
  <c r="F7539" i="55"/>
  <c r="E7539" i="55"/>
  <c r="H7538" i="55"/>
  <c r="F7538" i="55"/>
  <c r="E7538" i="55"/>
  <c r="H7537" i="55"/>
  <c r="F7537" i="55"/>
  <c r="E7537" i="55"/>
  <c r="H7536" i="55"/>
  <c r="F7536" i="55"/>
  <c r="E7536" i="55"/>
  <c r="H7535" i="55"/>
  <c r="F7535" i="55"/>
  <c r="E7535" i="55"/>
  <c r="H7534" i="55"/>
  <c r="F7534" i="55"/>
  <c r="E7534" i="55"/>
  <c r="H7533" i="55"/>
  <c r="F7533" i="55"/>
  <c r="E7533" i="55"/>
  <c r="H7532" i="55"/>
  <c r="F7532" i="55"/>
  <c r="E7532" i="55"/>
  <c r="H7531" i="55"/>
  <c r="F7531" i="55"/>
  <c r="E7531" i="55"/>
  <c r="H7530" i="55"/>
  <c r="F7530" i="55"/>
  <c r="E7530" i="55"/>
  <c r="H7529" i="55"/>
  <c r="F7529" i="55"/>
  <c r="E7529" i="55"/>
  <c r="H7528" i="55"/>
  <c r="F7528" i="55"/>
  <c r="E7528" i="55"/>
  <c r="H7527" i="55"/>
  <c r="F7527" i="55"/>
  <c r="E7527" i="55"/>
  <c r="H7526" i="55"/>
  <c r="F7526" i="55"/>
  <c r="E7526" i="55"/>
  <c r="H7525" i="55"/>
  <c r="F7525" i="55"/>
  <c r="E7525" i="55"/>
  <c r="H7524" i="55"/>
  <c r="F7524" i="55"/>
  <c r="E7524" i="55"/>
  <c r="H7523" i="55"/>
  <c r="F7523" i="55"/>
  <c r="E7523" i="55"/>
  <c r="H7522" i="55"/>
  <c r="F7522" i="55"/>
  <c r="E7522" i="55"/>
  <c r="H7521" i="55"/>
  <c r="F7521" i="55"/>
  <c r="E7521" i="55"/>
  <c r="H7520" i="55"/>
  <c r="F7520" i="55"/>
  <c r="E7520" i="55"/>
  <c r="H7518" i="55"/>
  <c r="F7518" i="55"/>
  <c r="E7518" i="55"/>
  <c r="H7517" i="55"/>
  <c r="F7517" i="55"/>
  <c r="E7517" i="55"/>
  <c r="H7516" i="55"/>
  <c r="F7516" i="55"/>
  <c r="E7516" i="55"/>
  <c r="H7515" i="55"/>
  <c r="F7515" i="55"/>
  <c r="E7515" i="55"/>
  <c r="H7514" i="55"/>
  <c r="F7514" i="55"/>
  <c r="E7514" i="55"/>
  <c r="H7513" i="55"/>
  <c r="F7513" i="55"/>
  <c r="E7513" i="55"/>
  <c r="H7512" i="55"/>
  <c r="F7512" i="55"/>
  <c r="E7512" i="55"/>
  <c r="H7511" i="55"/>
  <c r="F7511" i="55"/>
  <c r="E7511" i="55"/>
  <c r="H7510" i="55"/>
  <c r="F7510" i="55"/>
  <c r="E7510" i="55"/>
  <c r="H7509" i="55"/>
  <c r="F7509" i="55"/>
  <c r="E7509" i="55"/>
  <c r="H7508" i="55"/>
  <c r="F7508" i="55"/>
  <c r="E7508" i="55"/>
  <c r="H7507" i="55"/>
  <c r="F7507" i="55"/>
  <c r="E7507" i="55"/>
  <c r="H7506" i="55"/>
  <c r="F7506" i="55"/>
  <c r="E7506" i="55"/>
  <c r="H7505" i="55"/>
  <c r="F7505" i="55"/>
  <c r="E7505" i="55"/>
  <c r="H7504" i="55"/>
  <c r="F7504" i="55"/>
  <c r="E7504" i="55"/>
  <c r="H7503" i="55"/>
  <c r="F7503" i="55"/>
  <c r="E7503" i="55"/>
  <c r="H7502" i="55"/>
  <c r="F7502" i="55"/>
  <c r="E7502" i="55"/>
  <c r="H7501" i="55"/>
  <c r="F7501" i="55"/>
  <c r="E7501" i="55"/>
  <c r="H7500" i="55"/>
  <c r="F7500" i="55"/>
  <c r="E7500" i="55"/>
  <c r="H7499" i="55"/>
  <c r="F7499" i="55"/>
  <c r="E7499" i="55"/>
  <c r="H7498" i="55"/>
  <c r="F7498" i="55"/>
  <c r="E7498" i="55"/>
  <c r="H7497" i="55"/>
  <c r="F7497" i="55"/>
  <c r="E7497" i="55"/>
  <c r="H7496" i="55"/>
  <c r="F7496" i="55"/>
  <c r="E7496" i="55"/>
  <c r="H7495" i="55"/>
  <c r="F7495" i="55"/>
  <c r="E7495" i="55"/>
  <c r="H7494" i="55"/>
  <c r="F7494" i="55"/>
  <c r="E7494" i="55"/>
  <c r="H7493" i="55"/>
  <c r="F7493" i="55"/>
  <c r="E7493" i="55"/>
  <c r="H7492" i="55"/>
  <c r="F7492" i="55"/>
  <c r="E7492" i="55"/>
  <c r="H7491" i="55"/>
  <c r="F7491" i="55"/>
  <c r="E7491" i="55"/>
  <c r="H7490" i="55"/>
  <c r="F7490" i="55"/>
  <c r="E7490" i="55"/>
  <c r="H7489" i="55"/>
  <c r="F7489" i="55"/>
  <c r="E7489" i="55"/>
  <c r="H7488" i="55"/>
  <c r="F7488" i="55"/>
  <c r="E7488" i="55"/>
  <c r="H7487" i="55"/>
  <c r="F7487" i="55"/>
  <c r="E7487" i="55"/>
  <c r="H7486" i="55"/>
  <c r="F7486" i="55"/>
  <c r="E7486" i="55"/>
  <c r="H7485" i="55"/>
  <c r="F7485" i="55"/>
  <c r="E7485" i="55"/>
  <c r="H7483" i="55"/>
  <c r="F7483" i="55"/>
  <c r="E7483" i="55"/>
  <c r="H7482" i="55"/>
  <c r="F7482" i="55"/>
  <c r="E7482" i="55"/>
  <c r="H7481" i="55"/>
  <c r="F7481" i="55"/>
  <c r="E7481" i="55"/>
  <c r="H7480" i="55"/>
  <c r="F7480" i="55"/>
  <c r="E7480" i="55"/>
  <c r="H7479" i="55"/>
  <c r="F7479" i="55"/>
  <c r="E7479" i="55"/>
  <c r="H7478" i="55"/>
  <c r="F7478" i="55"/>
  <c r="E7478" i="55"/>
  <c r="H7477" i="55"/>
  <c r="F7477" i="55"/>
  <c r="E7477" i="55"/>
  <c r="H7476" i="55"/>
  <c r="F7476" i="55"/>
  <c r="E7476" i="55"/>
  <c r="H7475" i="55"/>
  <c r="F7475" i="55"/>
  <c r="E7475" i="55"/>
  <c r="H7474" i="55"/>
  <c r="F7474" i="55"/>
  <c r="E7474" i="55"/>
  <c r="H7473" i="55"/>
  <c r="F7473" i="55"/>
  <c r="E7473" i="55"/>
  <c r="H7472" i="55"/>
  <c r="F7472" i="55"/>
  <c r="E7472" i="55"/>
  <c r="H7471" i="55"/>
  <c r="F7471" i="55"/>
  <c r="E7471" i="55"/>
  <c r="H7470" i="55"/>
  <c r="F7470" i="55"/>
  <c r="E7470" i="55"/>
  <c r="H7469" i="55"/>
  <c r="F7469" i="55"/>
  <c r="E7469" i="55"/>
  <c r="H7468" i="55"/>
  <c r="F7468" i="55"/>
  <c r="E7468" i="55"/>
  <c r="H7467" i="55"/>
  <c r="F7467" i="55"/>
  <c r="E7467" i="55"/>
  <c r="H7466" i="55"/>
  <c r="F7466" i="55"/>
  <c r="E7466" i="55"/>
  <c r="H7465" i="55"/>
  <c r="F7465" i="55"/>
  <c r="E7465" i="55"/>
  <c r="H7464" i="55"/>
  <c r="F7464" i="55"/>
  <c r="E7464" i="55"/>
  <c r="H7463" i="55"/>
  <c r="F7463" i="55"/>
  <c r="E7463" i="55"/>
  <c r="H7462" i="55"/>
  <c r="F7462" i="55"/>
  <c r="E7462" i="55"/>
  <c r="H7461" i="55"/>
  <c r="F7461" i="55"/>
  <c r="E7461" i="55"/>
  <c r="H7460" i="55"/>
  <c r="F7460" i="55"/>
  <c r="E7460" i="55"/>
  <c r="H7459" i="55"/>
  <c r="F7459" i="55"/>
  <c r="E7459" i="55"/>
  <c r="H7458" i="55"/>
  <c r="F7458" i="55"/>
  <c r="E7458" i="55"/>
  <c r="H7457" i="55"/>
  <c r="F7457" i="55"/>
  <c r="E7457" i="55"/>
  <c r="H7456" i="55"/>
  <c r="F7456" i="55"/>
  <c r="E7456" i="55"/>
  <c r="H7455" i="55"/>
  <c r="F7455" i="55"/>
  <c r="E7455" i="55"/>
  <c r="H7454" i="55"/>
  <c r="F7454" i="55"/>
  <c r="E7454" i="55"/>
  <c r="H7453" i="55"/>
  <c r="F7453" i="55"/>
  <c r="E7453" i="55"/>
  <c r="H7452" i="55"/>
  <c r="F7452" i="55"/>
  <c r="E7452" i="55"/>
  <c r="H7451" i="55"/>
  <c r="F7451" i="55"/>
  <c r="E7451" i="55"/>
  <c r="H7450" i="55"/>
  <c r="F7450" i="55"/>
  <c r="E7450" i="55"/>
  <c r="H7448" i="55"/>
  <c r="F7448" i="55"/>
  <c r="E7448" i="55"/>
  <c r="H7447" i="55"/>
  <c r="F7447" i="55"/>
  <c r="E7447" i="55"/>
  <c r="H7446" i="55"/>
  <c r="F7446" i="55"/>
  <c r="E7446" i="55"/>
  <c r="H7445" i="55"/>
  <c r="F7445" i="55"/>
  <c r="E7445" i="55"/>
  <c r="H7444" i="55"/>
  <c r="F7444" i="55"/>
  <c r="E7444" i="55"/>
  <c r="H7443" i="55"/>
  <c r="F7443" i="55"/>
  <c r="E7443" i="55"/>
  <c r="H7442" i="55"/>
  <c r="F7442" i="55"/>
  <c r="E7442" i="55"/>
  <c r="H7441" i="55"/>
  <c r="F7441" i="55"/>
  <c r="E7441" i="55"/>
  <c r="H7440" i="55"/>
  <c r="F7440" i="55"/>
  <c r="E7440" i="55"/>
  <c r="H7439" i="55"/>
  <c r="F7439" i="55"/>
  <c r="E7439" i="55"/>
  <c r="H7438" i="55"/>
  <c r="F7438" i="55"/>
  <c r="E7438" i="55"/>
  <c r="H7437" i="55"/>
  <c r="F7437" i="55"/>
  <c r="E7437" i="55"/>
  <c r="H7436" i="55"/>
  <c r="F7436" i="55"/>
  <c r="E7436" i="55"/>
  <c r="H7435" i="55"/>
  <c r="F7435" i="55"/>
  <c r="E7435" i="55"/>
  <c r="H7434" i="55"/>
  <c r="F7434" i="55"/>
  <c r="E7434" i="55"/>
  <c r="H7433" i="55"/>
  <c r="F7433" i="55"/>
  <c r="E7433" i="55"/>
  <c r="H7432" i="55"/>
  <c r="F7432" i="55"/>
  <c r="E7432" i="55"/>
  <c r="H7431" i="55"/>
  <c r="F7431" i="55"/>
  <c r="E7431" i="55"/>
  <c r="H7430" i="55"/>
  <c r="F7430" i="55"/>
  <c r="E7430" i="55"/>
  <c r="H7429" i="55"/>
  <c r="F7429" i="55"/>
  <c r="E7429" i="55"/>
  <c r="H7428" i="55"/>
  <c r="F7428" i="55"/>
  <c r="E7428" i="55"/>
  <c r="H7427" i="55"/>
  <c r="F7427" i="55"/>
  <c r="E7427" i="55"/>
  <c r="H7426" i="55"/>
  <c r="F7426" i="55"/>
  <c r="E7426" i="55"/>
  <c r="H7425" i="55"/>
  <c r="F7425" i="55"/>
  <c r="E7425" i="55"/>
  <c r="H7424" i="55"/>
  <c r="F7424" i="55"/>
  <c r="E7424" i="55"/>
  <c r="H7423" i="55"/>
  <c r="F7423" i="55"/>
  <c r="E7423" i="55"/>
  <c r="H7422" i="55"/>
  <c r="F7422" i="55"/>
  <c r="E7422" i="55"/>
  <c r="H7421" i="55"/>
  <c r="F7421" i="55"/>
  <c r="E7421" i="55"/>
  <c r="H7420" i="55"/>
  <c r="F7420" i="55"/>
  <c r="E7420" i="55"/>
  <c r="H7419" i="55"/>
  <c r="F7419" i="55"/>
  <c r="E7419" i="55"/>
  <c r="H7418" i="55"/>
  <c r="F7418" i="55"/>
  <c r="E7418" i="55"/>
  <c r="H7417" i="55"/>
  <c r="F7417" i="55"/>
  <c r="E7417" i="55"/>
  <c r="H7416" i="55"/>
  <c r="F7416" i="55"/>
  <c r="E7416" i="55"/>
  <c r="H7415" i="55"/>
  <c r="F7415" i="55"/>
  <c r="E7415" i="55"/>
  <c r="H7413" i="55"/>
  <c r="F7413" i="55"/>
  <c r="E7413" i="55"/>
  <c r="H7412" i="55"/>
  <c r="F7412" i="55"/>
  <c r="E7412" i="55"/>
  <c r="H7411" i="55"/>
  <c r="F7411" i="55"/>
  <c r="E7411" i="55"/>
  <c r="H7410" i="55"/>
  <c r="F7410" i="55"/>
  <c r="E7410" i="55"/>
  <c r="H7409" i="55"/>
  <c r="F7409" i="55"/>
  <c r="E7409" i="55"/>
  <c r="H7408" i="55"/>
  <c r="F7408" i="55"/>
  <c r="E7408" i="55"/>
  <c r="H7407" i="55"/>
  <c r="F7407" i="55"/>
  <c r="E7407" i="55"/>
  <c r="H7406" i="55"/>
  <c r="F7406" i="55"/>
  <c r="E7406" i="55"/>
  <c r="H7405" i="55"/>
  <c r="F7405" i="55"/>
  <c r="E7405" i="55"/>
  <c r="H7404" i="55"/>
  <c r="F7404" i="55"/>
  <c r="E7404" i="55"/>
  <c r="H7403" i="55"/>
  <c r="F7403" i="55"/>
  <c r="E7403" i="55"/>
  <c r="H7402" i="55"/>
  <c r="F7402" i="55"/>
  <c r="E7402" i="55"/>
  <c r="H7401" i="55"/>
  <c r="F7401" i="55"/>
  <c r="E7401" i="55"/>
  <c r="H7400" i="55"/>
  <c r="F7400" i="55"/>
  <c r="E7400" i="55"/>
  <c r="H7399" i="55"/>
  <c r="F7399" i="55"/>
  <c r="E7399" i="55"/>
  <c r="H7398" i="55"/>
  <c r="F7398" i="55"/>
  <c r="E7398" i="55"/>
  <c r="H7397" i="55"/>
  <c r="F7397" i="55"/>
  <c r="E7397" i="55"/>
  <c r="H7396" i="55"/>
  <c r="F7396" i="55"/>
  <c r="E7396" i="55"/>
  <c r="H7395" i="55"/>
  <c r="F7395" i="55"/>
  <c r="E7395" i="55"/>
  <c r="H7394" i="55"/>
  <c r="F7394" i="55"/>
  <c r="E7394" i="55"/>
  <c r="H7393" i="55"/>
  <c r="F7393" i="55"/>
  <c r="E7393" i="55"/>
  <c r="H7392" i="55"/>
  <c r="F7392" i="55"/>
  <c r="E7392" i="55"/>
  <c r="H7391" i="55"/>
  <c r="F7391" i="55"/>
  <c r="E7391" i="55"/>
  <c r="H7390" i="55"/>
  <c r="F7390" i="55"/>
  <c r="E7390" i="55"/>
  <c r="H7389" i="55"/>
  <c r="F7389" i="55"/>
  <c r="E7389" i="55"/>
  <c r="H7388" i="55"/>
  <c r="F7388" i="55"/>
  <c r="E7388" i="55"/>
  <c r="H7387" i="55"/>
  <c r="F7387" i="55"/>
  <c r="E7387" i="55"/>
  <c r="H7386" i="55"/>
  <c r="F7386" i="55"/>
  <c r="E7386" i="55"/>
  <c r="H7385" i="55"/>
  <c r="F7385" i="55"/>
  <c r="E7385" i="55"/>
  <c r="H7384" i="55"/>
  <c r="F7384" i="55"/>
  <c r="E7384" i="55"/>
  <c r="H7383" i="55"/>
  <c r="F7383" i="55"/>
  <c r="E7383" i="55"/>
  <c r="H7382" i="55"/>
  <c r="F7382" i="55"/>
  <c r="E7382" i="55"/>
  <c r="H7381" i="55"/>
  <c r="F7381" i="55"/>
  <c r="E7381" i="55"/>
  <c r="H7380" i="55"/>
  <c r="F7380" i="55"/>
  <c r="E7380" i="55"/>
  <c r="H7378" i="55"/>
  <c r="F7378" i="55"/>
  <c r="E7378" i="55"/>
  <c r="H7377" i="55"/>
  <c r="F7377" i="55"/>
  <c r="E7377" i="55"/>
  <c r="H7376" i="55"/>
  <c r="F7376" i="55"/>
  <c r="E7376" i="55"/>
  <c r="H7375" i="55"/>
  <c r="F7375" i="55"/>
  <c r="E7375" i="55"/>
  <c r="H7374" i="55"/>
  <c r="F7374" i="55"/>
  <c r="E7374" i="55"/>
  <c r="H7373" i="55"/>
  <c r="F7373" i="55"/>
  <c r="E7373" i="55"/>
  <c r="H7372" i="55"/>
  <c r="F7372" i="55"/>
  <c r="E7372" i="55"/>
  <c r="H7371" i="55"/>
  <c r="F7371" i="55"/>
  <c r="E7371" i="55"/>
  <c r="H7370" i="55"/>
  <c r="F7370" i="55"/>
  <c r="E7370" i="55"/>
  <c r="H7369" i="55"/>
  <c r="F7369" i="55"/>
  <c r="E7369" i="55"/>
  <c r="H7368" i="55"/>
  <c r="F7368" i="55"/>
  <c r="E7368" i="55"/>
  <c r="H7367" i="55"/>
  <c r="F7367" i="55"/>
  <c r="E7367" i="55"/>
  <c r="H7366" i="55"/>
  <c r="F7366" i="55"/>
  <c r="E7366" i="55"/>
  <c r="H7365" i="55"/>
  <c r="F7365" i="55"/>
  <c r="E7365" i="55"/>
  <c r="H7364" i="55"/>
  <c r="F7364" i="55"/>
  <c r="E7364" i="55"/>
  <c r="H7363" i="55"/>
  <c r="F7363" i="55"/>
  <c r="E7363" i="55"/>
  <c r="H7362" i="55"/>
  <c r="F7362" i="55"/>
  <c r="E7362" i="55"/>
  <c r="H7361" i="55"/>
  <c r="F7361" i="55"/>
  <c r="E7361" i="55"/>
  <c r="H7360" i="55"/>
  <c r="F7360" i="55"/>
  <c r="E7360" i="55"/>
  <c r="H7359" i="55"/>
  <c r="F7359" i="55"/>
  <c r="E7359" i="55"/>
  <c r="H7358" i="55"/>
  <c r="F7358" i="55"/>
  <c r="E7358" i="55"/>
  <c r="H7357" i="55"/>
  <c r="F7357" i="55"/>
  <c r="E7357" i="55"/>
  <c r="H7356" i="55"/>
  <c r="F7356" i="55"/>
  <c r="E7356" i="55"/>
  <c r="H7355" i="55"/>
  <c r="F7355" i="55"/>
  <c r="E7355" i="55"/>
  <c r="H7354" i="55"/>
  <c r="F7354" i="55"/>
  <c r="E7354" i="55"/>
  <c r="H7353" i="55"/>
  <c r="F7353" i="55"/>
  <c r="E7353" i="55"/>
  <c r="H7352" i="55"/>
  <c r="F7352" i="55"/>
  <c r="E7352" i="55"/>
  <c r="H7351" i="55"/>
  <c r="F7351" i="55"/>
  <c r="E7351" i="55"/>
  <c r="H7350" i="55"/>
  <c r="F7350" i="55"/>
  <c r="E7350" i="55"/>
  <c r="H7349" i="55"/>
  <c r="F7349" i="55"/>
  <c r="E7349" i="55"/>
  <c r="H7348" i="55"/>
  <c r="F7348" i="55"/>
  <c r="E7348" i="55"/>
  <c r="H7347" i="55"/>
  <c r="F7347" i="55"/>
  <c r="E7347" i="55"/>
  <c r="H7346" i="55"/>
  <c r="F7346" i="55"/>
  <c r="E7346" i="55"/>
  <c r="H7345" i="55"/>
  <c r="F7345" i="55"/>
  <c r="E7345" i="55"/>
  <c r="H7343" i="55"/>
  <c r="F7343" i="55"/>
  <c r="E7343" i="55"/>
  <c r="H7342" i="55"/>
  <c r="F7342" i="55"/>
  <c r="E7342" i="55"/>
  <c r="H7341" i="55"/>
  <c r="F7341" i="55"/>
  <c r="E7341" i="55"/>
  <c r="H7340" i="55"/>
  <c r="F7340" i="55"/>
  <c r="E7340" i="55"/>
  <c r="H7339" i="55"/>
  <c r="F7339" i="55"/>
  <c r="E7339" i="55"/>
  <c r="H7338" i="55"/>
  <c r="F7338" i="55"/>
  <c r="E7338" i="55"/>
  <c r="H7337" i="55"/>
  <c r="F7337" i="55"/>
  <c r="E7337" i="55"/>
  <c r="H7336" i="55"/>
  <c r="F7336" i="55"/>
  <c r="E7336" i="55"/>
  <c r="H7335" i="55"/>
  <c r="F7335" i="55"/>
  <c r="E7335" i="55"/>
  <c r="H7334" i="55"/>
  <c r="F7334" i="55"/>
  <c r="E7334" i="55"/>
  <c r="H7333" i="55"/>
  <c r="F7333" i="55"/>
  <c r="E7333" i="55"/>
  <c r="H7332" i="55"/>
  <c r="F7332" i="55"/>
  <c r="E7332" i="55"/>
  <c r="H7331" i="55"/>
  <c r="F7331" i="55"/>
  <c r="E7331" i="55"/>
  <c r="H7330" i="55"/>
  <c r="F7330" i="55"/>
  <c r="E7330" i="55"/>
  <c r="H7329" i="55"/>
  <c r="F7329" i="55"/>
  <c r="E7329" i="55"/>
  <c r="H7328" i="55"/>
  <c r="F7328" i="55"/>
  <c r="E7328" i="55"/>
  <c r="H7327" i="55"/>
  <c r="F7327" i="55"/>
  <c r="E7327" i="55"/>
  <c r="H7326" i="55"/>
  <c r="F7326" i="55"/>
  <c r="E7326" i="55"/>
  <c r="H7325" i="55"/>
  <c r="F7325" i="55"/>
  <c r="E7325" i="55"/>
  <c r="H7324" i="55"/>
  <c r="F7324" i="55"/>
  <c r="E7324" i="55"/>
  <c r="H7323" i="55"/>
  <c r="F7323" i="55"/>
  <c r="E7323" i="55"/>
  <c r="H7322" i="55"/>
  <c r="F7322" i="55"/>
  <c r="E7322" i="55"/>
  <c r="H7321" i="55"/>
  <c r="F7321" i="55"/>
  <c r="E7321" i="55"/>
  <c r="H7320" i="55"/>
  <c r="F7320" i="55"/>
  <c r="E7320" i="55"/>
  <c r="H7319" i="55"/>
  <c r="F7319" i="55"/>
  <c r="E7319" i="55"/>
  <c r="H7318" i="55"/>
  <c r="F7318" i="55"/>
  <c r="E7318" i="55"/>
  <c r="H7317" i="55"/>
  <c r="F7317" i="55"/>
  <c r="E7317" i="55"/>
  <c r="H7316" i="55"/>
  <c r="F7316" i="55"/>
  <c r="E7316" i="55"/>
  <c r="H7315" i="55"/>
  <c r="F7315" i="55"/>
  <c r="E7315" i="55"/>
  <c r="H7314" i="55"/>
  <c r="F7314" i="55"/>
  <c r="E7314" i="55"/>
  <c r="H7313" i="55"/>
  <c r="F7313" i="55"/>
  <c r="E7313" i="55"/>
  <c r="H7312" i="55"/>
  <c r="F7312" i="55"/>
  <c r="E7312" i="55"/>
  <c r="H7311" i="55"/>
  <c r="F7311" i="55"/>
  <c r="E7311" i="55"/>
  <c r="H7310" i="55"/>
  <c r="F7310" i="55"/>
  <c r="E7310" i="55"/>
  <c r="H7308" i="55"/>
  <c r="F7308" i="55"/>
  <c r="E7308" i="55"/>
  <c r="H7307" i="55"/>
  <c r="F7307" i="55"/>
  <c r="E7307" i="55"/>
  <c r="H7306" i="55"/>
  <c r="F7306" i="55"/>
  <c r="E7306" i="55"/>
  <c r="H7305" i="55"/>
  <c r="F7305" i="55"/>
  <c r="E7305" i="55"/>
  <c r="H7304" i="55"/>
  <c r="F7304" i="55"/>
  <c r="E7304" i="55"/>
  <c r="H7303" i="55"/>
  <c r="F7303" i="55"/>
  <c r="E7303" i="55"/>
  <c r="H7302" i="55"/>
  <c r="F7302" i="55"/>
  <c r="E7302" i="55"/>
  <c r="H7301" i="55"/>
  <c r="F7301" i="55"/>
  <c r="E7301" i="55"/>
  <c r="H7300" i="55"/>
  <c r="F7300" i="55"/>
  <c r="E7300" i="55"/>
  <c r="H7299" i="55"/>
  <c r="F7299" i="55"/>
  <c r="E7299" i="55"/>
  <c r="H7298" i="55"/>
  <c r="F7298" i="55"/>
  <c r="E7298" i="55"/>
  <c r="H7297" i="55"/>
  <c r="F7297" i="55"/>
  <c r="E7297" i="55"/>
  <c r="H7296" i="55"/>
  <c r="F7296" i="55"/>
  <c r="E7296" i="55"/>
  <c r="H7295" i="55"/>
  <c r="F7295" i="55"/>
  <c r="E7295" i="55"/>
  <c r="H7294" i="55"/>
  <c r="F7294" i="55"/>
  <c r="E7294" i="55"/>
  <c r="H7293" i="55"/>
  <c r="F7293" i="55"/>
  <c r="E7293" i="55"/>
  <c r="H7292" i="55"/>
  <c r="F7292" i="55"/>
  <c r="E7292" i="55"/>
  <c r="H7291" i="55"/>
  <c r="F7291" i="55"/>
  <c r="E7291" i="55"/>
  <c r="H7290" i="55"/>
  <c r="F7290" i="55"/>
  <c r="E7290" i="55"/>
  <c r="H7289" i="55"/>
  <c r="F7289" i="55"/>
  <c r="E7289" i="55"/>
  <c r="H7288" i="55"/>
  <c r="F7288" i="55"/>
  <c r="E7288" i="55"/>
  <c r="H7287" i="55"/>
  <c r="F7287" i="55"/>
  <c r="E7287" i="55"/>
  <c r="H7286" i="55"/>
  <c r="F7286" i="55"/>
  <c r="E7286" i="55"/>
  <c r="H7285" i="55"/>
  <c r="F7285" i="55"/>
  <c r="E7285" i="55"/>
  <c r="H7284" i="55"/>
  <c r="F7284" i="55"/>
  <c r="E7284" i="55"/>
  <c r="H7283" i="55"/>
  <c r="F7283" i="55"/>
  <c r="E7283" i="55"/>
  <c r="H7282" i="55"/>
  <c r="F7282" i="55"/>
  <c r="E7282" i="55"/>
  <c r="H7281" i="55"/>
  <c r="F7281" i="55"/>
  <c r="E7281" i="55"/>
  <c r="H7280" i="55"/>
  <c r="F7280" i="55"/>
  <c r="E7280" i="55"/>
  <c r="H7279" i="55"/>
  <c r="F7279" i="55"/>
  <c r="E7279" i="55"/>
  <c r="H7278" i="55"/>
  <c r="F7278" i="55"/>
  <c r="E7278" i="55"/>
  <c r="H7277" i="55"/>
  <c r="F7277" i="55"/>
  <c r="E7277" i="55"/>
  <c r="H7276" i="55"/>
  <c r="F7276" i="55"/>
  <c r="E7276" i="55"/>
  <c r="H7275" i="55"/>
  <c r="F7275" i="55"/>
  <c r="E7275" i="55"/>
  <c r="H7273" i="55"/>
  <c r="F7273" i="55"/>
  <c r="E7273" i="55"/>
  <c r="H7272" i="55"/>
  <c r="F7272" i="55"/>
  <c r="E7272" i="55"/>
  <c r="H7271" i="55"/>
  <c r="F7271" i="55"/>
  <c r="E7271" i="55"/>
  <c r="H7270" i="55"/>
  <c r="F7270" i="55"/>
  <c r="E7270" i="55"/>
  <c r="H7269" i="55"/>
  <c r="F7269" i="55"/>
  <c r="E7269" i="55"/>
  <c r="H7268" i="55"/>
  <c r="F7268" i="55"/>
  <c r="E7268" i="55"/>
  <c r="H7267" i="55"/>
  <c r="F7267" i="55"/>
  <c r="E7267" i="55"/>
  <c r="H7266" i="55"/>
  <c r="F7266" i="55"/>
  <c r="E7266" i="55"/>
  <c r="H7265" i="55"/>
  <c r="F7265" i="55"/>
  <c r="E7265" i="55"/>
  <c r="H7264" i="55"/>
  <c r="F7264" i="55"/>
  <c r="E7264" i="55"/>
  <c r="H7263" i="55"/>
  <c r="F7263" i="55"/>
  <c r="E7263" i="55"/>
  <c r="H7262" i="55"/>
  <c r="F7262" i="55"/>
  <c r="E7262" i="55"/>
  <c r="H7261" i="55"/>
  <c r="F7261" i="55"/>
  <c r="E7261" i="55"/>
  <c r="H7260" i="55"/>
  <c r="F7260" i="55"/>
  <c r="E7260" i="55"/>
  <c r="H7259" i="55"/>
  <c r="F7259" i="55"/>
  <c r="E7259" i="55"/>
  <c r="H7258" i="55"/>
  <c r="F7258" i="55"/>
  <c r="E7258" i="55"/>
  <c r="H7257" i="55"/>
  <c r="F7257" i="55"/>
  <c r="E7257" i="55"/>
  <c r="H7256" i="55"/>
  <c r="F7256" i="55"/>
  <c r="E7256" i="55"/>
  <c r="H7255" i="55"/>
  <c r="F7255" i="55"/>
  <c r="E7255" i="55"/>
  <c r="H7254" i="55"/>
  <c r="F7254" i="55"/>
  <c r="E7254" i="55"/>
  <c r="H7253" i="55"/>
  <c r="F7253" i="55"/>
  <c r="E7253" i="55"/>
  <c r="H7252" i="55"/>
  <c r="F7252" i="55"/>
  <c r="E7252" i="55"/>
  <c r="H7251" i="55"/>
  <c r="F7251" i="55"/>
  <c r="E7251" i="55"/>
  <c r="H7250" i="55"/>
  <c r="F7250" i="55"/>
  <c r="E7250" i="55"/>
  <c r="H7249" i="55"/>
  <c r="F7249" i="55"/>
  <c r="E7249" i="55"/>
  <c r="H7248" i="55"/>
  <c r="F7248" i="55"/>
  <c r="E7248" i="55"/>
  <c r="H7247" i="55"/>
  <c r="F7247" i="55"/>
  <c r="E7247" i="55"/>
  <c r="H7246" i="55"/>
  <c r="F7246" i="55"/>
  <c r="E7246" i="55"/>
  <c r="H7245" i="55"/>
  <c r="F7245" i="55"/>
  <c r="E7245" i="55"/>
  <c r="H7244" i="55"/>
  <c r="F7244" i="55"/>
  <c r="E7244" i="55"/>
  <c r="H7243" i="55"/>
  <c r="F7243" i="55"/>
  <c r="E7243" i="55"/>
  <c r="H7242" i="55"/>
  <c r="F7242" i="55"/>
  <c r="E7242" i="55"/>
  <c r="H7241" i="55"/>
  <c r="F7241" i="55"/>
  <c r="E7241" i="55"/>
  <c r="H7240" i="55"/>
  <c r="F7240" i="55"/>
  <c r="E7240" i="55"/>
  <c r="H7238" i="55"/>
  <c r="F7238" i="55"/>
  <c r="E7238" i="55"/>
  <c r="H7237" i="55"/>
  <c r="F7237" i="55"/>
  <c r="E7237" i="55"/>
  <c r="H7236" i="55"/>
  <c r="F7236" i="55"/>
  <c r="E7236" i="55"/>
  <c r="H7235" i="55"/>
  <c r="F7235" i="55"/>
  <c r="E7235" i="55"/>
  <c r="H7234" i="55"/>
  <c r="F7234" i="55"/>
  <c r="E7234" i="55"/>
  <c r="H7233" i="55"/>
  <c r="F7233" i="55"/>
  <c r="E7233" i="55"/>
  <c r="H7232" i="55"/>
  <c r="F7232" i="55"/>
  <c r="E7232" i="55"/>
  <c r="H7231" i="55"/>
  <c r="F7231" i="55"/>
  <c r="E7231" i="55"/>
  <c r="H7230" i="55"/>
  <c r="F7230" i="55"/>
  <c r="E7230" i="55"/>
  <c r="H7229" i="55"/>
  <c r="F7229" i="55"/>
  <c r="E7229" i="55"/>
  <c r="H7228" i="55"/>
  <c r="F7228" i="55"/>
  <c r="E7228" i="55"/>
  <c r="H7227" i="55"/>
  <c r="F7227" i="55"/>
  <c r="E7227" i="55"/>
  <c r="H7226" i="55"/>
  <c r="F7226" i="55"/>
  <c r="E7226" i="55"/>
  <c r="H7225" i="55"/>
  <c r="F7225" i="55"/>
  <c r="E7225" i="55"/>
  <c r="H7224" i="55"/>
  <c r="F7224" i="55"/>
  <c r="E7224" i="55"/>
  <c r="H7223" i="55"/>
  <c r="F7223" i="55"/>
  <c r="E7223" i="55"/>
  <c r="H7222" i="55"/>
  <c r="F7222" i="55"/>
  <c r="E7222" i="55"/>
  <c r="H7221" i="55"/>
  <c r="F7221" i="55"/>
  <c r="E7221" i="55"/>
  <c r="H7220" i="55"/>
  <c r="F7220" i="55"/>
  <c r="E7220" i="55"/>
  <c r="H7219" i="55"/>
  <c r="F7219" i="55"/>
  <c r="E7219" i="55"/>
  <c r="H7218" i="55"/>
  <c r="F7218" i="55"/>
  <c r="E7218" i="55"/>
  <c r="H7217" i="55"/>
  <c r="F7217" i="55"/>
  <c r="E7217" i="55"/>
  <c r="H7216" i="55"/>
  <c r="F7216" i="55"/>
  <c r="E7216" i="55"/>
  <c r="H7215" i="55"/>
  <c r="F7215" i="55"/>
  <c r="E7215" i="55"/>
  <c r="H7214" i="55"/>
  <c r="F7214" i="55"/>
  <c r="E7214" i="55"/>
  <c r="H7213" i="55"/>
  <c r="F7213" i="55"/>
  <c r="E7213" i="55"/>
  <c r="H7212" i="55"/>
  <c r="F7212" i="55"/>
  <c r="E7212" i="55"/>
  <c r="H7211" i="55"/>
  <c r="F7211" i="55"/>
  <c r="E7211" i="55"/>
  <c r="H7210" i="55"/>
  <c r="F7210" i="55"/>
  <c r="E7210" i="55"/>
  <c r="H7209" i="55"/>
  <c r="F7209" i="55"/>
  <c r="E7209" i="55"/>
  <c r="H7208" i="55"/>
  <c r="F7208" i="55"/>
  <c r="E7208" i="55"/>
  <c r="H7207" i="55"/>
  <c r="F7207" i="55"/>
  <c r="E7207" i="55"/>
  <c r="H7206" i="55"/>
  <c r="F7206" i="55"/>
  <c r="E7206" i="55"/>
  <c r="H7205" i="55"/>
  <c r="F7205" i="55"/>
  <c r="E7205" i="55"/>
  <c r="H7203" i="55"/>
  <c r="F7203" i="55"/>
  <c r="E7203" i="55"/>
  <c r="H7202" i="55"/>
  <c r="F7202" i="55"/>
  <c r="E7202" i="55"/>
  <c r="H7201" i="55"/>
  <c r="F7201" i="55"/>
  <c r="E7201" i="55"/>
  <c r="H7200" i="55"/>
  <c r="F7200" i="55"/>
  <c r="E7200" i="55"/>
  <c r="H7199" i="55"/>
  <c r="F7199" i="55"/>
  <c r="E7199" i="55"/>
  <c r="H7198" i="55"/>
  <c r="F7198" i="55"/>
  <c r="E7198" i="55"/>
  <c r="H7197" i="55"/>
  <c r="F7197" i="55"/>
  <c r="E7197" i="55"/>
  <c r="H7196" i="55"/>
  <c r="F7196" i="55"/>
  <c r="E7196" i="55"/>
  <c r="H7195" i="55"/>
  <c r="F7195" i="55"/>
  <c r="E7195" i="55"/>
  <c r="H7194" i="55"/>
  <c r="F7194" i="55"/>
  <c r="E7194" i="55"/>
  <c r="H7193" i="55"/>
  <c r="F7193" i="55"/>
  <c r="E7193" i="55"/>
  <c r="H7192" i="55"/>
  <c r="F7192" i="55"/>
  <c r="E7192" i="55"/>
  <c r="H7191" i="55"/>
  <c r="F7191" i="55"/>
  <c r="E7191" i="55"/>
  <c r="H7190" i="55"/>
  <c r="F7190" i="55"/>
  <c r="E7190" i="55"/>
  <c r="H7189" i="55"/>
  <c r="F7189" i="55"/>
  <c r="E7189" i="55"/>
  <c r="H7188" i="55"/>
  <c r="F7188" i="55"/>
  <c r="E7188" i="55"/>
  <c r="H7187" i="55"/>
  <c r="F7187" i="55"/>
  <c r="E7187" i="55"/>
  <c r="H7186" i="55"/>
  <c r="F7186" i="55"/>
  <c r="E7186" i="55"/>
  <c r="H7185" i="55"/>
  <c r="F7185" i="55"/>
  <c r="E7185" i="55"/>
  <c r="H7184" i="55"/>
  <c r="F7184" i="55"/>
  <c r="E7184" i="55"/>
  <c r="H7183" i="55"/>
  <c r="F7183" i="55"/>
  <c r="E7183" i="55"/>
  <c r="H7182" i="55"/>
  <c r="F7182" i="55"/>
  <c r="E7182" i="55"/>
  <c r="H7181" i="55"/>
  <c r="F7181" i="55"/>
  <c r="E7181" i="55"/>
  <c r="H7180" i="55"/>
  <c r="F7180" i="55"/>
  <c r="E7180" i="55"/>
  <c r="H7179" i="55"/>
  <c r="F7179" i="55"/>
  <c r="E7179" i="55"/>
  <c r="H7178" i="55"/>
  <c r="F7178" i="55"/>
  <c r="E7178" i="55"/>
  <c r="H7177" i="55"/>
  <c r="F7177" i="55"/>
  <c r="E7177" i="55"/>
  <c r="H7176" i="55"/>
  <c r="F7176" i="55"/>
  <c r="E7176" i="55"/>
  <c r="H7175" i="55"/>
  <c r="F7175" i="55"/>
  <c r="E7175" i="55"/>
  <c r="H7174" i="55"/>
  <c r="F7174" i="55"/>
  <c r="E7174" i="55"/>
  <c r="H7173" i="55"/>
  <c r="F7173" i="55"/>
  <c r="E7173" i="55"/>
  <c r="H7172" i="55"/>
  <c r="F7172" i="55"/>
  <c r="E7172" i="55"/>
  <c r="H7171" i="55"/>
  <c r="F7171" i="55"/>
  <c r="E7171" i="55"/>
  <c r="H7170" i="55"/>
  <c r="F7170" i="55"/>
  <c r="E7170" i="55"/>
  <c r="H7168" i="55"/>
  <c r="F7168" i="55"/>
  <c r="E7168" i="55"/>
  <c r="H7167" i="55"/>
  <c r="F7167" i="55"/>
  <c r="E7167" i="55"/>
  <c r="H7166" i="55"/>
  <c r="F7166" i="55"/>
  <c r="E7166" i="55"/>
  <c r="H7165" i="55"/>
  <c r="F7165" i="55"/>
  <c r="E7165" i="55"/>
  <c r="H7164" i="55"/>
  <c r="F7164" i="55"/>
  <c r="E7164" i="55"/>
  <c r="H7163" i="55"/>
  <c r="F7163" i="55"/>
  <c r="E7163" i="55"/>
  <c r="H7162" i="55"/>
  <c r="F7162" i="55"/>
  <c r="E7162" i="55"/>
  <c r="H7161" i="55"/>
  <c r="F7161" i="55"/>
  <c r="E7161" i="55"/>
  <c r="H7160" i="55"/>
  <c r="F7160" i="55"/>
  <c r="E7160" i="55"/>
  <c r="H7159" i="55"/>
  <c r="F7159" i="55"/>
  <c r="E7159" i="55"/>
  <c r="H7158" i="55"/>
  <c r="F7158" i="55"/>
  <c r="E7158" i="55"/>
  <c r="H7157" i="55"/>
  <c r="F7157" i="55"/>
  <c r="E7157" i="55"/>
  <c r="H7156" i="55"/>
  <c r="F7156" i="55"/>
  <c r="E7156" i="55"/>
  <c r="H7155" i="55"/>
  <c r="F7155" i="55"/>
  <c r="E7155" i="55"/>
  <c r="H7154" i="55"/>
  <c r="F7154" i="55"/>
  <c r="E7154" i="55"/>
  <c r="H7153" i="55"/>
  <c r="F7153" i="55"/>
  <c r="E7153" i="55"/>
  <c r="H7152" i="55"/>
  <c r="F7152" i="55"/>
  <c r="E7152" i="55"/>
  <c r="H7151" i="55"/>
  <c r="F7151" i="55"/>
  <c r="E7151" i="55"/>
  <c r="H7150" i="55"/>
  <c r="F7150" i="55"/>
  <c r="E7150" i="55"/>
  <c r="H7149" i="55"/>
  <c r="F7149" i="55"/>
  <c r="E7149" i="55"/>
  <c r="H7148" i="55"/>
  <c r="F7148" i="55"/>
  <c r="E7148" i="55"/>
  <c r="H7147" i="55"/>
  <c r="F7147" i="55"/>
  <c r="E7147" i="55"/>
  <c r="H7146" i="55"/>
  <c r="F7146" i="55"/>
  <c r="E7146" i="55"/>
  <c r="H7145" i="55"/>
  <c r="F7145" i="55"/>
  <c r="E7145" i="55"/>
  <c r="H7144" i="55"/>
  <c r="F7144" i="55"/>
  <c r="E7144" i="55"/>
  <c r="H7143" i="55"/>
  <c r="F7143" i="55"/>
  <c r="E7143" i="55"/>
  <c r="H7142" i="55"/>
  <c r="F7142" i="55"/>
  <c r="E7142" i="55"/>
  <c r="H7141" i="55"/>
  <c r="F7141" i="55"/>
  <c r="E7141" i="55"/>
  <c r="H7140" i="55"/>
  <c r="F7140" i="55"/>
  <c r="E7140" i="55"/>
  <c r="H7139" i="55"/>
  <c r="F7139" i="55"/>
  <c r="E7139" i="55"/>
  <c r="H7138" i="55"/>
  <c r="F7138" i="55"/>
  <c r="E7138" i="55"/>
  <c r="H7137" i="55"/>
  <c r="F7137" i="55"/>
  <c r="E7137" i="55"/>
  <c r="H7136" i="55"/>
  <c r="F7136" i="55"/>
  <c r="E7136" i="55"/>
  <c r="H7135" i="55"/>
  <c r="F7135" i="55"/>
  <c r="E7135" i="55"/>
  <c r="H7133" i="55"/>
  <c r="F7133" i="55"/>
  <c r="E7133" i="55"/>
  <c r="H7132" i="55"/>
  <c r="F7132" i="55"/>
  <c r="E7132" i="55"/>
  <c r="H7131" i="55"/>
  <c r="F7131" i="55"/>
  <c r="E7131" i="55"/>
  <c r="H7130" i="55"/>
  <c r="F7130" i="55"/>
  <c r="E7130" i="55"/>
  <c r="H7129" i="55"/>
  <c r="F7129" i="55"/>
  <c r="E7129" i="55"/>
  <c r="H7128" i="55"/>
  <c r="F7128" i="55"/>
  <c r="E7128" i="55"/>
  <c r="H7127" i="55"/>
  <c r="F7127" i="55"/>
  <c r="E7127" i="55"/>
  <c r="H7126" i="55"/>
  <c r="F7126" i="55"/>
  <c r="E7126" i="55"/>
  <c r="H7125" i="55"/>
  <c r="F7125" i="55"/>
  <c r="E7125" i="55"/>
  <c r="H7124" i="55"/>
  <c r="F7124" i="55"/>
  <c r="E7124" i="55"/>
  <c r="H7123" i="55"/>
  <c r="F7123" i="55"/>
  <c r="E7123" i="55"/>
  <c r="H7122" i="55"/>
  <c r="F7122" i="55"/>
  <c r="E7122" i="55"/>
  <c r="H7121" i="55"/>
  <c r="F7121" i="55"/>
  <c r="E7121" i="55"/>
  <c r="H7120" i="55"/>
  <c r="F7120" i="55"/>
  <c r="E7120" i="55"/>
  <c r="H7119" i="55"/>
  <c r="F7119" i="55"/>
  <c r="E7119" i="55"/>
  <c r="H7118" i="55"/>
  <c r="F7118" i="55"/>
  <c r="E7118" i="55"/>
  <c r="H7117" i="55"/>
  <c r="F7117" i="55"/>
  <c r="E7117" i="55"/>
  <c r="H7116" i="55"/>
  <c r="F7116" i="55"/>
  <c r="E7116" i="55"/>
  <c r="H7115" i="55"/>
  <c r="F7115" i="55"/>
  <c r="E7115" i="55"/>
  <c r="H7114" i="55"/>
  <c r="F7114" i="55"/>
  <c r="E7114" i="55"/>
  <c r="H7113" i="55"/>
  <c r="F7113" i="55"/>
  <c r="E7113" i="55"/>
  <c r="H7112" i="55"/>
  <c r="F7112" i="55"/>
  <c r="E7112" i="55"/>
  <c r="H7111" i="55"/>
  <c r="F7111" i="55"/>
  <c r="E7111" i="55"/>
  <c r="H7110" i="55"/>
  <c r="F7110" i="55"/>
  <c r="E7110" i="55"/>
  <c r="H7109" i="55"/>
  <c r="F7109" i="55"/>
  <c r="E7109" i="55"/>
  <c r="H7108" i="55"/>
  <c r="F7108" i="55"/>
  <c r="E7108" i="55"/>
  <c r="H7107" i="55"/>
  <c r="F7107" i="55"/>
  <c r="E7107" i="55"/>
  <c r="H7106" i="55"/>
  <c r="F7106" i="55"/>
  <c r="E7106" i="55"/>
  <c r="H7105" i="55"/>
  <c r="F7105" i="55"/>
  <c r="E7105" i="55"/>
  <c r="H7104" i="55"/>
  <c r="F7104" i="55"/>
  <c r="E7104" i="55"/>
  <c r="H7103" i="55"/>
  <c r="F7103" i="55"/>
  <c r="E7103" i="55"/>
  <c r="H7102" i="55"/>
  <c r="F7102" i="55"/>
  <c r="E7102" i="55"/>
  <c r="H7101" i="55"/>
  <c r="F7101" i="55"/>
  <c r="E7101" i="55"/>
  <c r="H7100" i="55"/>
  <c r="F7100" i="55"/>
  <c r="E7100" i="55"/>
  <c r="H7098" i="55"/>
  <c r="F7098" i="55"/>
  <c r="E7098" i="55"/>
  <c r="H7097" i="55"/>
  <c r="F7097" i="55"/>
  <c r="E7097" i="55"/>
  <c r="H7096" i="55"/>
  <c r="F7096" i="55"/>
  <c r="E7096" i="55"/>
  <c r="H7095" i="55"/>
  <c r="F7095" i="55"/>
  <c r="E7095" i="55"/>
  <c r="H7094" i="55"/>
  <c r="F7094" i="55"/>
  <c r="E7094" i="55"/>
  <c r="H7093" i="55"/>
  <c r="F7093" i="55"/>
  <c r="E7093" i="55"/>
  <c r="H7092" i="55"/>
  <c r="F7092" i="55"/>
  <c r="E7092" i="55"/>
  <c r="H7091" i="55"/>
  <c r="F7091" i="55"/>
  <c r="E7091" i="55"/>
  <c r="H7090" i="55"/>
  <c r="F7090" i="55"/>
  <c r="E7090" i="55"/>
  <c r="H7089" i="55"/>
  <c r="F7089" i="55"/>
  <c r="E7089" i="55"/>
  <c r="H7088" i="55"/>
  <c r="F7088" i="55"/>
  <c r="E7088" i="55"/>
  <c r="H7087" i="55"/>
  <c r="F7087" i="55"/>
  <c r="E7087" i="55"/>
  <c r="H7086" i="55"/>
  <c r="F7086" i="55"/>
  <c r="E7086" i="55"/>
  <c r="H7085" i="55"/>
  <c r="F7085" i="55"/>
  <c r="E7085" i="55"/>
  <c r="H7084" i="55"/>
  <c r="F7084" i="55"/>
  <c r="E7084" i="55"/>
  <c r="H7083" i="55"/>
  <c r="F7083" i="55"/>
  <c r="E7083" i="55"/>
  <c r="H7082" i="55"/>
  <c r="F7082" i="55"/>
  <c r="E7082" i="55"/>
  <c r="H7081" i="55"/>
  <c r="F7081" i="55"/>
  <c r="E7081" i="55"/>
  <c r="H7080" i="55"/>
  <c r="F7080" i="55"/>
  <c r="E7080" i="55"/>
  <c r="H7079" i="55"/>
  <c r="F7079" i="55"/>
  <c r="E7079" i="55"/>
  <c r="H7078" i="55"/>
  <c r="F7078" i="55"/>
  <c r="E7078" i="55"/>
  <c r="H7077" i="55"/>
  <c r="F7077" i="55"/>
  <c r="E7077" i="55"/>
  <c r="H7076" i="55"/>
  <c r="F7076" i="55"/>
  <c r="E7076" i="55"/>
  <c r="H7075" i="55"/>
  <c r="F7075" i="55"/>
  <c r="E7075" i="55"/>
  <c r="H7074" i="55"/>
  <c r="F7074" i="55"/>
  <c r="E7074" i="55"/>
  <c r="H7073" i="55"/>
  <c r="F7073" i="55"/>
  <c r="E7073" i="55"/>
  <c r="H7072" i="55"/>
  <c r="F7072" i="55"/>
  <c r="E7072" i="55"/>
  <c r="H7071" i="55"/>
  <c r="F7071" i="55"/>
  <c r="E7071" i="55"/>
  <c r="H7070" i="55"/>
  <c r="F7070" i="55"/>
  <c r="E7070" i="55"/>
  <c r="H7069" i="55"/>
  <c r="F7069" i="55"/>
  <c r="E7069" i="55"/>
  <c r="H7068" i="55"/>
  <c r="F7068" i="55"/>
  <c r="E7068" i="55"/>
  <c r="H7067" i="55"/>
  <c r="F7067" i="55"/>
  <c r="E7067" i="55"/>
  <c r="H7066" i="55"/>
  <c r="F7066" i="55"/>
  <c r="E7066" i="55"/>
  <c r="H7065" i="55"/>
  <c r="F7065" i="55"/>
  <c r="E7065" i="55"/>
  <c r="H7063" i="55"/>
  <c r="F7063" i="55"/>
  <c r="E7063" i="55"/>
  <c r="H7062" i="55"/>
  <c r="F7062" i="55"/>
  <c r="E7062" i="55"/>
  <c r="H7061" i="55"/>
  <c r="F7061" i="55"/>
  <c r="E7061" i="55"/>
  <c r="H7060" i="55"/>
  <c r="F7060" i="55"/>
  <c r="E7060" i="55"/>
  <c r="H7059" i="55"/>
  <c r="F7059" i="55"/>
  <c r="E7059" i="55"/>
  <c r="H7058" i="55"/>
  <c r="F7058" i="55"/>
  <c r="E7058" i="55"/>
  <c r="H7057" i="55"/>
  <c r="F7057" i="55"/>
  <c r="E7057" i="55"/>
  <c r="H7056" i="55"/>
  <c r="F7056" i="55"/>
  <c r="E7056" i="55"/>
  <c r="H7055" i="55"/>
  <c r="F7055" i="55"/>
  <c r="E7055" i="55"/>
  <c r="H7054" i="55"/>
  <c r="F7054" i="55"/>
  <c r="E7054" i="55"/>
  <c r="H7053" i="55"/>
  <c r="F7053" i="55"/>
  <c r="E7053" i="55"/>
  <c r="H7052" i="55"/>
  <c r="F7052" i="55"/>
  <c r="E7052" i="55"/>
  <c r="H7051" i="55"/>
  <c r="F7051" i="55"/>
  <c r="E7051" i="55"/>
  <c r="H7050" i="55"/>
  <c r="F7050" i="55"/>
  <c r="E7050" i="55"/>
  <c r="H7049" i="55"/>
  <c r="F7049" i="55"/>
  <c r="E7049" i="55"/>
  <c r="H7048" i="55"/>
  <c r="F7048" i="55"/>
  <c r="E7048" i="55"/>
  <c r="H7047" i="55"/>
  <c r="F7047" i="55"/>
  <c r="E7047" i="55"/>
  <c r="H7046" i="55"/>
  <c r="F7046" i="55"/>
  <c r="E7046" i="55"/>
  <c r="H7045" i="55"/>
  <c r="F7045" i="55"/>
  <c r="E7045" i="55"/>
  <c r="H7044" i="55"/>
  <c r="F7044" i="55"/>
  <c r="E7044" i="55"/>
  <c r="H7043" i="55"/>
  <c r="F7043" i="55"/>
  <c r="E7043" i="55"/>
  <c r="H7042" i="55"/>
  <c r="F7042" i="55"/>
  <c r="E7042" i="55"/>
  <c r="H7041" i="55"/>
  <c r="F7041" i="55"/>
  <c r="E7041" i="55"/>
  <c r="H7040" i="55"/>
  <c r="F7040" i="55"/>
  <c r="E7040" i="55"/>
  <c r="H7039" i="55"/>
  <c r="F7039" i="55"/>
  <c r="E7039" i="55"/>
  <c r="H7038" i="55"/>
  <c r="F7038" i="55"/>
  <c r="E7038" i="55"/>
  <c r="H7037" i="55"/>
  <c r="F7037" i="55"/>
  <c r="E7037" i="55"/>
  <c r="H7036" i="55"/>
  <c r="F7036" i="55"/>
  <c r="E7036" i="55"/>
  <c r="H7035" i="55"/>
  <c r="F7035" i="55"/>
  <c r="E7035" i="55"/>
  <c r="H7034" i="55"/>
  <c r="F7034" i="55"/>
  <c r="E7034" i="55"/>
  <c r="H7033" i="55"/>
  <c r="F7033" i="55"/>
  <c r="E7033" i="55"/>
  <c r="H7032" i="55"/>
  <c r="F7032" i="55"/>
  <c r="E7032" i="55"/>
  <c r="H7031" i="55"/>
  <c r="F7031" i="55"/>
  <c r="E7031" i="55"/>
  <c r="H7030" i="55"/>
  <c r="F7030" i="55"/>
  <c r="E7030" i="55"/>
  <c r="H7028" i="55"/>
  <c r="F7028" i="55"/>
  <c r="E7028" i="55"/>
  <c r="H7027" i="55"/>
  <c r="F7027" i="55"/>
  <c r="E7027" i="55"/>
  <c r="H7026" i="55"/>
  <c r="F7026" i="55"/>
  <c r="E7026" i="55"/>
  <c r="H7025" i="55"/>
  <c r="F7025" i="55"/>
  <c r="E7025" i="55"/>
  <c r="H7024" i="55"/>
  <c r="F7024" i="55"/>
  <c r="E7024" i="55"/>
  <c r="H7023" i="55"/>
  <c r="F7023" i="55"/>
  <c r="E7023" i="55"/>
  <c r="H7022" i="55"/>
  <c r="F7022" i="55"/>
  <c r="E7022" i="55"/>
  <c r="H7021" i="55"/>
  <c r="F7021" i="55"/>
  <c r="E7021" i="55"/>
  <c r="H7020" i="55"/>
  <c r="F7020" i="55"/>
  <c r="E7020" i="55"/>
  <c r="H7019" i="55"/>
  <c r="F7019" i="55"/>
  <c r="E7019" i="55"/>
  <c r="H7018" i="55"/>
  <c r="F7018" i="55"/>
  <c r="E7018" i="55"/>
  <c r="H7017" i="55"/>
  <c r="F7017" i="55"/>
  <c r="E7017" i="55"/>
  <c r="H7016" i="55"/>
  <c r="F7016" i="55"/>
  <c r="E7016" i="55"/>
  <c r="H7015" i="55"/>
  <c r="F7015" i="55"/>
  <c r="E7015" i="55"/>
  <c r="H7014" i="55"/>
  <c r="F7014" i="55"/>
  <c r="E7014" i="55"/>
  <c r="H7013" i="55"/>
  <c r="F7013" i="55"/>
  <c r="E7013" i="55"/>
  <c r="H7012" i="55"/>
  <c r="F7012" i="55"/>
  <c r="E7012" i="55"/>
  <c r="H7011" i="55"/>
  <c r="F7011" i="55"/>
  <c r="E7011" i="55"/>
  <c r="H7010" i="55"/>
  <c r="F7010" i="55"/>
  <c r="E7010" i="55"/>
  <c r="H7009" i="55"/>
  <c r="F7009" i="55"/>
  <c r="E7009" i="55"/>
  <c r="H7008" i="55"/>
  <c r="F7008" i="55"/>
  <c r="E7008" i="55"/>
  <c r="H7007" i="55"/>
  <c r="F7007" i="55"/>
  <c r="E7007" i="55"/>
  <c r="H7006" i="55"/>
  <c r="F7006" i="55"/>
  <c r="E7006" i="55"/>
  <c r="H7005" i="55"/>
  <c r="F7005" i="55"/>
  <c r="E7005" i="55"/>
  <c r="H7004" i="55"/>
  <c r="F7004" i="55"/>
  <c r="E7004" i="55"/>
  <c r="H7003" i="55"/>
  <c r="F7003" i="55"/>
  <c r="E7003" i="55"/>
  <c r="H7002" i="55"/>
  <c r="F7002" i="55"/>
  <c r="E7002" i="55"/>
  <c r="H7001" i="55"/>
  <c r="F7001" i="55"/>
  <c r="E7001" i="55"/>
  <c r="H7000" i="55"/>
  <c r="F7000" i="55"/>
  <c r="E7000" i="55"/>
  <c r="H6999" i="55"/>
  <c r="F6999" i="55"/>
  <c r="E6999" i="55"/>
  <c r="H6998" i="55"/>
  <c r="F6998" i="55"/>
  <c r="E6998" i="55"/>
  <c r="H6997" i="55"/>
  <c r="F6997" i="55"/>
  <c r="E6997" i="55"/>
  <c r="H6996" i="55"/>
  <c r="F6996" i="55"/>
  <c r="E6996" i="55"/>
  <c r="H6995" i="55"/>
  <c r="F6995" i="55"/>
  <c r="E6995" i="55"/>
  <c r="H6993" i="55"/>
  <c r="F6993" i="55"/>
  <c r="E6993" i="55"/>
  <c r="H6992" i="55"/>
  <c r="F6992" i="55"/>
  <c r="E6992" i="55"/>
  <c r="H6991" i="55"/>
  <c r="F6991" i="55"/>
  <c r="E6991" i="55"/>
  <c r="H6990" i="55"/>
  <c r="F6990" i="55"/>
  <c r="E6990" i="55"/>
  <c r="H6989" i="55"/>
  <c r="F6989" i="55"/>
  <c r="E6989" i="55"/>
  <c r="H6988" i="55"/>
  <c r="F6988" i="55"/>
  <c r="E6988" i="55"/>
  <c r="H6987" i="55"/>
  <c r="F6987" i="55"/>
  <c r="E6987" i="55"/>
  <c r="H6986" i="55"/>
  <c r="F6986" i="55"/>
  <c r="E6986" i="55"/>
  <c r="H6985" i="55"/>
  <c r="F6985" i="55"/>
  <c r="E6985" i="55"/>
  <c r="H6984" i="55"/>
  <c r="F6984" i="55"/>
  <c r="E6984" i="55"/>
  <c r="H6983" i="55"/>
  <c r="F6983" i="55"/>
  <c r="E6983" i="55"/>
  <c r="H6982" i="55"/>
  <c r="F6982" i="55"/>
  <c r="E6982" i="55"/>
  <c r="H6981" i="55"/>
  <c r="F6981" i="55"/>
  <c r="E6981" i="55"/>
  <c r="H6980" i="55"/>
  <c r="F6980" i="55"/>
  <c r="E6980" i="55"/>
  <c r="H6979" i="55"/>
  <c r="F6979" i="55"/>
  <c r="E6979" i="55"/>
  <c r="H6978" i="55"/>
  <c r="F6978" i="55"/>
  <c r="E6978" i="55"/>
  <c r="H6977" i="55"/>
  <c r="F6977" i="55"/>
  <c r="E6977" i="55"/>
  <c r="H6976" i="55"/>
  <c r="F6976" i="55"/>
  <c r="E6976" i="55"/>
  <c r="H6975" i="55"/>
  <c r="F6975" i="55"/>
  <c r="E6975" i="55"/>
  <c r="H6974" i="55"/>
  <c r="F6974" i="55"/>
  <c r="E6974" i="55"/>
  <c r="H6973" i="55"/>
  <c r="F6973" i="55"/>
  <c r="E6973" i="55"/>
  <c r="H6972" i="55"/>
  <c r="F6972" i="55"/>
  <c r="E6972" i="55"/>
  <c r="H6971" i="55"/>
  <c r="F6971" i="55"/>
  <c r="E6971" i="55"/>
  <c r="H6970" i="55"/>
  <c r="F6970" i="55"/>
  <c r="E6970" i="55"/>
  <c r="H6969" i="55"/>
  <c r="F6969" i="55"/>
  <c r="E6969" i="55"/>
  <c r="H6968" i="55"/>
  <c r="F6968" i="55"/>
  <c r="E6968" i="55"/>
  <c r="H6967" i="55"/>
  <c r="F6967" i="55"/>
  <c r="E6967" i="55"/>
  <c r="H6966" i="55"/>
  <c r="F6966" i="55"/>
  <c r="E6966" i="55"/>
  <c r="H6965" i="55"/>
  <c r="F6965" i="55"/>
  <c r="E6965" i="55"/>
  <c r="H6964" i="55"/>
  <c r="F6964" i="55"/>
  <c r="E6964" i="55"/>
  <c r="H6963" i="55"/>
  <c r="F6963" i="55"/>
  <c r="E6963" i="55"/>
  <c r="H6962" i="55"/>
  <c r="F6962" i="55"/>
  <c r="E6962" i="55"/>
  <c r="H6961" i="55"/>
  <c r="F6961" i="55"/>
  <c r="E6961" i="55"/>
  <c r="H6960" i="55"/>
  <c r="F6960" i="55"/>
  <c r="E6960" i="55"/>
  <c r="H6958" i="55"/>
  <c r="F6958" i="55"/>
  <c r="E6958" i="55"/>
  <c r="H6957" i="55"/>
  <c r="F6957" i="55"/>
  <c r="E6957" i="55"/>
  <c r="H6956" i="55"/>
  <c r="F6956" i="55"/>
  <c r="E6956" i="55"/>
  <c r="H6955" i="55"/>
  <c r="F6955" i="55"/>
  <c r="E6955" i="55"/>
  <c r="H6954" i="55"/>
  <c r="F6954" i="55"/>
  <c r="E6954" i="55"/>
  <c r="H6953" i="55"/>
  <c r="F6953" i="55"/>
  <c r="E6953" i="55"/>
  <c r="H6952" i="55"/>
  <c r="F6952" i="55"/>
  <c r="E6952" i="55"/>
  <c r="H6951" i="55"/>
  <c r="F6951" i="55"/>
  <c r="E6951" i="55"/>
  <c r="H6950" i="55"/>
  <c r="F6950" i="55"/>
  <c r="E6950" i="55"/>
  <c r="H6949" i="55"/>
  <c r="F6949" i="55"/>
  <c r="E6949" i="55"/>
  <c r="H6948" i="55"/>
  <c r="F6948" i="55"/>
  <c r="E6948" i="55"/>
  <c r="H6947" i="55"/>
  <c r="F6947" i="55"/>
  <c r="E6947" i="55"/>
  <c r="H6946" i="55"/>
  <c r="F6946" i="55"/>
  <c r="E6946" i="55"/>
  <c r="H6945" i="55"/>
  <c r="F6945" i="55"/>
  <c r="E6945" i="55"/>
  <c r="H6944" i="55"/>
  <c r="F6944" i="55"/>
  <c r="E6944" i="55"/>
  <c r="H6943" i="55"/>
  <c r="F6943" i="55"/>
  <c r="E6943" i="55"/>
  <c r="H6942" i="55"/>
  <c r="F6942" i="55"/>
  <c r="E6942" i="55"/>
  <c r="H6941" i="55"/>
  <c r="F6941" i="55"/>
  <c r="E6941" i="55"/>
  <c r="H6940" i="55"/>
  <c r="F6940" i="55"/>
  <c r="E6940" i="55"/>
  <c r="H6939" i="55"/>
  <c r="F6939" i="55"/>
  <c r="E6939" i="55"/>
  <c r="H6938" i="55"/>
  <c r="F6938" i="55"/>
  <c r="E6938" i="55"/>
  <c r="H6937" i="55"/>
  <c r="F6937" i="55"/>
  <c r="E6937" i="55"/>
  <c r="H6936" i="55"/>
  <c r="F6936" i="55"/>
  <c r="E6936" i="55"/>
  <c r="H6935" i="55"/>
  <c r="F6935" i="55"/>
  <c r="E6935" i="55"/>
  <c r="H6934" i="55"/>
  <c r="F6934" i="55"/>
  <c r="E6934" i="55"/>
  <c r="H6933" i="55"/>
  <c r="F6933" i="55"/>
  <c r="E6933" i="55"/>
  <c r="H6932" i="55"/>
  <c r="F6932" i="55"/>
  <c r="E6932" i="55"/>
  <c r="H6931" i="55"/>
  <c r="F6931" i="55"/>
  <c r="E6931" i="55"/>
  <c r="H6930" i="55"/>
  <c r="F6930" i="55"/>
  <c r="E6930" i="55"/>
  <c r="H6929" i="55"/>
  <c r="F6929" i="55"/>
  <c r="E6929" i="55"/>
  <c r="H6928" i="55"/>
  <c r="F6928" i="55"/>
  <c r="E6928" i="55"/>
  <c r="H6927" i="55"/>
  <c r="F6927" i="55"/>
  <c r="E6927" i="55"/>
  <c r="H6926" i="55"/>
  <c r="F6926" i="55"/>
  <c r="E6926" i="55"/>
  <c r="H6925" i="55"/>
  <c r="F6925" i="55"/>
  <c r="E6925" i="55"/>
  <c r="H6923" i="55"/>
  <c r="F6923" i="55"/>
  <c r="E6923" i="55"/>
  <c r="H6922" i="55"/>
  <c r="F6922" i="55"/>
  <c r="E6922" i="55"/>
  <c r="H6921" i="55"/>
  <c r="F6921" i="55"/>
  <c r="E6921" i="55"/>
  <c r="H6920" i="55"/>
  <c r="F6920" i="55"/>
  <c r="E6920" i="55"/>
  <c r="H6919" i="55"/>
  <c r="F6919" i="55"/>
  <c r="E6919" i="55"/>
  <c r="H6918" i="55"/>
  <c r="F6918" i="55"/>
  <c r="E6918" i="55"/>
  <c r="H6917" i="55"/>
  <c r="F6917" i="55"/>
  <c r="E6917" i="55"/>
  <c r="H6916" i="55"/>
  <c r="F6916" i="55"/>
  <c r="E6916" i="55"/>
  <c r="H6915" i="55"/>
  <c r="F6915" i="55"/>
  <c r="E6915" i="55"/>
  <c r="H6914" i="55"/>
  <c r="F6914" i="55"/>
  <c r="E6914" i="55"/>
  <c r="H6913" i="55"/>
  <c r="F6913" i="55"/>
  <c r="E6913" i="55"/>
  <c r="H6912" i="55"/>
  <c r="F6912" i="55"/>
  <c r="E6912" i="55"/>
  <c r="H6911" i="55"/>
  <c r="F6911" i="55"/>
  <c r="E6911" i="55"/>
  <c r="H6910" i="55"/>
  <c r="F6910" i="55"/>
  <c r="E6910" i="55"/>
  <c r="H6909" i="55"/>
  <c r="F6909" i="55"/>
  <c r="E6909" i="55"/>
  <c r="H6908" i="55"/>
  <c r="F6908" i="55"/>
  <c r="E6908" i="55"/>
  <c r="H6907" i="55"/>
  <c r="F6907" i="55"/>
  <c r="E6907" i="55"/>
  <c r="H6906" i="55"/>
  <c r="F6906" i="55"/>
  <c r="E6906" i="55"/>
  <c r="H6905" i="55"/>
  <c r="F6905" i="55"/>
  <c r="E6905" i="55"/>
  <c r="H6904" i="55"/>
  <c r="F6904" i="55"/>
  <c r="E6904" i="55"/>
  <c r="H6903" i="55"/>
  <c r="F6903" i="55"/>
  <c r="E6903" i="55"/>
  <c r="H6902" i="55"/>
  <c r="F6902" i="55"/>
  <c r="E6902" i="55"/>
  <c r="H6901" i="55"/>
  <c r="F6901" i="55"/>
  <c r="E6901" i="55"/>
  <c r="H6900" i="55"/>
  <c r="F6900" i="55"/>
  <c r="E6900" i="55"/>
  <c r="H6899" i="55"/>
  <c r="F6899" i="55"/>
  <c r="E6899" i="55"/>
  <c r="H6898" i="55"/>
  <c r="F6898" i="55"/>
  <c r="E6898" i="55"/>
  <c r="H6897" i="55"/>
  <c r="F6897" i="55"/>
  <c r="E6897" i="55"/>
  <c r="H6896" i="55"/>
  <c r="F6896" i="55"/>
  <c r="E6896" i="55"/>
  <c r="H6895" i="55"/>
  <c r="F6895" i="55"/>
  <c r="E6895" i="55"/>
  <c r="H6894" i="55"/>
  <c r="F6894" i="55"/>
  <c r="E6894" i="55"/>
  <c r="H6893" i="55"/>
  <c r="F6893" i="55"/>
  <c r="E6893" i="55"/>
  <c r="H6892" i="55"/>
  <c r="F6892" i="55"/>
  <c r="E6892" i="55"/>
  <c r="H6891" i="55"/>
  <c r="F6891" i="55"/>
  <c r="E6891" i="55"/>
  <c r="H6890" i="55"/>
  <c r="F6890" i="55"/>
  <c r="E6890" i="55"/>
  <c r="H6888" i="55"/>
  <c r="F6888" i="55"/>
  <c r="E6888" i="55"/>
  <c r="H6887" i="55"/>
  <c r="F6887" i="55"/>
  <c r="E6887" i="55"/>
  <c r="H6886" i="55"/>
  <c r="F6886" i="55"/>
  <c r="E6886" i="55"/>
  <c r="H6885" i="55"/>
  <c r="F6885" i="55"/>
  <c r="E6885" i="55"/>
  <c r="H6884" i="55"/>
  <c r="F6884" i="55"/>
  <c r="E6884" i="55"/>
  <c r="H6883" i="55"/>
  <c r="F6883" i="55"/>
  <c r="E6883" i="55"/>
  <c r="H6882" i="55"/>
  <c r="F6882" i="55"/>
  <c r="E6882" i="55"/>
  <c r="H6881" i="55"/>
  <c r="F6881" i="55"/>
  <c r="E6881" i="55"/>
  <c r="H6880" i="55"/>
  <c r="F6880" i="55"/>
  <c r="E6880" i="55"/>
  <c r="H6879" i="55"/>
  <c r="F6879" i="55"/>
  <c r="E6879" i="55"/>
  <c r="H6878" i="55"/>
  <c r="F6878" i="55"/>
  <c r="E6878" i="55"/>
  <c r="H6877" i="55"/>
  <c r="F6877" i="55"/>
  <c r="E6877" i="55"/>
  <c r="H6876" i="55"/>
  <c r="F6876" i="55"/>
  <c r="E6876" i="55"/>
  <c r="H6875" i="55"/>
  <c r="F6875" i="55"/>
  <c r="E6875" i="55"/>
  <c r="H6874" i="55"/>
  <c r="F6874" i="55"/>
  <c r="E6874" i="55"/>
  <c r="H6873" i="55"/>
  <c r="F6873" i="55"/>
  <c r="E6873" i="55"/>
  <c r="H6872" i="55"/>
  <c r="F6872" i="55"/>
  <c r="E6872" i="55"/>
  <c r="H6871" i="55"/>
  <c r="F6871" i="55"/>
  <c r="E6871" i="55"/>
  <c r="H6870" i="55"/>
  <c r="F6870" i="55"/>
  <c r="E6870" i="55"/>
  <c r="H6869" i="55"/>
  <c r="F6869" i="55"/>
  <c r="E6869" i="55"/>
  <c r="H6868" i="55"/>
  <c r="F6868" i="55"/>
  <c r="E6868" i="55"/>
  <c r="H6867" i="55"/>
  <c r="F6867" i="55"/>
  <c r="E6867" i="55"/>
  <c r="H6866" i="55"/>
  <c r="F6866" i="55"/>
  <c r="E6866" i="55"/>
  <c r="H6865" i="55"/>
  <c r="F6865" i="55"/>
  <c r="E6865" i="55"/>
  <c r="H6864" i="55"/>
  <c r="F6864" i="55"/>
  <c r="E6864" i="55"/>
  <c r="H6863" i="55"/>
  <c r="F6863" i="55"/>
  <c r="E6863" i="55"/>
  <c r="H6862" i="55"/>
  <c r="F6862" i="55"/>
  <c r="E6862" i="55"/>
  <c r="H6861" i="55"/>
  <c r="F6861" i="55"/>
  <c r="E6861" i="55"/>
  <c r="H6860" i="55"/>
  <c r="F6860" i="55"/>
  <c r="E6860" i="55"/>
  <c r="H6859" i="55"/>
  <c r="F6859" i="55"/>
  <c r="E6859" i="55"/>
  <c r="H6858" i="55"/>
  <c r="F6858" i="55"/>
  <c r="E6858" i="55"/>
  <c r="H6857" i="55"/>
  <c r="F6857" i="55"/>
  <c r="E6857" i="55"/>
  <c r="H6856" i="55"/>
  <c r="F6856" i="55"/>
  <c r="E6856" i="55"/>
  <c r="H6855" i="55"/>
  <c r="F6855" i="55"/>
  <c r="E6855" i="55"/>
  <c r="H6853" i="55"/>
  <c r="F6853" i="55"/>
  <c r="E6853" i="55"/>
  <c r="H6852" i="55"/>
  <c r="F6852" i="55"/>
  <c r="E6852" i="55"/>
  <c r="H6851" i="55"/>
  <c r="F6851" i="55"/>
  <c r="E6851" i="55"/>
  <c r="H6850" i="55"/>
  <c r="F6850" i="55"/>
  <c r="E6850" i="55"/>
  <c r="H6849" i="55"/>
  <c r="F6849" i="55"/>
  <c r="E6849" i="55"/>
  <c r="H6848" i="55"/>
  <c r="F6848" i="55"/>
  <c r="E6848" i="55"/>
  <c r="H6847" i="55"/>
  <c r="F6847" i="55"/>
  <c r="E6847" i="55"/>
  <c r="H6846" i="55"/>
  <c r="F6846" i="55"/>
  <c r="E6846" i="55"/>
  <c r="H6845" i="55"/>
  <c r="F6845" i="55"/>
  <c r="E6845" i="55"/>
  <c r="H6844" i="55"/>
  <c r="F6844" i="55"/>
  <c r="E6844" i="55"/>
  <c r="H6843" i="55"/>
  <c r="F6843" i="55"/>
  <c r="E6843" i="55"/>
  <c r="H6842" i="55"/>
  <c r="F6842" i="55"/>
  <c r="E6842" i="55"/>
  <c r="H6841" i="55"/>
  <c r="F6841" i="55"/>
  <c r="E6841" i="55"/>
  <c r="H6840" i="55"/>
  <c r="F6840" i="55"/>
  <c r="E6840" i="55"/>
  <c r="H6839" i="55"/>
  <c r="F6839" i="55"/>
  <c r="E6839" i="55"/>
  <c r="H6838" i="55"/>
  <c r="F6838" i="55"/>
  <c r="E6838" i="55"/>
  <c r="H6837" i="55"/>
  <c r="F6837" i="55"/>
  <c r="E6837" i="55"/>
  <c r="H6836" i="55"/>
  <c r="F6836" i="55"/>
  <c r="E6836" i="55"/>
  <c r="H6835" i="55"/>
  <c r="F6835" i="55"/>
  <c r="E6835" i="55"/>
  <c r="H6834" i="55"/>
  <c r="F6834" i="55"/>
  <c r="E6834" i="55"/>
  <c r="H6833" i="55"/>
  <c r="F6833" i="55"/>
  <c r="E6833" i="55"/>
  <c r="H6832" i="55"/>
  <c r="F6832" i="55"/>
  <c r="E6832" i="55"/>
  <c r="H6831" i="55"/>
  <c r="F6831" i="55"/>
  <c r="E6831" i="55"/>
  <c r="H6830" i="55"/>
  <c r="F6830" i="55"/>
  <c r="E6830" i="55"/>
  <c r="H6829" i="55"/>
  <c r="F6829" i="55"/>
  <c r="E6829" i="55"/>
  <c r="H6828" i="55"/>
  <c r="F6828" i="55"/>
  <c r="E6828" i="55"/>
  <c r="H6827" i="55"/>
  <c r="F6827" i="55"/>
  <c r="E6827" i="55"/>
  <c r="H6826" i="55"/>
  <c r="F6826" i="55"/>
  <c r="E6826" i="55"/>
  <c r="H6825" i="55"/>
  <c r="F6825" i="55"/>
  <c r="E6825" i="55"/>
  <c r="H6824" i="55"/>
  <c r="F6824" i="55"/>
  <c r="E6824" i="55"/>
  <c r="H6823" i="55"/>
  <c r="F6823" i="55"/>
  <c r="E6823" i="55"/>
  <c r="H6822" i="55"/>
  <c r="F6822" i="55"/>
  <c r="E6822" i="55"/>
  <c r="H6821" i="55"/>
  <c r="F6821" i="55"/>
  <c r="E6821" i="55"/>
  <c r="H6820" i="55"/>
  <c r="F6820" i="55"/>
  <c r="E6820" i="55"/>
  <c r="H6818" i="55"/>
  <c r="F6818" i="55"/>
  <c r="E6818" i="55"/>
  <c r="H6817" i="55"/>
  <c r="F6817" i="55"/>
  <c r="E6817" i="55"/>
  <c r="H6816" i="55"/>
  <c r="F6816" i="55"/>
  <c r="E6816" i="55"/>
  <c r="H6815" i="55"/>
  <c r="F6815" i="55"/>
  <c r="E6815" i="55"/>
  <c r="H6814" i="55"/>
  <c r="F6814" i="55"/>
  <c r="E6814" i="55"/>
  <c r="H6813" i="55"/>
  <c r="F6813" i="55"/>
  <c r="E6813" i="55"/>
  <c r="H6812" i="55"/>
  <c r="F6812" i="55"/>
  <c r="E6812" i="55"/>
  <c r="H6811" i="55"/>
  <c r="F6811" i="55"/>
  <c r="E6811" i="55"/>
  <c r="H6810" i="55"/>
  <c r="F6810" i="55"/>
  <c r="E6810" i="55"/>
  <c r="H6809" i="55"/>
  <c r="F6809" i="55"/>
  <c r="E6809" i="55"/>
  <c r="H6808" i="55"/>
  <c r="F6808" i="55"/>
  <c r="E6808" i="55"/>
  <c r="H6807" i="55"/>
  <c r="F6807" i="55"/>
  <c r="E6807" i="55"/>
  <c r="H6806" i="55"/>
  <c r="F6806" i="55"/>
  <c r="E6806" i="55"/>
  <c r="H6805" i="55"/>
  <c r="F6805" i="55"/>
  <c r="E6805" i="55"/>
  <c r="H6804" i="55"/>
  <c r="F6804" i="55"/>
  <c r="E6804" i="55"/>
  <c r="H6803" i="55"/>
  <c r="F6803" i="55"/>
  <c r="E6803" i="55"/>
  <c r="H6802" i="55"/>
  <c r="F6802" i="55"/>
  <c r="E6802" i="55"/>
  <c r="H6801" i="55"/>
  <c r="F6801" i="55"/>
  <c r="E6801" i="55"/>
  <c r="H6800" i="55"/>
  <c r="F6800" i="55"/>
  <c r="E6800" i="55"/>
  <c r="H6799" i="55"/>
  <c r="F6799" i="55"/>
  <c r="E6799" i="55"/>
  <c r="H6798" i="55"/>
  <c r="F6798" i="55"/>
  <c r="E6798" i="55"/>
  <c r="H6797" i="55"/>
  <c r="F6797" i="55"/>
  <c r="E6797" i="55"/>
  <c r="H6796" i="55"/>
  <c r="F6796" i="55"/>
  <c r="E6796" i="55"/>
  <c r="H6795" i="55"/>
  <c r="F6795" i="55"/>
  <c r="E6795" i="55"/>
  <c r="H6794" i="55"/>
  <c r="F6794" i="55"/>
  <c r="E6794" i="55"/>
  <c r="H6793" i="55"/>
  <c r="F6793" i="55"/>
  <c r="E6793" i="55"/>
  <c r="H6792" i="55"/>
  <c r="F6792" i="55"/>
  <c r="E6792" i="55"/>
  <c r="H6791" i="55"/>
  <c r="F6791" i="55"/>
  <c r="E6791" i="55"/>
  <c r="H6790" i="55"/>
  <c r="F6790" i="55"/>
  <c r="E6790" i="55"/>
  <c r="H6789" i="55"/>
  <c r="F6789" i="55"/>
  <c r="E6789" i="55"/>
  <c r="H6788" i="55"/>
  <c r="F6788" i="55"/>
  <c r="E6788" i="55"/>
  <c r="H6787" i="55"/>
  <c r="F6787" i="55"/>
  <c r="E6787" i="55"/>
  <c r="H6786" i="55"/>
  <c r="F6786" i="55"/>
  <c r="E6786" i="55"/>
  <c r="H6785" i="55"/>
  <c r="F6785" i="55"/>
  <c r="E6785" i="55"/>
  <c r="H6783" i="55"/>
  <c r="F6783" i="55"/>
  <c r="E6783" i="55"/>
  <c r="H6782" i="55"/>
  <c r="F6782" i="55"/>
  <c r="E6782" i="55"/>
  <c r="H6781" i="55"/>
  <c r="F6781" i="55"/>
  <c r="E6781" i="55"/>
  <c r="H6780" i="55"/>
  <c r="F6780" i="55"/>
  <c r="E6780" i="55"/>
  <c r="H6779" i="55"/>
  <c r="F6779" i="55"/>
  <c r="E6779" i="55"/>
  <c r="H6778" i="55"/>
  <c r="F6778" i="55"/>
  <c r="E6778" i="55"/>
  <c r="H6777" i="55"/>
  <c r="F6777" i="55"/>
  <c r="E6777" i="55"/>
  <c r="H6776" i="55"/>
  <c r="F6776" i="55"/>
  <c r="E6776" i="55"/>
  <c r="H6775" i="55"/>
  <c r="F6775" i="55"/>
  <c r="E6775" i="55"/>
  <c r="H6774" i="55"/>
  <c r="F6774" i="55"/>
  <c r="E6774" i="55"/>
  <c r="H6773" i="55"/>
  <c r="F6773" i="55"/>
  <c r="E6773" i="55"/>
  <c r="H6772" i="55"/>
  <c r="F6772" i="55"/>
  <c r="E6772" i="55"/>
  <c r="H6771" i="55"/>
  <c r="F6771" i="55"/>
  <c r="E6771" i="55"/>
  <c r="H6770" i="55"/>
  <c r="F6770" i="55"/>
  <c r="E6770" i="55"/>
  <c r="H6769" i="55"/>
  <c r="F6769" i="55"/>
  <c r="E6769" i="55"/>
  <c r="H6768" i="55"/>
  <c r="F6768" i="55"/>
  <c r="E6768" i="55"/>
  <c r="H6767" i="55"/>
  <c r="F6767" i="55"/>
  <c r="E6767" i="55"/>
  <c r="H6766" i="55"/>
  <c r="F6766" i="55"/>
  <c r="E6766" i="55"/>
  <c r="H6765" i="55"/>
  <c r="F6765" i="55"/>
  <c r="E6765" i="55"/>
  <c r="H6764" i="55"/>
  <c r="F6764" i="55"/>
  <c r="E6764" i="55"/>
  <c r="H6763" i="55"/>
  <c r="F6763" i="55"/>
  <c r="E6763" i="55"/>
  <c r="H6762" i="55"/>
  <c r="F6762" i="55"/>
  <c r="E6762" i="55"/>
  <c r="H6761" i="55"/>
  <c r="F6761" i="55"/>
  <c r="E6761" i="55"/>
  <c r="H6760" i="55"/>
  <c r="F6760" i="55"/>
  <c r="E6760" i="55"/>
  <c r="H6759" i="55"/>
  <c r="F6759" i="55"/>
  <c r="E6759" i="55"/>
  <c r="H6758" i="55"/>
  <c r="F6758" i="55"/>
  <c r="E6758" i="55"/>
  <c r="H6757" i="55"/>
  <c r="F6757" i="55"/>
  <c r="E6757" i="55"/>
  <c r="H6756" i="55"/>
  <c r="F6756" i="55"/>
  <c r="E6756" i="55"/>
  <c r="H6755" i="55"/>
  <c r="F6755" i="55"/>
  <c r="E6755" i="55"/>
  <c r="H6754" i="55"/>
  <c r="F6754" i="55"/>
  <c r="E6754" i="55"/>
  <c r="H6753" i="55"/>
  <c r="F6753" i="55"/>
  <c r="E6753" i="55"/>
  <c r="H6752" i="55"/>
  <c r="F6752" i="55"/>
  <c r="E6752" i="55"/>
  <c r="H6751" i="55"/>
  <c r="F6751" i="55"/>
  <c r="E6751" i="55"/>
  <c r="H6750" i="55"/>
  <c r="F6750" i="55"/>
  <c r="E6750" i="55"/>
  <c r="H6748" i="55"/>
  <c r="F6748" i="55"/>
  <c r="E6748" i="55"/>
  <c r="H6747" i="55"/>
  <c r="F6747" i="55"/>
  <c r="E6747" i="55"/>
  <c r="H6746" i="55"/>
  <c r="F6746" i="55"/>
  <c r="E6746" i="55"/>
  <c r="H6745" i="55"/>
  <c r="F6745" i="55"/>
  <c r="E6745" i="55"/>
  <c r="H6744" i="55"/>
  <c r="F6744" i="55"/>
  <c r="E6744" i="55"/>
  <c r="H6743" i="55"/>
  <c r="F6743" i="55"/>
  <c r="E6743" i="55"/>
  <c r="H6742" i="55"/>
  <c r="F6742" i="55"/>
  <c r="E6742" i="55"/>
  <c r="H6741" i="55"/>
  <c r="F6741" i="55"/>
  <c r="E6741" i="55"/>
  <c r="H6740" i="55"/>
  <c r="F6740" i="55"/>
  <c r="E6740" i="55"/>
  <c r="H6739" i="55"/>
  <c r="F6739" i="55"/>
  <c r="E6739" i="55"/>
  <c r="H6738" i="55"/>
  <c r="F6738" i="55"/>
  <c r="E6738" i="55"/>
  <c r="H6737" i="55"/>
  <c r="F6737" i="55"/>
  <c r="E6737" i="55"/>
  <c r="H6736" i="55"/>
  <c r="F6736" i="55"/>
  <c r="E6736" i="55"/>
  <c r="H6735" i="55"/>
  <c r="F6735" i="55"/>
  <c r="E6735" i="55"/>
  <c r="H6734" i="55"/>
  <c r="F6734" i="55"/>
  <c r="E6734" i="55"/>
  <c r="H6733" i="55"/>
  <c r="F6733" i="55"/>
  <c r="E6733" i="55"/>
  <c r="H6732" i="55"/>
  <c r="F6732" i="55"/>
  <c r="E6732" i="55"/>
  <c r="H6731" i="55"/>
  <c r="F6731" i="55"/>
  <c r="E6731" i="55"/>
  <c r="H6730" i="55"/>
  <c r="F6730" i="55"/>
  <c r="E6730" i="55"/>
  <c r="H6729" i="55"/>
  <c r="F6729" i="55"/>
  <c r="E6729" i="55"/>
  <c r="H6728" i="55"/>
  <c r="F6728" i="55"/>
  <c r="E6728" i="55"/>
  <c r="H6727" i="55"/>
  <c r="F6727" i="55"/>
  <c r="E6727" i="55"/>
  <c r="H6726" i="55"/>
  <c r="F6726" i="55"/>
  <c r="E6726" i="55"/>
  <c r="H6725" i="55"/>
  <c r="F6725" i="55"/>
  <c r="E6725" i="55"/>
  <c r="H6724" i="55"/>
  <c r="F6724" i="55"/>
  <c r="E6724" i="55"/>
  <c r="H6723" i="55"/>
  <c r="F6723" i="55"/>
  <c r="E6723" i="55"/>
  <c r="H6722" i="55"/>
  <c r="F6722" i="55"/>
  <c r="E6722" i="55"/>
  <c r="H6721" i="55"/>
  <c r="F6721" i="55"/>
  <c r="E6721" i="55"/>
  <c r="H6720" i="55"/>
  <c r="F6720" i="55"/>
  <c r="E6720" i="55"/>
  <c r="H6719" i="55"/>
  <c r="F6719" i="55"/>
  <c r="E6719" i="55"/>
  <c r="H6718" i="55"/>
  <c r="F6718" i="55"/>
  <c r="E6718" i="55"/>
  <c r="H6717" i="55"/>
  <c r="F6717" i="55"/>
  <c r="E6717" i="55"/>
  <c r="H6716" i="55"/>
  <c r="F6716" i="55"/>
  <c r="E6716" i="55"/>
  <c r="H6715" i="55"/>
  <c r="F6715" i="55"/>
  <c r="E6715" i="55"/>
  <c r="H6713" i="55"/>
  <c r="F6713" i="55"/>
  <c r="E6713" i="55"/>
  <c r="H6712" i="55"/>
  <c r="F6712" i="55"/>
  <c r="E6712" i="55"/>
  <c r="H6711" i="55"/>
  <c r="F6711" i="55"/>
  <c r="E6711" i="55"/>
  <c r="H6710" i="55"/>
  <c r="F6710" i="55"/>
  <c r="E6710" i="55"/>
  <c r="H6709" i="55"/>
  <c r="F6709" i="55"/>
  <c r="E6709" i="55"/>
  <c r="H6708" i="55"/>
  <c r="F6708" i="55"/>
  <c r="E6708" i="55"/>
  <c r="H6707" i="55"/>
  <c r="F6707" i="55"/>
  <c r="E6707" i="55"/>
  <c r="H6706" i="55"/>
  <c r="F6706" i="55"/>
  <c r="E6706" i="55"/>
  <c r="H6705" i="55"/>
  <c r="F6705" i="55"/>
  <c r="E6705" i="55"/>
  <c r="H6704" i="55"/>
  <c r="F6704" i="55"/>
  <c r="E6704" i="55"/>
  <c r="H6703" i="55"/>
  <c r="F6703" i="55"/>
  <c r="E6703" i="55"/>
  <c r="H6702" i="55"/>
  <c r="F6702" i="55"/>
  <c r="E6702" i="55"/>
  <c r="H6701" i="55"/>
  <c r="F6701" i="55"/>
  <c r="E6701" i="55"/>
  <c r="H6700" i="55"/>
  <c r="F6700" i="55"/>
  <c r="E6700" i="55"/>
  <c r="H6699" i="55"/>
  <c r="F6699" i="55"/>
  <c r="E6699" i="55"/>
  <c r="H6698" i="55"/>
  <c r="F6698" i="55"/>
  <c r="E6698" i="55"/>
  <c r="H6697" i="55"/>
  <c r="F6697" i="55"/>
  <c r="E6697" i="55"/>
  <c r="H6696" i="55"/>
  <c r="F6696" i="55"/>
  <c r="E6696" i="55"/>
  <c r="H6695" i="55"/>
  <c r="F6695" i="55"/>
  <c r="E6695" i="55"/>
  <c r="H6694" i="55"/>
  <c r="F6694" i="55"/>
  <c r="E6694" i="55"/>
  <c r="H6693" i="55"/>
  <c r="F6693" i="55"/>
  <c r="E6693" i="55"/>
  <c r="H6692" i="55"/>
  <c r="F6692" i="55"/>
  <c r="E6692" i="55"/>
  <c r="H6691" i="55"/>
  <c r="F6691" i="55"/>
  <c r="E6691" i="55"/>
  <c r="H6690" i="55"/>
  <c r="F6690" i="55"/>
  <c r="E6690" i="55"/>
  <c r="H6689" i="55"/>
  <c r="F6689" i="55"/>
  <c r="E6689" i="55"/>
  <c r="H6688" i="55"/>
  <c r="F6688" i="55"/>
  <c r="E6688" i="55"/>
  <c r="H6687" i="55"/>
  <c r="F6687" i="55"/>
  <c r="E6687" i="55"/>
  <c r="H6686" i="55"/>
  <c r="F6686" i="55"/>
  <c r="E6686" i="55"/>
  <c r="H6685" i="55"/>
  <c r="F6685" i="55"/>
  <c r="E6685" i="55"/>
  <c r="H6684" i="55"/>
  <c r="F6684" i="55"/>
  <c r="E6684" i="55"/>
  <c r="H6683" i="55"/>
  <c r="F6683" i="55"/>
  <c r="E6683" i="55"/>
  <c r="H6682" i="55"/>
  <c r="F6682" i="55"/>
  <c r="E6682" i="55"/>
  <c r="H6681" i="55"/>
  <c r="F6681" i="55"/>
  <c r="E6681" i="55"/>
  <c r="H6680" i="55"/>
  <c r="F6680" i="55"/>
  <c r="E6680" i="55"/>
  <c r="H6678" i="55"/>
  <c r="F6678" i="55"/>
  <c r="E6678" i="55"/>
  <c r="H6677" i="55"/>
  <c r="F6677" i="55"/>
  <c r="E6677" i="55"/>
  <c r="H6676" i="55"/>
  <c r="F6676" i="55"/>
  <c r="E6676" i="55"/>
  <c r="H6675" i="55"/>
  <c r="F6675" i="55"/>
  <c r="E6675" i="55"/>
  <c r="H6674" i="55"/>
  <c r="F6674" i="55"/>
  <c r="E6674" i="55"/>
  <c r="H6673" i="55"/>
  <c r="F6673" i="55"/>
  <c r="E6673" i="55"/>
  <c r="H6672" i="55"/>
  <c r="F6672" i="55"/>
  <c r="E6672" i="55"/>
  <c r="H6671" i="55"/>
  <c r="F6671" i="55"/>
  <c r="E6671" i="55"/>
  <c r="H6670" i="55"/>
  <c r="F6670" i="55"/>
  <c r="E6670" i="55"/>
  <c r="H6669" i="55"/>
  <c r="F6669" i="55"/>
  <c r="E6669" i="55"/>
  <c r="H6668" i="55"/>
  <c r="F6668" i="55"/>
  <c r="E6668" i="55"/>
  <c r="H6667" i="55"/>
  <c r="F6667" i="55"/>
  <c r="E6667" i="55"/>
  <c r="H6666" i="55"/>
  <c r="F6666" i="55"/>
  <c r="E6666" i="55"/>
  <c r="H6665" i="55"/>
  <c r="F6665" i="55"/>
  <c r="E6665" i="55"/>
  <c r="H6664" i="55"/>
  <c r="F6664" i="55"/>
  <c r="E6664" i="55"/>
  <c r="H6663" i="55"/>
  <c r="F6663" i="55"/>
  <c r="E6663" i="55"/>
  <c r="H6662" i="55"/>
  <c r="F6662" i="55"/>
  <c r="E6662" i="55"/>
  <c r="H6661" i="55"/>
  <c r="F6661" i="55"/>
  <c r="E6661" i="55"/>
  <c r="H6660" i="55"/>
  <c r="F6660" i="55"/>
  <c r="E6660" i="55"/>
  <c r="H6659" i="55"/>
  <c r="F6659" i="55"/>
  <c r="E6659" i="55"/>
  <c r="H6658" i="55"/>
  <c r="F6658" i="55"/>
  <c r="E6658" i="55"/>
  <c r="H6657" i="55"/>
  <c r="F6657" i="55"/>
  <c r="E6657" i="55"/>
  <c r="H6656" i="55"/>
  <c r="F6656" i="55"/>
  <c r="E6656" i="55"/>
  <c r="H6655" i="55"/>
  <c r="F6655" i="55"/>
  <c r="E6655" i="55"/>
  <c r="H6654" i="55"/>
  <c r="F6654" i="55"/>
  <c r="E6654" i="55"/>
  <c r="H6653" i="55"/>
  <c r="F6653" i="55"/>
  <c r="E6653" i="55"/>
  <c r="H6652" i="55"/>
  <c r="F6652" i="55"/>
  <c r="E6652" i="55"/>
  <c r="H6651" i="55"/>
  <c r="F6651" i="55"/>
  <c r="E6651" i="55"/>
  <c r="H6650" i="55"/>
  <c r="F6650" i="55"/>
  <c r="E6650" i="55"/>
  <c r="H6649" i="55"/>
  <c r="F6649" i="55"/>
  <c r="E6649" i="55"/>
  <c r="H6648" i="55"/>
  <c r="F6648" i="55"/>
  <c r="E6648" i="55"/>
  <c r="H6647" i="55"/>
  <c r="F6647" i="55"/>
  <c r="E6647" i="55"/>
  <c r="H6646" i="55"/>
  <c r="F6646" i="55"/>
  <c r="E6646" i="55"/>
  <c r="H6645" i="55"/>
  <c r="F6645" i="55"/>
  <c r="E6645" i="55"/>
  <c r="H6643" i="55"/>
  <c r="F6643" i="55"/>
  <c r="E6643" i="55"/>
  <c r="H6642" i="55"/>
  <c r="F6642" i="55"/>
  <c r="E6642" i="55"/>
  <c r="H6641" i="55"/>
  <c r="F6641" i="55"/>
  <c r="E6641" i="55"/>
  <c r="H6640" i="55"/>
  <c r="F6640" i="55"/>
  <c r="E6640" i="55"/>
  <c r="H6639" i="55"/>
  <c r="F6639" i="55"/>
  <c r="E6639" i="55"/>
  <c r="H6638" i="55"/>
  <c r="F6638" i="55"/>
  <c r="E6638" i="55"/>
  <c r="H6637" i="55"/>
  <c r="F6637" i="55"/>
  <c r="E6637" i="55"/>
  <c r="H6636" i="55"/>
  <c r="F6636" i="55"/>
  <c r="E6636" i="55"/>
  <c r="H6635" i="55"/>
  <c r="F6635" i="55"/>
  <c r="E6635" i="55"/>
  <c r="H6634" i="55"/>
  <c r="F6634" i="55"/>
  <c r="E6634" i="55"/>
  <c r="H6633" i="55"/>
  <c r="F6633" i="55"/>
  <c r="E6633" i="55"/>
  <c r="H6632" i="55"/>
  <c r="F6632" i="55"/>
  <c r="E6632" i="55"/>
  <c r="H6631" i="55"/>
  <c r="F6631" i="55"/>
  <c r="E6631" i="55"/>
  <c r="H6630" i="55"/>
  <c r="F6630" i="55"/>
  <c r="E6630" i="55"/>
  <c r="H6629" i="55"/>
  <c r="F6629" i="55"/>
  <c r="E6629" i="55"/>
  <c r="H6628" i="55"/>
  <c r="F6628" i="55"/>
  <c r="E6628" i="55"/>
  <c r="H6627" i="55"/>
  <c r="F6627" i="55"/>
  <c r="E6627" i="55"/>
  <c r="H6626" i="55"/>
  <c r="F6626" i="55"/>
  <c r="E6626" i="55"/>
  <c r="H6625" i="55"/>
  <c r="F6625" i="55"/>
  <c r="E6625" i="55"/>
  <c r="H6624" i="55"/>
  <c r="F6624" i="55"/>
  <c r="E6624" i="55"/>
  <c r="H6623" i="55"/>
  <c r="F6623" i="55"/>
  <c r="E6623" i="55"/>
  <c r="H6622" i="55"/>
  <c r="F6622" i="55"/>
  <c r="E6622" i="55"/>
  <c r="H6621" i="55"/>
  <c r="F6621" i="55"/>
  <c r="E6621" i="55"/>
  <c r="H6620" i="55"/>
  <c r="F6620" i="55"/>
  <c r="E6620" i="55"/>
  <c r="H6619" i="55"/>
  <c r="F6619" i="55"/>
  <c r="E6619" i="55"/>
  <c r="H6618" i="55"/>
  <c r="F6618" i="55"/>
  <c r="E6618" i="55"/>
  <c r="H6617" i="55"/>
  <c r="F6617" i="55"/>
  <c r="E6617" i="55"/>
  <c r="H6616" i="55"/>
  <c r="F6616" i="55"/>
  <c r="E6616" i="55"/>
  <c r="H6615" i="55"/>
  <c r="F6615" i="55"/>
  <c r="E6615" i="55"/>
  <c r="H6614" i="55"/>
  <c r="F6614" i="55"/>
  <c r="E6614" i="55"/>
  <c r="H6613" i="55"/>
  <c r="F6613" i="55"/>
  <c r="E6613" i="55"/>
  <c r="H6612" i="55"/>
  <c r="F6612" i="55"/>
  <c r="E6612" i="55"/>
  <c r="H6611" i="55"/>
  <c r="F6611" i="55"/>
  <c r="E6611" i="55"/>
  <c r="H6610" i="55"/>
  <c r="F6610" i="55"/>
  <c r="E6610" i="55"/>
  <c r="H6609" i="55"/>
  <c r="F6609" i="55"/>
  <c r="E6609" i="55"/>
  <c r="H6608" i="55"/>
  <c r="F6608" i="55"/>
  <c r="E6608" i="55"/>
  <c r="H6607" i="55"/>
  <c r="F6607" i="55"/>
  <c r="E6607" i="55"/>
  <c r="H6606" i="55"/>
  <c r="F6606" i="55"/>
  <c r="E6606" i="55"/>
  <c r="H6605" i="55"/>
  <c r="F6605" i="55"/>
  <c r="E6605" i="55"/>
  <c r="H6604" i="55"/>
  <c r="F6604" i="55"/>
  <c r="E6604" i="55"/>
  <c r="H6603" i="55"/>
  <c r="F6603" i="55"/>
  <c r="E6603" i="55"/>
  <c r="H6602" i="55"/>
  <c r="F6602" i="55"/>
  <c r="E6602" i="55"/>
  <c r="H6601" i="55"/>
  <c r="F6601" i="55"/>
  <c r="E6601" i="55"/>
  <c r="H6600" i="55"/>
  <c r="F6600" i="55"/>
  <c r="E6600" i="55"/>
  <c r="H6599" i="55"/>
  <c r="F6599" i="55"/>
  <c r="E6599" i="55"/>
  <c r="H6598" i="55"/>
  <c r="F6598" i="55"/>
  <c r="E6598" i="55"/>
  <c r="H6597" i="55"/>
  <c r="F6597" i="55"/>
  <c r="E6597" i="55"/>
  <c r="H6596" i="55"/>
  <c r="F6596" i="55"/>
  <c r="E6596" i="55"/>
  <c r="H6595" i="55"/>
  <c r="F6595" i="55"/>
  <c r="E6595" i="55"/>
  <c r="H6594" i="55"/>
  <c r="F6594" i="55"/>
  <c r="E6594" i="55"/>
  <c r="H6593" i="55"/>
  <c r="F6593" i="55"/>
  <c r="E6593" i="55"/>
  <c r="H6592" i="55"/>
  <c r="F6592" i="55"/>
  <c r="E6592" i="55"/>
  <c r="H6591" i="55"/>
  <c r="F6591" i="55"/>
  <c r="E6591" i="55"/>
  <c r="H6590" i="55"/>
  <c r="F6590" i="55"/>
  <c r="E6590" i="55"/>
  <c r="H6589" i="55"/>
  <c r="F6589" i="55"/>
  <c r="E6589" i="55"/>
  <c r="H6588" i="55"/>
  <c r="F6588" i="55"/>
  <c r="E6588" i="55"/>
  <c r="H6587" i="55"/>
  <c r="F6587" i="55"/>
  <c r="E6587" i="55"/>
  <c r="H6586" i="55"/>
  <c r="F6586" i="55"/>
  <c r="E6586" i="55"/>
  <c r="H6585" i="55"/>
  <c r="F6585" i="55"/>
  <c r="E6585" i="55"/>
  <c r="H6584" i="55"/>
  <c r="F6584" i="55"/>
  <c r="E6584" i="55"/>
  <c r="H6582" i="55"/>
  <c r="F6582" i="55"/>
  <c r="E6582" i="55"/>
  <c r="H6581" i="55"/>
  <c r="F6581" i="55"/>
  <c r="E6581" i="55"/>
  <c r="H6580" i="55"/>
  <c r="F6580" i="55"/>
  <c r="E6580" i="55"/>
  <c r="H6579" i="55"/>
  <c r="F6579" i="55"/>
  <c r="E6579" i="55"/>
  <c r="H6578" i="55"/>
  <c r="F6578" i="55"/>
  <c r="E6578" i="55"/>
  <c r="H6577" i="55"/>
  <c r="F6577" i="55"/>
  <c r="E6577" i="55"/>
  <c r="H6576" i="55"/>
  <c r="F6576" i="55"/>
  <c r="E6576" i="55"/>
  <c r="H6575" i="55"/>
  <c r="F6575" i="55"/>
  <c r="E6575" i="55"/>
  <c r="H6574" i="55"/>
  <c r="F6574" i="55"/>
  <c r="E6574" i="55"/>
  <c r="H6573" i="55"/>
  <c r="F6573" i="55"/>
  <c r="E6573" i="55"/>
  <c r="H6572" i="55"/>
  <c r="F6572" i="55"/>
  <c r="E6572" i="55"/>
  <c r="H6571" i="55"/>
  <c r="F6571" i="55"/>
  <c r="E6571" i="55"/>
  <c r="H6570" i="55"/>
  <c r="F6570" i="55"/>
  <c r="E6570" i="55"/>
  <c r="H6569" i="55"/>
  <c r="F6569" i="55"/>
  <c r="E6569" i="55"/>
  <c r="H6568" i="55"/>
  <c r="F6568" i="55"/>
  <c r="E6568" i="55"/>
  <c r="H6567" i="55"/>
  <c r="F6567" i="55"/>
  <c r="E6567" i="55"/>
  <c r="H6566" i="55"/>
  <c r="F6566" i="55"/>
  <c r="E6566" i="55"/>
  <c r="H6565" i="55"/>
  <c r="F6565" i="55"/>
  <c r="E6565" i="55"/>
  <c r="H6564" i="55"/>
  <c r="F6564" i="55"/>
  <c r="E6564" i="55"/>
  <c r="H6563" i="55"/>
  <c r="F6563" i="55"/>
  <c r="E6563" i="55"/>
  <c r="H6562" i="55"/>
  <c r="F6562" i="55"/>
  <c r="E6562" i="55"/>
  <c r="H6561" i="55"/>
  <c r="F6561" i="55"/>
  <c r="E6561" i="55"/>
  <c r="H6560" i="55"/>
  <c r="F6560" i="55"/>
  <c r="E6560" i="55"/>
  <c r="H6559" i="55"/>
  <c r="F6559" i="55"/>
  <c r="E6559" i="55"/>
  <c r="H6558" i="55"/>
  <c r="F6558" i="55"/>
  <c r="E6558" i="55"/>
  <c r="H6557" i="55"/>
  <c r="F6557" i="55"/>
  <c r="E6557" i="55"/>
  <c r="H6556" i="55"/>
  <c r="F6556" i="55"/>
  <c r="E6556" i="55"/>
  <c r="H6555" i="55"/>
  <c r="F6555" i="55"/>
  <c r="E6555" i="55"/>
  <c r="H6554" i="55"/>
  <c r="F6554" i="55"/>
  <c r="E6554" i="55"/>
  <c r="H6553" i="55"/>
  <c r="F6553" i="55"/>
  <c r="E6553" i="55"/>
  <c r="H6552" i="55"/>
  <c r="F6552" i="55"/>
  <c r="E6552" i="55"/>
  <c r="H6551" i="55"/>
  <c r="F6551" i="55"/>
  <c r="E6551" i="55"/>
  <c r="H6550" i="55"/>
  <c r="F6550" i="55"/>
  <c r="E6550" i="55"/>
  <c r="H6549" i="55"/>
  <c r="F6549" i="55"/>
  <c r="E6549" i="55"/>
  <c r="H6548" i="55"/>
  <c r="F6548" i="55"/>
  <c r="E6548" i="55"/>
  <c r="H6547" i="55"/>
  <c r="F6547" i="55"/>
  <c r="E6547" i="55"/>
  <c r="H6546" i="55"/>
  <c r="F6546" i="55"/>
  <c r="E6546" i="55"/>
  <c r="H6545" i="55"/>
  <c r="F6545" i="55"/>
  <c r="E6545" i="55"/>
  <c r="H6544" i="55"/>
  <c r="F6544" i="55"/>
  <c r="E6544" i="55"/>
  <c r="H6543" i="55"/>
  <c r="F6543" i="55"/>
  <c r="E6543" i="55"/>
  <c r="H6542" i="55"/>
  <c r="F6542" i="55"/>
  <c r="E6542" i="55"/>
  <c r="H6541" i="55"/>
  <c r="F6541" i="55"/>
  <c r="E6541" i="55"/>
  <c r="H6540" i="55"/>
  <c r="F6540" i="55"/>
  <c r="E6540" i="55"/>
  <c r="H6539" i="55"/>
  <c r="F6539" i="55"/>
  <c r="E6539" i="55"/>
  <c r="H6538" i="55"/>
  <c r="F6538" i="55"/>
  <c r="E6538" i="55"/>
  <c r="H6537" i="55"/>
  <c r="F6537" i="55"/>
  <c r="E6537" i="55"/>
  <c r="H6536" i="55"/>
  <c r="F6536" i="55"/>
  <c r="E6536" i="55"/>
  <c r="H6535" i="55"/>
  <c r="F6535" i="55"/>
  <c r="E6535" i="55"/>
  <c r="H6534" i="55"/>
  <c r="F6534" i="55"/>
  <c r="E6534" i="55"/>
  <c r="H6533" i="55"/>
  <c r="F6533" i="55"/>
  <c r="E6533" i="55"/>
  <c r="H6532" i="55"/>
  <c r="F6532" i="55"/>
  <c r="E6532" i="55"/>
  <c r="H6531" i="55"/>
  <c r="F6531" i="55"/>
  <c r="E6531" i="55"/>
  <c r="H6530" i="55"/>
  <c r="F6530" i="55"/>
  <c r="E6530" i="55"/>
  <c r="H6529" i="55"/>
  <c r="F6529" i="55"/>
  <c r="E6529" i="55"/>
  <c r="H6528" i="55"/>
  <c r="F6528" i="55"/>
  <c r="E6528" i="55"/>
  <c r="H6527" i="55"/>
  <c r="F6527" i="55"/>
  <c r="E6527" i="55"/>
  <c r="H6526" i="55"/>
  <c r="F6526" i="55"/>
  <c r="E6526" i="55"/>
  <c r="H6525" i="55"/>
  <c r="F6525" i="55"/>
  <c r="E6525" i="55"/>
  <c r="H6524" i="55"/>
  <c r="F6524" i="55"/>
  <c r="E6524" i="55"/>
  <c r="H6523" i="55"/>
  <c r="F6523" i="55"/>
  <c r="E6523" i="55"/>
  <c r="H6521" i="55"/>
  <c r="F6521" i="55"/>
  <c r="E6521" i="55"/>
  <c r="H6520" i="55"/>
  <c r="F6520" i="55"/>
  <c r="E6520" i="55"/>
  <c r="H6519" i="55"/>
  <c r="F6519" i="55"/>
  <c r="E6519" i="55"/>
  <c r="H6518" i="55"/>
  <c r="F6518" i="55"/>
  <c r="E6518" i="55"/>
  <c r="H6517" i="55"/>
  <c r="F6517" i="55"/>
  <c r="E6517" i="55"/>
  <c r="H6516" i="55"/>
  <c r="F6516" i="55"/>
  <c r="E6516" i="55"/>
  <c r="H6515" i="55"/>
  <c r="F6515" i="55"/>
  <c r="E6515" i="55"/>
  <c r="H6514" i="55"/>
  <c r="F6514" i="55"/>
  <c r="E6514" i="55"/>
  <c r="H6513" i="55"/>
  <c r="F6513" i="55"/>
  <c r="E6513" i="55"/>
  <c r="H6512" i="55"/>
  <c r="F6512" i="55"/>
  <c r="E6512" i="55"/>
  <c r="H6511" i="55"/>
  <c r="F6511" i="55"/>
  <c r="E6511" i="55"/>
  <c r="H6510" i="55"/>
  <c r="F6510" i="55"/>
  <c r="E6510" i="55"/>
  <c r="H6509" i="55"/>
  <c r="F6509" i="55"/>
  <c r="E6509" i="55"/>
  <c r="H6508" i="55"/>
  <c r="F6508" i="55"/>
  <c r="E6508" i="55"/>
  <c r="H6507" i="55"/>
  <c r="F6507" i="55"/>
  <c r="E6507" i="55"/>
  <c r="H6506" i="55"/>
  <c r="F6506" i="55"/>
  <c r="E6506" i="55"/>
  <c r="H6505" i="55"/>
  <c r="F6505" i="55"/>
  <c r="E6505" i="55"/>
  <c r="H6504" i="55"/>
  <c r="F6504" i="55"/>
  <c r="E6504" i="55"/>
  <c r="H6503" i="55"/>
  <c r="F6503" i="55"/>
  <c r="E6503" i="55"/>
  <c r="H6502" i="55"/>
  <c r="F6502" i="55"/>
  <c r="E6502" i="55"/>
  <c r="H6501" i="55"/>
  <c r="F6501" i="55"/>
  <c r="E6501" i="55"/>
  <c r="H6500" i="55"/>
  <c r="F6500" i="55"/>
  <c r="E6500" i="55"/>
  <c r="H6499" i="55"/>
  <c r="F6499" i="55"/>
  <c r="E6499" i="55"/>
  <c r="H6498" i="55"/>
  <c r="F6498" i="55"/>
  <c r="E6498" i="55"/>
  <c r="H6497" i="55"/>
  <c r="F6497" i="55"/>
  <c r="E6497" i="55"/>
  <c r="H6496" i="55"/>
  <c r="F6496" i="55"/>
  <c r="E6496" i="55"/>
  <c r="H6495" i="55"/>
  <c r="F6495" i="55"/>
  <c r="E6495" i="55"/>
  <c r="H6494" i="55"/>
  <c r="F6494" i="55"/>
  <c r="E6494" i="55"/>
  <c r="H6493" i="55"/>
  <c r="F6493" i="55"/>
  <c r="E6493" i="55"/>
  <c r="H6492" i="55"/>
  <c r="F6492" i="55"/>
  <c r="E6492" i="55"/>
  <c r="H6491" i="55"/>
  <c r="F6491" i="55"/>
  <c r="E6491" i="55"/>
  <c r="H6490" i="55"/>
  <c r="F6490" i="55"/>
  <c r="E6490" i="55"/>
  <c r="H6489" i="55"/>
  <c r="F6489" i="55"/>
  <c r="E6489" i="55"/>
  <c r="H6488" i="55"/>
  <c r="F6488" i="55"/>
  <c r="E6488" i="55"/>
  <c r="H6487" i="55"/>
  <c r="F6487" i="55"/>
  <c r="E6487" i="55"/>
  <c r="H6486" i="55"/>
  <c r="F6486" i="55"/>
  <c r="E6486" i="55"/>
  <c r="H6485" i="55"/>
  <c r="F6485" i="55"/>
  <c r="E6485" i="55"/>
  <c r="H6484" i="55"/>
  <c r="F6484" i="55"/>
  <c r="E6484" i="55"/>
  <c r="H6483" i="55"/>
  <c r="F6483" i="55"/>
  <c r="E6483" i="55"/>
  <c r="H6482" i="55"/>
  <c r="F6482" i="55"/>
  <c r="E6482" i="55"/>
  <c r="H6481" i="55"/>
  <c r="F6481" i="55"/>
  <c r="E6481" i="55"/>
  <c r="H6480" i="55"/>
  <c r="F6480" i="55"/>
  <c r="E6480" i="55"/>
  <c r="H6479" i="55"/>
  <c r="F6479" i="55"/>
  <c r="E6479" i="55"/>
  <c r="H6478" i="55"/>
  <c r="F6478" i="55"/>
  <c r="E6478" i="55"/>
  <c r="H6477" i="55"/>
  <c r="F6477" i="55"/>
  <c r="E6477" i="55"/>
  <c r="H6476" i="55"/>
  <c r="F6476" i="55"/>
  <c r="E6476" i="55"/>
  <c r="H6475" i="55"/>
  <c r="F6475" i="55"/>
  <c r="E6475" i="55"/>
  <c r="H6474" i="55"/>
  <c r="F6474" i="55"/>
  <c r="E6474" i="55"/>
  <c r="H6473" i="55"/>
  <c r="F6473" i="55"/>
  <c r="E6473" i="55"/>
  <c r="H6472" i="55"/>
  <c r="F6472" i="55"/>
  <c r="E6472" i="55"/>
  <c r="H6471" i="55"/>
  <c r="F6471" i="55"/>
  <c r="E6471" i="55"/>
  <c r="H6470" i="55"/>
  <c r="F6470" i="55"/>
  <c r="E6470" i="55"/>
  <c r="H6469" i="55"/>
  <c r="F6469" i="55"/>
  <c r="E6469" i="55"/>
  <c r="H6468" i="55"/>
  <c r="F6468" i="55"/>
  <c r="E6468" i="55"/>
  <c r="H6467" i="55"/>
  <c r="F6467" i="55"/>
  <c r="E6467" i="55"/>
  <c r="H6466" i="55"/>
  <c r="F6466" i="55"/>
  <c r="E6466" i="55"/>
  <c r="H6465" i="55"/>
  <c r="F6465" i="55"/>
  <c r="E6465" i="55"/>
  <c r="H6464" i="55"/>
  <c r="F6464" i="55"/>
  <c r="E6464" i="55"/>
  <c r="H6463" i="55"/>
  <c r="F6463" i="55"/>
  <c r="E6463" i="55"/>
  <c r="H6462" i="55"/>
  <c r="F6462" i="55"/>
  <c r="E6462" i="55"/>
  <c r="H6460" i="55"/>
  <c r="F6460" i="55"/>
  <c r="E6460" i="55"/>
  <c r="H6459" i="55"/>
  <c r="F6459" i="55"/>
  <c r="E6459" i="55"/>
  <c r="H6458" i="55"/>
  <c r="F6458" i="55"/>
  <c r="E6458" i="55"/>
  <c r="H6457" i="55"/>
  <c r="F6457" i="55"/>
  <c r="E6457" i="55"/>
  <c r="H6456" i="55"/>
  <c r="F6456" i="55"/>
  <c r="E6456" i="55"/>
  <c r="H6455" i="55"/>
  <c r="F6455" i="55"/>
  <c r="E6455" i="55"/>
  <c r="H6454" i="55"/>
  <c r="F6454" i="55"/>
  <c r="E6454" i="55"/>
  <c r="H6453" i="55"/>
  <c r="F6453" i="55"/>
  <c r="E6453" i="55"/>
  <c r="H6452" i="55"/>
  <c r="F6452" i="55"/>
  <c r="E6452" i="55"/>
  <c r="H6451" i="55"/>
  <c r="F6451" i="55"/>
  <c r="E6451" i="55"/>
  <c r="H6450" i="55"/>
  <c r="F6450" i="55"/>
  <c r="E6450" i="55"/>
  <c r="H6449" i="55"/>
  <c r="F6449" i="55"/>
  <c r="E6449" i="55"/>
  <c r="H6448" i="55"/>
  <c r="F6448" i="55"/>
  <c r="E6448" i="55"/>
  <c r="H6447" i="55"/>
  <c r="F6447" i="55"/>
  <c r="E6447" i="55"/>
  <c r="H6446" i="55"/>
  <c r="F6446" i="55"/>
  <c r="E6446" i="55"/>
  <c r="H6445" i="55"/>
  <c r="F6445" i="55"/>
  <c r="E6445" i="55"/>
  <c r="H6444" i="55"/>
  <c r="F6444" i="55"/>
  <c r="E6444" i="55"/>
  <c r="H6443" i="55"/>
  <c r="F6443" i="55"/>
  <c r="E6443" i="55"/>
  <c r="H6442" i="55"/>
  <c r="F6442" i="55"/>
  <c r="E6442" i="55"/>
  <c r="H6441" i="55"/>
  <c r="F6441" i="55"/>
  <c r="E6441" i="55"/>
  <c r="H6440" i="55"/>
  <c r="F6440" i="55"/>
  <c r="E6440" i="55"/>
  <c r="H6439" i="55"/>
  <c r="F6439" i="55"/>
  <c r="E6439" i="55"/>
  <c r="H6438" i="55"/>
  <c r="F6438" i="55"/>
  <c r="E6438" i="55"/>
  <c r="H6437" i="55"/>
  <c r="F6437" i="55"/>
  <c r="E6437" i="55"/>
  <c r="H6436" i="55"/>
  <c r="F6436" i="55"/>
  <c r="E6436" i="55"/>
  <c r="H6435" i="55"/>
  <c r="F6435" i="55"/>
  <c r="E6435" i="55"/>
  <c r="H6434" i="55"/>
  <c r="F6434" i="55"/>
  <c r="E6434" i="55"/>
  <c r="H6433" i="55"/>
  <c r="F6433" i="55"/>
  <c r="E6433" i="55"/>
  <c r="H6432" i="55"/>
  <c r="F6432" i="55"/>
  <c r="E6432" i="55"/>
  <c r="H6431" i="55"/>
  <c r="F6431" i="55"/>
  <c r="E6431" i="55"/>
  <c r="H6430" i="55"/>
  <c r="F6430" i="55"/>
  <c r="E6430" i="55"/>
  <c r="H6429" i="55"/>
  <c r="F6429" i="55"/>
  <c r="E6429" i="55"/>
  <c r="H6428" i="55"/>
  <c r="F6428" i="55"/>
  <c r="E6428" i="55"/>
  <c r="H6427" i="55"/>
  <c r="F6427" i="55"/>
  <c r="E6427" i="55"/>
  <c r="H6426" i="55"/>
  <c r="F6426" i="55"/>
  <c r="E6426" i="55"/>
  <c r="H6425" i="55"/>
  <c r="F6425" i="55"/>
  <c r="E6425" i="55"/>
  <c r="H6424" i="55"/>
  <c r="F6424" i="55"/>
  <c r="E6424" i="55"/>
  <c r="H6423" i="55"/>
  <c r="F6423" i="55"/>
  <c r="E6423" i="55"/>
  <c r="H6422" i="55"/>
  <c r="F6422" i="55"/>
  <c r="E6422" i="55"/>
  <c r="H6421" i="55"/>
  <c r="F6421" i="55"/>
  <c r="E6421" i="55"/>
  <c r="H6420" i="55"/>
  <c r="F6420" i="55"/>
  <c r="E6420" i="55"/>
  <c r="H6419" i="55"/>
  <c r="F6419" i="55"/>
  <c r="E6419" i="55"/>
  <c r="H6418" i="55"/>
  <c r="F6418" i="55"/>
  <c r="E6418" i="55"/>
  <c r="H6417" i="55"/>
  <c r="F6417" i="55"/>
  <c r="E6417" i="55"/>
  <c r="H6416" i="55"/>
  <c r="F6416" i="55"/>
  <c r="E6416" i="55"/>
  <c r="H6415" i="55"/>
  <c r="F6415" i="55"/>
  <c r="E6415" i="55"/>
  <c r="H6414" i="55"/>
  <c r="F6414" i="55"/>
  <c r="E6414" i="55"/>
  <c r="H6413" i="55"/>
  <c r="F6413" i="55"/>
  <c r="E6413" i="55"/>
  <c r="H6412" i="55"/>
  <c r="F6412" i="55"/>
  <c r="E6412" i="55"/>
  <c r="H6411" i="55"/>
  <c r="F6411" i="55"/>
  <c r="E6411" i="55"/>
  <c r="H6410" i="55"/>
  <c r="F6410" i="55"/>
  <c r="E6410" i="55"/>
  <c r="H6409" i="55"/>
  <c r="F6409" i="55"/>
  <c r="E6409" i="55"/>
  <c r="H6408" i="55"/>
  <c r="F6408" i="55"/>
  <c r="E6408" i="55"/>
  <c r="H6407" i="55"/>
  <c r="F6407" i="55"/>
  <c r="E6407" i="55"/>
  <c r="H6406" i="55"/>
  <c r="F6406" i="55"/>
  <c r="E6406" i="55"/>
  <c r="H6405" i="55"/>
  <c r="F6405" i="55"/>
  <c r="E6405" i="55"/>
  <c r="H6404" i="55"/>
  <c r="F6404" i="55"/>
  <c r="E6404" i="55"/>
  <c r="H6403" i="55"/>
  <c r="F6403" i="55"/>
  <c r="E6403" i="55"/>
  <c r="H6402" i="55"/>
  <c r="F6402" i="55"/>
  <c r="E6402" i="55"/>
  <c r="H6401" i="55"/>
  <c r="F6401" i="55"/>
  <c r="E6401" i="55"/>
  <c r="H6399" i="55"/>
  <c r="F6399" i="55"/>
  <c r="E6399" i="55"/>
  <c r="H6398" i="55"/>
  <c r="F6398" i="55"/>
  <c r="E6398" i="55"/>
  <c r="H6397" i="55"/>
  <c r="F6397" i="55"/>
  <c r="E6397" i="55"/>
  <c r="H6396" i="55"/>
  <c r="F6396" i="55"/>
  <c r="E6396" i="55"/>
  <c r="H6395" i="55"/>
  <c r="F6395" i="55"/>
  <c r="E6395" i="55"/>
  <c r="H6394" i="55"/>
  <c r="F6394" i="55"/>
  <c r="E6394" i="55"/>
  <c r="H6393" i="55"/>
  <c r="F6393" i="55"/>
  <c r="E6393" i="55"/>
  <c r="H6392" i="55"/>
  <c r="F6392" i="55"/>
  <c r="E6392" i="55"/>
  <c r="H6391" i="55"/>
  <c r="F6391" i="55"/>
  <c r="E6391" i="55"/>
  <c r="H6390" i="55"/>
  <c r="F6390" i="55"/>
  <c r="E6390" i="55"/>
  <c r="H6389" i="55"/>
  <c r="F6389" i="55"/>
  <c r="E6389" i="55"/>
  <c r="H6388" i="55"/>
  <c r="F6388" i="55"/>
  <c r="E6388" i="55"/>
  <c r="H6387" i="55"/>
  <c r="F6387" i="55"/>
  <c r="E6387" i="55"/>
  <c r="H6386" i="55"/>
  <c r="F6386" i="55"/>
  <c r="E6386" i="55"/>
  <c r="H6385" i="55"/>
  <c r="F6385" i="55"/>
  <c r="E6385" i="55"/>
  <c r="H6384" i="55"/>
  <c r="F6384" i="55"/>
  <c r="E6384" i="55"/>
  <c r="H6383" i="55"/>
  <c r="F6383" i="55"/>
  <c r="E6383" i="55"/>
  <c r="H6382" i="55"/>
  <c r="F6382" i="55"/>
  <c r="E6382" i="55"/>
  <c r="H6381" i="55"/>
  <c r="F6381" i="55"/>
  <c r="E6381" i="55"/>
  <c r="H6380" i="55"/>
  <c r="F6380" i="55"/>
  <c r="E6380" i="55"/>
  <c r="H6379" i="55"/>
  <c r="F6379" i="55"/>
  <c r="E6379" i="55"/>
  <c r="H6378" i="55"/>
  <c r="F6378" i="55"/>
  <c r="E6378" i="55"/>
  <c r="H6377" i="55"/>
  <c r="F6377" i="55"/>
  <c r="E6377" i="55"/>
  <c r="H6376" i="55"/>
  <c r="F6376" i="55"/>
  <c r="E6376" i="55"/>
  <c r="H6375" i="55"/>
  <c r="F6375" i="55"/>
  <c r="E6375" i="55"/>
  <c r="H6374" i="55"/>
  <c r="F6374" i="55"/>
  <c r="E6374" i="55"/>
  <c r="H6373" i="55"/>
  <c r="F6373" i="55"/>
  <c r="E6373" i="55"/>
  <c r="H6372" i="55"/>
  <c r="F6372" i="55"/>
  <c r="E6372" i="55"/>
  <c r="H6371" i="55"/>
  <c r="F6371" i="55"/>
  <c r="E6371" i="55"/>
  <c r="H6370" i="55"/>
  <c r="F6370" i="55"/>
  <c r="E6370" i="55"/>
  <c r="H6369" i="55"/>
  <c r="F6369" i="55"/>
  <c r="E6369" i="55"/>
  <c r="H6368" i="55"/>
  <c r="F6368" i="55"/>
  <c r="E6368" i="55"/>
  <c r="H6367" i="55"/>
  <c r="F6367" i="55"/>
  <c r="E6367" i="55"/>
  <c r="H6366" i="55"/>
  <c r="F6366" i="55"/>
  <c r="E6366" i="55"/>
  <c r="H6365" i="55"/>
  <c r="F6365" i="55"/>
  <c r="E6365" i="55"/>
  <c r="H6364" i="55"/>
  <c r="F6364" i="55"/>
  <c r="E6364" i="55"/>
  <c r="H6363" i="55"/>
  <c r="F6363" i="55"/>
  <c r="E6363" i="55"/>
  <c r="H6362" i="55"/>
  <c r="F6362" i="55"/>
  <c r="E6362" i="55"/>
  <c r="H6361" i="55"/>
  <c r="F6361" i="55"/>
  <c r="E6361" i="55"/>
  <c r="H6360" i="55"/>
  <c r="F6360" i="55"/>
  <c r="E6360" i="55"/>
  <c r="H6359" i="55"/>
  <c r="F6359" i="55"/>
  <c r="E6359" i="55"/>
  <c r="H6358" i="55"/>
  <c r="F6358" i="55"/>
  <c r="E6358" i="55"/>
  <c r="H6357" i="55"/>
  <c r="F6357" i="55"/>
  <c r="E6357" i="55"/>
  <c r="H6356" i="55"/>
  <c r="F6356" i="55"/>
  <c r="E6356" i="55"/>
  <c r="H6355" i="55"/>
  <c r="F6355" i="55"/>
  <c r="E6355" i="55"/>
  <c r="H6354" i="55"/>
  <c r="F6354" i="55"/>
  <c r="E6354" i="55"/>
  <c r="H6353" i="55"/>
  <c r="F6353" i="55"/>
  <c r="E6353" i="55"/>
  <c r="H6352" i="55"/>
  <c r="F6352" i="55"/>
  <c r="E6352" i="55"/>
  <c r="H6351" i="55"/>
  <c r="F6351" i="55"/>
  <c r="E6351" i="55"/>
  <c r="H6350" i="55"/>
  <c r="F6350" i="55"/>
  <c r="E6350" i="55"/>
  <c r="H6349" i="55"/>
  <c r="F6349" i="55"/>
  <c r="E6349" i="55"/>
  <c r="H6348" i="55"/>
  <c r="F6348" i="55"/>
  <c r="E6348" i="55"/>
  <c r="H6347" i="55"/>
  <c r="F6347" i="55"/>
  <c r="E6347" i="55"/>
  <c r="H6346" i="55"/>
  <c r="F6346" i="55"/>
  <c r="E6346" i="55"/>
  <c r="H6345" i="55"/>
  <c r="F6345" i="55"/>
  <c r="E6345" i="55"/>
  <c r="H6344" i="55"/>
  <c r="F6344" i="55"/>
  <c r="E6344" i="55"/>
  <c r="H6343" i="55"/>
  <c r="F6343" i="55"/>
  <c r="E6343" i="55"/>
  <c r="H6342" i="55"/>
  <c r="F6342" i="55"/>
  <c r="E6342" i="55"/>
  <c r="H6341" i="55"/>
  <c r="F6341" i="55"/>
  <c r="E6341" i="55"/>
  <c r="H6340" i="55"/>
  <c r="F6340" i="55"/>
  <c r="E6340" i="55"/>
  <c r="H6338" i="55"/>
  <c r="F6338" i="55"/>
  <c r="E6338" i="55"/>
  <c r="H6337" i="55"/>
  <c r="F6337" i="55"/>
  <c r="E6337" i="55"/>
  <c r="H6336" i="55"/>
  <c r="F6336" i="55"/>
  <c r="E6336" i="55"/>
  <c r="H6335" i="55"/>
  <c r="F6335" i="55"/>
  <c r="E6335" i="55"/>
  <c r="H6334" i="55"/>
  <c r="F6334" i="55"/>
  <c r="E6334" i="55"/>
  <c r="H6333" i="55"/>
  <c r="F6333" i="55"/>
  <c r="E6333" i="55"/>
  <c r="H6332" i="55"/>
  <c r="F6332" i="55"/>
  <c r="E6332" i="55"/>
  <c r="H6331" i="55"/>
  <c r="F6331" i="55"/>
  <c r="E6331" i="55"/>
  <c r="H6330" i="55"/>
  <c r="F6330" i="55"/>
  <c r="E6330" i="55"/>
  <c r="H6329" i="55"/>
  <c r="F6329" i="55"/>
  <c r="E6329" i="55"/>
  <c r="H6328" i="55"/>
  <c r="F6328" i="55"/>
  <c r="E6328" i="55"/>
  <c r="H6327" i="55"/>
  <c r="F6327" i="55"/>
  <c r="E6327" i="55"/>
  <c r="H6326" i="55"/>
  <c r="F6326" i="55"/>
  <c r="E6326" i="55"/>
  <c r="H6325" i="55"/>
  <c r="F6325" i="55"/>
  <c r="E6325" i="55"/>
  <c r="H6324" i="55"/>
  <c r="F6324" i="55"/>
  <c r="E6324" i="55"/>
  <c r="H6323" i="55"/>
  <c r="F6323" i="55"/>
  <c r="E6323" i="55"/>
  <c r="H6322" i="55"/>
  <c r="F6322" i="55"/>
  <c r="E6322" i="55"/>
  <c r="H6321" i="55"/>
  <c r="F6321" i="55"/>
  <c r="E6321" i="55"/>
  <c r="H6320" i="55"/>
  <c r="F6320" i="55"/>
  <c r="E6320" i="55"/>
  <c r="H6319" i="55"/>
  <c r="F6319" i="55"/>
  <c r="E6319" i="55"/>
  <c r="H6318" i="55"/>
  <c r="F6318" i="55"/>
  <c r="E6318" i="55"/>
  <c r="H6317" i="55"/>
  <c r="F6317" i="55"/>
  <c r="E6317" i="55"/>
  <c r="H6316" i="55"/>
  <c r="F6316" i="55"/>
  <c r="E6316" i="55"/>
  <c r="H6315" i="55"/>
  <c r="F6315" i="55"/>
  <c r="E6315" i="55"/>
  <c r="H6314" i="55"/>
  <c r="F6314" i="55"/>
  <c r="E6314" i="55"/>
  <c r="H6313" i="55"/>
  <c r="F6313" i="55"/>
  <c r="E6313" i="55"/>
  <c r="H6312" i="55"/>
  <c r="F6312" i="55"/>
  <c r="E6312" i="55"/>
  <c r="H6311" i="55"/>
  <c r="F6311" i="55"/>
  <c r="E6311" i="55"/>
  <c r="H6310" i="55"/>
  <c r="F6310" i="55"/>
  <c r="E6310" i="55"/>
  <c r="H6309" i="55"/>
  <c r="F6309" i="55"/>
  <c r="E6309" i="55"/>
  <c r="H6308" i="55"/>
  <c r="F6308" i="55"/>
  <c r="E6308" i="55"/>
  <c r="H6307" i="55"/>
  <c r="F6307" i="55"/>
  <c r="E6307" i="55"/>
  <c r="H6306" i="55"/>
  <c r="F6306" i="55"/>
  <c r="E6306" i="55"/>
  <c r="H6305" i="55"/>
  <c r="F6305" i="55"/>
  <c r="E6305" i="55"/>
  <c r="H6304" i="55"/>
  <c r="F6304" i="55"/>
  <c r="E6304" i="55"/>
  <c r="H6303" i="55"/>
  <c r="F6303" i="55"/>
  <c r="E6303" i="55"/>
  <c r="H6302" i="55"/>
  <c r="F6302" i="55"/>
  <c r="E6302" i="55"/>
  <c r="H6301" i="55"/>
  <c r="F6301" i="55"/>
  <c r="E6301" i="55"/>
  <c r="H6300" i="55"/>
  <c r="F6300" i="55"/>
  <c r="E6300" i="55"/>
  <c r="H6299" i="55"/>
  <c r="F6299" i="55"/>
  <c r="E6299" i="55"/>
  <c r="H6298" i="55"/>
  <c r="F6298" i="55"/>
  <c r="E6298" i="55"/>
  <c r="H6297" i="55"/>
  <c r="F6297" i="55"/>
  <c r="E6297" i="55"/>
  <c r="H6296" i="55"/>
  <c r="F6296" i="55"/>
  <c r="E6296" i="55"/>
  <c r="H6295" i="55"/>
  <c r="F6295" i="55"/>
  <c r="E6295" i="55"/>
  <c r="H6294" i="55"/>
  <c r="F6294" i="55"/>
  <c r="E6294" i="55"/>
  <c r="H6293" i="55"/>
  <c r="F6293" i="55"/>
  <c r="E6293" i="55"/>
  <c r="H6292" i="55"/>
  <c r="F6292" i="55"/>
  <c r="E6292" i="55"/>
  <c r="H6291" i="55"/>
  <c r="F6291" i="55"/>
  <c r="E6291" i="55"/>
  <c r="H6290" i="55"/>
  <c r="F6290" i="55"/>
  <c r="E6290" i="55"/>
  <c r="H6289" i="55"/>
  <c r="F6289" i="55"/>
  <c r="E6289" i="55"/>
  <c r="H6288" i="55"/>
  <c r="F6288" i="55"/>
  <c r="E6288" i="55"/>
  <c r="H6287" i="55"/>
  <c r="F6287" i="55"/>
  <c r="E6287" i="55"/>
  <c r="H6286" i="55"/>
  <c r="F6286" i="55"/>
  <c r="E6286" i="55"/>
  <c r="H6285" i="55"/>
  <c r="F6285" i="55"/>
  <c r="E6285" i="55"/>
  <c r="H6284" i="55"/>
  <c r="F6284" i="55"/>
  <c r="E6284" i="55"/>
  <c r="H6283" i="55"/>
  <c r="F6283" i="55"/>
  <c r="E6283" i="55"/>
  <c r="H6282" i="55"/>
  <c r="F6282" i="55"/>
  <c r="E6282" i="55"/>
  <c r="H6281" i="55"/>
  <c r="F6281" i="55"/>
  <c r="E6281" i="55"/>
  <c r="H6280" i="55"/>
  <c r="F6280" i="55"/>
  <c r="E6280" i="55"/>
  <c r="H6279" i="55"/>
  <c r="F6279" i="55"/>
  <c r="E6279" i="55"/>
  <c r="H6277" i="55"/>
  <c r="F6277" i="55"/>
  <c r="E6277" i="55"/>
  <c r="H6276" i="55"/>
  <c r="F6276" i="55"/>
  <c r="E6276" i="55"/>
  <c r="H6275" i="55"/>
  <c r="F6275" i="55"/>
  <c r="E6275" i="55"/>
  <c r="H6274" i="55"/>
  <c r="F6274" i="55"/>
  <c r="E6274" i="55"/>
  <c r="H6273" i="55"/>
  <c r="F6273" i="55"/>
  <c r="E6273" i="55"/>
  <c r="H6272" i="55"/>
  <c r="F6272" i="55"/>
  <c r="E6272" i="55"/>
  <c r="H6271" i="55"/>
  <c r="F6271" i="55"/>
  <c r="E6271" i="55"/>
  <c r="H6270" i="55"/>
  <c r="F6270" i="55"/>
  <c r="E6270" i="55"/>
  <c r="H6269" i="55"/>
  <c r="F6269" i="55"/>
  <c r="E6269" i="55"/>
  <c r="H6268" i="55"/>
  <c r="F6268" i="55"/>
  <c r="E6268" i="55"/>
  <c r="H6267" i="55"/>
  <c r="F6267" i="55"/>
  <c r="E6267" i="55"/>
  <c r="H6266" i="55"/>
  <c r="F6266" i="55"/>
  <c r="E6266" i="55"/>
  <c r="H6265" i="55"/>
  <c r="F6265" i="55"/>
  <c r="E6265" i="55"/>
  <c r="H6264" i="55"/>
  <c r="F6264" i="55"/>
  <c r="E6264" i="55"/>
  <c r="H6263" i="55"/>
  <c r="F6263" i="55"/>
  <c r="E6263" i="55"/>
  <c r="H6262" i="55"/>
  <c r="F6262" i="55"/>
  <c r="E6262" i="55"/>
  <c r="H6261" i="55"/>
  <c r="F6261" i="55"/>
  <c r="E6261" i="55"/>
  <c r="H6260" i="55"/>
  <c r="F6260" i="55"/>
  <c r="E6260" i="55"/>
  <c r="H6259" i="55"/>
  <c r="F6259" i="55"/>
  <c r="E6259" i="55"/>
  <c r="H6258" i="55"/>
  <c r="F6258" i="55"/>
  <c r="E6258" i="55"/>
  <c r="H6257" i="55"/>
  <c r="F6257" i="55"/>
  <c r="E6257" i="55"/>
  <c r="H6256" i="55"/>
  <c r="F6256" i="55"/>
  <c r="E6256" i="55"/>
  <c r="H6255" i="55"/>
  <c r="F6255" i="55"/>
  <c r="E6255" i="55"/>
  <c r="H6254" i="55"/>
  <c r="F6254" i="55"/>
  <c r="E6254" i="55"/>
  <c r="H6253" i="55"/>
  <c r="F6253" i="55"/>
  <c r="E6253" i="55"/>
  <c r="H6252" i="55"/>
  <c r="F6252" i="55"/>
  <c r="E6252" i="55"/>
  <c r="H6251" i="55"/>
  <c r="F6251" i="55"/>
  <c r="E6251" i="55"/>
  <c r="H6250" i="55"/>
  <c r="F6250" i="55"/>
  <c r="E6250" i="55"/>
  <c r="H6249" i="55"/>
  <c r="F6249" i="55"/>
  <c r="E6249" i="55"/>
  <c r="H6248" i="55"/>
  <c r="F6248" i="55"/>
  <c r="E6248" i="55"/>
  <c r="H6247" i="55"/>
  <c r="F6247" i="55"/>
  <c r="E6247" i="55"/>
  <c r="H6246" i="55"/>
  <c r="F6246" i="55"/>
  <c r="E6246" i="55"/>
  <c r="H6245" i="55"/>
  <c r="F6245" i="55"/>
  <c r="E6245" i="55"/>
  <c r="H6244" i="55"/>
  <c r="F6244" i="55"/>
  <c r="E6244" i="55"/>
  <c r="H6243" i="55"/>
  <c r="F6243" i="55"/>
  <c r="E6243" i="55"/>
  <c r="H6242" i="55"/>
  <c r="F6242" i="55"/>
  <c r="E6242" i="55"/>
  <c r="H6241" i="55"/>
  <c r="F6241" i="55"/>
  <c r="E6241" i="55"/>
  <c r="H6240" i="55"/>
  <c r="F6240" i="55"/>
  <c r="E6240" i="55"/>
  <c r="H6239" i="55"/>
  <c r="F6239" i="55"/>
  <c r="E6239" i="55"/>
  <c r="H6238" i="55"/>
  <c r="F6238" i="55"/>
  <c r="E6238" i="55"/>
  <c r="H6237" i="55"/>
  <c r="F6237" i="55"/>
  <c r="E6237" i="55"/>
  <c r="H6236" i="55"/>
  <c r="F6236" i="55"/>
  <c r="E6236" i="55"/>
  <c r="H6235" i="55"/>
  <c r="F6235" i="55"/>
  <c r="E6235" i="55"/>
  <c r="H6234" i="55"/>
  <c r="F6234" i="55"/>
  <c r="E6234" i="55"/>
  <c r="H6233" i="55"/>
  <c r="F6233" i="55"/>
  <c r="E6233" i="55"/>
  <c r="H6232" i="55"/>
  <c r="F6232" i="55"/>
  <c r="E6232" i="55"/>
  <c r="H6231" i="55"/>
  <c r="F6231" i="55"/>
  <c r="E6231" i="55"/>
  <c r="H6230" i="55"/>
  <c r="F6230" i="55"/>
  <c r="E6230" i="55"/>
  <c r="H6229" i="55"/>
  <c r="F6229" i="55"/>
  <c r="E6229" i="55"/>
  <c r="H6228" i="55"/>
  <c r="F6228" i="55"/>
  <c r="E6228" i="55"/>
  <c r="H6227" i="55"/>
  <c r="F6227" i="55"/>
  <c r="E6227" i="55"/>
  <c r="H6226" i="55"/>
  <c r="F6226" i="55"/>
  <c r="E6226" i="55"/>
  <c r="H6225" i="55"/>
  <c r="F6225" i="55"/>
  <c r="E6225" i="55"/>
  <c r="H6224" i="55"/>
  <c r="F6224" i="55"/>
  <c r="E6224" i="55"/>
  <c r="H6223" i="55"/>
  <c r="F6223" i="55"/>
  <c r="E6223" i="55"/>
  <c r="H6222" i="55"/>
  <c r="F6222" i="55"/>
  <c r="E6222" i="55"/>
  <c r="H6221" i="55"/>
  <c r="F6221" i="55"/>
  <c r="E6221" i="55"/>
  <c r="H6220" i="55"/>
  <c r="F6220" i="55"/>
  <c r="E6220" i="55"/>
  <c r="H6219" i="55"/>
  <c r="F6219" i="55"/>
  <c r="E6219" i="55"/>
  <c r="H6218" i="55"/>
  <c r="F6218" i="55"/>
  <c r="E6218" i="55"/>
  <c r="H6216" i="55"/>
  <c r="F6216" i="55"/>
  <c r="E6216" i="55"/>
  <c r="H6215" i="55"/>
  <c r="F6215" i="55"/>
  <c r="E6215" i="55"/>
  <c r="H6214" i="55"/>
  <c r="F6214" i="55"/>
  <c r="E6214" i="55"/>
  <c r="H6213" i="55"/>
  <c r="F6213" i="55"/>
  <c r="E6213" i="55"/>
  <c r="H6212" i="55"/>
  <c r="F6212" i="55"/>
  <c r="E6212" i="55"/>
  <c r="H6211" i="55"/>
  <c r="F6211" i="55"/>
  <c r="E6211" i="55"/>
  <c r="H6210" i="55"/>
  <c r="F6210" i="55"/>
  <c r="E6210" i="55"/>
  <c r="H6209" i="55"/>
  <c r="F6209" i="55"/>
  <c r="E6209" i="55"/>
  <c r="H6208" i="55"/>
  <c r="F6208" i="55"/>
  <c r="E6208" i="55"/>
  <c r="H6207" i="55"/>
  <c r="F6207" i="55"/>
  <c r="E6207" i="55"/>
  <c r="H6206" i="55"/>
  <c r="F6206" i="55"/>
  <c r="E6206" i="55"/>
  <c r="H6205" i="55"/>
  <c r="F6205" i="55"/>
  <c r="E6205" i="55"/>
  <c r="H6204" i="55"/>
  <c r="F6204" i="55"/>
  <c r="E6204" i="55"/>
  <c r="H6203" i="55"/>
  <c r="F6203" i="55"/>
  <c r="E6203" i="55"/>
  <c r="H6202" i="55"/>
  <c r="F6202" i="55"/>
  <c r="E6202" i="55"/>
  <c r="H6201" i="55"/>
  <c r="F6201" i="55"/>
  <c r="E6201" i="55"/>
  <c r="H6200" i="55"/>
  <c r="F6200" i="55"/>
  <c r="E6200" i="55"/>
  <c r="H6199" i="55"/>
  <c r="F6199" i="55"/>
  <c r="E6199" i="55"/>
  <c r="H6198" i="55"/>
  <c r="F6198" i="55"/>
  <c r="E6198" i="55"/>
  <c r="H6197" i="55"/>
  <c r="F6197" i="55"/>
  <c r="E6197" i="55"/>
  <c r="H6196" i="55"/>
  <c r="F6196" i="55"/>
  <c r="E6196" i="55"/>
  <c r="H6195" i="55"/>
  <c r="F6195" i="55"/>
  <c r="E6195" i="55"/>
  <c r="H6194" i="55"/>
  <c r="F6194" i="55"/>
  <c r="E6194" i="55"/>
  <c r="H6193" i="55"/>
  <c r="F6193" i="55"/>
  <c r="E6193" i="55"/>
  <c r="H6192" i="55"/>
  <c r="F6192" i="55"/>
  <c r="E6192" i="55"/>
  <c r="H6191" i="55"/>
  <c r="F6191" i="55"/>
  <c r="E6191" i="55"/>
  <c r="H6190" i="55"/>
  <c r="F6190" i="55"/>
  <c r="E6190" i="55"/>
  <c r="H6189" i="55"/>
  <c r="F6189" i="55"/>
  <c r="E6189" i="55"/>
  <c r="H6188" i="55"/>
  <c r="F6188" i="55"/>
  <c r="E6188" i="55"/>
  <c r="H6187" i="55"/>
  <c r="F6187" i="55"/>
  <c r="E6187" i="55"/>
  <c r="H6186" i="55"/>
  <c r="F6186" i="55"/>
  <c r="E6186" i="55"/>
  <c r="H6185" i="55"/>
  <c r="F6185" i="55"/>
  <c r="E6185" i="55"/>
  <c r="H6184" i="55"/>
  <c r="F6184" i="55"/>
  <c r="E6184" i="55"/>
  <c r="H6183" i="55"/>
  <c r="F6183" i="55"/>
  <c r="E6183" i="55"/>
  <c r="H6182" i="55"/>
  <c r="F6182" i="55"/>
  <c r="E6182" i="55"/>
  <c r="H6181" i="55"/>
  <c r="F6181" i="55"/>
  <c r="E6181" i="55"/>
  <c r="H6180" i="55"/>
  <c r="F6180" i="55"/>
  <c r="E6180" i="55"/>
  <c r="H6179" i="55"/>
  <c r="F6179" i="55"/>
  <c r="E6179" i="55"/>
  <c r="H6178" i="55"/>
  <c r="F6178" i="55"/>
  <c r="E6178" i="55"/>
  <c r="H6177" i="55"/>
  <c r="F6177" i="55"/>
  <c r="E6177" i="55"/>
  <c r="H6176" i="55"/>
  <c r="F6176" i="55"/>
  <c r="E6176" i="55"/>
  <c r="H6175" i="55"/>
  <c r="F6175" i="55"/>
  <c r="E6175" i="55"/>
  <c r="H6174" i="55"/>
  <c r="F6174" i="55"/>
  <c r="E6174" i="55"/>
  <c r="H6173" i="55"/>
  <c r="F6173" i="55"/>
  <c r="E6173" i="55"/>
  <c r="H6172" i="55"/>
  <c r="F6172" i="55"/>
  <c r="E6172" i="55"/>
  <c r="H6171" i="55"/>
  <c r="F6171" i="55"/>
  <c r="E6171" i="55"/>
  <c r="H6170" i="55"/>
  <c r="F6170" i="55"/>
  <c r="E6170" i="55"/>
  <c r="H6169" i="55"/>
  <c r="F6169" i="55"/>
  <c r="E6169" i="55"/>
  <c r="H6168" i="55"/>
  <c r="F6168" i="55"/>
  <c r="E6168" i="55"/>
  <c r="H6167" i="55"/>
  <c r="F6167" i="55"/>
  <c r="E6167" i="55"/>
  <c r="H6166" i="55"/>
  <c r="F6166" i="55"/>
  <c r="E6166" i="55"/>
  <c r="H6165" i="55"/>
  <c r="F6165" i="55"/>
  <c r="E6165" i="55"/>
  <c r="H6164" i="55"/>
  <c r="F6164" i="55"/>
  <c r="E6164" i="55"/>
  <c r="H6163" i="55"/>
  <c r="F6163" i="55"/>
  <c r="E6163" i="55"/>
  <c r="H6162" i="55"/>
  <c r="F6162" i="55"/>
  <c r="E6162" i="55"/>
  <c r="H6161" i="55"/>
  <c r="F6161" i="55"/>
  <c r="E6161" i="55"/>
  <c r="H6160" i="55"/>
  <c r="F6160" i="55"/>
  <c r="E6160" i="55"/>
  <c r="H6159" i="55"/>
  <c r="F6159" i="55"/>
  <c r="E6159" i="55"/>
  <c r="H6158" i="55"/>
  <c r="F6158" i="55"/>
  <c r="E6158" i="55"/>
  <c r="H6157" i="55"/>
  <c r="F6157" i="55"/>
  <c r="E6157" i="55"/>
  <c r="H6155" i="55"/>
  <c r="F6155" i="55"/>
  <c r="E6155" i="55"/>
  <c r="H6154" i="55"/>
  <c r="F6154" i="55"/>
  <c r="E6154" i="55"/>
  <c r="H6153" i="55"/>
  <c r="F6153" i="55"/>
  <c r="E6153" i="55"/>
  <c r="H6152" i="55"/>
  <c r="F6152" i="55"/>
  <c r="E6152" i="55"/>
  <c r="H6151" i="55"/>
  <c r="F6151" i="55"/>
  <c r="E6151" i="55"/>
  <c r="H6150" i="55"/>
  <c r="F6150" i="55"/>
  <c r="E6150" i="55"/>
  <c r="H6149" i="55"/>
  <c r="F6149" i="55"/>
  <c r="E6149" i="55"/>
  <c r="H6148" i="55"/>
  <c r="F6148" i="55"/>
  <c r="E6148" i="55"/>
  <c r="H6147" i="55"/>
  <c r="F6147" i="55"/>
  <c r="E6147" i="55"/>
  <c r="H6146" i="55"/>
  <c r="F6146" i="55"/>
  <c r="E6146" i="55"/>
  <c r="H6145" i="55"/>
  <c r="F6145" i="55"/>
  <c r="E6145" i="55"/>
  <c r="H6144" i="55"/>
  <c r="F6144" i="55"/>
  <c r="E6144" i="55"/>
  <c r="H6143" i="55"/>
  <c r="F6143" i="55"/>
  <c r="E6143" i="55"/>
  <c r="H6142" i="55"/>
  <c r="F6142" i="55"/>
  <c r="E6142" i="55"/>
  <c r="H6141" i="55"/>
  <c r="F6141" i="55"/>
  <c r="E6141" i="55"/>
  <c r="H6140" i="55"/>
  <c r="F6140" i="55"/>
  <c r="E6140" i="55"/>
  <c r="H6139" i="55"/>
  <c r="F6139" i="55"/>
  <c r="E6139" i="55"/>
  <c r="H6138" i="55"/>
  <c r="F6138" i="55"/>
  <c r="E6138" i="55"/>
  <c r="H6137" i="55"/>
  <c r="F6137" i="55"/>
  <c r="E6137" i="55"/>
  <c r="H6136" i="55"/>
  <c r="F6136" i="55"/>
  <c r="E6136" i="55"/>
  <c r="H6135" i="55"/>
  <c r="F6135" i="55"/>
  <c r="E6135" i="55"/>
  <c r="H6134" i="55"/>
  <c r="F6134" i="55"/>
  <c r="E6134" i="55"/>
  <c r="H6133" i="55"/>
  <c r="F6133" i="55"/>
  <c r="E6133" i="55"/>
  <c r="H6132" i="55"/>
  <c r="F6132" i="55"/>
  <c r="E6132" i="55"/>
  <c r="H6131" i="55"/>
  <c r="F6131" i="55"/>
  <c r="E6131" i="55"/>
  <c r="H6130" i="55"/>
  <c r="F6130" i="55"/>
  <c r="E6130" i="55"/>
  <c r="H6129" i="55"/>
  <c r="F6129" i="55"/>
  <c r="E6129" i="55"/>
  <c r="H6128" i="55"/>
  <c r="F6128" i="55"/>
  <c r="E6128" i="55"/>
  <c r="H6127" i="55"/>
  <c r="F6127" i="55"/>
  <c r="E6127" i="55"/>
  <c r="H6126" i="55"/>
  <c r="F6126" i="55"/>
  <c r="E6126" i="55"/>
  <c r="H6125" i="55"/>
  <c r="F6125" i="55"/>
  <c r="E6125" i="55"/>
  <c r="H6124" i="55"/>
  <c r="F6124" i="55"/>
  <c r="E6124" i="55"/>
  <c r="H6123" i="55"/>
  <c r="F6123" i="55"/>
  <c r="E6123" i="55"/>
  <c r="H6122" i="55"/>
  <c r="F6122" i="55"/>
  <c r="E6122" i="55"/>
  <c r="H6121" i="55"/>
  <c r="F6121" i="55"/>
  <c r="E6121" i="55"/>
  <c r="H6120" i="55"/>
  <c r="F6120" i="55"/>
  <c r="E6120" i="55"/>
  <c r="H6119" i="55"/>
  <c r="F6119" i="55"/>
  <c r="E6119" i="55"/>
  <c r="H6118" i="55"/>
  <c r="F6118" i="55"/>
  <c r="E6118" i="55"/>
  <c r="H6117" i="55"/>
  <c r="F6117" i="55"/>
  <c r="E6117" i="55"/>
  <c r="H6116" i="55"/>
  <c r="F6116" i="55"/>
  <c r="E6116" i="55"/>
  <c r="H6115" i="55"/>
  <c r="F6115" i="55"/>
  <c r="E6115" i="55"/>
  <c r="H6114" i="55"/>
  <c r="F6114" i="55"/>
  <c r="E6114" i="55"/>
  <c r="H6113" i="55"/>
  <c r="F6113" i="55"/>
  <c r="E6113" i="55"/>
  <c r="H6112" i="55"/>
  <c r="F6112" i="55"/>
  <c r="E6112" i="55"/>
  <c r="H6111" i="55"/>
  <c r="F6111" i="55"/>
  <c r="E6111" i="55"/>
  <c r="H6110" i="55"/>
  <c r="F6110" i="55"/>
  <c r="E6110" i="55"/>
  <c r="H6109" i="55"/>
  <c r="F6109" i="55"/>
  <c r="E6109" i="55"/>
  <c r="H6108" i="55"/>
  <c r="F6108" i="55"/>
  <c r="E6108" i="55"/>
  <c r="H6107" i="55"/>
  <c r="F6107" i="55"/>
  <c r="E6107" i="55"/>
  <c r="H6106" i="55"/>
  <c r="F6106" i="55"/>
  <c r="E6106" i="55"/>
  <c r="H6105" i="55"/>
  <c r="F6105" i="55"/>
  <c r="E6105" i="55"/>
  <c r="H6104" i="55"/>
  <c r="F6104" i="55"/>
  <c r="E6104" i="55"/>
  <c r="H6103" i="55"/>
  <c r="F6103" i="55"/>
  <c r="E6103" i="55"/>
  <c r="H6102" i="55"/>
  <c r="F6102" i="55"/>
  <c r="E6102" i="55"/>
  <c r="H6101" i="55"/>
  <c r="F6101" i="55"/>
  <c r="E6101" i="55"/>
  <c r="H6100" i="55"/>
  <c r="F6100" i="55"/>
  <c r="E6100" i="55"/>
  <c r="H6099" i="55"/>
  <c r="F6099" i="55"/>
  <c r="E6099" i="55"/>
  <c r="H6098" i="55"/>
  <c r="F6098" i="55"/>
  <c r="E6098" i="55"/>
  <c r="H6097" i="55"/>
  <c r="F6097" i="55"/>
  <c r="E6097" i="55"/>
  <c r="H6096" i="55"/>
  <c r="F6096" i="55"/>
  <c r="E6096" i="55"/>
  <c r="H6094" i="55"/>
  <c r="F6094" i="55"/>
  <c r="E6094" i="55"/>
  <c r="H6093" i="55"/>
  <c r="F6093" i="55"/>
  <c r="E6093" i="55"/>
  <c r="H6092" i="55"/>
  <c r="F6092" i="55"/>
  <c r="E6092" i="55"/>
  <c r="H6091" i="55"/>
  <c r="F6091" i="55"/>
  <c r="E6091" i="55"/>
  <c r="H6090" i="55"/>
  <c r="F6090" i="55"/>
  <c r="E6090" i="55"/>
  <c r="H6089" i="55"/>
  <c r="F6089" i="55"/>
  <c r="E6089" i="55"/>
  <c r="H6088" i="55"/>
  <c r="F6088" i="55"/>
  <c r="E6088" i="55"/>
  <c r="H6087" i="55"/>
  <c r="F6087" i="55"/>
  <c r="E6087" i="55"/>
  <c r="H6086" i="55"/>
  <c r="F6086" i="55"/>
  <c r="E6086" i="55"/>
  <c r="H6085" i="55"/>
  <c r="F6085" i="55"/>
  <c r="E6085" i="55"/>
  <c r="H6084" i="55"/>
  <c r="F6084" i="55"/>
  <c r="E6084" i="55"/>
  <c r="H6083" i="55"/>
  <c r="F6083" i="55"/>
  <c r="E6083" i="55"/>
  <c r="H6082" i="55"/>
  <c r="F6082" i="55"/>
  <c r="E6082" i="55"/>
  <c r="H6081" i="55"/>
  <c r="F6081" i="55"/>
  <c r="E6081" i="55"/>
  <c r="H6080" i="55"/>
  <c r="F6080" i="55"/>
  <c r="E6080" i="55"/>
  <c r="H6079" i="55"/>
  <c r="F6079" i="55"/>
  <c r="E6079" i="55"/>
  <c r="H6078" i="55"/>
  <c r="F6078" i="55"/>
  <c r="E6078" i="55"/>
  <c r="H6077" i="55"/>
  <c r="F6077" i="55"/>
  <c r="E6077" i="55"/>
  <c r="H6076" i="55"/>
  <c r="F6076" i="55"/>
  <c r="E6076" i="55"/>
  <c r="H6075" i="55"/>
  <c r="F6075" i="55"/>
  <c r="E6075" i="55"/>
  <c r="H6074" i="55"/>
  <c r="F6074" i="55"/>
  <c r="E6074" i="55"/>
  <c r="H6073" i="55"/>
  <c r="F6073" i="55"/>
  <c r="E6073" i="55"/>
  <c r="H6072" i="55"/>
  <c r="F6072" i="55"/>
  <c r="E6072" i="55"/>
  <c r="H6071" i="55"/>
  <c r="F6071" i="55"/>
  <c r="E6071" i="55"/>
  <c r="H6070" i="55"/>
  <c r="F6070" i="55"/>
  <c r="E6070" i="55"/>
  <c r="H6069" i="55"/>
  <c r="F6069" i="55"/>
  <c r="E6069" i="55"/>
  <c r="H6068" i="55"/>
  <c r="F6068" i="55"/>
  <c r="E6068" i="55"/>
  <c r="H6067" i="55"/>
  <c r="F6067" i="55"/>
  <c r="E6067" i="55"/>
  <c r="H6066" i="55"/>
  <c r="F6066" i="55"/>
  <c r="E6066" i="55"/>
  <c r="H6065" i="55"/>
  <c r="F6065" i="55"/>
  <c r="E6065" i="55"/>
  <c r="H6064" i="55"/>
  <c r="F6064" i="55"/>
  <c r="E6064" i="55"/>
  <c r="H6063" i="55"/>
  <c r="F6063" i="55"/>
  <c r="E6063" i="55"/>
  <c r="H6062" i="55"/>
  <c r="F6062" i="55"/>
  <c r="E6062" i="55"/>
  <c r="H6061" i="55"/>
  <c r="F6061" i="55"/>
  <c r="E6061" i="55"/>
  <c r="H6060" i="55"/>
  <c r="F6060" i="55"/>
  <c r="E6060" i="55"/>
  <c r="H6059" i="55"/>
  <c r="F6059" i="55"/>
  <c r="E6059" i="55"/>
  <c r="H6058" i="55"/>
  <c r="F6058" i="55"/>
  <c r="E6058" i="55"/>
  <c r="H6057" i="55"/>
  <c r="F6057" i="55"/>
  <c r="E6057" i="55"/>
  <c r="H6056" i="55"/>
  <c r="F6056" i="55"/>
  <c r="E6056" i="55"/>
  <c r="H6055" i="55"/>
  <c r="F6055" i="55"/>
  <c r="E6055" i="55"/>
  <c r="H6054" i="55"/>
  <c r="F6054" i="55"/>
  <c r="E6054" i="55"/>
  <c r="H6053" i="55"/>
  <c r="F6053" i="55"/>
  <c r="E6053" i="55"/>
  <c r="H6052" i="55"/>
  <c r="F6052" i="55"/>
  <c r="E6052" i="55"/>
  <c r="H6051" i="55"/>
  <c r="F6051" i="55"/>
  <c r="E6051" i="55"/>
  <c r="H6050" i="55"/>
  <c r="F6050" i="55"/>
  <c r="E6050" i="55"/>
  <c r="H6049" i="55"/>
  <c r="F6049" i="55"/>
  <c r="E6049" i="55"/>
  <c r="H6048" i="55"/>
  <c r="F6048" i="55"/>
  <c r="E6048" i="55"/>
  <c r="H6047" i="55"/>
  <c r="F6047" i="55"/>
  <c r="E6047" i="55"/>
  <c r="H6046" i="55"/>
  <c r="F6046" i="55"/>
  <c r="E6046" i="55"/>
  <c r="H6045" i="55"/>
  <c r="F6045" i="55"/>
  <c r="E6045" i="55"/>
  <c r="H6044" i="55"/>
  <c r="F6044" i="55"/>
  <c r="E6044" i="55"/>
  <c r="H6043" i="55"/>
  <c r="F6043" i="55"/>
  <c r="E6043" i="55"/>
  <c r="H6042" i="55"/>
  <c r="F6042" i="55"/>
  <c r="E6042" i="55"/>
  <c r="H6041" i="55"/>
  <c r="F6041" i="55"/>
  <c r="E6041" i="55"/>
  <c r="H6040" i="55"/>
  <c r="F6040" i="55"/>
  <c r="E6040" i="55"/>
  <c r="H6039" i="55"/>
  <c r="F6039" i="55"/>
  <c r="E6039" i="55"/>
  <c r="H6038" i="55"/>
  <c r="F6038" i="55"/>
  <c r="E6038" i="55"/>
  <c r="H6037" i="55"/>
  <c r="F6037" i="55"/>
  <c r="E6037" i="55"/>
  <c r="H6036" i="55"/>
  <c r="F6036" i="55"/>
  <c r="E6036" i="55"/>
  <c r="H6035" i="55"/>
  <c r="F6035" i="55"/>
  <c r="E6035" i="55"/>
  <c r="H6033" i="55"/>
  <c r="F6033" i="55"/>
  <c r="E6033" i="55"/>
  <c r="H6032" i="55"/>
  <c r="F6032" i="55"/>
  <c r="E6032" i="55"/>
  <c r="H6031" i="55"/>
  <c r="F6031" i="55"/>
  <c r="E6031" i="55"/>
  <c r="H6030" i="55"/>
  <c r="F6030" i="55"/>
  <c r="E6030" i="55"/>
  <c r="H6029" i="55"/>
  <c r="F6029" i="55"/>
  <c r="E6029" i="55"/>
  <c r="H6028" i="55"/>
  <c r="F6028" i="55"/>
  <c r="E6028" i="55"/>
  <c r="H6027" i="55"/>
  <c r="F6027" i="55"/>
  <c r="E6027" i="55"/>
  <c r="H6026" i="55"/>
  <c r="F6026" i="55"/>
  <c r="E6026" i="55"/>
  <c r="H6025" i="55"/>
  <c r="F6025" i="55"/>
  <c r="E6025" i="55"/>
  <c r="H6024" i="55"/>
  <c r="F6024" i="55"/>
  <c r="E6024" i="55"/>
  <c r="H6023" i="55"/>
  <c r="F6023" i="55"/>
  <c r="E6023" i="55"/>
  <c r="H6022" i="55"/>
  <c r="F6022" i="55"/>
  <c r="E6022" i="55"/>
  <c r="H6021" i="55"/>
  <c r="F6021" i="55"/>
  <c r="E6021" i="55"/>
  <c r="H6020" i="55"/>
  <c r="F6020" i="55"/>
  <c r="E6020" i="55"/>
  <c r="H6019" i="55"/>
  <c r="F6019" i="55"/>
  <c r="E6019" i="55"/>
  <c r="H6018" i="55"/>
  <c r="F6018" i="55"/>
  <c r="E6018" i="55"/>
  <c r="H6017" i="55"/>
  <c r="F6017" i="55"/>
  <c r="E6017" i="55"/>
  <c r="H6016" i="55"/>
  <c r="F6016" i="55"/>
  <c r="E6016" i="55"/>
  <c r="H6015" i="55"/>
  <c r="F6015" i="55"/>
  <c r="E6015" i="55"/>
  <c r="H6014" i="55"/>
  <c r="F6014" i="55"/>
  <c r="E6014" i="55"/>
  <c r="H6013" i="55"/>
  <c r="F6013" i="55"/>
  <c r="E6013" i="55"/>
  <c r="H6012" i="55"/>
  <c r="F6012" i="55"/>
  <c r="E6012" i="55"/>
  <c r="H6011" i="55"/>
  <c r="F6011" i="55"/>
  <c r="E6011" i="55"/>
  <c r="H6010" i="55"/>
  <c r="F6010" i="55"/>
  <c r="E6010" i="55"/>
  <c r="H6009" i="55"/>
  <c r="F6009" i="55"/>
  <c r="E6009" i="55"/>
  <c r="H6008" i="55"/>
  <c r="F6008" i="55"/>
  <c r="E6008" i="55"/>
  <c r="H6007" i="55"/>
  <c r="F6007" i="55"/>
  <c r="E6007" i="55"/>
  <c r="H6006" i="55"/>
  <c r="F6006" i="55"/>
  <c r="E6006" i="55"/>
  <c r="H6005" i="55"/>
  <c r="F6005" i="55"/>
  <c r="E6005" i="55"/>
  <c r="H6004" i="55"/>
  <c r="F6004" i="55"/>
  <c r="E6004" i="55"/>
  <c r="H6003" i="55"/>
  <c r="F6003" i="55"/>
  <c r="E6003" i="55"/>
  <c r="H6002" i="55"/>
  <c r="F6002" i="55"/>
  <c r="E6002" i="55"/>
  <c r="H6001" i="55"/>
  <c r="F6001" i="55"/>
  <c r="E6001" i="55"/>
  <c r="H6000" i="55"/>
  <c r="F6000" i="55"/>
  <c r="E6000" i="55"/>
  <c r="H5999" i="55"/>
  <c r="F5999" i="55"/>
  <c r="E5999" i="55"/>
  <c r="H5998" i="55"/>
  <c r="F5998" i="55"/>
  <c r="E5998" i="55"/>
  <c r="H5997" i="55"/>
  <c r="F5997" i="55"/>
  <c r="E5997" i="55"/>
  <c r="H5996" i="55"/>
  <c r="F5996" i="55"/>
  <c r="E5996" i="55"/>
  <c r="H5995" i="55"/>
  <c r="F5995" i="55"/>
  <c r="E5995" i="55"/>
  <c r="H5994" i="55"/>
  <c r="F5994" i="55"/>
  <c r="E5994" i="55"/>
  <c r="H5993" i="55"/>
  <c r="F5993" i="55"/>
  <c r="E5993" i="55"/>
  <c r="H5992" i="55"/>
  <c r="F5992" i="55"/>
  <c r="E5992" i="55"/>
  <c r="H5991" i="55"/>
  <c r="F5991" i="55"/>
  <c r="E5991" i="55"/>
  <c r="H5990" i="55"/>
  <c r="F5990" i="55"/>
  <c r="E5990" i="55"/>
  <c r="H5989" i="55"/>
  <c r="F5989" i="55"/>
  <c r="E5989" i="55"/>
  <c r="H5988" i="55"/>
  <c r="F5988" i="55"/>
  <c r="E5988" i="55"/>
  <c r="H5987" i="55"/>
  <c r="F5987" i="55"/>
  <c r="E5987" i="55"/>
  <c r="H5986" i="55"/>
  <c r="F5986" i="55"/>
  <c r="E5986" i="55"/>
  <c r="H5985" i="55"/>
  <c r="F5985" i="55"/>
  <c r="E5985" i="55"/>
  <c r="H5984" i="55"/>
  <c r="F5984" i="55"/>
  <c r="E5984" i="55"/>
  <c r="H5983" i="55"/>
  <c r="F5983" i="55"/>
  <c r="E5983" i="55"/>
  <c r="H5982" i="55"/>
  <c r="F5982" i="55"/>
  <c r="E5982" i="55"/>
  <c r="H5981" i="55"/>
  <c r="F5981" i="55"/>
  <c r="E5981" i="55"/>
  <c r="H5980" i="55"/>
  <c r="F5980" i="55"/>
  <c r="E5980" i="55"/>
  <c r="H5979" i="55"/>
  <c r="F5979" i="55"/>
  <c r="E5979" i="55"/>
  <c r="H5978" i="55"/>
  <c r="F5978" i="55"/>
  <c r="E5978" i="55"/>
  <c r="H5977" i="55"/>
  <c r="F5977" i="55"/>
  <c r="E5977" i="55"/>
  <c r="H5976" i="55"/>
  <c r="F5976" i="55"/>
  <c r="E5976" i="55"/>
  <c r="H5975" i="55"/>
  <c r="F5975" i="55"/>
  <c r="E5975" i="55"/>
  <c r="H5974" i="55"/>
  <c r="F5974" i="55"/>
  <c r="E5974" i="55"/>
  <c r="H5972" i="55"/>
  <c r="F5972" i="55"/>
  <c r="E5972" i="55"/>
  <c r="H5971" i="55"/>
  <c r="F5971" i="55"/>
  <c r="E5971" i="55"/>
  <c r="H5970" i="55"/>
  <c r="F5970" i="55"/>
  <c r="E5970" i="55"/>
  <c r="H5969" i="55"/>
  <c r="F5969" i="55"/>
  <c r="E5969" i="55"/>
  <c r="H5968" i="55"/>
  <c r="F5968" i="55"/>
  <c r="E5968" i="55"/>
  <c r="H5967" i="55"/>
  <c r="F5967" i="55"/>
  <c r="E5967" i="55"/>
  <c r="H5966" i="55"/>
  <c r="F5966" i="55"/>
  <c r="E5966" i="55"/>
  <c r="H5965" i="55"/>
  <c r="F5965" i="55"/>
  <c r="E5965" i="55"/>
  <c r="H5964" i="55"/>
  <c r="F5964" i="55"/>
  <c r="E5964" i="55"/>
  <c r="H5963" i="55"/>
  <c r="F5963" i="55"/>
  <c r="E5963" i="55"/>
  <c r="H5962" i="55"/>
  <c r="F5962" i="55"/>
  <c r="E5962" i="55"/>
  <c r="H5961" i="55"/>
  <c r="F5961" i="55"/>
  <c r="E5961" i="55"/>
  <c r="H5960" i="55"/>
  <c r="F5960" i="55"/>
  <c r="E5960" i="55"/>
  <c r="H5959" i="55"/>
  <c r="F5959" i="55"/>
  <c r="E5959" i="55"/>
  <c r="H5958" i="55"/>
  <c r="F5958" i="55"/>
  <c r="E5958" i="55"/>
  <c r="H5957" i="55"/>
  <c r="F5957" i="55"/>
  <c r="E5957" i="55"/>
  <c r="H5956" i="55"/>
  <c r="F5956" i="55"/>
  <c r="E5956" i="55"/>
  <c r="H5955" i="55"/>
  <c r="F5955" i="55"/>
  <c r="E5955" i="55"/>
  <c r="H5954" i="55"/>
  <c r="F5954" i="55"/>
  <c r="E5954" i="55"/>
  <c r="H5953" i="55"/>
  <c r="F5953" i="55"/>
  <c r="E5953" i="55"/>
  <c r="H5952" i="55"/>
  <c r="F5952" i="55"/>
  <c r="E5952" i="55"/>
  <c r="H5951" i="55"/>
  <c r="F5951" i="55"/>
  <c r="E5951" i="55"/>
  <c r="H5950" i="55"/>
  <c r="F5950" i="55"/>
  <c r="E5950" i="55"/>
  <c r="H5949" i="55"/>
  <c r="F5949" i="55"/>
  <c r="E5949" i="55"/>
  <c r="H5948" i="55"/>
  <c r="F5948" i="55"/>
  <c r="E5948" i="55"/>
  <c r="H5947" i="55"/>
  <c r="F5947" i="55"/>
  <c r="E5947" i="55"/>
  <c r="H5946" i="55"/>
  <c r="F5946" i="55"/>
  <c r="E5946" i="55"/>
  <c r="H5945" i="55"/>
  <c r="F5945" i="55"/>
  <c r="E5945" i="55"/>
  <c r="H5944" i="55"/>
  <c r="F5944" i="55"/>
  <c r="E5944" i="55"/>
  <c r="H5943" i="55"/>
  <c r="F5943" i="55"/>
  <c r="E5943" i="55"/>
  <c r="H5942" i="55"/>
  <c r="F5942" i="55"/>
  <c r="E5942" i="55"/>
  <c r="H5941" i="55"/>
  <c r="F5941" i="55"/>
  <c r="E5941" i="55"/>
  <c r="H5940" i="55"/>
  <c r="F5940" i="55"/>
  <c r="E5940" i="55"/>
  <c r="H5939" i="55"/>
  <c r="F5939" i="55"/>
  <c r="E5939" i="55"/>
  <c r="H5938" i="55"/>
  <c r="F5938" i="55"/>
  <c r="E5938" i="55"/>
  <c r="H5937" i="55"/>
  <c r="F5937" i="55"/>
  <c r="E5937" i="55"/>
  <c r="H5936" i="55"/>
  <c r="F5936" i="55"/>
  <c r="E5936" i="55"/>
  <c r="H5935" i="55"/>
  <c r="F5935" i="55"/>
  <c r="E5935" i="55"/>
  <c r="H5934" i="55"/>
  <c r="F5934" i="55"/>
  <c r="E5934" i="55"/>
  <c r="H5933" i="55"/>
  <c r="F5933" i="55"/>
  <c r="E5933" i="55"/>
  <c r="H5932" i="55"/>
  <c r="F5932" i="55"/>
  <c r="E5932" i="55"/>
  <c r="H5931" i="55"/>
  <c r="F5931" i="55"/>
  <c r="E5931" i="55"/>
  <c r="H5930" i="55"/>
  <c r="F5930" i="55"/>
  <c r="E5930" i="55"/>
  <c r="H5929" i="55"/>
  <c r="F5929" i="55"/>
  <c r="E5929" i="55"/>
  <c r="H5928" i="55"/>
  <c r="F5928" i="55"/>
  <c r="E5928" i="55"/>
  <c r="H5927" i="55"/>
  <c r="F5927" i="55"/>
  <c r="E5927" i="55"/>
  <c r="H5926" i="55"/>
  <c r="F5926" i="55"/>
  <c r="E5926" i="55"/>
  <c r="H5925" i="55"/>
  <c r="F5925" i="55"/>
  <c r="E5925" i="55"/>
  <c r="H5924" i="55"/>
  <c r="F5924" i="55"/>
  <c r="E5924" i="55"/>
  <c r="H5923" i="55"/>
  <c r="F5923" i="55"/>
  <c r="E5923" i="55"/>
  <c r="H5922" i="55"/>
  <c r="F5922" i="55"/>
  <c r="E5922" i="55"/>
  <c r="H5921" i="55"/>
  <c r="F5921" i="55"/>
  <c r="E5921" i="55"/>
  <c r="H5920" i="55"/>
  <c r="F5920" i="55"/>
  <c r="E5920" i="55"/>
  <c r="H5919" i="55"/>
  <c r="F5919" i="55"/>
  <c r="E5919" i="55"/>
  <c r="H5918" i="55"/>
  <c r="F5918" i="55"/>
  <c r="E5918" i="55"/>
  <c r="H5917" i="55"/>
  <c r="F5917" i="55"/>
  <c r="E5917" i="55"/>
  <c r="H5916" i="55"/>
  <c r="F5916" i="55"/>
  <c r="E5916" i="55"/>
  <c r="H5915" i="55"/>
  <c r="F5915" i="55"/>
  <c r="E5915" i="55"/>
  <c r="H5914" i="55"/>
  <c r="F5914" i="55"/>
  <c r="E5914" i="55"/>
  <c r="H5913" i="55"/>
  <c r="F5913" i="55"/>
  <c r="E5913" i="55"/>
  <c r="H5911" i="55"/>
  <c r="F5911" i="55"/>
  <c r="E5911" i="55"/>
  <c r="H5910" i="55"/>
  <c r="F5910" i="55"/>
  <c r="E5910" i="55"/>
  <c r="H5909" i="55"/>
  <c r="F5909" i="55"/>
  <c r="E5909" i="55"/>
  <c r="H5908" i="55"/>
  <c r="F5908" i="55"/>
  <c r="E5908" i="55"/>
  <c r="H5907" i="55"/>
  <c r="F5907" i="55"/>
  <c r="E5907" i="55"/>
  <c r="H5906" i="55"/>
  <c r="F5906" i="55"/>
  <c r="E5906" i="55"/>
  <c r="H5905" i="55"/>
  <c r="F5905" i="55"/>
  <c r="E5905" i="55"/>
  <c r="H5904" i="55"/>
  <c r="F5904" i="55"/>
  <c r="E5904" i="55"/>
  <c r="H5903" i="55"/>
  <c r="F5903" i="55"/>
  <c r="E5903" i="55"/>
  <c r="H5902" i="55"/>
  <c r="F5902" i="55"/>
  <c r="E5902" i="55"/>
  <c r="H5901" i="55"/>
  <c r="F5901" i="55"/>
  <c r="E5901" i="55"/>
  <c r="H5900" i="55"/>
  <c r="F5900" i="55"/>
  <c r="E5900" i="55"/>
  <c r="H5899" i="55"/>
  <c r="F5899" i="55"/>
  <c r="E5899" i="55"/>
  <c r="H5898" i="55"/>
  <c r="F5898" i="55"/>
  <c r="E5898" i="55"/>
  <c r="H5897" i="55"/>
  <c r="F5897" i="55"/>
  <c r="E5897" i="55"/>
  <c r="H5896" i="55"/>
  <c r="F5896" i="55"/>
  <c r="E5896" i="55"/>
  <c r="H5895" i="55"/>
  <c r="F5895" i="55"/>
  <c r="E5895" i="55"/>
  <c r="H5894" i="55"/>
  <c r="F5894" i="55"/>
  <c r="E5894" i="55"/>
  <c r="H5893" i="55"/>
  <c r="F5893" i="55"/>
  <c r="E5893" i="55"/>
  <c r="H5892" i="55"/>
  <c r="F5892" i="55"/>
  <c r="E5892" i="55"/>
  <c r="H5891" i="55"/>
  <c r="F5891" i="55"/>
  <c r="E5891" i="55"/>
  <c r="H5890" i="55"/>
  <c r="F5890" i="55"/>
  <c r="E5890" i="55"/>
  <c r="H5889" i="55"/>
  <c r="F5889" i="55"/>
  <c r="E5889" i="55"/>
  <c r="H5888" i="55"/>
  <c r="F5888" i="55"/>
  <c r="E5888" i="55"/>
  <c r="H5887" i="55"/>
  <c r="F5887" i="55"/>
  <c r="E5887" i="55"/>
  <c r="H5886" i="55"/>
  <c r="F5886" i="55"/>
  <c r="E5886" i="55"/>
  <c r="H5885" i="55"/>
  <c r="F5885" i="55"/>
  <c r="E5885" i="55"/>
  <c r="H5884" i="55"/>
  <c r="F5884" i="55"/>
  <c r="E5884" i="55"/>
  <c r="H5883" i="55"/>
  <c r="F5883" i="55"/>
  <c r="E5883" i="55"/>
  <c r="H5882" i="55"/>
  <c r="F5882" i="55"/>
  <c r="E5882" i="55"/>
  <c r="H5881" i="55"/>
  <c r="F5881" i="55"/>
  <c r="E5881" i="55"/>
  <c r="H5880" i="55"/>
  <c r="F5880" i="55"/>
  <c r="E5880" i="55"/>
  <c r="H5879" i="55"/>
  <c r="F5879" i="55"/>
  <c r="E5879" i="55"/>
  <c r="H5878" i="55"/>
  <c r="F5878" i="55"/>
  <c r="E5878" i="55"/>
  <c r="H5877" i="55"/>
  <c r="F5877" i="55"/>
  <c r="E5877" i="55"/>
  <c r="H5876" i="55"/>
  <c r="F5876" i="55"/>
  <c r="E5876" i="55"/>
  <c r="H5875" i="55"/>
  <c r="F5875" i="55"/>
  <c r="E5875" i="55"/>
  <c r="H5874" i="55"/>
  <c r="F5874" i="55"/>
  <c r="E5874" i="55"/>
  <c r="H5873" i="55"/>
  <c r="F5873" i="55"/>
  <c r="E5873" i="55"/>
  <c r="H5872" i="55"/>
  <c r="F5872" i="55"/>
  <c r="E5872" i="55"/>
  <c r="H5871" i="55"/>
  <c r="F5871" i="55"/>
  <c r="E5871" i="55"/>
  <c r="H5870" i="55"/>
  <c r="F5870" i="55"/>
  <c r="E5870" i="55"/>
  <c r="H5869" i="55"/>
  <c r="F5869" i="55"/>
  <c r="E5869" i="55"/>
  <c r="H5868" i="55"/>
  <c r="F5868" i="55"/>
  <c r="E5868" i="55"/>
  <c r="H5867" i="55"/>
  <c r="F5867" i="55"/>
  <c r="E5867" i="55"/>
  <c r="H5866" i="55"/>
  <c r="F5866" i="55"/>
  <c r="E5866" i="55"/>
  <c r="H5865" i="55"/>
  <c r="F5865" i="55"/>
  <c r="E5865" i="55"/>
  <c r="H5864" i="55"/>
  <c r="F5864" i="55"/>
  <c r="E5864" i="55"/>
  <c r="H5863" i="55"/>
  <c r="F5863" i="55"/>
  <c r="E5863" i="55"/>
  <c r="H5862" i="55"/>
  <c r="F5862" i="55"/>
  <c r="E5862" i="55"/>
  <c r="H5861" i="55"/>
  <c r="F5861" i="55"/>
  <c r="E5861" i="55"/>
  <c r="H5860" i="55"/>
  <c r="F5860" i="55"/>
  <c r="E5860" i="55"/>
  <c r="H5859" i="55"/>
  <c r="F5859" i="55"/>
  <c r="E5859" i="55"/>
  <c r="H5858" i="55"/>
  <c r="F5858" i="55"/>
  <c r="E5858" i="55"/>
  <c r="H5857" i="55"/>
  <c r="F5857" i="55"/>
  <c r="E5857" i="55"/>
  <c r="H5856" i="55"/>
  <c r="F5856" i="55"/>
  <c r="E5856" i="55"/>
  <c r="H5855" i="55"/>
  <c r="F5855" i="55"/>
  <c r="E5855" i="55"/>
  <c r="H5854" i="55"/>
  <c r="F5854" i="55"/>
  <c r="E5854" i="55"/>
  <c r="H5853" i="55"/>
  <c r="F5853" i="55"/>
  <c r="E5853" i="55"/>
  <c r="H5852" i="55"/>
  <c r="F5852" i="55"/>
  <c r="E5852" i="55"/>
  <c r="H5850" i="55"/>
  <c r="F5850" i="55"/>
  <c r="E5850" i="55"/>
  <c r="H5849" i="55"/>
  <c r="F5849" i="55"/>
  <c r="E5849" i="55"/>
  <c r="H5848" i="55"/>
  <c r="F5848" i="55"/>
  <c r="E5848" i="55"/>
  <c r="H5847" i="55"/>
  <c r="F5847" i="55"/>
  <c r="E5847" i="55"/>
  <c r="H5846" i="55"/>
  <c r="F5846" i="55"/>
  <c r="E5846" i="55"/>
  <c r="H5845" i="55"/>
  <c r="F5845" i="55"/>
  <c r="E5845" i="55"/>
  <c r="H5844" i="55"/>
  <c r="F5844" i="55"/>
  <c r="E5844" i="55"/>
  <c r="H5843" i="55"/>
  <c r="F5843" i="55"/>
  <c r="E5843" i="55"/>
  <c r="H5842" i="55"/>
  <c r="F5842" i="55"/>
  <c r="E5842" i="55"/>
  <c r="H5841" i="55"/>
  <c r="F5841" i="55"/>
  <c r="E5841" i="55"/>
  <c r="H5840" i="55"/>
  <c r="F5840" i="55"/>
  <c r="E5840" i="55"/>
  <c r="H5839" i="55"/>
  <c r="F5839" i="55"/>
  <c r="E5839" i="55"/>
  <c r="H5838" i="55"/>
  <c r="F5838" i="55"/>
  <c r="E5838" i="55"/>
  <c r="H5837" i="55"/>
  <c r="F5837" i="55"/>
  <c r="E5837" i="55"/>
  <c r="H5836" i="55"/>
  <c r="F5836" i="55"/>
  <c r="E5836" i="55"/>
  <c r="H5835" i="55"/>
  <c r="F5835" i="55"/>
  <c r="E5835" i="55"/>
  <c r="H5834" i="55"/>
  <c r="F5834" i="55"/>
  <c r="E5834" i="55"/>
  <c r="H5833" i="55"/>
  <c r="F5833" i="55"/>
  <c r="E5833" i="55"/>
  <c r="H5832" i="55"/>
  <c r="F5832" i="55"/>
  <c r="E5832" i="55"/>
  <c r="H5831" i="55"/>
  <c r="F5831" i="55"/>
  <c r="E5831" i="55"/>
  <c r="H5830" i="55"/>
  <c r="F5830" i="55"/>
  <c r="E5830" i="55"/>
  <c r="H5829" i="55"/>
  <c r="F5829" i="55"/>
  <c r="E5829" i="55"/>
  <c r="H5828" i="55"/>
  <c r="F5828" i="55"/>
  <c r="E5828" i="55"/>
  <c r="H5827" i="55"/>
  <c r="F5827" i="55"/>
  <c r="E5827" i="55"/>
  <c r="H5826" i="55"/>
  <c r="F5826" i="55"/>
  <c r="E5826" i="55"/>
  <c r="H5825" i="55"/>
  <c r="F5825" i="55"/>
  <c r="E5825" i="55"/>
  <c r="H5824" i="55"/>
  <c r="F5824" i="55"/>
  <c r="E5824" i="55"/>
  <c r="H5823" i="55"/>
  <c r="F5823" i="55"/>
  <c r="E5823" i="55"/>
  <c r="H5822" i="55"/>
  <c r="F5822" i="55"/>
  <c r="E5822" i="55"/>
  <c r="H5821" i="55"/>
  <c r="F5821" i="55"/>
  <c r="E5821" i="55"/>
  <c r="H5820" i="55"/>
  <c r="F5820" i="55"/>
  <c r="E5820" i="55"/>
  <c r="H5819" i="55"/>
  <c r="F5819" i="55"/>
  <c r="E5819" i="55"/>
  <c r="H5818" i="55"/>
  <c r="F5818" i="55"/>
  <c r="E5818" i="55"/>
  <c r="H5817" i="55"/>
  <c r="F5817" i="55"/>
  <c r="E5817" i="55"/>
  <c r="H5816" i="55"/>
  <c r="F5816" i="55"/>
  <c r="E5816" i="55"/>
  <c r="H5815" i="55"/>
  <c r="F5815" i="55"/>
  <c r="E5815" i="55"/>
  <c r="H5814" i="55"/>
  <c r="F5814" i="55"/>
  <c r="E5814" i="55"/>
  <c r="H5813" i="55"/>
  <c r="F5813" i="55"/>
  <c r="E5813" i="55"/>
  <c r="H5812" i="55"/>
  <c r="F5812" i="55"/>
  <c r="E5812" i="55"/>
  <c r="H5811" i="55"/>
  <c r="F5811" i="55"/>
  <c r="E5811" i="55"/>
  <c r="H5810" i="55"/>
  <c r="F5810" i="55"/>
  <c r="E5810" i="55"/>
  <c r="H5809" i="55"/>
  <c r="F5809" i="55"/>
  <c r="E5809" i="55"/>
  <c r="H5808" i="55"/>
  <c r="F5808" i="55"/>
  <c r="E5808" i="55"/>
  <c r="H5807" i="55"/>
  <c r="F5807" i="55"/>
  <c r="E5807" i="55"/>
  <c r="H5806" i="55"/>
  <c r="F5806" i="55"/>
  <c r="E5806" i="55"/>
  <c r="H5805" i="55"/>
  <c r="F5805" i="55"/>
  <c r="E5805" i="55"/>
  <c r="H5804" i="55"/>
  <c r="F5804" i="55"/>
  <c r="E5804" i="55"/>
  <c r="H5803" i="55"/>
  <c r="F5803" i="55"/>
  <c r="E5803" i="55"/>
  <c r="H5802" i="55"/>
  <c r="F5802" i="55"/>
  <c r="E5802" i="55"/>
  <c r="H5801" i="55"/>
  <c r="F5801" i="55"/>
  <c r="E5801" i="55"/>
  <c r="H5800" i="55"/>
  <c r="F5800" i="55"/>
  <c r="E5800" i="55"/>
  <c r="H5799" i="55"/>
  <c r="F5799" i="55"/>
  <c r="E5799" i="55"/>
  <c r="H5798" i="55"/>
  <c r="F5798" i="55"/>
  <c r="E5798" i="55"/>
  <c r="H5797" i="55"/>
  <c r="F5797" i="55"/>
  <c r="E5797" i="55"/>
  <c r="H5796" i="55"/>
  <c r="F5796" i="55"/>
  <c r="E5796" i="55"/>
  <c r="H5795" i="55"/>
  <c r="F5795" i="55"/>
  <c r="E5795" i="55"/>
  <c r="H5794" i="55"/>
  <c r="F5794" i="55"/>
  <c r="E5794" i="55"/>
  <c r="H5793" i="55"/>
  <c r="F5793" i="55"/>
  <c r="E5793" i="55"/>
  <c r="H5792" i="55"/>
  <c r="F5792" i="55"/>
  <c r="E5792" i="55"/>
  <c r="H5791" i="55"/>
  <c r="F5791" i="55"/>
  <c r="E5791" i="55"/>
  <c r="H5789" i="55"/>
  <c r="F5789" i="55"/>
  <c r="E5789" i="55"/>
  <c r="H5788" i="55"/>
  <c r="F5788" i="55"/>
  <c r="E5788" i="55"/>
  <c r="H5787" i="55"/>
  <c r="F5787" i="55"/>
  <c r="E5787" i="55"/>
  <c r="H5786" i="55"/>
  <c r="F5786" i="55"/>
  <c r="E5786" i="55"/>
  <c r="H5785" i="55"/>
  <c r="F5785" i="55"/>
  <c r="E5785" i="55"/>
  <c r="H5784" i="55"/>
  <c r="F5784" i="55"/>
  <c r="E5784" i="55"/>
  <c r="H5783" i="55"/>
  <c r="F5783" i="55"/>
  <c r="E5783" i="55"/>
  <c r="H5782" i="55"/>
  <c r="F5782" i="55"/>
  <c r="E5782" i="55"/>
  <c r="H5781" i="55"/>
  <c r="F5781" i="55"/>
  <c r="E5781" i="55"/>
  <c r="H5780" i="55"/>
  <c r="F5780" i="55"/>
  <c r="E5780" i="55"/>
  <c r="H5779" i="55"/>
  <c r="F5779" i="55"/>
  <c r="E5779" i="55"/>
  <c r="H5778" i="55"/>
  <c r="F5778" i="55"/>
  <c r="E5778" i="55"/>
  <c r="H5777" i="55"/>
  <c r="F5777" i="55"/>
  <c r="E5777" i="55"/>
  <c r="H5776" i="55"/>
  <c r="F5776" i="55"/>
  <c r="E5776" i="55"/>
  <c r="H5775" i="55"/>
  <c r="F5775" i="55"/>
  <c r="E5775" i="55"/>
  <c r="H5774" i="55"/>
  <c r="F5774" i="55"/>
  <c r="E5774" i="55"/>
  <c r="H5773" i="55"/>
  <c r="F5773" i="55"/>
  <c r="E5773" i="55"/>
  <c r="H5772" i="55"/>
  <c r="F5772" i="55"/>
  <c r="E5772" i="55"/>
  <c r="H5771" i="55"/>
  <c r="F5771" i="55"/>
  <c r="E5771" i="55"/>
  <c r="H5770" i="55"/>
  <c r="F5770" i="55"/>
  <c r="E5770" i="55"/>
  <c r="H5769" i="55"/>
  <c r="F5769" i="55"/>
  <c r="E5769" i="55"/>
  <c r="H5768" i="55"/>
  <c r="F5768" i="55"/>
  <c r="E5768" i="55"/>
  <c r="H5767" i="55"/>
  <c r="F5767" i="55"/>
  <c r="E5767" i="55"/>
  <c r="H5766" i="55"/>
  <c r="F5766" i="55"/>
  <c r="E5766" i="55"/>
  <c r="H5765" i="55"/>
  <c r="F5765" i="55"/>
  <c r="E5765" i="55"/>
  <c r="H5764" i="55"/>
  <c r="F5764" i="55"/>
  <c r="E5764" i="55"/>
  <c r="H5763" i="55"/>
  <c r="F5763" i="55"/>
  <c r="E5763" i="55"/>
  <c r="H5762" i="55"/>
  <c r="F5762" i="55"/>
  <c r="E5762" i="55"/>
  <c r="H5761" i="55"/>
  <c r="F5761" i="55"/>
  <c r="E5761" i="55"/>
  <c r="H5760" i="55"/>
  <c r="F5760" i="55"/>
  <c r="E5760" i="55"/>
  <c r="H5759" i="55"/>
  <c r="F5759" i="55"/>
  <c r="E5759" i="55"/>
  <c r="H5758" i="55"/>
  <c r="F5758" i="55"/>
  <c r="E5758" i="55"/>
  <c r="H5757" i="55"/>
  <c r="F5757" i="55"/>
  <c r="E5757" i="55"/>
  <c r="H5756" i="55"/>
  <c r="F5756" i="55"/>
  <c r="E5756" i="55"/>
  <c r="H5755" i="55"/>
  <c r="F5755" i="55"/>
  <c r="E5755" i="55"/>
  <c r="H5754" i="55"/>
  <c r="F5754" i="55"/>
  <c r="E5754" i="55"/>
  <c r="H5753" i="55"/>
  <c r="F5753" i="55"/>
  <c r="E5753" i="55"/>
  <c r="H5752" i="55"/>
  <c r="F5752" i="55"/>
  <c r="E5752" i="55"/>
  <c r="H5751" i="55"/>
  <c r="F5751" i="55"/>
  <c r="E5751" i="55"/>
  <c r="H5750" i="55"/>
  <c r="F5750" i="55"/>
  <c r="E5750" i="55"/>
  <c r="H5749" i="55"/>
  <c r="F5749" i="55"/>
  <c r="E5749" i="55"/>
  <c r="H5748" i="55"/>
  <c r="F5748" i="55"/>
  <c r="E5748" i="55"/>
  <c r="H5747" i="55"/>
  <c r="F5747" i="55"/>
  <c r="E5747" i="55"/>
  <c r="H5746" i="55"/>
  <c r="F5746" i="55"/>
  <c r="E5746" i="55"/>
  <c r="H5745" i="55"/>
  <c r="F5745" i="55"/>
  <c r="E5745" i="55"/>
  <c r="H5744" i="55"/>
  <c r="F5744" i="55"/>
  <c r="E5744" i="55"/>
  <c r="H5743" i="55"/>
  <c r="F5743" i="55"/>
  <c r="E5743" i="55"/>
  <c r="H5742" i="55"/>
  <c r="F5742" i="55"/>
  <c r="E5742" i="55"/>
  <c r="H5741" i="55"/>
  <c r="F5741" i="55"/>
  <c r="E5741" i="55"/>
  <c r="H5740" i="55"/>
  <c r="F5740" i="55"/>
  <c r="E5740" i="55"/>
  <c r="H5739" i="55"/>
  <c r="F5739" i="55"/>
  <c r="E5739" i="55"/>
  <c r="H5738" i="55"/>
  <c r="F5738" i="55"/>
  <c r="E5738" i="55"/>
  <c r="H5737" i="55"/>
  <c r="F5737" i="55"/>
  <c r="E5737" i="55"/>
  <c r="H5736" i="55"/>
  <c r="F5736" i="55"/>
  <c r="E5736" i="55"/>
  <c r="H5735" i="55"/>
  <c r="F5735" i="55"/>
  <c r="E5735" i="55"/>
  <c r="H5734" i="55"/>
  <c r="F5734" i="55"/>
  <c r="E5734" i="55"/>
  <c r="H5733" i="55"/>
  <c r="F5733" i="55"/>
  <c r="E5733" i="55"/>
  <c r="H5732" i="55"/>
  <c r="F5732" i="55"/>
  <c r="E5732" i="55"/>
  <c r="H5731" i="55"/>
  <c r="F5731" i="55"/>
  <c r="E5731" i="55"/>
  <c r="H5730" i="55"/>
  <c r="F5730" i="55"/>
  <c r="E5730" i="55"/>
  <c r="H5728" i="55"/>
  <c r="F5728" i="55"/>
  <c r="E5728" i="55"/>
  <c r="H5727" i="55"/>
  <c r="F5727" i="55"/>
  <c r="E5727" i="55"/>
  <c r="H5726" i="55"/>
  <c r="F5726" i="55"/>
  <c r="E5726" i="55"/>
  <c r="H5725" i="55"/>
  <c r="F5725" i="55"/>
  <c r="E5725" i="55"/>
  <c r="H5724" i="55"/>
  <c r="F5724" i="55"/>
  <c r="E5724" i="55"/>
  <c r="H5723" i="55"/>
  <c r="F5723" i="55"/>
  <c r="E5723" i="55"/>
  <c r="H5722" i="55"/>
  <c r="F5722" i="55"/>
  <c r="E5722" i="55"/>
  <c r="H5721" i="55"/>
  <c r="F5721" i="55"/>
  <c r="E5721" i="55"/>
  <c r="H5720" i="55"/>
  <c r="F5720" i="55"/>
  <c r="E5720" i="55"/>
  <c r="H5719" i="55"/>
  <c r="F5719" i="55"/>
  <c r="E5719" i="55"/>
  <c r="H5718" i="55"/>
  <c r="F5718" i="55"/>
  <c r="E5718" i="55"/>
  <c r="H5717" i="55"/>
  <c r="F5717" i="55"/>
  <c r="E5717" i="55"/>
  <c r="H5716" i="55"/>
  <c r="F5716" i="55"/>
  <c r="E5716" i="55"/>
  <c r="H5715" i="55"/>
  <c r="F5715" i="55"/>
  <c r="E5715" i="55"/>
  <c r="H5714" i="55"/>
  <c r="F5714" i="55"/>
  <c r="E5714" i="55"/>
  <c r="H5713" i="55"/>
  <c r="F5713" i="55"/>
  <c r="E5713" i="55"/>
  <c r="H5712" i="55"/>
  <c r="F5712" i="55"/>
  <c r="E5712" i="55"/>
  <c r="H5711" i="55"/>
  <c r="F5711" i="55"/>
  <c r="E5711" i="55"/>
  <c r="H5710" i="55"/>
  <c r="F5710" i="55"/>
  <c r="E5710" i="55"/>
  <c r="H5709" i="55"/>
  <c r="F5709" i="55"/>
  <c r="E5709" i="55"/>
  <c r="H5708" i="55"/>
  <c r="F5708" i="55"/>
  <c r="E5708" i="55"/>
  <c r="H5707" i="55"/>
  <c r="F5707" i="55"/>
  <c r="E5707" i="55"/>
  <c r="H5706" i="55"/>
  <c r="F5706" i="55"/>
  <c r="E5706" i="55"/>
  <c r="H5705" i="55"/>
  <c r="F5705" i="55"/>
  <c r="E5705" i="55"/>
  <c r="H5704" i="55"/>
  <c r="F5704" i="55"/>
  <c r="E5704" i="55"/>
  <c r="H5703" i="55"/>
  <c r="F5703" i="55"/>
  <c r="E5703" i="55"/>
  <c r="H5702" i="55"/>
  <c r="F5702" i="55"/>
  <c r="E5702" i="55"/>
  <c r="H5701" i="55"/>
  <c r="F5701" i="55"/>
  <c r="E5701" i="55"/>
  <c r="H5700" i="55"/>
  <c r="F5700" i="55"/>
  <c r="E5700" i="55"/>
  <c r="H5699" i="55"/>
  <c r="F5699" i="55"/>
  <c r="E5699" i="55"/>
  <c r="H5698" i="55"/>
  <c r="F5698" i="55"/>
  <c r="E5698" i="55"/>
  <c r="H5697" i="55"/>
  <c r="F5697" i="55"/>
  <c r="E5697" i="55"/>
  <c r="H5696" i="55"/>
  <c r="F5696" i="55"/>
  <c r="E5696" i="55"/>
  <c r="H5695" i="55"/>
  <c r="F5695" i="55"/>
  <c r="E5695" i="55"/>
  <c r="H5694" i="55"/>
  <c r="F5694" i="55"/>
  <c r="E5694" i="55"/>
  <c r="H5693" i="55"/>
  <c r="F5693" i="55"/>
  <c r="E5693" i="55"/>
  <c r="H5692" i="55"/>
  <c r="F5692" i="55"/>
  <c r="E5692" i="55"/>
  <c r="H5691" i="55"/>
  <c r="F5691" i="55"/>
  <c r="E5691" i="55"/>
  <c r="H5690" i="55"/>
  <c r="F5690" i="55"/>
  <c r="E5690" i="55"/>
  <c r="H5689" i="55"/>
  <c r="F5689" i="55"/>
  <c r="E5689" i="55"/>
  <c r="H5688" i="55"/>
  <c r="F5688" i="55"/>
  <c r="E5688" i="55"/>
  <c r="H5687" i="55"/>
  <c r="F5687" i="55"/>
  <c r="E5687" i="55"/>
  <c r="H5686" i="55"/>
  <c r="F5686" i="55"/>
  <c r="E5686" i="55"/>
  <c r="H5685" i="55"/>
  <c r="F5685" i="55"/>
  <c r="E5685" i="55"/>
  <c r="H5684" i="55"/>
  <c r="F5684" i="55"/>
  <c r="E5684" i="55"/>
  <c r="H5683" i="55"/>
  <c r="F5683" i="55"/>
  <c r="E5683" i="55"/>
  <c r="H5682" i="55"/>
  <c r="F5682" i="55"/>
  <c r="E5682" i="55"/>
  <c r="H5681" i="55"/>
  <c r="F5681" i="55"/>
  <c r="E5681" i="55"/>
  <c r="H5680" i="55"/>
  <c r="F5680" i="55"/>
  <c r="E5680" i="55"/>
  <c r="H5679" i="55"/>
  <c r="F5679" i="55"/>
  <c r="E5679" i="55"/>
  <c r="H5678" i="55"/>
  <c r="F5678" i="55"/>
  <c r="E5678" i="55"/>
  <c r="H5677" i="55"/>
  <c r="F5677" i="55"/>
  <c r="E5677" i="55"/>
  <c r="H5676" i="55"/>
  <c r="F5676" i="55"/>
  <c r="E5676" i="55"/>
  <c r="H5675" i="55"/>
  <c r="F5675" i="55"/>
  <c r="E5675" i="55"/>
  <c r="H5674" i="55"/>
  <c r="F5674" i="55"/>
  <c r="E5674" i="55"/>
  <c r="H5673" i="55"/>
  <c r="F5673" i="55"/>
  <c r="E5673" i="55"/>
  <c r="H5672" i="55"/>
  <c r="F5672" i="55"/>
  <c r="E5672" i="55"/>
  <c r="H5671" i="55"/>
  <c r="F5671" i="55"/>
  <c r="E5671" i="55"/>
  <c r="H5670" i="55"/>
  <c r="F5670" i="55"/>
  <c r="E5670" i="55"/>
  <c r="H5669" i="55"/>
  <c r="F5669" i="55"/>
  <c r="E5669" i="55"/>
  <c r="H5667" i="55"/>
  <c r="F5667" i="55"/>
  <c r="E5667" i="55"/>
  <c r="H5666" i="55"/>
  <c r="F5666" i="55"/>
  <c r="E5666" i="55"/>
  <c r="H5665" i="55"/>
  <c r="F5665" i="55"/>
  <c r="E5665" i="55"/>
  <c r="H5664" i="55"/>
  <c r="F5664" i="55"/>
  <c r="E5664" i="55"/>
  <c r="H5663" i="55"/>
  <c r="F5663" i="55"/>
  <c r="E5663" i="55"/>
  <c r="H5662" i="55"/>
  <c r="F5662" i="55"/>
  <c r="E5662" i="55"/>
  <c r="H5661" i="55"/>
  <c r="F5661" i="55"/>
  <c r="E5661" i="55"/>
  <c r="H5660" i="55"/>
  <c r="F5660" i="55"/>
  <c r="E5660" i="55"/>
  <c r="H5659" i="55"/>
  <c r="F5659" i="55"/>
  <c r="E5659" i="55"/>
  <c r="H5658" i="55"/>
  <c r="F5658" i="55"/>
  <c r="E5658" i="55"/>
  <c r="H5657" i="55"/>
  <c r="F5657" i="55"/>
  <c r="E5657" i="55"/>
  <c r="H5656" i="55"/>
  <c r="F5656" i="55"/>
  <c r="E5656" i="55"/>
  <c r="H5655" i="55"/>
  <c r="F5655" i="55"/>
  <c r="E5655" i="55"/>
  <c r="H5654" i="55"/>
  <c r="F5654" i="55"/>
  <c r="E5654" i="55"/>
  <c r="H5653" i="55"/>
  <c r="F5653" i="55"/>
  <c r="E5653" i="55"/>
  <c r="H5652" i="55"/>
  <c r="F5652" i="55"/>
  <c r="E5652" i="55"/>
  <c r="H5651" i="55"/>
  <c r="F5651" i="55"/>
  <c r="E5651" i="55"/>
  <c r="H5650" i="55"/>
  <c r="F5650" i="55"/>
  <c r="E5650" i="55"/>
  <c r="H5649" i="55"/>
  <c r="F5649" i="55"/>
  <c r="E5649" i="55"/>
  <c r="H5648" i="55"/>
  <c r="F5648" i="55"/>
  <c r="E5648" i="55"/>
  <c r="H5647" i="55"/>
  <c r="F5647" i="55"/>
  <c r="E5647" i="55"/>
  <c r="H5646" i="55"/>
  <c r="F5646" i="55"/>
  <c r="E5646" i="55"/>
  <c r="H5645" i="55"/>
  <c r="F5645" i="55"/>
  <c r="E5645" i="55"/>
  <c r="H5644" i="55"/>
  <c r="F5644" i="55"/>
  <c r="E5644" i="55"/>
  <c r="H5643" i="55"/>
  <c r="F5643" i="55"/>
  <c r="E5643" i="55"/>
  <c r="H5642" i="55"/>
  <c r="F5642" i="55"/>
  <c r="E5642" i="55"/>
  <c r="H5641" i="55"/>
  <c r="F5641" i="55"/>
  <c r="E5641" i="55"/>
  <c r="H5640" i="55"/>
  <c r="F5640" i="55"/>
  <c r="E5640" i="55"/>
  <c r="H5639" i="55"/>
  <c r="F5639" i="55"/>
  <c r="E5639" i="55"/>
  <c r="H5638" i="55"/>
  <c r="F5638" i="55"/>
  <c r="E5638" i="55"/>
  <c r="H5637" i="55"/>
  <c r="F5637" i="55"/>
  <c r="E5637" i="55"/>
  <c r="H5636" i="55"/>
  <c r="F5636" i="55"/>
  <c r="E5636" i="55"/>
  <c r="H5635" i="55"/>
  <c r="F5635" i="55"/>
  <c r="E5635" i="55"/>
  <c r="H5634" i="55"/>
  <c r="F5634" i="55"/>
  <c r="E5634" i="55"/>
  <c r="H5633" i="55"/>
  <c r="F5633" i="55"/>
  <c r="E5633" i="55"/>
  <c r="H5632" i="55"/>
  <c r="F5632" i="55"/>
  <c r="E5632" i="55"/>
  <c r="H5631" i="55"/>
  <c r="F5631" i="55"/>
  <c r="E5631" i="55"/>
  <c r="H5630" i="55"/>
  <c r="F5630" i="55"/>
  <c r="E5630" i="55"/>
  <c r="H5629" i="55"/>
  <c r="F5629" i="55"/>
  <c r="E5629" i="55"/>
  <c r="H5628" i="55"/>
  <c r="F5628" i="55"/>
  <c r="E5628" i="55"/>
  <c r="H5627" i="55"/>
  <c r="F5627" i="55"/>
  <c r="E5627" i="55"/>
  <c r="H5626" i="55"/>
  <c r="F5626" i="55"/>
  <c r="E5626" i="55"/>
  <c r="H5625" i="55"/>
  <c r="F5625" i="55"/>
  <c r="E5625" i="55"/>
  <c r="H5624" i="55"/>
  <c r="F5624" i="55"/>
  <c r="E5624" i="55"/>
  <c r="H5623" i="55"/>
  <c r="F5623" i="55"/>
  <c r="E5623" i="55"/>
  <c r="H5622" i="55"/>
  <c r="F5622" i="55"/>
  <c r="E5622" i="55"/>
  <c r="H5621" i="55"/>
  <c r="F5621" i="55"/>
  <c r="E5621" i="55"/>
  <c r="H5620" i="55"/>
  <c r="F5620" i="55"/>
  <c r="E5620" i="55"/>
  <c r="H5619" i="55"/>
  <c r="F5619" i="55"/>
  <c r="E5619" i="55"/>
  <c r="H5618" i="55"/>
  <c r="F5618" i="55"/>
  <c r="E5618" i="55"/>
  <c r="H5617" i="55"/>
  <c r="F5617" i="55"/>
  <c r="E5617" i="55"/>
  <c r="H5616" i="55"/>
  <c r="F5616" i="55"/>
  <c r="E5616" i="55"/>
  <c r="H5615" i="55"/>
  <c r="F5615" i="55"/>
  <c r="E5615" i="55"/>
  <c r="H5614" i="55"/>
  <c r="F5614" i="55"/>
  <c r="E5614" i="55"/>
  <c r="H5613" i="55"/>
  <c r="F5613" i="55"/>
  <c r="E5613" i="55"/>
  <c r="H5612" i="55"/>
  <c r="F5612" i="55"/>
  <c r="E5612" i="55"/>
  <c r="H5611" i="55"/>
  <c r="F5611" i="55"/>
  <c r="E5611" i="55"/>
  <c r="H5610" i="55"/>
  <c r="F5610" i="55"/>
  <c r="E5610" i="55"/>
  <c r="H5609" i="55"/>
  <c r="F5609" i="55"/>
  <c r="E5609" i="55"/>
  <c r="H5608" i="55"/>
  <c r="F5608" i="55"/>
  <c r="E5608" i="55"/>
  <c r="H5606" i="55"/>
  <c r="F5606" i="55"/>
  <c r="E5606" i="55"/>
  <c r="H5605" i="55"/>
  <c r="F5605" i="55"/>
  <c r="E5605" i="55"/>
  <c r="H5604" i="55"/>
  <c r="F5604" i="55"/>
  <c r="E5604" i="55"/>
  <c r="H5603" i="55"/>
  <c r="F5603" i="55"/>
  <c r="E5603" i="55"/>
  <c r="H5602" i="55"/>
  <c r="F5602" i="55"/>
  <c r="E5602" i="55"/>
  <c r="H5601" i="55"/>
  <c r="F5601" i="55"/>
  <c r="E5601" i="55"/>
  <c r="H5600" i="55"/>
  <c r="F5600" i="55"/>
  <c r="E5600" i="55"/>
  <c r="H5599" i="55"/>
  <c r="F5599" i="55"/>
  <c r="E5599" i="55"/>
  <c r="H5598" i="55"/>
  <c r="F5598" i="55"/>
  <c r="E5598" i="55"/>
  <c r="H5597" i="55"/>
  <c r="F5597" i="55"/>
  <c r="E5597" i="55"/>
  <c r="H5596" i="55"/>
  <c r="F5596" i="55"/>
  <c r="E5596" i="55"/>
  <c r="H5595" i="55"/>
  <c r="F5595" i="55"/>
  <c r="E5595" i="55"/>
  <c r="H5594" i="55"/>
  <c r="F5594" i="55"/>
  <c r="E5594" i="55"/>
  <c r="H5593" i="55"/>
  <c r="F5593" i="55"/>
  <c r="E5593" i="55"/>
  <c r="H5592" i="55"/>
  <c r="F5592" i="55"/>
  <c r="E5592" i="55"/>
  <c r="H5591" i="55"/>
  <c r="F5591" i="55"/>
  <c r="E5591" i="55"/>
  <c r="H5590" i="55"/>
  <c r="F5590" i="55"/>
  <c r="E5590" i="55"/>
  <c r="H5589" i="55"/>
  <c r="F5589" i="55"/>
  <c r="E5589" i="55"/>
  <c r="H5588" i="55"/>
  <c r="F5588" i="55"/>
  <c r="E5588" i="55"/>
  <c r="H5587" i="55"/>
  <c r="F5587" i="55"/>
  <c r="E5587" i="55"/>
  <c r="H5586" i="55"/>
  <c r="F5586" i="55"/>
  <c r="E5586" i="55"/>
  <c r="H5585" i="55"/>
  <c r="F5585" i="55"/>
  <c r="E5585" i="55"/>
  <c r="H5584" i="55"/>
  <c r="F5584" i="55"/>
  <c r="E5584" i="55"/>
  <c r="H5583" i="55"/>
  <c r="F5583" i="55"/>
  <c r="E5583" i="55"/>
  <c r="H5582" i="55"/>
  <c r="F5582" i="55"/>
  <c r="E5582" i="55"/>
  <c r="H5581" i="55"/>
  <c r="F5581" i="55"/>
  <c r="E5581" i="55"/>
  <c r="H5580" i="55"/>
  <c r="F5580" i="55"/>
  <c r="E5580" i="55"/>
  <c r="H5579" i="55"/>
  <c r="F5579" i="55"/>
  <c r="E5579" i="55"/>
  <c r="H5578" i="55"/>
  <c r="F5578" i="55"/>
  <c r="E5578" i="55"/>
  <c r="H5577" i="55"/>
  <c r="F5577" i="55"/>
  <c r="E5577" i="55"/>
  <c r="H5576" i="55"/>
  <c r="F5576" i="55"/>
  <c r="E5576" i="55"/>
  <c r="H5575" i="55"/>
  <c r="F5575" i="55"/>
  <c r="E5575" i="55"/>
  <c r="H5574" i="55"/>
  <c r="F5574" i="55"/>
  <c r="E5574" i="55"/>
  <c r="H5573" i="55"/>
  <c r="F5573" i="55"/>
  <c r="E5573" i="55"/>
  <c r="H5572" i="55"/>
  <c r="F5572" i="55"/>
  <c r="E5572" i="55"/>
  <c r="H5571" i="55"/>
  <c r="F5571" i="55"/>
  <c r="E5571" i="55"/>
  <c r="H5570" i="55"/>
  <c r="F5570" i="55"/>
  <c r="E5570" i="55"/>
  <c r="H5569" i="55"/>
  <c r="F5569" i="55"/>
  <c r="E5569" i="55"/>
  <c r="H5568" i="55"/>
  <c r="F5568" i="55"/>
  <c r="E5568" i="55"/>
  <c r="H5567" i="55"/>
  <c r="F5567" i="55"/>
  <c r="E5567" i="55"/>
  <c r="H5566" i="55"/>
  <c r="F5566" i="55"/>
  <c r="E5566" i="55"/>
  <c r="H5565" i="55"/>
  <c r="F5565" i="55"/>
  <c r="E5565" i="55"/>
  <c r="H5564" i="55"/>
  <c r="F5564" i="55"/>
  <c r="E5564" i="55"/>
  <c r="H5563" i="55"/>
  <c r="F5563" i="55"/>
  <c r="E5563" i="55"/>
  <c r="H5562" i="55"/>
  <c r="F5562" i="55"/>
  <c r="E5562" i="55"/>
  <c r="H5561" i="55"/>
  <c r="F5561" i="55"/>
  <c r="E5561" i="55"/>
  <c r="H5560" i="55"/>
  <c r="F5560" i="55"/>
  <c r="E5560" i="55"/>
  <c r="H5559" i="55"/>
  <c r="F5559" i="55"/>
  <c r="E5559" i="55"/>
  <c r="H5558" i="55"/>
  <c r="F5558" i="55"/>
  <c r="E5558" i="55"/>
  <c r="H5557" i="55"/>
  <c r="F5557" i="55"/>
  <c r="E5557" i="55"/>
  <c r="H5556" i="55"/>
  <c r="F5556" i="55"/>
  <c r="E5556" i="55"/>
  <c r="H5555" i="55"/>
  <c r="F5555" i="55"/>
  <c r="E5555" i="55"/>
  <c r="H5554" i="55"/>
  <c r="F5554" i="55"/>
  <c r="E5554" i="55"/>
  <c r="H5553" i="55"/>
  <c r="F5553" i="55"/>
  <c r="E5553" i="55"/>
  <c r="H5552" i="55"/>
  <c r="F5552" i="55"/>
  <c r="E5552" i="55"/>
  <c r="H5551" i="55"/>
  <c r="F5551" i="55"/>
  <c r="E5551" i="55"/>
  <c r="H5550" i="55"/>
  <c r="F5550" i="55"/>
  <c r="E5550" i="55"/>
  <c r="H5549" i="55"/>
  <c r="F5549" i="55"/>
  <c r="E5549" i="55"/>
  <c r="H5548" i="55"/>
  <c r="F5548" i="55"/>
  <c r="E5548" i="55"/>
  <c r="H5547" i="55"/>
  <c r="F5547" i="55"/>
  <c r="E5547" i="55"/>
  <c r="H5545" i="55"/>
  <c r="F5545" i="55"/>
  <c r="E5545" i="55"/>
  <c r="H5544" i="55"/>
  <c r="F5544" i="55"/>
  <c r="E5544" i="55"/>
  <c r="H5543" i="55"/>
  <c r="F5543" i="55"/>
  <c r="E5543" i="55"/>
  <c r="H5542" i="55"/>
  <c r="F5542" i="55"/>
  <c r="E5542" i="55"/>
  <c r="H5541" i="55"/>
  <c r="F5541" i="55"/>
  <c r="E5541" i="55"/>
  <c r="H5540" i="55"/>
  <c r="F5540" i="55"/>
  <c r="E5540" i="55"/>
  <c r="H5539" i="55"/>
  <c r="F5539" i="55"/>
  <c r="E5539" i="55"/>
  <c r="H5538" i="55"/>
  <c r="F5538" i="55"/>
  <c r="E5538" i="55"/>
  <c r="H5537" i="55"/>
  <c r="F5537" i="55"/>
  <c r="E5537" i="55"/>
  <c r="H5536" i="55"/>
  <c r="F5536" i="55"/>
  <c r="E5536" i="55"/>
  <c r="H5535" i="55"/>
  <c r="F5535" i="55"/>
  <c r="E5535" i="55"/>
  <c r="H5534" i="55"/>
  <c r="F5534" i="55"/>
  <c r="E5534" i="55"/>
  <c r="H5533" i="55"/>
  <c r="F5533" i="55"/>
  <c r="E5533" i="55"/>
  <c r="H5532" i="55"/>
  <c r="F5532" i="55"/>
  <c r="E5532" i="55"/>
  <c r="H5531" i="55"/>
  <c r="F5531" i="55"/>
  <c r="E5531" i="55"/>
  <c r="H5530" i="55"/>
  <c r="F5530" i="55"/>
  <c r="E5530" i="55"/>
  <c r="H5529" i="55"/>
  <c r="F5529" i="55"/>
  <c r="E5529" i="55"/>
  <c r="H5528" i="55"/>
  <c r="F5528" i="55"/>
  <c r="E5528" i="55"/>
  <c r="H5527" i="55"/>
  <c r="F5527" i="55"/>
  <c r="E5527" i="55"/>
  <c r="H5526" i="55"/>
  <c r="F5526" i="55"/>
  <c r="E5526" i="55"/>
  <c r="H5525" i="55"/>
  <c r="F5525" i="55"/>
  <c r="E5525" i="55"/>
  <c r="H5524" i="55"/>
  <c r="F5524" i="55"/>
  <c r="E5524" i="55"/>
  <c r="H5523" i="55"/>
  <c r="F5523" i="55"/>
  <c r="E5523" i="55"/>
  <c r="H5522" i="55"/>
  <c r="F5522" i="55"/>
  <c r="E5522" i="55"/>
  <c r="H5521" i="55"/>
  <c r="F5521" i="55"/>
  <c r="E5521" i="55"/>
  <c r="H5520" i="55"/>
  <c r="F5520" i="55"/>
  <c r="E5520" i="55"/>
  <c r="H5519" i="55"/>
  <c r="F5519" i="55"/>
  <c r="E5519" i="55"/>
  <c r="H5518" i="55"/>
  <c r="F5518" i="55"/>
  <c r="E5518" i="55"/>
  <c r="H5517" i="55"/>
  <c r="F5517" i="55"/>
  <c r="E5517" i="55"/>
  <c r="H5516" i="55"/>
  <c r="F5516" i="55"/>
  <c r="E5516" i="55"/>
  <c r="H5515" i="55"/>
  <c r="F5515" i="55"/>
  <c r="E5515" i="55"/>
  <c r="H5514" i="55"/>
  <c r="F5514" i="55"/>
  <c r="E5514" i="55"/>
  <c r="H5513" i="55"/>
  <c r="F5513" i="55"/>
  <c r="E5513" i="55"/>
  <c r="H5512" i="55"/>
  <c r="F5512" i="55"/>
  <c r="E5512" i="55"/>
  <c r="H5511" i="55"/>
  <c r="F5511" i="55"/>
  <c r="E5511" i="55"/>
  <c r="H5510" i="55"/>
  <c r="F5510" i="55"/>
  <c r="E5510" i="55"/>
  <c r="H5509" i="55"/>
  <c r="F5509" i="55"/>
  <c r="E5509" i="55"/>
  <c r="H5508" i="55"/>
  <c r="F5508" i="55"/>
  <c r="E5508" i="55"/>
  <c r="H5507" i="55"/>
  <c r="F5507" i="55"/>
  <c r="E5507" i="55"/>
  <c r="H5506" i="55"/>
  <c r="F5506" i="55"/>
  <c r="E5506" i="55"/>
  <c r="H5505" i="55"/>
  <c r="F5505" i="55"/>
  <c r="E5505" i="55"/>
  <c r="H5504" i="55"/>
  <c r="F5504" i="55"/>
  <c r="E5504" i="55"/>
  <c r="H5503" i="55"/>
  <c r="F5503" i="55"/>
  <c r="E5503" i="55"/>
  <c r="H5502" i="55"/>
  <c r="F5502" i="55"/>
  <c r="E5502" i="55"/>
  <c r="H5501" i="55"/>
  <c r="F5501" i="55"/>
  <c r="E5501" i="55"/>
  <c r="H5500" i="55"/>
  <c r="F5500" i="55"/>
  <c r="E5500" i="55"/>
  <c r="H5499" i="55"/>
  <c r="F5499" i="55"/>
  <c r="E5499" i="55"/>
  <c r="H5498" i="55"/>
  <c r="F5498" i="55"/>
  <c r="E5498" i="55"/>
  <c r="H5497" i="55"/>
  <c r="F5497" i="55"/>
  <c r="E5497" i="55"/>
  <c r="H5496" i="55"/>
  <c r="F5496" i="55"/>
  <c r="E5496" i="55"/>
  <c r="H5495" i="55"/>
  <c r="F5495" i="55"/>
  <c r="E5495" i="55"/>
  <c r="H5494" i="55"/>
  <c r="F5494" i="55"/>
  <c r="E5494" i="55"/>
  <c r="H5493" i="55"/>
  <c r="F5493" i="55"/>
  <c r="E5493" i="55"/>
  <c r="H5492" i="55"/>
  <c r="F5492" i="55"/>
  <c r="E5492" i="55"/>
  <c r="H5491" i="55"/>
  <c r="F5491" i="55"/>
  <c r="E5491" i="55"/>
  <c r="H5490" i="55"/>
  <c r="F5490" i="55"/>
  <c r="E5490" i="55"/>
  <c r="H5489" i="55"/>
  <c r="F5489" i="55"/>
  <c r="E5489" i="55"/>
  <c r="H5488" i="55"/>
  <c r="F5488" i="55"/>
  <c r="E5488" i="55"/>
  <c r="H5487" i="55"/>
  <c r="F5487" i="55"/>
  <c r="E5487" i="55"/>
  <c r="H5486" i="55"/>
  <c r="F5486" i="55"/>
  <c r="E5486" i="55"/>
  <c r="H5484" i="55"/>
  <c r="F5484" i="55"/>
  <c r="E5484" i="55"/>
  <c r="H5483" i="55"/>
  <c r="F5483" i="55"/>
  <c r="E5483" i="55"/>
  <c r="H5482" i="55"/>
  <c r="F5482" i="55"/>
  <c r="E5482" i="55"/>
  <c r="H5481" i="55"/>
  <c r="F5481" i="55"/>
  <c r="E5481" i="55"/>
  <c r="H5480" i="55"/>
  <c r="F5480" i="55"/>
  <c r="E5480" i="55"/>
  <c r="H5479" i="55"/>
  <c r="F5479" i="55"/>
  <c r="E5479" i="55"/>
  <c r="H5478" i="55"/>
  <c r="F5478" i="55"/>
  <c r="E5478" i="55"/>
  <c r="H5477" i="55"/>
  <c r="F5477" i="55"/>
  <c r="E5477" i="55"/>
  <c r="H5476" i="55"/>
  <c r="F5476" i="55"/>
  <c r="E5476" i="55"/>
  <c r="H5475" i="55"/>
  <c r="F5475" i="55"/>
  <c r="E5475" i="55"/>
  <c r="H5474" i="55"/>
  <c r="F5474" i="55"/>
  <c r="E5474" i="55"/>
  <c r="H5473" i="55"/>
  <c r="F5473" i="55"/>
  <c r="E5473" i="55"/>
  <c r="H5472" i="55"/>
  <c r="F5472" i="55"/>
  <c r="E5472" i="55"/>
  <c r="H5471" i="55"/>
  <c r="F5471" i="55"/>
  <c r="E5471" i="55"/>
  <c r="H5470" i="55"/>
  <c r="F5470" i="55"/>
  <c r="E5470" i="55"/>
  <c r="H5469" i="55"/>
  <c r="F5469" i="55"/>
  <c r="E5469" i="55"/>
  <c r="H5468" i="55"/>
  <c r="F5468" i="55"/>
  <c r="E5468" i="55"/>
  <c r="H5467" i="55"/>
  <c r="F5467" i="55"/>
  <c r="E5467" i="55"/>
  <c r="H5466" i="55"/>
  <c r="F5466" i="55"/>
  <c r="E5466" i="55"/>
  <c r="H5465" i="55"/>
  <c r="F5465" i="55"/>
  <c r="E5465" i="55"/>
  <c r="H5464" i="55"/>
  <c r="F5464" i="55"/>
  <c r="E5464" i="55"/>
  <c r="H5463" i="55"/>
  <c r="F5463" i="55"/>
  <c r="E5463" i="55"/>
  <c r="H5462" i="55"/>
  <c r="F5462" i="55"/>
  <c r="E5462" i="55"/>
  <c r="H5461" i="55"/>
  <c r="F5461" i="55"/>
  <c r="E5461" i="55"/>
  <c r="H5460" i="55"/>
  <c r="F5460" i="55"/>
  <c r="E5460" i="55"/>
  <c r="H5459" i="55"/>
  <c r="F5459" i="55"/>
  <c r="E5459" i="55"/>
  <c r="H5458" i="55"/>
  <c r="F5458" i="55"/>
  <c r="E5458" i="55"/>
  <c r="H5457" i="55"/>
  <c r="F5457" i="55"/>
  <c r="E5457" i="55"/>
  <c r="H5456" i="55"/>
  <c r="F5456" i="55"/>
  <c r="E5456" i="55"/>
  <c r="H5455" i="55"/>
  <c r="F5455" i="55"/>
  <c r="E5455" i="55"/>
  <c r="H5454" i="55"/>
  <c r="F5454" i="55"/>
  <c r="E5454" i="55"/>
  <c r="H5453" i="55"/>
  <c r="F5453" i="55"/>
  <c r="E5453" i="55"/>
  <c r="H5452" i="55"/>
  <c r="F5452" i="55"/>
  <c r="E5452" i="55"/>
  <c r="H5451" i="55"/>
  <c r="F5451" i="55"/>
  <c r="E5451" i="55"/>
  <c r="H5450" i="55"/>
  <c r="F5450" i="55"/>
  <c r="E5450" i="55"/>
  <c r="H5449" i="55"/>
  <c r="F5449" i="55"/>
  <c r="E5449" i="55"/>
  <c r="H5448" i="55"/>
  <c r="F5448" i="55"/>
  <c r="E5448" i="55"/>
  <c r="H5447" i="55"/>
  <c r="F5447" i="55"/>
  <c r="E5447" i="55"/>
  <c r="H5446" i="55"/>
  <c r="F5446" i="55"/>
  <c r="E5446" i="55"/>
  <c r="H5445" i="55"/>
  <c r="F5445" i="55"/>
  <c r="E5445" i="55"/>
  <c r="H5444" i="55"/>
  <c r="F5444" i="55"/>
  <c r="E5444" i="55"/>
  <c r="H5443" i="55"/>
  <c r="F5443" i="55"/>
  <c r="E5443" i="55"/>
  <c r="H5442" i="55"/>
  <c r="F5442" i="55"/>
  <c r="E5442" i="55"/>
  <c r="H5441" i="55"/>
  <c r="F5441" i="55"/>
  <c r="E5441" i="55"/>
  <c r="H5440" i="55"/>
  <c r="F5440" i="55"/>
  <c r="E5440" i="55"/>
  <c r="H5439" i="55"/>
  <c r="F5439" i="55"/>
  <c r="E5439" i="55"/>
  <c r="H5438" i="55"/>
  <c r="F5438" i="55"/>
  <c r="E5438" i="55"/>
  <c r="H5437" i="55"/>
  <c r="F5437" i="55"/>
  <c r="E5437" i="55"/>
  <c r="H5436" i="55"/>
  <c r="F5436" i="55"/>
  <c r="E5436" i="55"/>
  <c r="H5435" i="55"/>
  <c r="F5435" i="55"/>
  <c r="E5435" i="55"/>
  <c r="H5434" i="55"/>
  <c r="F5434" i="55"/>
  <c r="E5434" i="55"/>
  <c r="H5433" i="55"/>
  <c r="F5433" i="55"/>
  <c r="E5433" i="55"/>
  <c r="H5432" i="55"/>
  <c r="F5432" i="55"/>
  <c r="E5432" i="55"/>
  <c r="H5431" i="55"/>
  <c r="F5431" i="55"/>
  <c r="E5431" i="55"/>
  <c r="H5430" i="55"/>
  <c r="F5430" i="55"/>
  <c r="E5430" i="55"/>
  <c r="H5429" i="55"/>
  <c r="F5429" i="55"/>
  <c r="E5429" i="55"/>
  <c r="H5428" i="55"/>
  <c r="F5428" i="55"/>
  <c r="E5428" i="55"/>
  <c r="H5427" i="55"/>
  <c r="F5427" i="55"/>
  <c r="E5427" i="55"/>
  <c r="H5426" i="55"/>
  <c r="F5426" i="55"/>
  <c r="E5426" i="55"/>
  <c r="H5425" i="55"/>
  <c r="F5425" i="55"/>
  <c r="E5425" i="55"/>
  <c r="H5423" i="55"/>
  <c r="F5423" i="55"/>
  <c r="E5423" i="55"/>
  <c r="H5422" i="55"/>
  <c r="F5422" i="55"/>
  <c r="E5422" i="55"/>
  <c r="H5421" i="55"/>
  <c r="F5421" i="55"/>
  <c r="E5421" i="55"/>
  <c r="H5420" i="55"/>
  <c r="F5420" i="55"/>
  <c r="E5420" i="55"/>
  <c r="H5419" i="55"/>
  <c r="F5419" i="55"/>
  <c r="E5419" i="55"/>
  <c r="H5418" i="55"/>
  <c r="F5418" i="55"/>
  <c r="E5418" i="55"/>
  <c r="H5417" i="55"/>
  <c r="F5417" i="55"/>
  <c r="E5417" i="55"/>
  <c r="H5416" i="55"/>
  <c r="F5416" i="55"/>
  <c r="E5416" i="55"/>
  <c r="H5415" i="55"/>
  <c r="F5415" i="55"/>
  <c r="E5415" i="55"/>
  <c r="H5414" i="55"/>
  <c r="F5414" i="55"/>
  <c r="E5414" i="55"/>
  <c r="H5413" i="55"/>
  <c r="F5413" i="55"/>
  <c r="E5413" i="55"/>
  <c r="H5412" i="55"/>
  <c r="F5412" i="55"/>
  <c r="E5412" i="55"/>
  <c r="H5411" i="55"/>
  <c r="F5411" i="55"/>
  <c r="E5411" i="55"/>
  <c r="H5410" i="55"/>
  <c r="F5410" i="55"/>
  <c r="E5410" i="55"/>
  <c r="H5409" i="55"/>
  <c r="F5409" i="55"/>
  <c r="E5409" i="55"/>
  <c r="H5408" i="55"/>
  <c r="F5408" i="55"/>
  <c r="E5408" i="55"/>
  <c r="H5407" i="55"/>
  <c r="F5407" i="55"/>
  <c r="E5407" i="55"/>
  <c r="H5406" i="55"/>
  <c r="F5406" i="55"/>
  <c r="E5406" i="55"/>
  <c r="H5405" i="55"/>
  <c r="F5405" i="55"/>
  <c r="E5405" i="55"/>
  <c r="H5404" i="55"/>
  <c r="F5404" i="55"/>
  <c r="E5404" i="55"/>
  <c r="H5403" i="55"/>
  <c r="F5403" i="55"/>
  <c r="E5403" i="55"/>
  <c r="H5402" i="55"/>
  <c r="F5402" i="55"/>
  <c r="E5402" i="55"/>
  <c r="H5401" i="55"/>
  <c r="F5401" i="55"/>
  <c r="E5401" i="55"/>
  <c r="H5400" i="55"/>
  <c r="F5400" i="55"/>
  <c r="E5400" i="55"/>
  <c r="H5399" i="55"/>
  <c r="F5399" i="55"/>
  <c r="E5399" i="55"/>
  <c r="H5398" i="55"/>
  <c r="F5398" i="55"/>
  <c r="E5398" i="55"/>
  <c r="H5397" i="55"/>
  <c r="F5397" i="55"/>
  <c r="E5397" i="55"/>
  <c r="H5396" i="55"/>
  <c r="F5396" i="55"/>
  <c r="E5396" i="55"/>
  <c r="H5395" i="55"/>
  <c r="F5395" i="55"/>
  <c r="E5395" i="55"/>
  <c r="H5394" i="55"/>
  <c r="F5394" i="55"/>
  <c r="E5394" i="55"/>
  <c r="H5393" i="55"/>
  <c r="F5393" i="55"/>
  <c r="E5393" i="55"/>
  <c r="H5392" i="55"/>
  <c r="F5392" i="55"/>
  <c r="E5392" i="55"/>
  <c r="H5391" i="55"/>
  <c r="F5391" i="55"/>
  <c r="E5391" i="55"/>
  <c r="H5390" i="55"/>
  <c r="F5390" i="55"/>
  <c r="E5390" i="55"/>
  <c r="H5389" i="55"/>
  <c r="F5389" i="55"/>
  <c r="E5389" i="55"/>
  <c r="H5388" i="55"/>
  <c r="F5388" i="55"/>
  <c r="E5388" i="55"/>
  <c r="H5387" i="55"/>
  <c r="F5387" i="55"/>
  <c r="E5387" i="55"/>
  <c r="H5386" i="55"/>
  <c r="F5386" i="55"/>
  <c r="E5386" i="55"/>
  <c r="H5385" i="55"/>
  <c r="F5385" i="55"/>
  <c r="E5385" i="55"/>
  <c r="H5384" i="55"/>
  <c r="F5384" i="55"/>
  <c r="E5384" i="55"/>
  <c r="H5383" i="55"/>
  <c r="F5383" i="55"/>
  <c r="E5383" i="55"/>
  <c r="H5382" i="55"/>
  <c r="F5382" i="55"/>
  <c r="E5382" i="55"/>
  <c r="H5381" i="55"/>
  <c r="F5381" i="55"/>
  <c r="E5381" i="55"/>
  <c r="H5380" i="55"/>
  <c r="F5380" i="55"/>
  <c r="E5380" i="55"/>
  <c r="H5379" i="55"/>
  <c r="F5379" i="55"/>
  <c r="E5379" i="55"/>
  <c r="H5378" i="55"/>
  <c r="F5378" i="55"/>
  <c r="E5378" i="55"/>
  <c r="H5377" i="55"/>
  <c r="F5377" i="55"/>
  <c r="E5377" i="55"/>
  <c r="H5376" i="55"/>
  <c r="F5376" i="55"/>
  <c r="E5376" i="55"/>
  <c r="H5375" i="55"/>
  <c r="F5375" i="55"/>
  <c r="E5375" i="55"/>
  <c r="H5374" i="55"/>
  <c r="F5374" i="55"/>
  <c r="E5374" i="55"/>
  <c r="H5373" i="55"/>
  <c r="F5373" i="55"/>
  <c r="E5373" i="55"/>
  <c r="H5372" i="55"/>
  <c r="F5372" i="55"/>
  <c r="E5372" i="55"/>
  <c r="H5371" i="55"/>
  <c r="F5371" i="55"/>
  <c r="E5371" i="55"/>
  <c r="H5370" i="55"/>
  <c r="F5370" i="55"/>
  <c r="E5370" i="55"/>
  <c r="H5369" i="55"/>
  <c r="F5369" i="55"/>
  <c r="E5369" i="55"/>
  <c r="H5368" i="55"/>
  <c r="F5368" i="55"/>
  <c r="E5368" i="55"/>
  <c r="H5367" i="55"/>
  <c r="F5367" i="55"/>
  <c r="E5367" i="55"/>
  <c r="H5366" i="55"/>
  <c r="F5366" i="55"/>
  <c r="E5366" i="55"/>
  <c r="H5365" i="55"/>
  <c r="F5365" i="55"/>
  <c r="E5365" i="55"/>
  <c r="H5364" i="55"/>
  <c r="F5364" i="55"/>
  <c r="E5364" i="55"/>
  <c r="H5362" i="55"/>
  <c r="F5362" i="55"/>
  <c r="E5362" i="55"/>
  <c r="H5361" i="55"/>
  <c r="F5361" i="55"/>
  <c r="E5361" i="55"/>
  <c r="H5360" i="55"/>
  <c r="F5360" i="55"/>
  <c r="E5360" i="55"/>
  <c r="H5359" i="55"/>
  <c r="F5359" i="55"/>
  <c r="E5359" i="55"/>
  <c r="H5358" i="55"/>
  <c r="F5358" i="55"/>
  <c r="E5358" i="55"/>
  <c r="H5357" i="55"/>
  <c r="F5357" i="55"/>
  <c r="E5357" i="55"/>
  <c r="H5356" i="55"/>
  <c r="F5356" i="55"/>
  <c r="E5356" i="55"/>
  <c r="H5355" i="55"/>
  <c r="F5355" i="55"/>
  <c r="E5355" i="55"/>
  <c r="H5354" i="55"/>
  <c r="F5354" i="55"/>
  <c r="E5354" i="55"/>
  <c r="H5353" i="55"/>
  <c r="F5353" i="55"/>
  <c r="E5353" i="55"/>
  <c r="H5352" i="55"/>
  <c r="F5352" i="55"/>
  <c r="E5352" i="55"/>
  <c r="H5351" i="55"/>
  <c r="F5351" i="55"/>
  <c r="E5351" i="55"/>
  <c r="H5350" i="55"/>
  <c r="F5350" i="55"/>
  <c r="E5350" i="55"/>
  <c r="H5349" i="55"/>
  <c r="F5349" i="55"/>
  <c r="E5349" i="55"/>
  <c r="H5348" i="55"/>
  <c r="F5348" i="55"/>
  <c r="E5348" i="55"/>
  <c r="H5347" i="55"/>
  <c r="F5347" i="55"/>
  <c r="E5347" i="55"/>
  <c r="H5346" i="55"/>
  <c r="F5346" i="55"/>
  <c r="E5346" i="55"/>
  <c r="H5345" i="55"/>
  <c r="F5345" i="55"/>
  <c r="E5345" i="55"/>
  <c r="H5344" i="55"/>
  <c r="F5344" i="55"/>
  <c r="E5344" i="55"/>
  <c r="H5343" i="55"/>
  <c r="F5343" i="55"/>
  <c r="E5343" i="55"/>
  <c r="H5342" i="55"/>
  <c r="F5342" i="55"/>
  <c r="E5342" i="55"/>
  <c r="H5341" i="55"/>
  <c r="F5341" i="55"/>
  <c r="E5341" i="55"/>
  <c r="H5340" i="55"/>
  <c r="F5340" i="55"/>
  <c r="E5340" i="55"/>
  <c r="H5339" i="55"/>
  <c r="F5339" i="55"/>
  <c r="E5339" i="55"/>
  <c r="H5338" i="55"/>
  <c r="F5338" i="55"/>
  <c r="E5338" i="55"/>
  <c r="H5337" i="55"/>
  <c r="F5337" i="55"/>
  <c r="E5337" i="55"/>
  <c r="H5336" i="55"/>
  <c r="F5336" i="55"/>
  <c r="E5336" i="55"/>
  <c r="H5335" i="55"/>
  <c r="F5335" i="55"/>
  <c r="E5335" i="55"/>
  <c r="H5334" i="55"/>
  <c r="F5334" i="55"/>
  <c r="E5334" i="55"/>
  <c r="H5333" i="55"/>
  <c r="F5333" i="55"/>
  <c r="E5333" i="55"/>
  <c r="H5332" i="55"/>
  <c r="F5332" i="55"/>
  <c r="E5332" i="55"/>
  <c r="H5331" i="55"/>
  <c r="F5331" i="55"/>
  <c r="E5331" i="55"/>
  <c r="H5330" i="55"/>
  <c r="F5330" i="55"/>
  <c r="E5330" i="55"/>
  <c r="H5329" i="55"/>
  <c r="F5329" i="55"/>
  <c r="E5329" i="55"/>
  <c r="H5328" i="55"/>
  <c r="F5328" i="55"/>
  <c r="E5328" i="55"/>
  <c r="H5327" i="55"/>
  <c r="F5327" i="55"/>
  <c r="E5327" i="55"/>
  <c r="H5326" i="55"/>
  <c r="F5326" i="55"/>
  <c r="E5326" i="55"/>
  <c r="H5325" i="55"/>
  <c r="F5325" i="55"/>
  <c r="E5325" i="55"/>
  <c r="H5324" i="55"/>
  <c r="F5324" i="55"/>
  <c r="E5324" i="55"/>
  <c r="H5323" i="55"/>
  <c r="F5323" i="55"/>
  <c r="E5323" i="55"/>
  <c r="H5322" i="55"/>
  <c r="F5322" i="55"/>
  <c r="E5322" i="55"/>
  <c r="H5321" i="55"/>
  <c r="F5321" i="55"/>
  <c r="E5321" i="55"/>
  <c r="H5320" i="55"/>
  <c r="F5320" i="55"/>
  <c r="E5320" i="55"/>
  <c r="H5319" i="55"/>
  <c r="F5319" i="55"/>
  <c r="E5319" i="55"/>
  <c r="H5318" i="55"/>
  <c r="F5318" i="55"/>
  <c r="E5318" i="55"/>
  <c r="H5317" i="55"/>
  <c r="F5317" i="55"/>
  <c r="E5317" i="55"/>
  <c r="H5316" i="55"/>
  <c r="F5316" i="55"/>
  <c r="E5316" i="55"/>
  <c r="H5315" i="55"/>
  <c r="F5315" i="55"/>
  <c r="E5315" i="55"/>
  <c r="H5314" i="55"/>
  <c r="F5314" i="55"/>
  <c r="E5314" i="55"/>
  <c r="H5313" i="55"/>
  <c r="F5313" i="55"/>
  <c r="E5313" i="55"/>
  <c r="H5312" i="55"/>
  <c r="F5312" i="55"/>
  <c r="E5312" i="55"/>
  <c r="H5311" i="55"/>
  <c r="F5311" i="55"/>
  <c r="E5311" i="55"/>
  <c r="H5310" i="55"/>
  <c r="F5310" i="55"/>
  <c r="E5310" i="55"/>
  <c r="H5309" i="55"/>
  <c r="F5309" i="55"/>
  <c r="E5309" i="55"/>
  <c r="H5308" i="55"/>
  <c r="F5308" i="55"/>
  <c r="E5308" i="55"/>
  <c r="H5307" i="55"/>
  <c r="F5307" i="55"/>
  <c r="E5307" i="55"/>
  <c r="H5306" i="55"/>
  <c r="F5306" i="55"/>
  <c r="E5306" i="55"/>
  <c r="H5305" i="55"/>
  <c r="F5305" i="55"/>
  <c r="E5305" i="55"/>
  <c r="H5304" i="55"/>
  <c r="F5304" i="55"/>
  <c r="E5304" i="55"/>
  <c r="H5303" i="55"/>
  <c r="F5303" i="55"/>
  <c r="E5303" i="55"/>
  <c r="H5301" i="55"/>
  <c r="F5301" i="55"/>
  <c r="E5301" i="55"/>
  <c r="H5300" i="55"/>
  <c r="F5300" i="55"/>
  <c r="E5300" i="55"/>
  <c r="H5299" i="55"/>
  <c r="F5299" i="55"/>
  <c r="E5299" i="55"/>
  <c r="H5298" i="55"/>
  <c r="F5298" i="55"/>
  <c r="E5298" i="55"/>
  <c r="H5297" i="55"/>
  <c r="F5297" i="55"/>
  <c r="E5297" i="55"/>
  <c r="H5296" i="55"/>
  <c r="F5296" i="55"/>
  <c r="E5296" i="55"/>
  <c r="H5295" i="55"/>
  <c r="F5295" i="55"/>
  <c r="E5295" i="55"/>
  <c r="H5294" i="55"/>
  <c r="F5294" i="55"/>
  <c r="E5294" i="55"/>
  <c r="H5293" i="55"/>
  <c r="F5293" i="55"/>
  <c r="E5293" i="55"/>
  <c r="H5292" i="55"/>
  <c r="F5292" i="55"/>
  <c r="E5292" i="55"/>
  <c r="H5291" i="55"/>
  <c r="F5291" i="55"/>
  <c r="E5291" i="55"/>
  <c r="H5290" i="55"/>
  <c r="F5290" i="55"/>
  <c r="E5290" i="55"/>
  <c r="H5289" i="55"/>
  <c r="F5289" i="55"/>
  <c r="E5289" i="55"/>
  <c r="H5288" i="55"/>
  <c r="F5288" i="55"/>
  <c r="E5288" i="55"/>
  <c r="H5287" i="55"/>
  <c r="F5287" i="55"/>
  <c r="E5287" i="55"/>
  <c r="H5286" i="55"/>
  <c r="F5286" i="55"/>
  <c r="E5286" i="55"/>
  <c r="H5285" i="55"/>
  <c r="F5285" i="55"/>
  <c r="E5285" i="55"/>
  <c r="H5284" i="55"/>
  <c r="F5284" i="55"/>
  <c r="E5284" i="55"/>
  <c r="H5283" i="55"/>
  <c r="F5283" i="55"/>
  <c r="E5283" i="55"/>
  <c r="H5282" i="55"/>
  <c r="F5282" i="55"/>
  <c r="E5282" i="55"/>
  <c r="H5281" i="55"/>
  <c r="F5281" i="55"/>
  <c r="E5281" i="55"/>
  <c r="H5280" i="55"/>
  <c r="F5280" i="55"/>
  <c r="E5280" i="55"/>
  <c r="H5279" i="55"/>
  <c r="F5279" i="55"/>
  <c r="E5279" i="55"/>
  <c r="H5278" i="55"/>
  <c r="F5278" i="55"/>
  <c r="E5278" i="55"/>
  <c r="H5277" i="55"/>
  <c r="F5277" i="55"/>
  <c r="E5277" i="55"/>
  <c r="H5276" i="55"/>
  <c r="F5276" i="55"/>
  <c r="E5276" i="55"/>
  <c r="H5275" i="55"/>
  <c r="F5275" i="55"/>
  <c r="E5275" i="55"/>
  <c r="H5274" i="55"/>
  <c r="F5274" i="55"/>
  <c r="E5274" i="55"/>
  <c r="H5273" i="55"/>
  <c r="F5273" i="55"/>
  <c r="E5273" i="55"/>
  <c r="H5272" i="55"/>
  <c r="F5272" i="55"/>
  <c r="E5272" i="55"/>
  <c r="H5271" i="55"/>
  <c r="F5271" i="55"/>
  <c r="E5271" i="55"/>
  <c r="H5270" i="55"/>
  <c r="F5270" i="55"/>
  <c r="E5270" i="55"/>
  <c r="H5269" i="55"/>
  <c r="F5269" i="55"/>
  <c r="E5269" i="55"/>
  <c r="H5268" i="55"/>
  <c r="F5268" i="55"/>
  <c r="E5268" i="55"/>
  <c r="H5267" i="55"/>
  <c r="F5267" i="55"/>
  <c r="E5267" i="55"/>
  <c r="H5266" i="55"/>
  <c r="F5266" i="55"/>
  <c r="E5266" i="55"/>
  <c r="H5265" i="55"/>
  <c r="F5265" i="55"/>
  <c r="E5265" i="55"/>
  <c r="H5264" i="55"/>
  <c r="F5264" i="55"/>
  <c r="E5264" i="55"/>
  <c r="H5263" i="55"/>
  <c r="F5263" i="55"/>
  <c r="E5263" i="55"/>
  <c r="H5262" i="55"/>
  <c r="F5262" i="55"/>
  <c r="E5262" i="55"/>
  <c r="H5261" i="55"/>
  <c r="F5261" i="55"/>
  <c r="E5261" i="55"/>
  <c r="H5260" i="55"/>
  <c r="F5260" i="55"/>
  <c r="E5260" i="55"/>
  <c r="H5259" i="55"/>
  <c r="F5259" i="55"/>
  <c r="E5259" i="55"/>
  <c r="H5258" i="55"/>
  <c r="F5258" i="55"/>
  <c r="E5258" i="55"/>
  <c r="H5257" i="55"/>
  <c r="F5257" i="55"/>
  <c r="E5257" i="55"/>
  <c r="H5256" i="55"/>
  <c r="F5256" i="55"/>
  <c r="E5256" i="55"/>
  <c r="H5255" i="55"/>
  <c r="F5255" i="55"/>
  <c r="E5255" i="55"/>
  <c r="H5254" i="55"/>
  <c r="F5254" i="55"/>
  <c r="E5254" i="55"/>
  <c r="H5253" i="55"/>
  <c r="F5253" i="55"/>
  <c r="E5253" i="55"/>
  <c r="H5252" i="55"/>
  <c r="F5252" i="55"/>
  <c r="E5252" i="55"/>
  <c r="H5251" i="55"/>
  <c r="F5251" i="55"/>
  <c r="E5251" i="55"/>
  <c r="H5250" i="55"/>
  <c r="F5250" i="55"/>
  <c r="E5250" i="55"/>
  <c r="H5249" i="55"/>
  <c r="F5249" i="55"/>
  <c r="E5249" i="55"/>
  <c r="H5248" i="55"/>
  <c r="F5248" i="55"/>
  <c r="E5248" i="55"/>
  <c r="H5247" i="55"/>
  <c r="F5247" i="55"/>
  <c r="E5247" i="55"/>
  <c r="H5246" i="55"/>
  <c r="F5246" i="55"/>
  <c r="E5246" i="55"/>
  <c r="H5245" i="55"/>
  <c r="F5245" i="55"/>
  <c r="E5245" i="55"/>
  <c r="H5244" i="55"/>
  <c r="F5244" i="55"/>
  <c r="E5244" i="55"/>
  <c r="H5243" i="55"/>
  <c r="F5243" i="55"/>
  <c r="E5243" i="55"/>
  <c r="H5242" i="55"/>
  <c r="F5242" i="55"/>
  <c r="E5242" i="55"/>
  <c r="H5240" i="55"/>
  <c r="F5240" i="55"/>
  <c r="E5240" i="55"/>
  <c r="H5239" i="55"/>
  <c r="F5239" i="55"/>
  <c r="E5239" i="55"/>
  <c r="H5238" i="55"/>
  <c r="F5238" i="55"/>
  <c r="E5238" i="55"/>
  <c r="H5237" i="55"/>
  <c r="F5237" i="55"/>
  <c r="E5237" i="55"/>
  <c r="H5236" i="55"/>
  <c r="F5236" i="55"/>
  <c r="E5236" i="55"/>
  <c r="H5235" i="55"/>
  <c r="F5235" i="55"/>
  <c r="E5235" i="55"/>
  <c r="H5234" i="55"/>
  <c r="F5234" i="55"/>
  <c r="E5234" i="55"/>
  <c r="H5233" i="55"/>
  <c r="F5233" i="55"/>
  <c r="E5233" i="55"/>
  <c r="H5232" i="55"/>
  <c r="F5232" i="55"/>
  <c r="E5232" i="55"/>
  <c r="H5231" i="55"/>
  <c r="F5231" i="55"/>
  <c r="E5231" i="55"/>
  <c r="H5230" i="55"/>
  <c r="F5230" i="55"/>
  <c r="E5230" i="55"/>
  <c r="H5229" i="55"/>
  <c r="F5229" i="55"/>
  <c r="E5229" i="55"/>
  <c r="H5228" i="55"/>
  <c r="F5228" i="55"/>
  <c r="E5228" i="55"/>
  <c r="H5227" i="55"/>
  <c r="F5227" i="55"/>
  <c r="E5227" i="55"/>
  <c r="H5226" i="55"/>
  <c r="F5226" i="55"/>
  <c r="E5226" i="55"/>
  <c r="H5225" i="55"/>
  <c r="F5225" i="55"/>
  <c r="E5225" i="55"/>
  <c r="H5224" i="55"/>
  <c r="F5224" i="55"/>
  <c r="E5224" i="55"/>
  <c r="H5223" i="55"/>
  <c r="F5223" i="55"/>
  <c r="E5223" i="55"/>
  <c r="H5222" i="55"/>
  <c r="F5222" i="55"/>
  <c r="E5222" i="55"/>
  <c r="H5221" i="55"/>
  <c r="F5221" i="55"/>
  <c r="E5221" i="55"/>
  <c r="H5220" i="55"/>
  <c r="F5220" i="55"/>
  <c r="E5220" i="55"/>
  <c r="H5219" i="55"/>
  <c r="F5219" i="55"/>
  <c r="E5219" i="55"/>
  <c r="H5218" i="55"/>
  <c r="F5218" i="55"/>
  <c r="E5218" i="55"/>
  <c r="H5217" i="55"/>
  <c r="F5217" i="55"/>
  <c r="E5217" i="55"/>
  <c r="H5216" i="55"/>
  <c r="F5216" i="55"/>
  <c r="E5216" i="55"/>
  <c r="H5215" i="55"/>
  <c r="F5215" i="55"/>
  <c r="E5215" i="55"/>
  <c r="H5214" i="55"/>
  <c r="F5214" i="55"/>
  <c r="E5214" i="55"/>
  <c r="H5213" i="55"/>
  <c r="F5213" i="55"/>
  <c r="E5213" i="55"/>
  <c r="H5212" i="55"/>
  <c r="F5212" i="55"/>
  <c r="E5212" i="55"/>
  <c r="H5211" i="55"/>
  <c r="F5211" i="55"/>
  <c r="E5211" i="55"/>
  <c r="H5210" i="55"/>
  <c r="F5210" i="55"/>
  <c r="E5210" i="55"/>
  <c r="H5209" i="55"/>
  <c r="F5209" i="55"/>
  <c r="E5209" i="55"/>
  <c r="H5208" i="55"/>
  <c r="F5208" i="55"/>
  <c r="E5208" i="55"/>
  <c r="H5207" i="55"/>
  <c r="F5207" i="55"/>
  <c r="E5207" i="55"/>
  <c r="H5206" i="55"/>
  <c r="F5206" i="55"/>
  <c r="E5206" i="55"/>
  <c r="H5205" i="55"/>
  <c r="F5205" i="55"/>
  <c r="E5205" i="55"/>
  <c r="H5204" i="55"/>
  <c r="F5204" i="55"/>
  <c r="E5204" i="55"/>
  <c r="H5203" i="55"/>
  <c r="F5203" i="55"/>
  <c r="E5203" i="55"/>
  <c r="H5202" i="55"/>
  <c r="F5202" i="55"/>
  <c r="E5202" i="55"/>
  <c r="H5201" i="55"/>
  <c r="F5201" i="55"/>
  <c r="E5201" i="55"/>
  <c r="H5200" i="55"/>
  <c r="F5200" i="55"/>
  <c r="E5200" i="55"/>
  <c r="H5199" i="55"/>
  <c r="F5199" i="55"/>
  <c r="E5199" i="55"/>
  <c r="H5198" i="55"/>
  <c r="F5198" i="55"/>
  <c r="E5198" i="55"/>
  <c r="H5197" i="55"/>
  <c r="F5197" i="55"/>
  <c r="E5197" i="55"/>
  <c r="H5196" i="55"/>
  <c r="F5196" i="55"/>
  <c r="E5196" i="55"/>
  <c r="H5195" i="55"/>
  <c r="F5195" i="55"/>
  <c r="E5195" i="55"/>
  <c r="H5194" i="55"/>
  <c r="F5194" i="55"/>
  <c r="E5194" i="55"/>
  <c r="H5193" i="55"/>
  <c r="F5193" i="55"/>
  <c r="E5193" i="55"/>
  <c r="H5192" i="55"/>
  <c r="F5192" i="55"/>
  <c r="E5192" i="55"/>
  <c r="H5191" i="55"/>
  <c r="F5191" i="55"/>
  <c r="E5191" i="55"/>
  <c r="H5190" i="55"/>
  <c r="F5190" i="55"/>
  <c r="E5190" i="55"/>
  <c r="H5189" i="55"/>
  <c r="F5189" i="55"/>
  <c r="E5189" i="55"/>
  <c r="H5188" i="55"/>
  <c r="F5188" i="55"/>
  <c r="E5188" i="55"/>
  <c r="H5187" i="55"/>
  <c r="F5187" i="55"/>
  <c r="E5187" i="55"/>
  <c r="H5186" i="55"/>
  <c r="F5186" i="55"/>
  <c r="E5186" i="55"/>
  <c r="H5185" i="55"/>
  <c r="F5185" i="55"/>
  <c r="E5185" i="55"/>
  <c r="H5184" i="55"/>
  <c r="F5184" i="55"/>
  <c r="E5184" i="55"/>
  <c r="H5183" i="55"/>
  <c r="F5183" i="55"/>
  <c r="E5183" i="55"/>
  <c r="H5182" i="55"/>
  <c r="F5182" i="55"/>
  <c r="E5182" i="55"/>
  <c r="H5181" i="55"/>
  <c r="F5181" i="55"/>
  <c r="E5181" i="55"/>
  <c r="H5179" i="55"/>
  <c r="F5179" i="55"/>
  <c r="E5179" i="55"/>
  <c r="H5178" i="55"/>
  <c r="F5178" i="55"/>
  <c r="E5178" i="55"/>
  <c r="H5177" i="55"/>
  <c r="F5177" i="55"/>
  <c r="E5177" i="55"/>
  <c r="H5176" i="55"/>
  <c r="F5176" i="55"/>
  <c r="E5176" i="55"/>
  <c r="H5175" i="55"/>
  <c r="F5175" i="55"/>
  <c r="E5175" i="55"/>
  <c r="H5174" i="55"/>
  <c r="F5174" i="55"/>
  <c r="E5174" i="55"/>
  <c r="H5173" i="55"/>
  <c r="F5173" i="55"/>
  <c r="E5173" i="55"/>
  <c r="H5172" i="55"/>
  <c r="F5172" i="55"/>
  <c r="E5172" i="55"/>
  <c r="H5171" i="55"/>
  <c r="F5171" i="55"/>
  <c r="E5171" i="55"/>
  <c r="H5170" i="55"/>
  <c r="F5170" i="55"/>
  <c r="E5170" i="55"/>
  <c r="H5169" i="55"/>
  <c r="F5169" i="55"/>
  <c r="E5169" i="55"/>
  <c r="H5168" i="55"/>
  <c r="F5168" i="55"/>
  <c r="E5168" i="55"/>
  <c r="H5167" i="55"/>
  <c r="F5167" i="55"/>
  <c r="E5167" i="55"/>
  <c r="H5166" i="55"/>
  <c r="F5166" i="55"/>
  <c r="E5166" i="55"/>
  <c r="H5165" i="55"/>
  <c r="F5165" i="55"/>
  <c r="E5165" i="55"/>
  <c r="H5164" i="55"/>
  <c r="F5164" i="55"/>
  <c r="E5164" i="55"/>
  <c r="H5163" i="55"/>
  <c r="F5163" i="55"/>
  <c r="E5163" i="55"/>
  <c r="H5162" i="55"/>
  <c r="F5162" i="55"/>
  <c r="E5162" i="55"/>
  <c r="H5161" i="55"/>
  <c r="F5161" i="55"/>
  <c r="E5161" i="55"/>
  <c r="H5160" i="55"/>
  <c r="F5160" i="55"/>
  <c r="E5160" i="55"/>
  <c r="H5159" i="55"/>
  <c r="F5159" i="55"/>
  <c r="E5159" i="55"/>
  <c r="H5158" i="55"/>
  <c r="F5158" i="55"/>
  <c r="E5158" i="55"/>
  <c r="H5157" i="55"/>
  <c r="F5157" i="55"/>
  <c r="E5157" i="55"/>
  <c r="H5156" i="55"/>
  <c r="F5156" i="55"/>
  <c r="E5156" i="55"/>
  <c r="H5155" i="55"/>
  <c r="F5155" i="55"/>
  <c r="E5155" i="55"/>
  <c r="H5154" i="55"/>
  <c r="F5154" i="55"/>
  <c r="E5154" i="55"/>
  <c r="H5153" i="55"/>
  <c r="F5153" i="55"/>
  <c r="E5153" i="55"/>
  <c r="H5152" i="55"/>
  <c r="F5152" i="55"/>
  <c r="E5152" i="55"/>
  <c r="H5151" i="55"/>
  <c r="F5151" i="55"/>
  <c r="E5151" i="55"/>
  <c r="H5150" i="55"/>
  <c r="F5150" i="55"/>
  <c r="E5150" i="55"/>
  <c r="H5149" i="55"/>
  <c r="F5149" i="55"/>
  <c r="E5149" i="55"/>
  <c r="H5148" i="55"/>
  <c r="F5148" i="55"/>
  <c r="E5148" i="55"/>
  <c r="H5147" i="55"/>
  <c r="F5147" i="55"/>
  <c r="E5147" i="55"/>
  <c r="H5146" i="55"/>
  <c r="F5146" i="55"/>
  <c r="E5146" i="55"/>
  <c r="H5145" i="55"/>
  <c r="F5145" i="55"/>
  <c r="E5145" i="55"/>
  <c r="H5144" i="55"/>
  <c r="F5144" i="55"/>
  <c r="E5144" i="55"/>
  <c r="H5143" i="55"/>
  <c r="F5143" i="55"/>
  <c r="E5143" i="55"/>
  <c r="H5142" i="55"/>
  <c r="F5142" i="55"/>
  <c r="E5142" i="55"/>
  <c r="H5141" i="55"/>
  <c r="F5141" i="55"/>
  <c r="E5141" i="55"/>
  <c r="H5140" i="55"/>
  <c r="F5140" i="55"/>
  <c r="E5140" i="55"/>
  <c r="H5139" i="55"/>
  <c r="F5139" i="55"/>
  <c r="E5139" i="55"/>
  <c r="H5138" i="55"/>
  <c r="F5138" i="55"/>
  <c r="E5138" i="55"/>
  <c r="H5137" i="55"/>
  <c r="F5137" i="55"/>
  <c r="E5137" i="55"/>
  <c r="H5136" i="55"/>
  <c r="F5136" i="55"/>
  <c r="E5136" i="55"/>
  <c r="H5135" i="55"/>
  <c r="F5135" i="55"/>
  <c r="E5135" i="55"/>
  <c r="H5134" i="55"/>
  <c r="F5134" i="55"/>
  <c r="E5134" i="55"/>
  <c r="H5133" i="55"/>
  <c r="F5133" i="55"/>
  <c r="E5133" i="55"/>
  <c r="H5132" i="55"/>
  <c r="F5132" i="55"/>
  <c r="E5132" i="55"/>
  <c r="H5131" i="55"/>
  <c r="F5131" i="55"/>
  <c r="E5131" i="55"/>
  <c r="H5130" i="55"/>
  <c r="F5130" i="55"/>
  <c r="E5130" i="55"/>
  <c r="H5129" i="55"/>
  <c r="F5129" i="55"/>
  <c r="E5129" i="55"/>
  <c r="H5128" i="55"/>
  <c r="F5128" i="55"/>
  <c r="E5128" i="55"/>
  <c r="H5127" i="55"/>
  <c r="F5127" i="55"/>
  <c r="E5127" i="55"/>
  <c r="H5126" i="55"/>
  <c r="F5126" i="55"/>
  <c r="E5126" i="55"/>
  <c r="H5125" i="55"/>
  <c r="F5125" i="55"/>
  <c r="E5125" i="55"/>
  <c r="H5124" i="55"/>
  <c r="F5124" i="55"/>
  <c r="E5124" i="55"/>
  <c r="H5123" i="55"/>
  <c r="F5123" i="55"/>
  <c r="E5123" i="55"/>
  <c r="H5122" i="55"/>
  <c r="F5122" i="55"/>
  <c r="E5122" i="55"/>
  <c r="H5121" i="55"/>
  <c r="F5121" i="55"/>
  <c r="E5121" i="55"/>
  <c r="H5120" i="55"/>
  <c r="F5120" i="55"/>
  <c r="E5120" i="55"/>
  <c r="H5118" i="55"/>
  <c r="F5118" i="55"/>
  <c r="E5118" i="55"/>
  <c r="H5117" i="55"/>
  <c r="F5117" i="55"/>
  <c r="E5117" i="55"/>
  <c r="H5116" i="55"/>
  <c r="F5116" i="55"/>
  <c r="E5116" i="55"/>
  <c r="H5115" i="55"/>
  <c r="F5115" i="55"/>
  <c r="E5115" i="55"/>
  <c r="H5114" i="55"/>
  <c r="F5114" i="55"/>
  <c r="E5114" i="55"/>
  <c r="H5113" i="55"/>
  <c r="F5113" i="55"/>
  <c r="E5113" i="55"/>
  <c r="H5112" i="55"/>
  <c r="F5112" i="55"/>
  <c r="E5112" i="55"/>
  <c r="H5111" i="55"/>
  <c r="F5111" i="55"/>
  <c r="E5111" i="55"/>
  <c r="H5110" i="55"/>
  <c r="F5110" i="55"/>
  <c r="E5110" i="55"/>
  <c r="H5109" i="55"/>
  <c r="F5109" i="55"/>
  <c r="E5109" i="55"/>
  <c r="H5108" i="55"/>
  <c r="F5108" i="55"/>
  <c r="E5108" i="55"/>
  <c r="H5107" i="55"/>
  <c r="F5107" i="55"/>
  <c r="E5107" i="55"/>
  <c r="H5106" i="55"/>
  <c r="F5106" i="55"/>
  <c r="E5106" i="55"/>
  <c r="H5105" i="55"/>
  <c r="F5105" i="55"/>
  <c r="E5105" i="55"/>
  <c r="H5104" i="55"/>
  <c r="F5104" i="55"/>
  <c r="E5104" i="55"/>
  <c r="H5103" i="55"/>
  <c r="F5103" i="55"/>
  <c r="E5103" i="55"/>
  <c r="H5102" i="55"/>
  <c r="F5102" i="55"/>
  <c r="E5102" i="55"/>
  <c r="H5101" i="55"/>
  <c r="F5101" i="55"/>
  <c r="E5101" i="55"/>
  <c r="H5100" i="55"/>
  <c r="F5100" i="55"/>
  <c r="E5100" i="55"/>
  <c r="H5099" i="55"/>
  <c r="F5099" i="55"/>
  <c r="E5099" i="55"/>
  <c r="H5098" i="55"/>
  <c r="F5098" i="55"/>
  <c r="E5098" i="55"/>
  <c r="H5097" i="55"/>
  <c r="F5097" i="55"/>
  <c r="E5097" i="55"/>
  <c r="H5096" i="55"/>
  <c r="F5096" i="55"/>
  <c r="E5096" i="55"/>
  <c r="H5095" i="55"/>
  <c r="F5095" i="55"/>
  <c r="E5095" i="55"/>
  <c r="H5094" i="55"/>
  <c r="F5094" i="55"/>
  <c r="E5094" i="55"/>
  <c r="H5093" i="55"/>
  <c r="F5093" i="55"/>
  <c r="E5093" i="55"/>
  <c r="H5092" i="55"/>
  <c r="F5092" i="55"/>
  <c r="E5092" i="55"/>
  <c r="H5091" i="55"/>
  <c r="F5091" i="55"/>
  <c r="E5091" i="55"/>
  <c r="H5090" i="55"/>
  <c r="F5090" i="55"/>
  <c r="E5090" i="55"/>
  <c r="H5089" i="55"/>
  <c r="F5089" i="55"/>
  <c r="E5089" i="55"/>
  <c r="H5088" i="55"/>
  <c r="F5088" i="55"/>
  <c r="E5088" i="55"/>
  <c r="H5087" i="55"/>
  <c r="F5087" i="55"/>
  <c r="E5087" i="55"/>
  <c r="H5086" i="55"/>
  <c r="F5086" i="55"/>
  <c r="E5086" i="55"/>
  <c r="H5085" i="55"/>
  <c r="F5085" i="55"/>
  <c r="E5085" i="55"/>
  <c r="H5084" i="55"/>
  <c r="F5084" i="55"/>
  <c r="E5084" i="55"/>
  <c r="H5083" i="55"/>
  <c r="F5083" i="55"/>
  <c r="E5083" i="55"/>
  <c r="H5082" i="55"/>
  <c r="F5082" i="55"/>
  <c r="E5082" i="55"/>
  <c r="H5081" i="55"/>
  <c r="F5081" i="55"/>
  <c r="E5081" i="55"/>
  <c r="H5080" i="55"/>
  <c r="F5080" i="55"/>
  <c r="E5080" i="55"/>
  <c r="H5079" i="55"/>
  <c r="F5079" i="55"/>
  <c r="E5079" i="55"/>
  <c r="H5078" i="55"/>
  <c r="F5078" i="55"/>
  <c r="E5078" i="55"/>
  <c r="H5077" i="55"/>
  <c r="F5077" i="55"/>
  <c r="E5077" i="55"/>
  <c r="H5076" i="55"/>
  <c r="F5076" i="55"/>
  <c r="E5076" i="55"/>
  <c r="H5075" i="55"/>
  <c r="F5075" i="55"/>
  <c r="E5075" i="55"/>
  <c r="H5074" i="55"/>
  <c r="F5074" i="55"/>
  <c r="E5074" i="55"/>
  <c r="H5073" i="55"/>
  <c r="F5073" i="55"/>
  <c r="E5073" i="55"/>
  <c r="H5072" i="55"/>
  <c r="F5072" i="55"/>
  <c r="E5072" i="55"/>
  <c r="H5071" i="55"/>
  <c r="F5071" i="55"/>
  <c r="E5071" i="55"/>
  <c r="H5070" i="55"/>
  <c r="F5070" i="55"/>
  <c r="E5070" i="55"/>
  <c r="H5069" i="55"/>
  <c r="F5069" i="55"/>
  <c r="E5069" i="55"/>
  <c r="H5068" i="55"/>
  <c r="F5068" i="55"/>
  <c r="E5068" i="55"/>
  <c r="H5067" i="55"/>
  <c r="F5067" i="55"/>
  <c r="E5067" i="55"/>
  <c r="H5066" i="55"/>
  <c r="F5066" i="55"/>
  <c r="E5066" i="55"/>
  <c r="H5065" i="55"/>
  <c r="F5065" i="55"/>
  <c r="E5065" i="55"/>
  <c r="H5064" i="55"/>
  <c r="F5064" i="55"/>
  <c r="E5064" i="55"/>
  <c r="H5063" i="55"/>
  <c r="F5063" i="55"/>
  <c r="E5063" i="55"/>
  <c r="H5062" i="55"/>
  <c r="F5062" i="55"/>
  <c r="E5062" i="55"/>
  <c r="H5061" i="55"/>
  <c r="F5061" i="55"/>
  <c r="E5061" i="55"/>
  <c r="H5060" i="55"/>
  <c r="F5060" i="55"/>
  <c r="E5060" i="55"/>
  <c r="H5059" i="55"/>
  <c r="F5059" i="55"/>
  <c r="E5059" i="55"/>
  <c r="F5057" i="55"/>
  <c r="F5056" i="55"/>
  <c r="F5055" i="55"/>
  <c r="F5054" i="55"/>
  <c r="F5053" i="55"/>
  <c r="F5052" i="55"/>
  <c r="F5051" i="55"/>
  <c r="F5050" i="55"/>
  <c r="F5049" i="55"/>
  <c r="F5048" i="55"/>
  <c r="F5047" i="55"/>
  <c r="F5046" i="55"/>
  <c r="F5045" i="55"/>
  <c r="F5044" i="55"/>
  <c r="F5043" i="55"/>
  <c r="F5042" i="55"/>
  <c r="F5041" i="55"/>
  <c r="F5040" i="55"/>
  <c r="F5039" i="55"/>
  <c r="F5038" i="55"/>
  <c r="F5037" i="55"/>
  <c r="F5036" i="55"/>
  <c r="F5035" i="55"/>
  <c r="F5034" i="55"/>
  <c r="F5033" i="55"/>
  <c r="F5032" i="55"/>
  <c r="H5030" i="55"/>
  <c r="F5030" i="55"/>
  <c r="E5030" i="55"/>
  <c r="H5029" i="55"/>
  <c r="F5029" i="55"/>
  <c r="E5029" i="55"/>
  <c r="H5028" i="55"/>
  <c r="F5028" i="55"/>
  <c r="E5028" i="55"/>
  <c r="H5027" i="55"/>
  <c r="F5027" i="55"/>
  <c r="E5027" i="55"/>
  <c r="H5026" i="55"/>
  <c r="F5026" i="55"/>
  <c r="E5026" i="55"/>
  <c r="H5025" i="55"/>
  <c r="F5025" i="55"/>
  <c r="E5025" i="55"/>
  <c r="H5024" i="55"/>
  <c r="F5024" i="55"/>
  <c r="E5024" i="55"/>
  <c r="H5023" i="55"/>
  <c r="F5023" i="55"/>
  <c r="E5023" i="55"/>
  <c r="H5022" i="55"/>
  <c r="F5022" i="55"/>
  <c r="E5022" i="55"/>
  <c r="H5021" i="55"/>
  <c r="F5021" i="55"/>
  <c r="E5021" i="55"/>
  <c r="H5020" i="55"/>
  <c r="F5020" i="55"/>
  <c r="E5020" i="55"/>
  <c r="H5019" i="55"/>
  <c r="F5019" i="55"/>
  <c r="E5019" i="55"/>
  <c r="H5018" i="55"/>
  <c r="F5018" i="55"/>
  <c r="E5018" i="55"/>
  <c r="H5017" i="55"/>
  <c r="F5017" i="55"/>
  <c r="E5017" i="55"/>
  <c r="H5016" i="55"/>
  <c r="F5016" i="55"/>
  <c r="E5016" i="55"/>
  <c r="H5015" i="55"/>
  <c r="F5015" i="55"/>
  <c r="E5015" i="55"/>
  <c r="H5014" i="55"/>
  <c r="F5014" i="55"/>
  <c r="E5014" i="55"/>
  <c r="H5013" i="55"/>
  <c r="F5013" i="55"/>
  <c r="E5013" i="55"/>
  <c r="H5012" i="55"/>
  <c r="F5012" i="55"/>
  <c r="E5012" i="55"/>
  <c r="H5011" i="55"/>
  <c r="F5011" i="55"/>
  <c r="E5011" i="55"/>
  <c r="H5010" i="55"/>
  <c r="F5010" i="55"/>
  <c r="E5010" i="55"/>
  <c r="H5009" i="55"/>
  <c r="F5009" i="55"/>
  <c r="E5009" i="55"/>
  <c r="H5008" i="55"/>
  <c r="F5008" i="55"/>
  <c r="E5008" i="55"/>
  <c r="H5007" i="55"/>
  <c r="F5007" i="55"/>
  <c r="E5007" i="55"/>
  <c r="H5006" i="55"/>
  <c r="F5006" i="55"/>
  <c r="E5006" i="55"/>
  <c r="H5005" i="55"/>
  <c r="F5005" i="55"/>
  <c r="E5005" i="55"/>
  <c r="H5004" i="55"/>
  <c r="F5004" i="55"/>
  <c r="E5004" i="55"/>
  <c r="H5003" i="55"/>
  <c r="F5003" i="55"/>
  <c r="E5003" i="55"/>
  <c r="H5002" i="55"/>
  <c r="F5002" i="55"/>
  <c r="E5002" i="55"/>
  <c r="H5001" i="55"/>
  <c r="F5001" i="55"/>
  <c r="E5001" i="55"/>
  <c r="H5000" i="55"/>
  <c r="F5000" i="55"/>
  <c r="E5000" i="55"/>
  <c r="H4999" i="55"/>
  <c r="F4999" i="55"/>
  <c r="E4999" i="55"/>
  <c r="H4998" i="55"/>
  <c r="F4998" i="55"/>
  <c r="E4998" i="55"/>
  <c r="H4997" i="55"/>
  <c r="F4997" i="55"/>
  <c r="E4997" i="55"/>
  <c r="H4996" i="55"/>
  <c r="F4996" i="55"/>
  <c r="E4996" i="55"/>
  <c r="H4995" i="55"/>
  <c r="F4995" i="55"/>
  <c r="E4995" i="55"/>
  <c r="H4994" i="55"/>
  <c r="F4994" i="55"/>
  <c r="E4994" i="55"/>
  <c r="H4993" i="55"/>
  <c r="F4993" i="55"/>
  <c r="E4993" i="55"/>
  <c r="H4992" i="55"/>
  <c r="F4992" i="55"/>
  <c r="E4992" i="55"/>
  <c r="H4991" i="55"/>
  <c r="F4991" i="55"/>
  <c r="E4991" i="55"/>
  <c r="H4990" i="55"/>
  <c r="F4990" i="55"/>
  <c r="E4990" i="55"/>
  <c r="H4989" i="55"/>
  <c r="F4989" i="55"/>
  <c r="E4989" i="55"/>
  <c r="H4988" i="55"/>
  <c r="F4988" i="55"/>
  <c r="E4988" i="55"/>
  <c r="H4987" i="55"/>
  <c r="F4987" i="55"/>
  <c r="E4987" i="55"/>
  <c r="H4986" i="55"/>
  <c r="F4986" i="55"/>
  <c r="E4986" i="55"/>
  <c r="H4985" i="55"/>
  <c r="F4985" i="55"/>
  <c r="E4985" i="55"/>
  <c r="H4984" i="55"/>
  <c r="F4984" i="55"/>
  <c r="E4984" i="55"/>
  <c r="H4983" i="55"/>
  <c r="F4983" i="55"/>
  <c r="E4983" i="55"/>
  <c r="H4982" i="55"/>
  <c r="F4982" i="55"/>
  <c r="E4982" i="55"/>
  <c r="H4981" i="55"/>
  <c r="F4981" i="55"/>
  <c r="E4981" i="55"/>
  <c r="H4980" i="55"/>
  <c r="F4980" i="55"/>
  <c r="E4980" i="55"/>
  <c r="H4979" i="55"/>
  <c r="F4979" i="55"/>
  <c r="E4979" i="55"/>
  <c r="H4978" i="55"/>
  <c r="F4978" i="55"/>
  <c r="E4978" i="55"/>
  <c r="H4977" i="55"/>
  <c r="F4977" i="55"/>
  <c r="E4977" i="55"/>
  <c r="H4976" i="55"/>
  <c r="F4976" i="55"/>
  <c r="E4976" i="55"/>
  <c r="H4975" i="55"/>
  <c r="F4975" i="55"/>
  <c r="E4975" i="55"/>
  <c r="H4974" i="55"/>
  <c r="F4974" i="55"/>
  <c r="E4974" i="55"/>
  <c r="H4973" i="55"/>
  <c r="F4973" i="55"/>
  <c r="E4973" i="55"/>
  <c r="H4972" i="55"/>
  <c r="F4972" i="55"/>
  <c r="E4972" i="55"/>
  <c r="H4971" i="55"/>
  <c r="F4971" i="55"/>
  <c r="E4971" i="55"/>
  <c r="H4969" i="55"/>
  <c r="F4969" i="55"/>
  <c r="E4969" i="55"/>
  <c r="H4968" i="55"/>
  <c r="F4968" i="55"/>
  <c r="E4968" i="55"/>
  <c r="H4967" i="55"/>
  <c r="F4967" i="55"/>
  <c r="E4967" i="55"/>
  <c r="H4966" i="55"/>
  <c r="F4966" i="55"/>
  <c r="E4966" i="55"/>
  <c r="H4965" i="55"/>
  <c r="F4965" i="55"/>
  <c r="E4965" i="55"/>
  <c r="H4964" i="55"/>
  <c r="F4964" i="55"/>
  <c r="E4964" i="55"/>
  <c r="H4963" i="55"/>
  <c r="F4963" i="55"/>
  <c r="E4963" i="55"/>
  <c r="H4962" i="55"/>
  <c r="F4962" i="55"/>
  <c r="E4962" i="55"/>
  <c r="H4961" i="55"/>
  <c r="F4961" i="55"/>
  <c r="E4961" i="55"/>
  <c r="H4960" i="55"/>
  <c r="F4960" i="55"/>
  <c r="E4960" i="55"/>
  <c r="H4959" i="55"/>
  <c r="F4959" i="55"/>
  <c r="E4959" i="55"/>
  <c r="H4958" i="55"/>
  <c r="F4958" i="55"/>
  <c r="E4958" i="55"/>
  <c r="H4957" i="55"/>
  <c r="F4957" i="55"/>
  <c r="E4957" i="55"/>
  <c r="H4956" i="55"/>
  <c r="F4956" i="55"/>
  <c r="E4956" i="55"/>
  <c r="H4955" i="55"/>
  <c r="F4955" i="55"/>
  <c r="E4955" i="55"/>
  <c r="H4954" i="55"/>
  <c r="F4954" i="55"/>
  <c r="E4954" i="55"/>
  <c r="H4953" i="55"/>
  <c r="F4953" i="55"/>
  <c r="E4953" i="55"/>
  <c r="H4952" i="55"/>
  <c r="F4952" i="55"/>
  <c r="E4952" i="55"/>
  <c r="H4951" i="55"/>
  <c r="F4951" i="55"/>
  <c r="E4951" i="55"/>
  <c r="H4950" i="55"/>
  <c r="F4950" i="55"/>
  <c r="E4950" i="55"/>
  <c r="H4949" i="55"/>
  <c r="F4949" i="55"/>
  <c r="E4949" i="55"/>
  <c r="H4948" i="55"/>
  <c r="F4948" i="55"/>
  <c r="E4948" i="55"/>
  <c r="H4947" i="55"/>
  <c r="F4947" i="55"/>
  <c r="E4947" i="55"/>
  <c r="H4946" i="55"/>
  <c r="F4946" i="55"/>
  <c r="E4946" i="55"/>
  <c r="H4945" i="55"/>
  <c r="F4945" i="55"/>
  <c r="E4945" i="55"/>
  <c r="H4944" i="55"/>
  <c r="F4944" i="55"/>
  <c r="E4944" i="55"/>
  <c r="H4943" i="55"/>
  <c r="F4943" i="55"/>
  <c r="E4943" i="55"/>
  <c r="H4942" i="55"/>
  <c r="F4942" i="55"/>
  <c r="E4942" i="55"/>
  <c r="H4941" i="55"/>
  <c r="F4941" i="55"/>
  <c r="E4941" i="55"/>
  <c r="H4940" i="55"/>
  <c r="F4940" i="55"/>
  <c r="E4940" i="55"/>
  <c r="H4939" i="55"/>
  <c r="F4939" i="55"/>
  <c r="E4939" i="55"/>
  <c r="H4938" i="55"/>
  <c r="F4938" i="55"/>
  <c r="E4938" i="55"/>
  <c r="H4937" i="55"/>
  <c r="F4937" i="55"/>
  <c r="E4937" i="55"/>
  <c r="H4936" i="55"/>
  <c r="F4936" i="55"/>
  <c r="E4936" i="55"/>
  <c r="H4935" i="55"/>
  <c r="F4935" i="55"/>
  <c r="E4935" i="55"/>
  <c r="H4934" i="55"/>
  <c r="F4934" i="55"/>
  <c r="E4934" i="55"/>
  <c r="H4933" i="55"/>
  <c r="F4933" i="55"/>
  <c r="E4933" i="55"/>
  <c r="H4932" i="55"/>
  <c r="F4932" i="55"/>
  <c r="E4932" i="55"/>
  <c r="H4931" i="55"/>
  <c r="F4931" i="55"/>
  <c r="E4931" i="55"/>
  <c r="H4930" i="55"/>
  <c r="F4930" i="55"/>
  <c r="E4930" i="55"/>
  <c r="H4929" i="55"/>
  <c r="F4929" i="55"/>
  <c r="E4929" i="55"/>
  <c r="H4928" i="55"/>
  <c r="F4928" i="55"/>
  <c r="E4928" i="55"/>
  <c r="H4927" i="55"/>
  <c r="F4927" i="55"/>
  <c r="E4927" i="55"/>
  <c r="H4926" i="55"/>
  <c r="F4926" i="55"/>
  <c r="E4926" i="55"/>
  <c r="H4925" i="55"/>
  <c r="F4925" i="55"/>
  <c r="E4925" i="55"/>
  <c r="H4924" i="55"/>
  <c r="F4924" i="55"/>
  <c r="E4924" i="55"/>
  <c r="H4923" i="55"/>
  <c r="F4923" i="55"/>
  <c r="E4923" i="55"/>
  <c r="H4922" i="55"/>
  <c r="F4922" i="55"/>
  <c r="E4922" i="55"/>
  <c r="H4921" i="55"/>
  <c r="F4921" i="55"/>
  <c r="E4921" i="55"/>
  <c r="H4920" i="55"/>
  <c r="F4920" i="55"/>
  <c r="E4920" i="55"/>
  <c r="H4919" i="55"/>
  <c r="F4919" i="55"/>
  <c r="E4919" i="55"/>
  <c r="H4918" i="55"/>
  <c r="F4918" i="55"/>
  <c r="E4918" i="55"/>
  <c r="H4917" i="55"/>
  <c r="F4917" i="55"/>
  <c r="E4917" i="55"/>
  <c r="H4916" i="55"/>
  <c r="F4916" i="55"/>
  <c r="E4916" i="55"/>
  <c r="H4915" i="55"/>
  <c r="F4915" i="55"/>
  <c r="E4915" i="55"/>
  <c r="H4914" i="55"/>
  <c r="F4914" i="55"/>
  <c r="E4914" i="55"/>
  <c r="H4913" i="55"/>
  <c r="F4913" i="55"/>
  <c r="E4913" i="55"/>
  <c r="H4912" i="55"/>
  <c r="F4912" i="55"/>
  <c r="E4912" i="55"/>
  <c r="H4911" i="55"/>
  <c r="F4911" i="55"/>
  <c r="E4911" i="55"/>
  <c r="H4910" i="55"/>
  <c r="F4910" i="55"/>
  <c r="E4910" i="55"/>
  <c r="H4908" i="55"/>
  <c r="F4908" i="55"/>
  <c r="E4908" i="55"/>
  <c r="H4907" i="55"/>
  <c r="F4907" i="55"/>
  <c r="E4907" i="55"/>
  <c r="H4906" i="55"/>
  <c r="F4906" i="55"/>
  <c r="E4906" i="55"/>
  <c r="H4905" i="55"/>
  <c r="F4905" i="55"/>
  <c r="E4905" i="55"/>
  <c r="H4904" i="55"/>
  <c r="F4904" i="55"/>
  <c r="E4904" i="55"/>
  <c r="H4903" i="55"/>
  <c r="F4903" i="55"/>
  <c r="E4903" i="55"/>
  <c r="H4902" i="55"/>
  <c r="F4902" i="55"/>
  <c r="E4902" i="55"/>
  <c r="H4901" i="55"/>
  <c r="F4901" i="55"/>
  <c r="E4901" i="55"/>
  <c r="H4900" i="55"/>
  <c r="F4900" i="55"/>
  <c r="E4900" i="55"/>
  <c r="H4899" i="55"/>
  <c r="F4899" i="55"/>
  <c r="E4899" i="55"/>
  <c r="H4898" i="55"/>
  <c r="F4898" i="55"/>
  <c r="E4898" i="55"/>
  <c r="H4897" i="55"/>
  <c r="F4897" i="55"/>
  <c r="E4897" i="55"/>
  <c r="H4896" i="55"/>
  <c r="F4896" i="55"/>
  <c r="E4896" i="55"/>
  <c r="H4895" i="55"/>
  <c r="F4895" i="55"/>
  <c r="E4895" i="55"/>
  <c r="H4894" i="55"/>
  <c r="F4894" i="55"/>
  <c r="E4894" i="55"/>
  <c r="H4893" i="55"/>
  <c r="F4893" i="55"/>
  <c r="E4893" i="55"/>
  <c r="H4892" i="55"/>
  <c r="F4892" i="55"/>
  <c r="E4892" i="55"/>
  <c r="H4891" i="55"/>
  <c r="F4891" i="55"/>
  <c r="E4891" i="55"/>
  <c r="H4890" i="55"/>
  <c r="F4890" i="55"/>
  <c r="E4890" i="55"/>
  <c r="H4889" i="55"/>
  <c r="F4889" i="55"/>
  <c r="E4889" i="55"/>
  <c r="H4888" i="55"/>
  <c r="F4888" i="55"/>
  <c r="E4888" i="55"/>
  <c r="H4887" i="55"/>
  <c r="F4887" i="55"/>
  <c r="E4887" i="55"/>
  <c r="H4886" i="55"/>
  <c r="F4886" i="55"/>
  <c r="E4886" i="55"/>
  <c r="H4885" i="55"/>
  <c r="F4885" i="55"/>
  <c r="E4885" i="55"/>
  <c r="H4884" i="55"/>
  <c r="F4884" i="55"/>
  <c r="E4884" i="55"/>
  <c r="H4883" i="55"/>
  <c r="F4883" i="55"/>
  <c r="E4883" i="55"/>
  <c r="H4882" i="55"/>
  <c r="F4882" i="55"/>
  <c r="E4882" i="55"/>
  <c r="H4881" i="55"/>
  <c r="F4881" i="55"/>
  <c r="E4881" i="55"/>
  <c r="H4880" i="55"/>
  <c r="F4880" i="55"/>
  <c r="E4880" i="55"/>
  <c r="H4879" i="55"/>
  <c r="F4879" i="55"/>
  <c r="E4879" i="55"/>
  <c r="H4878" i="55"/>
  <c r="F4878" i="55"/>
  <c r="E4878" i="55"/>
  <c r="H4877" i="55"/>
  <c r="F4877" i="55"/>
  <c r="E4877" i="55"/>
  <c r="H4876" i="55"/>
  <c r="F4876" i="55"/>
  <c r="E4876" i="55"/>
  <c r="H4875" i="55"/>
  <c r="F4875" i="55"/>
  <c r="E4875" i="55"/>
  <c r="H4874" i="55"/>
  <c r="F4874" i="55"/>
  <c r="E4874" i="55"/>
  <c r="H4873" i="55"/>
  <c r="F4873" i="55"/>
  <c r="E4873" i="55"/>
  <c r="H4872" i="55"/>
  <c r="F4872" i="55"/>
  <c r="E4872" i="55"/>
  <c r="H4871" i="55"/>
  <c r="F4871" i="55"/>
  <c r="E4871" i="55"/>
  <c r="H4870" i="55"/>
  <c r="F4870" i="55"/>
  <c r="E4870" i="55"/>
  <c r="H4869" i="55"/>
  <c r="F4869" i="55"/>
  <c r="E4869" i="55"/>
  <c r="H4868" i="55"/>
  <c r="F4868" i="55"/>
  <c r="E4868" i="55"/>
  <c r="H4867" i="55"/>
  <c r="F4867" i="55"/>
  <c r="E4867" i="55"/>
  <c r="H4866" i="55"/>
  <c r="F4866" i="55"/>
  <c r="E4866" i="55"/>
  <c r="H4865" i="55"/>
  <c r="F4865" i="55"/>
  <c r="E4865" i="55"/>
  <c r="H4864" i="55"/>
  <c r="F4864" i="55"/>
  <c r="E4864" i="55"/>
  <c r="H4863" i="55"/>
  <c r="F4863" i="55"/>
  <c r="E4863" i="55"/>
  <c r="H4862" i="55"/>
  <c r="F4862" i="55"/>
  <c r="E4862" i="55"/>
  <c r="H4861" i="55"/>
  <c r="F4861" i="55"/>
  <c r="E4861" i="55"/>
  <c r="H4860" i="55"/>
  <c r="F4860" i="55"/>
  <c r="E4860" i="55"/>
  <c r="H4859" i="55"/>
  <c r="F4859" i="55"/>
  <c r="E4859" i="55"/>
  <c r="H4858" i="55"/>
  <c r="F4858" i="55"/>
  <c r="E4858" i="55"/>
  <c r="H4857" i="55"/>
  <c r="F4857" i="55"/>
  <c r="E4857" i="55"/>
  <c r="H4856" i="55"/>
  <c r="F4856" i="55"/>
  <c r="E4856" i="55"/>
  <c r="H4855" i="55"/>
  <c r="F4855" i="55"/>
  <c r="E4855" i="55"/>
  <c r="H4854" i="55"/>
  <c r="F4854" i="55"/>
  <c r="E4854" i="55"/>
  <c r="H4853" i="55"/>
  <c r="F4853" i="55"/>
  <c r="E4853" i="55"/>
  <c r="H4852" i="55"/>
  <c r="F4852" i="55"/>
  <c r="E4852" i="55"/>
  <c r="H4851" i="55"/>
  <c r="F4851" i="55"/>
  <c r="E4851" i="55"/>
  <c r="H4850" i="55"/>
  <c r="F4850" i="55"/>
  <c r="E4850" i="55"/>
  <c r="H4849" i="55"/>
  <c r="F4849" i="55"/>
  <c r="E4849" i="55"/>
  <c r="H4847" i="55"/>
  <c r="F4847" i="55"/>
  <c r="E4847" i="55"/>
  <c r="H4846" i="55"/>
  <c r="F4846" i="55"/>
  <c r="E4846" i="55"/>
  <c r="H4845" i="55"/>
  <c r="F4845" i="55"/>
  <c r="E4845" i="55"/>
  <c r="H4844" i="55"/>
  <c r="F4844" i="55"/>
  <c r="E4844" i="55"/>
  <c r="H4843" i="55"/>
  <c r="F4843" i="55"/>
  <c r="E4843" i="55"/>
  <c r="H4842" i="55"/>
  <c r="F4842" i="55"/>
  <c r="E4842" i="55"/>
  <c r="H4841" i="55"/>
  <c r="F4841" i="55"/>
  <c r="E4841" i="55"/>
  <c r="H4840" i="55"/>
  <c r="F4840" i="55"/>
  <c r="E4840" i="55"/>
  <c r="H4839" i="55"/>
  <c r="F4839" i="55"/>
  <c r="E4839" i="55"/>
  <c r="H4838" i="55"/>
  <c r="F4838" i="55"/>
  <c r="E4838" i="55"/>
  <c r="H4837" i="55"/>
  <c r="F4837" i="55"/>
  <c r="E4837" i="55"/>
  <c r="H4836" i="55"/>
  <c r="F4836" i="55"/>
  <c r="E4836" i="55"/>
  <c r="H4835" i="55"/>
  <c r="F4835" i="55"/>
  <c r="E4835" i="55"/>
  <c r="H4834" i="55"/>
  <c r="F4834" i="55"/>
  <c r="E4834" i="55"/>
  <c r="H4833" i="55"/>
  <c r="F4833" i="55"/>
  <c r="E4833" i="55"/>
  <c r="H4832" i="55"/>
  <c r="F4832" i="55"/>
  <c r="E4832" i="55"/>
  <c r="H4831" i="55"/>
  <c r="F4831" i="55"/>
  <c r="E4831" i="55"/>
  <c r="H4830" i="55"/>
  <c r="F4830" i="55"/>
  <c r="E4830" i="55"/>
  <c r="H4829" i="55"/>
  <c r="F4829" i="55"/>
  <c r="E4829" i="55"/>
  <c r="H4828" i="55"/>
  <c r="F4828" i="55"/>
  <c r="E4828" i="55"/>
  <c r="H4827" i="55"/>
  <c r="F4827" i="55"/>
  <c r="E4827" i="55"/>
  <c r="H4826" i="55"/>
  <c r="F4826" i="55"/>
  <c r="E4826" i="55"/>
  <c r="H4825" i="55"/>
  <c r="F4825" i="55"/>
  <c r="E4825" i="55"/>
  <c r="H4824" i="55"/>
  <c r="F4824" i="55"/>
  <c r="E4824" i="55"/>
  <c r="H4823" i="55"/>
  <c r="F4823" i="55"/>
  <c r="E4823" i="55"/>
  <c r="H4822" i="55"/>
  <c r="F4822" i="55"/>
  <c r="E4822" i="55"/>
  <c r="H4821" i="55"/>
  <c r="F4821" i="55"/>
  <c r="E4821" i="55"/>
  <c r="H4820" i="55"/>
  <c r="F4820" i="55"/>
  <c r="E4820" i="55"/>
  <c r="H4819" i="55"/>
  <c r="F4819" i="55"/>
  <c r="E4819" i="55"/>
  <c r="H4818" i="55"/>
  <c r="F4818" i="55"/>
  <c r="E4818" i="55"/>
  <c r="H4817" i="55"/>
  <c r="F4817" i="55"/>
  <c r="E4817" i="55"/>
  <c r="H4816" i="55"/>
  <c r="F4816" i="55"/>
  <c r="E4816" i="55"/>
  <c r="H4815" i="55"/>
  <c r="F4815" i="55"/>
  <c r="E4815" i="55"/>
  <c r="H4814" i="55"/>
  <c r="F4814" i="55"/>
  <c r="E4814" i="55"/>
  <c r="H4813" i="55"/>
  <c r="F4813" i="55"/>
  <c r="E4813" i="55"/>
  <c r="H4812" i="55"/>
  <c r="F4812" i="55"/>
  <c r="E4812" i="55"/>
  <c r="H4811" i="55"/>
  <c r="F4811" i="55"/>
  <c r="E4811" i="55"/>
  <c r="H4810" i="55"/>
  <c r="F4810" i="55"/>
  <c r="E4810" i="55"/>
  <c r="H4809" i="55"/>
  <c r="F4809" i="55"/>
  <c r="E4809" i="55"/>
  <c r="H4808" i="55"/>
  <c r="F4808" i="55"/>
  <c r="E4808" i="55"/>
  <c r="H4807" i="55"/>
  <c r="F4807" i="55"/>
  <c r="E4807" i="55"/>
  <c r="H4806" i="55"/>
  <c r="F4806" i="55"/>
  <c r="E4806" i="55"/>
  <c r="H4805" i="55"/>
  <c r="F4805" i="55"/>
  <c r="E4805" i="55"/>
  <c r="H4804" i="55"/>
  <c r="F4804" i="55"/>
  <c r="E4804" i="55"/>
  <c r="H4803" i="55"/>
  <c r="F4803" i="55"/>
  <c r="E4803" i="55"/>
  <c r="H4802" i="55"/>
  <c r="F4802" i="55"/>
  <c r="E4802" i="55"/>
  <c r="H4801" i="55"/>
  <c r="F4801" i="55"/>
  <c r="E4801" i="55"/>
  <c r="H4800" i="55"/>
  <c r="F4800" i="55"/>
  <c r="E4800" i="55"/>
  <c r="H4799" i="55"/>
  <c r="F4799" i="55"/>
  <c r="E4799" i="55"/>
  <c r="H4798" i="55"/>
  <c r="F4798" i="55"/>
  <c r="E4798" i="55"/>
  <c r="H4797" i="55"/>
  <c r="F4797" i="55"/>
  <c r="E4797" i="55"/>
  <c r="H4796" i="55"/>
  <c r="F4796" i="55"/>
  <c r="E4796" i="55"/>
  <c r="H4795" i="55"/>
  <c r="F4795" i="55"/>
  <c r="E4795" i="55"/>
  <c r="H4794" i="55"/>
  <c r="F4794" i="55"/>
  <c r="E4794" i="55"/>
  <c r="H4793" i="55"/>
  <c r="F4793" i="55"/>
  <c r="E4793" i="55"/>
  <c r="H4792" i="55"/>
  <c r="F4792" i="55"/>
  <c r="E4792" i="55"/>
  <c r="H4791" i="55"/>
  <c r="F4791" i="55"/>
  <c r="E4791" i="55"/>
  <c r="H4790" i="55"/>
  <c r="F4790" i="55"/>
  <c r="E4790" i="55"/>
  <c r="H4789" i="55"/>
  <c r="F4789" i="55"/>
  <c r="E4789" i="55"/>
  <c r="H4788" i="55"/>
  <c r="F4788" i="55"/>
  <c r="E4788" i="55"/>
  <c r="H4786" i="55"/>
  <c r="F4786" i="55"/>
  <c r="E4786" i="55"/>
  <c r="H4785" i="55"/>
  <c r="F4785" i="55"/>
  <c r="E4785" i="55"/>
  <c r="H4784" i="55"/>
  <c r="F4784" i="55"/>
  <c r="E4784" i="55"/>
  <c r="H4783" i="55"/>
  <c r="F4783" i="55"/>
  <c r="E4783" i="55"/>
  <c r="H4782" i="55"/>
  <c r="F4782" i="55"/>
  <c r="E4782" i="55"/>
  <c r="H4781" i="55"/>
  <c r="F4781" i="55"/>
  <c r="E4781" i="55"/>
  <c r="H4780" i="55"/>
  <c r="F4780" i="55"/>
  <c r="E4780" i="55"/>
  <c r="H4779" i="55"/>
  <c r="F4779" i="55"/>
  <c r="E4779" i="55"/>
  <c r="H4778" i="55"/>
  <c r="F4778" i="55"/>
  <c r="E4778" i="55"/>
  <c r="H4777" i="55"/>
  <c r="F4777" i="55"/>
  <c r="E4777" i="55"/>
  <c r="H4776" i="55"/>
  <c r="F4776" i="55"/>
  <c r="E4776" i="55"/>
  <c r="H4775" i="55"/>
  <c r="F4775" i="55"/>
  <c r="E4775" i="55"/>
  <c r="H4774" i="55"/>
  <c r="F4774" i="55"/>
  <c r="E4774" i="55"/>
  <c r="H4773" i="55"/>
  <c r="F4773" i="55"/>
  <c r="E4773" i="55"/>
  <c r="H4772" i="55"/>
  <c r="F4772" i="55"/>
  <c r="E4772" i="55"/>
  <c r="H4771" i="55"/>
  <c r="F4771" i="55"/>
  <c r="E4771" i="55"/>
  <c r="H4770" i="55"/>
  <c r="F4770" i="55"/>
  <c r="E4770" i="55"/>
  <c r="H4769" i="55"/>
  <c r="F4769" i="55"/>
  <c r="E4769" i="55"/>
  <c r="H4768" i="55"/>
  <c r="F4768" i="55"/>
  <c r="E4768" i="55"/>
  <c r="H4767" i="55"/>
  <c r="F4767" i="55"/>
  <c r="E4767" i="55"/>
  <c r="H4766" i="55"/>
  <c r="F4766" i="55"/>
  <c r="E4766" i="55"/>
  <c r="H4765" i="55"/>
  <c r="F4765" i="55"/>
  <c r="E4765" i="55"/>
  <c r="H4764" i="55"/>
  <c r="F4764" i="55"/>
  <c r="E4764" i="55"/>
  <c r="H4763" i="55"/>
  <c r="F4763" i="55"/>
  <c r="E4763" i="55"/>
  <c r="H4762" i="55"/>
  <c r="F4762" i="55"/>
  <c r="E4762" i="55"/>
  <c r="H4761" i="55"/>
  <c r="F4761" i="55"/>
  <c r="E4761" i="55"/>
  <c r="H4760" i="55"/>
  <c r="F4760" i="55"/>
  <c r="E4760" i="55"/>
  <c r="H4759" i="55"/>
  <c r="F4759" i="55"/>
  <c r="E4759" i="55"/>
  <c r="H4758" i="55"/>
  <c r="F4758" i="55"/>
  <c r="E4758" i="55"/>
  <c r="H4757" i="55"/>
  <c r="F4757" i="55"/>
  <c r="E4757" i="55"/>
  <c r="H4756" i="55"/>
  <c r="F4756" i="55"/>
  <c r="E4756" i="55"/>
  <c r="H4755" i="55"/>
  <c r="F4755" i="55"/>
  <c r="E4755" i="55"/>
  <c r="H4754" i="55"/>
  <c r="F4754" i="55"/>
  <c r="E4754" i="55"/>
  <c r="H4753" i="55"/>
  <c r="F4753" i="55"/>
  <c r="E4753" i="55"/>
  <c r="H4752" i="55"/>
  <c r="F4752" i="55"/>
  <c r="E4752" i="55"/>
  <c r="H4751" i="55"/>
  <c r="F4751" i="55"/>
  <c r="E4751" i="55"/>
  <c r="H4750" i="55"/>
  <c r="F4750" i="55"/>
  <c r="E4750" i="55"/>
  <c r="H4749" i="55"/>
  <c r="F4749" i="55"/>
  <c r="E4749" i="55"/>
  <c r="H4748" i="55"/>
  <c r="F4748" i="55"/>
  <c r="E4748" i="55"/>
  <c r="H4747" i="55"/>
  <c r="F4747" i="55"/>
  <c r="E4747" i="55"/>
  <c r="H4746" i="55"/>
  <c r="F4746" i="55"/>
  <c r="E4746" i="55"/>
  <c r="H4745" i="55"/>
  <c r="F4745" i="55"/>
  <c r="E4745" i="55"/>
  <c r="H4744" i="55"/>
  <c r="F4744" i="55"/>
  <c r="E4744" i="55"/>
  <c r="H4743" i="55"/>
  <c r="F4743" i="55"/>
  <c r="E4743" i="55"/>
  <c r="H4742" i="55"/>
  <c r="F4742" i="55"/>
  <c r="E4742" i="55"/>
  <c r="H4741" i="55"/>
  <c r="F4741" i="55"/>
  <c r="E4741" i="55"/>
  <c r="H4740" i="55"/>
  <c r="F4740" i="55"/>
  <c r="E4740" i="55"/>
  <c r="H4739" i="55"/>
  <c r="F4739" i="55"/>
  <c r="E4739" i="55"/>
  <c r="H4738" i="55"/>
  <c r="F4738" i="55"/>
  <c r="E4738" i="55"/>
  <c r="H4737" i="55"/>
  <c r="F4737" i="55"/>
  <c r="E4737" i="55"/>
  <c r="H4736" i="55"/>
  <c r="F4736" i="55"/>
  <c r="E4736" i="55"/>
  <c r="H4735" i="55"/>
  <c r="F4735" i="55"/>
  <c r="E4735" i="55"/>
  <c r="H4734" i="55"/>
  <c r="F4734" i="55"/>
  <c r="E4734" i="55"/>
  <c r="H4733" i="55"/>
  <c r="F4733" i="55"/>
  <c r="E4733" i="55"/>
  <c r="H4732" i="55"/>
  <c r="F4732" i="55"/>
  <c r="E4732" i="55"/>
  <c r="H4731" i="55"/>
  <c r="F4731" i="55"/>
  <c r="E4731" i="55"/>
  <c r="H4730" i="55"/>
  <c r="F4730" i="55"/>
  <c r="E4730" i="55"/>
  <c r="H4729" i="55"/>
  <c r="F4729" i="55"/>
  <c r="E4729" i="55"/>
  <c r="H4728" i="55"/>
  <c r="F4728" i="55"/>
  <c r="E4728" i="55"/>
  <c r="H4727" i="55"/>
  <c r="F4727" i="55"/>
  <c r="E4727" i="55"/>
  <c r="H4725" i="55"/>
  <c r="F4725" i="55"/>
  <c r="E4725" i="55"/>
  <c r="H4724" i="55"/>
  <c r="F4724" i="55"/>
  <c r="E4724" i="55"/>
  <c r="H4723" i="55"/>
  <c r="F4723" i="55"/>
  <c r="E4723" i="55"/>
  <c r="H4722" i="55"/>
  <c r="F4722" i="55"/>
  <c r="E4722" i="55"/>
  <c r="H4721" i="55"/>
  <c r="F4721" i="55"/>
  <c r="E4721" i="55"/>
  <c r="H4720" i="55"/>
  <c r="F4720" i="55"/>
  <c r="E4720" i="55"/>
  <c r="H4719" i="55"/>
  <c r="F4719" i="55"/>
  <c r="E4719" i="55"/>
  <c r="H4718" i="55"/>
  <c r="F4718" i="55"/>
  <c r="E4718" i="55"/>
  <c r="H4717" i="55"/>
  <c r="F4717" i="55"/>
  <c r="E4717" i="55"/>
  <c r="H4716" i="55"/>
  <c r="F4716" i="55"/>
  <c r="E4716" i="55"/>
  <c r="H4715" i="55"/>
  <c r="F4715" i="55"/>
  <c r="E4715" i="55"/>
  <c r="H4714" i="55"/>
  <c r="F4714" i="55"/>
  <c r="E4714" i="55"/>
  <c r="H4713" i="55"/>
  <c r="F4713" i="55"/>
  <c r="E4713" i="55"/>
  <c r="H4712" i="55"/>
  <c r="F4712" i="55"/>
  <c r="E4712" i="55"/>
  <c r="H4711" i="55"/>
  <c r="F4711" i="55"/>
  <c r="E4711" i="55"/>
  <c r="H4710" i="55"/>
  <c r="F4710" i="55"/>
  <c r="E4710" i="55"/>
  <c r="H4709" i="55"/>
  <c r="F4709" i="55"/>
  <c r="E4709" i="55"/>
  <c r="H4708" i="55"/>
  <c r="F4708" i="55"/>
  <c r="E4708" i="55"/>
  <c r="H4707" i="55"/>
  <c r="F4707" i="55"/>
  <c r="E4707" i="55"/>
  <c r="H4706" i="55"/>
  <c r="F4706" i="55"/>
  <c r="E4706" i="55"/>
  <c r="H4705" i="55"/>
  <c r="F4705" i="55"/>
  <c r="E4705" i="55"/>
  <c r="H4704" i="55"/>
  <c r="F4704" i="55"/>
  <c r="E4704" i="55"/>
  <c r="H4703" i="55"/>
  <c r="F4703" i="55"/>
  <c r="E4703" i="55"/>
  <c r="H4702" i="55"/>
  <c r="F4702" i="55"/>
  <c r="E4702" i="55"/>
  <c r="H4701" i="55"/>
  <c r="F4701" i="55"/>
  <c r="E4701" i="55"/>
  <c r="H4700" i="55"/>
  <c r="F4700" i="55"/>
  <c r="E4700" i="55"/>
  <c r="H4699" i="55"/>
  <c r="F4699" i="55"/>
  <c r="E4699" i="55"/>
  <c r="H4698" i="55"/>
  <c r="F4698" i="55"/>
  <c r="E4698" i="55"/>
  <c r="H4697" i="55"/>
  <c r="F4697" i="55"/>
  <c r="E4697" i="55"/>
  <c r="H4696" i="55"/>
  <c r="F4696" i="55"/>
  <c r="E4696" i="55"/>
  <c r="H4695" i="55"/>
  <c r="F4695" i="55"/>
  <c r="E4695" i="55"/>
  <c r="H4694" i="55"/>
  <c r="F4694" i="55"/>
  <c r="E4694" i="55"/>
  <c r="H4693" i="55"/>
  <c r="F4693" i="55"/>
  <c r="E4693" i="55"/>
  <c r="H4692" i="55"/>
  <c r="F4692" i="55"/>
  <c r="E4692" i="55"/>
  <c r="H4691" i="55"/>
  <c r="F4691" i="55"/>
  <c r="E4691" i="55"/>
  <c r="H4690" i="55"/>
  <c r="F4690" i="55"/>
  <c r="E4690" i="55"/>
  <c r="H4689" i="55"/>
  <c r="F4689" i="55"/>
  <c r="E4689" i="55"/>
  <c r="H4688" i="55"/>
  <c r="F4688" i="55"/>
  <c r="E4688" i="55"/>
  <c r="H4687" i="55"/>
  <c r="F4687" i="55"/>
  <c r="E4687" i="55"/>
  <c r="H4686" i="55"/>
  <c r="F4686" i="55"/>
  <c r="E4686" i="55"/>
  <c r="H4685" i="55"/>
  <c r="F4685" i="55"/>
  <c r="E4685" i="55"/>
  <c r="H4684" i="55"/>
  <c r="F4684" i="55"/>
  <c r="E4684" i="55"/>
  <c r="H4683" i="55"/>
  <c r="F4683" i="55"/>
  <c r="E4683" i="55"/>
  <c r="H4682" i="55"/>
  <c r="F4682" i="55"/>
  <c r="E4682" i="55"/>
  <c r="H4681" i="55"/>
  <c r="F4681" i="55"/>
  <c r="E4681" i="55"/>
  <c r="H4680" i="55"/>
  <c r="F4680" i="55"/>
  <c r="E4680" i="55"/>
  <c r="H4679" i="55"/>
  <c r="F4679" i="55"/>
  <c r="E4679" i="55"/>
  <c r="H4678" i="55"/>
  <c r="F4678" i="55"/>
  <c r="E4678" i="55"/>
  <c r="H4677" i="55"/>
  <c r="F4677" i="55"/>
  <c r="E4677" i="55"/>
  <c r="H4676" i="55"/>
  <c r="F4676" i="55"/>
  <c r="E4676" i="55"/>
  <c r="H4675" i="55"/>
  <c r="F4675" i="55"/>
  <c r="E4675" i="55"/>
  <c r="H4674" i="55"/>
  <c r="F4674" i="55"/>
  <c r="E4674" i="55"/>
  <c r="H4673" i="55"/>
  <c r="F4673" i="55"/>
  <c r="E4673" i="55"/>
  <c r="H4672" i="55"/>
  <c r="F4672" i="55"/>
  <c r="E4672" i="55"/>
  <c r="H4671" i="55"/>
  <c r="F4671" i="55"/>
  <c r="E4671" i="55"/>
  <c r="H4670" i="55"/>
  <c r="F4670" i="55"/>
  <c r="E4670" i="55"/>
  <c r="H4669" i="55"/>
  <c r="F4669" i="55"/>
  <c r="E4669" i="55"/>
  <c r="H4668" i="55"/>
  <c r="F4668" i="55"/>
  <c r="E4668" i="55"/>
  <c r="H4667" i="55"/>
  <c r="F4667" i="55"/>
  <c r="E4667" i="55"/>
  <c r="H4666" i="55"/>
  <c r="F4666" i="55"/>
  <c r="E4666" i="55"/>
  <c r="H4664" i="55"/>
  <c r="F4664" i="55"/>
  <c r="E4664" i="55"/>
  <c r="H4663" i="55"/>
  <c r="F4663" i="55"/>
  <c r="E4663" i="55"/>
  <c r="H4662" i="55"/>
  <c r="F4662" i="55"/>
  <c r="E4662" i="55"/>
  <c r="H4661" i="55"/>
  <c r="F4661" i="55"/>
  <c r="E4661" i="55"/>
  <c r="H4660" i="55"/>
  <c r="F4660" i="55"/>
  <c r="E4660" i="55"/>
  <c r="H4659" i="55"/>
  <c r="F4659" i="55"/>
  <c r="E4659" i="55"/>
  <c r="H4658" i="55"/>
  <c r="F4658" i="55"/>
  <c r="E4658" i="55"/>
  <c r="H4657" i="55"/>
  <c r="F4657" i="55"/>
  <c r="E4657" i="55"/>
  <c r="H4656" i="55"/>
  <c r="F4656" i="55"/>
  <c r="E4656" i="55"/>
  <c r="H4655" i="55"/>
  <c r="F4655" i="55"/>
  <c r="E4655" i="55"/>
  <c r="H4654" i="55"/>
  <c r="F4654" i="55"/>
  <c r="E4654" i="55"/>
  <c r="H4653" i="55"/>
  <c r="F4653" i="55"/>
  <c r="E4653" i="55"/>
  <c r="H4652" i="55"/>
  <c r="F4652" i="55"/>
  <c r="E4652" i="55"/>
  <c r="H4651" i="55"/>
  <c r="F4651" i="55"/>
  <c r="E4651" i="55"/>
  <c r="H4650" i="55"/>
  <c r="F4650" i="55"/>
  <c r="E4650" i="55"/>
  <c r="H4649" i="55"/>
  <c r="F4649" i="55"/>
  <c r="E4649" i="55"/>
  <c r="H4648" i="55"/>
  <c r="F4648" i="55"/>
  <c r="E4648" i="55"/>
  <c r="H4647" i="55"/>
  <c r="F4647" i="55"/>
  <c r="E4647" i="55"/>
  <c r="H4646" i="55"/>
  <c r="F4646" i="55"/>
  <c r="E4646" i="55"/>
  <c r="H4645" i="55"/>
  <c r="F4645" i="55"/>
  <c r="E4645" i="55"/>
  <c r="H4644" i="55"/>
  <c r="F4644" i="55"/>
  <c r="E4644" i="55"/>
  <c r="H4643" i="55"/>
  <c r="F4643" i="55"/>
  <c r="E4643" i="55"/>
  <c r="H4642" i="55"/>
  <c r="F4642" i="55"/>
  <c r="E4642" i="55"/>
  <c r="H4641" i="55"/>
  <c r="F4641" i="55"/>
  <c r="E4641" i="55"/>
  <c r="H4640" i="55"/>
  <c r="F4640" i="55"/>
  <c r="E4640" i="55"/>
  <c r="H4639" i="55"/>
  <c r="F4639" i="55"/>
  <c r="E4639" i="55"/>
  <c r="H4638" i="55"/>
  <c r="F4638" i="55"/>
  <c r="E4638" i="55"/>
  <c r="H4637" i="55"/>
  <c r="F4637" i="55"/>
  <c r="E4637" i="55"/>
  <c r="H4636" i="55"/>
  <c r="F4636" i="55"/>
  <c r="E4636" i="55"/>
  <c r="H4635" i="55"/>
  <c r="F4635" i="55"/>
  <c r="E4635" i="55"/>
  <c r="H4634" i="55"/>
  <c r="F4634" i="55"/>
  <c r="E4634" i="55"/>
  <c r="H4633" i="55"/>
  <c r="F4633" i="55"/>
  <c r="E4633" i="55"/>
  <c r="H4632" i="55"/>
  <c r="F4632" i="55"/>
  <c r="E4632" i="55"/>
  <c r="H4631" i="55"/>
  <c r="F4631" i="55"/>
  <c r="E4631" i="55"/>
  <c r="H4630" i="55"/>
  <c r="F4630" i="55"/>
  <c r="E4630" i="55"/>
  <c r="H4629" i="55"/>
  <c r="F4629" i="55"/>
  <c r="E4629" i="55"/>
  <c r="H4628" i="55"/>
  <c r="F4628" i="55"/>
  <c r="E4628" i="55"/>
  <c r="H4627" i="55"/>
  <c r="F4627" i="55"/>
  <c r="E4627" i="55"/>
  <c r="H4626" i="55"/>
  <c r="F4626" i="55"/>
  <c r="E4626" i="55"/>
  <c r="H4625" i="55"/>
  <c r="F4625" i="55"/>
  <c r="E4625" i="55"/>
  <c r="H4624" i="55"/>
  <c r="F4624" i="55"/>
  <c r="E4624" i="55"/>
  <c r="H4623" i="55"/>
  <c r="F4623" i="55"/>
  <c r="E4623" i="55"/>
  <c r="H4622" i="55"/>
  <c r="F4622" i="55"/>
  <c r="E4622" i="55"/>
  <c r="H4621" i="55"/>
  <c r="F4621" i="55"/>
  <c r="E4621" i="55"/>
  <c r="H4620" i="55"/>
  <c r="F4620" i="55"/>
  <c r="E4620" i="55"/>
  <c r="H4619" i="55"/>
  <c r="F4619" i="55"/>
  <c r="E4619" i="55"/>
  <c r="H4618" i="55"/>
  <c r="F4618" i="55"/>
  <c r="E4618" i="55"/>
  <c r="H4617" i="55"/>
  <c r="F4617" i="55"/>
  <c r="E4617" i="55"/>
  <c r="H4616" i="55"/>
  <c r="F4616" i="55"/>
  <c r="E4616" i="55"/>
  <c r="H4615" i="55"/>
  <c r="F4615" i="55"/>
  <c r="E4615" i="55"/>
  <c r="H4614" i="55"/>
  <c r="F4614" i="55"/>
  <c r="E4614" i="55"/>
  <c r="H4613" i="55"/>
  <c r="F4613" i="55"/>
  <c r="E4613" i="55"/>
  <c r="H4612" i="55"/>
  <c r="F4612" i="55"/>
  <c r="E4612" i="55"/>
  <c r="H4611" i="55"/>
  <c r="F4611" i="55"/>
  <c r="E4611" i="55"/>
  <c r="H4610" i="55"/>
  <c r="F4610" i="55"/>
  <c r="E4610" i="55"/>
  <c r="H4609" i="55"/>
  <c r="F4609" i="55"/>
  <c r="E4609" i="55"/>
  <c r="H4608" i="55"/>
  <c r="F4608" i="55"/>
  <c r="E4608" i="55"/>
  <c r="H4607" i="55"/>
  <c r="F4607" i="55"/>
  <c r="E4607" i="55"/>
  <c r="H4606" i="55"/>
  <c r="F4606" i="55"/>
  <c r="E4606" i="55"/>
  <c r="H4605" i="55"/>
  <c r="F4605" i="55"/>
  <c r="E4605" i="55"/>
  <c r="H4603" i="55"/>
  <c r="F4603" i="55"/>
  <c r="E4603" i="55"/>
  <c r="H4602" i="55"/>
  <c r="F4602" i="55"/>
  <c r="E4602" i="55"/>
  <c r="H4601" i="55"/>
  <c r="F4601" i="55"/>
  <c r="E4601" i="55"/>
  <c r="H4600" i="55"/>
  <c r="F4600" i="55"/>
  <c r="E4600" i="55"/>
  <c r="H4599" i="55"/>
  <c r="F4599" i="55"/>
  <c r="E4599" i="55"/>
  <c r="H4598" i="55"/>
  <c r="F4598" i="55"/>
  <c r="E4598" i="55"/>
  <c r="H4597" i="55"/>
  <c r="F4597" i="55"/>
  <c r="E4597" i="55"/>
  <c r="H4596" i="55"/>
  <c r="F4596" i="55"/>
  <c r="E4596" i="55"/>
  <c r="H4595" i="55"/>
  <c r="F4595" i="55"/>
  <c r="E4595" i="55"/>
  <c r="H4594" i="55"/>
  <c r="F4594" i="55"/>
  <c r="E4594" i="55"/>
  <c r="H4593" i="55"/>
  <c r="F4593" i="55"/>
  <c r="E4593" i="55"/>
  <c r="H4592" i="55"/>
  <c r="F4592" i="55"/>
  <c r="E4592" i="55"/>
  <c r="H4591" i="55"/>
  <c r="F4591" i="55"/>
  <c r="E4591" i="55"/>
  <c r="H4590" i="55"/>
  <c r="F4590" i="55"/>
  <c r="E4590" i="55"/>
  <c r="H4589" i="55"/>
  <c r="F4589" i="55"/>
  <c r="E4589" i="55"/>
  <c r="H4588" i="55"/>
  <c r="F4588" i="55"/>
  <c r="E4588" i="55"/>
  <c r="H4587" i="55"/>
  <c r="F4587" i="55"/>
  <c r="E4587" i="55"/>
  <c r="H4586" i="55"/>
  <c r="F4586" i="55"/>
  <c r="E4586" i="55"/>
  <c r="H4585" i="55"/>
  <c r="F4585" i="55"/>
  <c r="E4585" i="55"/>
  <c r="H4584" i="55"/>
  <c r="F4584" i="55"/>
  <c r="E4584" i="55"/>
  <c r="H4583" i="55"/>
  <c r="F4583" i="55"/>
  <c r="E4583" i="55"/>
  <c r="H4582" i="55"/>
  <c r="F4582" i="55"/>
  <c r="E4582" i="55"/>
  <c r="H4581" i="55"/>
  <c r="F4581" i="55"/>
  <c r="E4581" i="55"/>
  <c r="H4580" i="55"/>
  <c r="F4580" i="55"/>
  <c r="E4580" i="55"/>
  <c r="H4579" i="55"/>
  <c r="F4579" i="55"/>
  <c r="E4579" i="55"/>
  <c r="H4578" i="55"/>
  <c r="F4578" i="55"/>
  <c r="E4578" i="55"/>
  <c r="H4577" i="55"/>
  <c r="F4577" i="55"/>
  <c r="E4577" i="55"/>
  <c r="H4576" i="55"/>
  <c r="F4576" i="55"/>
  <c r="E4576" i="55"/>
  <c r="H4575" i="55"/>
  <c r="F4575" i="55"/>
  <c r="E4575" i="55"/>
  <c r="H4574" i="55"/>
  <c r="F4574" i="55"/>
  <c r="E4574" i="55"/>
  <c r="H4573" i="55"/>
  <c r="F4573" i="55"/>
  <c r="E4573" i="55"/>
  <c r="H4572" i="55"/>
  <c r="F4572" i="55"/>
  <c r="E4572" i="55"/>
  <c r="H4571" i="55"/>
  <c r="F4571" i="55"/>
  <c r="E4571" i="55"/>
  <c r="H4570" i="55"/>
  <c r="F4570" i="55"/>
  <c r="E4570" i="55"/>
  <c r="H4569" i="55"/>
  <c r="F4569" i="55"/>
  <c r="E4569" i="55"/>
  <c r="H4568" i="55"/>
  <c r="F4568" i="55"/>
  <c r="E4568" i="55"/>
  <c r="H4567" i="55"/>
  <c r="F4567" i="55"/>
  <c r="E4567" i="55"/>
  <c r="H4566" i="55"/>
  <c r="F4566" i="55"/>
  <c r="E4566" i="55"/>
  <c r="H4565" i="55"/>
  <c r="F4565" i="55"/>
  <c r="E4565" i="55"/>
  <c r="H4564" i="55"/>
  <c r="F4564" i="55"/>
  <c r="E4564" i="55"/>
  <c r="H4563" i="55"/>
  <c r="F4563" i="55"/>
  <c r="E4563" i="55"/>
  <c r="H4562" i="55"/>
  <c r="F4562" i="55"/>
  <c r="E4562" i="55"/>
  <c r="H4561" i="55"/>
  <c r="F4561" i="55"/>
  <c r="E4561" i="55"/>
  <c r="H4560" i="55"/>
  <c r="F4560" i="55"/>
  <c r="E4560" i="55"/>
  <c r="H4559" i="55"/>
  <c r="F4559" i="55"/>
  <c r="E4559" i="55"/>
  <c r="H4558" i="55"/>
  <c r="F4558" i="55"/>
  <c r="E4558" i="55"/>
  <c r="H4557" i="55"/>
  <c r="F4557" i="55"/>
  <c r="E4557" i="55"/>
  <c r="H4556" i="55"/>
  <c r="F4556" i="55"/>
  <c r="E4556" i="55"/>
  <c r="H4555" i="55"/>
  <c r="F4555" i="55"/>
  <c r="E4555" i="55"/>
  <c r="H4554" i="55"/>
  <c r="F4554" i="55"/>
  <c r="E4554" i="55"/>
  <c r="H4553" i="55"/>
  <c r="F4553" i="55"/>
  <c r="E4553" i="55"/>
  <c r="H4552" i="55"/>
  <c r="F4552" i="55"/>
  <c r="E4552" i="55"/>
  <c r="H4551" i="55"/>
  <c r="F4551" i="55"/>
  <c r="E4551" i="55"/>
  <c r="H4550" i="55"/>
  <c r="F4550" i="55"/>
  <c r="E4550" i="55"/>
  <c r="H4549" i="55"/>
  <c r="F4549" i="55"/>
  <c r="E4549" i="55"/>
  <c r="H4548" i="55"/>
  <c r="F4548" i="55"/>
  <c r="E4548" i="55"/>
  <c r="H4547" i="55"/>
  <c r="F4547" i="55"/>
  <c r="E4547" i="55"/>
  <c r="H4546" i="55"/>
  <c r="F4546" i="55"/>
  <c r="E4546" i="55"/>
  <c r="H4545" i="55"/>
  <c r="F4545" i="55"/>
  <c r="E4545" i="55"/>
  <c r="H4544" i="55"/>
  <c r="F4544" i="55"/>
  <c r="E4544" i="55"/>
  <c r="H4542" i="55"/>
  <c r="F4542" i="55"/>
  <c r="E4542" i="55"/>
  <c r="H4541" i="55"/>
  <c r="F4541" i="55"/>
  <c r="E4541" i="55"/>
  <c r="H4540" i="55"/>
  <c r="F4540" i="55"/>
  <c r="E4540" i="55"/>
  <c r="H4539" i="55"/>
  <c r="F4539" i="55"/>
  <c r="E4539" i="55"/>
  <c r="H4538" i="55"/>
  <c r="F4538" i="55"/>
  <c r="E4538" i="55"/>
  <c r="H4537" i="55"/>
  <c r="F4537" i="55"/>
  <c r="E4537" i="55"/>
  <c r="H4536" i="55"/>
  <c r="F4536" i="55"/>
  <c r="E4536" i="55"/>
  <c r="H4535" i="55"/>
  <c r="F4535" i="55"/>
  <c r="E4535" i="55"/>
  <c r="H4534" i="55"/>
  <c r="F4534" i="55"/>
  <c r="E4534" i="55"/>
  <c r="H4533" i="55"/>
  <c r="F4533" i="55"/>
  <c r="E4533" i="55"/>
  <c r="H4532" i="55"/>
  <c r="F4532" i="55"/>
  <c r="E4532" i="55"/>
  <c r="H4531" i="55"/>
  <c r="F4531" i="55"/>
  <c r="E4531" i="55"/>
  <c r="H4530" i="55"/>
  <c r="F4530" i="55"/>
  <c r="E4530" i="55"/>
  <c r="H4529" i="55"/>
  <c r="F4529" i="55"/>
  <c r="E4529" i="55"/>
  <c r="H4528" i="55"/>
  <c r="F4528" i="55"/>
  <c r="E4528" i="55"/>
  <c r="H4527" i="55"/>
  <c r="F4527" i="55"/>
  <c r="E4527" i="55"/>
  <c r="H4526" i="55"/>
  <c r="F4526" i="55"/>
  <c r="E4526" i="55"/>
  <c r="H4525" i="55"/>
  <c r="F4525" i="55"/>
  <c r="E4525" i="55"/>
  <c r="H4524" i="55"/>
  <c r="F4524" i="55"/>
  <c r="E4524" i="55"/>
  <c r="H4523" i="55"/>
  <c r="F4523" i="55"/>
  <c r="E4523" i="55"/>
  <c r="H4522" i="55"/>
  <c r="F4522" i="55"/>
  <c r="E4522" i="55"/>
  <c r="H4521" i="55"/>
  <c r="F4521" i="55"/>
  <c r="E4521" i="55"/>
  <c r="H4520" i="55"/>
  <c r="F4520" i="55"/>
  <c r="E4520" i="55"/>
  <c r="H4519" i="55"/>
  <c r="F4519" i="55"/>
  <c r="E4519" i="55"/>
  <c r="H4518" i="55"/>
  <c r="F4518" i="55"/>
  <c r="E4518" i="55"/>
  <c r="H4517" i="55"/>
  <c r="F4517" i="55"/>
  <c r="E4517" i="55"/>
  <c r="H4516" i="55"/>
  <c r="F4516" i="55"/>
  <c r="E4516" i="55"/>
  <c r="H4515" i="55"/>
  <c r="F4515" i="55"/>
  <c r="E4515" i="55"/>
  <c r="H4514" i="55"/>
  <c r="F4514" i="55"/>
  <c r="E4514" i="55"/>
  <c r="H4513" i="55"/>
  <c r="F4513" i="55"/>
  <c r="E4513" i="55"/>
  <c r="H4512" i="55"/>
  <c r="F4512" i="55"/>
  <c r="E4512" i="55"/>
  <c r="H4511" i="55"/>
  <c r="F4511" i="55"/>
  <c r="E4511" i="55"/>
  <c r="H4510" i="55"/>
  <c r="F4510" i="55"/>
  <c r="E4510" i="55"/>
  <c r="H4509" i="55"/>
  <c r="F4509" i="55"/>
  <c r="E4509" i="55"/>
  <c r="H4508" i="55"/>
  <c r="F4508" i="55"/>
  <c r="E4508" i="55"/>
  <c r="H4507" i="55"/>
  <c r="F4507" i="55"/>
  <c r="E4507" i="55"/>
  <c r="H4506" i="55"/>
  <c r="F4506" i="55"/>
  <c r="E4506" i="55"/>
  <c r="H4505" i="55"/>
  <c r="F4505" i="55"/>
  <c r="E4505" i="55"/>
  <c r="H4504" i="55"/>
  <c r="F4504" i="55"/>
  <c r="E4504" i="55"/>
  <c r="H4503" i="55"/>
  <c r="F4503" i="55"/>
  <c r="E4503" i="55"/>
  <c r="H4502" i="55"/>
  <c r="F4502" i="55"/>
  <c r="E4502" i="55"/>
  <c r="H4501" i="55"/>
  <c r="F4501" i="55"/>
  <c r="E4501" i="55"/>
  <c r="H4500" i="55"/>
  <c r="F4500" i="55"/>
  <c r="E4500" i="55"/>
  <c r="H4499" i="55"/>
  <c r="F4499" i="55"/>
  <c r="E4499" i="55"/>
  <c r="H4498" i="55"/>
  <c r="F4498" i="55"/>
  <c r="E4498" i="55"/>
  <c r="H4497" i="55"/>
  <c r="F4497" i="55"/>
  <c r="E4497" i="55"/>
  <c r="H4496" i="55"/>
  <c r="F4496" i="55"/>
  <c r="E4496" i="55"/>
  <c r="H4495" i="55"/>
  <c r="F4495" i="55"/>
  <c r="E4495" i="55"/>
  <c r="H4494" i="55"/>
  <c r="F4494" i="55"/>
  <c r="E4494" i="55"/>
  <c r="H4493" i="55"/>
  <c r="F4493" i="55"/>
  <c r="E4493" i="55"/>
  <c r="H4492" i="55"/>
  <c r="F4492" i="55"/>
  <c r="E4492" i="55"/>
  <c r="H4491" i="55"/>
  <c r="F4491" i="55"/>
  <c r="E4491" i="55"/>
  <c r="H4490" i="55"/>
  <c r="F4490" i="55"/>
  <c r="E4490" i="55"/>
  <c r="H4489" i="55"/>
  <c r="F4489" i="55"/>
  <c r="E4489" i="55"/>
  <c r="H4488" i="55"/>
  <c r="F4488" i="55"/>
  <c r="E4488" i="55"/>
  <c r="H4487" i="55"/>
  <c r="F4487" i="55"/>
  <c r="E4487" i="55"/>
  <c r="H4486" i="55"/>
  <c r="F4486" i="55"/>
  <c r="E4486" i="55"/>
  <c r="H4485" i="55"/>
  <c r="F4485" i="55"/>
  <c r="E4485" i="55"/>
  <c r="H4484" i="55"/>
  <c r="F4484" i="55"/>
  <c r="E4484" i="55"/>
  <c r="H4483" i="55"/>
  <c r="F4483" i="55"/>
  <c r="E4483" i="55"/>
  <c r="H4481" i="55"/>
  <c r="F4481" i="55"/>
  <c r="E4481" i="55"/>
  <c r="H4480" i="55"/>
  <c r="F4480" i="55"/>
  <c r="E4480" i="55"/>
  <c r="H4479" i="55"/>
  <c r="F4479" i="55"/>
  <c r="E4479" i="55"/>
  <c r="H4478" i="55"/>
  <c r="F4478" i="55"/>
  <c r="E4478" i="55"/>
  <c r="H4477" i="55"/>
  <c r="F4477" i="55"/>
  <c r="E4477" i="55"/>
  <c r="H4476" i="55"/>
  <c r="F4476" i="55"/>
  <c r="E4476" i="55"/>
  <c r="H4475" i="55"/>
  <c r="F4475" i="55"/>
  <c r="E4475" i="55"/>
  <c r="H4474" i="55"/>
  <c r="F4474" i="55"/>
  <c r="E4474" i="55"/>
  <c r="H4473" i="55"/>
  <c r="F4473" i="55"/>
  <c r="E4473" i="55"/>
  <c r="H4472" i="55"/>
  <c r="F4472" i="55"/>
  <c r="E4472" i="55"/>
  <c r="H4471" i="55"/>
  <c r="F4471" i="55"/>
  <c r="E4471" i="55"/>
  <c r="H4470" i="55"/>
  <c r="F4470" i="55"/>
  <c r="E4470" i="55"/>
  <c r="H4469" i="55"/>
  <c r="F4469" i="55"/>
  <c r="E4469" i="55"/>
  <c r="H4468" i="55"/>
  <c r="F4468" i="55"/>
  <c r="E4468" i="55"/>
  <c r="H4467" i="55"/>
  <c r="F4467" i="55"/>
  <c r="E4467" i="55"/>
  <c r="H4466" i="55"/>
  <c r="F4466" i="55"/>
  <c r="E4466" i="55"/>
  <c r="H4465" i="55"/>
  <c r="F4465" i="55"/>
  <c r="E4465" i="55"/>
  <c r="H4464" i="55"/>
  <c r="F4464" i="55"/>
  <c r="E4464" i="55"/>
  <c r="H4463" i="55"/>
  <c r="F4463" i="55"/>
  <c r="E4463" i="55"/>
  <c r="H4462" i="55"/>
  <c r="F4462" i="55"/>
  <c r="E4462" i="55"/>
  <c r="H4461" i="55"/>
  <c r="F4461" i="55"/>
  <c r="E4461" i="55"/>
  <c r="H4460" i="55"/>
  <c r="F4460" i="55"/>
  <c r="E4460" i="55"/>
  <c r="H4459" i="55"/>
  <c r="F4459" i="55"/>
  <c r="E4459" i="55"/>
  <c r="H4458" i="55"/>
  <c r="F4458" i="55"/>
  <c r="E4458" i="55"/>
  <c r="H4457" i="55"/>
  <c r="F4457" i="55"/>
  <c r="E4457" i="55"/>
  <c r="H4456" i="55"/>
  <c r="F4456" i="55"/>
  <c r="E4456" i="55"/>
  <c r="H4455" i="55"/>
  <c r="F4455" i="55"/>
  <c r="E4455" i="55"/>
  <c r="H4454" i="55"/>
  <c r="F4454" i="55"/>
  <c r="E4454" i="55"/>
  <c r="H4453" i="55"/>
  <c r="F4453" i="55"/>
  <c r="E4453" i="55"/>
  <c r="H4452" i="55"/>
  <c r="F4452" i="55"/>
  <c r="E4452" i="55"/>
  <c r="H4451" i="55"/>
  <c r="F4451" i="55"/>
  <c r="E4451" i="55"/>
  <c r="H4450" i="55"/>
  <c r="F4450" i="55"/>
  <c r="E4450" i="55"/>
  <c r="H4449" i="55"/>
  <c r="F4449" i="55"/>
  <c r="E4449" i="55"/>
  <c r="H4448" i="55"/>
  <c r="F4448" i="55"/>
  <c r="E4448" i="55"/>
  <c r="H4447" i="55"/>
  <c r="F4447" i="55"/>
  <c r="E4447" i="55"/>
  <c r="H4446" i="55"/>
  <c r="F4446" i="55"/>
  <c r="E4446" i="55"/>
  <c r="H4445" i="55"/>
  <c r="F4445" i="55"/>
  <c r="E4445" i="55"/>
  <c r="H4444" i="55"/>
  <c r="F4444" i="55"/>
  <c r="E4444" i="55"/>
  <c r="H4443" i="55"/>
  <c r="F4443" i="55"/>
  <c r="E4443" i="55"/>
  <c r="H4442" i="55"/>
  <c r="F4442" i="55"/>
  <c r="E4442" i="55"/>
  <c r="H4441" i="55"/>
  <c r="F4441" i="55"/>
  <c r="E4441" i="55"/>
  <c r="H4440" i="55"/>
  <c r="F4440" i="55"/>
  <c r="E4440" i="55"/>
  <c r="H4439" i="55"/>
  <c r="F4439" i="55"/>
  <c r="E4439" i="55"/>
  <c r="H4438" i="55"/>
  <c r="F4438" i="55"/>
  <c r="E4438" i="55"/>
  <c r="H4437" i="55"/>
  <c r="F4437" i="55"/>
  <c r="E4437" i="55"/>
  <c r="H4436" i="55"/>
  <c r="F4436" i="55"/>
  <c r="E4436" i="55"/>
  <c r="H4435" i="55"/>
  <c r="F4435" i="55"/>
  <c r="E4435" i="55"/>
  <c r="H4434" i="55"/>
  <c r="F4434" i="55"/>
  <c r="E4434" i="55"/>
  <c r="H4433" i="55"/>
  <c r="F4433" i="55"/>
  <c r="E4433" i="55"/>
  <c r="H4432" i="55"/>
  <c r="F4432" i="55"/>
  <c r="E4432" i="55"/>
  <c r="H4431" i="55"/>
  <c r="F4431" i="55"/>
  <c r="E4431" i="55"/>
  <c r="H4430" i="55"/>
  <c r="F4430" i="55"/>
  <c r="E4430" i="55"/>
  <c r="H4429" i="55"/>
  <c r="F4429" i="55"/>
  <c r="E4429" i="55"/>
  <c r="H4428" i="55"/>
  <c r="F4428" i="55"/>
  <c r="E4428" i="55"/>
  <c r="H4427" i="55"/>
  <c r="F4427" i="55"/>
  <c r="E4427" i="55"/>
  <c r="H4426" i="55"/>
  <c r="F4426" i="55"/>
  <c r="E4426" i="55"/>
  <c r="H4425" i="55"/>
  <c r="F4425" i="55"/>
  <c r="E4425" i="55"/>
  <c r="H4424" i="55"/>
  <c r="F4424" i="55"/>
  <c r="E4424" i="55"/>
  <c r="H4423" i="55"/>
  <c r="F4423" i="55"/>
  <c r="E4423" i="55"/>
  <c r="H4422" i="55"/>
  <c r="F4422" i="55"/>
  <c r="E4422" i="55"/>
  <c r="H4420" i="55"/>
  <c r="F4420" i="55"/>
  <c r="E4420" i="55"/>
  <c r="H4419" i="55"/>
  <c r="F4419" i="55"/>
  <c r="E4419" i="55"/>
  <c r="H4418" i="55"/>
  <c r="F4418" i="55"/>
  <c r="E4418" i="55"/>
  <c r="H4417" i="55"/>
  <c r="F4417" i="55"/>
  <c r="E4417" i="55"/>
  <c r="H4416" i="55"/>
  <c r="F4416" i="55"/>
  <c r="E4416" i="55"/>
  <c r="H4415" i="55"/>
  <c r="F4415" i="55"/>
  <c r="E4415" i="55"/>
  <c r="H4414" i="55"/>
  <c r="F4414" i="55"/>
  <c r="E4414" i="55"/>
  <c r="H4413" i="55"/>
  <c r="F4413" i="55"/>
  <c r="E4413" i="55"/>
  <c r="H4412" i="55"/>
  <c r="F4412" i="55"/>
  <c r="E4412" i="55"/>
  <c r="H4411" i="55"/>
  <c r="F4411" i="55"/>
  <c r="E4411" i="55"/>
  <c r="H4410" i="55"/>
  <c r="F4410" i="55"/>
  <c r="E4410" i="55"/>
  <c r="H4409" i="55"/>
  <c r="F4409" i="55"/>
  <c r="E4409" i="55"/>
  <c r="H4408" i="55"/>
  <c r="F4408" i="55"/>
  <c r="E4408" i="55"/>
  <c r="H4407" i="55"/>
  <c r="F4407" i="55"/>
  <c r="E4407" i="55"/>
  <c r="H4406" i="55"/>
  <c r="F4406" i="55"/>
  <c r="E4406" i="55"/>
  <c r="H4405" i="55"/>
  <c r="F4405" i="55"/>
  <c r="E4405" i="55"/>
  <c r="H4404" i="55"/>
  <c r="F4404" i="55"/>
  <c r="E4404" i="55"/>
  <c r="H4403" i="55"/>
  <c r="F4403" i="55"/>
  <c r="E4403" i="55"/>
  <c r="H4402" i="55"/>
  <c r="F4402" i="55"/>
  <c r="E4402" i="55"/>
  <c r="H4401" i="55"/>
  <c r="F4401" i="55"/>
  <c r="E4401" i="55"/>
  <c r="H4400" i="55"/>
  <c r="F4400" i="55"/>
  <c r="E4400" i="55"/>
  <c r="H4399" i="55"/>
  <c r="F4399" i="55"/>
  <c r="E4399" i="55"/>
  <c r="H4398" i="55"/>
  <c r="F4398" i="55"/>
  <c r="E4398" i="55"/>
  <c r="H4397" i="55"/>
  <c r="F4397" i="55"/>
  <c r="E4397" i="55"/>
  <c r="H4396" i="55"/>
  <c r="F4396" i="55"/>
  <c r="E4396" i="55"/>
  <c r="H4395" i="55"/>
  <c r="F4395" i="55"/>
  <c r="E4395" i="55"/>
  <c r="H4394" i="55"/>
  <c r="F4394" i="55"/>
  <c r="E4394" i="55"/>
  <c r="H4393" i="55"/>
  <c r="F4393" i="55"/>
  <c r="E4393" i="55"/>
  <c r="H4392" i="55"/>
  <c r="F4392" i="55"/>
  <c r="E4392" i="55"/>
  <c r="H4391" i="55"/>
  <c r="F4391" i="55"/>
  <c r="E4391" i="55"/>
  <c r="H4390" i="55"/>
  <c r="F4390" i="55"/>
  <c r="E4390" i="55"/>
  <c r="H4389" i="55"/>
  <c r="F4389" i="55"/>
  <c r="E4389" i="55"/>
  <c r="H4388" i="55"/>
  <c r="F4388" i="55"/>
  <c r="E4388" i="55"/>
  <c r="H4387" i="55"/>
  <c r="F4387" i="55"/>
  <c r="E4387" i="55"/>
  <c r="H4386" i="55"/>
  <c r="F4386" i="55"/>
  <c r="E4386" i="55"/>
  <c r="H4385" i="55"/>
  <c r="F4385" i="55"/>
  <c r="E4385" i="55"/>
  <c r="H4384" i="55"/>
  <c r="F4384" i="55"/>
  <c r="E4384" i="55"/>
  <c r="H4383" i="55"/>
  <c r="F4383" i="55"/>
  <c r="E4383" i="55"/>
  <c r="H4382" i="55"/>
  <c r="F4382" i="55"/>
  <c r="E4382" i="55"/>
  <c r="H4381" i="55"/>
  <c r="F4381" i="55"/>
  <c r="E4381" i="55"/>
  <c r="H4380" i="55"/>
  <c r="F4380" i="55"/>
  <c r="E4380" i="55"/>
  <c r="H4379" i="55"/>
  <c r="F4379" i="55"/>
  <c r="E4379" i="55"/>
  <c r="H4378" i="55"/>
  <c r="F4378" i="55"/>
  <c r="E4378" i="55"/>
  <c r="H4377" i="55"/>
  <c r="F4377" i="55"/>
  <c r="E4377" i="55"/>
  <c r="H4376" i="55"/>
  <c r="F4376" i="55"/>
  <c r="E4376" i="55"/>
  <c r="H4375" i="55"/>
  <c r="F4375" i="55"/>
  <c r="E4375" i="55"/>
  <c r="H4374" i="55"/>
  <c r="F4374" i="55"/>
  <c r="E4374" i="55"/>
  <c r="H4373" i="55"/>
  <c r="F4373" i="55"/>
  <c r="E4373" i="55"/>
  <c r="H4372" i="55"/>
  <c r="F4372" i="55"/>
  <c r="E4372" i="55"/>
  <c r="H4371" i="55"/>
  <c r="F4371" i="55"/>
  <c r="E4371" i="55"/>
  <c r="H4370" i="55"/>
  <c r="F4370" i="55"/>
  <c r="E4370" i="55"/>
  <c r="H4369" i="55"/>
  <c r="F4369" i="55"/>
  <c r="E4369" i="55"/>
  <c r="H4368" i="55"/>
  <c r="F4368" i="55"/>
  <c r="E4368" i="55"/>
  <c r="H4367" i="55"/>
  <c r="F4367" i="55"/>
  <c r="E4367" i="55"/>
  <c r="H4366" i="55"/>
  <c r="F4366" i="55"/>
  <c r="E4366" i="55"/>
  <c r="H4365" i="55"/>
  <c r="F4365" i="55"/>
  <c r="E4365" i="55"/>
  <c r="H4364" i="55"/>
  <c r="F4364" i="55"/>
  <c r="E4364" i="55"/>
  <c r="H4363" i="55"/>
  <c r="F4363" i="55"/>
  <c r="E4363" i="55"/>
  <c r="H4362" i="55"/>
  <c r="F4362" i="55"/>
  <c r="E4362" i="55"/>
  <c r="H4361" i="55"/>
  <c r="F4361" i="55"/>
  <c r="E4361" i="55"/>
  <c r="H4359" i="55"/>
  <c r="F4359" i="55"/>
  <c r="E4359" i="55"/>
  <c r="H4358" i="55"/>
  <c r="F4358" i="55"/>
  <c r="E4358" i="55"/>
  <c r="H4357" i="55"/>
  <c r="F4357" i="55"/>
  <c r="E4357" i="55"/>
  <c r="H4356" i="55"/>
  <c r="F4356" i="55"/>
  <c r="E4356" i="55"/>
  <c r="H4355" i="55"/>
  <c r="F4355" i="55"/>
  <c r="E4355" i="55"/>
  <c r="H4354" i="55"/>
  <c r="F4354" i="55"/>
  <c r="E4354" i="55"/>
  <c r="H4353" i="55"/>
  <c r="F4353" i="55"/>
  <c r="E4353" i="55"/>
  <c r="H4352" i="55"/>
  <c r="F4352" i="55"/>
  <c r="E4352" i="55"/>
  <c r="H4351" i="55"/>
  <c r="F4351" i="55"/>
  <c r="E4351" i="55"/>
  <c r="H4350" i="55"/>
  <c r="F4350" i="55"/>
  <c r="E4350" i="55"/>
  <c r="H4349" i="55"/>
  <c r="F4349" i="55"/>
  <c r="E4349" i="55"/>
  <c r="H4348" i="55"/>
  <c r="F4348" i="55"/>
  <c r="E4348" i="55"/>
  <c r="H4347" i="55"/>
  <c r="F4347" i="55"/>
  <c r="E4347" i="55"/>
  <c r="H4346" i="55"/>
  <c r="F4346" i="55"/>
  <c r="E4346" i="55"/>
  <c r="H4345" i="55"/>
  <c r="F4345" i="55"/>
  <c r="E4345" i="55"/>
  <c r="H4344" i="55"/>
  <c r="F4344" i="55"/>
  <c r="E4344" i="55"/>
  <c r="H4343" i="55"/>
  <c r="F4343" i="55"/>
  <c r="E4343" i="55"/>
  <c r="H4342" i="55"/>
  <c r="F4342" i="55"/>
  <c r="E4342" i="55"/>
  <c r="H4341" i="55"/>
  <c r="F4341" i="55"/>
  <c r="E4341" i="55"/>
  <c r="H4340" i="55"/>
  <c r="F4340" i="55"/>
  <c r="E4340" i="55"/>
  <c r="H4339" i="55"/>
  <c r="F4339" i="55"/>
  <c r="E4339" i="55"/>
  <c r="H4338" i="55"/>
  <c r="F4338" i="55"/>
  <c r="E4338" i="55"/>
  <c r="H4337" i="55"/>
  <c r="F4337" i="55"/>
  <c r="E4337" i="55"/>
  <c r="H4336" i="55"/>
  <c r="F4336" i="55"/>
  <c r="E4336" i="55"/>
  <c r="H4335" i="55"/>
  <c r="F4335" i="55"/>
  <c r="E4335" i="55"/>
  <c r="H4334" i="55"/>
  <c r="F4334" i="55"/>
  <c r="E4334" i="55"/>
  <c r="H4333" i="55"/>
  <c r="F4333" i="55"/>
  <c r="E4333" i="55"/>
  <c r="H4332" i="55"/>
  <c r="F4332" i="55"/>
  <c r="E4332" i="55"/>
  <c r="H4331" i="55"/>
  <c r="F4331" i="55"/>
  <c r="E4331" i="55"/>
  <c r="H4330" i="55"/>
  <c r="F4330" i="55"/>
  <c r="E4330" i="55"/>
  <c r="H4329" i="55"/>
  <c r="F4329" i="55"/>
  <c r="E4329" i="55"/>
  <c r="H4328" i="55"/>
  <c r="F4328" i="55"/>
  <c r="E4328" i="55"/>
  <c r="H4327" i="55"/>
  <c r="F4327" i="55"/>
  <c r="E4327" i="55"/>
  <c r="H4326" i="55"/>
  <c r="F4326" i="55"/>
  <c r="E4326" i="55"/>
  <c r="H4325" i="55"/>
  <c r="F4325" i="55"/>
  <c r="E4325" i="55"/>
  <c r="H4324" i="55"/>
  <c r="F4324" i="55"/>
  <c r="E4324" i="55"/>
  <c r="H4323" i="55"/>
  <c r="F4323" i="55"/>
  <c r="E4323" i="55"/>
  <c r="H4322" i="55"/>
  <c r="F4322" i="55"/>
  <c r="E4322" i="55"/>
  <c r="H4321" i="55"/>
  <c r="F4321" i="55"/>
  <c r="E4321" i="55"/>
  <c r="H4320" i="55"/>
  <c r="F4320" i="55"/>
  <c r="E4320" i="55"/>
  <c r="H4319" i="55"/>
  <c r="F4319" i="55"/>
  <c r="E4319" i="55"/>
  <c r="H4318" i="55"/>
  <c r="F4318" i="55"/>
  <c r="E4318" i="55"/>
  <c r="H4317" i="55"/>
  <c r="F4317" i="55"/>
  <c r="E4317" i="55"/>
  <c r="H4316" i="55"/>
  <c r="F4316" i="55"/>
  <c r="E4316" i="55"/>
  <c r="H4315" i="55"/>
  <c r="F4315" i="55"/>
  <c r="E4315" i="55"/>
  <c r="H4314" i="55"/>
  <c r="F4314" i="55"/>
  <c r="E4314" i="55"/>
  <c r="H4313" i="55"/>
  <c r="F4313" i="55"/>
  <c r="E4313" i="55"/>
  <c r="H4312" i="55"/>
  <c r="F4312" i="55"/>
  <c r="E4312" i="55"/>
  <c r="H4311" i="55"/>
  <c r="F4311" i="55"/>
  <c r="E4311" i="55"/>
  <c r="H4310" i="55"/>
  <c r="F4310" i="55"/>
  <c r="E4310" i="55"/>
  <c r="H4309" i="55"/>
  <c r="F4309" i="55"/>
  <c r="E4309" i="55"/>
  <c r="H4308" i="55"/>
  <c r="F4308" i="55"/>
  <c r="E4308" i="55"/>
  <c r="H4307" i="55"/>
  <c r="F4307" i="55"/>
  <c r="E4307" i="55"/>
  <c r="H4306" i="55"/>
  <c r="F4306" i="55"/>
  <c r="E4306" i="55"/>
  <c r="H4305" i="55"/>
  <c r="F4305" i="55"/>
  <c r="E4305" i="55"/>
  <c r="H4304" i="55"/>
  <c r="F4304" i="55"/>
  <c r="E4304" i="55"/>
  <c r="H4303" i="55"/>
  <c r="F4303" i="55"/>
  <c r="E4303" i="55"/>
  <c r="H4302" i="55"/>
  <c r="F4302" i="55"/>
  <c r="E4302" i="55"/>
  <c r="H4301" i="55"/>
  <c r="F4301" i="55"/>
  <c r="E4301" i="55"/>
  <c r="H4300" i="55"/>
  <c r="F4300" i="55"/>
  <c r="E4300" i="55"/>
  <c r="H4298" i="55"/>
  <c r="F4298" i="55"/>
  <c r="E4298" i="55"/>
  <c r="H4297" i="55"/>
  <c r="F4297" i="55"/>
  <c r="E4297" i="55"/>
  <c r="H4296" i="55"/>
  <c r="F4296" i="55"/>
  <c r="E4296" i="55"/>
  <c r="H4295" i="55"/>
  <c r="F4295" i="55"/>
  <c r="E4295" i="55"/>
  <c r="H4294" i="55"/>
  <c r="F4294" i="55"/>
  <c r="E4294" i="55"/>
  <c r="H4293" i="55"/>
  <c r="F4293" i="55"/>
  <c r="E4293" i="55"/>
  <c r="H4292" i="55"/>
  <c r="F4292" i="55"/>
  <c r="E4292" i="55"/>
  <c r="H4291" i="55"/>
  <c r="F4291" i="55"/>
  <c r="E4291" i="55"/>
  <c r="H4290" i="55"/>
  <c r="F4290" i="55"/>
  <c r="E4290" i="55"/>
  <c r="H4289" i="55"/>
  <c r="F4289" i="55"/>
  <c r="E4289" i="55"/>
  <c r="H4288" i="55"/>
  <c r="F4288" i="55"/>
  <c r="E4288" i="55"/>
  <c r="H4287" i="55"/>
  <c r="F4287" i="55"/>
  <c r="E4287" i="55"/>
  <c r="H4286" i="55"/>
  <c r="F4286" i="55"/>
  <c r="E4286" i="55"/>
  <c r="H4285" i="55"/>
  <c r="F4285" i="55"/>
  <c r="E4285" i="55"/>
  <c r="H4284" i="55"/>
  <c r="F4284" i="55"/>
  <c r="E4284" i="55"/>
  <c r="H4283" i="55"/>
  <c r="F4283" i="55"/>
  <c r="E4283" i="55"/>
  <c r="H4282" i="55"/>
  <c r="F4282" i="55"/>
  <c r="E4282" i="55"/>
  <c r="H4281" i="55"/>
  <c r="F4281" i="55"/>
  <c r="E4281" i="55"/>
  <c r="H4280" i="55"/>
  <c r="F4280" i="55"/>
  <c r="E4280" i="55"/>
  <c r="H4279" i="55"/>
  <c r="F4279" i="55"/>
  <c r="E4279" i="55"/>
  <c r="H4278" i="55"/>
  <c r="F4278" i="55"/>
  <c r="E4278" i="55"/>
  <c r="H4277" i="55"/>
  <c r="F4277" i="55"/>
  <c r="E4277" i="55"/>
  <c r="H4276" i="55"/>
  <c r="F4276" i="55"/>
  <c r="E4276" i="55"/>
  <c r="H4275" i="55"/>
  <c r="F4275" i="55"/>
  <c r="E4275" i="55"/>
  <c r="H4274" i="55"/>
  <c r="F4274" i="55"/>
  <c r="E4274" i="55"/>
  <c r="H4273" i="55"/>
  <c r="F4273" i="55"/>
  <c r="E4273" i="55"/>
  <c r="H4272" i="55"/>
  <c r="F4272" i="55"/>
  <c r="E4272" i="55"/>
  <c r="H4271" i="55"/>
  <c r="F4271" i="55"/>
  <c r="E4271" i="55"/>
  <c r="H4270" i="55"/>
  <c r="F4270" i="55"/>
  <c r="E4270" i="55"/>
  <c r="H4269" i="55"/>
  <c r="F4269" i="55"/>
  <c r="E4269" i="55"/>
  <c r="H4268" i="55"/>
  <c r="F4268" i="55"/>
  <c r="E4268" i="55"/>
  <c r="H4267" i="55"/>
  <c r="F4267" i="55"/>
  <c r="E4267" i="55"/>
  <c r="H4266" i="55"/>
  <c r="F4266" i="55"/>
  <c r="E4266" i="55"/>
  <c r="H4265" i="55"/>
  <c r="F4265" i="55"/>
  <c r="E4265" i="55"/>
  <c r="H4264" i="55"/>
  <c r="F4264" i="55"/>
  <c r="E4264" i="55"/>
  <c r="H4263" i="55"/>
  <c r="F4263" i="55"/>
  <c r="E4263" i="55"/>
  <c r="H4262" i="55"/>
  <c r="F4262" i="55"/>
  <c r="E4262" i="55"/>
  <c r="H4261" i="55"/>
  <c r="F4261" i="55"/>
  <c r="E4261" i="55"/>
  <c r="H4260" i="55"/>
  <c r="F4260" i="55"/>
  <c r="E4260" i="55"/>
  <c r="H4259" i="55"/>
  <c r="F4259" i="55"/>
  <c r="E4259" i="55"/>
  <c r="H4258" i="55"/>
  <c r="F4258" i="55"/>
  <c r="E4258" i="55"/>
  <c r="H4257" i="55"/>
  <c r="F4257" i="55"/>
  <c r="E4257" i="55"/>
  <c r="H4256" i="55"/>
  <c r="F4256" i="55"/>
  <c r="E4256" i="55"/>
  <c r="H4255" i="55"/>
  <c r="F4255" i="55"/>
  <c r="E4255" i="55"/>
  <c r="H4254" i="55"/>
  <c r="F4254" i="55"/>
  <c r="E4254" i="55"/>
  <c r="H4253" i="55"/>
  <c r="F4253" i="55"/>
  <c r="E4253" i="55"/>
  <c r="H4252" i="55"/>
  <c r="F4252" i="55"/>
  <c r="E4252" i="55"/>
  <c r="H4251" i="55"/>
  <c r="F4251" i="55"/>
  <c r="E4251" i="55"/>
  <c r="H4250" i="55"/>
  <c r="F4250" i="55"/>
  <c r="E4250" i="55"/>
  <c r="H4249" i="55"/>
  <c r="F4249" i="55"/>
  <c r="E4249" i="55"/>
  <c r="H4248" i="55"/>
  <c r="F4248" i="55"/>
  <c r="E4248" i="55"/>
  <c r="H4247" i="55"/>
  <c r="F4247" i="55"/>
  <c r="E4247" i="55"/>
  <c r="H4246" i="55"/>
  <c r="F4246" i="55"/>
  <c r="E4246" i="55"/>
  <c r="H4245" i="55"/>
  <c r="F4245" i="55"/>
  <c r="E4245" i="55"/>
  <c r="H4244" i="55"/>
  <c r="F4244" i="55"/>
  <c r="E4244" i="55"/>
  <c r="H4243" i="55"/>
  <c r="F4243" i="55"/>
  <c r="E4243" i="55"/>
  <c r="H4242" i="55"/>
  <c r="F4242" i="55"/>
  <c r="E4242" i="55"/>
  <c r="H4241" i="55"/>
  <c r="F4241" i="55"/>
  <c r="E4241" i="55"/>
  <c r="H4240" i="55"/>
  <c r="F4240" i="55"/>
  <c r="E4240" i="55"/>
  <c r="H4239" i="55"/>
  <c r="F4239" i="55"/>
  <c r="E4239" i="55"/>
  <c r="H4237" i="55"/>
  <c r="F4237" i="55"/>
  <c r="E4237" i="55"/>
  <c r="H4236" i="55"/>
  <c r="F4236" i="55"/>
  <c r="E4236" i="55"/>
  <c r="H4235" i="55"/>
  <c r="F4235" i="55"/>
  <c r="E4235" i="55"/>
  <c r="H4234" i="55"/>
  <c r="F4234" i="55"/>
  <c r="E4234" i="55"/>
  <c r="H4233" i="55"/>
  <c r="F4233" i="55"/>
  <c r="E4233" i="55"/>
  <c r="H4232" i="55"/>
  <c r="F4232" i="55"/>
  <c r="E4232" i="55"/>
  <c r="H4231" i="55"/>
  <c r="F4231" i="55"/>
  <c r="E4231" i="55"/>
  <c r="H4230" i="55"/>
  <c r="F4230" i="55"/>
  <c r="E4230" i="55"/>
  <c r="H4229" i="55"/>
  <c r="F4229" i="55"/>
  <c r="E4229" i="55"/>
  <c r="H4228" i="55"/>
  <c r="F4228" i="55"/>
  <c r="E4228" i="55"/>
  <c r="H4227" i="55"/>
  <c r="F4227" i="55"/>
  <c r="E4227" i="55"/>
  <c r="H4226" i="55"/>
  <c r="F4226" i="55"/>
  <c r="E4226" i="55"/>
  <c r="H4225" i="55"/>
  <c r="F4225" i="55"/>
  <c r="E4225" i="55"/>
  <c r="H4224" i="55"/>
  <c r="F4224" i="55"/>
  <c r="E4224" i="55"/>
  <c r="H4223" i="55"/>
  <c r="F4223" i="55"/>
  <c r="E4223" i="55"/>
  <c r="H4222" i="55"/>
  <c r="F4222" i="55"/>
  <c r="E4222" i="55"/>
  <c r="H4221" i="55"/>
  <c r="F4221" i="55"/>
  <c r="E4221" i="55"/>
  <c r="H4220" i="55"/>
  <c r="F4220" i="55"/>
  <c r="E4220" i="55"/>
  <c r="H4219" i="55"/>
  <c r="F4219" i="55"/>
  <c r="E4219" i="55"/>
  <c r="H4218" i="55"/>
  <c r="F4218" i="55"/>
  <c r="E4218" i="55"/>
  <c r="H4217" i="55"/>
  <c r="F4217" i="55"/>
  <c r="E4217" i="55"/>
  <c r="H4216" i="55"/>
  <c r="F4216" i="55"/>
  <c r="E4216" i="55"/>
  <c r="H4215" i="55"/>
  <c r="F4215" i="55"/>
  <c r="E4215" i="55"/>
  <c r="H4214" i="55"/>
  <c r="F4214" i="55"/>
  <c r="E4214" i="55"/>
  <c r="H4213" i="55"/>
  <c r="F4213" i="55"/>
  <c r="E4213" i="55"/>
  <c r="H4212" i="55"/>
  <c r="F4212" i="55"/>
  <c r="E4212" i="55"/>
  <c r="H4211" i="55"/>
  <c r="F4211" i="55"/>
  <c r="E4211" i="55"/>
  <c r="H4210" i="55"/>
  <c r="F4210" i="55"/>
  <c r="E4210" i="55"/>
  <c r="H4209" i="55"/>
  <c r="F4209" i="55"/>
  <c r="E4209" i="55"/>
  <c r="H4208" i="55"/>
  <c r="F4208" i="55"/>
  <c r="E4208" i="55"/>
  <c r="H4207" i="55"/>
  <c r="F4207" i="55"/>
  <c r="E4207" i="55"/>
  <c r="H4206" i="55"/>
  <c r="F4206" i="55"/>
  <c r="E4206" i="55"/>
  <c r="H4205" i="55"/>
  <c r="F4205" i="55"/>
  <c r="E4205" i="55"/>
  <c r="H4204" i="55"/>
  <c r="F4204" i="55"/>
  <c r="E4204" i="55"/>
  <c r="H4203" i="55"/>
  <c r="F4203" i="55"/>
  <c r="E4203" i="55"/>
  <c r="H4202" i="55"/>
  <c r="F4202" i="55"/>
  <c r="E4202" i="55"/>
  <c r="H4201" i="55"/>
  <c r="F4201" i="55"/>
  <c r="E4201" i="55"/>
  <c r="H4200" i="55"/>
  <c r="F4200" i="55"/>
  <c r="E4200" i="55"/>
  <c r="H4199" i="55"/>
  <c r="F4199" i="55"/>
  <c r="E4199" i="55"/>
  <c r="H4198" i="55"/>
  <c r="F4198" i="55"/>
  <c r="E4198" i="55"/>
  <c r="H4197" i="55"/>
  <c r="F4197" i="55"/>
  <c r="E4197" i="55"/>
  <c r="H4196" i="55"/>
  <c r="F4196" i="55"/>
  <c r="E4196" i="55"/>
  <c r="H4195" i="55"/>
  <c r="F4195" i="55"/>
  <c r="E4195" i="55"/>
  <c r="H4194" i="55"/>
  <c r="F4194" i="55"/>
  <c r="E4194" i="55"/>
  <c r="H4193" i="55"/>
  <c r="F4193" i="55"/>
  <c r="E4193" i="55"/>
  <c r="H4192" i="55"/>
  <c r="F4192" i="55"/>
  <c r="E4192" i="55"/>
  <c r="H4191" i="55"/>
  <c r="F4191" i="55"/>
  <c r="E4191" i="55"/>
  <c r="H4190" i="55"/>
  <c r="F4190" i="55"/>
  <c r="E4190" i="55"/>
  <c r="H4189" i="55"/>
  <c r="F4189" i="55"/>
  <c r="E4189" i="55"/>
  <c r="H4188" i="55"/>
  <c r="F4188" i="55"/>
  <c r="E4188" i="55"/>
  <c r="H4187" i="55"/>
  <c r="F4187" i="55"/>
  <c r="E4187" i="55"/>
  <c r="H4186" i="55"/>
  <c r="F4186" i="55"/>
  <c r="E4186" i="55"/>
  <c r="H4185" i="55"/>
  <c r="F4185" i="55"/>
  <c r="E4185" i="55"/>
  <c r="H4184" i="55"/>
  <c r="F4184" i="55"/>
  <c r="E4184" i="55"/>
  <c r="H4183" i="55"/>
  <c r="F4183" i="55"/>
  <c r="E4183" i="55"/>
  <c r="H4182" i="55"/>
  <c r="F4182" i="55"/>
  <c r="E4182" i="55"/>
  <c r="H4181" i="55"/>
  <c r="F4181" i="55"/>
  <c r="E4181" i="55"/>
  <c r="H4180" i="55"/>
  <c r="F4180" i="55"/>
  <c r="E4180" i="55"/>
  <c r="H4179" i="55"/>
  <c r="F4179" i="55"/>
  <c r="E4179" i="55"/>
  <c r="H4178" i="55"/>
  <c r="F4178" i="55"/>
  <c r="E4178" i="55"/>
  <c r="H4176" i="55"/>
  <c r="F4176" i="55"/>
  <c r="E4176" i="55"/>
  <c r="H4175" i="55"/>
  <c r="F4175" i="55"/>
  <c r="E4175" i="55"/>
  <c r="H4174" i="55"/>
  <c r="F4174" i="55"/>
  <c r="E4174" i="55"/>
  <c r="H4173" i="55"/>
  <c r="F4173" i="55"/>
  <c r="E4173" i="55"/>
  <c r="H4172" i="55"/>
  <c r="F4172" i="55"/>
  <c r="E4172" i="55"/>
  <c r="H4171" i="55"/>
  <c r="F4171" i="55"/>
  <c r="E4171" i="55"/>
  <c r="H4170" i="55"/>
  <c r="F4170" i="55"/>
  <c r="E4170" i="55"/>
  <c r="H4169" i="55"/>
  <c r="F4169" i="55"/>
  <c r="E4169" i="55"/>
  <c r="H4168" i="55"/>
  <c r="F4168" i="55"/>
  <c r="E4168" i="55"/>
  <c r="H4167" i="55"/>
  <c r="F4167" i="55"/>
  <c r="E4167" i="55"/>
  <c r="H4166" i="55"/>
  <c r="F4166" i="55"/>
  <c r="E4166" i="55"/>
  <c r="H4165" i="55"/>
  <c r="F4165" i="55"/>
  <c r="E4165" i="55"/>
  <c r="H4164" i="55"/>
  <c r="F4164" i="55"/>
  <c r="E4164" i="55"/>
  <c r="H4163" i="55"/>
  <c r="F4163" i="55"/>
  <c r="E4163" i="55"/>
  <c r="H4162" i="55"/>
  <c r="F4162" i="55"/>
  <c r="E4162" i="55"/>
  <c r="H4161" i="55"/>
  <c r="F4161" i="55"/>
  <c r="E4161" i="55"/>
  <c r="H4160" i="55"/>
  <c r="F4160" i="55"/>
  <c r="E4160" i="55"/>
  <c r="H4159" i="55"/>
  <c r="F4159" i="55"/>
  <c r="E4159" i="55"/>
  <c r="H4158" i="55"/>
  <c r="F4158" i="55"/>
  <c r="E4158" i="55"/>
  <c r="H4157" i="55"/>
  <c r="F4157" i="55"/>
  <c r="E4157" i="55"/>
  <c r="H4156" i="55"/>
  <c r="F4156" i="55"/>
  <c r="E4156" i="55"/>
  <c r="H4155" i="55"/>
  <c r="F4155" i="55"/>
  <c r="E4155" i="55"/>
  <c r="H4154" i="55"/>
  <c r="F4154" i="55"/>
  <c r="E4154" i="55"/>
  <c r="H4153" i="55"/>
  <c r="F4153" i="55"/>
  <c r="E4153" i="55"/>
  <c r="H4152" i="55"/>
  <c r="F4152" i="55"/>
  <c r="E4152" i="55"/>
  <c r="H4151" i="55"/>
  <c r="F4151" i="55"/>
  <c r="E4151" i="55"/>
  <c r="H4150" i="55"/>
  <c r="F4150" i="55"/>
  <c r="E4150" i="55"/>
  <c r="H4149" i="55"/>
  <c r="F4149" i="55"/>
  <c r="E4149" i="55"/>
  <c r="H4148" i="55"/>
  <c r="F4148" i="55"/>
  <c r="E4148" i="55"/>
  <c r="H4147" i="55"/>
  <c r="F4147" i="55"/>
  <c r="E4147" i="55"/>
  <c r="H4146" i="55"/>
  <c r="F4146" i="55"/>
  <c r="E4146" i="55"/>
  <c r="H4145" i="55"/>
  <c r="F4145" i="55"/>
  <c r="E4145" i="55"/>
  <c r="H4144" i="55"/>
  <c r="F4144" i="55"/>
  <c r="E4144" i="55"/>
  <c r="H4143" i="55"/>
  <c r="F4143" i="55"/>
  <c r="E4143" i="55"/>
  <c r="H4142" i="55"/>
  <c r="F4142" i="55"/>
  <c r="E4142" i="55"/>
  <c r="H4141" i="55"/>
  <c r="F4141" i="55"/>
  <c r="E4141" i="55"/>
  <c r="H4140" i="55"/>
  <c r="F4140" i="55"/>
  <c r="E4140" i="55"/>
  <c r="H4139" i="55"/>
  <c r="F4139" i="55"/>
  <c r="E4139" i="55"/>
  <c r="H4138" i="55"/>
  <c r="F4138" i="55"/>
  <c r="E4138" i="55"/>
  <c r="H4137" i="55"/>
  <c r="F4137" i="55"/>
  <c r="E4137" i="55"/>
  <c r="H4136" i="55"/>
  <c r="F4136" i="55"/>
  <c r="E4136" i="55"/>
  <c r="H4135" i="55"/>
  <c r="F4135" i="55"/>
  <c r="E4135" i="55"/>
  <c r="H4134" i="55"/>
  <c r="F4134" i="55"/>
  <c r="E4134" i="55"/>
  <c r="H4133" i="55"/>
  <c r="F4133" i="55"/>
  <c r="E4133" i="55"/>
  <c r="H4132" i="55"/>
  <c r="F4132" i="55"/>
  <c r="E4132" i="55"/>
  <c r="H4131" i="55"/>
  <c r="F4131" i="55"/>
  <c r="E4131" i="55"/>
  <c r="H4130" i="55"/>
  <c r="F4130" i="55"/>
  <c r="E4130" i="55"/>
  <c r="H4129" i="55"/>
  <c r="F4129" i="55"/>
  <c r="E4129" i="55"/>
  <c r="H4128" i="55"/>
  <c r="F4128" i="55"/>
  <c r="E4128" i="55"/>
  <c r="H4127" i="55"/>
  <c r="F4127" i="55"/>
  <c r="E4127" i="55"/>
  <c r="H4126" i="55"/>
  <c r="F4126" i="55"/>
  <c r="E4126" i="55"/>
  <c r="H4125" i="55"/>
  <c r="F4125" i="55"/>
  <c r="E4125" i="55"/>
  <c r="H4124" i="55"/>
  <c r="F4124" i="55"/>
  <c r="E4124" i="55"/>
  <c r="H4123" i="55"/>
  <c r="F4123" i="55"/>
  <c r="E4123" i="55"/>
  <c r="H4122" i="55"/>
  <c r="F4122" i="55"/>
  <c r="E4122" i="55"/>
  <c r="H4121" i="55"/>
  <c r="F4121" i="55"/>
  <c r="E4121" i="55"/>
  <c r="H4120" i="55"/>
  <c r="F4120" i="55"/>
  <c r="E4120" i="55"/>
  <c r="H4119" i="55"/>
  <c r="F4119" i="55"/>
  <c r="E4119" i="55"/>
  <c r="H4118" i="55"/>
  <c r="F4118" i="55"/>
  <c r="E4118" i="55"/>
  <c r="H4117" i="55"/>
  <c r="F4117" i="55"/>
  <c r="E4117" i="55"/>
  <c r="H4115" i="55"/>
  <c r="F4115" i="55"/>
  <c r="E4115" i="55"/>
  <c r="H4114" i="55"/>
  <c r="F4114" i="55"/>
  <c r="E4114" i="55"/>
  <c r="H4113" i="55"/>
  <c r="F4113" i="55"/>
  <c r="E4113" i="55"/>
  <c r="H4112" i="55"/>
  <c r="F4112" i="55"/>
  <c r="E4112" i="55"/>
  <c r="H4111" i="55"/>
  <c r="F4111" i="55"/>
  <c r="E4111" i="55"/>
  <c r="H4110" i="55"/>
  <c r="F4110" i="55"/>
  <c r="E4110" i="55"/>
  <c r="H4109" i="55"/>
  <c r="F4109" i="55"/>
  <c r="E4109" i="55"/>
  <c r="H4108" i="55"/>
  <c r="F4108" i="55"/>
  <c r="E4108" i="55"/>
  <c r="H4107" i="55"/>
  <c r="F4107" i="55"/>
  <c r="E4107" i="55"/>
  <c r="H4106" i="55"/>
  <c r="F4106" i="55"/>
  <c r="E4106" i="55"/>
  <c r="H4105" i="55"/>
  <c r="F4105" i="55"/>
  <c r="E4105" i="55"/>
  <c r="H4104" i="55"/>
  <c r="F4104" i="55"/>
  <c r="E4104" i="55"/>
  <c r="H4103" i="55"/>
  <c r="F4103" i="55"/>
  <c r="E4103" i="55"/>
  <c r="H4102" i="55"/>
  <c r="F4102" i="55"/>
  <c r="E4102" i="55"/>
  <c r="H4101" i="55"/>
  <c r="F4101" i="55"/>
  <c r="E4101" i="55"/>
  <c r="H4100" i="55"/>
  <c r="F4100" i="55"/>
  <c r="E4100" i="55"/>
  <c r="H4099" i="55"/>
  <c r="F4099" i="55"/>
  <c r="E4099" i="55"/>
  <c r="H4098" i="55"/>
  <c r="F4098" i="55"/>
  <c r="E4098" i="55"/>
  <c r="H4097" i="55"/>
  <c r="F4097" i="55"/>
  <c r="E4097" i="55"/>
  <c r="H4096" i="55"/>
  <c r="F4096" i="55"/>
  <c r="E4096" i="55"/>
  <c r="H4095" i="55"/>
  <c r="F4095" i="55"/>
  <c r="E4095" i="55"/>
  <c r="H4094" i="55"/>
  <c r="F4094" i="55"/>
  <c r="E4094" i="55"/>
  <c r="H4093" i="55"/>
  <c r="F4093" i="55"/>
  <c r="E4093" i="55"/>
  <c r="H4092" i="55"/>
  <c r="F4092" i="55"/>
  <c r="E4092" i="55"/>
  <c r="H4091" i="55"/>
  <c r="F4091" i="55"/>
  <c r="E4091" i="55"/>
  <c r="H4090" i="55"/>
  <c r="F4090" i="55"/>
  <c r="E4090" i="55"/>
  <c r="H4089" i="55"/>
  <c r="F4089" i="55"/>
  <c r="E4089" i="55"/>
  <c r="H4088" i="55"/>
  <c r="F4088" i="55"/>
  <c r="E4088" i="55"/>
  <c r="H4087" i="55"/>
  <c r="F4087" i="55"/>
  <c r="E4087" i="55"/>
  <c r="H4086" i="55"/>
  <c r="F4086" i="55"/>
  <c r="E4086" i="55"/>
  <c r="H4085" i="55"/>
  <c r="F4085" i="55"/>
  <c r="E4085" i="55"/>
  <c r="H4084" i="55"/>
  <c r="F4084" i="55"/>
  <c r="E4084" i="55"/>
  <c r="H4083" i="55"/>
  <c r="F4083" i="55"/>
  <c r="E4083" i="55"/>
  <c r="H4082" i="55"/>
  <c r="F4082" i="55"/>
  <c r="E4082" i="55"/>
  <c r="H4081" i="55"/>
  <c r="F4081" i="55"/>
  <c r="E4081" i="55"/>
  <c r="H4080" i="55"/>
  <c r="F4080" i="55"/>
  <c r="E4080" i="55"/>
  <c r="H4079" i="55"/>
  <c r="F4079" i="55"/>
  <c r="E4079" i="55"/>
  <c r="H4078" i="55"/>
  <c r="F4078" i="55"/>
  <c r="E4078" i="55"/>
  <c r="H4077" i="55"/>
  <c r="F4077" i="55"/>
  <c r="E4077" i="55"/>
  <c r="H4076" i="55"/>
  <c r="F4076" i="55"/>
  <c r="E4076" i="55"/>
  <c r="H4075" i="55"/>
  <c r="F4075" i="55"/>
  <c r="E4075" i="55"/>
  <c r="H4074" i="55"/>
  <c r="F4074" i="55"/>
  <c r="E4074" i="55"/>
  <c r="H4073" i="55"/>
  <c r="F4073" i="55"/>
  <c r="E4073" i="55"/>
  <c r="H4072" i="55"/>
  <c r="F4072" i="55"/>
  <c r="E4072" i="55"/>
  <c r="H4071" i="55"/>
  <c r="F4071" i="55"/>
  <c r="E4071" i="55"/>
  <c r="H4070" i="55"/>
  <c r="F4070" i="55"/>
  <c r="E4070" i="55"/>
  <c r="H4069" i="55"/>
  <c r="F4069" i="55"/>
  <c r="E4069" i="55"/>
  <c r="H4068" i="55"/>
  <c r="F4068" i="55"/>
  <c r="E4068" i="55"/>
  <c r="H4067" i="55"/>
  <c r="F4067" i="55"/>
  <c r="E4067" i="55"/>
  <c r="H4066" i="55"/>
  <c r="F4066" i="55"/>
  <c r="E4066" i="55"/>
  <c r="H4065" i="55"/>
  <c r="F4065" i="55"/>
  <c r="E4065" i="55"/>
  <c r="H4064" i="55"/>
  <c r="F4064" i="55"/>
  <c r="E4064" i="55"/>
  <c r="H4063" i="55"/>
  <c r="F4063" i="55"/>
  <c r="E4063" i="55"/>
  <c r="H4062" i="55"/>
  <c r="F4062" i="55"/>
  <c r="E4062" i="55"/>
  <c r="H4061" i="55"/>
  <c r="F4061" i="55"/>
  <c r="E4061" i="55"/>
  <c r="H4060" i="55"/>
  <c r="F4060" i="55"/>
  <c r="E4060" i="55"/>
  <c r="H4059" i="55"/>
  <c r="F4059" i="55"/>
  <c r="E4059" i="55"/>
  <c r="H4058" i="55"/>
  <c r="F4058" i="55"/>
  <c r="E4058" i="55"/>
  <c r="H4057" i="55"/>
  <c r="F4057" i="55"/>
  <c r="E4057" i="55"/>
  <c r="H4056" i="55"/>
  <c r="F4056" i="55"/>
  <c r="E4056" i="55"/>
  <c r="H4054" i="55"/>
  <c r="F4054" i="55"/>
  <c r="E4054" i="55"/>
  <c r="H4053" i="55"/>
  <c r="F4053" i="55"/>
  <c r="E4053" i="55"/>
  <c r="H4052" i="55"/>
  <c r="F4052" i="55"/>
  <c r="E4052" i="55"/>
  <c r="H4051" i="55"/>
  <c r="F4051" i="55"/>
  <c r="E4051" i="55"/>
  <c r="H4050" i="55"/>
  <c r="F4050" i="55"/>
  <c r="E4050" i="55"/>
  <c r="H4049" i="55"/>
  <c r="F4049" i="55"/>
  <c r="E4049" i="55"/>
  <c r="H4048" i="55"/>
  <c r="F4048" i="55"/>
  <c r="E4048" i="55"/>
  <c r="H4047" i="55"/>
  <c r="F4047" i="55"/>
  <c r="E4047" i="55"/>
  <c r="H4046" i="55"/>
  <c r="F4046" i="55"/>
  <c r="E4046" i="55"/>
  <c r="H4045" i="55"/>
  <c r="F4045" i="55"/>
  <c r="E4045" i="55"/>
  <c r="H4044" i="55"/>
  <c r="F4044" i="55"/>
  <c r="E4044" i="55"/>
  <c r="H4043" i="55"/>
  <c r="F4043" i="55"/>
  <c r="E4043" i="55"/>
  <c r="H4042" i="55"/>
  <c r="F4042" i="55"/>
  <c r="E4042" i="55"/>
  <c r="H4041" i="55"/>
  <c r="F4041" i="55"/>
  <c r="E4041" i="55"/>
  <c r="H4040" i="55"/>
  <c r="F4040" i="55"/>
  <c r="E4040" i="55"/>
  <c r="H4039" i="55"/>
  <c r="F4039" i="55"/>
  <c r="E4039" i="55"/>
  <c r="H4038" i="55"/>
  <c r="F4038" i="55"/>
  <c r="E4038" i="55"/>
  <c r="H4037" i="55"/>
  <c r="F4037" i="55"/>
  <c r="E4037" i="55"/>
  <c r="H4036" i="55"/>
  <c r="F4036" i="55"/>
  <c r="E4036" i="55"/>
  <c r="H4035" i="55"/>
  <c r="F4035" i="55"/>
  <c r="E4035" i="55"/>
  <c r="H4034" i="55"/>
  <c r="F4034" i="55"/>
  <c r="E4034" i="55"/>
  <c r="H4033" i="55"/>
  <c r="F4033" i="55"/>
  <c r="E4033" i="55"/>
  <c r="H4032" i="55"/>
  <c r="F4032" i="55"/>
  <c r="E4032" i="55"/>
  <c r="H4031" i="55"/>
  <c r="F4031" i="55"/>
  <c r="E4031" i="55"/>
  <c r="H4030" i="55"/>
  <c r="F4030" i="55"/>
  <c r="E4030" i="55"/>
  <c r="H4029" i="55"/>
  <c r="F4029" i="55"/>
  <c r="E4029" i="55"/>
  <c r="H4028" i="55"/>
  <c r="F4028" i="55"/>
  <c r="E4028" i="55"/>
  <c r="H4027" i="55"/>
  <c r="F4027" i="55"/>
  <c r="E4027" i="55"/>
  <c r="H4026" i="55"/>
  <c r="F4026" i="55"/>
  <c r="E4026" i="55"/>
  <c r="H4025" i="55"/>
  <c r="F4025" i="55"/>
  <c r="E4025" i="55"/>
  <c r="H4024" i="55"/>
  <c r="F4024" i="55"/>
  <c r="E4024" i="55"/>
  <c r="H4023" i="55"/>
  <c r="F4023" i="55"/>
  <c r="E4023" i="55"/>
  <c r="H4022" i="55"/>
  <c r="F4022" i="55"/>
  <c r="E4022" i="55"/>
  <c r="H4021" i="55"/>
  <c r="F4021" i="55"/>
  <c r="E4021" i="55"/>
  <c r="H4020" i="55"/>
  <c r="F4020" i="55"/>
  <c r="E4020" i="55"/>
  <c r="H4019" i="55"/>
  <c r="F4019" i="55"/>
  <c r="E4019" i="55"/>
  <c r="H4018" i="55"/>
  <c r="F4018" i="55"/>
  <c r="E4018" i="55"/>
  <c r="H4017" i="55"/>
  <c r="F4017" i="55"/>
  <c r="E4017" i="55"/>
  <c r="H4016" i="55"/>
  <c r="F4016" i="55"/>
  <c r="E4016" i="55"/>
  <c r="H4015" i="55"/>
  <c r="F4015" i="55"/>
  <c r="E4015" i="55"/>
  <c r="H4014" i="55"/>
  <c r="F4014" i="55"/>
  <c r="E4014" i="55"/>
  <c r="H4013" i="55"/>
  <c r="F4013" i="55"/>
  <c r="E4013" i="55"/>
  <c r="H4012" i="55"/>
  <c r="F4012" i="55"/>
  <c r="E4012" i="55"/>
  <c r="H4011" i="55"/>
  <c r="F4011" i="55"/>
  <c r="E4011" i="55"/>
  <c r="H4010" i="55"/>
  <c r="F4010" i="55"/>
  <c r="E4010" i="55"/>
  <c r="H4009" i="55"/>
  <c r="F4009" i="55"/>
  <c r="E4009" i="55"/>
  <c r="H4008" i="55"/>
  <c r="F4008" i="55"/>
  <c r="E4008" i="55"/>
  <c r="H4007" i="55"/>
  <c r="F4007" i="55"/>
  <c r="E4007" i="55"/>
  <c r="H4006" i="55"/>
  <c r="F4006" i="55"/>
  <c r="E4006" i="55"/>
  <c r="H4005" i="55"/>
  <c r="F4005" i="55"/>
  <c r="E4005" i="55"/>
  <c r="H4004" i="55"/>
  <c r="F4004" i="55"/>
  <c r="E4004" i="55"/>
  <c r="H4003" i="55"/>
  <c r="F4003" i="55"/>
  <c r="E4003" i="55"/>
  <c r="H4002" i="55"/>
  <c r="F4002" i="55"/>
  <c r="E4002" i="55"/>
  <c r="H4001" i="55"/>
  <c r="F4001" i="55"/>
  <c r="E4001" i="55"/>
  <c r="H4000" i="55"/>
  <c r="F4000" i="55"/>
  <c r="E4000" i="55"/>
  <c r="H3999" i="55"/>
  <c r="F3999" i="55"/>
  <c r="E3999" i="55"/>
  <c r="H3998" i="55"/>
  <c r="F3998" i="55"/>
  <c r="E3998" i="55"/>
  <c r="H3997" i="55"/>
  <c r="F3997" i="55"/>
  <c r="E3997" i="55"/>
  <c r="H3996" i="55"/>
  <c r="F3996" i="55"/>
  <c r="E3996" i="55"/>
  <c r="H3995" i="55"/>
  <c r="F3995" i="55"/>
  <c r="E3995" i="55"/>
  <c r="H3993" i="55"/>
  <c r="F3993" i="55"/>
  <c r="E3993" i="55"/>
  <c r="H3992" i="55"/>
  <c r="F3992" i="55"/>
  <c r="E3992" i="55"/>
  <c r="H3991" i="55"/>
  <c r="F3991" i="55"/>
  <c r="E3991" i="55"/>
  <c r="H3990" i="55"/>
  <c r="F3990" i="55"/>
  <c r="E3990" i="55"/>
  <c r="H3989" i="55"/>
  <c r="F3989" i="55"/>
  <c r="E3989" i="55"/>
  <c r="H3988" i="55"/>
  <c r="F3988" i="55"/>
  <c r="E3988" i="55"/>
  <c r="H3987" i="55"/>
  <c r="F3987" i="55"/>
  <c r="E3987" i="55"/>
  <c r="H3986" i="55"/>
  <c r="F3986" i="55"/>
  <c r="E3986" i="55"/>
  <c r="H3985" i="55"/>
  <c r="F3985" i="55"/>
  <c r="E3985" i="55"/>
  <c r="H3984" i="55"/>
  <c r="F3984" i="55"/>
  <c r="E3984" i="55"/>
  <c r="H3983" i="55"/>
  <c r="F3983" i="55"/>
  <c r="E3983" i="55"/>
  <c r="H3982" i="55"/>
  <c r="F3982" i="55"/>
  <c r="E3982" i="55"/>
  <c r="H3981" i="55"/>
  <c r="F3981" i="55"/>
  <c r="E3981" i="55"/>
  <c r="H3980" i="55"/>
  <c r="F3980" i="55"/>
  <c r="E3980" i="55"/>
  <c r="H3979" i="55"/>
  <c r="F3979" i="55"/>
  <c r="E3979" i="55"/>
  <c r="H3978" i="55"/>
  <c r="F3978" i="55"/>
  <c r="E3978" i="55"/>
  <c r="H3977" i="55"/>
  <c r="F3977" i="55"/>
  <c r="E3977" i="55"/>
  <c r="H3976" i="55"/>
  <c r="F3976" i="55"/>
  <c r="E3976" i="55"/>
  <c r="H3975" i="55"/>
  <c r="F3975" i="55"/>
  <c r="E3975" i="55"/>
  <c r="H3974" i="55"/>
  <c r="F3974" i="55"/>
  <c r="E3974" i="55"/>
  <c r="H3973" i="55"/>
  <c r="F3973" i="55"/>
  <c r="E3973" i="55"/>
  <c r="H3972" i="55"/>
  <c r="F3972" i="55"/>
  <c r="E3972" i="55"/>
  <c r="H3971" i="55"/>
  <c r="F3971" i="55"/>
  <c r="E3971" i="55"/>
  <c r="H3970" i="55"/>
  <c r="F3970" i="55"/>
  <c r="E3970" i="55"/>
  <c r="H3969" i="55"/>
  <c r="F3969" i="55"/>
  <c r="E3969" i="55"/>
  <c r="H3968" i="55"/>
  <c r="F3968" i="55"/>
  <c r="E3968" i="55"/>
  <c r="H3967" i="55"/>
  <c r="F3967" i="55"/>
  <c r="E3967" i="55"/>
  <c r="H3966" i="55"/>
  <c r="F3966" i="55"/>
  <c r="E3966" i="55"/>
  <c r="H3965" i="55"/>
  <c r="F3965" i="55"/>
  <c r="E3965" i="55"/>
  <c r="H3964" i="55"/>
  <c r="F3964" i="55"/>
  <c r="E3964" i="55"/>
  <c r="H3963" i="55"/>
  <c r="F3963" i="55"/>
  <c r="E3963" i="55"/>
  <c r="H3962" i="55"/>
  <c r="F3962" i="55"/>
  <c r="E3962" i="55"/>
  <c r="H3961" i="55"/>
  <c r="F3961" i="55"/>
  <c r="E3961" i="55"/>
  <c r="H3960" i="55"/>
  <c r="F3960" i="55"/>
  <c r="E3960" i="55"/>
  <c r="H3959" i="55"/>
  <c r="F3959" i="55"/>
  <c r="E3959" i="55"/>
  <c r="H3958" i="55"/>
  <c r="F3958" i="55"/>
  <c r="E3958" i="55"/>
  <c r="H3957" i="55"/>
  <c r="F3957" i="55"/>
  <c r="E3957" i="55"/>
  <c r="H3956" i="55"/>
  <c r="F3956" i="55"/>
  <c r="E3956" i="55"/>
  <c r="H3955" i="55"/>
  <c r="F3955" i="55"/>
  <c r="E3955" i="55"/>
  <c r="H3954" i="55"/>
  <c r="F3954" i="55"/>
  <c r="E3954" i="55"/>
  <c r="H3953" i="55"/>
  <c r="F3953" i="55"/>
  <c r="E3953" i="55"/>
  <c r="H3952" i="55"/>
  <c r="F3952" i="55"/>
  <c r="E3952" i="55"/>
  <c r="H3951" i="55"/>
  <c r="F3951" i="55"/>
  <c r="E3951" i="55"/>
  <c r="H3950" i="55"/>
  <c r="F3950" i="55"/>
  <c r="E3950" i="55"/>
  <c r="H3949" i="55"/>
  <c r="F3949" i="55"/>
  <c r="E3949" i="55"/>
  <c r="H3948" i="55"/>
  <c r="F3948" i="55"/>
  <c r="E3948" i="55"/>
  <c r="H3947" i="55"/>
  <c r="F3947" i="55"/>
  <c r="E3947" i="55"/>
  <c r="H3946" i="55"/>
  <c r="F3946" i="55"/>
  <c r="E3946" i="55"/>
  <c r="H3945" i="55"/>
  <c r="F3945" i="55"/>
  <c r="E3945" i="55"/>
  <c r="H3944" i="55"/>
  <c r="F3944" i="55"/>
  <c r="E3944" i="55"/>
  <c r="H3943" i="55"/>
  <c r="F3943" i="55"/>
  <c r="E3943" i="55"/>
  <c r="H3942" i="55"/>
  <c r="F3942" i="55"/>
  <c r="E3942" i="55"/>
  <c r="H3941" i="55"/>
  <c r="F3941" i="55"/>
  <c r="E3941" i="55"/>
  <c r="H3940" i="55"/>
  <c r="F3940" i="55"/>
  <c r="E3940" i="55"/>
  <c r="H3939" i="55"/>
  <c r="F3939" i="55"/>
  <c r="E3939" i="55"/>
  <c r="H3938" i="55"/>
  <c r="F3938" i="55"/>
  <c r="E3938" i="55"/>
  <c r="H3937" i="55"/>
  <c r="F3937" i="55"/>
  <c r="E3937" i="55"/>
  <c r="H3936" i="55"/>
  <c r="F3936" i="55"/>
  <c r="E3936" i="55"/>
  <c r="H3935" i="55"/>
  <c r="F3935" i="55"/>
  <c r="E3935" i="55"/>
  <c r="H3934" i="55"/>
  <c r="F3934" i="55"/>
  <c r="E3934" i="55"/>
  <c r="H3932" i="55"/>
  <c r="F3932" i="55"/>
  <c r="E3932" i="55"/>
  <c r="H3931" i="55"/>
  <c r="F3931" i="55"/>
  <c r="E3931" i="55"/>
  <c r="H3930" i="55"/>
  <c r="F3930" i="55"/>
  <c r="E3930" i="55"/>
  <c r="H3929" i="55"/>
  <c r="F3929" i="55"/>
  <c r="E3929" i="55"/>
  <c r="H3928" i="55"/>
  <c r="F3928" i="55"/>
  <c r="E3928" i="55"/>
  <c r="H3927" i="55"/>
  <c r="F3927" i="55"/>
  <c r="E3927" i="55"/>
  <c r="H3926" i="55"/>
  <c r="F3926" i="55"/>
  <c r="E3926" i="55"/>
  <c r="H3925" i="55"/>
  <c r="F3925" i="55"/>
  <c r="E3925" i="55"/>
  <c r="H3924" i="55"/>
  <c r="F3924" i="55"/>
  <c r="E3924" i="55"/>
  <c r="H3923" i="55"/>
  <c r="F3923" i="55"/>
  <c r="E3923" i="55"/>
  <c r="H3922" i="55"/>
  <c r="F3922" i="55"/>
  <c r="E3922" i="55"/>
  <c r="H3921" i="55"/>
  <c r="F3921" i="55"/>
  <c r="E3921" i="55"/>
  <c r="H3920" i="55"/>
  <c r="F3920" i="55"/>
  <c r="E3920" i="55"/>
  <c r="H3919" i="55"/>
  <c r="F3919" i="55"/>
  <c r="E3919" i="55"/>
  <c r="H3918" i="55"/>
  <c r="F3918" i="55"/>
  <c r="E3918" i="55"/>
  <c r="H3917" i="55"/>
  <c r="F3917" i="55"/>
  <c r="E3917" i="55"/>
  <c r="H3916" i="55"/>
  <c r="F3916" i="55"/>
  <c r="E3916" i="55"/>
  <c r="H3915" i="55"/>
  <c r="F3915" i="55"/>
  <c r="E3915" i="55"/>
  <c r="H3914" i="55"/>
  <c r="F3914" i="55"/>
  <c r="E3914" i="55"/>
  <c r="H3913" i="55"/>
  <c r="F3913" i="55"/>
  <c r="E3913" i="55"/>
  <c r="H3912" i="55"/>
  <c r="F3912" i="55"/>
  <c r="E3912" i="55"/>
  <c r="H3911" i="55"/>
  <c r="F3911" i="55"/>
  <c r="E3911" i="55"/>
  <c r="H3910" i="55"/>
  <c r="F3910" i="55"/>
  <c r="E3910" i="55"/>
  <c r="H3909" i="55"/>
  <c r="F3909" i="55"/>
  <c r="E3909" i="55"/>
  <c r="H3908" i="55"/>
  <c r="F3908" i="55"/>
  <c r="E3908" i="55"/>
  <c r="H3907" i="55"/>
  <c r="F3907" i="55"/>
  <c r="E3907" i="55"/>
  <c r="H3906" i="55"/>
  <c r="F3906" i="55"/>
  <c r="E3906" i="55"/>
  <c r="H3905" i="55"/>
  <c r="F3905" i="55"/>
  <c r="E3905" i="55"/>
  <c r="H3904" i="55"/>
  <c r="F3904" i="55"/>
  <c r="E3904" i="55"/>
  <c r="H3903" i="55"/>
  <c r="F3903" i="55"/>
  <c r="E3903" i="55"/>
  <c r="H3902" i="55"/>
  <c r="F3902" i="55"/>
  <c r="E3902" i="55"/>
  <c r="H3901" i="55"/>
  <c r="F3901" i="55"/>
  <c r="E3901" i="55"/>
  <c r="H3900" i="55"/>
  <c r="F3900" i="55"/>
  <c r="E3900" i="55"/>
  <c r="H3899" i="55"/>
  <c r="F3899" i="55"/>
  <c r="E3899" i="55"/>
  <c r="H3898" i="55"/>
  <c r="F3898" i="55"/>
  <c r="E3898" i="55"/>
  <c r="H3897" i="55"/>
  <c r="F3897" i="55"/>
  <c r="E3897" i="55"/>
  <c r="H3896" i="55"/>
  <c r="F3896" i="55"/>
  <c r="E3896" i="55"/>
  <c r="H3895" i="55"/>
  <c r="F3895" i="55"/>
  <c r="E3895" i="55"/>
  <c r="H3894" i="55"/>
  <c r="F3894" i="55"/>
  <c r="E3894" i="55"/>
  <c r="H3893" i="55"/>
  <c r="F3893" i="55"/>
  <c r="E3893" i="55"/>
  <c r="H3892" i="55"/>
  <c r="F3892" i="55"/>
  <c r="E3892" i="55"/>
  <c r="H3891" i="55"/>
  <c r="F3891" i="55"/>
  <c r="E3891" i="55"/>
  <c r="H3890" i="55"/>
  <c r="F3890" i="55"/>
  <c r="E3890" i="55"/>
  <c r="H3889" i="55"/>
  <c r="F3889" i="55"/>
  <c r="E3889" i="55"/>
  <c r="H3888" i="55"/>
  <c r="F3888" i="55"/>
  <c r="E3888" i="55"/>
  <c r="H3887" i="55"/>
  <c r="F3887" i="55"/>
  <c r="E3887" i="55"/>
  <c r="H3886" i="55"/>
  <c r="F3886" i="55"/>
  <c r="E3886" i="55"/>
  <c r="H3885" i="55"/>
  <c r="F3885" i="55"/>
  <c r="E3885" i="55"/>
  <c r="H3884" i="55"/>
  <c r="F3884" i="55"/>
  <c r="E3884" i="55"/>
  <c r="H3883" i="55"/>
  <c r="F3883" i="55"/>
  <c r="E3883" i="55"/>
  <c r="H3882" i="55"/>
  <c r="F3882" i="55"/>
  <c r="E3882" i="55"/>
  <c r="H3881" i="55"/>
  <c r="F3881" i="55"/>
  <c r="E3881" i="55"/>
  <c r="H3880" i="55"/>
  <c r="F3880" i="55"/>
  <c r="E3880" i="55"/>
  <c r="H3879" i="55"/>
  <c r="F3879" i="55"/>
  <c r="E3879" i="55"/>
  <c r="H3878" i="55"/>
  <c r="F3878" i="55"/>
  <c r="E3878" i="55"/>
  <c r="H3877" i="55"/>
  <c r="F3877" i="55"/>
  <c r="E3877" i="55"/>
  <c r="H3876" i="55"/>
  <c r="F3876" i="55"/>
  <c r="E3876" i="55"/>
  <c r="H3875" i="55"/>
  <c r="F3875" i="55"/>
  <c r="E3875" i="55"/>
  <c r="H3874" i="55"/>
  <c r="F3874" i="55"/>
  <c r="E3874" i="55"/>
  <c r="H3873" i="55"/>
  <c r="F3873" i="55"/>
  <c r="E3873" i="55"/>
  <c r="H3871" i="55"/>
  <c r="F3871" i="55"/>
  <c r="E3871" i="55"/>
  <c r="H3870" i="55"/>
  <c r="F3870" i="55"/>
  <c r="E3870" i="55"/>
  <c r="H3869" i="55"/>
  <c r="F3869" i="55"/>
  <c r="E3869" i="55"/>
  <c r="H3868" i="55"/>
  <c r="F3868" i="55"/>
  <c r="E3868" i="55"/>
  <c r="H3867" i="55"/>
  <c r="F3867" i="55"/>
  <c r="E3867" i="55"/>
  <c r="H3866" i="55"/>
  <c r="F3866" i="55"/>
  <c r="E3866" i="55"/>
  <c r="H3865" i="55"/>
  <c r="F3865" i="55"/>
  <c r="E3865" i="55"/>
  <c r="H3864" i="55"/>
  <c r="F3864" i="55"/>
  <c r="E3864" i="55"/>
  <c r="H3863" i="55"/>
  <c r="F3863" i="55"/>
  <c r="E3863" i="55"/>
  <c r="H3862" i="55"/>
  <c r="F3862" i="55"/>
  <c r="E3862" i="55"/>
  <c r="H3861" i="55"/>
  <c r="F3861" i="55"/>
  <c r="E3861" i="55"/>
  <c r="H3860" i="55"/>
  <c r="F3860" i="55"/>
  <c r="E3860" i="55"/>
  <c r="H3859" i="55"/>
  <c r="F3859" i="55"/>
  <c r="E3859" i="55"/>
  <c r="H3858" i="55"/>
  <c r="F3858" i="55"/>
  <c r="E3858" i="55"/>
  <c r="H3857" i="55"/>
  <c r="F3857" i="55"/>
  <c r="E3857" i="55"/>
  <c r="H3856" i="55"/>
  <c r="F3856" i="55"/>
  <c r="E3856" i="55"/>
  <c r="H3855" i="55"/>
  <c r="F3855" i="55"/>
  <c r="E3855" i="55"/>
  <c r="H3854" i="55"/>
  <c r="F3854" i="55"/>
  <c r="E3854" i="55"/>
  <c r="H3853" i="55"/>
  <c r="F3853" i="55"/>
  <c r="E3853" i="55"/>
  <c r="H3852" i="55"/>
  <c r="F3852" i="55"/>
  <c r="E3852" i="55"/>
  <c r="H3851" i="55"/>
  <c r="F3851" i="55"/>
  <c r="E3851" i="55"/>
  <c r="H3850" i="55"/>
  <c r="F3850" i="55"/>
  <c r="E3850" i="55"/>
  <c r="H3849" i="55"/>
  <c r="F3849" i="55"/>
  <c r="E3849" i="55"/>
  <c r="H3848" i="55"/>
  <c r="F3848" i="55"/>
  <c r="E3848" i="55"/>
  <c r="H3847" i="55"/>
  <c r="F3847" i="55"/>
  <c r="E3847" i="55"/>
  <c r="H3846" i="55"/>
  <c r="F3846" i="55"/>
  <c r="E3846" i="55"/>
  <c r="H3845" i="55"/>
  <c r="F3845" i="55"/>
  <c r="E3845" i="55"/>
  <c r="H3844" i="55"/>
  <c r="F3844" i="55"/>
  <c r="E3844" i="55"/>
  <c r="H3843" i="55"/>
  <c r="F3843" i="55"/>
  <c r="E3843" i="55"/>
  <c r="H3842" i="55"/>
  <c r="F3842" i="55"/>
  <c r="E3842" i="55"/>
  <c r="H3841" i="55"/>
  <c r="F3841" i="55"/>
  <c r="E3841" i="55"/>
  <c r="H3840" i="55"/>
  <c r="F3840" i="55"/>
  <c r="E3840" i="55"/>
  <c r="H3839" i="55"/>
  <c r="F3839" i="55"/>
  <c r="E3839" i="55"/>
  <c r="H3838" i="55"/>
  <c r="F3838" i="55"/>
  <c r="E3838" i="55"/>
  <c r="H3837" i="55"/>
  <c r="F3837" i="55"/>
  <c r="E3837" i="55"/>
  <c r="H3836" i="55"/>
  <c r="F3836" i="55"/>
  <c r="E3836" i="55"/>
  <c r="H3835" i="55"/>
  <c r="F3835" i="55"/>
  <c r="E3835" i="55"/>
  <c r="H3834" i="55"/>
  <c r="F3834" i="55"/>
  <c r="E3834" i="55"/>
  <c r="H3833" i="55"/>
  <c r="F3833" i="55"/>
  <c r="E3833" i="55"/>
  <c r="H3832" i="55"/>
  <c r="F3832" i="55"/>
  <c r="E3832" i="55"/>
  <c r="H3831" i="55"/>
  <c r="F3831" i="55"/>
  <c r="E3831" i="55"/>
  <c r="H3830" i="55"/>
  <c r="F3830" i="55"/>
  <c r="E3830" i="55"/>
  <c r="H3829" i="55"/>
  <c r="F3829" i="55"/>
  <c r="E3829" i="55"/>
  <c r="H3828" i="55"/>
  <c r="F3828" i="55"/>
  <c r="E3828" i="55"/>
  <c r="H3827" i="55"/>
  <c r="F3827" i="55"/>
  <c r="E3827" i="55"/>
  <c r="H3826" i="55"/>
  <c r="F3826" i="55"/>
  <c r="E3826" i="55"/>
  <c r="H3825" i="55"/>
  <c r="F3825" i="55"/>
  <c r="E3825" i="55"/>
  <c r="H3824" i="55"/>
  <c r="F3824" i="55"/>
  <c r="E3824" i="55"/>
  <c r="H3823" i="55"/>
  <c r="F3823" i="55"/>
  <c r="E3823" i="55"/>
  <c r="H3822" i="55"/>
  <c r="F3822" i="55"/>
  <c r="E3822" i="55"/>
  <c r="H3821" i="55"/>
  <c r="F3821" i="55"/>
  <c r="E3821" i="55"/>
  <c r="H3820" i="55"/>
  <c r="F3820" i="55"/>
  <c r="E3820" i="55"/>
  <c r="H3819" i="55"/>
  <c r="F3819" i="55"/>
  <c r="E3819" i="55"/>
  <c r="H3818" i="55"/>
  <c r="F3818" i="55"/>
  <c r="E3818" i="55"/>
  <c r="H3817" i="55"/>
  <c r="F3817" i="55"/>
  <c r="E3817" i="55"/>
  <c r="H3816" i="55"/>
  <c r="F3816" i="55"/>
  <c r="E3816" i="55"/>
  <c r="H3815" i="55"/>
  <c r="F3815" i="55"/>
  <c r="E3815" i="55"/>
  <c r="H3814" i="55"/>
  <c r="F3814" i="55"/>
  <c r="E3814" i="55"/>
  <c r="H3813" i="55"/>
  <c r="F3813" i="55"/>
  <c r="E3813" i="55"/>
  <c r="H3812" i="55"/>
  <c r="F3812" i="55"/>
  <c r="E3812" i="55"/>
  <c r="H3810" i="55"/>
  <c r="F3810" i="55"/>
  <c r="E3810" i="55"/>
  <c r="H3809" i="55"/>
  <c r="F3809" i="55"/>
  <c r="E3809" i="55"/>
  <c r="H3808" i="55"/>
  <c r="F3808" i="55"/>
  <c r="E3808" i="55"/>
  <c r="H3807" i="55"/>
  <c r="F3807" i="55"/>
  <c r="E3807" i="55"/>
  <c r="H3806" i="55"/>
  <c r="F3806" i="55"/>
  <c r="E3806" i="55"/>
  <c r="H3805" i="55"/>
  <c r="F3805" i="55"/>
  <c r="E3805" i="55"/>
  <c r="H3804" i="55"/>
  <c r="F3804" i="55"/>
  <c r="E3804" i="55"/>
  <c r="H3803" i="55"/>
  <c r="F3803" i="55"/>
  <c r="E3803" i="55"/>
  <c r="H3802" i="55"/>
  <c r="F3802" i="55"/>
  <c r="E3802" i="55"/>
  <c r="H3801" i="55"/>
  <c r="F3801" i="55"/>
  <c r="E3801" i="55"/>
  <c r="H3800" i="55"/>
  <c r="F3800" i="55"/>
  <c r="E3800" i="55"/>
  <c r="H3799" i="55"/>
  <c r="F3799" i="55"/>
  <c r="E3799" i="55"/>
  <c r="H3798" i="55"/>
  <c r="F3798" i="55"/>
  <c r="E3798" i="55"/>
  <c r="H3797" i="55"/>
  <c r="F3797" i="55"/>
  <c r="E3797" i="55"/>
  <c r="H3796" i="55"/>
  <c r="F3796" i="55"/>
  <c r="E3796" i="55"/>
  <c r="H3795" i="55"/>
  <c r="F3795" i="55"/>
  <c r="E3795" i="55"/>
  <c r="H3794" i="55"/>
  <c r="F3794" i="55"/>
  <c r="E3794" i="55"/>
  <c r="H3793" i="55"/>
  <c r="F3793" i="55"/>
  <c r="E3793" i="55"/>
  <c r="H3792" i="55"/>
  <c r="F3792" i="55"/>
  <c r="E3792" i="55"/>
  <c r="H3791" i="55"/>
  <c r="F3791" i="55"/>
  <c r="E3791" i="55"/>
  <c r="H3790" i="55"/>
  <c r="F3790" i="55"/>
  <c r="E3790" i="55"/>
  <c r="H3789" i="55"/>
  <c r="F3789" i="55"/>
  <c r="E3789" i="55"/>
  <c r="H3788" i="55"/>
  <c r="F3788" i="55"/>
  <c r="E3788" i="55"/>
  <c r="H3787" i="55"/>
  <c r="F3787" i="55"/>
  <c r="E3787" i="55"/>
  <c r="H3786" i="55"/>
  <c r="F3786" i="55"/>
  <c r="E3786" i="55"/>
  <c r="H3785" i="55"/>
  <c r="F3785" i="55"/>
  <c r="E3785" i="55"/>
  <c r="H3784" i="55"/>
  <c r="F3784" i="55"/>
  <c r="E3784" i="55"/>
  <c r="H3783" i="55"/>
  <c r="F3783" i="55"/>
  <c r="E3783" i="55"/>
  <c r="H3782" i="55"/>
  <c r="F3782" i="55"/>
  <c r="E3782" i="55"/>
  <c r="H3781" i="55"/>
  <c r="F3781" i="55"/>
  <c r="E3781" i="55"/>
  <c r="H3780" i="55"/>
  <c r="F3780" i="55"/>
  <c r="E3780" i="55"/>
  <c r="H3779" i="55"/>
  <c r="F3779" i="55"/>
  <c r="E3779" i="55"/>
  <c r="H3778" i="55"/>
  <c r="F3778" i="55"/>
  <c r="E3778" i="55"/>
  <c r="H3777" i="55"/>
  <c r="F3777" i="55"/>
  <c r="E3777" i="55"/>
  <c r="H3776" i="55"/>
  <c r="F3776" i="55"/>
  <c r="E3776" i="55"/>
  <c r="H3775" i="55"/>
  <c r="F3775" i="55"/>
  <c r="E3775" i="55"/>
  <c r="H3774" i="55"/>
  <c r="F3774" i="55"/>
  <c r="E3774" i="55"/>
  <c r="H3773" i="55"/>
  <c r="F3773" i="55"/>
  <c r="E3773" i="55"/>
  <c r="H3772" i="55"/>
  <c r="F3772" i="55"/>
  <c r="E3772" i="55"/>
  <c r="H3771" i="55"/>
  <c r="F3771" i="55"/>
  <c r="E3771" i="55"/>
  <c r="H3770" i="55"/>
  <c r="F3770" i="55"/>
  <c r="E3770" i="55"/>
  <c r="H3769" i="55"/>
  <c r="F3769" i="55"/>
  <c r="E3769" i="55"/>
  <c r="H3768" i="55"/>
  <c r="F3768" i="55"/>
  <c r="E3768" i="55"/>
  <c r="H3767" i="55"/>
  <c r="F3767" i="55"/>
  <c r="E3767" i="55"/>
  <c r="H3766" i="55"/>
  <c r="F3766" i="55"/>
  <c r="E3766" i="55"/>
  <c r="H3765" i="55"/>
  <c r="F3765" i="55"/>
  <c r="E3765" i="55"/>
  <c r="H3764" i="55"/>
  <c r="F3764" i="55"/>
  <c r="E3764" i="55"/>
  <c r="H3763" i="55"/>
  <c r="F3763" i="55"/>
  <c r="E3763" i="55"/>
  <c r="H3762" i="55"/>
  <c r="F3762" i="55"/>
  <c r="E3762" i="55"/>
  <c r="H3761" i="55"/>
  <c r="F3761" i="55"/>
  <c r="E3761" i="55"/>
  <c r="H3760" i="55"/>
  <c r="F3760" i="55"/>
  <c r="E3760" i="55"/>
  <c r="H3759" i="55"/>
  <c r="F3759" i="55"/>
  <c r="E3759" i="55"/>
  <c r="H3758" i="55"/>
  <c r="F3758" i="55"/>
  <c r="E3758" i="55"/>
  <c r="H3757" i="55"/>
  <c r="F3757" i="55"/>
  <c r="E3757" i="55"/>
  <c r="H3756" i="55"/>
  <c r="F3756" i="55"/>
  <c r="E3756" i="55"/>
  <c r="H3755" i="55"/>
  <c r="F3755" i="55"/>
  <c r="E3755" i="55"/>
  <c r="H3754" i="55"/>
  <c r="F3754" i="55"/>
  <c r="E3754" i="55"/>
  <c r="H3753" i="55"/>
  <c r="F3753" i="55"/>
  <c r="E3753" i="55"/>
  <c r="H3752" i="55"/>
  <c r="F3752" i="55"/>
  <c r="E3752" i="55"/>
  <c r="H3751" i="55"/>
  <c r="F3751" i="55"/>
  <c r="E3751" i="55"/>
  <c r="H3749" i="55"/>
  <c r="F3749" i="55"/>
  <c r="E3749" i="55"/>
  <c r="H3748" i="55"/>
  <c r="F3748" i="55"/>
  <c r="E3748" i="55"/>
  <c r="H3747" i="55"/>
  <c r="F3747" i="55"/>
  <c r="E3747" i="55"/>
  <c r="H3746" i="55"/>
  <c r="F3746" i="55"/>
  <c r="E3746" i="55"/>
  <c r="H3745" i="55"/>
  <c r="F3745" i="55"/>
  <c r="E3745" i="55"/>
  <c r="H3744" i="55"/>
  <c r="F3744" i="55"/>
  <c r="E3744" i="55"/>
  <c r="H3743" i="55"/>
  <c r="F3743" i="55"/>
  <c r="E3743" i="55"/>
  <c r="H3742" i="55"/>
  <c r="F3742" i="55"/>
  <c r="E3742" i="55"/>
  <c r="H3741" i="55"/>
  <c r="F3741" i="55"/>
  <c r="E3741" i="55"/>
  <c r="H3740" i="55"/>
  <c r="F3740" i="55"/>
  <c r="E3740" i="55"/>
  <c r="H3739" i="55"/>
  <c r="F3739" i="55"/>
  <c r="E3739" i="55"/>
  <c r="H3738" i="55"/>
  <c r="F3738" i="55"/>
  <c r="E3738" i="55"/>
  <c r="H3737" i="55"/>
  <c r="F3737" i="55"/>
  <c r="E3737" i="55"/>
  <c r="H3736" i="55"/>
  <c r="F3736" i="55"/>
  <c r="E3736" i="55"/>
  <c r="H3735" i="55"/>
  <c r="F3735" i="55"/>
  <c r="E3735" i="55"/>
  <c r="H3734" i="55"/>
  <c r="F3734" i="55"/>
  <c r="E3734" i="55"/>
  <c r="H3733" i="55"/>
  <c r="F3733" i="55"/>
  <c r="E3733" i="55"/>
  <c r="H3732" i="55"/>
  <c r="F3732" i="55"/>
  <c r="E3732" i="55"/>
  <c r="H3731" i="55"/>
  <c r="F3731" i="55"/>
  <c r="E3731" i="55"/>
  <c r="H3730" i="55"/>
  <c r="F3730" i="55"/>
  <c r="E3730" i="55"/>
  <c r="H3729" i="55"/>
  <c r="F3729" i="55"/>
  <c r="E3729" i="55"/>
  <c r="H3728" i="55"/>
  <c r="F3728" i="55"/>
  <c r="E3728" i="55"/>
  <c r="H3727" i="55"/>
  <c r="F3727" i="55"/>
  <c r="E3727" i="55"/>
  <c r="H3726" i="55"/>
  <c r="F3726" i="55"/>
  <c r="E3726" i="55"/>
  <c r="H3725" i="55"/>
  <c r="F3725" i="55"/>
  <c r="E3725" i="55"/>
  <c r="H3724" i="55"/>
  <c r="F3724" i="55"/>
  <c r="E3724" i="55"/>
  <c r="H3723" i="55"/>
  <c r="F3723" i="55"/>
  <c r="E3723" i="55"/>
  <c r="H3722" i="55"/>
  <c r="F3722" i="55"/>
  <c r="E3722" i="55"/>
  <c r="H3721" i="55"/>
  <c r="F3721" i="55"/>
  <c r="E3721" i="55"/>
  <c r="H3720" i="55"/>
  <c r="F3720" i="55"/>
  <c r="E3720" i="55"/>
  <c r="H3719" i="55"/>
  <c r="F3719" i="55"/>
  <c r="E3719" i="55"/>
  <c r="H3718" i="55"/>
  <c r="F3718" i="55"/>
  <c r="E3718" i="55"/>
  <c r="H3717" i="55"/>
  <c r="F3717" i="55"/>
  <c r="E3717" i="55"/>
  <c r="H3716" i="55"/>
  <c r="F3716" i="55"/>
  <c r="E3716" i="55"/>
  <c r="H3715" i="55"/>
  <c r="F3715" i="55"/>
  <c r="E3715" i="55"/>
  <c r="H3714" i="55"/>
  <c r="F3714" i="55"/>
  <c r="E3714" i="55"/>
  <c r="H3713" i="55"/>
  <c r="F3713" i="55"/>
  <c r="E3713" i="55"/>
  <c r="H3712" i="55"/>
  <c r="F3712" i="55"/>
  <c r="E3712" i="55"/>
  <c r="H3711" i="55"/>
  <c r="F3711" i="55"/>
  <c r="E3711" i="55"/>
  <c r="H3710" i="55"/>
  <c r="F3710" i="55"/>
  <c r="E3710" i="55"/>
  <c r="H3709" i="55"/>
  <c r="F3709" i="55"/>
  <c r="E3709" i="55"/>
  <c r="H3708" i="55"/>
  <c r="F3708" i="55"/>
  <c r="E3708" i="55"/>
  <c r="H3707" i="55"/>
  <c r="F3707" i="55"/>
  <c r="E3707" i="55"/>
  <c r="H3706" i="55"/>
  <c r="F3706" i="55"/>
  <c r="E3706" i="55"/>
  <c r="H3705" i="55"/>
  <c r="F3705" i="55"/>
  <c r="E3705" i="55"/>
  <c r="H3704" i="55"/>
  <c r="F3704" i="55"/>
  <c r="E3704" i="55"/>
  <c r="H3703" i="55"/>
  <c r="F3703" i="55"/>
  <c r="E3703" i="55"/>
  <c r="H3702" i="55"/>
  <c r="F3702" i="55"/>
  <c r="E3702" i="55"/>
  <c r="H3701" i="55"/>
  <c r="F3701" i="55"/>
  <c r="E3701" i="55"/>
  <c r="H3700" i="55"/>
  <c r="F3700" i="55"/>
  <c r="E3700" i="55"/>
  <c r="H3699" i="55"/>
  <c r="F3699" i="55"/>
  <c r="E3699" i="55"/>
  <c r="H3698" i="55"/>
  <c r="F3698" i="55"/>
  <c r="E3698" i="55"/>
  <c r="H3697" i="55"/>
  <c r="F3697" i="55"/>
  <c r="E3697" i="55"/>
  <c r="H3696" i="55"/>
  <c r="F3696" i="55"/>
  <c r="E3696" i="55"/>
  <c r="H3695" i="55"/>
  <c r="F3695" i="55"/>
  <c r="E3695" i="55"/>
  <c r="H3694" i="55"/>
  <c r="F3694" i="55"/>
  <c r="E3694" i="55"/>
  <c r="H3693" i="55"/>
  <c r="F3693" i="55"/>
  <c r="E3693" i="55"/>
  <c r="H3692" i="55"/>
  <c r="F3692" i="55"/>
  <c r="E3692" i="55"/>
  <c r="H3691" i="55"/>
  <c r="F3691" i="55"/>
  <c r="E3691" i="55"/>
  <c r="H3690" i="55"/>
  <c r="F3690" i="55"/>
  <c r="E3690" i="55"/>
  <c r="H3688" i="55"/>
  <c r="F3688" i="55"/>
  <c r="E3688" i="55"/>
  <c r="H3687" i="55"/>
  <c r="F3687" i="55"/>
  <c r="E3687" i="55"/>
  <c r="H3686" i="55"/>
  <c r="F3686" i="55"/>
  <c r="E3686" i="55"/>
  <c r="H3685" i="55"/>
  <c r="F3685" i="55"/>
  <c r="E3685" i="55"/>
  <c r="H3684" i="55"/>
  <c r="F3684" i="55"/>
  <c r="E3684" i="55"/>
  <c r="H3683" i="55"/>
  <c r="F3683" i="55"/>
  <c r="E3683" i="55"/>
  <c r="H3682" i="55"/>
  <c r="F3682" i="55"/>
  <c r="E3682" i="55"/>
  <c r="H3681" i="55"/>
  <c r="F3681" i="55"/>
  <c r="E3681" i="55"/>
  <c r="H3680" i="55"/>
  <c r="F3680" i="55"/>
  <c r="E3680" i="55"/>
  <c r="H3679" i="55"/>
  <c r="F3679" i="55"/>
  <c r="E3679" i="55"/>
  <c r="H3678" i="55"/>
  <c r="F3678" i="55"/>
  <c r="E3678" i="55"/>
  <c r="H3677" i="55"/>
  <c r="F3677" i="55"/>
  <c r="E3677" i="55"/>
  <c r="H3676" i="55"/>
  <c r="F3676" i="55"/>
  <c r="E3676" i="55"/>
  <c r="H3675" i="55"/>
  <c r="F3675" i="55"/>
  <c r="E3675" i="55"/>
  <c r="H3674" i="55"/>
  <c r="F3674" i="55"/>
  <c r="E3674" i="55"/>
  <c r="H3673" i="55"/>
  <c r="F3673" i="55"/>
  <c r="E3673" i="55"/>
  <c r="H3672" i="55"/>
  <c r="F3672" i="55"/>
  <c r="E3672" i="55"/>
  <c r="H3671" i="55"/>
  <c r="F3671" i="55"/>
  <c r="E3671" i="55"/>
  <c r="H3670" i="55"/>
  <c r="F3670" i="55"/>
  <c r="E3670" i="55"/>
  <c r="H3669" i="55"/>
  <c r="F3669" i="55"/>
  <c r="E3669" i="55"/>
  <c r="H3668" i="55"/>
  <c r="F3668" i="55"/>
  <c r="E3668" i="55"/>
  <c r="H3667" i="55"/>
  <c r="F3667" i="55"/>
  <c r="E3667" i="55"/>
  <c r="H3666" i="55"/>
  <c r="F3666" i="55"/>
  <c r="E3666" i="55"/>
  <c r="H3665" i="55"/>
  <c r="F3665" i="55"/>
  <c r="E3665" i="55"/>
  <c r="H3664" i="55"/>
  <c r="F3664" i="55"/>
  <c r="E3664" i="55"/>
  <c r="H3663" i="55"/>
  <c r="F3663" i="55"/>
  <c r="E3663" i="55"/>
  <c r="H3662" i="55"/>
  <c r="F3662" i="55"/>
  <c r="E3662" i="55"/>
  <c r="H3661" i="55"/>
  <c r="F3661" i="55"/>
  <c r="E3661" i="55"/>
  <c r="H3660" i="55"/>
  <c r="F3660" i="55"/>
  <c r="E3660" i="55"/>
  <c r="H3659" i="55"/>
  <c r="F3659" i="55"/>
  <c r="E3659" i="55"/>
  <c r="H3658" i="55"/>
  <c r="F3658" i="55"/>
  <c r="E3658" i="55"/>
  <c r="H3657" i="55"/>
  <c r="F3657" i="55"/>
  <c r="E3657" i="55"/>
  <c r="H3656" i="55"/>
  <c r="F3656" i="55"/>
  <c r="E3656" i="55"/>
  <c r="H3655" i="55"/>
  <c r="F3655" i="55"/>
  <c r="E3655" i="55"/>
  <c r="H3654" i="55"/>
  <c r="F3654" i="55"/>
  <c r="E3654" i="55"/>
  <c r="H3653" i="55"/>
  <c r="F3653" i="55"/>
  <c r="E3653" i="55"/>
  <c r="H3652" i="55"/>
  <c r="F3652" i="55"/>
  <c r="E3652" i="55"/>
  <c r="H3651" i="55"/>
  <c r="F3651" i="55"/>
  <c r="E3651" i="55"/>
  <c r="H3650" i="55"/>
  <c r="F3650" i="55"/>
  <c r="E3650" i="55"/>
  <c r="H3649" i="55"/>
  <c r="F3649" i="55"/>
  <c r="E3649" i="55"/>
  <c r="H3648" i="55"/>
  <c r="F3648" i="55"/>
  <c r="E3648" i="55"/>
  <c r="H3647" i="55"/>
  <c r="F3647" i="55"/>
  <c r="E3647" i="55"/>
  <c r="H3203" i="55"/>
  <c r="H3201" i="55"/>
  <c r="B711" i="1"/>
  <c r="B710" i="1"/>
  <c r="E3192" i="55"/>
  <c r="E620" i="1"/>
  <c r="E619" i="1"/>
  <c r="E618" i="1"/>
  <c r="C620" i="1"/>
  <c r="D620" i="1"/>
  <c r="D619" i="1"/>
  <c r="D618" i="1"/>
  <c r="C619" i="1"/>
  <c r="B2932" i="55"/>
  <c r="B633" i="1"/>
  <c r="DO6" i="63" s="1"/>
  <c r="D566" i="1"/>
  <c r="D565" i="1"/>
  <c r="J18" i="56"/>
  <c r="J16" i="56"/>
  <c r="J13" i="56"/>
  <c r="J12" i="56"/>
  <c r="C67" i="57" s="1"/>
  <c r="B558" i="1"/>
  <c r="B1" i="63" s="1"/>
  <c r="C24" i="4" s="1"/>
  <c r="B632" i="1"/>
  <c r="CM121" i="63" s="1"/>
  <c r="DI111" i="63"/>
  <c r="B631" i="1"/>
  <c r="CM157" i="63" s="1"/>
  <c r="B630" i="1"/>
  <c r="CM148" i="63" s="1"/>
  <c r="B629" i="1"/>
  <c r="CM139" i="63" s="1"/>
  <c r="B627" i="1"/>
  <c r="CM135" i="63" s="1"/>
  <c r="B628" i="1"/>
  <c r="CM136" i="63" s="1"/>
  <c r="B626" i="1"/>
  <c r="CM131" i="63" s="1"/>
  <c r="B625" i="1"/>
  <c r="CM122" i="63" s="1"/>
  <c r="B624" i="1"/>
  <c r="CN77" i="63" s="1"/>
  <c r="B623" i="1"/>
  <c r="CM6" i="63" s="1"/>
  <c r="AI81" i="63"/>
  <c r="B622" i="1"/>
  <c r="AI122" i="63" s="1"/>
  <c r="B621" i="1"/>
  <c r="AI77" i="63" s="1"/>
  <c r="C618" i="1"/>
  <c r="B618" i="1" s="1"/>
  <c r="F6" i="63" s="1"/>
  <c r="B584" i="1"/>
  <c r="B585" i="1"/>
  <c r="B586" i="1"/>
  <c r="B587" i="1"/>
  <c r="B588" i="1"/>
  <c r="E91" i="62" s="1"/>
  <c r="B589" i="1"/>
  <c r="AN92" i="62" s="1"/>
  <c r="B590" i="1"/>
  <c r="B591" i="1"/>
  <c r="AN94" i="62" s="1"/>
  <c r="B592" i="1"/>
  <c r="B593" i="1"/>
  <c r="B594" i="1"/>
  <c r="B595" i="1"/>
  <c r="AN98" i="62" s="1"/>
  <c r="B596" i="1"/>
  <c r="AN99" i="62" s="1"/>
  <c r="B597" i="1"/>
  <c r="B598" i="1"/>
  <c r="D95" i="63" s="1"/>
  <c r="B599" i="1"/>
  <c r="DS96" i="63" s="1"/>
  <c r="B600" i="1"/>
  <c r="AN103" i="62" s="1"/>
  <c r="B601" i="1"/>
  <c r="AN104" i="62" s="1"/>
  <c r="B602" i="1"/>
  <c r="B603" i="1"/>
  <c r="D145" i="63" s="1"/>
  <c r="B604" i="1"/>
  <c r="E107" i="62" s="1"/>
  <c r="B605" i="1"/>
  <c r="B606" i="1"/>
  <c r="B607" i="1"/>
  <c r="D149" i="63" s="1"/>
  <c r="B608" i="1"/>
  <c r="E111" i="62" s="1"/>
  <c r="B609" i="1"/>
  <c r="D106" i="63" s="1"/>
  <c r="B610" i="1"/>
  <c r="D152" i="63" s="1"/>
  <c r="B611" i="1"/>
  <c r="B612" i="1"/>
  <c r="AN115" i="62" s="1"/>
  <c r="B613" i="1"/>
  <c r="D110" i="63" s="1"/>
  <c r="B614" i="1"/>
  <c r="E117" i="62" s="1"/>
  <c r="B615" i="1"/>
  <c r="D157" i="63" s="1"/>
  <c r="B616" i="1"/>
  <c r="B617" i="1"/>
  <c r="C636" i="1"/>
  <c r="B568" i="1"/>
  <c r="AJ84" i="62" s="1"/>
  <c r="D7597" i="55" s="1"/>
  <c r="E566" i="1"/>
  <c r="E565" i="1"/>
  <c r="C566" i="1"/>
  <c r="C565" i="1"/>
  <c r="B565" i="1" s="1"/>
  <c r="G14" i="62" s="1"/>
  <c r="CF111" i="63"/>
  <c r="CP153" i="63"/>
  <c r="CQ153" i="63"/>
  <c r="CR153" i="63"/>
  <c r="CS153" i="63"/>
  <c r="CT153" i="63"/>
  <c r="CU153" i="63"/>
  <c r="CV153" i="63"/>
  <c r="CW153" i="63"/>
  <c r="CX153" i="63"/>
  <c r="CY153" i="63"/>
  <c r="CZ153" i="63"/>
  <c r="DA153" i="63"/>
  <c r="DB153" i="63"/>
  <c r="DC153" i="63"/>
  <c r="DD153" i="63"/>
  <c r="DE153" i="63"/>
  <c r="DF153" i="63"/>
  <c r="DG153" i="63"/>
  <c r="DH153" i="63"/>
  <c r="DI153" i="63"/>
  <c r="DJ153" i="63"/>
  <c r="DK153" i="63"/>
  <c r="DL153" i="63"/>
  <c r="DM153" i="63"/>
  <c r="DN153" i="63"/>
  <c r="CO153" i="63"/>
  <c r="CP152" i="63"/>
  <c r="CQ152" i="63"/>
  <c r="CR152" i="63"/>
  <c r="CS152" i="63"/>
  <c r="CT152" i="63"/>
  <c r="CU152" i="63"/>
  <c r="CV152" i="63"/>
  <c r="CW152" i="63"/>
  <c r="CX152" i="63"/>
  <c r="CY152" i="63"/>
  <c r="CZ152" i="63"/>
  <c r="DA152" i="63"/>
  <c r="DB152" i="63"/>
  <c r="DC152" i="63"/>
  <c r="DD152" i="63"/>
  <c r="DE152" i="63"/>
  <c r="DF152" i="63"/>
  <c r="DG152" i="63"/>
  <c r="DH152" i="63"/>
  <c r="DI152" i="63"/>
  <c r="DJ152" i="63"/>
  <c r="DK152" i="63"/>
  <c r="DL152" i="63"/>
  <c r="DM152" i="63"/>
  <c r="DN152" i="63"/>
  <c r="CO152" i="63"/>
  <c r="CO135" i="63"/>
  <c r="CP135" i="63"/>
  <c r="CQ135" i="63"/>
  <c r="CR135" i="63"/>
  <c r="CS135" i="63"/>
  <c r="CT135" i="63"/>
  <c r="CU135" i="63"/>
  <c r="CV135" i="63"/>
  <c r="CV167" i="63" s="1"/>
  <c r="CW135" i="63"/>
  <c r="CX135" i="63"/>
  <c r="CY135" i="63"/>
  <c r="CZ135" i="63"/>
  <c r="DA135" i="63"/>
  <c r="DB135" i="63"/>
  <c r="DC135" i="63"/>
  <c r="DD135" i="63"/>
  <c r="DE135" i="63"/>
  <c r="DF135" i="63"/>
  <c r="DG135" i="63"/>
  <c r="DH135" i="63"/>
  <c r="DI135" i="63"/>
  <c r="DJ135" i="63"/>
  <c r="DK135" i="63"/>
  <c r="DL135" i="63"/>
  <c r="DM135" i="63"/>
  <c r="DN135" i="63"/>
  <c r="CP136" i="63"/>
  <c r="CQ136" i="63"/>
  <c r="CR136" i="63"/>
  <c r="CS136" i="63"/>
  <c r="CT136" i="63"/>
  <c r="CU136" i="63"/>
  <c r="CV136" i="63"/>
  <c r="CW136" i="63"/>
  <c r="CX136" i="63"/>
  <c r="CY136" i="63"/>
  <c r="CZ136" i="63"/>
  <c r="DA136" i="63"/>
  <c r="DB136" i="63"/>
  <c r="DC136" i="63"/>
  <c r="DD136" i="63"/>
  <c r="DE136" i="63"/>
  <c r="DF136" i="63"/>
  <c r="DG136" i="63"/>
  <c r="DH136" i="63"/>
  <c r="DI136" i="63"/>
  <c r="DJ136" i="63"/>
  <c r="DK136" i="63"/>
  <c r="DL136" i="63"/>
  <c r="DM136" i="63"/>
  <c r="DN136" i="63"/>
  <c r="CO136" i="63"/>
  <c r="CP126" i="63"/>
  <c r="CQ126" i="63"/>
  <c r="CR126" i="63"/>
  <c r="CS126" i="63"/>
  <c r="CT126" i="63"/>
  <c r="CU126" i="63"/>
  <c r="CV126" i="63"/>
  <c r="CW126" i="63"/>
  <c r="CX126" i="63"/>
  <c r="CY126" i="63"/>
  <c r="CZ126" i="63"/>
  <c r="DA126" i="63"/>
  <c r="DB126" i="63"/>
  <c r="DC126" i="63"/>
  <c r="DD126" i="63"/>
  <c r="DE126" i="63"/>
  <c r="DF126" i="63"/>
  <c r="DG126" i="63"/>
  <c r="DH126" i="63"/>
  <c r="DI126" i="63"/>
  <c r="DJ126" i="63"/>
  <c r="DK126" i="63"/>
  <c r="DL126" i="63"/>
  <c r="DM126" i="63"/>
  <c r="DN126" i="63"/>
  <c r="CO126" i="63"/>
  <c r="BH159" i="63"/>
  <c r="AI127" i="63"/>
  <c r="AJ127" i="63"/>
  <c r="AK127" i="63"/>
  <c r="AL127" i="63"/>
  <c r="AM127" i="63"/>
  <c r="AN127" i="63"/>
  <c r="AO127" i="63"/>
  <c r="AP127" i="63"/>
  <c r="AQ127" i="63"/>
  <c r="AR127" i="63"/>
  <c r="AS127" i="63"/>
  <c r="AT127" i="63"/>
  <c r="AU127" i="63"/>
  <c r="AV127" i="63"/>
  <c r="AW127" i="63"/>
  <c r="AX127" i="63"/>
  <c r="AY127" i="63"/>
  <c r="AZ127" i="63"/>
  <c r="BA127" i="63"/>
  <c r="BB127" i="63"/>
  <c r="BC127" i="63"/>
  <c r="BD127" i="63"/>
  <c r="BE127" i="63"/>
  <c r="BF127" i="63"/>
  <c r="BG127" i="63"/>
  <c r="BH127" i="63"/>
  <c r="AI128" i="63"/>
  <c r="AJ128" i="63"/>
  <c r="AK128" i="63"/>
  <c r="AL128" i="63"/>
  <c r="AM128" i="63"/>
  <c r="AN128" i="63"/>
  <c r="AO128" i="63"/>
  <c r="AP128" i="63"/>
  <c r="AQ128" i="63"/>
  <c r="AR128" i="63"/>
  <c r="AS128" i="63"/>
  <c r="AT128" i="63"/>
  <c r="AU128" i="63"/>
  <c r="AV128" i="63"/>
  <c r="AW128" i="63"/>
  <c r="AX128" i="63"/>
  <c r="AY128" i="63"/>
  <c r="AZ128" i="63"/>
  <c r="BA128" i="63"/>
  <c r="BB128" i="63"/>
  <c r="BC128" i="63"/>
  <c r="BD128" i="63"/>
  <c r="BE128" i="63"/>
  <c r="BF128" i="63"/>
  <c r="BG128" i="63"/>
  <c r="BH128" i="63"/>
  <c r="AI129" i="63"/>
  <c r="AJ129" i="63"/>
  <c r="AK129" i="63"/>
  <c r="AL129" i="63"/>
  <c r="AM129" i="63"/>
  <c r="AN129" i="63"/>
  <c r="AO129" i="63"/>
  <c r="AP129" i="63"/>
  <c r="AQ129" i="63"/>
  <c r="AR129" i="63"/>
  <c r="AS129" i="63"/>
  <c r="AT129" i="63"/>
  <c r="AU129" i="63"/>
  <c r="AV129" i="63"/>
  <c r="AW129" i="63"/>
  <c r="AX129" i="63"/>
  <c r="AY129" i="63"/>
  <c r="AZ129" i="63"/>
  <c r="BA129" i="63"/>
  <c r="BB129" i="63"/>
  <c r="BC129" i="63"/>
  <c r="BD129" i="63"/>
  <c r="BE129" i="63"/>
  <c r="BF129" i="63"/>
  <c r="BG129" i="63"/>
  <c r="BH129" i="63"/>
  <c r="AI130" i="63"/>
  <c r="AJ130" i="63"/>
  <c r="AK130" i="63"/>
  <c r="AL130" i="63"/>
  <c r="AM130" i="63"/>
  <c r="AN130" i="63"/>
  <c r="AO130" i="63"/>
  <c r="AP130" i="63"/>
  <c r="AQ130" i="63"/>
  <c r="AR130" i="63"/>
  <c r="AS130" i="63"/>
  <c r="AT130" i="63"/>
  <c r="AU130" i="63"/>
  <c r="AV130" i="63"/>
  <c r="AW130" i="63"/>
  <c r="AX130" i="63"/>
  <c r="AY130" i="63"/>
  <c r="AZ130" i="63"/>
  <c r="BA130" i="63"/>
  <c r="BB130" i="63"/>
  <c r="BC130" i="63"/>
  <c r="BD130" i="63"/>
  <c r="BE130" i="63"/>
  <c r="BF130" i="63"/>
  <c r="BG130" i="63"/>
  <c r="BH130" i="63"/>
  <c r="AI131" i="63"/>
  <c r="AJ131" i="63"/>
  <c r="AK131" i="63"/>
  <c r="AL131" i="63"/>
  <c r="AM131" i="63"/>
  <c r="AN131" i="63"/>
  <c r="AO131" i="63"/>
  <c r="AP131" i="63"/>
  <c r="AQ131" i="63"/>
  <c r="AR131" i="63"/>
  <c r="AS131" i="63"/>
  <c r="AT131" i="63"/>
  <c r="AU131" i="63"/>
  <c r="AV131" i="63"/>
  <c r="AW131" i="63"/>
  <c r="AX131" i="63"/>
  <c r="AY131" i="63"/>
  <c r="AZ131" i="63"/>
  <c r="BA131" i="63"/>
  <c r="BB131" i="63"/>
  <c r="BC131" i="63"/>
  <c r="BD131" i="63"/>
  <c r="BE131" i="63"/>
  <c r="BF131" i="63"/>
  <c r="BG131" i="63"/>
  <c r="BH131" i="63"/>
  <c r="AI132" i="63"/>
  <c r="AJ132" i="63"/>
  <c r="AK132" i="63"/>
  <c r="AL132" i="63"/>
  <c r="AM132" i="63"/>
  <c r="AN132" i="63"/>
  <c r="AO132" i="63"/>
  <c r="AP132" i="63"/>
  <c r="AQ132" i="63"/>
  <c r="AR132" i="63"/>
  <c r="AS132" i="63"/>
  <c r="AT132" i="63"/>
  <c r="AU132" i="63"/>
  <c r="AV132" i="63"/>
  <c r="AW132" i="63"/>
  <c r="AX132" i="63"/>
  <c r="AY132" i="63"/>
  <c r="AZ132" i="63"/>
  <c r="BA132" i="63"/>
  <c r="BB132" i="63"/>
  <c r="BC132" i="63"/>
  <c r="BD132" i="63"/>
  <c r="BE132" i="63"/>
  <c r="BF132" i="63"/>
  <c r="BG132" i="63"/>
  <c r="BH132" i="63"/>
  <c r="AI133" i="63"/>
  <c r="AJ133" i="63"/>
  <c r="AK133" i="63"/>
  <c r="AL133" i="63"/>
  <c r="AM133" i="63"/>
  <c r="AN133" i="63"/>
  <c r="AO133" i="63"/>
  <c r="AP133" i="63"/>
  <c r="AQ133" i="63"/>
  <c r="AR133" i="63"/>
  <c r="AS133" i="63"/>
  <c r="AT133" i="63"/>
  <c r="AU133" i="63"/>
  <c r="AV133" i="63"/>
  <c r="AW133" i="63"/>
  <c r="AX133" i="63"/>
  <c r="AY133" i="63"/>
  <c r="AZ133" i="63"/>
  <c r="BA133" i="63"/>
  <c r="BB133" i="63"/>
  <c r="BC133" i="63"/>
  <c r="BD133" i="63"/>
  <c r="BE133" i="63"/>
  <c r="BF133" i="63"/>
  <c r="BG133" i="63"/>
  <c r="BH133" i="63"/>
  <c r="AI134" i="63"/>
  <c r="AJ134" i="63"/>
  <c r="AK134" i="63"/>
  <c r="AL134" i="63"/>
  <c r="AM134" i="63"/>
  <c r="AN134" i="63"/>
  <c r="AO134" i="63"/>
  <c r="AP134" i="63"/>
  <c r="AQ134" i="63"/>
  <c r="AR134" i="63"/>
  <c r="AS134" i="63"/>
  <c r="AT134" i="63"/>
  <c r="AU134" i="63"/>
  <c r="AV134" i="63"/>
  <c r="AW134" i="63"/>
  <c r="AX134" i="63"/>
  <c r="AY134" i="63"/>
  <c r="AZ134" i="63"/>
  <c r="BA134" i="63"/>
  <c r="BB134" i="63"/>
  <c r="BC134" i="63"/>
  <c r="BD134" i="63"/>
  <c r="BE134" i="63"/>
  <c r="BF134" i="63"/>
  <c r="BG134" i="63"/>
  <c r="BH134" i="63"/>
  <c r="AI135" i="63"/>
  <c r="AJ135" i="63"/>
  <c r="AK135" i="63"/>
  <c r="AL135" i="63"/>
  <c r="AM135" i="63"/>
  <c r="AN135" i="63"/>
  <c r="AO135" i="63"/>
  <c r="AP135" i="63"/>
  <c r="AQ135" i="63"/>
  <c r="AR135" i="63"/>
  <c r="AS135" i="63"/>
  <c r="AT135" i="63"/>
  <c r="AU135" i="63"/>
  <c r="AV135" i="63"/>
  <c r="AW135" i="63"/>
  <c r="AX135" i="63"/>
  <c r="AY135" i="63"/>
  <c r="AZ135" i="63"/>
  <c r="BA135" i="63"/>
  <c r="BB135" i="63"/>
  <c r="BC135" i="63"/>
  <c r="BD135" i="63"/>
  <c r="BE135" i="63"/>
  <c r="BF135" i="63"/>
  <c r="BG135" i="63"/>
  <c r="BH135" i="63"/>
  <c r="AI136" i="63"/>
  <c r="AJ136" i="63"/>
  <c r="AK136" i="63"/>
  <c r="AL136" i="63"/>
  <c r="AM136" i="63"/>
  <c r="AN136" i="63"/>
  <c r="AO136" i="63"/>
  <c r="AP136" i="63"/>
  <c r="AQ136" i="63"/>
  <c r="AR136" i="63"/>
  <c r="AS136" i="63"/>
  <c r="AT136" i="63"/>
  <c r="AU136" i="63"/>
  <c r="AV136" i="63"/>
  <c r="AW136" i="63"/>
  <c r="AX136" i="63"/>
  <c r="AY136" i="63"/>
  <c r="AZ136" i="63"/>
  <c r="BA136" i="63"/>
  <c r="BB136" i="63"/>
  <c r="BC136" i="63"/>
  <c r="BD136" i="63"/>
  <c r="BE136" i="63"/>
  <c r="BF136" i="63"/>
  <c r="BG136" i="63"/>
  <c r="BH136" i="63"/>
  <c r="AI137" i="63"/>
  <c r="AJ137" i="63"/>
  <c r="AK137" i="63"/>
  <c r="AL137" i="63"/>
  <c r="AM137" i="63"/>
  <c r="AN137" i="63"/>
  <c r="AO137" i="63"/>
  <c r="AP137" i="63"/>
  <c r="AQ137" i="63"/>
  <c r="AR137" i="63"/>
  <c r="AS137" i="63"/>
  <c r="AT137" i="63"/>
  <c r="AU137" i="63"/>
  <c r="AV137" i="63"/>
  <c r="AW137" i="63"/>
  <c r="AX137" i="63"/>
  <c r="AY137" i="63"/>
  <c r="AZ137" i="63"/>
  <c r="BA137" i="63"/>
  <c r="BB137" i="63"/>
  <c r="BC137" i="63"/>
  <c r="BD137" i="63"/>
  <c r="BE137" i="63"/>
  <c r="BF137" i="63"/>
  <c r="BG137" i="63"/>
  <c r="BH137" i="63"/>
  <c r="AI138" i="63"/>
  <c r="AJ138" i="63"/>
  <c r="AK138" i="63"/>
  <c r="AL138" i="63"/>
  <c r="AM138" i="63"/>
  <c r="AN138" i="63"/>
  <c r="AO138" i="63"/>
  <c r="AP138" i="63"/>
  <c r="AQ138" i="63"/>
  <c r="AR138" i="63"/>
  <c r="AS138" i="63"/>
  <c r="AT138" i="63"/>
  <c r="AU138" i="63"/>
  <c r="AV138" i="63"/>
  <c r="AW138" i="63"/>
  <c r="AX138" i="63"/>
  <c r="AY138" i="63"/>
  <c r="AZ138" i="63"/>
  <c r="BA138" i="63"/>
  <c r="BB138" i="63"/>
  <c r="BC138" i="63"/>
  <c r="BD138" i="63"/>
  <c r="BE138" i="63"/>
  <c r="BF138" i="63"/>
  <c r="BG138" i="63"/>
  <c r="BH138" i="63"/>
  <c r="AI139" i="63"/>
  <c r="AJ139" i="63"/>
  <c r="AK139" i="63"/>
  <c r="AL139" i="63"/>
  <c r="AM139" i="63"/>
  <c r="AN139" i="63"/>
  <c r="AO139" i="63"/>
  <c r="AP139" i="63"/>
  <c r="AQ139" i="63"/>
  <c r="AR139" i="63"/>
  <c r="AS139" i="63"/>
  <c r="AT139" i="63"/>
  <c r="AU139" i="63"/>
  <c r="AV139" i="63"/>
  <c r="AW139" i="63"/>
  <c r="AX139" i="63"/>
  <c r="AY139" i="63"/>
  <c r="AZ139" i="63"/>
  <c r="BA139" i="63"/>
  <c r="BB139" i="63"/>
  <c r="BC139" i="63"/>
  <c r="BD139" i="63"/>
  <c r="BE139" i="63"/>
  <c r="BF139" i="63"/>
  <c r="BG139" i="63"/>
  <c r="BH139" i="63"/>
  <c r="AI140" i="63"/>
  <c r="AJ140" i="63"/>
  <c r="AK140" i="63"/>
  <c r="AL140" i="63"/>
  <c r="AM140" i="63"/>
  <c r="AN140" i="63"/>
  <c r="AO140" i="63"/>
  <c r="AP140" i="63"/>
  <c r="AQ140" i="63"/>
  <c r="AR140" i="63"/>
  <c r="AS140" i="63"/>
  <c r="AT140" i="63"/>
  <c r="AU140" i="63"/>
  <c r="AV140" i="63"/>
  <c r="AW140" i="63"/>
  <c r="AX140" i="63"/>
  <c r="AY140" i="63"/>
  <c r="AZ140" i="63"/>
  <c r="BA140" i="63"/>
  <c r="BB140" i="63"/>
  <c r="BC140" i="63"/>
  <c r="BD140" i="63"/>
  <c r="BE140" i="63"/>
  <c r="BF140" i="63"/>
  <c r="BG140" i="63"/>
  <c r="BH140" i="63"/>
  <c r="AI141" i="63"/>
  <c r="AJ141" i="63"/>
  <c r="AK141" i="63"/>
  <c r="AL141" i="63"/>
  <c r="AM141" i="63"/>
  <c r="AN141" i="63"/>
  <c r="AO141" i="63"/>
  <c r="AP141" i="63"/>
  <c r="AQ141" i="63"/>
  <c r="AR141" i="63"/>
  <c r="AS141" i="63"/>
  <c r="AT141" i="63"/>
  <c r="AU141" i="63"/>
  <c r="AV141" i="63"/>
  <c r="AW141" i="63"/>
  <c r="AX141" i="63"/>
  <c r="AY141" i="63"/>
  <c r="AZ141" i="63"/>
  <c r="BA141" i="63"/>
  <c r="BB141" i="63"/>
  <c r="BC141" i="63"/>
  <c r="BD141" i="63"/>
  <c r="BE141" i="63"/>
  <c r="BF141" i="63"/>
  <c r="BG141" i="63"/>
  <c r="BH141" i="63"/>
  <c r="AI142" i="63"/>
  <c r="AJ142" i="63"/>
  <c r="AK142" i="63"/>
  <c r="AL142" i="63"/>
  <c r="AM142" i="63"/>
  <c r="AN142" i="63"/>
  <c r="AO142" i="63"/>
  <c r="AP142" i="63"/>
  <c r="AQ142" i="63"/>
  <c r="AR142" i="63"/>
  <c r="AS142" i="63"/>
  <c r="AT142" i="63"/>
  <c r="AU142" i="63"/>
  <c r="AV142" i="63"/>
  <c r="AW142" i="63"/>
  <c r="AX142" i="63"/>
  <c r="AY142" i="63"/>
  <c r="AZ142" i="63"/>
  <c r="BA142" i="63"/>
  <c r="BB142" i="63"/>
  <c r="BC142" i="63"/>
  <c r="BD142" i="63"/>
  <c r="BE142" i="63"/>
  <c r="BF142" i="63"/>
  <c r="BG142" i="63"/>
  <c r="BH142" i="63"/>
  <c r="AI143" i="63"/>
  <c r="AJ143" i="63"/>
  <c r="AK143" i="63"/>
  <c r="AL143" i="63"/>
  <c r="AM143" i="63"/>
  <c r="AN143" i="63"/>
  <c r="AO143" i="63"/>
  <c r="AP143" i="63"/>
  <c r="AQ143" i="63"/>
  <c r="AR143" i="63"/>
  <c r="AS143" i="63"/>
  <c r="AT143" i="63"/>
  <c r="AU143" i="63"/>
  <c r="AV143" i="63"/>
  <c r="AW143" i="63"/>
  <c r="AX143" i="63"/>
  <c r="AY143" i="63"/>
  <c r="AZ143" i="63"/>
  <c r="BA143" i="63"/>
  <c r="BB143" i="63"/>
  <c r="BC143" i="63"/>
  <c r="BD143" i="63"/>
  <c r="BE143" i="63"/>
  <c r="BF143" i="63"/>
  <c r="BG143" i="63"/>
  <c r="BH143" i="63"/>
  <c r="AI144" i="63"/>
  <c r="AJ144" i="63"/>
  <c r="AK144" i="63"/>
  <c r="AL144" i="63"/>
  <c r="AM144" i="63"/>
  <c r="AN144" i="63"/>
  <c r="AO144" i="63"/>
  <c r="AP144" i="63"/>
  <c r="AQ144" i="63"/>
  <c r="AR144" i="63"/>
  <c r="AS144" i="63"/>
  <c r="AT144" i="63"/>
  <c r="AU144" i="63"/>
  <c r="AV144" i="63"/>
  <c r="AW144" i="63"/>
  <c r="AX144" i="63"/>
  <c r="AY144" i="63"/>
  <c r="AZ144" i="63"/>
  <c r="BA144" i="63"/>
  <c r="BB144" i="63"/>
  <c r="BC144" i="63"/>
  <c r="BD144" i="63"/>
  <c r="BE144" i="63"/>
  <c r="BF144" i="63"/>
  <c r="BG144" i="63"/>
  <c r="BH144" i="63"/>
  <c r="AI145" i="63"/>
  <c r="AJ145" i="63"/>
  <c r="AK145" i="63"/>
  <c r="AL145" i="63"/>
  <c r="AM145" i="63"/>
  <c r="AN145" i="63"/>
  <c r="AO145" i="63"/>
  <c r="AP145" i="63"/>
  <c r="AQ145" i="63"/>
  <c r="AR145" i="63"/>
  <c r="AS145" i="63"/>
  <c r="AT145" i="63"/>
  <c r="AU145" i="63"/>
  <c r="AV145" i="63"/>
  <c r="AW145" i="63"/>
  <c r="AX145" i="63"/>
  <c r="AY145" i="63"/>
  <c r="AZ145" i="63"/>
  <c r="BA145" i="63"/>
  <c r="BB145" i="63"/>
  <c r="BC145" i="63"/>
  <c r="BD145" i="63"/>
  <c r="BE145" i="63"/>
  <c r="BF145" i="63"/>
  <c r="BG145" i="63"/>
  <c r="BH145" i="63"/>
  <c r="AI146" i="63"/>
  <c r="AJ146" i="63"/>
  <c r="AK146" i="63"/>
  <c r="AL146" i="63"/>
  <c r="AM146" i="63"/>
  <c r="AN146" i="63"/>
  <c r="AO146" i="63"/>
  <c r="AP146" i="63"/>
  <c r="AQ146" i="63"/>
  <c r="AR146" i="63"/>
  <c r="AS146" i="63"/>
  <c r="AT146" i="63"/>
  <c r="AU146" i="63"/>
  <c r="AV146" i="63"/>
  <c r="AW146" i="63"/>
  <c r="AX146" i="63"/>
  <c r="AY146" i="63"/>
  <c r="AZ146" i="63"/>
  <c r="BA146" i="63"/>
  <c r="BB146" i="63"/>
  <c r="BC146" i="63"/>
  <c r="BD146" i="63"/>
  <c r="BE146" i="63"/>
  <c r="BF146" i="63"/>
  <c r="BG146" i="63"/>
  <c r="BH146" i="63"/>
  <c r="AI147" i="63"/>
  <c r="AJ147" i="63"/>
  <c r="AK147" i="63"/>
  <c r="AL147" i="63"/>
  <c r="AM147" i="63"/>
  <c r="AN147" i="63"/>
  <c r="AO147" i="63"/>
  <c r="AP147" i="63"/>
  <c r="AQ147" i="63"/>
  <c r="AR147" i="63"/>
  <c r="AS147" i="63"/>
  <c r="AT147" i="63"/>
  <c r="AU147" i="63"/>
  <c r="AV147" i="63"/>
  <c r="AW147" i="63"/>
  <c r="AX147" i="63"/>
  <c r="AY147" i="63"/>
  <c r="AZ147" i="63"/>
  <c r="BA147" i="63"/>
  <c r="BB147" i="63"/>
  <c r="BC147" i="63"/>
  <c r="BD147" i="63"/>
  <c r="BE147" i="63"/>
  <c r="BF147" i="63"/>
  <c r="BG147" i="63"/>
  <c r="BH147" i="63"/>
  <c r="AI148" i="63"/>
  <c r="AJ148" i="63"/>
  <c r="AK148" i="63"/>
  <c r="AL148" i="63"/>
  <c r="AM148" i="63"/>
  <c r="AN148" i="63"/>
  <c r="AO148" i="63"/>
  <c r="AP148" i="63"/>
  <c r="AQ148" i="63"/>
  <c r="AR148" i="63"/>
  <c r="AS148" i="63"/>
  <c r="AT148" i="63"/>
  <c r="AU148" i="63"/>
  <c r="AV148" i="63"/>
  <c r="AW148" i="63"/>
  <c r="AX148" i="63"/>
  <c r="AY148" i="63"/>
  <c r="AZ148" i="63"/>
  <c r="BA148" i="63"/>
  <c r="BB148" i="63"/>
  <c r="BC148" i="63"/>
  <c r="BD148" i="63"/>
  <c r="BE148" i="63"/>
  <c r="BF148" i="63"/>
  <c r="BG148" i="63"/>
  <c r="BH148" i="63"/>
  <c r="AI149" i="63"/>
  <c r="AJ149" i="63"/>
  <c r="AK149" i="63"/>
  <c r="AL149" i="63"/>
  <c r="AM149" i="63"/>
  <c r="AN149" i="63"/>
  <c r="AO149" i="63"/>
  <c r="AP149" i="63"/>
  <c r="AQ149" i="63"/>
  <c r="AR149" i="63"/>
  <c r="AS149" i="63"/>
  <c r="AT149" i="63"/>
  <c r="AU149" i="63"/>
  <c r="AV149" i="63"/>
  <c r="AW149" i="63"/>
  <c r="AX149" i="63"/>
  <c r="AY149" i="63"/>
  <c r="AZ149" i="63"/>
  <c r="BA149" i="63"/>
  <c r="BB149" i="63"/>
  <c r="BC149" i="63"/>
  <c r="BD149" i="63"/>
  <c r="BE149" i="63"/>
  <c r="BF149" i="63"/>
  <c r="BG149" i="63"/>
  <c r="BH149" i="63"/>
  <c r="AI150" i="63"/>
  <c r="AJ150" i="63"/>
  <c r="AK150" i="63"/>
  <c r="AL150" i="63"/>
  <c r="AM150" i="63"/>
  <c r="AN150" i="63"/>
  <c r="AO150" i="63"/>
  <c r="AP150" i="63"/>
  <c r="AQ150" i="63"/>
  <c r="AR150" i="63"/>
  <c r="AS150" i="63"/>
  <c r="AT150" i="63"/>
  <c r="AU150" i="63"/>
  <c r="AV150" i="63"/>
  <c r="AW150" i="63"/>
  <c r="AX150" i="63"/>
  <c r="AY150" i="63"/>
  <c r="AZ150" i="63"/>
  <c r="BA150" i="63"/>
  <c r="BB150" i="63"/>
  <c r="BC150" i="63"/>
  <c r="BD150" i="63"/>
  <c r="BE150" i="63"/>
  <c r="BF150" i="63"/>
  <c r="BG150" i="63"/>
  <c r="BH150" i="63"/>
  <c r="AI151" i="63"/>
  <c r="AJ151" i="63"/>
  <c r="AK151" i="63"/>
  <c r="AL151" i="63"/>
  <c r="AM151" i="63"/>
  <c r="AN151" i="63"/>
  <c r="AO151" i="63"/>
  <c r="AP151" i="63"/>
  <c r="AQ151" i="63"/>
  <c r="AR151" i="63"/>
  <c r="AS151" i="63"/>
  <c r="AT151" i="63"/>
  <c r="AU151" i="63"/>
  <c r="AV151" i="63"/>
  <c r="AW151" i="63"/>
  <c r="AX151" i="63"/>
  <c r="AY151" i="63"/>
  <c r="AZ151" i="63"/>
  <c r="BA151" i="63"/>
  <c r="BB151" i="63"/>
  <c r="BC151" i="63"/>
  <c r="BD151" i="63"/>
  <c r="BE151" i="63"/>
  <c r="BF151" i="63"/>
  <c r="BG151" i="63"/>
  <c r="BH151" i="63"/>
  <c r="AI152" i="63"/>
  <c r="AJ152" i="63"/>
  <c r="AK152" i="63"/>
  <c r="AL152" i="63"/>
  <c r="AM152" i="63"/>
  <c r="AN152" i="63"/>
  <c r="AO152" i="63"/>
  <c r="AP152" i="63"/>
  <c r="AQ152" i="63"/>
  <c r="AR152" i="63"/>
  <c r="AS152" i="63"/>
  <c r="AT152" i="63"/>
  <c r="AU152" i="63"/>
  <c r="AV152" i="63"/>
  <c r="AW152" i="63"/>
  <c r="AX152" i="63"/>
  <c r="AY152" i="63"/>
  <c r="AZ152" i="63"/>
  <c r="BA152" i="63"/>
  <c r="BB152" i="63"/>
  <c r="BC152" i="63"/>
  <c r="BD152" i="63"/>
  <c r="BE152" i="63"/>
  <c r="BF152" i="63"/>
  <c r="BG152" i="63"/>
  <c r="BH152" i="63"/>
  <c r="AI153" i="63"/>
  <c r="AJ153" i="63"/>
  <c r="AK153" i="63"/>
  <c r="AL153" i="63"/>
  <c r="AM153" i="63"/>
  <c r="AN153" i="63"/>
  <c r="AO153" i="63"/>
  <c r="AP153" i="63"/>
  <c r="AQ153" i="63"/>
  <c r="AR153" i="63"/>
  <c r="AS153" i="63"/>
  <c r="AT153" i="63"/>
  <c r="AU153" i="63"/>
  <c r="AV153" i="63"/>
  <c r="AW153" i="63"/>
  <c r="AX153" i="63"/>
  <c r="AY153" i="63"/>
  <c r="AZ153" i="63"/>
  <c r="BA153" i="63"/>
  <c r="BB153" i="63"/>
  <c r="BC153" i="63"/>
  <c r="BD153" i="63"/>
  <c r="BE153" i="63"/>
  <c r="BF153" i="63"/>
  <c r="BG153" i="63"/>
  <c r="BH153" i="63"/>
  <c r="AI154" i="63"/>
  <c r="AJ154" i="63"/>
  <c r="AK154" i="63"/>
  <c r="AL154" i="63"/>
  <c r="AM154" i="63"/>
  <c r="AN154" i="63"/>
  <c r="AO154" i="63"/>
  <c r="AP154" i="63"/>
  <c r="AQ154" i="63"/>
  <c r="AR154" i="63"/>
  <c r="AS154" i="63"/>
  <c r="AT154" i="63"/>
  <c r="AU154" i="63"/>
  <c r="AV154" i="63"/>
  <c r="AW154" i="63"/>
  <c r="AX154" i="63"/>
  <c r="AY154" i="63"/>
  <c r="AZ154" i="63"/>
  <c r="BA154" i="63"/>
  <c r="BB154" i="63"/>
  <c r="BC154" i="63"/>
  <c r="BD154" i="63"/>
  <c r="BE154" i="63"/>
  <c r="BF154" i="63"/>
  <c r="BG154" i="63"/>
  <c r="BH154" i="63"/>
  <c r="AI155" i="63"/>
  <c r="AJ155" i="63"/>
  <c r="AK155" i="63"/>
  <c r="AL155" i="63"/>
  <c r="AM155" i="63"/>
  <c r="AN155" i="63"/>
  <c r="AO155" i="63"/>
  <c r="AP155" i="63"/>
  <c r="AQ155" i="63"/>
  <c r="AR155" i="63"/>
  <c r="AS155" i="63"/>
  <c r="AT155" i="63"/>
  <c r="AU155" i="63"/>
  <c r="AV155" i="63"/>
  <c r="AW155" i="63"/>
  <c r="AX155" i="63"/>
  <c r="AY155" i="63"/>
  <c r="AZ155" i="63"/>
  <c r="BA155" i="63"/>
  <c r="BB155" i="63"/>
  <c r="BC155" i="63"/>
  <c r="BD155" i="63"/>
  <c r="BE155" i="63"/>
  <c r="BF155" i="63"/>
  <c r="BG155" i="63"/>
  <c r="BH155" i="63"/>
  <c r="AI156" i="63"/>
  <c r="AJ156" i="63"/>
  <c r="AK156" i="63"/>
  <c r="AL156" i="63"/>
  <c r="AM156" i="63"/>
  <c r="AN156" i="63"/>
  <c r="AO156" i="63"/>
  <c r="AP156" i="63"/>
  <c r="AQ156" i="63"/>
  <c r="AR156" i="63"/>
  <c r="AS156" i="63"/>
  <c r="AT156" i="63"/>
  <c r="AU156" i="63"/>
  <c r="AV156" i="63"/>
  <c r="AW156" i="63"/>
  <c r="AX156" i="63"/>
  <c r="AY156" i="63"/>
  <c r="AZ156" i="63"/>
  <c r="BA156" i="63"/>
  <c r="BB156" i="63"/>
  <c r="BC156" i="63"/>
  <c r="BD156" i="63"/>
  <c r="BE156" i="63"/>
  <c r="BF156" i="63"/>
  <c r="BG156" i="63"/>
  <c r="BH156" i="63"/>
  <c r="AI157" i="63"/>
  <c r="AJ157" i="63"/>
  <c r="AK157" i="63"/>
  <c r="AL157" i="63"/>
  <c r="AM157" i="63"/>
  <c r="AN157" i="63"/>
  <c r="AO157" i="63"/>
  <c r="AP157" i="63"/>
  <c r="AQ157" i="63"/>
  <c r="AR157" i="63"/>
  <c r="AS157" i="63"/>
  <c r="AT157" i="63"/>
  <c r="AU157" i="63"/>
  <c r="AV157" i="63"/>
  <c r="AW157" i="63"/>
  <c r="AX157" i="63"/>
  <c r="AY157" i="63"/>
  <c r="AZ157" i="63"/>
  <c r="BA157" i="63"/>
  <c r="BB157" i="63"/>
  <c r="BC157" i="63"/>
  <c r="BD157" i="63"/>
  <c r="BE157" i="63"/>
  <c r="BF157" i="63"/>
  <c r="BG157" i="63"/>
  <c r="BH157" i="63"/>
  <c r="AI158" i="63"/>
  <c r="AJ158" i="63"/>
  <c r="AK158" i="63"/>
  <c r="AL158" i="63"/>
  <c r="AM158" i="63"/>
  <c r="AN158" i="63"/>
  <c r="AO158" i="63"/>
  <c r="AP158" i="63"/>
  <c r="AQ158" i="63"/>
  <c r="AR158" i="63"/>
  <c r="AS158" i="63"/>
  <c r="AT158" i="63"/>
  <c r="AU158" i="63"/>
  <c r="AV158" i="63"/>
  <c r="AW158" i="63"/>
  <c r="AX158" i="63"/>
  <c r="AY158" i="63"/>
  <c r="AZ158" i="63"/>
  <c r="BA158" i="63"/>
  <c r="BB158" i="63"/>
  <c r="BC158" i="63"/>
  <c r="BD158" i="63"/>
  <c r="BE158" i="63"/>
  <c r="BF158" i="63"/>
  <c r="BG158" i="63"/>
  <c r="BH158" i="63"/>
  <c r="AI159" i="63"/>
  <c r="AJ159" i="63"/>
  <c r="AK159" i="63"/>
  <c r="AL159" i="63"/>
  <c r="AM159" i="63"/>
  <c r="AN159" i="63"/>
  <c r="AO159" i="63"/>
  <c r="AP159" i="63"/>
  <c r="AQ159" i="63"/>
  <c r="AR159" i="63"/>
  <c r="AS159" i="63"/>
  <c r="AT159" i="63"/>
  <c r="AU159" i="63"/>
  <c r="AV159" i="63"/>
  <c r="AW159" i="63"/>
  <c r="AX159" i="63"/>
  <c r="AY159" i="63"/>
  <c r="AZ159" i="63"/>
  <c r="BA159" i="63"/>
  <c r="BB159" i="63"/>
  <c r="BC159" i="63"/>
  <c r="BD159" i="63"/>
  <c r="BE159" i="63"/>
  <c r="BF159" i="63"/>
  <c r="BG159" i="63"/>
  <c r="BH126" i="63"/>
  <c r="AJ126" i="63"/>
  <c r="AK126" i="63"/>
  <c r="AL126" i="63"/>
  <c r="AM126" i="63"/>
  <c r="AN126" i="63"/>
  <c r="AO126" i="63"/>
  <c r="AP126" i="63"/>
  <c r="AQ126" i="63"/>
  <c r="AR126" i="63"/>
  <c r="AS126" i="63"/>
  <c r="AT126" i="63"/>
  <c r="AU126" i="63"/>
  <c r="AV126" i="63"/>
  <c r="AW126" i="63"/>
  <c r="AX126" i="63"/>
  <c r="AY126" i="63"/>
  <c r="AZ126" i="63"/>
  <c r="BA126" i="63"/>
  <c r="BB126" i="63"/>
  <c r="BC126" i="63"/>
  <c r="BD126" i="63"/>
  <c r="BE126" i="63"/>
  <c r="BF126" i="63"/>
  <c r="BG126" i="63"/>
  <c r="AI126" i="63"/>
  <c r="AI82" i="63"/>
  <c r="AJ82" i="63"/>
  <c r="AK82" i="63"/>
  <c r="AL82" i="63"/>
  <c r="AM82" i="63"/>
  <c r="AN82" i="63"/>
  <c r="AO82" i="63"/>
  <c r="AP82" i="63"/>
  <c r="AQ82" i="63"/>
  <c r="AR82" i="63"/>
  <c r="AS82" i="63"/>
  <c r="AT82" i="63"/>
  <c r="AU82" i="63"/>
  <c r="AV82" i="63"/>
  <c r="AW82" i="63"/>
  <c r="AX82" i="63"/>
  <c r="AY82" i="63"/>
  <c r="AZ82" i="63"/>
  <c r="BA82" i="63"/>
  <c r="BB82" i="63"/>
  <c r="BC82" i="63"/>
  <c r="BD82" i="63"/>
  <c r="BE82" i="63"/>
  <c r="BF82" i="63"/>
  <c r="BG82" i="63"/>
  <c r="BH82" i="63"/>
  <c r="AI83" i="63"/>
  <c r="AJ83" i="63"/>
  <c r="AK83" i="63"/>
  <c r="AL83" i="63"/>
  <c r="AM83" i="63"/>
  <c r="AN83" i="63"/>
  <c r="AO83" i="63"/>
  <c r="AP83" i="63"/>
  <c r="AQ83" i="63"/>
  <c r="AR83" i="63"/>
  <c r="AS83" i="63"/>
  <c r="AT83" i="63"/>
  <c r="AU83" i="63"/>
  <c r="AV83" i="63"/>
  <c r="AW83" i="63"/>
  <c r="AX83" i="63"/>
  <c r="AY83" i="63"/>
  <c r="AZ83" i="63"/>
  <c r="BA83" i="63"/>
  <c r="BB83" i="63"/>
  <c r="BC83" i="63"/>
  <c r="BD83" i="63"/>
  <c r="BE83" i="63"/>
  <c r="BF83" i="63"/>
  <c r="BG83" i="63"/>
  <c r="BH83" i="63"/>
  <c r="AI84" i="63"/>
  <c r="AJ84" i="63"/>
  <c r="AK84" i="63"/>
  <c r="AL84" i="63"/>
  <c r="AM84" i="63"/>
  <c r="AN84" i="63"/>
  <c r="AO84" i="63"/>
  <c r="AP84" i="63"/>
  <c r="AQ84" i="63"/>
  <c r="AR84" i="63"/>
  <c r="AS84" i="63"/>
  <c r="AT84" i="63"/>
  <c r="AU84" i="63"/>
  <c r="AV84" i="63"/>
  <c r="AW84" i="63"/>
  <c r="AX84" i="63"/>
  <c r="AY84" i="63"/>
  <c r="AZ84" i="63"/>
  <c r="BA84" i="63"/>
  <c r="BB84" i="63"/>
  <c r="BC84" i="63"/>
  <c r="BD84" i="63"/>
  <c r="BE84" i="63"/>
  <c r="BF84" i="63"/>
  <c r="BG84" i="63"/>
  <c r="BH84" i="63"/>
  <c r="AI85" i="63"/>
  <c r="AJ85" i="63"/>
  <c r="AK85" i="63"/>
  <c r="AL85" i="63"/>
  <c r="AM85" i="63"/>
  <c r="AN85" i="63"/>
  <c r="AO85" i="63"/>
  <c r="AP85" i="63"/>
  <c r="AQ85" i="63"/>
  <c r="AR85" i="63"/>
  <c r="AS85" i="63"/>
  <c r="AT85" i="63"/>
  <c r="AU85" i="63"/>
  <c r="AV85" i="63"/>
  <c r="AW85" i="63"/>
  <c r="AX85" i="63"/>
  <c r="AY85" i="63"/>
  <c r="AZ85" i="63"/>
  <c r="BA85" i="63"/>
  <c r="BB85" i="63"/>
  <c r="BC85" i="63"/>
  <c r="BD85" i="63"/>
  <c r="BE85" i="63"/>
  <c r="BF85" i="63"/>
  <c r="BG85" i="63"/>
  <c r="BH85" i="63"/>
  <c r="AI86" i="63"/>
  <c r="AJ86" i="63"/>
  <c r="AK86" i="63"/>
  <c r="AL86" i="63"/>
  <c r="AM86" i="63"/>
  <c r="AN86" i="63"/>
  <c r="AO86" i="63"/>
  <c r="AP86" i="63"/>
  <c r="AQ86" i="63"/>
  <c r="AR86" i="63"/>
  <c r="AS86" i="63"/>
  <c r="AT86" i="63"/>
  <c r="AU86" i="63"/>
  <c r="AV86" i="63"/>
  <c r="AW86" i="63"/>
  <c r="AX86" i="63"/>
  <c r="AY86" i="63"/>
  <c r="AZ86" i="63"/>
  <c r="BA86" i="63"/>
  <c r="BB86" i="63"/>
  <c r="BC86" i="63"/>
  <c r="BD86" i="63"/>
  <c r="BE86" i="63"/>
  <c r="BF86" i="63"/>
  <c r="BG86" i="63"/>
  <c r="BH86" i="63"/>
  <c r="AI87" i="63"/>
  <c r="AJ87" i="63"/>
  <c r="AK87" i="63"/>
  <c r="AL87" i="63"/>
  <c r="AM87" i="63"/>
  <c r="AN87" i="63"/>
  <c r="AO87" i="63"/>
  <c r="AP87" i="63"/>
  <c r="AQ87" i="63"/>
  <c r="AR87" i="63"/>
  <c r="AS87" i="63"/>
  <c r="AT87" i="63"/>
  <c r="AU87" i="63"/>
  <c r="AV87" i="63"/>
  <c r="AW87" i="63"/>
  <c r="AX87" i="63"/>
  <c r="AY87" i="63"/>
  <c r="AZ87" i="63"/>
  <c r="BA87" i="63"/>
  <c r="BB87" i="63"/>
  <c r="BC87" i="63"/>
  <c r="BD87" i="63"/>
  <c r="BE87" i="63"/>
  <c r="BF87" i="63"/>
  <c r="BG87" i="63"/>
  <c r="BH87" i="63"/>
  <c r="AI88" i="63"/>
  <c r="AJ88" i="63"/>
  <c r="AK88" i="63"/>
  <c r="AL88" i="63"/>
  <c r="AM88" i="63"/>
  <c r="AN88" i="63"/>
  <c r="AO88" i="63"/>
  <c r="AP88" i="63"/>
  <c r="AQ88" i="63"/>
  <c r="AR88" i="63"/>
  <c r="AS88" i="63"/>
  <c r="AT88" i="63"/>
  <c r="AU88" i="63"/>
  <c r="AV88" i="63"/>
  <c r="AW88" i="63"/>
  <c r="AX88" i="63"/>
  <c r="AY88" i="63"/>
  <c r="AZ88" i="63"/>
  <c r="BA88" i="63"/>
  <c r="BB88" i="63"/>
  <c r="BC88" i="63"/>
  <c r="BD88" i="63"/>
  <c r="BE88" i="63"/>
  <c r="BF88" i="63"/>
  <c r="BG88" i="63"/>
  <c r="BH88" i="63"/>
  <c r="AI89" i="63"/>
  <c r="AJ89" i="63"/>
  <c r="AK89" i="63"/>
  <c r="AL89" i="63"/>
  <c r="AM89" i="63"/>
  <c r="AN89" i="63"/>
  <c r="AO89" i="63"/>
  <c r="AP89" i="63"/>
  <c r="AQ89" i="63"/>
  <c r="AR89" i="63"/>
  <c r="AS89" i="63"/>
  <c r="AT89" i="63"/>
  <c r="AU89" i="63"/>
  <c r="AV89" i="63"/>
  <c r="AW89" i="63"/>
  <c r="AX89" i="63"/>
  <c r="AY89" i="63"/>
  <c r="AZ89" i="63"/>
  <c r="BA89" i="63"/>
  <c r="BB89" i="63"/>
  <c r="BC89" i="63"/>
  <c r="BD89" i="63"/>
  <c r="BE89" i="63"/>
  <c r="BF89" i="63"/>
  <c r="BG89" i="63"/>
  <c r="BH89" i="63"/>
  <c r="AI90" i="63"/>
  <c r="AJ90" i="63"/>
  <c r="AK90" i="63"/>
  <c r="AL90" i="63"/>
  <c r="AM90" i="63"/>
  <c r="AN90" i="63"/>
  <c r="AO90" i="63"/>
  <c r="AP90" i="63"/>
  <c r="AQ90" i="63"/>
  <c r="AR90" i="63"/>
  <c r="AS90" i="63"/>
  <c r="AT90" i="63"/>
  <c r="AU90" i="63"/>
  <c r="AV90" i="63"/>
  <c r="AW90" i="63"/>
  <c r="AX90" i="63"/>
  <c r="AY90" i="63"/>
  <c r="AZ90" i="63"/>
  <c r="BA90" i="63"/>
  <c r="BB90" i="63"/>
  <c r="BC90" i="63"/>
  <c r="BD90" i="63"/>
  <c r="BE90" i="63"/>
  <c r="BF90" i="63"/>
  <c r="BG90" i="63"/>
  <c r="BH90" i="63"/>
  <c r="AI91" i="63"/>
  <c r="AJ91" i="63"/>
  <c r="AK91" i="63"/>
  <c r="AL91" i="63"/>
  <c r="AM91" i="63"/>
  <c r="AN91" i="63"/>
  <c r="AO91" i="63"/>
  <c r="AP91" i="63"/>
  <c r="AQ91" i="63"/>
  <c r="AR91" i="63"/>
  <c r="AS91" i="63"/>
  <c r="AT91" i="63"/>
  <c r="AU91" i="63"/>
  <c r="AV91" i="63"/>
  <c r="AW91" i="63"/>
  <c r="AX91" i="63"/>
  <c r="AY91" i="63"/>
  <c r="AZ91" i="63"/>
  <c r="BA91" i="63"/>
  <c r="BB91" i="63"/>
  <c r="BC91" i="63"/>
  <c r="BD91" i="63"/>
  <c r="BE91" i="63"/>
  <c r="BF91" i="63"/>
  <c r="BG91" i="63"/>
  <c r="BH91" i="63"/>
  <c r="AI92" i="63"/>
  <c r="AJ92" i="63"/>
  <c r="AK92" i="63"/>
  <c r="AL92" i="63"/>
  <c r="AM92" i="63"/>
  <c r="AN92" i="63"/>
  <c r="AO92" i="63"/>
  <c r="AP92" i="63"/>
  <c r="AQ92" i="63"/>
  <c r="AR92" i="63"/>
  <c r="AS92" i="63"/>
  <c r="AT92" i="63"/>
  <c r="AU92" i="63"/>
  <c r="AV92" i="63"/>
  <c r="AW92" i="63"/>
  <c r="AX92" i="63"/>
  <c r="AY92" i="63"/>
  <c r="AZ92" i="63"/>
  <c r="BA92" i="63"/>
  <c r="BB92" i="63"/>
  <c r="BC92" i="63"/>
  <c r="BD92" i="63"/>
  <c r="BE92" i="63"/>
  <c r="BF92" i="63"/>
  <c r="BG92" i="63"/>
  <c r="BH92" i="63"/>
  <c r="AI93" i="63"/>
  <c r="AJ93" i="63"/>
  <c r="AK93" i="63"/>
  <c r="AL93" i="63"/>
  <c r="AM93" i="63"/>
  <c r="AN93" i="63"/>
  <c r="AO93" i="63"/>
  <c r="AP93" i="63"/>
  <c r="AQ93" i="63"/>
  <c r="AR93" i="63"/>
  <c r="AS93" i="63"/>
  <c r="AT93" i="63"/>
  <c r="AU93" i="63"/>
  <c r="AV93" i="63"/>
  <c r="AW93" i="63"/>
  <c r="AX93" i="63"/>
  <c r="AY93" i="63"/>
  <c r="AZ93" i="63"/>
  <c r="BA93" i="63"/>
  <c r="BB93" i="63"/>
  <c r="BC93" i="63"/>
  <c r="BD93" i="63"/>
  <c r="BE93" i="63"/>
  <c r="BF93" i="63"/>
  <c r="BG93" i="63"/>
  <c r="BH93" i="63"/>
  <c r="AI94" i="63"/>
  <c r="AJ94" i="63"/>
  <c r="AK94" i="63"/>
  <c r="AL94" i="63"/>
  <c r="AM94" i="63"/>
  <c r="AN94" i="63"/>
  <c r="AO94" i="63"/>
  <c r="AP94" i="63"/>
  <c r="AQ94" i="63"/>
  <c r="AR94" i="63"/>
  <c r="AS94" i="63"/>
  <c r="AT94" i="63"/>
  <c r="AU94" i="63"/>
  <c r="AV94" i="63"/>
  <c r="AW94" i="63"/>
  <c r="AX94" i="63"/>
  <c r="AY94" i="63"/>
  <c r="AZ94" i="63"/>
  <c r="BA94" i="63"/>
  <c r="BB94" i="63"/>
  <c r="BC94" i="63"/>
  <c r="BD94" i="63"/>
  <c r="BE94" i="63"/>
  <c r="BF94" i="63"/>
  <c r="BG94" i="63"/>
  <c r="BH94" i="63"/>
  <c r="AI95" i="63"/>
  <c r="AJ95" i="63"/>
  <c r="AK95" i="63"/>
  <c r="AL95" i="63"/>
  <c r="AM95" i="63"/>
  <c r="AN95" i="63"/>
  <c r="AO95" i="63"/>
  <c r="AP95" i="63"/>
  <c r="AQ95" i="63"/>
  <c r="AR95" i="63"/>
  <c r="AS95" i="63"/>
  <c r="AT95" i="63"/>
  <c r="AU95" i="63"/>
  <c r="AV95" i="63"/>
  <c r="AW95" i="63"/>
  <c r="AX95" i="63"/>
  <c r="AY95" i="63"/>
  <c r="AZ95" i="63"/>
  <c r="BA95" i="63"/>
  <c r="BB95" i="63"/>
  <c r="BC95" i="63"/>
  <c r="BD95" i="63"/>
  <c r="BE95" i="63"/>
  <c r="BF95" i="63"/>
  <c r="BG95" i="63"/>
  <c r="BH95" i="63"/>
  <c r="AI96" i="63"/>
  <c r="AJ96" i="63"/>
  <c r="AK96" i="63"/>
  <c r="AL96" i="63"/>
  <c r="AM96" i="63"/>
  <c r="AN96" i="63"/>
  <c r="AO96" i="63"/>
  <c r="AP96" i="63"/>
  <c r="AQ96" i="63"/>
  <c r="AR96" i="63"/>
  <c r="AS96" i="63"/>
  <c r="AT96" i="63"/>
  <c r="AU96" i="63"/>
  <c r="AV96" i="63"/>
  <c r="AW96" i="63"/>
  <c r="AX96" i="63"/>
  <c r="AY96" i="63"/>
  <c r="AZ96" i="63"/>
  <c r="BA96" i="63"/>
  <c r="BB96" i="63"/>
  <c r="BC96" i="63"/>
  <c r="BD96" i="63"/>
  <c r="BE96" i="63"/>
  <c r="BF96" i="63"/>
  <c r="BG96" i="63"/>
  <c r="BH96" i="63"/>
  <c r="AI97" i="63"/>
  <c r="AJ97" i="63"/>
  <c r="AK97" i="63"/>
  <c r="AL97" i="63"/>
  <c r="AM97" i="63"/>
  <c r="AN97" i="63"/>
  <c r="AO97" i="63"/>
  <c r="AP97" i="63"/>
  <c r="AQ97" i="63"/>
  <c r="AR97" i="63"/>
  <c r="AS97" i="63"/>
  <c r="AT97" i="63"/>
  <c r="AU97" i="63"/>
  <c r="AV97" i="63"/>
  <c r="AW97" i="63"/>
  <c r="AX97" i="63"/>
  <c r="AY97" i="63"/>
  <c r="AZ97" i="63"/>
  <c r="BA97" i="63"/>
  <c r="BB97" i="63"/>
  <c r="BC97" i="63"/>
  <c r="BD97" i="63"/>
  <c r="BE97" i="63"/>
  <c r="BF97" i="63"/>
  <c r="BG97" i="63"/>
  <c r="BH97" i="63"/>
  <c r="AI98" i="63"/>
  <c r="AJ98" i="63"/>
  <c r="AK98" i="63"/>
  <c r="AL98" i="63"/>
  <c r="AM98" i="63"/>
  <c r="AN98" i="63"/>
  <c r="AO98" i="63"/>
  <c r="AP98" i="63"/>
  <c r="AQ98" i="63"/>
  <c r="AR98" i="63"/>
  <c r="AS98" i="63"/>
  <c r="AT98" i="63"/>
  <c r="AU98" i="63"/>
  <c r="AV98" i="63"/>
  <c r="AW98" i="63"/>
  <c r="AX98" i="63"/>
  <c r="AY98" i="63"/>
  <c r="AZ98" i="63"/>
  <c r="BA98" i="63"/>
  <c r="BB98" i="63"/>
  <c r="BC98" i="63"/>
  <c r="BD98" i="63"/>
  <c r="BE98" i="63"/>
  <c r="BF98" i="63"/>
  <c r="BG98" i="63"/>
  <c r="BH98" i="63"/>
  <c r="AI99" i="63"/>
  <c r="AJ99" i="63"/>
  <c r="AK99" i="63"/>
  <c r="AL99" i="63"/>
  <c r="AM99" i="63"/>
  <c r="AN99" i="63"/>
  <c r="AO99" i="63"/>
  <c r="AP99" i="63"/>
  <c r="AQ99" i="63"/>
  <c r="AR99" i="63"/>
  <c r="AS99" i="63"/>
  <c r="AT99" i="63"/>
  <c r="AU99" i="63"/>
  <c r="AV99" i="63"/>
  <c r="AW99" i="63"/>
  <c r="AX99" i="63"/>
  <c r="AY99" i="63"/>
  <c r="AZ99" i="63"/>
  <c r="BA99" i="63"/>
  <c r="BB99" i="63"/>
  <c r="BC99" i="63"/>
  <c r="BD99" i="63"/>
  <c r="BE99" i="63"/>
  <c r="BF99" i="63"/>
  <c r="BG99" i="63"/>
  <c r="BH99" i="63"/>
  <c r="AI100" i="63"/>
  <c r="AJ100" i="63"/>
  <c r="AK100" i="63"/>
  <c r="AL100" i="63"/>
  <c r="AM100" i="63"/>
  <c r="AN100" i="63"/>
  <c r="AO100" i="63"/>
  <c r="AP100" i="63"/>
  <c r="AQ100" i="63"/>
  <c r="AR100" i="63"/>
  <c r="AS100" i="63"/>
  <c r="AT100" i="63"/>
  <c r="AU100" i="63"/>
  <c r="AV100" i="63"/>
  <c r="AW100" i="63"/>
  <c r="AX100" i="63"/>
  <c r="AY100" i="63"/>
  <c r="AZ100" i="63"/>
  <c r="BA100" i="63"/>
  <c r="BB100" i="63"/>
  <c r="BC100" i="63"/>
  <c r="BD100" i="63"/>
  <c r="BE100" i="63"/>
  <c r="BF100" i="63"/>
  <c r="BG100" i="63"/>
  <c r="BH100" i="63"/>
  <c r="AI101" i="63"/>
  <c r="AJ101" i="63"/>
  <c r="AK101" i="63"/>
  <c r="AL101" i="63"/>
  <c r="AM101" i="63"/>
  <c r="AN101" i="63"/>
  <c r="AO101" i="63"/>
  <c r="AP101" i="63"/>
  <c r="AQ101" i="63"/>
  <c r="AR101" i="63"/>
  <c r="AS101" i="63"/>
  <c r="AT101" i="63"/>
  <c r="AU101" i="63"/>
  <c r="AV101" i="63"/>
  <c r="AW101" i="63"/>
  <c r="AX101" i="63"/>
  <c r="AY101" i="63"/>
  <c r="AZ101" i="63"/>
  <c r="BA101" i="63"/>
  <c r="BB101" i="63"/>
  <c r="BC101" i="63"/>
  <c r="BD101" i="63"/>
  <c r="BE101" i="63"/>
  <c r="BF101" i="63"/>
  <c r="BG101" i="63"/>
  <c r="BH101" i="63"/>
  <c r="AI102" i="63"/>
  <c r="AJ102" i="63"/>
  <c r="AK102" i="63"/>
  <c r="AL102" i="63"/>
  <c r="AM102" i="63"/>
  <c r="AN102" i="63"/>
  <c r="AO102" i="63"/>
  <c r="AP102" i="63"/>
  <c r="AQ102" i="63"/>
  <c r="AR102" i="63"/>
  <c r="AS102" i="63"/>
  <c r="AT102" i="63"/>
  <c r="AU102" i="63"/>
  <c r="AV102" i="63"/>
  <c r="AW102" i="63"/>
  <c r="AX102" i="63"/>
  <c r="AY102" i="63"/>
  <c r="AZ102" i="63"/>
  <c r="BA102" i="63"/>
  <c r="BB102" i="63"/>
  <c r="BC102" i="63"/>
  <c r="BD102" i="63"/>
  <c r="BE102" i="63"/>
  <c r="BF102" i="63"/>
  <c r="BG102" i="63"/>
  <c r="BH102" i="63"/>
  <c r="AI103" i="63"/>
  <c r="AJ103" i="63"/>
  <c r="AK103" i="63"/>
  <c r="AL103" i="63"/>
  <c r="AM103" i="63"/>
  <c r="AN103" i="63"/>
  <c r="AO103" i="63"/>
  <c r="AP103" i="63"/>
  <c r="AQ103" i="63"/>
  <c r="AR103" i="63"/>
  <c r="AS103" i="63"/>
  <c r="AT103" i="63"/>
  <c r="AU103" i="63"/>
  <c r="AV103" i="63"/>
  <c r="AW103" i="63"/>
  <c r="AX103" i="63"/>
  <c r="AY103" i="63"/>
  <c r="AZ103" i="63"/>
  <c r="BA103" i="63"/>
  <c r="BB103" i="63"/>
  <c r="BC103" i="63"/>
  <c r="BD103" i="63"/>
  <c r="BE103" i="63"/>
  <c r="BF103" i="63"/>
  <c r="BG103" i="63"/>
  <c r="BH103" i="63"/>
  <c r="AI104" i="63"/>
  <c r="AJ104" i="63"/>
  <c r="AK104" i="63"/>
  <c r="AL104" i="63"/>
  <c r="AM104" i="63"/>
  <c r="AN104" i="63"/>
  <c r="AO104" i="63"/>
  <c r="AP104" i="63"/>
  <c r="AQ104" i="63"/>
  <c r="AR104" i="63"/>
  <c r="AS104" i="63"/>
  <c r="AT104" i="63"/>
  <c r="AU104" i="63"/>
  <c r="AV104" i="63"/>
  <c r="AW104" i="63"/>
  <c r="AX104" i="63"/>
  <c r="AY104" i="63"/>
  <c r="AZ104" i="63"/>
  <c r="BA104" i="63"/>
  <c r="BB104" i="63"/>
  <c r="BC104" i="63"/>
  <c r="BD104" i="63"/>
  <c r="BE104" i="63"/>
  <c r="BF104" i="63"/>
  <c r="BG104" i="63"/>
  <c r="BH104" i="63"/>
  <c r="AI105" i="63"/>
  <c r="AJ105" i="63"/>
  <c r="AK105" i="63"/>
  <c r="AL105" i="63"/>
  <c r="AM105" i="63"/>
  <c r="AN105" i="63"/>
  <c r="AO105" i="63"/>
  <c r="AP105" i="63"/>
  <c r="AQ105" i="63"/>
  <c r="AR105" i="63"/>
  <c r="AS105" i="63"/>
  <c r="AT105" i="63"/>
  <c r="AU105" i="63"/>
  <c r="AV105" i="63"/>
  <c r="AW105" i="63"/>
  <c r="AX105" i="63"/>
  <c r="AY105" i="63"/>
  <c r="AZ105" i="63"/>
  <c r="BA105" i="63"/>
  <c r="BB105" i="63"/>
  <c r="BC105" i="63"/>
  <c r="BD105" i="63"/>
  <c r="BE105" i="63"/>
  <c r="BF105" i="63"/>
  <c r="BG105" i="63"/>
  <c r="BH105" i="63"/>
  <c r="AI106" i="63"/>
  <c r="AJ106" i="63"/>
  <c r="AK106" i="63"/>
  <c r="AL106" i="63"/>
  <c r="AM106" i="63"/>
  <c r="AN106" i="63"/>
  <c r="AO106" i="63"/>
  <c r="AP106" i="63"/>
  <c r="AQ106" i="63"/>
  <c r="AR106" i="63"/>
  <c r="AS106" i="63"/>
  <c r="AT106" i="63"/>
  <c r="AU106" i="63"/>
  <c r="AV106" i="63"/>
  <c r="AW106" i="63"/>
  <c r="AX106" i="63"/>
  <c r="AY106" i="63"/>
  <c r="AZ106" i="63"/>
  <c r="BA106" i="63"/>
  <c r="BB106" i="63"/>
  <c r="BC106" i="63"/>
  <c r="BD106" i="63"/>
  <c r="BE106" i="63"/>
  <c r="BF106" i="63"/>
  <c r="BG106" i="63"/>
  <c r="BH106" i="63"/>
  <c r="AI107" i="63"/>
  <c r="AJ107" i="63"/>
  <c r="AK107" i="63"/>
  <c r="AL107" i="63"/>
  <c r="AM107" i="63"/>
  <c r="AN107" i="63"/>
  <c r="AO107" i="63"/>
  <c r="AP107" i="63"/>
  <c r="AQ107" i="63"/>
  <c r="AR107" i="63"/>
  <c r="AS107" i="63"/>
  <c r="AT107" i="63"/>
  <c r="AU107" i="63"/>
  <c r="AV107" i="63"/>
  <c r="AW107" i="63"/>
  <c r="AX107" i="63"/>
  <c r="AY107" i="63"/>
  <c r="AZ107" i="63"/>
  <c r="BA107" i="63"/>
  <c r="BB107" i="63"/>
  <c r="BC107" i="63"/>
  <c r="BD107" i="63"/>
  <c r="BE107" i="63"/>
  <c r="BF107" i="63"/>
  <c r="BG107" i="63"/>
  <c r="BH107" i="63"/>
  <c r="AI108" i="63"/>
  <c r="AJ108" i="63"/>
  <c r="AK108" i="63"/>
  <c r="AL108" i="63"/>
  <c r="AM108" i="63"/>
  <c r="AN108" i="63"/>
  <c r="AO108" i="63"/>
  <c r="AP108" i="63"/>
  <c r="AQ108" i="63"/>
  <c r="AR108" i="63"/>
  <c r="AS108" i="63"/>
  <c r="AT108" i="63"/>
  <c r="AU108" i="63"/>
  <c r="AV108" i="63"/>
  <c r="AW108" i="63"/>
  <c r="AX108" i="63"/>
  <c r="AY108" i="63"/>
  <c r="AZ108" i="63"/>
  <c r="BA108" i="63"/>
  <c r="BB108" i="63"/>
  <c r="BC108" i="63"/>
  <c r="BD108" i="63"/>
  <c r="BE108" i="63"/>
  <c r="BF108" i="63"/>
  <c r="BG108" i="63"/>
  <c r="BH108" i="63"/>
  <c r="AI109" i="63"/>
  <c r="AJ109" i="63"/>
  <c r="AK109" i="63"/>
  <c r="AL109" i="63"/>
  <c r="AM109" i="63"/>
  <c r="AN109" i="63"/>
  <c r="AO109" i="63"/>
  <c r="AP109" i="63"/>
  <c r="AQ109" i="63"/>
  <c r="AR109" i="63"/>
  <c r="AS109" i="63"/>
  <c r="AT109" i="63"/>
  <c r="AU109" i="63"/>
  <c r="AV109" i="63"/>
  <c r="AW109" i="63"/>
  <c r="AX109" i="63"/>
  <c r="AY109" i="63"/>
  <c r="AZ109" i="63"/>
  <c r="BA109" i="63"/>
  <c r="BB109" i="63"/>
  <c r="BC109" i="63"/>
  <c r="BD109" i="63"/>
  <c r="BE109" i="63"/>
  <c r="BF109" i="63"/>
  <c r="BG109" i="63"/>
  <c r="BH109" i="63"/>
  <c r="AI110" i="63"/>
  <c r="AJ110" i="63"/>
  <c r="AK110" i="63"/>
  <c r="AL110" i="63"/>
  <c r="AM110" i="63"/>
  <c r="AN110" i="63"/>
  <c r="AO110" i="63"/>
  <c r="AP110" i="63"/>
  <c r="AQ110" i="63"/>
  <c r="AR110" i="63"/>
  <c r="AS110" i="63"/>
  <c r="AT110" i="63"/>
  <c r="AU110" i="63"/>
  <c r="AV110" i="63"/>
  <c r="AW110" i="63"/>
  <c r="AX110" i="63"/>
  <c r="AY110" i="63"/>
  <c r="AZ110" i="63"/>
  <c r="BA110" i="63"/>
  <c r="BB110" i="63"/>
  <c r="BC110" i="63"/>
  <c r="BD110" i="63"/>
  <c r="BE110" i="63"/>
  <c r="BF110" i="63"/>
  <c r="BG110" i="63"/>
  <c r="BH110" i="63"/>
  <c r="AI111" i="63"/>
  <c r="AJ111" i="63"/>
  <c r="AK111" i="63"/>
  <c r="AL111" i="63"/>
  <c r="AM111" i="63"/>
  <c r="AN111" i="63"/>
  <c r="AO111" i="63"/>
  <c r="AP111" i="63"/>
  <c r="AQ111" i="63"/>
  <c r="AR111" i="63"/>
  <c r="AS111" i="63"/>
  <c r="AT111" i="63"/>
  <c r="AU111" i="63"/>
  <c r="AV111" i="63"/>
  <c r="AW111" i="63"/>
  <c r="AX111" i="63"/>
  <c r="AY111" i="63"/>
  <c r="AZ111" i="63"/>
  <c r="BA111" i="63"/>
  <c r="BB111" i="63"/>
  <c r="BC111" i="63"/>
  <c r="BD111" i="63"/>
  <c r="BE111" i="63"/>
  <c r="BF111" i="63"/>
  <c r="BG111" i="63"/>
  <c r="BH111" i="63"/>
  <c r="AI112" i="63"/>
  <c r="AJ112" i="63"/>
  <c r="AK112" i="63"/>
  <c r="AL112" i="63"/>
  <c r="AM112" i="63"/>
  <c r="AN112" i="63"/>
  <c r="AO112" i="63"/>
  <c r="AP112" i="63"/>
  <c r="AQ112" i="63"/>
  <c r="AR112" i="63"/>
  <c r="AS112" i="63"/>
  <c r="AT112" i="63"/>
  <c r="AU112" i="63"/>
  <c r="AV112" i="63"/>
  <c r="AW112" i="63"/>
  <c r="AX112" i="63"/>
  <c r="AY112" i="63"/>
  <c r="AZ112" i="63"/>
  <c r="BA112" i="63"/>
  <c r="BB112" i="63"/>
  <c r="BC112" i="63"/>
  <c r="BD112" i="63"/>
  <c r="BE112" i="63"/>
  <c r="BF112" i="63"/>
  <c r="BG112" i="63"/>
  <c r="BH112" i="63"/>
  <c r="AI113" i="63"/>
  <c r="AJ113" i="63"/>
  <c r="AK113" i="63"/>
  <c r="AL113" i="63"/>
  <c r="AM113" i="63"/>
  <c r="AN113" i="63"/>
  <c r="AO113" i="63"/>
  <c r="AP113" i="63"/>
  <c r="AQ113" i="63"/>
  <c r="AR113" i="63"/>
  <c r="AS113" i="63"/>
  <c r="AT113" i="63"/>
  <c r="AU113" i="63"/>
  <c r="AV113" i="63"/>
  <c r="AW113" i="63"/>
  <c r="AX113" i="63"/>
  <c r="AY113" i="63"/>
  <c r="AZ113" i="63"/>
  <c r="BA113" i="63"/>
  <c r="BB113" i="63"/>
  <c r="BC113" i="63"/>
  <c r="BD113" i="63"/>
  <c r="BE113" i="63"/>
  <c r="BF113" i="63"/>
  <c r="BG113" i="63"/>
  <c r="BH113" i="63"/>
  <c r="AI114" i="63"/>
  <c r="AJ114" i="63"/>
  <c r="AK114" i="63"/>
  <c r="AL114" i="63"/>
  <c r="AM114" i="63"/>
  <c r="AN114" i="63"/>
  <c r="AO114" i="63"/>
  <c r="AP114" i="63"/>
  <c r="AQ114" i="63"/>
  <c r="AR114" i="63"/>
  <c r="AS114" i="63"/>
  <c r="AT114" i="63"/>
  <c r="AU114" i="63"/>
  <c r="AV114" i="63"/>
  <c r="AW114" i="63"/>
  <c r="AX114" i="63"/>
  <c r="AY114" i="63"/>
  <c r="AZ114" i="63"/>
  <c r="BA114" i="63"/>
  <c r="BB114" i="63"/>
  <c r="BC114" i="63"/>
  <c r="BD114" i="63"/>
  <c r="BE114" i="63"/>
  <c r="BF114" i="63"/>
  <c r="BG114" i="63"/>
  <c r="BH114" i="63"/>
  <c r="AJ81" i="63"/>
  <c r="AK81" i="63"/>
  <c r="AL81" i="63"/>
  <c r="AM81" i="63"/>
  <c r="AN81" i="63"/>
  <c r="AO81" i="63"/>
  <c r="AP81" i="63"/>
  <c r="AQ81" i="63"/>
  <c r="AR81" i="63"/>
  <c r="AS81" i="63"/>
  <c r="AT81" i="63"/>
  <c r="AU81" i="63"/>
  <c r="AV81" i="63"/>
  <c r="AW81" i="63"/>
  <c r="AX81" i="63"/>
  <c r="AY81" i="63"/>
  <c r="AZ81" i="63"/>
  <c r="BA81" i="63"/>
  <c r="BB81" i="63"/>
  <c r="BC81" i="63"/>
  <c r="BD81" i="63"/>
  <c r="BE81" i="63"/>
  <c r="BF81" i="63"/>
  <c r="BG81" i="63"/>
  <c r="BH81" i="63"/>
  <c r="AF161" i="63"/>
  <c r="AE161" i="63"/>
  <c r="AD161" i="63"/>
  <c r="AC161" i="63"/>
  <c r="AB161" i="63"/>
  <c r="AA161" i="63"/>
  <c r="Z161" i="63"/>
  <c r="Y161" i="63"/>
  <c r="X161" i="63"/>
  <c r="W161" i="63"/>
  <c r="V161" i="63"/>
  <c r="U161" i="63"/>
  <c r="T161" i="63"/>
  <c r="S161" i="63"/>
  <c r="R161" i="63"/>
  <c r="Q161" i="63"/>
  <c r="P161" i="63"/>
  <c r="O161" i="63"/>
  <c r="N161" i="63"/>
  <c r="M161" i="63"/>
  <c r="L161" i="63"/>
  <c r="K161" i="63"/>
  <c r="J161" i="63"/>
  <c r="I161" i="63"/>
  <c r="H161" i="63"/>
  <c r="G161" i="63"/>
  <c r="G123" i="63"/>
  <c r="AF116" i="63"/>
  <c r="AE116" i="63"/>
  <c r="AD116" i="63"/>
  <c r="AC116" i="63"/>
  <c r="AB116" i="63"/>
  <c r="AA116" i="63"/>
  <c r="Z116" i="63"/>
  <c r="Y116" i="63"/>
  <c r="X116" i="63"/>
  <c r="W116" i="63"/>
  <c r="V116" i="63"/>
  <c r="U116" i="63"/>
  <c r="T116" i="63"/>
  <c r="S116" i="63"/>
  <c r="R116" i="63"/>
  <c r="Q116" i="63"/>
  <c r="P116" i="63"/>
  <c r="O116" i="63"/>
  <c r="N116" i="63"/>
  <c r="M116" i="63"/>
  <c r="L116" i="63"/>
  <c r="K116" i="63"/>
  <c r="J116" i="63"/>
  <c r="I116" i="63"/>
  <c r="H116" i="63"/>
  <c r="G116" i="63"/>
  <c r="AE72" i="63"/>
  <c r="AD72" i="63"/>
  <c r="AC72" i="63"/>
  <c r="AB72" i="63"/>
  <c r="AA72" i="63"/>
  <c r="Z72" i="63"/>
  <c r="Y72" i="63"/>
  <c r="CC41" i="63" s="1"/>
  <c r="DF41" i="63" s="1"/>
  <c r="X72" i="63"/>
  <c r="W72" i="63"/>
  <c r="V72" i="63"/>
  <c r="U72" i="63"/>
  <c r="T72" i="63"/>
  <c r="S72" i="63"/>
  <c r="R72" i="63"/>
  <c r="Q72" i="63"/>
  <c r="P72" i="63"/>
  <c r="O72" i="63"/>
  <c r="N72" i="63"/>
  <c r="M72" i="63"/>
  <c r="L72" i="63"/>
  <c r="K72" i="63"/>
  <c r="J72" i="63"/>
  <c r="I72" i="63"/>
  <c r="H72" i="63"/>
  <c r="G72" i="63"/>
  <c r="AG122" i="62"/>
  <c r="H7580" i="55" s="1"/>
  <c r="AF122" i="62"/>
  <c r="H7579" i="55" s="1"/>
  <c r="AE122" i="62"/>
  <c r="H7578" i="55" s="1"/>
  <c r="AD122" i="62"/>
  <c r="H7577" i="55" s="1"/>
  <c r="AC122" i="62"/>
  <c r="H7576" i="55" s="1"/>
  <c r="AB122" i="62"/>
  <c r="H7575" i="55" s="1"/>
  <c r="AA122" i="62"/>
  <c r="H7574" i="55" s="1"/>
  <c r="Z122" i="62"/>
  <c r="H7573" i="55" s="1"/>
  <c r="Y122" i="62"/>
  <c r="H7572" i="55" s="1"/>
  <c r="X122" i="62"/>
  <c r="H7571" i="55" s="1"/>
  <c r="W122" i="62"/>
  <c r="H7570" i="55" s="1"/>
  <c r="V122" i="62"/>
  <c r="H7569" i="55" s="1"/>
  <c r="U122" i="62"/>
  <c r="H7568" i="55" s="1"/>
  <c r="T122" i="62"/>
  <c r="H7567" i="55" s="1"/>
  <c r="S122" i="62"/>
  <c r="H7566" i="55" s="1"/>
  <c r="R122" i="62"/>
  <c r="H7565" i="55" s="1"/>
  <c r="Q122" i="62"/>
  <c r="H7564" i="55" s="1"/>
  <c r="P122" i="62"/>
  <c r="H7563" i="55" s="1"/>
  <c r="O122" i="62"/>
  <c r="H7562" i="55" s="1"/>
  <c r="N122" i="62"/>
  <c r="H7561" i="55" s="1"/>
  <c r="M122" i="62"/>
  <c r="H7560" i="55" s="1"/>
  <c r="L122" i="62"/>
  <c r="H7559" i="55" s="1"/>
  <c r="K122" i="62"/>
  <c r="H7558" i="55" s="1"/>
  <c r="J122" i="62"/>
  <c r="H7557" i="55" s="1"/>
  <c r="I122" i="62"/>
  <c r="H7556" i="55" s="1"/>
  <c r="H122" i="62"/>
  <c r="H7555" i="55" s="1"/>
  <c r="AG79" i="62"/>
  <c r="H5057" i="55" s="1"/>
  <c r="AF79" i="62"/>
  <c r="AE79" i="62"/>
  <c r="AD79" i="62"/>
  <c r="H5054" i="55" s="1"/>
  <c r="AC79" i="62"/>
  <c r="AB79" i="62"/>
  <c r="AA79" i="62"/>
  <c r="H5051" i="55" s="1"/>
  <c r="Z79" i="62"/>
  <c r="H5050" i="55" s="1"/>
  <c r="Y79" i="62"/>
  <c r="X79" i="62"/>
  <c r="H5048" i="55" s="1"/>
  <c r="W79" i="62"/>
  <c r="V79" i="62"/>
  <c r="U79" i="62"/>
  <c r="H5045" i="55" s="1"/>
  <c r="T79" i="62"/>
  <c r="S79" i="62"/>
  <c r="R79" i="62"/>
  <c r="Q79" i="62"/>
  <c r="P79" i="62"/>
  <c r="H5040" i="55" s="1"/>
  <c r="O79" i="62"/>
  <c r="N79" i="62"/>
  <c r="M79" i="62"/>
  <c r="L79" i="62"/>
  <c r="H5036" i="55" s="1"/>
  <c r="K79" i="62"/>
  <c r="H5035" i="55" s="1"/>
  <c r="J79" i="62"/>
  <c r="H5034" i="55" s="1"/>
  <c r="I79" i="62"/>
  <c r="H79" i="62"/>
  <c r="H5032" i="55" s="1"/>
  <c r="BY111" i="63"/>
  <c r="DB111" i="63"/>
  <c r="BL97" i="63"/>
  <c r="CO97" i="63"/>
  <c r="BX111" i="63"/>
  <c r="DA111" i="63"/>
  <c r="BM111" i="63"/>
  <c r="CP111" i="63" s="1"/>
  <c r="B7678" i="55"/>
  <c r="F7678" i="55"/>
  <c r="B7679" i="55"/>
  <c r="F7679" i="55"/>
  <c r="B7680" i="55"/>
  <c r="F7680" i="55"/>
  <c r="B7681" i="55"/>
  <c r="F7681" i="55"/>
  <c r="F7677" i="55"/>
  <c r="B7675" i="55"/>
  <c r="F7675" i="55"/>
  <c r="B7676" i="55"/>
  <c r="F7676" i="55"/>
  <c r="B7677" i="55"/>
  <c r="F7674" i="55"/>
  <c r="B7670" i="55"/>
  <c r="F7670" i="55"/>
  <c r="H7670" i="55"/>
  <c r="B7671" i="55"/>
  <c r="F7671" i="55"/>
  <c r="H7671" i="55"/>
  <c r="B7672" i="55"/>
  <c r="F7672" i="55"/>
  <c r="H7672" i="55"/>
  <c r="B7673" i="55"/>
  <c r="F7673" i="55"/>
  <c r="H7673" i="55"/>
  <c r="B7674" i="55"/>
  <c r="H7669" i="55"/>
  <c r="F7669" i="55"/>
  <c r="B7667" i="55"/>
  <c r="F7667" i="55"/>
  <c r="H7667" i="55"/>
  <c r="B7668" i="55"/>
  <c r="F7668" i="55"/>
  <c r="H7668" i="55"/>
  <c r="B7669" i="55"/>
  <c r="H7666" i="55"/>
  <c r="F7666" i="55"/>
  <c r="B7662" i="55"/>
  <c r="F7662" i="55"/>
  <c r="H7662" i="55"/>
  <c r="B7663" i="55"/>
  <c r="F7663" i="55"/>
  <c r="H7663" i="55"/>
  <c r="B7664" i="55"/>
  <c r="F7664" i="55"/>
  <c r="H7664" i="55"/>
  <c r="B7665" i="55"/>
  <c r="F7665" i="55"/>
  <c r="H7665" i="55"/>
  <c r="B7666" i="55"/>
  <c r="H7661" i="55"/>
  <c r="F7661" i="55"/>
  <c r="B7659" i="55"/>
  <c r="F7659" i="55"/>
  <c r="H7659" i="55"/>
  <c r="B7660" i="55"/>
  <c r="F7660" i="55"/>
  <c r="H7660" i="55"/>
  <c r="B7661" i="55"/>
  <c r="H7658" i="55"/>
  <c r="F7658" i="55"/>
  <c r="B7654" i="55"/>
  <c r="F7654" i="55"/>
  <c r="H7654" i="55"/>
  <c r="B7655" i="55"/>
  <c r="F7655" i="55"/>
  <c r="H7655" i="55"/>
  <c r="B7656" i="55"/>
  <c r="F7656" i="55"/>
  <c r="H7656" i="55"/>
  <c r="B7657" i="55"/>
  <c r="F7657" i="55"/>
  <c r="H7657" i="55"/>
  <c r="B7658" i="55"/>
  <c r="H7653" i="55"/>
  <c r="F7653" i="55"/>
  <c r="B7651" i="55"/>
  <c r="F7651" i="55"/>
  <c r="H7651" i="55"/>
  <c r="B7652" i="55"/>
  <c r="F7652" i="55"/>
  <c r="H7652" i="55"/>
  <c r="B7653" i="55"/>
  <c r="H7650" i="55"/>
  <c r="F7650" i="55"/>
  <c r="B7646" i="55"/>
  <c r="F7646" i="55"/>
  <c r="H7646" i="55"/>
  <c r="B7647" i="55"/>
  <c r="F7647" i="55"/>
  <c r="H7647" i="55"/>
  <c r="B7648" i="55"/>
  <c r="F7648" i="55"/>
  <c r="H7648" i="55"/>
  <c r="B7649" i="55"/>
  <c r="F7649" i="55"/>
  <c r="H7649" i="55"/>
  <c r="B7650" i="55"/>
  <c r="H7645" i="55"/>
  <c r="F7645" i="55"/>
  <c r="B7645" i="55"/>
  <c r="B7643" i="55"/>
  <c r="F7643" i="55"/>
  <c r="H7643" i="55"/>
  <c r="B7644" i="55"/>
  <c r="F7644" i="55"/>
  <c r="H7644" i="55"/>
  <c r="H7642" i="55"/>
  <c r="F7642" i="55"/>
  <c r="B7642" i="55"/>
  <c r="B7638" i="55"/>
  <c r="F7638" i="55"/>
  <c r="H7638" i="55"/>
  <c r="B7639" i="55"/>
  <c r="F7639" i="55"/>
  <c r="H7639" i="55"/>
  <c r="B7640" i="55"/>
  <c r="F7640" i="55"/>
  <c r="H7640" i="55"/>
  <c r="B7641" i="55"/>
  <c r="F7641" i="55"/>
  <c r="H7641" i="55"/>
  <c r="H7637" i="55"/>
  <c r="F7637" i="55"/>
  <c r="B7637" i="55"/>
  <c r="B7635" i="55"/>
  <c r="F7635" i="55"/>
  <c r="H7635" i="55"/>
  <c r="B7636" i="55"/>
  <c r="F7636" i="55"/>
  <c r="H7636" i="55"/>
  <c r="H7634" i="55"/>
  <c r="F7634" i="55"/>
  <c r="B7634" i="55"/>
  <c r="B7630" i="55"/>
  <c r="F7630" i="55"/>
  <c r="H7630" i="55"/>
  <c r="B7631" i="55"/>
  <c r="F7631" i="55"/>
  <c r="H7631" i="55"/>
  <c r="B7632" i="55"/>
  <c r="F7632" i="55"/>
  <c r="H7632" i="55"/>
  <c r="B7633" i="55"/>
  <c r="F7633" i="55"/>
  <c r="H7633" i="55"/>
  <c r="H7629" i="55"/>
  <c r="F7629" i="55"/>
  <c r="B7629" i="55"/>
  <c r="B7627" i="55"/>
  <c r="F7627" i="55"/>
  <c r="H7627" i="55"/>
  <c r="B7628" i="55"/>
  <c r="F7628" i="55"/>
  <c r="H7628" i="55"/>
  <c r="H7626" i="55"/>
  <c r="H7625" i="55"/>
  <c r="H7624" i="55"/>
  <c r="H7623" i="55"/>
  <c r="H7622" i="55"/>
  <c r="H7621" i="55"/>
  <c r="H7620" i="55"/>
  <c r="H7619" i="55"/>
  <c r="H7618" i="55"/>
  <c r="F7626" i="55"/>
  <c r="B7626" i="55"/>
  <c r="F7625" i="55"/>
  <c r="B7625" i="55"/>
  <c r="F7624" i="55"/>
  <c r="B7624" i="55"/>
  <c r="F7623" i="55"/>
  <c r="B7623" i="55"/>
  <c r="F7622" i="55"/>
  <c r="B7622" i="55"/>
  <c r="F7621" i="55"/>
  <c r="B7621" i="55"/>
  <c r="F7620" i="55"/>
  <c r="B7620" i="55"/>
  <c r="F7619" i="55"/>
  <c r="B7619" i="55"/>
  <c r="F7618" i="55"/>
  <c r="B7618" i="55"/>
  <c r="E28" i="13"/>
  <c r="E29" i="13"/>
  <c r="E30" i="13"/>
  <c r="E31" i="13"/>
  <c r="EH31" i="13" s="1"/>
  <c r="E32" i="13"/>
  <c r="DD32" i="13" s="1"/>
  <c r="E33" i="13"/>
  <c r="EH33" i="13" s="1"/>
  <c r="E34" i="13"/>
  <c r="E35" i="13"/>
  <c r="E36" i="13"/>
  <c r="R36" i="13"/>
  <c r="E37" i="13"/>
  <c r="DD37" i="13" s="1"/>
  <c r="E38" i="13"/>
  <c r="E39" i="13"/>
  <c r="E40" i="13"/>
  <c r="E41" i="13"/>
  <c r="E42" i="13"/>
  <c r="AB42" i="13"/>
  <c r="E43" i="13"/>
  <c r="E44" i="13"/>
  <c r="DD44" i="13" s="1"/>
  <c r="E45" i="13"/>
  <c r="E46" i="13"/>
  <c r="DX46" i="13" s="1"/>
  <c r="E47" i="13"/>
  <c r="DX47" i="13" s="1"/>
  <c r="E48" i="13"/>
  <c r="CT48" i="13" s="1"/>
  <c r="E49" i="13"/>
  <c r="CT49" i="13" s="1"/>
  <c r="E50" i="13"/>
  <c r="DN50" i="13" s="1"/>
  <c r="E51" i="13"/>
  <c r="BF51" i="13" s="1"/>
  <c r="E52" i="13"/>
  <c r="E53" i="13"/>
  <c r="E54" i="13"/>
  <c r="CJ54" i="13"/>
  <c r="E55" i="13"/>
  <c r="BP55" i="13" s="1"/>
  <c r="E56" i="13"/>
  <c r="E57" i="13"/>
  <c r="E58" i="13"/>
  <c r="E59" i="13"/>
  <c r="E60" i="13"/>
  <c r="E61" i="13"/>
  <c r="E62" i="13"/>
  <c r="E63" i="13"/>
  <c r="DN63" i="13" s="1"/>
  <c r="E64" i="13"/>
  <c r="E65" i="13"/>
  <c r="CJ65" i="13"/>
  <c r="E66" i="13"/>
  <c r="CT66" i="13" s="1"/>
  <c r="E67" i="13"/>
  <c r="E68" i="13"/>
  <c r="AB68" i="13"/>
  <c r="E27" i="13"/>
  <c r="CT27" i="13" s="1"/>
  <c r="AB27" i="13"/>
  <c r="DX51" i="13"/>
  <c r="CJ66" i="13"/>
  <c r="R68" i="13"/>
  <c r="U38" i="10"/>
  <c r="J48" i="13" s="1"/>
  <c r="V38" i="10"/>
  <c r="K48" i="13" s="1"/>
  <c r="U39" i="10"/>
  <c r="J49" i="13" s="1"/>
  <c r="V39" i="10"/>
  <c r="K49" i="13" s="1"/>
  <c r="U40" i="10"/>
  <c r="J50" i="13" s="1"/>
  <c r="V40" i="10"/>
  <c r="K50" i="13" s="1"/>
  <c r="L40" i="10"/>
  <c r="G50" i="13" s="1"/>
  <c r="M40" i="10"/>
  <c r="L38" i="10"/>
  <c r="M38" i="10"/>
  <c r="H48" i="13" s="1"/>
  <c r="L39" i="10"/>
  <c r="M39" i="10"/>
  <c r="H49" i="13" s="1"/>
  <c r="E340" i="1"/>
  <c r="D340" i="1"/>
  <c r="C340" i="1"/>
  <c r="B340" i="1" s="1"/>
  <c r="E339" i="1"/>
  <c r="D339" i="1"/>
  <c r="C339" i="1"/>
  <c r="B339" i="1" s="1"/>
  <c r="E337" i="1"/>
  <c r="D337" i="1"/>
  <c r="C337" i="1"/>
  <c r="E326" i="1"/>
  <c r="D326" i="1"/>
  <c r="C326" i="1"/>
  <c r="E325" i="1"/>
  <c r="D325" i="1"/>
  <c r="C325" i="1"/>
  <c r="E322" i="1"/>
  <c r="D322" i="1"/>
  <c r="C322" i="1"/>
  <c r="E269" i="1"/>
  <c r="D269" i="1"/>
  <c r="C269" i="1"/>
  <c r="E268" i="1"/>
  <c r="D268" i="1"/>
  <c r="C268" i="1"/>
  <c r="E792" i="1"/>
  <c r="D792" i="1"/>
  <c r="C792" i="1"/>
  <c r="B792" i="1" s="1"/>
  <c r="C102" i="49" s="1"/>
  <c r="E778" i="1"/>
  <c r="D778" i="1"/>
  <c r="C778" i="1"/>
  <c r="B778" i="1" s="1"/>
  <c r="C86" i="49" s="1"/>
  <c r="E736" i="1"/>
  <c r="D736" i="1"/>
  <c r="C736" i="1"/>
  <c r="E734" i="1"/>
  <c r="D734" i="1"/>
  <c r="C734" i="1"/>
  <c r="E636" i="1"/>
  <c r="D636" i="1"/>
  <c r="E383" i="1"/>
  <c r="D383" i="1"/>
  <c r="C383" i="1"/>
  <c r="E380" i="1"/>
  <c r="D380" i="1"/>
  <c r="C380" i="1"/>
  <c r="E359" i="1"/>
  <c r="D359" i="1"/>
  <c r="C359" i="1"/>
  <c r="E355" i="1"/>
  <c r="D355" i="1"/>
  <c r="C355" i="1"/>
  <c r="E350" i="1"/>
  <c r="D350" i="1"/>
  <c r="C350" i="1"/>
  <c r="B350" i="1" s="1"/>
  <c r="E345" i="1"/>
  <c r="D345" i="1"/>
  <c r="C345" i="1"/>
  <c r="E344" i="1"/>
  <c r="D344" i="1"/>
  <c r="C344" i="1"/>
  <c r="B344" i="1" s="1"/>
  <c r="E319" i="1"/>
  <c r="D319" i="1"/>
  <c r="C319" i="1"/>
  <c r="B319" i="1" s="1"/>
  <c r="C318" i="1"/>
  <c r="D318" i="1"/>
  <c r="E318" i="1"/>
  <c r="E317" i="1"/>
  <c r="D317" i="1"/>
  <c r="C317" i="1"/>
  <c r="E316" i="1"/>
  <c r="D316" i="1"/>
  <c r="C316" i="1"/>
  <c r="E315" i="1"/>
  <c r="D315" i="1"/>
  <c r="C315" i="1"/>
  <c r="E275" i="1"/>
  <c r="D275" i="1"/>
  <c r="C275" i="1"/>
  <c r="B275" i="1" s="1"/>
  <c r="E267" i="1"/>
  <c r="D267" i="1"/>
  <c r="C267" i="1"/>
  <c r="E266" i="1"/>
  <c r="D266" i="1"/>
  <c r="B266" i="1" s="1"/>
  <c r="C266" i="1"/>
  <c r="E265" i="1"/>
  <c r="D265" i="1"/>
  <c r="C265" i="1"/>
  <c r="B265" i="1" s="1"/>
  <c r="E722" i="1"/>
  <c r="D722" i="1"/>
  <c r="C722" i="1"/>
  <c r="E672" i="1"/>
  <c r="D672" i="1"/>
  <c r="C672" i="1"/>
  <c r="E665" i="1"/>
  <c r="D665" i="1"/>
  <c r="C665" i="1"/>
  <c r="C664" i="1"/>
  <c r="D664" i="1"/>
  <c r="E664" i="1"/>
  <c r="E663" i="1"/>
  <c r="D663" i="1"/>
  <c r="C663" i="1"/>
  <c r="B663" i="1" s="1"/>
  <c r="C38" i="47" s="1"/>
  <c r="F1675" i="55" s="1"/>
  <c r="E360" i="1"/>
  <c r="B253" i="1"/>
  <c r="A17" i="56" s="1"/>
  <c r="D250" i="1"/>
  <c r="B250" i="1" s="1"/>
  <c r="A16" i="56" s="1"/>
  <c r="E249" i="1"/>
  <c r="D249" i="1"/>
  <c r="C249" i="1"/>
  <c r="E310" i="1"/>
  <c r="D310" i="1"/>
  <c r="C310" i="1"/>
  <c r="E309" i="1"/>
  <c r="D309" i="1"/>
  <c r="C309" i="1"/>
  <c r="E308" i="1"/>
  <c r="D308" i="1"/>
  <c r="C308" i="1"/>
  <c r="E307" i="1"/>
  <c r="D307" i="1"/>
  <c r="C307" i="1"/>
  <c r="E306" i="1"/>
  <c r="D306" i="1"/>
  <c r="C306" i="1"/>
  <c r="B306" i="1" s="1"/>
  <c r="B255" i="1"/>
  <c r="B15" i="56" s="1"/>
  <c r="E276" i="1"/>
  <c r="D276" i="1"/>
  <c r="C276" i="1"/>
  <c r="E264" i="1"/>
  <c r="D264" i="1"/>
  <c r="C264" i="1"/>
  <c r="E254" i="1"/>
  <c r="D254" i="1"/>
  <c r="C254" i="1"/>
  <c r="E252" i="1"/>
  <c r="D252" i="1"/>
  <c r="C252" i="1"/>
  <c r="E248" i="1"/>
  <c r="D248" i="1"/>
  <c r="C248" i="1"/>
  <c r="B248" i="1" s="1"/>
  <c r="R42" i="47"/>
  <c r="R134" i="47" s="1"/>
  <c r="R135" i="47" s="1"/>
  <c r="B567" i="1"/>
  <c r="AJ14" i="62" s="1"/>
  <c r="B569" i="1"/>
  <c r="B571" i="1"/>
  <c r="AH6" i="63" s="1"/>
  <c r="B570" i="1"/>
  <c r="B564" i="1"/>
  <c r="C11" i="62" s="1"/>
  <c r="B563" i="1"/>
  <c r="C9" i="62" s="1"/>
  <c r="D3445" i="55" s="1"/>
  <c r="B562" i="1"/>
  <c r="C8" i="62" s="1"/>
  <c r="D3444" i="55" s="1"/>
  <c r="B561" i="1"/>
  <c r="C7" i="62" s="1"/>
  <c r="D3443" i="55" s="1"/>
  <c r="B560" i="1"/>
  <c r="C5" i="62" s="1"/>
  <c r="B557" i="1"/>
  <c r="B556" i="1"/>
  <c r="ES8" i="63" s="1"/>
  <c r="B388" i="1"/>
  <c r="B34" i="23" s="1"/>
  <c r="L11" i="22" s="1"/>
  <c r="D60" i="49" s="1"/>
  <c r="B287" i="1"/>
  <c r="B26" i="23" s="1"/>
  <c r="B272" i="1"/>
  <c r="B22" i="23" s="1"/>
  <c r="E3210" i="55" s="1"/>
  <c r="B390" i="1"/>
  <c r="E53" i="57" s="1"/>
  <c r="F3208" i="55" s="1"/>
  <c r="B389" i="1"/>
  <c r="A54" i="57" s="1"/>
  <c r="B386" i="1"/>
  <c r="B387" i="1"/>
  <c r="A52" i="57" s="1"/>
  <c r="B347" i="1"/>
  <c r="E68" i="57" s="1"/>
  <c r="B338" i="1"/>
  <c r="B297" i="1"/>
  <c r="B296" i="1"/>
  <c r="E27" i="57" s="1"/>
  <c r="B295" i="1"/>
  <c r="E29" i="57" s="1"/>
  <c r="B294" i="1"/>
  <c r="A33" i="57" s="1"/>
  <c r="E3124" i="55" s="1"/>
  <c r="B293" i="1"/>
  <c r="A32" i="57" s="1"/>
  <c r="E3123" i="55" s="1"/>
  <c r="B292" i="1"/>
  <c r="A31" i="57" s="1"/>
  <c r="E3122" i="55" s="1"/>
  <c r="B291" i="1"/>
  <c r="A30" i="57" s="1"/>
  <c r="E3121" i="55" s="1"/>
  <c r="B290" i="1"/>
  <c r="A29" i="57" s="1"/>
  <c r="E3120" i="55" s="1"/>
  <c r="B289" i="1"/>
  <c r="A28" i="57" s="1"/>
  <c r="E3119" i="55" s="1"/>
  <c r="B288" i="1"/>
  <c r="A26" i="57" s="1"/>
  <c r="B286" i="1"/>
  <c r="A25" i="57" s="1"/>
  <c r="B298" i="1"/>
  <c r="B285" i="1"/>
  <c r="B282" i="1"/>
  <c r="B280" i="1"/>
  <c r="B278" i="1"/>
  <c r="B274" i="1"/>
  <c r="B284" i="1"/>
  <c r="B283" i="1"/>
  <c r="B279" i="1"/>
  <c r="B277" i="1"/>
  <c r="B273" i="1"/>
  <c r="A6" i="57" s="1"/>
  <c r="B271" i="1"/>
  <c r="A5" i="57" s="1"/>
  <c r="B270" i="1"/>
  <c r="B1" i="57" s="1"/>
  <c r="C3123" i="55" s="1"/>
  <c r="B262" i="1"/>
  <c r="C53" i="57" s="1"/>
  <c r="B263" i="1"/>
  <c r="B261" i="1"/>
  <c r="A27" i="56" s="1"/>
  <c r="B260" i="1"/>
  <c r="A26" i="56" s="1"/>
  <c r="B257" i="1"/>
  <c r="B256" i="1"/>
  <c r="B259" i="1"/>
  <c r="A20" i="56" s="1"/>
  <c r="B247" i="1"/>
  <c r="J10" i="56" s="1"/>
  <c r="B243" i="1"/>
  <c r="A9" i="56" s="1"/>
  <c r="B242" i="1"/>
  <c r="A7" i="56" s="1"/>
  <c r="B3224" i="55"/>
  <c r="B3225" i="55"/>
  <c r="B3226" i="55"/>
  <c r="B3223" i="55"/>
  <c r="D3118" i="55"/>
  <c r="D3117" i="55"/>
  <c r="D3116" i="55"/>
  <c r="D3115" i="55"/>
  <c r="D3114" i="55"/>
  <c r="D3113" i="55"/>
  <c r="D3111" i="55"/>
  <c r="N22" i="23"/>
  <c r="P22" i="23" s="1"/>
  <c r="N131" i="47"/>
  <c r="L131" i="47"/>
  <c r="T130" i="47"/>
  <c r="N130" i="47"/>
  <c r="L130" i="47"/>
  <c r="H70" i="47"/>
  <c r="H1595" i="55" s="1"/>
  <c r="F31" i="57"/>
  <c r="H2081" i="55"/>
  <c r="B3216" i="55"/>
  <c r="B3217" i="55"/>
  <c r="B3218" i="55"/>
  <c r="B3219" i="55"/>
  <c r="H3214" i="55"/>
  <c r="H3211" i="55"/>
  <c r="B3211" i="55"/>
  <c r="B3212" i="55"/>
  <c r="B3213" i="55"/>
  <c r="B3214" i="55"/>
  <c r="B3215" i="55"/>
  <c r="B3210" i="55"/>
  <c r="H1007" i="55"/>
  <c r="H1005" i="55"/>
  <c r="H1004" i="55"/>
  <c r="H1003" i="55"/>
  <c r="H1009" i="55"/>
  <c r="H1010" i="55"/>
  <c r="H1011" i="55"/>
  <c r="H1012" i="55"/>
  <c r="H1013" i="55"/>
  <c r="H1014" i="55"/>
  <c r="H1015" i="55"/>
  <c r="H1016" i="55"/>
  <c r="H1017" i="55"/>
  <c r="H1018" i="55"/>
  <c r="H1008" i="55"/>
  <c r="D3198" i="55"/>
  <c r="D3199" i="55"/>
  <c r="D3200" i="55"/>
  <c r="D3201" i="55"/>
  <c r="D3203" i="55"/>
  <c r="D3204" i="55"/>
  <c r="D3205" i="55"/>
  <c r="D3208" i="55"/>
  <c r="H3189" i="55"/>
  <c r="H3190" i="55"/>
  <c r="H3192" i="55"/>
  <c r="H3188" i="55"/>
  <c r="D3189" i="55"/>
  <c r="D3190" i="55"/>
  <c r="D3192" i="55"/>
  <c r="D3193" i="55"/>
  <c r="D3194" i="55"/>
  <c r="D3195" i="55"/>
  <c r="D3196" i="55"/>
  <c r="D3188" i="55"/>
  <c r="H3173" i="55"/>
  <c r="H3171" i="55"/>
  <c r="H3169" i="55"/>
  <c r="H3167" i="55"/>
  <c r="H3165" i="55"/>
  <c r="H3163" i="55"/>
  <c r="H3161" i="55"/>
  <c r="H3159" i="55"/>
  <c r="H3157" i="55"/>
  <c r="H3155" i="55"/>
  <c r="H3153" i="55"/>
  <c r="H3151" i="55"/>
  <c r="D3157" i="55"/>
  <c r="D3158" i="55"/>
  <c r="D3159" i="55"/>
  <c r="D3160" i="55"/>
  <c r="D3161" i="55"/>
  <c r="D3162" i="55"/>
  <c r="D3163" i="55"/>
  <c r="D3164" i="55"/>
  <c r="D3165" i="55"/>
  <c r="D3166" i="55"/>
  <c r="D3167" i="55"/>
  <c r="D3168" i="55"/>
  <c r="D3169" i="55"/>
  <c r="D3170" i="55"/>
  <c r="D3171" i="55"/>
  <c r="D3172" i="55"/>
  <c r="D3173" i="55"/>
  <c r="D3174" i="55"/>
  <c r="D3175" i="55"/>
  <c r="D3152" i="55"/>
  <c r="D3153" i="55"/>
  <c r="D3154" i="55"/>
  <c r="D3155" i="55"/>
  <c r="D3156" i="55"/>
  <c r="D3151" i="55"/>
  <c r="H3149" i="55"/>
  <c r="H3148" i="55"/>
  <c r="D3145" i="55"/>
  <c r="D3146" i="55"/>
  <c r="D3147" i="55"/>
  <c r="D3148" i="55"/>
  <c r="D3149" i="55"/>
  <c r="D3150" i="55"/>
  <c r="D3144" i="55"/>
  <c r="D3142" i="55"/>
  <c r="D3143" i="55"/>
  <c r="D3141" i="55"/>
  <c r="B3132" i="55"/>
  <c r="B3133" i="55"/>
  <c r="H3122" i="55"/>
  <c r="D3120" i="55"/>
  <c r="D3121" i="55"/>
  <c r="D3122" i="55"/>
  <c r="D3123" i="55"/>
  <c r="D3124" i="55"/>
  <c r="D3125" i="55"/>
  <c r="D3119" i="55"/>
  <c r="B3110" i="55"/>
  <c r="D3110" i="55"/>
  <c r="B3111" i="55"/>
  <c r="B3112" i="55"/>
  <c r="D3112" i="55"/>
  <c r="B3113" i="55"/>
  <c r="B3114" i="55"/>
  <c r="B3115" i="55"/>
  <c r="B3116" i="55"/>
  <c r="B3117" i="55"/>
  <c r="B3118" i="55"/>
  <c r="B3119" i="55"/>
  <c r="B3120" i="55"/>
  <c r="B3121" i="55"/>
  <c r="B3122" i="55"/>
  <c r="B3123" i="55"/>
  <c r="B3124" i="55"/>
  <c r="B3125" i="55"/>
  <c r="B3126" i="55"/>
  <c r="B3127" i="55"/>
  <c r="B3128" i="55"/>
  <c r="B3129" i="55"/>
  <c r="B3130" i="55"/>
  <c r="B3131" i="55"/>
  <c r="D3109" i="55"/>
  <c r="B3109" i="55"/>
  <c r="H3105" i="55"/>
  <c r="B3098" i="55"/>
  <c r="B3099" i="55"/>
  <c r="B3100" i="55"/>
  <c r="B3101" i="55"/>
  <c r="B3102" i="55"/>
  <c r="B3103" i="55"/>
  <c r="B3104" i="55"/>
  <c r="B3105" i="55"/>
  <c r="B3106" i="55"/>
  <c r="B3107" i="55"/>
  <c r="B3079" i="55"/>
  <c r="B3080" i="55"/>
  <c r="B3081" i="55"/>
  <c r="B3082" i="55"/>
  <c r="B3083" i="55"/>
  <c r="B3084" i="55"/>
  <c r="B3085" i="55"/>
  <c r="B3086" i="55"/>
  <c r="B3087" i="55"/>
  <c r="B3088" i="55"/>
  <c r="B3089" i="55"/>
  <c r="B3090" i="55"/>
  <c r="B3091" i="55"/>
  <c r="B3092" i="55"/>
  <c r="B3093" i="55"/>
  <c r="B3094" i="55"/>
  <c r="B3095" i="55"/>
  <c r="B3096" i="55"/>
  <c r="B3097" i="55"/>
  <c r="H3083" i="55"/>
  <c r="H3082" i="55"/>
  <c r="H3081" i="55"/>
  <c r="H3080" i="55"/>
  <c r="H3079" i="55"/>
  <c r="H3078" i="55"/>
  <c r="H3077" i="55"/>
  <c r="F3083" i="55"/>
  <c r="F3082" i="55"/>
  <c r="F3081" i="55"/>
  <c r="F3080" i="55"/>
  <c r="F3079" i="55"/>
  <c r="F3078" i="55"/>
  <c r="F3076" i="55"/>
  <c r="F3069" i="55"/>
  <c r="H3076" i="55"/>
  <c r="H3075" i="55"/>
  <c r="H3074" i="55"/>
  <c r="H3073" i="55"/>
  <c r="H3072" i="55"/>
  <c r="H3071" i="55"/>
  <c r="H3070" i="55"/>
  <c r="F3075" i="55"/>
  <c r="F3074" i="55"/>
  <c r="F3073" i="55"/>
  <c r="F3072" i="55"/>
  <c r="F3071" i="55"/>
  <c r="F3068" i="55"/>
  <c r="F3067" i="55"/>
  <c r="F3066" i="55"/>
  <c r="F3065" i="55"/>
  <c r="H3069" i="55"/>
  <c r="H3068" i="55"/>
  <c r="H3067" i="55"/>
  <c r="H3066" i="55"/>
  <c r="H3065" i="55"/>
  <c r="H3064" i="55"/>
  <c r="F3064" i="55"/>
  <c r="B3064" i="55"/>
  <c r="B3065" i="55"/>
  <c r="B3066" i="55"/>
  <c r="B3067" i="55"/>
  <c r="B3068" i="55"/>
  <c r="B3069" i="55"/>
  <c r="B3070" i="55"/>
  <c r="B3071" i="55"/>
  <c r="B3072" i="55"/>
  <c r="B3073" i="55"/>
  <c r="B3074" i="55"/>
  <c r="B3075" i="55"/>
  <c r="B3076" i="55"/>
  <c r="B3077" i="55"/>
  <c r="B3078" i="55"/>
  <c r="H3063" i="55"/>
  <c r="B3063" i="55"/>
  <c r="N34" i="23"/>
  <c r="N42" i="23"/>
  <c r="N38" i="23"/>
  <c r="P38" i="23" s="1"/>
  <c r="N26" i="23"/>
  <c r="N91" i="23"/>
  <c r="F91" i="23"/>
  <c r="F90" i="23"/>
  <c r="N87" i="23"/>
  <c r="F87" i="23"/>
  <c r="F86" i="23"/>
  <c r="N83" i="23"/>
  <c r="F83" i="23"/>
  <c r="F82" i="23"/>
  <c r="N79" i="23"/>
  <c r="F79" i="23"/>
  <c r="P79" i="23" s="1"/>
  <c r="F78" i="23"/>
  <c r="N74" i="23"/>
  <c r="F74" i="23"/>
  <c r="F73" i="23"/>
  <c r="N70" i="23"/>
  <c r="F70" i="23"/>
  <c r="F69" i="23"/>
  <c r="N66" i="23"/>
  <c r="F66" i="23"/>
  <c r="F65" i="23"/>
  <c r="N62" i="23"/>
  <c r="F62" i="23"/>
  <c r="P62" i="23" s="1"/>
  <c r="F61" i="23"/>
  <c r="N58" i="23"/>
  <c r="F58" i="23"/>
  <c r="F57" i="23"/>
  <c r="N54" i="23"/>
  <c r="F54" i="23"/>
  <c r="F53" i="23"/>
  <c r="F32" i="23"/>
  <c r="F31" i="23"/>
  <c r="F48" i="23"/>
  <c r="F47" i="23"/>
  <c r="F44" i="23"/>
  <c r="F43" i="23"/>
  <c r="F40" i="23"/>
  <c r="F39" i="23"/>
  <c r="F24" i="23"/>
  <c r="F23" i="23"/>
  <c r="C74" i="49"/>
  <c r="C73" i="49"/>
  <c r="C71" i="49"/>
  <c r="C69" i="49"/>
  <c r="C67" i="49"/>
  <c r="C65" i="49"/>
  <c r="C64" i="49"/>
  <c r="C63" i="49"/>
  <c r="C62" i="49"/>
  <c r="C61" i="49"/>
  <c r="C60" i="49"/>
  <c r="C59" i="49"/>
  <c r="C58" i="49"/>
  <c r="C57" i="49"/>
  <c r="I56" i="49"/>
  <c r="G35" i="49"/>
  <c r="G34" i="49"/>
  <c r="G33" i="49"/>
  <c r="G32" i="49"/>
  <c r="G31" i="49"/>
  <c r="G30" i="49"/>
  <c r="E117" i="49"/>
  <c r="CJ47" i="13"/>
  <c r="CT46" i="13"/>
  <c r="R46" i="13"/>
  <c r="DN42" i="13"/>
  <c r="DR42" i="13" s="1"/>
  <c r="DD42" i="13"/>
  <c r="DN36" i="13"/>
  <c r="DD36" i="13"/>
  <c r="CT36" i="13"/>
  <c r="DX35" i="13"/>
  <c r="DX31" i="13"/>
  <c r="DD31" i="13"/>
  <c r="CJ31" i="13"/>
  <c r="BP31" i="13"/>
  <c r="DX27" i="13"/>
  <c r="DN27" i="13"/>
  <c r="DD27" i="13"/>
  <c r="AV27" i="13"/>
  <c r="G73" i="49"/>
  <c r="G60" i="49"/>
  <c r="G59" i="49"/>
  <c r="H3141" i="55"/>
  <c r="B19" i="22"/>
  <c r="B21" i="22" s="1"/>
  <c r="B23" i="22" s="1"/>
  <c r="B25" i="22" s="1"/>
  <c r="B27" i="22" s="1"/>
  <c r="B29" i="22" s="1"/>
  <c r="B31" i="22" s="1"/>
  <c r="B33" i="22" s="1"/>
  <c r="B35" i="22" s="1"/>
  <c r="B37" i="22" s="1"/>
  <c r="C18" i="22"/>
  <c r="C10" i="22"/>
  <c r="H3200" i="55"/>
  <c r="H3199" i="55"/>
  <c r="H1875" i="55"/>
  <c r="H1895" i="55"/>
  <c r="H1893" i="55"/>
  <c r="H1892" i="55"/>
  <c r="H1891" i="55"/>
  <c r="H1890" i="55"/>
  <c r="H1887" i="55"/>
  <c r="H1885" i="55"/>
  <c r="H1884" i="55"/>
  <c r="H1883" i="55"/>
  <c r="H1880" i="55"/>
  <c r="H1879" i="55"/>
  <c r="H1877" i="55"/>
  <c r="A31" i="52"/>
  <c r="N31" i="52"/>
  <c r="F31" i="8"/>
  <c r="J73" i="47"/>
  <c r="H1650" i="55" s="1"/>
  <c r="E87" i="53"/>
  <c r="H2537" i="55" s="1"/>
  <c r="R106" i="47"/>
  <c r="N106" i="47"/>
  <c r="L106" i="47"/>
  <c r="J106" i="47"/>
  <c r="H106" i="47"/>
  <c r="F106" i="47"/>
  <c r="N105" i="47"/>
  <c r="L105" i="47"/>
  <c r="J105" i="47"/>
  <c r="H105" i="47"/>
  <c r="F105" i="47"/>
  <c r="L103" i="47"/>
  <c r="J103" i="47"/>
  <c r="H103" i="47"/>
  <c r="F103" i="47"/>
  <c r="J102" i="47"/>
  <c r="H102" i="47"/>
  <c r="F102" i="47"/>
  <c r="H101" i="47"/>
  <c r="F101" i="47"/>
  <c r="F100" i="47"/>
  <c r="J81" i="47"/>
  <c r="H1647" i="55"/>
  <c r="E15" i="48"/>
  <c r="F15" i="48" s="1"/>
  <c r="H35" i="49" s="1"/>
  <c r="H2050" i="55" s="1"/>
  <c r="E14" i="48"/>
  <c r="F14" i="48" s="1"/>
  <c r="H34" i="49" s="1"/>
  <c r="H2049" i="55" s="1"/>
  <c r="E13" i="48"/>
  <c r="F13" i="48" s="1"/>
  <c r="H33" i="49" s="1"/>
  <c r="H2048" i="55" s="1"/>
  <c r="E12" i="48"/>
  <c r="F12" i="48" s="1"/>
  <c r="H32" i="49" s="1"/>
  <c r="H2047" i="55" s="1"/>
  <c r="E11" i="48"/>
  <c r="F11" i="48" s="1"/>
  <c r="H31" i="49" s="1"/>
  <c r="H2046" i="55" s="1"/>
  <c r="E10" i="48"/>
  <c r="F10" i="48" s="1"/>
  <c r="H30" i="49" s="1"/>
  <c r="H2045" i="55" s="1"/>
  <c r="H3060" i="55"/>
  <c r="H3059" i="55"/>
  <c r="H3058" i="55"/>
  <c r="H3057" i="55"/>
  <c r="H3056" i="55"/>
  <c r="H3055" i="55"/>
  <c r="H3054" i="55"/>
  <c r="H3053" i="55"/>
  <c r="H3052" i="55"/>
  <c r="H3051" i="55"/>
  <c r="B3059" i="55"/>
  <c r="B3060" i="55"/>
  <c r="H3049" i="55"/>
  <c r="H3050" i="55"/>
  <c r="B3049" i="55"/>
  <c r="B3050" i="55"/>
  <c r="B3051" i="55"/>
  <c r="B3052" i="55"/>
  <c r="B3053" i="55"/>
  <c r="B3054" i="55"/>
  <c r="B3055" i="55"/>
  <c r="B3056" i="55"/>
  <c r="B3057" i="55"/>
  <c r="B3058" i="55"/>
  <c r="H3007" i="55"/>
  <c r="H3001" i="55"/>
  <c r="H1309" i="55"/>
  <c r="H1302" i="55"/>
  <c r="H1295" i="55"/>
  <c r="H1288" i="55"/>
  <c r="H1281" i="55"/>
  <c r="H1274" i="55"/>
  <c r="H3048" i="55"/>
  <c r="H3047" i="55"/>
  <c r="H3046" i="55"/>
  <c r="H3045" i="55"/>
  <c r="H3044" i="55"/>
  <c r="H3043" i="55"/>
  <c r="H3042" i="55"/>
  <c r="H3041" i="55"/>
  <c r="H3040" i="55"/>
  <c r="H3039" i="55"/>
  <c r="H3038" i="55"/>
  <c r="H3037" i="55"/>
  <c r="H3036" i="55"/>
  <c r="H3035" i="55"/>
  <c r="H3034" i="55"/>
  <c r="H3033" i="55"/>
  <c r="H3032" i="55"/>
  <c r="H3031" i="55"/>
  <c r="B3048" i="55"/>
  <c r="B3047" i="55"/>
  <c r="B3046" i="55"/>
  <c r="B3045" i="55"/>
  <c r="B3044" i="55"/>
  <c r="B3043" i="55"/>
  <c r="B3042" i="55"/>
  <c r="B3041" i="55"/>
  <c r="B3040" i="55"/>
  <c r="B3039" i="55"/>
  <c r="B3038" i="55"/>
  <c r="B3037" i="55"/>
  <c r="B3034" i="55"/>
  <c r="B3035" i="55"/>
  <c r="B3036" i="55"/>
  <c r="H3030" i="55"/>
  <c r="H3029" i="55"/>
  <c r="H3028" i="55"/>
  <c r="H3027" i="55"/>
  <c r="H3026" i="55"/>
  <c r="H3025" i="55"/>
  <c r="B3025" i="55"/>
  <c r="B3026" i="55"/>
  <c r="B3027" i="55"/>
  <c r="B3028" i="55"/>
  <c r="B3029" i="55"/>
  <c r="B3030" i="55"/>
  <c r="B3031" i="55"/>
  <c r="B3032" i="55"/>
  <c r="B3033" i="55"/>
  <c r="H3024" i="55"/>
  <c r="H3023" i="55"/>
  <c r="H3022" i="55"/>
  <c r="H3021" i="55"/>
  <c r="H3020" i="55"/>
  <c r="H3019" i="55"/>
  <c r="B3024" i="55"/>
  <c r="B3023" i="55"/>
  <c r="B3022" i="55"/>
  <c r="B3021" i="55"/>
  <c r="B3020" i="55"/>
  <c r="B3019" i="55"/>
  <c r="H3018" i="55"/>
  <c r="H3017" i="55"/>
  <c r="H3016" i="55"/>
  <c r="H3015" i="55"/>
  <c r="H3014" i="55"/>
  <c r="H3013" i="55"/>
  <c r="B3013" i="55"/>
  <c r="B3014" i="55"/>
  <c r="B3015" i="55"/>
  <c r="B3016" i="55"/>
  <c r="B3017" i="55"/>
  <c r="B3018" i="55"/>
  <c r="H3012" i="55"/>
  <c r="H3011" i="55"/>
  <c r="H3010" i="55"/>
  <c r="H3009" i="55"/>
  <c r="H3008" i="55"/>
  <c r="B3008" i="55"/>
  <c r="B3009" i="55"/>
  <c r="B3010" i="55"/>
  <c r="B3011" i="55"/>
  <c r="B3012" i="55"/>
  <c r="H3005" i="55"/>
  <c r="H3004" i="55"/>
  <c r="H3002" i="55"/>
  <c r="H3003" i="55"/>
  <c r="B3001" i="55"/>
  <c r="B3002" i="55"/>
  <c r="B3003" i="55"/>
  <c r="B3004" i="55"/>
  <c r="B3005" i="55"/>
  <c r="B3006" i="55"/>
  <c r="B3007" i="55"/>
  <c r="H3000" i="55"/>
  <c r="H2999" i="55"/>
  <c r="H2998" i="55"/>
  <c r="H2997" i="55"/>
  <c r="H2996" i="55"/>
  <c r="H2995" i="55"/>
  <c r="B2996" i="55"/>
  <c r="B2997" i="55"/>
  <c r="B2998" i="55"/>
  <c r="B2999" i="55"/>
  <c r="B3000" i="55"/>
  <c r="B2995" i="55"/>
  <c r="H2994" i="55"/>
  <c r="H2993" i="55"/>
  <c r="H2992" i="55"/>
  <c r="H2991" i="55"/>
  <c r="H2990" i="55"/>
  <c r="H2989" i="55"/>
  <c r="B2990" i="55"/>
  <c r="B2991" i="55"/>
  <c r="B2992" i="55"/>
  <c r="B2993" i="55"/>
  <c r="B2994" i="55"/>
  <c r="B2989" i="55"/>
  <c r="B2984" i="55"/>
  <c r="B2985" i="55"/>
  <c r="B2986" i="55"/>
  <c r="B2987" i="55"/>
  <c r="B2988" i="55"/>
  <c r="H2988" i="55"/>
  <c r="H2987" i="55"/>
  <c r="H2986" i="55"/>
  <c r="H2985" i="55"/>
  <c r="H2984" i="55"/>
  <c r="H2983" i="55"/>
  <c r="B2983" i="55"/>
  <c r="P205" i="24"/>
  <c r="P204" i="24"/>
  <c r="P203" i="24"/>
  <c r="P202" i="24"/>
  <c r="P201" i="24"/>
  <c r="O205" i="24"/>
  <c r="O204" i="24"/>
  <c r="O203" i="24"/>
  <c r="O202" i="24"/>
  <c r="O201" i="24"/>
  <c r="P155" i="24"/>
  <c r="O155" i="24"/>
  <c r="P154" i="24"/>
  <c r="O154" i="24"/>
  <c r="P150" i="24"/>
  <c r="O150" i="24"/>
  <c r="B511" i="1"/>
  <c r="B155" i="24" s="1"/>
  <c r="E3045" i="55" s="1"/>
  <c r="B513" i="1"/>
  <c r="B153" i="24" s="1"/>
  <c r="E3041" i="55" s="1"/>
  <c r="B508" i="1"/>
  <c r="B150" i="24" s="1"/>
  <c r="O153" i="24"/>
  <c r="P153" i="24"/>
  <c r="P134" i="24"/>
  <c r="O134" i="24"/>
  <c r="P112" i="24"/>
  <c r="P110" i="24"/>
  <c r="O111" i="24"/>
  <c r="O110" i="24"/>
  <c r="B494" i="1"/>
  <c r="B110" i="24" s="1"/>
  <c r="O114" i="24"/>
  <c r="O109" i="24"/>
  <c r="P114" i="24"/>
  <c r="O94" i="24"/>
  <c r="P94" i="24"/>
  <c r="P75" i="24"/>
  <c r="O75" i="24"/>
  <c r="O76" i="24"/>
  <c r="P55" i="24"/>
  <c r="O55" i="24"/>
  <c r="P37" i="24"/>
  <c r="O37" i="24"/>
  <c r="P36" i="24"/>
  <c r="O36" i="24"/>
  <c r="B474" i="1"/>
  <c r="P18" i="24"/>
  <c r="O18" i="24"/>
  <c r="P16" i="24"/>
  <c r="O16" i="24"/>
  <c r="D32" i="6"/>
  <c r="E32" i="6" s="1"/>
  <c r="F32" i="6" s="1"/>
  <c r="G32" i="6" s="1"/>
  <c r="H32" i="6" s="1"/>
  <c r="I32" i="6" s="1"/>
  <c r="J32" i="6" s="1"/>
  <c r="K32" i="6" s="1"/>
  <c r="L32" i="6" s="1"/>
  <c r="M32" i="6" s="1"/>
  <c r="N32" i="6" s="1"/>
  <c r="O32" i="6" s="1"/>
  <c r="P32" i="6" s="1"/>
  <c r="Q32" i="6" s="1"/>
  <c r="R32" i="6" s="1"/>
  <c r="S32" i="6" s="1"/>
  <c r="T32" i="6" s="1"/>
  <c r="U32" i="6" s="1"/>
  <c r="V32" i="6" s="1"/>
  <c r="W32" i="6" s="1"/>
  <c r="X32" i="6" s="1"/>
  <c r="Y32" i="6" s="1"/>
  <c r="Z32" i="6" s="1"/>
  <c r="AA32" i="6" s="1"/>
  <c r="AB32" i="6" s="1"/>
  <c r="AC32" i="6" s="1"/>
  <c r="AD32" i="6" s="1"/>
  <c r="AE32" i="6" s="1"/>
  <c r="AF32" i="6" s="1"/>
  <c r="AG32" i="6" s="1"/>
  <c r="AH32" i="6" s="1"/>
  <c r="AI32" i="6" s="1"/>
  <c r="AJ32" i="6" s="1"/>
  <c r="AK32" i="6" s="1"/>
  <c r="AL32" i="6" s="1"/>
  <c r="AM32" i="6" s="1"/>
  <c r="AN32" i="6" s="1"/>
  <c r="AO32" i="6" s="1"/>
  <c r="AP32" i="6" s="1"/>
  <c r="AQ32" i="6" s="1"/>
  <c r="AR32" i="6" s="1"/>
  <c r="AS32" i="6" s="1"/>
  <c r="AT32" i="6" s="1"/>
  <c r="AU32" i="6" s="1"/>
  <c r="AV32" i="6" s="1"/>
  <c r="AW32" i="6" s="1"/>
  <c r="AX32" i="6" s="1"/>
  <c r="AY32" i="6" s="1"/>
  <c r="AZ32" i="6" s="1"/>
  <c r="C53" i="6"/>
  <c r="D6" i="12" s="1"/>
  <c r="D7" i="12" s="1"/>
  <c r="N64" i="47"/>
  <c r="L73" i="47"/>
  <c r="H1702" i="55" s="1"/>
  <c r="H2980" i="55"/>
  <c r="H2979" i="55"/>
  <c r="H2978" i="55"/>
  <c r="H2977" i="55"/>
  <c r="H2976" i="55"/>
  <c r="H2974" i="55"/>
  <c r="H2973" i="55"/>
  <c r="H2972" i="55"/>
  <c r="H2971" i="55"/>
  <c r="H2970" i="55"/>
  <c r="H2968" i="55"/>
  <c r="H2967" i="55"/>
  <c r="H2966" i="55"/>
  <c r="H2965" i="55"/>
  <c r="H2964" i="55"/>
  <c r="H2962" i="55"/>
  <c r="H2961" i="55"/>
  <c r="H2960" i="55"/>
  <c r="H2959" i="55"/>
  <c r="H2958" i="55"/>
  <c r="H2956" i="55"/>
  <c r="H2955" i="55"/>
  <c r="H2954" i="55"/>
  <c r="H2953" i="55"/>
  <c r="H2952" i="55"/>
  <c r="H2950" i="55"/>
  <c r="H2949" i="55"/>
  <c r="H2948" i="55"/>
  <c r="H2947" i="55"/>
  <c r="H2946" i="55"/>
  <c r="H2944" i="55"/>
  <c r="H2943" i="55"/>
  <c r="H2942" i="55"/>
  <c r="H2941" i="55"/>
  <c r="H2940" i="55"/>
  <c r="H2938" i="55"/>
  <c r="H2937" i="55"/>
  <c r="H2936" i="55"/>
  <c r="H2934" i="55"/>
  <c r="H2935" i="55"/>
  <c r="F2980" i="55"/>
  <c r="F2979" i="55"/>
  <c r="F2978" i="55"/>
  <c r="F2977" i="55"/>
  <c r="F2976" i="55"/>
  <c r="F2974" i="55"/>
  <c r="F2973" i="55"/>
  <c r="F2972" i="55"/>
  <c r="F2971" i="55"/>
  <c r="F2970" i="55"/>
  <c r="F2968" i="55"/>
  <c r="F2967" i="55"/>
  <c r="F2966" i="55"/>
  <c r="F2965" i="55"/>
  <c r="F2964" i="55"/>
  <c r="F2962" i="55"/>
  <c r="F2961" i="55"/>
  <c r="F2960" i="55"/>
  <c r="F2959" i="55"/>
  <c r="F2958" i="55"/>
  <c r="F2956" i="55"/>
  <c r="F2955" i="55"/>
  <c r="F2954" i="55"/>
  <c r="F2953" i="55"/>
  <c r="F2952" i="55"/>
  <c r="F2950" i="55"/>
  <c r="F2949" i="55"/>
  <c r="F2948" i="55"/>
  <c r="F2947" i="55"/>
  <c r="F2946" i="55"/>
  <c r="F2944" i="55"/>
  <c r="F2943" i="55"/>
  <c r="F2942" i="55"/>
  <c r="F2941" i="55"/>
  <c r="F2940" i="55"/>
  <c r="F2938" i="55"/>
  <c r="F2937" i="55"/>
  <c r="F2936" i="55"/>
  <c r="F2935" i="55"/>
  <c r="F2934" i="55"/>
  <c r="B2977" i="55"/>
  <c r="B2978" i="55"/>
  <c r="B2979" i="55"/>
  <c r="B2980" i="55"/>
  <c r="B2971" i="55"/>
  <c r="B2972" i="55"/>
  <c r="B2973" i="55"/>
  <c r="B2974" i="55"/>
  <c r="B2968" i="55"/>
  <c r="B2965" i="55"/>
  <c r="B2966" i="55"/>
  <c r="B2967" i="55"/>
  <c r="B2964" i="55"/>
  <c r="B2976" i="55"/>
  <c r="B2970" i="55"/>
  <c r="B2959" i="55"/>
  <c r="B2960" i="55"/>
  <c r="B2961" i="55"/>
  <c r="B2962" i="55"/>
  <c r="B2958" i="55"/>
  <c r="B2953" i="55"/>
  <c r="B2954" i="55"/>
  <c r="B2955" i="55"/>
  <c r="B2956" i="55"/>
  <c r="B2952" i="55"/>
  <c r="B2947" i="55"/>
  <c r="B2948" i="55"/>
  <c r="B2949" i="55"/>
  <c r="B2950" i="55"/>
  <c r="B2946" i="55"/>
  <c r="B2941" i="55"/>
  <c r="B2942" i="55"/>
  <c r="B2943" i="55"/>
  <c r="B2944" i="55"/>
  <c r="B2940" i="55"/>
  <c r="B2935" i="55"/>
  <c r="B2936" i="55"/>
  <c r="B2937" i="55"/>
  <c r="B2938" i="55"/>
  <c r="B2934" i="55"/>
  <c r="B2555" i="55"/>
  <c r="B2553" i="55"/>
  <c r="B2552" i="55"/>
  <c r="B2551" i="55"/>
  <c r="B2549" i="55"/>
  <c r="B2547" i="55"/>
  <c r="B2545" i="55"/>
  <c r="B2543" i="55"/>
  <c r="B2542" i="55"/>
  <c r="B2541" i="55"/>
  <c r="H2538" i="55"/>
  <c r="B2538" i="55"/>
  <c r="B2537" i="55"/>
  <c r="H2535" i="55"/>
  <c r="B2535" i="55"/>
  <c r="H2534" i="55"/>
  <c r="B2534" i="55"/>
  <c r="H2533" i="55"/>
  <c r="B2533" i="55"/>
  <c r="B2532" i="55"/>
  <c r="H2530" i="55"/>
  <c r="B2530" i="55"/>
  <c r="H2529" i="55"/>
  <c r="B2529" i="55"/>
  <c r="H2528" i="55"/>
  <c r="B2528" i="55"/>
  <c r="B2527" i="55"/>
  <c r="B2525" i="55"/>
  <c r="H2523" i="55"/>
  <c r="B2523" i="55"/>
  <c r="H2522" i="55"/>
  <c r="B2522" i="55"/>
  <c r="H2521" i="55"/>
  <c r="B2521" i="55"/>
  <c r="H2520" i="55"/>
  <c r="B2520" i="55"/>
  <c r="H2519" i="55"/>
  <c r="B2519" i="55"/>
  <c r="B2518" i="55"/>
  <c r="B2516" i="55"/>
  <c r="B2515" i="55"/>
  <c r="B2514" i="55"/>
  <c r="B2513" i="55"/>
  <c r="B2512" i="55"/>
  <c r="B2511" i="55"/>
  <c r="B2510" i="55"/>
  <c r="B2509" i="55"/>
  <c r="B2508" i="55"/>
  <c r="B2507" i="55"/>
  <c r="B2506" i="55"/>
  <c r="B2505" i="55"/>
  <c r="B2504" i="55"/>
  <c r="B2503" i="55"/>
  <c r="B2502" i="55"/>
  <c r="B2501" i="55"/>
  <c r="B2500" i="55"/>
  <c r="B2499" i="55"/>
  <c r="B2498" i="55"/>
  <c r="B2497" i="55"/>
  <c r="B2496" i="55"/>
  <c r="B2495" i="55"/>
  <c r="B2493" i="55"/>
  <c r="B2492" i="55"/>
  <c r="B2491" i="55"/>
  <c r="B2490" i="55"/>
  <c r="B2489" i="55"/>
  <c r="B2488" i="55"/>
  <c r="B2487" i="55"/>
  <c r="B2486" i="55"/>
  <c r="B2485" i="55"/>
  <c r="B2484" i="55"/>
  <c r="B2483" i="55"/>
  <c r="B2482" i="55"/>
  <c r="B2481" i="55"/>
  <c r="B2480" i="55"/>
  <c r="B2479" i="55"/>
  <c r="B2478" i="55"/>
  <c r="B2477" i="55"/>
  <c r="B2476" i="55"/>
  <c r="B2475" i="55"/>
  <c r="B2474" i="55"/>
  <c r="B2473" i="55"/>
  <c r="B2472" i="55"/>
  <c r="H2470" i="55"/>
  <c r="B2470" i="55"/>
  <c r="H2469" i="55"/>
  <c r="B2469" i="55"/>
  <c r="H2468" i="55"/>
  <c r="B2468" i="55"/>
  <c r="H2467" i="55"/>
  <c r="B2467" i="55"/>
  <c r="H2466" i="55"/>
  <c r="B2466" i="55"/>
  <c r="H2465" i="55"/>
  <c r="B2465" i="55"/>
  <c r="B2464" i="55"/>
  <c r="B2462" i="55"/>
  <c r="B2461" i="55"/>
  <c r="B2460" i="55"/>
  <c r="B2921" i="55"/>
  <c r="B2920" i="55"/>
  <c r="B2919" i="55"/>
  <c r="B2918" i="55"/>
  <c r="H2916" i="55"/>
  <c r="B2916" i="55"/>
  <c r="B2914" i="55"/>
  <c r="B2912" i="55"/>
  <c r="B2910" i="55"/>
  <c r="H2908" i="55"/>
  <c r="B2908" i="55"/>
  <c r="H2907" i="55"/>
  <c r="B2907" i="55"/>
  <c r="H2906" i="55"/>
  <c r="B2906" i="55"/>
  <c r="B2905" i="55"/>
  <c r="H2903" i="55"/>
  <c r="B2903" i="55"/>
  <c r="H2902" i="55"/>
  <c r="B2902" i="55"/>
  <c r="H2901" i="55"/>
  <c r="B2901" i="55"/>
  <c r="B2900" i="55"/>
  <c r="H2898" i="55"/>
  <c r="B2898" i="55"/>
  <c r="H2897" i="55"/>
  <c r="B2897" i="55"/>
  <c r="H2896" i="55"/>
  <c r="B2896" i="55"/>
  <c r="B2895" i="55"/>
  <c r="B2893" i="55"/>
  <c r="H2891" i="55"/>
  <c r="B2891" i="55"/>
  <c r="H2890" i="55"/>
  <c r="B2890" i="55"/>
  <c r="H2889" i="55"/>
  <c r="B2889" i="55"/>
  <c r="H2888" i="55"/>
  <c r="B2888" i="55"/>
  <c r="H2887" i="55"/>
  <c r="B2887" i="55"/>
  <c r="H2886" i="55"/>
  <c r="B2886" i="55"/>
  <c r="B2885" i="55"/>
  <c r="H2883" i="55"/>
  <c r="B2883" i="55"/>
  <c r="H2882" i="55"/>
  <c r="B2882" i="55"/>
  <c r="H2881" i="55"/>
  <c r="B2881" i="55"/>
  <c r="H2880" i="55"/>
  <c r="B2880" i="55"/>
  <c r="H2879" i="55"/>
  <c r="B2879" i="55"/>
  <c r="H2878" i="55"/>
  <c r="B2878" i="55"/>
  <c r="B2877" i="55"/>
  <c r="H2875" i="55"/>
  <c r="B2875" i="55"/>
  <c r="H2874" i="55"/>
  <c r="B2874" i="55"/>
  <c r="H2873" i="55"/>
  <c r="B2873" i="55"/>
  <c r="H2872" i="55"/>
  <c r="B2872" i="55"/>
  <c r="H2871" i="55"/>
  <c r="B2871" i="55"/>
  <c r="H2870" i="55"/>
  <c r="B2870" i="55"/>
  <c r="B2869" i="55"/>
  <c r="H2867" i="55"/>
  <c r="B2867" i="55"/>
  <c r="H2866" i="55"/>
  <c r="B2866" i="55"/>
  <c r="H2865" i="55"/>
  <c r="B2865" i="55"/>
  <c r="H2864" i="55"/>
  <c r="B2864" i="55"/>
  <c r="H2863" i="55"/>
  <c r="B2863" i="55"/>
  <c r="H2862" i="55"/>
  <c r="B2862" i="55"/>
  <c r="B2861" i="55"/>
  <c r="B2858" i="55"/>
  <c r="B2856" i="55"/>
  <c r="H2854" i="55"/>
  <c r="B2854" i="55"/>
  <c r="H2853" i="55"/>
  <c r="B2853" i="55"/>
  <c r="H2852" i="55"/>
  <c r="B2852" i="55"/>
  <c r="B2851" i="55"/>
  <c r="H2849" i="55"/>
  <c r="B2849" i="55"/>
  <c r="H2848" i="55"/>
  <c r="B2848" i="55"/>
  <c r="H2847" i="55"/>
  <c r="B2847" i="55"/>
  <c r="B2846" i="55"/>
  <c r="B2844" i="55"/>
  <c r="H2842" i="55"/>
  <c r="B2842" i="55"/>
  <c r="H2841" i="55"/>
  <c r="B2841" i="55"/>
  <c r="H2840" i="55"/>
  <c r="B2840" i="55"/>
  <c r="B2839" i="55"/>
  <c r="H2837" i="55"/>
  <c r="B2837" i="55"/>
  <c r="H2836" i="55"/>
  <c r="B2836" i="55"/>
  <c r="H2835" i="55"/>
  <c r="B2835" i="55"/>
  <c r="B2834" i="55"/>
  <c r="H2832" i="55"/>
  <c r="B2832" i="55"/>
  <c r="H2831" i="55"/>
  <c r="B2831" i="55"/>
  <c r="H2830" i="55"/>
  <c r="B2830" i="55"/>
  <c r="B2829" i="55"/>
  <c r="H2827" i="55"/>
  <c r="B2827" i="55"/>
  <c r="H2826" i="55"/>
  <c r="B2826" i="55"/>
  <c r="H2825" i="55"/>
  <c r="B2825" i="55"/>
  <c r="B2824" i="55"/>
  <c r="H2822" i="55"/>
  <c r="B2822" i="55"/>
  <c r="H2821" i="55"/>
  <c r="B2821" i="55"/>
  <c r="H2820" i="55"/>
  <c r="B2820" i="55"/>
  <c r="B2819" i="55"/>
  <c r="H2817" i="55"/>
  <c r="B2817" i="55"/>
  <c r="H2816" i="55"/>
  <c r="B2816" i="55"/>
  <c r="H2815" i="55"/>
  <c r="B2815" i="55"/>
  <c r="B2814" i="55"/>
  <c r="H2812" i="55"/>
  <c r="B2812" i="55"/>
  <c r="H2811" i="55"/>
  <c r="B2811" i="55"/>
  <c r="H2810" i="55"/>
  <c r="B2810" i="55"/>
  <c r="B2809" i="55"/>
  <c r="H2807" i="55"/>
  <c r="B2807" i="55"/>
  <c r="H2806" i="55"/>
  <c r="B2806" i="55"/>
  <c r="H2805" i="55"/>
  <c r="B2805" i="55"/>
  <c r="B2804" i="55"/>
  <c r="B2799" i="55"/>
  <c r="B2798" i="55"/>
  <c r="B2797" i="55"/>
  <c r="B2796" i="55"/>
  <c r="B2794" i="55"/>
  <c r="B2792" i="55"/>
  <c r="B2790" i="55"/>
  <c r="B2788" i="55"/>
  <c r="H2786" i="55"/>
  <c r="B2786" i="55"/>
  <c r="H2785" i="55"/>
  <c r="B2785" i="55"/>
  <c r="H2784" i="55"/>
  <c r="B2784" i="55"/>
  <c r="B2783" i="55"/>
  <c r="H2781" i="55"/>
  <c r="B2781" i="55"/>
  <c r="H2780" i="55"/>
  <c r="B2780" i="55"/>
  <c r="H2779" i="55"/>
  <c r="B2779" i="55"/>
  <c r="B2778" i="55"/>
  <c r="H2776" i="55"/>
  <c r="B2776" i="55"/>
  <c r="H2775" i="55"/>
  <c r="B2775" i="55"/>
  <c r="H2774" i="55"/>
  <c r="B2774" i="55"/>
  <c r="B2773" i="55"/>
  <c r="B2771" i="55"/>
  <c r="H2769" i="55"/>
  <c r="B2769" i="55"/>
  <c r="H2768" i="55"/>
  <c r="B2768" i="55"/>
  <c r="H2767" i="55"/>
  <c r="B2767" i="55"/>
  <c r="H2766" i="55"/>
  <c r="B2766" i="55"/>
  <c r="H2765" i="55"/>
  <c r="B2765" i="55"/>
  <c r="H2764" i="55"/>
  <c r="B2764" i="55"/>
  <c r="B2763" i="55"/>
  <c r="H2761" i="55"/>
  <c r="B2761" i="55"/>
  <c r="H2760" i="55"/>
  <c r="B2760" i="55"/>
  <c r="H2759" i="55"/>
  <c r="B2759" i="55"/>
  <c r="H2758" i="55"/>
  <c r="B2758" i="55"/>
  <c r="H2757" i="55"/>
  <c r="B2757" i="55"/>
  <c r="H2756" i="55"/>
  <c r="B2756" i="55"/>
  <c r="B2755" i="55"/>
  <c r="H2753" i="55"/>
  <c r="B2753" i="55"/>
  <c r="H2752" i="55"/>
  <c r="B2752" i="55"/>
  <c r="H2751" i="55"/>
  <c r="B2751" i="55"/>
  <c r="H2750" i="55"/>
  <c r="B2750" i="55"/>
  <c r="H2749" i="55"/>
  <c r="B2749" i="55"/>
  <c r="H2748" i="55"/>
  <c r="B2748" i="55"/>
  <c r="B2747" i="55"/>
  <c r="H2745" i="55"/>
  <c r="B2745" i="55"/>
  <c r="H2744" i="55"/>
  <c r="B2744" i="55"/>
  <c r="H2743" i="55"/>
  <c r="B2743" i="55"/>
  <c r="H2742" i="55"/>
  <c r="B2742" i="55"/>
  <c r="H2741" i="55"/>
  <c r="B2741" i="55"/>
  <c r="H2740" i="55"/>
  <c r="B2740" i="55"/>
  <c r="B2739" i="55"/>
  <c r="B2736" i="55"/>
  <c r="B2734" i="55"/>
  <c r="H2732" i="55"/>
  <c r="B2732" i="55"/>
  <c r="H2731" i="55"/>
  <c r="B2731" i="55"/>
  <c r="H2730" i="55"/>
  <c r="B2730" i="55"/>
  <c r="B2729" i="55"/>
  <c r="H2727" i="55"/>
  <c r="B2727" i="55"/>
  <c r="H2726" i="55"/>
  <c r="B2726" i="55"/>
  <c r="H2725" i="55"/>
  <c r="B2725" i="55"/>
  <c r="B2724" i="55"/>
  <c r="B2722" i="55"/>
  <c r="H2720" i="55"/>
  <c r="B2720" i="55"/>
  <c r="H2719" i="55"/>
  <c r="B2719" i="55"/>
  <c r="H2718" i="55"/>
  <c r="B2718" i="55"/>
  <c r="B2717" i="55"/>
  <c r="H2715" i="55"/>
  <c r="B2715" i="55"/>
  <c r="H2714" i="55"/>
  <c r="B2714" i="55"/>
  <c r="H2713" i="55"/>
  <c r="B2713" i="55"/>
  <c r="B2712" i="55"/>
  <c r="H2710" i="55"/>
  <c r="B2710" i="55"/>
  <c r="H2709" i="55"/>
  <c r="B2709" i="55"/>
  <c r="H2708" i="55"/>
  <c r="B2708" i="55"/>
  <c r="B2707" i="55"/>
  <c r="H2705" i="55"/>
  <c r="B2705" i="55"/>
  <c r="H2704" i="55"/>
  <c r="B2704" i="55"/>
  <c r="H2703" i="55"/>
  <c r="B2703" i="55"/>
  <c r="B2702" i="55"/>
  <c r="H2700" i="55"/>
  <c r="B2700" i="55"/>
  <c r="H2699" i="55"/>
  <c r="B2699" i="55"/>
  <c r="H2698" i="55"/>
  <c r="B2698" i="55"/>
  <c r="B2697" i="55"/>
  <c r="H2695" i="55"/>
  <c r="B2695" i="55"/>
  <c r="H2694" i="55"/>
  <c r="B2694" i="55"/>
  <c r="H2693" i="55"/>
  <c r="B2693" i="55"/>
  <c r="B2692" i="55"/>
  <c r="H2690" i="55"/>
  <c r="B2690" i="55"/>
  <c r="H2689" i="55"/>
  <c r="B2689" i="55"/>
  <c r="H2688" i="55"/>
  <c r="B2688" i="55"/>
  <c r="B2687" i="55"/>
  <c r="H2685" i="55"/>
  <c r="B2685" i="55"/>
  <c r="H2684" i="55"/>
  <c r="B2684" i="55"/>
  <c r="H2683" i="55"/>
  <c r="B2683" i="55"/>
  <c r="B2682" i="55"/>
  <c r="B2677" i="55"/>
  <c r="B2676" i="55"/>
  <c r="B2675" i="55"/>
  <c r="B2674" i="55"/>
  <c r="B2672" i="55"/>
  <c r="B2670" i="55"/>
  <c r="B2668" i="55"/>
  <c r="B2666" i="55"/>
  <c r="H2664" i="55"/>
  <c r="B2664" i="55"/>
  <c r="H2663" i="55"/>
  <c r="B2663" i="55"/>
  <c r="H2662" i="55"/>
  <c r="B2662" i="55"/>
  <c r="B2661" i="55"/>
  <c r="H2659" i="55"/>
  <c r="B2659" i="55"/>
  <c r="H2658" i="55"/>
  <c r="B2658" i="55"/>
  <c r="H2657" i="55"/>
  <c r="B2657" i="55"/>
  <c r="B2656" i="55"/>
  <c r="H2654" i="55"/>
  <c r="B2654" i="55"/>
  <c r="H2653" i="55"/>
  <c r="B2653" i="55"/>
  <c r="H2652" i="55"/>
  <c r="B2652" i="55"/>
  <c r="B2651" i="55"/>
  <c r="B2649" i="55"/>
  <c r="H2647" i="55"/>
  <c r="B2647" i="55"/>
  <c r="H2646" i="55"/>
  <c r="B2646" i="55"/>
  <c r="H2645" i="55"/>
  <c r="B2645" i="55"/>
  <c r="H2644" i="55"/>
  <c r="B2644" i="55"/>
  <c r="H2643" i="55"/>
  <c r="B2643" i="55"/>
  <c r="H2642" i="55"/>
  <c r="B2642" i="55"/>
  <c r="B2641" i="55"/>
  <c r="H2639" i="55"/>
  <c r="B2639" i="55"/>
  <c r="H2638" i="55"/>
  <c r="B2638" i="55"/>
  <c r="H2637" i="55"/>
  <c r="B2637" i="55"/>
  <c r="H2636" i="55"/>
  <c r="B2636" i="55"/>
  <c r="H2635" i="55"/>
  <c r="B2635" i="55"/>
  <c r="H2634" i="55"/>
  <c r="B2634" i="55"/>
  <c r="B2633" i="55"/>
  <c r="H2631" i="55"/>
  <c r="B2631" i="55"/>
  <c r="H2630" i="55"/>
  <c r="B2630" i="55"/>
  <c r="H2629" i="55"/>
  <c r="B2629" i="55"/>
  <c r="H2628" i="55"/>
  <c r="B2628" i="55"/>
  <c r="H2627" i="55"/>
  <c r="B2627" i="55"/>
  <c r="H2626" i="55"/>
  <c r="B2626" i="55"/>
  <c r="B2625" i="55"/>
  <c r="H2623" i="55"/>
  <c r="B2623" i="55"/>
  <c r="H2622" i="55"/>
  <c r="B2622" i="55"/>
  <c r="H2621" i="55"/>
  <c r="B2621" i="55"/>
  <c r="H2620" i="55"/>
  <c r="B2620" i="55"/>
  <c r="H2619" i="55"/>
  <c r="B2619" i="55"/>
  <c r="H2618" i="55"/>
  <c r="B2618" i="55"/>
  <c r="B2617" i="55"/>
  <c r="B2614" i="55"/>
  <c r="B2612" i="55"/>
  <c r="H2610" i="55"/>
  <c r="B2610" i="55"/>
  <c r="H2609" i="55"/>
  <c r="B2609" i="55"/>
  <c r="H2608" i="55"/>
  <c r="B2608" i="55"/>
  <c r="B2607" i="55"/>
  <c r="H2605" i="55"/>
  <c r="B2605" i="55"/>
  <c r="H2604" i="55"/>
  <c r="B2604" i="55"/>
  <c r="H2603" i="55"/>
  <c r="B2603" i="55"/>
  <c r="B2602" i="55"/>
  <c r="B2600" i="55"/>
  <c r="H2598" i="55"/>
  <c r="B2598" i="55"/>
  <c r="H2597" i="55"/>
  <c r="B2597" i="55"/>
  <c r="H2596" i="55"/>
  <c r="B2596" i="55"/>
  <c r="B2595" i="55"/>
  <c r="H2593" i="55"/>
  <c r="B2593" i="55"/>
  <c r="H2592" i="55"/>
  <c r="B2592" i="55"/>
  <c r="H2591" i="55"/>
  <c r="B2591" i="55"/>
  <c r="B2590" i="55"/>
  <c r="H2588" i="55"/>
  <c r="B2588" i="55"/>
  <c r="H2587" i="55"/>
  <c r="B2587" i="55"/>
  <c r="H2586" i="55"/>
  <c r="B2586" i="55"/>
  <c r="B2585" i="55"/>
  <c r="H2583" i="55"/>
  <c r="B2583" i="55"/>
  <c r="H2582" i="55"/>
  <c r="B2582" i="55"/>
  <c r="H2581" i="55"/>
  <c r="B2581" i="55"/>
  <c r="B2580" i="55"/>
  <c r="H2578" i="55"/>
  <c r="B2578" i="55"/>
  <c r="H2577" i="55"/>
  <c r="B2577" i="55"/>
  <c r="H2576" i="55"/>
  <c r="B2576" i="55"/>
  <c r="B2575" i="55"/>
  <c r="H2573" i="55"/>
  <c r="B2573" i="55"/>
  <c r="H2572" i="55"/>
  <c r="B2572" i="55"/>
  <c r="H2571" i="55"/>
  <c r="B2571" i="55"/>
  <c r="B2570" i="55"/>
  <c r="H2568" i="55"/>
  <c r="B2568" i="55"/>
  <c r="H2567" i="55"/>
  <c r="B2567" i="55"/>
  <c r="H2566" i="55"/>
  <c r="B2566" i="55"/>
  <c r="B2565" i="55"/>
  <c r="H2563" i="55"/>
  <c r="B2563" i="55"/>
  <c r="H2562" i="55"/>
  <c r="B2562" i="55"/>
  <c r="H2561" i="55"/>
  <c r="B2561" i="55"/>
  <c r="B2560" i="55"/>
  <c r="B2458" i="55"/>
  <c r="B2457" i="55"/>
  <c r="B2456" i="55"/>
  <c r="B2455" i="55"/>
  <c r="B2453" i="55"/>
  <c r="B2451" i="55"/>
  <c r="B2449" i="55"/>
  <c r="B2447" i="55"/>
  <c r="B2445" i="55"/>
  <c r="B2444" i="55"/>
  <c r="B2443" i="55"/>
  <c r="B2442" i="55"/>
  <c r="B2440" i="55"/>
  <c r="B2439" i="55"/>
  <c r="B2438" i="55"/>
  <c r="B2437" i="55"/>
  <c r="B2435" i="55"/>
  <c r="B2434" i="55"/>
  <c r="B2433" i="55"/>
  <c r="B2432" i="55"/>
  <c r="B2430" i="55"/>
  <c r="B2428" i="55"/>
  <c r="B2427" i="55"/>
  <c r="B2426" i="55"/>
  <c r="B2425" i="55"/>
  <c r="B2424" i="55"/>
  <c r="B2423" i="55"/>
  <c r="B2422" i="55"/>
  <c r="B2420" i="55"/>
  <c r="B2419" i="55"/>
  <c r="B2418" i="55"/>
  <c r="B2417" i="55"/>
  <c r="B2416" i="55"/>
  <c r="B2415" i="55"/>
  <c r="B2414" i="55"/>
  <c r="B2412" i="55"/>
  <c r="B2411" i="55"/>
  <c r="B2410" i="55"/>
  <c r="B2409" i="55"/>
  <c r="B2408" i="55"/>
  <c r="B2407" i="55"/>
  <c r="B2406" i="55"/>
  <c r="B2404" i="55"/>
  <c r="B2403" i="55"/>
  <c r="B2402" i="55"/>
  <c r="B2401" i="55"/>
  <c r="B2400" i="55"/>
  <c r="B2399" i="55"/>
  <c r="B2398" i="55"/>
  <c r="B2395" i="55"/>
  <c r="B2393" i="55"/>
  <c r="B2391" i="55"/>
  <c r="B2390" i="55"/>
  <c r="B2389" i="55"/>
  <c r="B2388" i="55"/>
  <c r="B2386" i="55"/>
  <c r="B2385" i="55"/>
  <c r="B2384" i="55"/>
  <c r="B2383" i="55"/>
  <c r="B2381" i="55"/>
  <c r="B2379" i="55"/>
  <c r="B2378" i="55"/>
  <c r="B2377" i="55"/>
  <c r="B2376" i="55"/>
  <c r="B2374" i="55"/>
  <c r="B2373" i="55"/>
  <c r="B2372" i="55"/>
  <c r="B2371" i="55"/>
  <c r="B2369" i="55"/>
  <c r="B2368" i="55"/>
  <c r="B2367" i="55"/>
  <c r="B2366" i="55"/>
  <c r="B2364" i="55"/>
  <c r="B2363" i="55"/>
  <c r="B2362" i="55"/>
  <c r="B2361" i="55"/>
  <c r="B2359" i="55"/>
  <c r="B2358" i="55"/>
  <c r="B2357" i="55"/>
  <c r="B2356" i="55"/>
  <c r="B2354" i="55"/>
  <c r="B2353" i="55"/>
  <c r="B2352" i="55"/>
  <c r="B2351" i="55"/>
  <c r="B2349" i="55"/>
  <c r="B2348" i="55"/>
  <c r="B2347" i="55"/>
  <c r="B2346" i="55"/>
  <c r="B2344" i="55"/>
  <c r="B2343" i="55"/>
  <c r="B2342" i="55"/>
  <c r="B2341" i="55"/>
  <c r="B2336" i="55"/>
  <c r="B2335" i="55"/>
  <c r="B2334" i="55"/>
  <c r="B2333" i="55"/>
  <c r="B2331" i="55"/>
  <c r="B2329" i="55"/>
  <c r="B2327" i="55"/>
  <c r="B2325" i="55"/>
  <c r="B2323" i="55"/>
  <c r="B2322" i="55"/>
  <c r="B2321" i="55"/>
  <c r="B2320" i="55"/>
  <c r="B2318" i="55"/>
  <c r="B2317" i="55"/>
  <c r="B2316" i="55"/>
  <c r="B2315" i="55"/>
  <c r="B2313" i="55"/>
  <c r="B2312" i="55"/>
  <c r="B2311" i="55"/>
  <c r="B2310" i="55"/>
  <c r="B2308" i="55"/>
  <c r="B2306" i="55"/>
  <c r="B2305" i="55"/>
  <c r="B2304" i="55"/>
  <c r="B2303" i="55"/>
  <c r="B2302" i="55"/>
  <c r="B2301" i="55"/>
  <c r="B2300" i="55"/>
  <c r="B2298" i="55"/>
  <c r="B2297" i="55"/>
  <c r="B2296" i="55"/>
  <c r="B2295" i="55"/>
  <c r="B2294" i="55"/>
  <c r="B2293" i="55"/>
  <c r="B2292" i="55"/>
  <c r="B2290" i="55"/>
  <c r="B2289" i="55"/>
  <c r="B2288" i="55"/>
  <c r="B2287" i="55"/>
  <c r="B2286" i="55"/>
  <c r="B2285" i="55"/>
  <c r="B2284" i="55"/>
  <c r="B2282" i="55"/>
  <c r="B2281" i="55"/>
  <c r="B2280" i="55"/>
  <c r="B2279" i="55"/>
  <c r="B2278" i="55"/>
  <c r="B2277" i="55"/>
  <c r="B2276" i="55"/>
  <c r="B2273" i="55"/>
  <c r="B2271" i="55"/>
  <c r="B2269" i="55"/>
  <c r="B2268" i="55"/>
  <c r="B2267" i="55"/>
  <c r="B2266" i="55"/>
  <c r="B2264" i="55"/>
  <c r="B2263" i="55"/>
  <c r="B2262" i="55"/>
  <c r="B2261" i="55"/>
  <c r="B2259" i="55"/>
  <c r="B2257" i="55"/>
  <c r="B2256" i="55"/>
  <c r="B2255" i="55"/>
  <c r="B2254" i="55"/>
  <c r="B2252" i="55"/>
  <c r="B2251" i="55"/>
  <c r="B2250" i="55"/>
  <c r="B2249" i="55"/>
  <c r="B2247" i="55"/>
  <c r="B2246" i="55"/>
  <c r="B2245" i="55"/>
  <c r="B2244" i="55"/>
  <c r="B2242" i="55"/>
  <c r="B2241" i="55"/>
  <c r="B2240" i="55"/>
  <c r="B2239" i="55"/>
  <c r="B2237" i="55"/>
  <c r="B2236" i="55"/>
  <c r="B2235" i="55"/>
  <c r="B2234" i="55"/>
  <c r="B2232" i="55"/>
  <c r="B2231" i="55"/>
  <c r="B2230" i="55"/>
  <c r="B2229" i="55"/>
  <c r="B2227" i="55"/>
  <c r="B2226" i="55"/>
  <c r="B2225" i="55"/>
  <c r="B2224" i="55"/>
  <c r="B2222" i="55"/>
  <c r="B2221" i="55"/>
  <c r="B2220" i="55"/>
  <c r="B2219" i="55"/>
  <c r="B2214" i="55"/>
  <c r="B2213" i="55"/>
  <c r="B2212" i="55"/>
  <c r="B2211" i="55"/>
  <c r="B2209" i="55"/>
  <c r="B2207" i="55"/>
  <c r="B2205" i="55"/>
  <c r="B2203" i="55"/>
  <c r="H2201" i="55"/>
  <c r="B2201" i="55"/>
  <c r="H2200" i="55"/>
  <c r="B2200" i="55"/>
  <c r="H2199" i="55"/>
  <c r="B2199" i="55"/>
  <c r="B2198" i="55"/>
  <c r="H2196" i="55"/>
  <c r="B2196" i="55"/>
  <c r="H2195" i="55"/>
  <c r="B2195" i="55"/>
  <c r="H2194" i="55"/>
  <c r="B2194" i="55"/>
  <c r="B2193" i="55"/>
  <c r="H2191" i="55"/>
  <c r="B2191" i="55"/>
  <c r="H2190" i="55"/>
  <c r="B2190" i="55"/>
  <c r="H2189" i="55"/>
  <c r="B2189" i="55"/>
  <c r="B2188" i="55"/>
  <c r="B2186" i="55"/>
  <c r="H2184" i="55"/>
  <c r="B2184" i="55"/>
  <c r="H2183" i="55"/>
  <c r="B2183" i="55"/>
  <c r="H2182" i="55"/>
  <c r="B2182" i="55"/>
  <c r="H2181" i="55"/>
  <c r="B2181" i="55"/>
  <c r="H2180" i="55"/>
  <c r="B2180" i="55"/>
  <c r="H2179" i="55"/>
  <c r="B2179" i="55"/>
  <c r="B2178" i="55"/>
  <c r="H2176" i="55"/>
  <c r="B2176" i="55"/>
  <c r="H2175" i="55"/>
  <c r="B2175" i="55"/>
  <c r="H2174" i="55"/>
  <c r="B2174" i="55"/>
  <c r="H2173" i="55"/>
  <c r="B2173" i="55"/>
  <c r="H2172" i="55"/>
  <c r="B2172" i="55"/>
  <c r="H2171" i="55"/>
  <c r="B2171" i="55"/>
  <c r="B2170" i="55"/>
  <c r="H2168" i="55"/>
  <c r="B2168" i="55"/>
  <c r="H2167" i="55"/>
  <c r="B2167" i="55"/>
  <c r="H2166" i="55"/>
  <c r="B2166" i="55"/>
  <c r="H2165" i="55"/>
  <c r="B2165" i="55"/>
  <c r="H2164" i="55"/>
  <c r="B2164" i="55"/>
  <c r="H2163" i="55"/>
  <c r="B2163" i="55"/>
  <c r="B2162" i="55"/>
  <c r="H2160" i="55"/>
  <c r="B2160" i="55"/>
  <c r="H2159" i="55"/>
  <c r="B2159" i="55"/>
  <c r="H2158" i="55"/>
  <c r="B2158" i="55"/>
  <c r="H2157" i="55"/>
  <c r="B2157" i="55"/>
  <c r="H2156" i="55"/>
  <c r="B2156" i="55"/>
  <c r="H2155" i="55"/>
  <c r="B2155" i="55"/>
  <c r="B2154" i="55"/>
  <c r="B2151" i="55"/>
  <c r="B2149" i="55"/>
  <c r="H2147" i="55"/>
  <c r="B2147" i="55"/>
  <c r="H2146" i="55"/>
  <c r="B2146" i="55"/>
  <c r="H2145" i="55"/>
  <c r="B2145" i="55"/>
  <c r="B2144" i="55"/>
  <c r="H2142" i="55"/>
  <c r="B2142" i="55"/>
  <c r="H2141" i="55"/>
  <c r="B2141" i="55"/>
  <c r="H2140" i="55"/>
  <c r="B2140" i="55"/>
  <c r="B2139" i="55"/>
  <c r="B2137" i="55"/>
  <c r="H2135" i="55"/>
  <c r="B2135" i="55"/>
  <c r="H2134" i="55"/>
  <c r="B2134" i="55"/>
  <c r="H2133" i="55"/>
  <c r="B2133" i="55"/>
  <c r="B2132" i="55"/>
  <c r="H2130" i="55"/>
  <c r="B2130" i="55"/>
  <c r="H2129" i="55"/>
  <c r="B2129" i="55"/>
  <c r="H2128" i="55"/>
  <c r="B2128" i="55"/>
  <c r="B2127" i="55"/>
  <c r="H2125" i="55"/>
  <c r="B2125" i="55"/>
  <c r="H2124" i="55"/>
  <c r="B2124" i="55"/>
  <c r="H2123" i="55"/>
  <c r="B2123" i="55"/>
  <c r="B2122" i="55"/>
  <c r="H2120" i="55"/>
  <c r="B2120" i="55"/>
  <c r="H2119" i="55"/>
  <c r="B2119" i="55"/>
  <c r="H2118" i="55"/>
  <c r="B2118" i="55"/>
  <c r="B2117" i="55"/>
  <c r="H2115" i="55"/>
  <c r="B2115" i="55"/>
  <c r="H2114" i="55"/>
  <c r="B2114" i="55"/>
  <c r="H2113" i="55"/>
  <c r="B2113" i="55"/>
  <c r="B2112" i="55"/>
  <c r="H2110" i="55"/>
  <c r="B2110" i="55"/>
  <c r="H2109" i="55"/>
  <c r="B2109" i="55"/>
  <c r="H2108" i="55"/>
  <c r="B2108" i="55"/>
  <c r="B2107" i="55"/>
  <c r="H2105" i="55"/>
  <c r="B2105" i="55"/>
  <c r="H2104" i="55"/>
  <c r="B2104" i="55"/>
  <c r="H2103" i="55"/>
  <c r="B2103" i="55"/>
  <c r="B2102" i="55"/>
  <c r="H2100" i="55"/>
  <c r="B2100" i="55"/>
  <c r="H2099" i="55"/>
  <c r="B2099" i="55"/>
  <c r="H2098" i="55"/>
  <c r="B2098" i="55"/>
  <c r="B2097" i="55"/>
  <c r="B2095" i="55"/>
  <c r="B2094" i="55"/>
  <c r="B2091" i="55"/>
  <c r="B2090" i="55"/>
  <c r="B2089" i="55"/>
  <c r="B2088" i="55"/>
  <c r="B2087" i="55"/>
  <c r="B2086" i="55"/>
  <c r="B2085" i="55"/>
  <c r="B2082" i="55"/>
  <c r="B2081" i="55"/>
  <c r="B2080" i="55"/>
  <c r="B2079" i="55"/>
  <c r="B2078" i="55"/>
  <c r="B2076" i="55"/>
  <c r="B2074" i="55"/>
  <c r="B2072" i="55"/>
  <c r="B2071" i="55"/>
  <c r="B2070" i="55"/>
  <c r="B2069" i="55"/>
  <c r="B2068" i="55"/>
  <c r="B2067" i="55"/>
  <c r="B2066" i="55"/>
  <c r="B2065" i="55"/>
  <c r="B2064" i="55"/>
  <c r="B2063" i="55"/>
  <c r="B2061" i="55"/>
  <c r="B2060" i="55"/>
  <c r="B2059" i="55"/>
  <c r="B2058" i="55"/>
  <c r="B2057" i="55"/>
  <c r="B2056" i="55"/>
  <c r="B2055" i="55"/>
  <c r="B2054" i="55"/>
  <c r="B2053" i="55"/>
  <c r="B2051" i="55"/>
  <c r="B2050" i="55"/>
  <c r="B2049" i="55"/>
  <c r="B2048" i="55"/>
  <c r="B2047" i="55"/>
  <c r="B2046" i="55"/>
  <c r="B2045" i="55"/>
  <c r="B2043" i="55"/>
  <c r="B2042" i="55"/>
  <c r="B2041" i="55"/>
  <c r="B2040" i="55"/>
  <c r="B2039" i="55"/>
  <c r="B2038" i="55"/>
  <c r="B2037" i="55"/>
  <c r="B2036" i="55"/>
  <c r="B2034" i="55"/>
  <c r="B2033" i="55"/>
  <c r="B2032" i="55"/>
  <c r="B2031" i="55"/>
  <c r="B2030" i="55"/>
  <c r="B2029" i="55"/>
  <c r="B2028" i="55"/>
  <c r="B2026" i="55"/>
  <c r="B2025" i="55"/>
  <c r="B2024" i="55"/>
  <c r="B2023" i="55"/>
  <c r="B2022" i="55"/>
  <c r="B2021" i="55"/>
  <c r="B2020" i="55"/>
  <c r="B2019" i="55"/>
  <c r="B2017" i="55"/>
  <c r="H2016" i="55"/>
  <c r="B2016" i="55"/>
  <c r="H2015" i="55"/>
  <c r="B2015" i="55"/>
  <c r="H2014" i="55"/>
  <c r="B2014" i="55"/>
  <c r="H2013" i="55"/>
  <c r="B2013" i="55"/>
  <c r="H2012" i="55"/>
  <c r="B2012" i="55"/>
  <c r="H2011" i="55"/>
  <c r="B2011" i="55"/>
  <c r="B2927" i="55"/>
  <c r="B2926" i="55"/>
  <c r="B2925" i="55"/>
  <c r="B2924" i="55"/>
  <c r="H2009" i="55"/>
  <c r="E2009" i="55"/>
  <c r="B2009" i="55"/>
  <c r="H2008" i="55"/>
  <c r="E2008" i="55"/>
  <c r="B2008" i="55"/>
  <c r="H2007" i="55"/>
  <c r="B2007" i="55"/>
  <c r="H2006" i="55"/>
  <c r="B2006" i="55"/>
  <c r="H2005" i="55"/>
  <c r="B2005" i="55"/>
  <c r="H2004" i="55"/>
  <c r="B2004" i="55"/>
  <c r="H2003" i="55"/>
  <c r="B2003" i="55"/>
  <c r="H2002" i="55"/>
  <c r="B2002" i="55"/>
  <c r="H2001" i="55"/>
  <c r="B2001" i="55"/>
  <c r="H2000" i="55"/>
  <c r="B2000" i="55"/>
  <c r="H1997" i="55"/>
  <c r="B1997" i="55"/>
  <c r="H1996" i="55"/>
  <c r="B1996" i="55"/>
  <c r="H1995" i="55"/>
  <c r="B1995" i="55"/>
  <c r="H1994" i="55"/>
  <c r="B1994" i="55"/>
  <c r="H1993" i="55"/>
  <c r="B1993" i="55"/>
  <c r="H1992" i="55"/>
  <c r="B1992" i="55"/>
  <c r="H1991" i="55"/>
  <c r="B1991" i="55"/>
  <c r="H1990" i="55"/>
  <c r="B1990" i="55"/>
  <c r="H1989" i="55"/>
  <c r="B1989" i="55"/>
  <c r="H1988" i="55"/>
  <c r="B1988" i="55"/>
  <c r="H1987" i="55"/>
  <c r="B1987" i="55"/>
  <c r="H1986" i="55"/>
  <c r="B1986" i="55"/>
  <c r="H1985" i="55"/>
  <c r="B1985" i="55"/>
  <c r="H1984" i="55"/>
  <c r="B1984" i="55"/>
  <c r="H1983" i="55"/>
  <c r="B1983" i="55"/>
  <c r="H1982" i="55"/>
  <c r="B1982" i="55"/>
  <c r="H1981" i="55"/>
  <c r="B1981" i="55"/>
  <c r="H1980" i="55"/>
  <c r="B1980" i="55"/>
  <c r="H1979" i="55"/>
  <c r="B1979" i="55"/>
  <c r="H1978" i="55"/>
  <c r="B1978" i="55"/>
  <c r="H1977" i="55"/>
  <c r="B1977" i="55"/>
  <c r="B1974" i="55"/>
  <c r="H1972" i="55"/>
  <c r="B1972" i="55"/>
  <c r="H1971" i="55"/>
  <c r="B1971" i="55"/>
  <c r="H1969" i="55"/>
  <c r="B1969" i="55"/>
  <c r="H1968" i="55"/>
  <c r="B1968" i="55"/>
  <c r="H1967" i="55"/>
  <c r="B1967" i="55"/>
  <c r="H1966" i="55"/>
  <c r="B1966" i="55"/>
  <c r="H1964" i="55"/>
  <c r="B1964" i="55"/>
  <c r="H1963" i="55"/>
  <c r="B1963" i="55"/>
  <c r="H1962" i="55"/>
  <c r="B1962" i="55"/>
  <c r="H1961" i="55"/>
  <c r="B1961" i="55"/>
  <c r="H1959" i="55"/>
  <c r="B1959" i="55"/>
  <c r="H1958" i="55"/>
  <c r="B1958" i="55"/>
  <c r="H1957" i="55"/>
  <c r="B1957" i="55"/>
  <c r="H1956" i="55"/>
  <c r="B1956" i="55"/>
  <c r="H1954" i="55"/>
  <c r="B1954" i="55"/>
  <c r="H1951" i="55"/>
  <c r="B1951" i="55"/>
  <c r="B1949" i="55"/>
  <c r="B1947" i="55"/>
  <c r="B1946" i="55"/>
  <c r="B1945" i="55"/>
  <c r="B1944" i="55"/>
  <c r="B1943" i="55"/>
  <c r="B1942" i="55"/>
  <c r="B1941" i="55"/>
  <c r="B1940" i="55"/>
  <c r="B1939" i="55"/>
  <c r="B1938" i="55"/>
  <c r="B1937" i="55"/>
  <c r="B1936" i="55"/>
  <c r="B1935" i="55"/>
  <c r="B1934" i="55"/>
  <c r="B1932" i="55"/>
  <c r="B1931" i="55"/>
  <c r="B1930" i="55"/>
  <c r="B1929" i="55"/>
  <c r="B1928" i="55"/>
  <c r="B1927" i="55"/>
  <c r="B1926" i="55"/>
  <c r="B1925" i="55"/>
  <c r="B1922" i="55"/>
  <c r="H1920" i="55"/>
  <c r="B1920" i="55"/>
  <c r="H1919" i="55"/>
  <c r="B1919" i="55"/>
  <c r="H1917" i="55"/>
  <c r="B1917" i="55"/>
  <c r="H1916" i="55"/>
  <c r="B1916" i="55"/>
  <c r="H1915" i="55"/>
  <c r="B1915" i="55"/>
  <c r="H1914" i="55"/>
  <c r="B1914" i="55"/>
  <c r="H1912" i="55"/>
  <c r="B1912" i="55"/>
  <c r="H1911" i="55"/>
  <c r="B1911" i="55"/>
  <c r="H1910" i="55"/>
  <c r="B1910" i="55"/>
  <c r="H1909" i="55"/>
  <c r="B1909" i="55"/>
  <c r="H1907" i="55"/>
  <c r="B1907" i="55"/>
  <c r="H1906" i="55"/>
  <c r="B1906" i="55"/>
  <c r="H1905" i="55"/>
  <c r="B1905" i="55"/>
  <c r="H1904" i="55"/>
  <c r="B1904" i="55"/>
  <c r="H1902" i="55"/>
  <c r="B1902" i="55"/>
  <c r="H1899" i="55"/>
  <c r="B1899" i="55"/>
  <c r="B1897" i="55"/>
  <c r="B1895" i="55"/>
  <c r="B1894" i="55"/>
  <c r="B1893" i="55"/>
  <c r="B1892" i="55"/>
  <c r="B1891" i="55"/>
  <c r="B1890" i="55"/>
  <c r="B1889" i="55"/>
  <c r="B1888" i="55"/>
  <c r="B1887" i="55"/>
  <c r="B1886" i="55"/>
  <c r="B1885" i="55"/>
  <c r="B1884" i="55"/>
  <c r="B1883" i="55"/>
  <c r="B1882" i="55"/>
  <c r="B1880" i="55"/>
  <c r="B1879" i="55"/>
  <c r="B1878" i="55"/>
  <c r="B1877" i="55"/>
  <c r="B1876" i="55"/>
  <c r="B1875" i="55"/>
  <c r="B1874" i="55"/>
  <c r="B1873" i="55"/>
  <c r="B1870" i="55"/>
  <c r="B1868" i="55"/>
  <c r="H1867" i="55"/>
  <c r="B1867" i="55"/>
  <c r="H1865" i="55"/>
  <c r="B1865" i="55"/>
  <c r="H1864" i="55"/>
  <c r="B1864" i="55"/>
  <c r="H1863" i="55"/>
  <c r="B1863" i="55"/>
  <c r="H1862" i="55"/>
  <c r="B1862" i="55"/>
  <c r="H1860" i="55"/>
  <c r="B1860" i="55"/>
  <c r="H1859" i="55"/>
  <c r="B1859" i="55"/>
  <c r="H1858" i="55"/>
  <c r="B1858" i="55"/>
  <c r="H1857" i="55"/>
  <c r="B1857" i="55"/>
  <c r="H1855" i="55"/>
  <c r="B1855" i="55"/>
  <c r="H1854" i="55"/>
  <c r="B1854" i="55"/>
  <c r="H1853" i="55"/>
  <c r="B1853" i="55"/>
  <c r="H1852" i="55"/>
  <c r="B1852" i="55"/>
  <c r="H1850" i="55"/>
  <c r="B1850" i="55"/>
  <c r="H1847" i="55"/>
  <c r="B1847" i="55"/>
  <c r="B1845" i="55"/>
  <c r="H1843" i="55"/>
  <c r="B1843" i="55"/>
  <c r="B1842" i="55"/>
  <c r="H1841" i="55"/>
  <c r="B1841" i="55"/>
  <c r="H1840" i="55"/>
  <c r="B1840" i="55"/>
  <c r="H1839" i="55"/>
  <c r="B1839" i="55"/>
  <c r="H1838" i="55"/>
  <c r="B1838" i="55"/>
  <c r="B1837" i="55"/>
  <c r="B1836" i="55"/>
  <c r="H1835" i="55"/>
  <c r="B1835" i="55"/>
  <c r="B1834" i="55"/>
  <c r="H1833" i="55"/>
  <c r="B1833" i="55"/>
  <c r="H1832" i="55"/>
  <c r="B1832" i="55"/>
  <c r="H1831" i="55"/>
  <c r="B1831" i="55"/>
  <c r="B1830" i="55"/>
  <c r="H1828" i="55"/>
  <c r="B1828" i="55"/>
  <c r="H1827" i="55"/>
  <c r="B1827" i="55"/>
  <c r="B1826" i="55"/>
  <c r="H1825" i="55"/>
  <c r="B1825" i="55"/>
  <c r="B1824" i="55"/>
  <c r="H1823" i="55"/>
  <c r="B1823" i="55"/>
  <c r="H1822" i="55"/>
  <c r="B1822" i="55"/>
  <c r="B1821" i="55"/>
  <c r="B1818" i="55"/>
  <c r="B1816" i="55"/>
  <c r="B1815" i="55"/>
  <c r="B1813" i="55"/>
  <c r="B1812" i="55"/>
  <c r="B1811" i="55"/>
  <c r="H1810" i="55"/>
  <c r="B1810" i="55"/>
  <c r="B1808" i="55"/>
  <c r="B1807" i="55"/>
  <c r="B1806" i="55"/>
  <c r="H1805" i="55"/>
  <c r="B1805" i="55"/>
  <c r="B1803" i="55"/>
  <c r="B1802" i="55"/>
  <c r="H1801" i="55"/>
  <c r="B1801" i="55"/>
  <c r="H1800" i="55"/>
  <c r="B1800" i="55"/>
  <c r="B1798" i="55"/>
  <c r="B1795" i="55"/>
  <c r="B1793" i="55"/>
  <c r="H1791" i="55"/>
  <c r="B1791" i="55"/>
  <c r="B1790" i="55"/>
  <c r="H1789" i="55"/>
  <c r="B1789" i="55"/>
  <c r="H1788" i="55"/>
  <c r="B1788" i="55"/>
  <c r="H1787" i="55"/>
  <c r="B1787" i="55"/>
  <c r="H1786" i="55"/>
  <c r="B1786" i="55"/>
  <c r="B1785" i="55"/>
  <c r="B1784" i="55"/>
  <c r="H1783" i="55"/>
  <c r="B1783" i="55"/>
  <c r="B1782" i="55"/>
  <c r="H1781" i="55"/>
  <c r="B1781" i="55"/>
  <c r="H1780" i="55"/>
  <c r="B1780" i="55"/>
  <c r="H1779" i="55"/>
  <c r="B1779" i="55"/>
  <c r="B1778" i="55"/>
  <c r="H1776" i="55"/>
  <c r="B1776" i="55"/>
  <c r="H1775" i="55"/>
  <c r="B1775" i="55"/>
  <c r="B1774" i="55"/>
  <c r="H1773" i="55"/>
  <c r="B1773" i="55"/>
  <c r="B1772" i="55"/>
  <c r="H1771" i="55"/>
  <c r="B1771" i="55"/>
  <c r="B1770" i="55"/>
  <c r="B1769" i="55"/>
  <c r="B1766" i="55"/>
  <c r="B1764" i="55"/>
  <c r="B1763" i="55"/>
  <c r="B1761" i="55"/>
  <c r="B1760" i="55"/>
  <c r="H1759" i="55"/>
  <c r="B1759" i="55"/>
  <c r="H1758" i="55"/>
  <c r="B1758" i="55"/>
  <c r="B1756" i="55"/>
  <c r="B1755" i="55"/>
  <c r="B1754" i="55"/>
  <c r="H1753" i="55"/>
  <c r="B1753" i="55"/>
  <c r="B1751" i="55"/>
  <c r="B1750" i="55"/>
  <c r="H1749" i="55"/>
  <c r="B1749" i="55"/>
  <c r="H1748" i="55"/>
  <c r="B1748" i="55"/>
  <c r="H1746" i="55"/>
  <c r="B1746" i="55"/>
  <c r="H1743" i="55"/>
  <c r="B1743" i="55"/>
  <c r="B1741" i="55"/>
  <c r="H1739" i="55"/>
  <c r="B1739" i="55"/>
  <c r="B1738" i="55"/>
  <c r="H1737" i="55"/>
  <c r="B1737" i="55"/>
  <c r="H1736" i="55"/>
  <c r="B1736" i="55"/>
  <c r="H1735" i="55"/>
  <c r="B1735" i="55"/>
  <c r="H1734" i="55"/>
  <c r="B1734" i="55"/>
  <c r="B1733" i="55"/>
  <c r="B1732" i="55"/>
  <c r="H1731" i="55"/>
  <c r="B1731" i="55"/>
  <c r="B1730" i="55"/>
  <c r="H1729" i="55"/>
  <c r="B1729" i="55"/>
  <c r="H1728" i="55"/>
  <c r="B1728" i="55"/>
  <c r="H1727" i="55"/>
  <c r="B1727" i="55"/>
  <c r="B1726" i="55"/>
  <c r="H1724" i="55"/>
  <c r="B1724" i="55"/>
  <c r="H1723" i="55"/>
  <c r="B1723" i="55"/>
  <c r="B1722" i="55"/>
  <c r="H1721" i="55"/>
  <c r="B1721" i="55"/>
  <c r="B1720" i="55"/>
  <c r="H1719" i="55"/>
  <c r="B1719" i="55"/>
  <c r="H1718" i="55"/>
  <c r="B1718" i="55"/>
  <c r="B1717" i="55"/>
  <c r="B1714" i="55"/>
  <c r="B1712" i="55"/>
  <c r="B1711" i="55"/>
  <c r="B1709" i="55"/>
  <c r="B1708" i="55"/>
  <c r="H1707" i="55"/>
  <c r="B1707" i="55"/>
  <c r="H1706" i="55"/>
  <c r="B1706" i="55"/>
  <c r="B1704" i="55"/>
  <c r="B1703" i="55"/>
  <c r="B1702" i="55"/>
  <c r="H1701" i="55"/>
  <c r="B1701" i="55"/>
  <c r="B1699" i="55"/>
  <c r="B1698" i="55"/>
  <c r="H1697" i="55"/>
  <c r="B1697" i="55"/>
  <c r="H1696" i="55"/>
  <c r="B1696" i="55"/>
  <c r="H1694" i="55"/>
  <c r="B1694" i="55"/>
  <c r="H1691" i="55"/>
  <c r="B1691" i="55"/>
  <c r="B1689" i="55"/>
  <c r="H1687" i="55"/>
  <c r="B1687" i="55"/>
  <c r="B1686" i="55"/>
  <c r="H1685" i="55"/>
  <c r="B1685" i="55"/>
  <c r="H1684" i="55"/>
  <c r="B1684" i="55"/>
  <c r="H1683" i="55"/>
  <c r="B1683" i="55"/>
  <c r="H1682" i="55"/>
  <c r="B1682" i="55"/>
  <c r="B1681" i="55"/>
  <c r="B1680" i="55"/>
  <c r="H1679" i="55"/>
  <c r="B1679" i="55"/>
  <c r="B1678" i="55"/>
  <c r="H1677" i="55"/>
  <c r="B1677" i="55"/>
  <c r="H1676" i="55"/>
  <c r="B1676" i="55"/>
  <c r="H1675" i="55"/>
  <c r="B1675" i="55"/>
  <c r="B1674" i="55"/>
  <c r="H1672" i="55"/>
  <c r="B1672" i="55"/>
  <c r="H1671" i="55"/>
  <c r="B1671" i="55"/>
  <c r="B1670" i="55"/>
  <c r="H1669" i="55"/>
  <c r="B1669" i="55"/>
  <c r="B1668" i="55"/>
  <c r="H1667" i="55"/>
  <c r="B1667" i="55"/>
  <c r="H1666" i="55"/>
  <c r="B1666" i="55"/>
  <c r="B1665" i="55"/>
  <c r="B1662" i="55"/>
  <c r="B1660" i="55"/>
  <c r="B1659" i="55"/>
  <c r="B1657" i="55"/>
  <c r="H1656" i="55"/>
  <c r="B1656" i="55"/>
  <c r="H1655" i="55"/>
  <c r="B1655" i="55"/>
  <c r="H1654" i="55"/>
  <c r="B1654" i="55"/>
  <c r="B1652" i="55"/>
  <c r="H1651" i="55"/>
  <c r="B1651" i="55"/>
  <c r="B1650" i="55"/>
  <c r="H1649" i="55"/>
  <c r="B1649" i="55"/>
  <c r="B1647" i="55"/>
  <c r="B1646" i="55"/>
  <c r="H1645" i="55"/>
  <c r="B1645" i="55"/>
  <c r="H1644" i="55"/>
  <c r="B1644" i="55"/>
  <c r="H1642" i="55"/>
  <c r="B1642" i="55"/>
  <c r="H1639" i="55"/>
  <c r="B1639" i="55"/>
  <c r="B1637" i="55"/>
  <c r="H1635" i="55"/>
  <c r="B1635" i="55"/>
  <c r="B1634" i="55"/>
  <c r="H1633" i="55"/>
  <c r="B1633" i="55"/>
  <c r="H1632" i="55"/>
  <c r="B1632" i="55"/>
  <c r="H1631" i="55"/>
  <c r="B1631" i="55"/>
  <c r="H1630" i="55"/>
  <c r="B1630" i="55"/>
  <c r="B1629" i="55"/>
  <c r="B1628" i="55"/>
  <c r="H1627" i="55"/>
  <c r="B1627" i="55"/>
  <c r="B1626" i="55"/>
  <c r="H1625" i="55"/>
  <c r="B1625" i="55"/>
  <c r="H1624" i="55"/>
  <c r="B1624" i="55"/>
  <c r="H1623" i="55"/>
  <c r="B1623" i="55"/>
  <c r="B1622" i="55"/>
  <c r="H1620" i="55"/>
  <c r="B1620" i="55"/>
  <c r="H1619" i="55"/>
  <c r="B1619" i="55"/>
  <c r="B1618" i="55"/>
  <c r="H1617" i="55"/>
  <c r="B1617" i="55"/>
  <c r="B1616" i="55"/>
  <c r="H1615" i="55"/>
  <c r="B1615" i="55"/>
  <c r="H1614" i="55"/>
  <c r="B1614" i="55"/>
  <c r="B1613" i="55"/>
  <c r="B1610" i="55"/>
  <c r="B1608" i="55"/>
  <c r="B1607" i="55"/>
  <c r="B1605" i="55"/>
  <c r="H1604" i="55"/>
  <c r="B1604" i="55"/>
  <c r="H1603" i="55"/>
  <c r="B1603" i="55"/>
  <c r="H1602" i="55"/>
  <c r="B1602" i="55"/>
  <c r="B1600" i="55"/>
  <c r="H1599" i="55"/>
  <c r="B1599" i="55"/>
  <c r="B1598" i="55"/>
  <c r="H1597" i="55"/>
  <c r="B1597" i="55"/>
  <c r="B1595" i="55"/>
  <c r="B1594" i="55"/>
  <c r="H1593" i="55"/>
  <c r="B1593" i="55"/>
  <c r="H1592" i="55"/>
  <c r="B1592" i="55"/>
  <c r="H1590" i="55"/>
  <c r="B1590" i="55"/>
  <c r="H1587" i="55"/>
  <c r="B1587" i="55"/>
  <c r="B1585" i="55"/>
  <c r="H1583" i="55"/>
  <c r="B1583" i="55"/>
  <c r="B1582" i="55"/>
  <c r="H1581" i="55"/>
  <c r="B1581" i="55"/>
  <c r="H1580" i="55"/>
  <c r="B1580" i="55"/>
  <c r="H1579" i="55"/>
  <c r="B1579" i="55"/>
  <c r="H1578" i="55"/>
  <c r="B1578" i="55"/>
  <c r="B1577" i="55"/>
  <c r="B1576" i="55"/>
  <c r="H1575" i="55"/>
  <c r="B1575" i="55"/>
  <c r="B1574" i="55"/>
  <c r="H1573" i="55"/>
  <c r="B1573" i="55"/>
  <c r="H1572" i="55"/>
  <c r="B1572" i="55"/>
  <c r="H1571" i="55"/>
  <c r="B1571" i="55"/>
  <c r="B1570" i="55"/>
  <c r="H1568" i="55"/>
  <c r="B1568" i="55"/>
  <c r="H1567" i="55"/>
  <c r="B1567" i="55"/>
  <c r="B1566" i="55"/>
  <c r="H1565" i="55"/>
  <c r="B1565" i="55"/>
  <c r="B1564" i="55"/>
  <c r="H1563" i="55"/>
  <c r="B1563" i="55"/>
  <c r="H1562" i="55"/>
  <c r="B1562" i="55"/>
  <c r="B1561" i="55"/>
  <c r="B1558" i="55"/>
  <c r="B1556" i="55"/>
  <c r="B1555" i="55"/>
  <c r="B1553" i="55"/>
  <c r="B1552" i="55"/>
  <c r="H1551" i="55"/>
  <c r="B1551" i="55"/>
  <c r="B1550" i="55"/>
  <c r="B1548" i="55"/>
  <c r="H1547" i="55"/>
  <c r="B1547" i="55"/>
  <c r="B1546" i="55"/>
  <c r="B1545" i="55"/>
  <c r="B1543" i="55"/>
  <c r="B1542" i="55"/>
  <c r="H1541" i="55"/>
  <c r="B1541" i="55"/>
  <c r="B1540" i="55"/>
  <c r="H1538" i="55"/>
  <c r="B1538" i="55"/>
  <c r="H1535" i="55"/>
  <c r="B1535" i="55"/>
  <c r="B1533" i="55"/>
  <c r="H1531" i="55"/>
  <c r="B1531" i="55"/>
  <c r="B1530" i="55"/>
  <c r="H1529" i="55"/>
  <c r="B1529" i="55"/>
  <c r="H1528" i="55"/>
  <c r="B1528" i="55"/>
  <c r="H1527" i="55"/>
  <c r="B1527" i="55"/>
  <c r="H1526" i="55"/>
  <c r="B1526" i="55"/>
  <c r="B1525" i="55"/>
  <c r="B1524" i="55"/>
  <c r="H1523" i="55"/>
  <c r="B1523" i="55"/>
  <c r="B1522" i="55"/>
  <c r="H1521" i="55"/>
  <c r="B1521" i="55"/>
  <c r="H1520" i="55"/>
  <c r="B1520" i="55"/>
  <c r="H1519" i="55"/>
  <c r="B1519" i="55"/>
  <c r="B1518" i="55"/>
  <c r="H1516" i="55"/>
  <c r="B1516" i="55"/>
  <c r="H1515" i="55"/>
  <c r="B1515" i="55"/>
  <c r="B1514" i="55"/>
  <c r="H1513" i="55"/>
  <c r="B1513" i="55"/>
  <c r="B1512" i="55"/>
  <c r="H1511" i="55"/>
  <c r="B1511" i="55"/>
  <c r="H1510" i="55"/>
  <c r="B1510" i="55"/>
  <c r="B1509" i="55"/>
  <c r="B1507" i="55"/>
  <c r="B1506" i="55"/>
  <c r="B1505" i="55"/>
  <c r="B1504" i="55"/>
  <c r="B1503" i="55"/>
  <c r="B1502" i="55"/>
  <c r="B1501" i="55"/>
  <c r="B1500" i="55"/>
  <c r="H1498" i="55"/>
  <c r="E1498" i="55"/>
  <c r="B1498" i="55"/>
  <c r="H1497" i="55"/>
  <c r="B1497" i="55"/>
  <c r="H1496" i="55"/>
  <c r="B1496" i="55"/>
  <c r="H1495" i="55"/>
  <c r="B1495" i="55"/>
  <c r="H1494" i="55"/>
  <c r="E1494" i="55"/>
  <c r="B1494" i="55"/>
  <c r="H1493" i="55"/>
  <c r="B1493" i="55"/>
  <c r="H1492" i="55"/>
  <c r="B1492" i="55"/>
  <c r="H1491" i="55"/>
  <c r="B1491" i="55"/>
  <c r="H1490" i="55"/>
  <c r="E1490" i="55"/>
  <c r="B1490" i="55"/>
  <c r="H1489" i="55"/>
  <c r="B1489" i="55"/>
  <c r="H1488" i="55"/>
  <c r="B1488" i="55"/>
  <c r="H1487" i="55"/>
  <c r="B1487" i="55"/>
  <c r="H1486" i="55"/>
  <c r="E1486" i="55"/>
  <c r="B1486" i="55"/>
  <c r="H1485" i="55"/>
  <c r="B1485" i="55"/>
  <c r="H1484" i="55"/>
  <c r="B1484" i="55"/>
  <c r="H1483" i="55"/>
  <c r="B1483" i="55"/>
  <c r="H1482" i="55"/>
  <c r="E1482" i="55"/>
  <c r="B1482" i="55"/>
  <c r="H1481" i="55"/>
  <c r="B1481" i="55"/>
  <c r="H1480" i="55"/>
  <c r="B1480" i="55"/>
  <c r="H1479" i="55"/>
  <c r="B1479" i="55"/>
  <c r="H1478" i="55"/>
  <c r="E1478" i="55"/>
  <c r="B1478" i="55"/>
  <c r="H1477" i="55"/>
  <c r="B1477" i="55"/>
  <c r="H1476" i="55"/>
  <c r="B1476" i="55"/>
  <c r="H1475" i="55"/>
  <c r="B1475" i="55"/>
  <c r="H1474" i="55"/>
  <c r="E1474" i="55"/>
  <c r="B1474" i="55"/>
  <c r="H1473" i="55"/>
  <c r="B1473" i="55"/>
  <c r="H1472" i="55"/>
  <c r="B1472" i="55"/>
  <c r="H1471" i="55"/>
  <c r="B1471" i="55"/>
  <c r="H1470" i="55"/>
  <c r="E1470" i="55"/>
  <c r="B1470" i="55"/>
  <c r="H1469" i="55"/>
  <c r="B1469" i="55"/>
  <c r="H1468" i="55"/>
  <c r="B1468" i="55"/>
  <c r="H1467" i="55"/>
  <c r="B1467" i="55"/>
  <c r="H1466" i="55"/>
  <c r="E1466" i="55"/>
  <c r="B1466" i="55"/>
  <c r="H1465" i="55"/>
  <c r="B1465" i="55"/>
  <c r="H1464" i="55"/>
  <c r="B1464" i="55"/>
  <c r="H1463" i="55"/>
  <c r="B1463" i="55"/>
  <c r="H1462" i="55"/>
  <c r="E1462" i="55"/>
  <c r="B1462" i="55"/>
  <c r="H1461" i="55"/>
  <c r="B1461" i="55"/>
  <c r="H1460" i="55"/>
  <c r="B1460" i="55"/>
  <c r="H1459" i="55"/>
  <c r="B1459" i="55"/>
  <c r="H1458" i="55"/>
  <c r="E1458" i="55"/>
  <c r="B1458" i="55"/>
  <c r="H1457" i="55"/>
  <c r="B1457" i="55"/>
  <c r="H1456" i="55"/>
  <c r="B1456" i="55"/>
  <c r="H1455" i="55"/>
  <c r="B1455" i="55"/>
  <c r="H1454" i="55"/>
  <c r="E1454" i="55"/>
  <c r="B1454" i="55"/>
  <c r="H1453" i="55"/>
  <c r="B1453" i="55"/>
  <c r="H1452" i="55"/>
  <c r="B1452" i="55"/>
  <c r="H1451" i="55"/>
  <c r="B1451" i="55"/>
  <c r="H1450" i="55"/>
  <c r="E1450" i="55"/>
  <c r="B1450" i="55"/>
  <c r="H1449" i="55"/>
  <c r="B1449" i="55"/>
  <c r="H1448" i="55"/>
  <c r="B1448" i="55"/>
  <c r="H1447" i="55"/>
  <c r="E1447" i="55"/>
  <c r="B1447" i="55"/>
  <c r="H1446" i="55"/>
  <c r="B1446" i="55"/>
  <c r="H1445" i="55"/>
  <c r="B1445" i="55"/>
  <c r="H1444" i="55"/>
  <c r="E1444" i="55"/>
  <c r="B1444" i="55"/>
  <c r="H1443" i="55"/>
  <c r="B1443" i="55"/>
  <c r="H1442" i="55"/>
  <c r="B1442" i="55"/>
  <c r="H1441" i="55"/>
  <c r="E1441" i="55"/>
  <c r="B1441" i="55"/>
  <c r="H1440" i="55"/>
  <c r="B1440" i="55"/>
  <c r="H1439" i="55"/>
  <c r="B1439" i="55"/>
  <c r="H1438" i="55"/>
  <c r="E1438" i="55"/>
  <c r="B1438" i="55"/>
  <c r="H1437" i="55"/>
  <c r="B1437" i="55"/>
  <c r="H1436" i="55"/>
  <c r="B1436" i="55"/>
  <c r="H1435" i="55"/>
  <c r="E1435" i="55"/>
  <c r="B1435" i="55"/>
  <c r="H1434" i="55"/>
  <c r="B1434" i="55"/>
  <c r="H1433" i="55"/>
  <c r="B1433" i="55"/>
  <c r="H1432" i="55"/>
  <c r="E1432" i="55"/>
  <c r="B1432" i="55"/>
  <c r="B1431" i="55"/>
  <c r="B1430" i="55"/>
  <c r="B1429" i="55"/>
  <c r="B1428" i="55"/>
  <c r="B1427" i="55"/>
  <c r="H1426" i="55"/>
  <c r="B1426" i="55"/>
  <c r="H1425" i="55"/>
  <c r="B1425" i="55"/>
  <c r="H1424" i="55"/>
  <c r="E1424" i="55"/>
  <c r="B1424" i="55"/>
  <c r="B1423" i="55"/>
  <c r="B1422" i="55"/>
  <c r="B1421" i="55"/>
  <c r="B1420" i="55"/>
  <c r="B1419" i="55"/>
  <c r="H1418" i="55"/>
  <c r="B1418" i="55"/>
  <c r="H1417" i="55"/>
  <c r="B1417" i="55"/>
  <c r="H1416" i="55"/>
  <c r="E1416" i="55"/>
  <c r="B1416" i="55"/>
  <c r="B1415" i="55"/>
  <c r="B1414" i="55"/>
  <c r="B1413" i="55"/>
  <c r="B1412" i="55"/>
  <c r="B1411" i="55"/>
  <c r="H1410" i="55"/>
  <c r="B1410" i="55"/>
  <c r="H1409" i="55"/>
  <c r="B1409" i="55"/>
  <c r="H1408" i="55"/>
  <c r="E1408" i="55"/>
  <c r="B1408" i="55"/>
  <c r="B1407" i="55"/>
  <c r="B1406" i="55"/>
  <c r="B1405" i="55"/>
  <c r="B1404" i="55"/>
  <c r="B1403" i="55"/>
  <c r="H1402" i="55"/>
  <c r="B1402" i="55"/>
  <c r="H1401" i="55"/>
  <c r="B1401" i="55"/>
  <c r="H1400" i="55"/>
  <c r="E1400" i="55"/>
  <c r="B1400" i="55"/>
  <c r="B1399" i="55"/>
  <c r="B1398" i="55"/>
  <c r="B1397" i="55"/>
  <c r="B1396" i="55"/>
  <c r="B1395" i="55"/>
  <c r="H1394" i="55"/>
  <c r="B1394" i="55"/>
  <c r="H1393" i="55"/>
  <c r="B1393" i="55"/>
  <c r="H1392" i="55"/>
  <c r="E1392" i="55"/>
  <c r="B1392" i="55"/>
  <c r="H1391" i="55"/>
  <c r="B1391" i="55"/>
  <c r="B1390" i="55"/>
  <c r="B1389" i="55"/>
  <c r="B1388" i="55"/>
  <c r="B1387" i="55"/>
  <c r="B1386" i="55"/>
  <c r="H1385" i="55"/>
  <c r="B1385" i="55"/>
  <c r="H1384" i="55"/>
  <c r="E1384" i="55"/>
  <c r="B1384" i="55"/>
  <c r="H1383" i="55"/>
  <c r="B1383" i="55"/>
  <c r="H1382" i="55"/>
  <c r="E1382" i="55"/>
  <c r="B1382" i="55"/>
  <c r="H1381" i="55"/>
  <c r="B1381" i="55"/>
  <c r="H1380" i="55"/>
  <c r="E1380" i="55"/>
  <c r="B1380" i="55"/>
  <c r="H1379" i="55"/>
  <c r="B1379" i="55"/>
  <c r="H1378" i="55"/>
  <c r="E1378" i="55"/>
  <c r="B1378" i="55"/>
  <c r="H1377" i="55"/>
  <c r="B1377" i="55"/>
  <c r="H1376" i="55"/>
  <c r="E1376" i="55"/>
  <c r="B1376" i="55"/>
  <c r="H1375" i="55"/>
  <c r="B1375" i="55"/>
  <c r="H1374" i="55"/>
  <c r="E1374" i="55"/>
  <c r="B1374" i="55"/>
  <c r="H1373" i="55"/>
  <c r="B1373" i="55"/>
  <c r="H1372" i="55"/>
  <c r="E1372" i="55"/>
  <c r="B1372" i="55"/>
  <c r="H1371" i="55"/>
  <c r="B1371" i="55"/>
  <c r="H1370" i="55"/>
  <c r="B1370" i="55"/>
  <c r="H1369" i="55"/>
  <c r="E1369" i="55"/>
  <c r="B1369" i="55"/>
  <c r="H1368" i="55"/>
  <c r="B1368" i="55"/>
  <c r="H1367" i="55"/>
  <c r="B1367" i="55"/>
  <c r="H1366" i="55"/>
  <c r="E1366" i="55"/>
  <c r="B1366" i="55"/>
  <c r="H1365" i="55"/>
  <c r="B1365" i="55"/>
  <c r="H1364" i="55"/>
  <c r="B1364" i="55"/>
  <c r="H1363" i="55"/>
  <c r="E1363" i="55"/>
  <c r="B1363" i="55"/>
  <c r="H1362" i="55"/>
  <c r="B1362" i="55"/>
  <c r="H1361" i="55"/>
  <c r="B1361" i="55"/>
  <c r="H1360" i="55"/>
  <c r="E1360" i="55"/>
  <c r="B1360" i="55"/>
  <c r="H1359" i="55"/>
  <c r="B1359" i="55"/>
  <c r="H1358" i="55"/>
  <c r="B1358" i="55"/>
  <c r="H1357" i="55"/>
  <c r="E1357" i="55"/>
  <c r="B1357" i="55"/>
  <c r="H1356" i="55"/>
  <c r="B1356" i="55"/>
  <c r="H1355" i="55"/>
  <c r="B1355" i="55"/>
  <c r="H1354" i="55"/>
  <c r="E1354" i="55"/>
  <c r="B1354" i="55"/>
  <c r="H1353" i="55"/>
  <c r="B1353" i="55"/>
  <c r="H1352" i="55"/>
  <c r="B1352" i="55"/>
  <c r="H1351" i="55"/>
  <c r="B1351" i="55"/>
  <c r="H1350" i="55"/>
  <c r="B1350" i="55"/>
  <c r="H1349" i="55"/>
  <c r="B1349" i="55"/>
  <c r="H1348" i="55"/>
  <c r="B1348" i="55"/>
  <c r="H1347" i="55"/>
  <c r="E1347" i="55"/>
  <c r="B1347" i="55"/>
  <c r="H1346" i="55"/>
  <c r="B1346" i="55"/>
  <c r="H1345" i="55"/>
  <c r="B1345" i="55"/>
  <c r="H1344" i="55"/>
  <c r="B1344" i="55"/>
  <c r="H1343" i="55"/>
  <c r="B1343" i="55"/>
  <c r="H1342" i="55"/>
  <c r="B1342" i="55"/>
  <c r="H1341" i="55"/>
  <c r="B1341" i="55"/>
  <c r="H1340" i="55"/>
  <c r="E1340" i="55"/>
  <c r="B1340" i="55"/>
  <c r="H1339" i="55"/>
  <c r="B1339" i="55"/>
  <c r="H1338" i="55"/>
  <c r="B1338" i="55"/>
  <c r="H1337" i="55"/>
  <c r="B1337" i="55"/>
  <c r="H1336" i="55"/>
  <c r="B1336" i="55"/>
  <c r="H1335" i="55"/>
  <c r="B1335" i="55"/>
  <c r="H1334" i="55"/>
  <c r="B1334" i="55"/>
  <c r="H1333" i="55"/>
  <c r="E1333" i="55"/>
  <c r="B1333" i="55"/>
  <c r="H1332" i="55"/>
  <c r="B1332" i="55"/>
  <c r="H1331" i="55"/>
  <c r="B1331" i="55"/>
  <c r="H1330" i="55"/>
  <c r="B1330" i="55"/>
  <c r="H1329" i="55"/>
  <c r="B1329" i="55"/>
  <c r="H1328" i="55"/>
  <c r="B1328" i="55"/>
  <c r="H1327" i="55"/>
  <c r="B1327" i="55"/>
  <c r="H1326" i="55"/>
  <c r="E1326" i="55"/>
  <c r="B1326" i="55"/>
  <c r="H1325" i="55"/>
  <c r="B1325" i="55"/>
  <c r="H1324" i="55"/>
  <c r="B1324" i="55"/>
  <c r="H1323" i="55"/>
  <c r="B1323" i="55"/>
  <c r="H1322" i="55"/>
  <c r="B1322" i="55"/>
  <c r="H1321" i="55"/>
  <c r="B1321" i="55"/>
  <c r="H1320" i="55"/>
  <c r="B1320" i="55"/>
  <c r="H1319" i="55"/>
  <c r="E1319" i="55"/>
  <c r="B1319" i="55"/>
  <c r="H1318" i="55"/>
  <c r="B1318" i="55"/>
  <c r="H1317" i="55"/>
  <c r="B1317" i="55"/>
  <c r="H1316" i="55"/>
  <c r="B1316" i="55"/>
  <c r="H1315" i="55"/>
  <c r="B1315" i="55"/>
  <c r="H1314" i="55"/>
  <c r="B1314" i="55"/>
  <c r="H1313" i="55"/>
  <c r="B1313" i="55"/>
  <c r="H1312" i="55"/>
  <c r="E1312" i="55"/>
  <c r="B1312" i="55"/>
  <c r="B1311" i="55"/>
  <c r="B1310" i="55"/>
  <c r="B1309" i="55"/>
  <c r="H1308" i="55"/>
  <c r="B1308" i="55"/>
  <c r="H1307" i="55"/>
  <c r="B1307" i="55"/>
  <c r="H1306" i="55"/>
  <c r="B1306" i="55"/>
  <c r="H1305" i="55"/>
  <c r="E1305" i="55"/>
  <c r="B1305" i="55"/>
  <c r="B1304" i="55"/>
  <c r="B1303" i="55"/>
  <c r="B1302" i="55"/>
  <c r="H1301" i="55"/>
  <c r="B1301" i="55"/>
  <c r="H1300" i="55"/>
  <c r="B1300" i="55"/>
  <c r="H1299" i="55"/>
  <c r="B1299" i="55"/>
  <c r="H1298" i="55"/>
  <c r="E1298" i="55"/>
  <c r="B1298" i="55"/>
  <c r="B1297" i="55"/>
  <c r="B1296" i="55"/>
  <c r="B1295" i="55"/>
  <c r="H1294" i="55"/>
  <c r="B1294" i="55"/>
  <c r="H1293" i="55"/>
  <c r="B1293" i="55"/>
  <c r="H1292" i="55"/>
  <c r="B1292" i="55"/>
  <c r="H1291" i="55"/>
  <c r="E1291" i="55"/>
  <c r="B1291" i="55"/>
  <c r="B1290" i="55"/>
  <c r="B1289" i="55"/>
  <c r="B1288" i="55"/>
  <c r="H1287" i="55"/>
  <c r="B1287" i="55"/>
  <c r="H1286" i="55"/>
  <c r="B1286" i="55"/>
  <c r="H1285" i="55"/>
  <c r="B1285" i="55"/>
  <c r="H1284" i="55"/>
  <c r="E1284" i="55"/>
  <c r="B1284" i="55"/>
  <c r="B1283" i="55"/>
  <c r="B1282" i="55"/>
  <c r="B1281" i="55"/>
  <c r="H1280" i="55"/>
  <c r="B1280" i="55"/>
  <c r="H1279" i="55"/>
  <c r="B1279" i="55"/>
  <c r="H1278" i="55"/>
  <c r="B1278" i="55"/>
  <c r="H1277" i="55"/>
  <c r="E1277" i="55"/>
  <c r="B1277" i="55"/>
  <c r="B1276" i="55"/>
  <c r="B1275" i="55"/>
  <c r="B1274" i="55"/>
  <c r="H1273" i="55"/>
  <c r="B1273" i="55"/>
  <c r="H1272" i="55"/>
  <c r="B1272" i="55"/>
  <c r="H1271" i="55"/>
  <c r="B1271" i="55"/>
  <c r="H1270" i="55"/>
  <c r="E1270" i="55"/>
  <c r="B1270" i="55"/>
  <c r="H1269" i="55"/>
  <c r="B1269" i="55"/>
  <c r="H1268" i="55"/>
  <c r="B1268" i="55"/>
  <c r="H1267" i="55"/>
  <c r="B1267" i="55"/>
  <c r="H1266" i="55"/>
  <c r="B1266" i="55"/>
  <c r="H1265" i="55"/>
  <c r="B1265" i="55"/>
  <c r="H1264" i="55"/>
  <c r="E1264" i="55"/>
  <c r="B1264" i="55"/>
  <c r="H1263" i="55"/>
  <c r="B1263" i="55"/>
  <c r="H1262" i="55"/>
  <c r="B1262" i="55"/>
  <c r="H1261" i="55"/>
  <c r="B1261" i="55"/>
  <c r="H1260" i="55"/>
  <c r="B1260" i="55"/>
  <c r="H1259" i="55"/>
  <c r="B1259" i="55"/>
  <c r="H1258" i="55"/>
  <c r="E1258" i="55"/>
  <c r="B1258" i="55"/>
  <c r="H1257" i="55"/>
  <c r="B1257" i="55"/>
  <c r="H1256" i="55"/>
  <c r="B1256" i="55"/>
  <c r="H1255" i="55"/>
  <c r="B1255" i="55"/>
  <c r="H1254" i="55"/>
  <c r="B1254" i="55"/>
  <c r="H1253" i="55"/>
  <c r="B1253" i="55"/>
  <c r="H1252" i="55"/>
  <c r="E1252" i="55"/>
  <c r="B1252" i="55"/>
  <c r="H1251" i="55"/>
  <c r="B1251" i="55"/>
  <c r="H1250" i="55"/>
  <c r="B1250" i="55"/>
  <c r="H1249" i="55"/>
  <c r="B1249" i="55"/>
  <c r="H1248" i="55"/>
  <c r="B1248" i="55"/>
  <c r="H1247" i="55"/>
  <c r="B1247" i="55"/>
  <c r="H1246" i="55"/>
  <c r="E1246" i="55"/>
  <c r="B1246" i="55"/>
  <c r="H1245" i="55"/>
  <c r="B1245" i="55"/>
  <c r="H1244" i="55"/>
  <c r="B1244" i="55"/>
  <c r="H1243" i="55"/>
  <c r="B1243" i="55"/>
  <c r="H1242" i="55"/>
  <c r="B1242" i="55"/>
  <c r="H1241" i="55"/>
  <c r="B1241" i="55"/>
  <c r="H1240" i="55"/>
  <c r="E1240" i="55"/>
  <c r="B1240" i="55"/>
  <c r="H1239" i="55"/>
  <c r="B1239" i="55"/>
  <c r="H1238" i="55"/>
  <c r="B1238" i="55"/>
  <c r="H1237" i="55"/>
  <c r="B1237" i="55"/>
  <c r="H1236" i="55"/>
  <c r="B1236" i="55"/>
  <c r="H1235" i="55"/>
  <c r="B1235" i="55"/>
  <c r="H1234" i="55"/>
  <c r="E1234" i="55"/>
  <c r="B1234" i="55"/>
  <c r="H1233" i="55"/>
  <c r="B1233" i="55"/>
  <c r="H1232" i="55"/>
  <c r="B1232" i="55"/>
  <c r="H1231" i="55"/>
  <c r="B1231" i="55"/>
  <c r="H1230" i="55"/>
  <c r="B1230" i="55"/>
  <c r="H1229" i="55"/>
  <c r="E1229" i="55"/>
  <c r="B1229" i="55"/>
  <c r="H1228" i="55"/>
  <c r="B1228" i="55"/>
  <c r="H1227" i="55"/>
  <c r="B1227" i="55"/>
  <c r="H1226" i="55"/>
  <c r="B1226" i="55"/>
  <c r="H1225" i="55"/>
  <c r="B1225" i="55"/>
  <c r="H1224" i="55"/>
  <c r="E1224" i="55"/>
  <c r="B1224" i="55"/>
  <c r="H1223" i="55"/>
  <c r="B1223" i="55"/>
  <c r="H1222" i="55"/>
  <c r="B1222" i="55"/>
  <c r="H1221" i="55"/>
  <c r="B1221" i="55"/>
  <c r="H1220" i="55"/>
  <c r="B1220" i="55"/>
  <c r="H1219" i="55"/>
  <c r="E1219" i="55"/>
  <c r="B1219" i="55"/>
  <c r="H1218" i="55"/>
  <c r="B1218" i="55"/>
  <c r="H1217" i="55"/>
  <c r="B1217" i="55"/>
  <c r="H1216" i="55"/>
  <c r="B1216" i="55"/>
  <c r="H1215" i="55"/>
  <c r="B1215" i="55"/>
  <c r="H1214" i="55"/>
  <c r="E1214" i="55"/>
  <c r="B1214" i="55"/>
  <c r="H1213" i="55"/>
  <c r="B1213" i="55"/>
  <c r="H1212" i="55"/>
  <c r="B1212" i="55"/>
  <c r="H1211" i="55"/>
  <c r="B1211" i="55"/>
  <c r="H1210" i="55"/>
  <c r="B1210" i="55"/>
  <c r="H1209" i="55"/>
  <c r="E1209" i="55"/>
  <c r="B1209" i="55"/>
  <c r="H1208" i="55"/>
  <c r="B1208" i="55"/>
  <c r="H1207" i="55"/>
  <c r="B1207" i="55"/>
  <c r="H1206" i="55"/>
  <c r="B1206" i="55"/>
  <c r="H1205" i="55"/>
  <c r="B1205" i="55"/>
  <c r="H1204" i="55"/>
  <c r="E1204" i="55"/>
  <c r="B1204" i="55"/>
  <c r="H1203" i="55"/>
  <c r="B1203" i="55"/>
  <c r="H1202" i="55"/>
  <c r="B1202" i="55"/>
  <c r="H1201" i="55"/>
  <c r="B1201" i="55"/>
  <c r="H1200" i="55"/>
  <c r="B1200" i="55"/>
  <c r="H1199" i="55"/>
  <c r="B1199" i="55"/>
  <c r="H1198" i="55"/>
  <c r="E1198" i="55"/>
  <c r="B1198" i="55"/>
  <c r="H1197" i="55"/>
  <c r="B1197" i="55"/>
  <c r="H1196" i="55"/>
  <c r="B1196" i="55"/>
  <c r="H1195" i="55"/>
  <c r="B1195" i="55"/>
  <c r="H1194" i="55"/>
  <c r="B1194" i="55"/>
  <c r="H1193" i="55"/>
  <c r="B1193" i="55"/>
  <c r="H1192" i="55"/>
  <c r="E1192" i="55"/>
  <c r="B1192" i="55"/>
  <c r="H1191" i="55"/>
  <c r="B1191" i="55"/>
  <c r="H1190" i="55"/>
  <c r="B1190" i="55"/>
  <c r="H1189" i="55"/>
  <c r="B1189" i="55"/>
  <c r="H1188" i="55"/>
  <c r="B1188" i="55"/>
  <c r="H1187" i="55"/>
  <c r="B1187" i="55"/>
  <c r="H1186" i="55"/>
  <c r="E1186" i="55"/>
  <c r="B1186" i="55"/>
  <c r="H1185" i="55"/>
  <c r="B1185" i="55"/>
  <c r="H1184" i="55"/>
  <c r="B1184" i="55"/>
  <c r="H1183" i="55"/>
  <c r="B1183" i="55"/>
  <c r="H1182" i="55"/>
  <c r="B1182" i="55"/>
  <c r="H1181" i="55"/>
  <c r="B1181" i="55"/>
  <c r="H1180" i="55"/>
  <c r="E1180" i="55"/>
  <c r="B1180" i="55"/>
  <c r="H1179" i="55"/>
  <c r="B1179" i="55"/>
  <c r="H1178" i="55"/>
  <c r="B1178" i="55"/>
  <c r="H1177" i="55"/>
  <c r="B1177" i="55"/>
  <c r="H1176" i="55"/>
  <c r="B1176" i="55"/>
  <c r="H1175" i="55"/>
  <c r="B1175" i="55"/>
  <c r="H1174" i="55"/>
  <c r="E1174" i="55"/>
  <c r="B1174" i="55"/>
  <c r="H1173" i="55"/>
  <c r="B1173" i="55"/>
  <c r="H1172" i="55"/>
  <c r="B1172" i="55"/>
  <c r="H1171" i="55"/>
  <c r="B1171" i="55"/>
  <c r="H1170" i="55"/>
  <c r="B1170" i="55"/>
  <c r="H1169" i="55"/>
  <c r="B1169" i="55"/>
  <c r="H1168" i="55"/>
  <c r="E1168" i="55"/>
  <c r="B1168" i="55"/>
  <c r="H1167" i="55"/>
  <c r="B1167" i="55"/>
  <c r="H1166" i="55"/>
  <c r="B1166" i="55"/>
  <c r="H1165" i="55"/>
  <c r="B1165" i="55"/>
  <c r="H1164" i="55"/>
  <c r="B1164" i="55"/>
  <c r="H1163" i="55"/>
  <c r="B1163" i="55"/>
  <c r="H1162" i="55"/>
  <c r="E1162" i="55"/>
  <c r="B1162" i="55"/>
  <c r="H1161" i="55"/>
  <c r="B1161" i="55"/>
  <c r="H1160" i="55"/>
  <c r="B1160" i="55"/>
  <c r="H1159" i="55"/>
  <c r="B1159" i="55"/>
  <c r="H1158" i="55"/>
  <c r="B1158" i="55"/>
  <c r="H1157" i="55"/>
  <c r="B1157" i="55"/>
  <c r="H1156" i="55"/>
  <c r="E1156" i="55"/>
  <c r="B1156" i="55"/>
  <c r="H1155" i="55"/>
  <c r="B1155" i="55"/>
  <c r="H1154" i="55"/>
  <c r="B1154" i="55"/>
  <c r="H1153" i="55"/>
  <c r="B1153" i="55"/>
  <c r="H1152" i="55"/>
  <c r="B1152" i="55"/>
  <c r="H1151" i="55"/>
  <c r="B1151" i="55"/>
  <c r="H1150" i="55"/>
  <c r="E1150" i="55"/>
  <c r="B1150" i="55"/>
  <c r="H1149" i="55"/>
  <c r="B1149" i="55"/>
  <c r="H1148" i="55"/>
  <c r="B1148" i="55"/>
  <c r="H1147" i="55"/>
  <c r="B1147" i="55"/>
  <c r="H1146" i="55"/>
  <c r="B1146" i="55"/>
  <c r="H1145" i="55"/>
  <c r="B1145" i="55"/>
  <c r="H1144" i="55"/>
  <c r="E1144" i="55"/>
  <c r="B1144" i="55"/>
  <c r="H1143" i="55"/>
  <c r="B1143" i="55"/>
  <c r="H1142" i="55"/>
  <c r="B1142" i="55"/>
  <c r="H1141" i="55"/>
  <c r="B1141" i="55"/>
  <c r="H1140" i="55"/>
  <c r="B1140" i="55"/>
  <c r="H1139" i="55"/>
  <c r="B1139" i="55"/>
  <c r="H1138" i="55"/>
  <c r="E1138" i="55"/>
  <c r="B1138" i="55"/>
  <c r="H1137" i="55"/>
  <c r="B1137" i="55"/>
  <c r="H1136" i="55"/>
  <c r="B1136" i="55"/>
  <c r="H1135" i="55"/>
  <c r="B1135" i="55"/>
  <c r="H1134" i="55"/>
  <c r="B1134" i="55"/>
  <c r="H1133" i="55"/>
  <c r="B1133" i="55"/>
  <c r="H1132" i="55"/>
  <c r="E1132" i="55"/>
  <c r="B1132" i="55"/>
  <c r="H1131" i="55"/>
  <c r="B1131" i="55"/>
  <c r="H1130" i="55"/>
  <c r="B1130" i="55"/>
  <c r="H1129" i="55"/>
  <c r="B1129" i="55"/>
  <c r="H1128" i="55"/>
  <c r="B1128" i="55"/>
  <c r="H1127" i="55"/>
  <c r="E1127" i="55"/>
  <c r="B1127" i="55"/>
  <c r="H1126" i="55"/>
  <c r="B1126" i="55"/>
  <c r="H1125" i="55"/>
  <c r="B1125" i="55"/>
  <c r="H1124" i="55"/>
  <c r="B1124" i="55"/>
  <c r="H1123" i="55"/>
  <c r="B1123" i="55"/>
  <c r="H1122" i="55"/>
  <c r="E1122" i="55"/>
  <c r="B1122" i="55"/>
  <c r="H1121" i="55"/>
  <c r="B1121" i="55"/>
  <c r="H1120" i="55"/>
  <c r="B1120" i="55"/>
  <c r="H1119" i="55"/>
  <c r="B1119" i="55"/>
  <c r="H1118" i="55"/>
  <c r="B1118" i="55"/>
  <c r="H1117" i="55"/>
  <c r="E1117" i="55"/>
  <c r="B1117" i="55"/>
  <c r="H1116" i="55"/>
  <c r="B1116" i="55"/>
  <c r="H1115" i="55"/>
  <c r="B1115" i="55"/>
  <c r="H1114" i="55"/>
  <c r="B1114" i="55"/>
  <c r="H1113" i="55"/>
  <c r="B1113" i="55"/>
  <c r="H1112" i="55"/>
  <c r="E1112" i="55"/>
  <c r="B1112" i="55"/>
  <c r="H1111" i="55"/>
  <c r="B1111" i="55"/>
  <c r="H1110" i="55"/>
  <c r="B1110" i="55"/>
  <c r="H1109" i="55"/>
  <c r="B1109" i="55"/>
  <c r="H1108" i="55"/>
  <c r="B1108" i="55"/>
  <c r="H1107" i="55"/>
  <c r="E1107" i="55"/>
  <c r="B1107" i="55"/>
  <c r="H1106" i="55"/>
  <c r="B1106" i="55"/>
  <c r="H1105" i="55"/>
  <c r="B1105" i="55"/>
  <c r="H1104" i="55"/>
  <c r="B1104" i="55"/>
  <c r="H1103" i="55"/>
  <c r="B1103" i="55"/>
  <c r="H1102" i="55"/>
  <c r="E1102" i="55"/>
  <c r="B1102" i="55"/>
  <c r="H1101" i="55"/>
  <c r="B1101" i="55"/>
  <c r="H1100" i="55"/>
  <c r="B1100" i="55"/>
  <c r="H1099" i="55"/>
  <c r="B1099" i="55"/>
  <c r="H1098" i="55"/>
  <c r="B1098" i="55"/>
  <c r="H1097" i="55"/>
  <c r="B1097" i="55"/>
  <c r="H1096" i="55"/>
  <c r="E1096" i="55"/>
  <c r="B1096" i="55"/>
  <c r="H1095" i="55"/>
  <c r="B1095" i="55"/>
  <c r="H1094" i="55"/>
  <c r="B1094" i="55"/>
  <c r="H1093" i="55"/>
  <c r="B1093" i="55"/>
  <c r="H1092" i="55"/>
  <c r="B1092" i="55"/>
  <c r="H1091" i="55"/>
  <c r="B1091" i="55"/>
  <c r="H1090" i="55"/>
  <c r="E1090" i="55"/>
  <c r="B1090" i="55"/>
  <c r="H1089" i="55"/>
  <c r="B1089" i="55"/>
  <c r="H1088" i="55"/>
  <c r="B1088" i="55"/>
  <c r="H1087" i="55"/>
  <c r="B1087" i="55"/>
  <c r="H1086" i="55"/>
  <c r="B1086" i="55"/>
  <c r="H1085" i="55"/>
  <c r="B1085" i="55"/>
  <c r="H1084" i="55"/>
  <c r="E1084" i="55"/>
  <c r="B1084" i="55"/>
  <c r="H1083" i="55"/>
  <c r="B1083" i="55"/>
  <c r="H1082" i="55"/>
  <c r="B1082" i="55"/>
  <c r="H1081" i="55"/>
  <c r="B1081" i="55"/>
  <c r="H1080" i="55"/>
  <c r="B1080" i="55"/>
  <c r="H1079" i="55"/>
  <c r="B1079" i="55"/>
  <c r="H1078" i="55"/>
  <c r="E1078" i="55"/>
  <c r="B1078" i="55"/>
  <c r="H1077" i="55"/>
  <c r="B1077" i="55"/>
  <c r="H1076" i="55"/>
  <c r="B1076" i="55"/>
  <c r="H1075" i="55"/>
  <c r="B1075" i="55"/>
  <c r="H1074" i="55"/>
  <c r="B1074" i="55"/>
  <c r="H1073" i="55"/>
  <c r="B1073" i="55"/>
  <c r="H1072" i="55"/>
  <c r="E1072" i="55"/>
  <c r="B1072" i="55"/>
  <c r="H1071" i="55"/>
  <c r="B1071" i="55"/>
  <c r="H1070" i="55"/>
  <c r="B1070" i="55"/>
  <c r="H1069" i="55"/>
  <c r="B1069" i="55"/>
  <c r="H1068" i="55"/>
  <c r="B1068" i="55"/>
  <c r="H1067" i="55"/>
  <c r="B1067" i="55"/>
  <c r="B1065" i="55"/>
  <c r="B1064" i="55"/>
  <c r="B1063" i="55"/>
  <c r="B1062" i="55"/>
  <c r="B1061" i="55"/>
  <c r="B1060" i="55"/>
  <c r="B1059" i="55"/>
  <c r="B1058" i="55"/>
  <c r="B1057" i="55"/>
  <c r="B1056" i="55"/>
  <c r="B1055" i="55"/>
  <c r="B1054" i="55"/>
  <c r="B1053" i="55"/>
  <c r="B1052" i="55"/>
  <c r="B1051" i="55"/>
  <c r="B1050" i="55"/>
  <c r="B1048" i="55"/>
  <c r="B1047" i="55"/>
  <c r="B1046" i="55"/>
  <c r="B1045" i="55"/>
  <c r="B1044" i="55"/>
  <c r="B1043" i="55"/>
  <c r="B1042" i="55"/>
  <c r="B1041" i="55"/>
  <c r="B1040" i="55"/>
  <c r="B1039" i="55"/>
  <c r="B1038" i="55"/>
  <c r="B1037" i="55"/>
  <c r="B1036" i="55"/>
  <c r="B1035" i="55"/>
  <c r="B1034" i="55"/>
  <c r="B1033" i="55"/>
  <c r="B1032" i="55"/>
  <c r="L17" i="10"/>
  <c r="L18" i="10"/>
  <c r="G28" i="13" s="1"/>
  <c r="M28" i="13" s="1"/>
  <c r="L19" i="10"/>
  <c r="L20" i="10"/>
  <c r="G30" i="13" s="1"/>
  <c r="L21" i="10"/>
  <c r="G31" i="13" s="1"/>
  <c r="L22" i="10"/>
  <c r="G32" i="13" s="1"/>
  <c r="L23" i="10"/>
  <c r="G33" i="13" s="1"/>
  <c r="L24" i="10"/>
  <c r="L25" i="10"/>
  <c r="G35" i="13" s="1"/>
  <c r="L26" i="10"/>
  <c r="L27" i="10"/>
  <c r="G37" i="13" s="1"/>
  <c r="L28" i="10"/>
  <c r="L29" i="10"/>
  <c r="L30" i="10"/>
  <c r="L31" i="10"/>
  <c r="G41" i="13" s="1"/>
  <c r="L32" i="10"/>
  <c r="G42" i="13" s="1"/>
  <c r="L33" i="10"/>
  <c r="G43" i="13"/>
  <c r="L34" i="10"/>
  <c r="L35" i="10"/>
  <c r="G45" i="13" s="1"/>
  <c r="L36" i="10"/>
  <c r="L37" i="10"/>
  <c r="L41" i="10"/>
  <c r="L42" i="10"/>
  <c r="L43" i="10"/>
  <c r="L44" i="10"/>
  <c r="L45" i="10"/>
  <c r="G55" i="13" s="1"/>
  <c r="L46" i="10"/>
  <c r="G56" i="13" s="1"/>
  <c r="M47" i="10"/>
  <c r="H57" i="13" s="1"/>
  <c r="M48" i="10"/>
  <c r="H58" i="13" s="1"/>
  <c r="M49" i="10"/>
  <c r="H59" i="13" s="1"/>
  <c r="M50" i="10"/>
  <c r="H60" i="13" s="1"/>
  <c r="M51" i="10"/>
  <c r="H61" i="13" s="1"/>
  <c r="L52" i="10"/>
  <c r="M53" i="10"/>
  <c r="H63" i="13" s="1"/>
  <c r="M54" i="10"/>
  <c r="M56" i="10"/>
  <c r="M55" i="10"/>
  <c r="H65" i="13" s="1"/>
  <c r="M57" i="10"/>
  <c r="L58" i="10"/>
  <c r="U17" i="10"/>
  <c r="J27" i="13" s="1"/>
  <c r="U18" i="10"/>
  <c r="J28" i="13" s="1"/>
  <c r="U19" i="10"/>
  <c r="J29" i="13" s="1"/>
  <c r="U20" i="10"/>
  <c r="J30" i="13" s="1"/>
  <c r="U21" i="10"/>
  <c r="U22" i="10"/>
  <c r="J32" i="13" s="1"/>
  <c r="U23" i="10"/>
  <c r="U24" i="10"/>
  <c r="U25" i="10"/>
  <c r="X25" i="10" s="1"/>
  <c r="U26" i="10"/>
  <c r="J36" i="13"/>
  <c r="U27" i="10"/>
  <c r="U28" i="10"/>
  <c r="J38" i="13" s="1"/>
  <c r="U29" i="10"/>
  <c r="J39" i="13"/>
  <c r="U30" i="10"/>
  <c r="J40" i="13" s="1"/>
  <c r="U31" i="10"/>
  <c r="U32" i="10"/>
  <c r="J42" i="13" s="1"/>
  <c r="U33" i="10"/>
  <c r="J43" i="13" s="1"/>
  <c r="U34" i="10"/>
  <c r="U35" i="10"/>
  <c r="J45" i="13" s="1"/>
  <c r="U36" i="10"/>
  <c r="J46" i="13" s="1"/>
  <c r="U37" i="10"/>
  <c r="U41" i="10"/>
  <c r="J51" i="13" s="1"/>
  <c r="U42" i="10"/>
  <c r="J52" i="13" s="1"/>
  <c r="U43" i="10"/>
  <c r="J53" i="13" s="1"/>
  <c r="U44" i="10"/>
  <c r="J54" i="13" s="1"/>
  <c r="U45" i="10"/>
  <c r="J55" i="13" s="1"/>
  <c r="U46" i="10"/>
  <c r="X46" i="10" s="1"/>
  <c r="V47" i="10"/>
  <c r="V48" i="10"/>
  <c r="K58" i="13" s="1"/>
  <c r="V49" i="10"/>
  <c r="K59" i="13" s="1"/>
  <c r="V50" i="10"/>
  <c r="K60" i="13" s="1"/>
  <c r="V51" i="10"/>
  <c r="K61" i="13" s="1"/>
  <c r="U52" i="10"/>
  <c r="J62" i="13"/>
  <c r="DH62" i="13" s="1"/>
  <c r="V53" i="10"/>
  <c r="Y53" i="10" s="1"/>
  <c r="K63" i="13"/>
  <c r="V54" i="10"/>
  <c r="V56" i="10"/>
  <c r="V55" i="10"/>
  <c r="V57" i="10"/>
  <c r="K67" i="13" s="1"/>
  <c r="U58" i="10"/>
  <c r="J68" i="13" s="1"/>
  <c r="B1031" i="55"/>
  <c r="B1030" i="55"/>
  <c r="B1029" i="55"/>
  <c r="B1028" i="55"/>
  <c r="B1027" i="55"/>
  <c r="B1026" i="55"/>
  <c r="B1025" i="55"/>
  <c r="B1024" i="55"/>
  <c r="B1023" i="55"/>
  <c r="B1022" i="55"/>
  <c r="B1021" i="55"/>
  <c r="B1020" i="55"/>
  <c r="B1019" i="55"/>
  <c r="B1018" i="55"/>
  <c r="B1017" i="55"/>
  <c r="B1016" i="55"/>
  <c r="B1015" i="55"/>
  <c r="B1014" i="55"/>
  <c r="B1013" i="55"/>
  <c r="B1012" i="55"/>
  <c r="B1011" i="55"/>
  <c r="B1010" i="55"/>
  <c r="B1009" i="55"/>
  <c r="B1008" i="55"/>
  <c r="B1007" i="55"/>
  <c r="B1006" i="55"/>
  <c r="B1005" i="55"/>
  <c r="B1004" i="55"/>
  <c r="B1003" i="55"/>
  <c r="B1002" i="55"/>
  <c r="B1001" i="55"/>
  <c r="E999" i="55"/>
  <c r="B999" i="55"/>
  <c r="E998" i="55"/>
  <c r="B998" i="55"/>
  <c r="B997" i="55"/>
  <c r="E996" i="55"/>
  <c r="B996" i="55"/>
  <c r="E995" i="55"/>
  <c r="B995" i="55"/>
  <c r="E994" i="55"/>
  <c r="B994" i="55"/>
  <c r="E993" i="55"/>
  <c r="B993" i="55"/>
  <c r="B992" i="55"/>
  <c r="H875" i="55"/>
  <c r="F875" i="55"/>
  <c r="B875" i="55"/>
  <c r="H874" i="55"/>
  <c r="F874" i="55"/>
  <c r="B874" i="55"/>
  <c r="B873" i="55"/>
  <c r="B872" i="55"/>
  <c r="H871" i="55"/>
  <c r="F871" i="55"/>
  <c r="B871" i="55"/>
  <c r="H870" i="55"/>
  <c r="F870" i="55"/>
  <c r="B870" i="55"/>
  <c r="H869" i="55"/>
  <c r="F869" i="55"/>
  <c r="B869" i="55"/>
  <c r="H868" i="55"/>
  <c r="F868" i="55"/>
  <c r="B868" i="55"/>
  <c r="H867" i="55"/>
  <c r="F867" i="55"/>
  <c r="B867" i="55"/>
  <c r="H866" i="55"/>
  <c r="F866" i="55"/>
  <c r="B866" i="55"/>
  <c r="H865" i="55"/>
  <c r="F865" i="55"/>
  <c r="B865" i="55"/>
  <c r="H864" i="55"/>
  <c r="F864" i="55"/>
  <c r="B864" i="55"/>
  <c r="H863" i="55"/>
  <c r="F863" i="55"/>
  <c r="B863" i="55"/>
  <c r="H862" i="55"/>
  <c r="F862" i="55"/>
  <c r="B862" i="55"/>
  <c r="H861" i="55"/>
  <c r="F861" i="55"/>
  <c r="B861" i="55"/>
  <c r="H860" i="55"/>
  <c r="F860" i="55"/>
  <c r="B860" i="55"/>
  <c r="H859" i="55"/>
  <c r="F859" i="55"/>
  <c r="B859" i="55"/>
  <c r="H858" i="55"/>
  <c r="F858" i="55"/>
  <c r="B858" i="55"/>
  <c r="B857" i="55"/>
  <c r="H856" i="55"/>
  <c r="F856" i="55"/>
  <c r="B856" i="55"/>
  <c r="H855" i="55"/>
  <c r="F855" i="55"/>
  <c r="B855" i="55"/>
  <c r="H854" i="55"/>
  <c r="F854" i="55"/>
  <c r="B854" i="55"/>
  <c r="H853" i="55"/>
  <c r="F853" i="55"/>
  <c r="B853" i="55"/>
  <c r="H852" i="55"/>
  <c r="F852" i="55"/>
  <c r="B852" i="55"/>
  <c r="H851" i="55"/>
  <c r="F851" i="55"/>
  <c r="B851" i="55"/>
  <c r="B850" i="55"/>
  <c r="B849" i="55"/>
  <c r="B848" i="55"/>
  <c r="B847" i="55"/>
  <c r="B846" i="55"/>
  <c r="B845" i="55"/>
  <c r="B844" i="55"/>
  <c r="B843" i="55"/>
  <c r="B842" i="55"/>
  <c r="B841" i="55"/>
  <c r="H840" i="55"/>
  <c r="F840" i="55"/>
  <c r="B840" i="55"/>
  <c r="H839" i="55"/>
  <c r="F839" i="55"/>
  <c r="B839" i="55"/>
  <c r="H838" i="55"/>
  <c r="F838" i="55"/>
  <c r="B838" i="55"/>
  <c r="B837" i="55"/>
  <c r="B836" i="55"/>
  <c r="B835" i="55"/>
  <c r="B834" i="55"/>
  <c r="B833" i="55"/>
  <c r="B832" i="55"/>
  <c r="B831" i="55"/>
  <c r="B830" i="55"/>
  <c r="B829" i="55"/>
  <c r="B828" i="55"/>
  <c r="H827" i="55"/>
  <c r="F827" i="55"/>
  <c r="B827" i="55"/>
  <c r="H826" i="55"/>
  <c r="F826" i="55"/>
  <c r="B826" i="55"/>
  <c r="H825" i="55"/>
  <c r="F825" i="55"/>
  <c r="B825" i="55"/>
  <c r="H824" i="55"/>
  <c r="F824" i="55"/>
  <c r="B824" i="55"/>
  <c r="H823" i="55"/>
  <c r="F823" i="55"/>
  <c r="B823" i="55"/>
  <c r="H822" i="55"/>
  <c r="F822" i="55"/>
  <c r="B822" i="55"/>
  <c r="B821" i="55"/>
  <c r="B820" i="55"/>
  <c r="B819" i="55"/>
  <c r="B818" i="55"/>
  <c r="B817" i="55"/>
  <c r="B816" i="55"/>
  <c r="B815" i="55"/>
  <c r="B814" i="55"/>
  <c r="B813" i="55"/>
  <c r="B812" i="55"/>
  <c r="H811" i="55"/>
  <c r="F811" i="55"/>
  <c r="B811" i="55"/>
  <c r="B810" i="55"/>
  <c r="B809" i="55"/>
  <c r="H808" i="55"/>
  <c r="F808" i="55"/>
  <c r="B808" i="55"/>
  <c r="B807" i="55"/>
  <c r="B806" i="55"/>
  <c r="B805" i="55"/>
  <c r="B804" i="55"/>
  <c r="B803" i="55"/>
  <c r="B802" i="55"/>
  <c r="B801" i="55"/>
  <c r="H800" i="55"/>
  <c r="F800" i="55"/>
  <c r="B800" i="55"/>
  <c r="B799" i="55"/>
  <c r="H797" i="55"/>
  <c r="F797" i="55"/>
  <c r="B797" i="55"/>
  <c r="H796" i="55"/>
  <c r="F796" i="55"/>
  <c r="B796" i="55"/>
  <c r="B795" i="55"/>
  <c r="B794" i="55"/>
  <c r="H793" i="55"/>
  <c r="F793" i="55"/>
  <c r="B793" i="55"/>
  <c r="H792" i="55"/>
  <c r="F792" i="55"/>
  <c r="B792" i="55"/>
  <c r="H791" i="55"/>
  <c r="F791" i="55"/>
  <c r="B791" i="55"/>
  <c r="H790" i="55"/>
  <c r="F790" i="55"/>
  <c r="B790" i="55"/>
  <c r="H789" i="55"/>
  <c r="F789" i="55"/>
  <c r="B789" i="55"/>
  <c r="H788" i="55"/>
  <c r="F788" i="55"/>
  <c r="B788" i="55"/>
  <c r="H787" i="55"/>
  <c r="F787" i="55"/>
  <c r="B787" i="55"/>
  <c r="H786" i="55"/>
  <c r="F786" i="55"/>
  <c r="B786" i="55"/>
  <c r="H785" i="55"/>
  <c r="F785" i="55"/>
  <c r="B785" i="55"/>
  <c r="H784" i="55"/>
  <c r="F784" i="55"/>
  <c r="B784" i="55"/>
  <c r="H783" i="55"/>
  <c r="F783" i="55"/>
  <c r="B783" i="55"/>
  <c r="H782" i="55"/>
  <c r="F782" i="55"/>
  <c r="B782" i="55"/>
  <c r="H781" i="55"/>
  <c r="F781" i="55"/>
  <c r="B781" i="55"/>
  <c r="H780" i="55"/>
  <c r="F780" i="55"/>
  <c r="B780" i="55"/>
  <c r="B779" i="55"/>
  <c r="H778" i="55"/>
  <c r="F778" i="55"/>
  <c r="B778" i="55"/>
  <c r="H777" i="55"/>
  <c r="F777" i="55"/>
  <c r="B777" i="55"/>
  <c r="H776" i="55"/>
  <c r="F776" i="55"/>
  <c r="B776" i="55"/>
  <c r="H775" i="55"/>
  <c r="F775" i="55"/>
  <c r="B775" i="55"/>
  <c r="H774" i="55"/>
  <c r="F774" i="55"/>
  <c r="B774" i="55"/>
  <c r="H773" i="55"/>
  <c r="F773" i="55"/>
  <c r="B773" i="55"/>
  <c r="B772" i="55"/>
  <c r="B771" i="55"/>
  <c r="B770" i="55"/>
  <c r="B769" i="55"/>
  <c r="B768" i="55"/>
  <c r="B767" i="55"/>
  <c r="B766" i="55"/>
  <c r="B765" i="55"/>
  <c r="B764" i="55"/>
  <c r="B763" i="55"/>
  <c r="H762" i="55"/>
  <c r="F762" i="55"/>
  <c r="B762" i="55"/>
  <c r="H761" i="55"/>
  <c r="F761" i="55"/>
  <c r="B761" i="55"/>
  <c r="H760" i="55"/>
  <c r="F760" i="55"/>
  <c r="B760" i="55"/>
  <c r="B759" i="55"/>
  <c r="B758" i="55"/>
  <c r="B757" i="55"/>
  <c r="B756" i="55"/>
  <c r="B755" i="55"/>
  <c r="B754" i="55"/>
  <c r="B753" i="55"/>
  <c r="B752" i="55"/>
  <c r="B751" i="55"/>
  <c r="B750" i="55"/>
  <c r="H749" i="55"/>
  <c r="F749" i="55"/>
  <c r="B749" i="55"/>
  <c r="H748" i="55"/>
  <c r="F748" i="55"/>
  <c r="B748" i="55"/>
  <c r="H747" i="55"/>
  <c r="F747" i="55"/>
  <c r="B747" i="55"/>
  <c r="H746" i="55"/>
  <c r="F746" i="55"/>
  <c r="B746" i="55"/>
  <c r="H745" i="55"/>
  <c r="F745" i="55"/>
  <c r="B745" i="55"/>
  <c r="H744" i="55"/>
  <c r="F744" i="55"/>
  <c r="B744" i="55"/>
  <c r="B743" i="55"/>
  <c r="B742" i="55"/>
  <c r="B741" i="55"/>
  <c r="B740" i="55"/>
  <c r="B739" i="55"/>
  <c r="B738" i="55"/>
  <c r="B737" i="55"/>
  <c r="B736" i="55"/>
  <c r="B735" i="55"/>
  <c r="B734" i="55"/>
  <c r="H733" i="55"/>
  <c r="F733" i="55"/>
  <c r="B733" i="55"/>
  <c r="B732" i="55"/>
  <c r="B731" i="55"/>
  <c r="H730" i="55"/>
  <c r="F730" i="55"/>
  <c r="B730" i="55"/>
  <c r="B729" i="55"/>
  <c r="B728" i="55"/>
  <c r="B727" i="55"/>
  <c r="B726" i="55"/>
  <c r="B725" i="55"/>
  <c r="B724" i="55"/>
  <c r="B723" i="55"/>
  <c r="H722" i="55"/>
  <c r="F722" i="55"/>
  <c r="B722" i="55"/>
  <c r="B721" i="55"/>
  <c r="H719" i="55"/>
  <c r="F719" i="55"/>
  <c r="B719" i="55"/>
  <c r="H718" i="55"/>
  <c r="F718" i="55"/>
  <c r="B718" i="55"/>
  <c r="B717" i="55"/>
  <c r="B716" i="55"/>
  <c r="H715" i="55"/>
  <c r="F715" i="55"/>
  <c r="B715" i="55"/>
  <c r="H714" i="55"/>
  <c r="F714" i="55"/>
  <c r="B714" i="55"/>
  <c r="H713" i="55"/>
  <c r="F713" i="55"/>
  <c r="B713" i="55"/>
  <c r="H712" i="55"/>
  <c r="F712" i="55"/>
  <c r="B712" i="55"/>
  <c r="H711" i="55"/>
  <c r="F711" i="55"/>
  <c r="B711" i="55"/>
  <c r="H710" i="55"/>
  <c r="F710" i="55"/>
  <c r="B710" i="55"/>
  <c r="H709" i="55"/>
  <c r="F709" i="55"/>
  <c r="B709" i="55"/>
  <c r="H708" i="55"/>
  <c r="F708" i="55"/>
  <c r="B708" i="55"/>
  <c r="H707" i="55"/>
  <c r="F707" i="55"/>
  <c r="B707" i="55"/>
  <c r="H706" i="55"/>
  <c r="F706" i="55"/>
  <c r="B706" i="55"/>
  <c r="H705" i="55"/>
  <c r="F705" i="55"/>
  <c r="B705" i="55"/>
  <c r="H704" i="55"/>
  <c r="F704" i="55"/>
  <c r="B704" i="55"/>
  <c r="H703" i="55"/>
  <c r="F703" i="55"/>
  <c r="B703" i="55"/>
  <c r="H702" i="55"/>
  <c r="F702" i="55"/>
  <c r="B702" i="55"/>
  <c r="B701" i="55"/>
  <c r="H700" i="55"/>
  <c r="F700" i="55"/>
  <c r="B700" i="55"/>
  <c r="H699" i="55"/>
  <c r="F699" i="55"/>
  <c r="B699" i="55"/>
  <c r="H698" i="55"/>
  <c r="F698" i="55"/>
  <c r="B698" i="55"/>
  <c r="H697" i="55"/>
  <c r="F697" i="55"/>
  <c r="B697" i="55"/>
  <c r="H696" i="55"/>
  <c r="F696" i="55"/>
  <c r="B696" i="55"/>
  <c r="H695" i="55"/>
  <c r="F695" i="55"/>
  <c r="B695" i="55"/>
  <c r="B694" i="55"/>
  <c r="B693" i="55"/>
  <c r="B692" i="55"/>
  <c r="B691" i="55"/>
  <c r="B690" i="55"/>
  <c r="B689" i="55"/>
  <c r="B688" i="55"/>
  <c r="B687" i="55"/>
  <c r="B686" i="55"/>
  <c r="B685" i="55"/>
  <c r="H684" i="55"/>
  <c r="F684" i="55"/>
  <c r="B684" i="55"/>
  <c r="H683" i="55"/>
  <c r="F683" i="55"/>
  <c r="B683" i="55"/>
  <c r="H682" i="55"/>
  <c r="F682" i="55"/>
  <c r="B682" i="55"/>
  <c r="B681" i="55"/>
  <c r="B680" i="55"/>
  <c r="B679" i="55"/>
  <c r="B678" i="55"/>
  <c r="B677" i="55"/>
  <c r="B676" i="55"/>
  <c r="B675" i="55"/>
  <c r="B674" i="55"/>
  <c r="B673" i="55"/>
  <c r="B672" i="55"/>
  <c r="H671" i="55"/>
  <c r="F671" i="55"/>
  <c r="B671" i="55"/>
  <c r="H670" i="55"/>
  <c r="F670" i="55"/>
  <c r="B670" i="55"/>
  <c r="H669" i="55"/>
  <c r="F669" i="55"/>
  <c r="B669" i="55"/>
  <c r="H668" i="55"/>
  <c r="F668" i="55"/>
  <c r="B668" i="55"/>
  <c r="H667" i="55"/>
  <c r="F667" i="55"/>
  <c r="B667" i="55"/>
  <c r="H666" i="55"/>
  <c r="F666" i="55"/>
  <c r="B666" i="55"/>
  <c r="B665" i="55"/>
  <c r="B664" i="55"/>
  <c r="B663" i="55"/>
  <c r="B662" i="55"/>
  <c r="B661" i="55"/>
  <c r="B660" i="55"/>
  <c r="B659" i="55"/>
  <c r="B658" i="55"/>
  <c r="B657" i="55"/>
  <c r="B656" i="55"/>
  <c r="H655" i="55"/>
  <c r="F655" i="55"/>
  <c r="B655" i="55"/>
  <c r="B654" i="55"/>
  <c r="B653" i="55"/>
  <c r="H652" i="55"/>
  <c r="F652" i="55"/>
  <c r="B652" i="55"/>
  <c r="B651" i="55"/>
  <c r="B650" i="55"/>
  <c r="B649" i="55"/>
  <c r="B648" i="55"/>
  <c r="B647" i="55"/>
  <c r="B646" i="55"/>
  <c r="B645" i="55"/>
  <c r="H644" i="55"/>
  <c r="F644" i="55"/>
  <c r="B644" i="55"/>
  <c r="B643" i="55"/>
  <c r="H641" i="55"/>
  <c r="F641" i="55"/>
  <c r="B641" i="55"/>
  <c r="H640" i="55"/>
  <c r="F640" i="55"/>
  <c r="B640" i="55"/>
  <c r="B639" i="55"/>
  <c r="B638" i="55"/>
  <c r="H637" i="55"/>
  <c r="F637" i="55"/>
  <c r="B637" i="55"/>
  <c r="H636" i="55"/>
  <c r="F636" i="55"/>
  <c r="B636" i="55"/>
  <c r="H635" i="55"/>
  <c r="F635" i="55"/>
  <c r="B635" i="55"/>
  <c r="H634" i="55"/>
  <c r="F634" i="55"/>
  <c r="B634" i="55"/>
  <c r="H633" i="55"/>
  <c r="F633" i="55"/>
  <c r="B633" i="55"/>
  <c r="H632" i="55"/>
  <c r="F632" i="55"/>
  <c r="B632" i="55"/>
  <c r="H631" i="55"/>
  <c r="F631" i="55"/>
  <c r="B631" i="55"/>
  <c r="H630" i="55"/>
  <c r="F630" i="55"/>
  <c r="B630" i="55"/>
  <c r="H629" i="55"/>
  <c r="F629" i="55"/>
  <c r="B629" i="55"/>
  <c r="H628" i="55"/>
  <c r="F628" i="55"/>
  <c r="B628" i="55"/>
  <c r="H627" i="55"/>
  <c r="F627" i="55"/>
  <c r="B627" i="55"/>
  <c r="H626" i="55"/>
  <c r="F626" i="55"/>
  <c r="B626" i="55"/>
  <c r="H625" i="55"/>
  <c r="F625" i="55"/>
  <c r="B625" i="55"/>
  <c r="H624" i="55"/>
  <c r="F624" i="55"/>
  <c r="B624" i="55"/>
  <c r="B623" i="55"/>
  <c r="H622" i="55"/>
  <c r="F622" i="55"/>
  <c r="B622" i="55"/>
  <c r="H621" i="55"/>
  <c r="F621" i="55"/>
  <c r="B621" i="55"/>
  <c r="H620" i="55"/>
  <c r="F620" i="55"/>
  <c r="B620" i="55"/>
  <c r="H619" i="55"/>
  <c r="F619" i="55"/>
  <c r="B619" i="55"/>
  <c r="H618" i="55"/>
  <c r="F618" i="55"/>
  <c r="B618" i="55"/>
  <c r="H617" i="55"/>
  <c r="F617" i="55"/>
  <c r="B617" i="55"/>
  <c r="B616" i="55"/>
  <c r="B615" i="55"/>
  <c r="B614" i="55"/>
  <c r="B613" i="55"/>
  <c r="B612" i="55"/>
  <c r="B611" i="55"/>
  <c r="B610" i="55"/>
  <c r="B609" i="55"/>
  <c r="B608" i="55"/>
  <c r="B607" i="55"/>
  <c r="H606" i="55"/>
  <c r="F606" i="55"/>
  <c r="B606" i="55"/>
  <c r="H605" i="55"/>
  <c r="F605" i="55"/>
  <c r="B605" i="55"/>
  <c r="H604" i="55"/>
  <c r="F604" i="55"/>
  <c r="B604" i="55"/>
  <c r="B603" i="55"/>
  <c r="B602" i="55"/>
  <c r="B601" i="55"/>
  <c r="B600" i="55"/>
  <c r="B599" i="55"/>
  <c r="B598" i="55"/>
  <c r="B597" i="55"/>
  <c r="B596" i="55"/>
  <c r="B595" i="55"/>
  <c r="B594" i="55"/>
  <c r="H593" i="55"/>
  <c r="F593" i="55"/>
  <c r="B593" i="55"/>
  <c r="H592" i="55"/>
  <c r="F592" i="55"/>
  <c r="B592" i="55"/>
  <c r="H591" i="55"/>
  <c r="F591" i="55"/>
  <c r="B591" i="55"/>
  <c r="H590" i="55"/>
  <c r="F590" i="55"/>
  <c r="B590" i="55"/>
  <c r="H589" i="55"/>
  <c r="F589" i="55"/>
  <c r="B589" i="55"/>
  <c r="H588" i="55"/>
  <c r="F588" i="55"/>
  <c r="B588" i="55"/>
  <c r="B587" i="55"/>
  <c r="B586" i="55"/>
  <c r="B585" i="55"/>
  <c r="B584" i="55"/>
  <c r="B583" i="55"/>
  <c r="B582" i="55"/>
  <c r="B581" i="55"/>
  <c r="B580" i="55"/>
  <c r="B579" i="55"/>
  <c r="B578" i="55"/>
  <c r="H577" i="55"/>
  <c r="F577" i="55"/>
  <c r="B577" i="55"/>
  <c r="B576" i="55"/>
  <c r="B575" i="55"/>
  <c r="H574" i="55"/>
  <c r="F574" i="55"/>
  <c r="B574" i="55"/>
  <c r="B573" i="55"/>
  <c r="B572" i="55"/>
  <c r="B571" i="55"/>
  <c r="B570" i="55"/>
  <c r="B569" i="55"/>
  <c r="B568" i="55"/>
  <c r="B567" i="55"/>
  <c r="H566" i="55"/>
  <c r="F566" i="55"/>
  <c r="B566" i="55"/>
  <c r="B565" i="55"/>
  <c r="H563" i="55"/>
  <c r="F563" i="55"/>
  <c r="B563" i="55"/>
  <c r="H562" i="55"/>
  <c r="F562" i="55"/>
  <c r="B562" i="55"/>
  <c r="B561" i="55"/>
  <c r="B560" i="55"/>
  <c r="H559" i="55"/>
  <c r="F559" i="55"/>
  <c r="B559" i="55"/>
  <c r="H558" i="55"/>
  <c r="F558" i="55"/>
  <c r="B558" i="55"/>
  <c r="H557" i="55"/>
  <c r="F557" i="55"/>
  <c r="B557" i="55"/>
  <c r="H556" i="55"/>
  <c r="F556" i="55"/>
  <c r="B556" i="55"/>
  <c r="H555" i="55"/>
  <c r="F555" i="55"/>
  <c r="B555" i="55"/>
  <c r="H554" i="55"/>
  <c r="F554" i="55"/>
  <c r="B554" i="55"/>
  <c r="H553" i="55"/>
  <c r="F553" i="55"/>
  <c r="B553" i="55"/>
  <c r="H552" i="55"/>
  <c r="F552" i="55"/>
  <c r="B552" i="55"/>
  <c r="H551" i="55"/>
  <c r="F551" i="55"/>
  <c r="B551" i="55"/>
  <c r="H550" i="55"/>
  <c r="F550" i="55"/>
  <c r="B550" i="55"/>
  <c r="H549" i="55"/>
  <c r="F549" i="55"/>
  <c r="B549" i="55"/>
  <c r="H548" i="55"/>
  <c r="F548" i="55"/>
  <c r="B548" i="55"/>
  <c r="H547" i="55"/>
  <c r="F547" i="55"/>
  <c r="B547" i="55"/>
  <c r="H546" i="55"/>
  <c r="F546" i="55"/>
  <c r="B546" i="55"/>
  <c r="B545" i="55"/>
  <c r="H544" i="55"/>
  <c r="F544" i="55"/>
  <c r="B544" i="55"/>
  <c r="H543" i="55"/>
  <c r="F543" i="55"/>
  <c r="B543" i="55"/>
  <c r="H542" i="55"/>
  <c r="F542" i="55"/>
  <c r="B542" i="55"/>
  <c r="H541" i="55"/>
  <c r="F541" i="55"/>
  <c r="B541" i="55"/>
  <c r="H540" i="55"/>
  <c r="F540" i="55"/>
  <c r="B540" i="55"/>
  <c r="H539" i="55"/>
  <c r="F539" i="55"/>
  <c r="B539" i="55"/>
  <c r="B538" i="55"/>
  <c r="B537" i="55"/>
  <c r="B536" i="55"/>
  <c r="B535" i="55"/>
  <c r="B534" i="55"/>
  <c r="B533" i="55"/>
  <c r="B532" i="55"/>
  <c r="B531" i="55"/>
  <c r="B530" i="55"/>
  <c r="B529" i="55"/>
  <c r="H528" i="55"/>
  <c r="F528" i="55"/>
  <c r="B528" i="55"/>
  <c r="H527" i="55"/>
  <c r="F527" i="55"/>
  <c r="B527" i="55"/>
  <c r="H526" i="55"/>
  <c r="F526" i="55"/>
  <c r="B526" i="55"/>
  <c r="B525" i="55"/>
  <c r="B524" i="55"/>
  <c r="B523" i="55"/>
  <c r="B522" i="55"/>
  <c r="B521" i="55"/>
  <c r="B520" i="55"/>
  <c r="B519" i="55"/>
  <c r="B518" i="55"/>
  <c r="B517" i="55"/>
  <c r="B516" i="55"/>
  <c r="H515" i="55"/>
  <c r="F515" i="55"/>
  <c r="B515" i="55"/>
  <c r="H514" i="55"/>
  <c r="F514" i="55"/>
  <c r="B514" i="55"/>
  <c r="H513" i="55"/>
  <c r="F513" i="55"/>
  <c r="B513" i="55"/>
  <c r="H512" i="55"/>
  <c r="F512" i="55"/>
  <c r="B512" i="55"/>
  <c r="H511" i="55"/>
  <c r="F511" i="55"/>
  <c r="B511" i="55"/>
  <c r="H510" i="55"/>
  <c r="F510" i="55"/>
  <c r="B510" i="55"/>
  <c r="B509" i="55"/>
  <c r="B508" i="55"/>
  <c r="B507" i="55"/>
  <c r="B506" i="55"/>
  <c r="B505" i="55"/>
  <c r="B504" i="55"/>
  <c r="B503" i="55"/>
  <c r="B502" i="55"/>
  <c r="B501" i="55"/>
  <c r="B500" i="55"/>
  <c r="H499" i="55"/>
  <c r="F499" i="55"/>
  <c r="B499" i="55"/>
  <c r="B498" i="55"/>
  <c r="B497" i="55"/>
  <c r="H496" i="55"/>
  <c r="F496" i="55"/>
  <c r="B496" i="55"/>
  <c r="B495" i="55"/>
  <c r="B494" i="55"/>
  <c r="B493" i="55"/>
  <c r="B492" i="55"/>
  <c r="B491" i="55"/>
  <c r="B490" i="55"/>
  <c r="B489" i="55"/>
  <c r="H488" i="55"/>
  <c r="F488" i="55"/>
  <c r="B488" i="55"/>
  <c r="B487" i="55"/>
  <c r="H485" i="55"/>
  <c r="F485" i="55"/>
  <c r="B485" i="55"/>
  <c r="H484" i="55"/>
  <c r="F484" i="55"/>
  <c r="B484" i="55"/>
  <c r="B483" i="55"/>
  <c r="B482" i="55"/>
  <c r="H481" i="55"/>
  <c r="F481" i="55"/>
  <c r="B481" i="55"/>
  <c r="H480" i="55"/>
  <c r="F480" i="55"/>
  <c r="B480" i="55"/>
  <c r="H479" i="55"/>
  <c r="F479" i="55"/>
  <c r="B479" i="55"/>
  <c r="H478" i="55"/>
  <c r="F478" i="55"/>
  <c r="B478" i="55"/>
  <c r="H477" i="55"/>
  <c r="F477" i="55"/>
  <c r="B477" i="55"/>
  <c r="H476" i="55"/>
  <c r="F476" i="55"/>
  <c r="B476" i="55"/>
  <c r="H475" i="55"/>
  <c r="F475" i="55"/>
  <c r="B475" i="55"/>
  <c r="H474" i="55"/>
  <c r="F474" i="55"/>
  <c r="B474" i="55"/>
  <c r="H473" i="55"/>
  <c r="F473" i="55"/>
  <c r="B473" i="55"/>
  <c r="H472" i="55"/>
  <c r="F472" i="55"/>
  <c r="B472" i="55"/>
  <c r="H471" i="55"/>
  <c r="F471" i="55"/>
  <c r="B471" i="55"/>
  <c r="H470" i="55"/>
  <c r="F470" i="55"/>
  <c r="B470" i="55"/>
  <c r="H469" i="55"/>
  <c r="F469" i="55"/>
  <c r="B469" i="55"/>
  <c r="H468" i="55"/>
  <c r="F468" i="55"/>
  <c r="B468" i="55"/>
  <c r="B467" i="55"/>
  <c r="H466" i="55"/>
  <c r="F466" i="55"/>
  <c r="B466" i="55"/>
  <c r="H465" i="55"/>
  <c r="F465" i="55"/>
  <c r="B465" i="55"/>
  <c r="H464" i="55"/>
  <c r="F464" i="55"/>
  <c r="B464" i="55"/>
  <c r="H463" i="55"/>
  <c r="F463" i="55"/>
  <c r="B463" i="55"/>
  <c r="H462" i="55"/>
  <c r="F462" i="55"/>
  <c r="B462" i="55"/>
  <c r="H461" i="55"/>
  <c r="F461" i="55"/>
  <c r="B461" i="55"/>
  <c r="B460" i="55"/>
  <c r="B459" i="55"/>
  <c r="B458" i="55"/>
  <c r="B457" i="55"/>
  <c r="B456" i="55"/>
  <c r="B455" i="55"/>
  <c r="B454" i="55"/>
  <c r="B453" i="55"/>
  <c r="B452" i="55"/>
  <c r="B451" i="55"/>
  <c r="H450" i="55"/>
  <c r="F450" i="55"/>
  <c r="B450" i="55"/>
  <c r="H449" i="55"/>
  <c r="F449" i="55"/>
  <c r="B449" i="55"/>
  <c r="H448" i="55"/>
  <c r="F448" i="55"/>
  <c r="B448" i="55"/>
  <c r="B447" i="55"/>
  <c r="B446" i="55"/>
  <c r="B445" i="55"/>
  <c r="B444" i="55"/>
  <c r="B443" i="55"/>
  <c r="B442" i="55"/>
  <c r="B441" i="55"/>
  <c r="B440" i="55"/>
  <c r="B439" i="55"/>
  <c r="B438" i="55"/>
  <c r="H437" i="55"/>
  <c r="F437" i="55"/>
  <c r="B437" i="55"/>
  <c r="H436" i="55"/>
  <c r="F436" i="55"/>
  <c r="B436" i="55"/>
  <c r="H435" i="55"/>
  <c r="F435" i="55"/>
  <c r="B435" i="55"/>
  <c r="H434" i="55"/>
  <c r="F434" i="55"/>
  <c r="B434" i="55"/>
  <c r="H433" i="55"/>
  <c r="F433" i="55"/>
  <c r="B433" i="55"/>
  <c r="H432" i="55"/>
  <c r="F432" i="55"/>
  <c r="B432" i="55"/>
  <c r="B431" i="55"/>
  <c r="B430" i="55"/>
  <c r="B429" i="55"/>
  <c r="B428" i="55"/>
  <c r="B427" i="55"/>
  <c r="B426" i="55"/>
  <c r="B425" i="55"/>
  <c r="B424" i="55"/>
  <c r="B423" i="55"/>
  <c r="B422" i="55"/>
  <c r="H421" i="55"/>
  <c r="F421" i="55"/>
  <c r="B421" i="55"/>
  <c r="B420" i="55"/>
  <c r="B419" i="55"/>
  <c r="H418" i="55"/>
  <c r="F418" i="55"/>
  <c r="B418" i="55"/>
  <c r="B417" i="55"/>
  <c r="B416" i="55"/>
  <c r="B415" i="55"/>
  <c r="B414" i="55"/>
  <c r="B413" i="55"/>
  <c r="B412" i="55"/>
  <c r="B411" i="55"/>
  <c r="H410" i="55"/>
  <c r="F410" i="55"/>
  <c r="B410" i="55"/>
  <c r="B409" i="55"/>
  <c r="H407" i="55"/>
  <c r="F407" i="55"/>
  <c r="B407" i="55"/>
  <c r="H406" i="55"/>
  <c r="F406" i="55"/>
  <c r="B406" i="55"/>
  <c r="B405" i="55"/>
  <c r="B404" i="55"/>
  <c r="H403" i="55"/>
  <c r="F403" i="55"/>
  <c r="B403" i="55"/>
  <c r="H402" i="55"/>
  <c r="F402" i="55"/>
  <c r="B402" i="55"/>
  <c r="H401" i="55"/>
  <c r="F401" i="55"/>
  <c r="B401" i="55"/>
  <c r="H400" i="55"/>
  <c r="F400" i="55"/>
  <c r="B400" i="55"/>
  <c r="H399" i="55"/>
  <c r="F399" i="55"/>
  <c r="B399" i="55"/>
  <c r="H398" i="55"/>
  <c r="F398" i="55"/>
  <c r="B398" i="55"/>
  <c r="H397" i="55"/>
  <c r="F397" i="55"/>
  <c r="B397" i="55"/>
  <c r="H396" i="55"/>
  <c r="F396" i="55"/>
  <c r="B396" i="55"/>
  <c r="H395" i="55"/>
  <c r="F395" i="55"/>
  <c r="B395" i="55"/>
  <c r="H394" i="55"/>
  <c r="F394" i="55"/>
  <c r="B394" i="55"/>
  <c r="H393" i="55"/>
  <c r="F393" i="55"/>
  <c r="B393" i="55"/>
  <c r="H392" i="55"/>
  <c r="F392" i="55"/>
  <c r="B392" i="55"/>
  <c r="H391" i="55"/>
  <c r="F391" i="55"/>
  <c r="B391" i="55"/>
  <c r="H390" i="55"/>
  <c r="F390" i="55"/>
  <c r="B390" i="55"/>
  <c r="B389" i="55"/>
  <c r="H388" i="55"/>
  <c r="F388" i="55"/>
  <c r="B388" i="55"/>
  <c r="H387" i="55"/>
  <c r="F387" i="55"/>
  <c r="B387" i="55"/>
  <c r="H386" i="55"/>
  <c r="F386" i="55"/>
  <c r="B386" i="55"/>
  <c r="H385" i="55"/>
  <c r="F385" i="55"/>
  <c r="B385" i="55"/>
  <c r="H384" i="55"/>
  <c r="F384" i="55"/>
  <c r="B384" i="55"/>
  <c r="H383" i="55"/>
  <c r="F383" i="55"/>
  <c r="B383" i="55"/>
  <c r="B382" i="55"/>
  <c r="B381" i="55"/>
  <c r="B380" i="55"/>
  <c r="B379" i="55"/>
  <c r="B378" i="55"/>
  <c r="B377" i="55"/>
  <c r="B376" i="55"/>
  <c r="B375" i="55"/>
  <c r="B374" i="55"/>
  <c r="B373" i="55"/>
  <c r="H372" i="55"/>
  <c r="F372" i="55"/>
  <c r="B372" i="55"/>
  <c r="H371" i="55"/>
  <c r="F371" i="55"/>
  <c r="B371" i="55"/>
  <c r="H370" i="55"/>
  <c r="F370" i="55"/>
  <c r="B370" i="55"/>
  <c r="B369" i="55"/>
  <c r="B368" i="55"/>
  <c r="B367" i="55"/>
  <c r="B366" i="55"/>
  <c r="B365" i="55"/>
  <c r="B364" i="55"/>
  <c r="B363" i="55"/>
  <c r="B362" i="55"/>
  <c r="B361" i="55"/>
  <c r="B360" i="55"/>
  <c r="H359" i="55"/>
  <c r="F359" i="55"/>
  <c r="B359" i="55"/>
  <c r="H358" i="55"/>
  <c r="F358" i="55"/>
  <c r="B358" i="55"/>
  <c r="H357" i="55"/>
  <c r="F357" i="55"/>
  <c r="B357" i="55"/>
  <c r="H356" i="55"/>
  <c r="F356" i="55"/>
  <c r="B356" i="55"/>
  <c r="H355" i="55"/>
  <c r="F355" i="55"/>
  <c r="B355" i="55"/>
  <c r="H354" i="55"/>
  <c r="F354" i="55"/>
  <c r="B354" i="55"/>
  <c r="B353" i="55"/>
  <c r="B352" i="55"/>
  <c r="B351" i="55"/>
  <c r="B350" i="55"/>
  <c r="B349" i="55"/>
  <c r="B348" i="55"/>
  <c r="B347" i="55"/>
  <c r="B346" i="55"/>
  <c r="B345" i="55"/>
  <c r="B344" i="55"/>
  <c r="H343" i="55"/>
  <c r="F343" i="55"/>
  <c r="B343" i="55"/>
  <c r="B342" i="55"/>
  <c r="B341" i="55"/>
  <c r="H340" i="55"/>
  <c r="F340" i="55"/>
  <c r="B340" i="55"/>
  <c r="B339" i="55"/>
  <c r="B338" i="55"/>
  <c r="B337" i="55"/>
  <c r="B336" i="55"/>
  <c r="B335" i="55"/>
  <c r="B334" i="55"/>
  <c r="B333" i="55"/>
  <c r="H332" i="55"/>
  <c r="F332" i="55"/>
  <c r="B332" i="55"/>
  <c r="B331" i="55"/>
  <c r="H329" i="55"/>
  <c r="F329" i="55"/>
  <c r="B329" i="55"/>
  <c r="H328" i="55"/>
  <c r="F328" i="55"/>
  <c r="B328" i="55"/>
  <c r="B327" i="55"/>
  <c r="B326" i="55"/>
  <c r="H325" i="55"/>
  <c r="F325" i="55"/>
  <c r="B325" i="55"/>
  <c r="H324" i="55"/>
  <c r="F324" i="55"/>
  <c r="B324" i="55"/>
  <c r="H323" i="55"/>
  <c r="F323" i="55"/>
  <c r="B323" i="55"/>
  <c r="H322" i="55"/>
  <c r="F322" i="55"/>
  <c r="B322" i="55"/>
  <c r="H321" i="55"/>
  <c r="F321" i="55"/>
  <c r="B321" i="55"/>
  <c r="H320" i="55"/>
  <c r="F320" i="55"/>
  <c r="B320" i="55"/>
  <c r="H319" i="55"/>
  <c r="F319" i="55"/>
  <c r="B319" i="55"/>
  <c r="H318" i="55"/>
  <c r="F318" i="55"/>
  <c r="B318" i="55"/>
  <c r="H317" i="55"/>
  <c r="F317" i="55"/>
  <c r="B317" i="55"/>
  <c r="H316" i="55"/>
  <c r="F316" i="55"/>
  <c r="B316" i="55"/>
  <c r="H315" i="55"/>
  <c r="F315" i="55"/>
  <c r="B315" i="55"/>
  <c r="H314" i="55"/>
  <c r="F314" i="55"/>
  <c r="B314" i="55"/>
  <c r="H313" i="55"/>
  <c r="F313" i="55"/>
  <c r="B313" i="55"/>
  <c r="H312" i="55"/>
  <c r="F312" i="55"/>
  <c r="B312" i="55"/>
  <c r="B311" i="55"/>
  <c r="H310" i="55"/>
  <c r="F310" i="55"/>
  <c r="B310" i="55"/>
  <c r="H309" i="55"/>
  <c r="F309" i="55"/>
  <c r="B309" i="55"/>
  <c r="H308" i="55"/>
  <c r="F308" i="55"/>
  <c r="B308" i="55"/>
  <c r="H307" i="55"/>
  <c r="F307" i="55"/>
  <c r="B307" i="55"/>
  <c r="H306" i="55"/>
  <c r="F306" i="55"/>
  <c r="B306" i="55"/>
  <c r="H305" i="55"/>
  <c r="F305" i="55"/>
  <c r="B305" i="55"/>
  <c r="B304" i="55"/>
  <c r="B303" i="55"/>
  <c r="B302" i="55"/>
  <c r="B301" i="55"/>
  <c r="B300" i="55"/>
  <c r="B299" i="55"/>
  <c r="B298" i="55"/>
  <c r="B297" i="55"/>
  <c r="B296" i="55"/>
  <c r="B295" i="55"/>
  <c r="H294" i="55"/>
  <c r="F294" i="55"/>
  <c r="B294" i="55"/>
  <c r="H293" i="55"/>
  <c r="F293" i="55"/>
  <c r="B293" i="55"/>
  <c r="H292" i="55"/>
  <c r="F292" i="55"/>
  <c r="B292" i="55"/>
  <c r="B291" i="55"/>
  <c r="B290" i="55"/>
  <c r="B289" i="55"/>
  <c r="B288" i="55"/>
  <c r="B287" i="55"/>
  <c r="B286" i="55"/>
  <c r="B285" i="55"/>
  <c r="B284" i="55"/>
  <c r="B283" i="55"/>
  <c r="B282" i="55"/>
  <c r="H281" i="55"/>
  <c r="F281" i="55"/>
  <c r="B281" i="55"/>
  <c r="H280" i="55"/>
  <c r="F280" i="55"/>
  <c r="B280" i="55"/>
  <c r="H279" i="55"/>
  <c r="F279" i="55"/>
  <c r="B279" i="55"/>
  <c r="H278" i="55"/>
  <c r="F278" i="55"/>
  <c r="B278" i="55"/>
  <c r="H277" i="55"/>
  <c r="F277" i="55"/>
  <c r="B277" i="55"/>
  <c r="H276" i="55"/>
  <c r="F276" i="55"/>
  <c r="B276" i="55"/>
  <c r="B275" i="55"/>
  <c r="B274" i="55"/>
  <c r="B273" i="55"/>
  <c r="B272" i="55"/>
  <c r="B271" i="55"/>
  <c r="B270" i="55"/>
  <c r="B269" i="55"/>
  <c r="B268" i="55"/>
  <c r="B267" i="55"/>
  <c r="B266" i="55"/>
  <c r="H265" i="55"/>
  <c r="F265" i="55"/>
  <c r="B265" i="55"/>
  <c r="B264" i="55"/>
  <c r="B263" i="55"/>
  <c r="H262" i="55"/>
  <c r="F262" i="55"/>
  <c r="B262" i="55"/>
  <c r="B261" i="55"/>
  <c r="B260" i="55"/>
  <c r="B259" i="55"/>
  <c r="B258" i="55"/>
  <c r="B257" i="55"/>
  <c r="B256" i="55"/>
  <c r="B255" i="55"/>
  <c r="H254" i="55"/>
  <c r="F254" i="55"/>
  <c r="B254" i="55"/>
  <c r="B253" i="55"/>
  <c r="B251" i="55"/>
  <c r="B250" i="55"/>
  <c r="B249" i="55"/>
  <c r="B248" i="55"/>
  <c r="B244" i="55"/>
  <c r="B242" i="55"/>
  <c r="B240" i="55"/>
  <c r="H238" i="55"/>
  <c r="B238" i="55"/>
  <c r="H237" i="55"/>
  <c r="B237" i="55"/>
  <c r="H236" i="55"/>
  <c r="B236" i="55"/>
  <c r="B235" i="55"/>
  <c r="H233" i="55"/>
  <c r="B233" i="55"/>
  <c r="H232" i="55"/>
  <c r="B232" i="55"/>
  <c r="H231" i="55"/>
  <c r="B231" i="55"/>
  <c r="B230" i="55"/>
  <c r="H228" i="55"/>
  <c r="B228" i="55"/>
  <c r="H227" i="55"/>
  <c r="B227" i="55"/>
  <c r="H226" i="55"/>
  <c r="B226" i="55"/>
  <c r="B225" i="55"/>
  <c r="B223" i="55"/>
  <c r="H221" i="55"/>
  <c r="B221" i="55"/>
  <c r="H220" i="55"/>
  <c r="B220" i="55"/>
  <c r="H219" i="55"/>
  <c r="B219" i="55"/>
  <c r="H218" i="55"/>
  <c r="B218" i="55"/>
  <c r="H217" i="55"/>
  <c r="B217" i="55"/>
  <c r="H216" i="55"/>
  <c r="B216" i="55"/>
  <c r="B215" i="55"/>
  <c r="B214" i="55"/>
  <c r="H213" i="55"/>
  <c r="B213" i="55"/>
  <c r="H212" i="55"/>
  <c r="B212" i="55"/>
  <c r="H211" i="55"/>
  <c r="B211" i="55"/>
  <c r="H210" i="55"/>
  <c r="B210" i="55"/>
  <c r="H209" i="55"/>
  <c r="B209" i="55"/>
  <c r="H208" i="55"/>
  <c r="B208" i="55"/>
  <c r="B207" i="55"/>
  <c r="H205" i="55"/>
  <c r="B205" i="55"/>
  <c r="H204" i="55"/>
  <c r="B204" i="55"/>
  <c r="H203" i="55"/>
  <c r="B203" i="55"/>
  <c r="H202" i="55"/>
  <c r="B202" i="55"/>
  <c r="H201" i="55"/>
  <c r="B201" i="55"/>
  <c r="H200" i="55"/>
  <c r="B200" i="55"/>
  <c r="B199" i="55"/>
  <c r="H197" i="55"/>
  <c r="B197" i="55"/>
  <c r="H196" i="55"/>
  <c r="B196" i="55"/>
  <c r="H195" i="55"/>
  <c r="B195" i="55"/>
  <c r="H194" i="55"/>
  <c r="B194" i="55"/>
  <c r="H193" i="55"/>
  <c r="B193" i="55"/>
  <c r="H192" i="55"/>
  <c r="B192" i="55"/>
  <c r="B191" i="55"/>
  <c r="B188" i="55"/>
  <c r="B186" i="55"/>
  <c r="H184" i="55"/>
  <c r="B184" i="55"/>
  <c r="H183" i="55"/>
  <c r="B183" i="55"/>
  <c r="H182" i="55"/>
  <c r="B182" i="55"/>
  <c r="B181" i="55"/>
  <c r="H179" i="55"/>
  <c r="B179" i="55"/>
  <c r="H178" i="55"/>
  <c r="B178" i="55"/>
  <c r="H177" i="55"/>
  <c r="B177" i="55"/>
  <c r="B176" i="55"/>
  <c r="B174" i="55"/>
  <c r="H172" i="55"/>
  <c r="B172" i="55"/>
  <c r="H171" i="55"/>
  <c r="B171" i="55"/>
  <c r="H170" i="55"/>
  <c r="B170" i="55"/>
  <c r="B169" i="55"/>
  <c r="H167" i="55"/>
  <c r="B167" i="55"/>
  <c r="H166" i="55"/>
  <c r="B166" i="55"/>
  <c r="H165" i="55"/>
  <c r="B165" i="55"/>
  <c r="B164" i="55"/>
  <c r="H162" i="55"/>
  <c r="B162" i="55"/>
  <c r="H161" i="55"/>
  <c r="B161" i="55"/>
  <c r="H160" i="55"/>
  <c r="B160" i="55"/>
  <c r="B159" i="55"/>
  <c r="H157" i="55"/>
  <c r="B157" i="55"/>
  <c r="H156" i="55"/>
  <c r="B156" i="55"/>
  <c r="H155" i="55"/>
  <c r="B155" i="55"/>
  <c r="B154" i="55"/>
  <c r="H152" i="55"/>
  <c r="B152" i="55"/>
  <c r="H151" i="55"/>
  <c r="B151" i="55"/>
  <c r="H150" i="55"/>
  <c r="B150" i="55"/>
  <c r="B149" i="55"/>
  <c r="H147" i="55"/>
  <c r="B147" i="55"/>
  <c r="H146" i="55"/>
  <c r="B146" i="55"/>
  <c r="H145" i="55"/>
  <c r="B145" i="55"/>
  <c r="B144" i="55"/>
  <c r="H142" i="55"/>
  <c r="B142" i="55"/>
  <c r="H141" i="55"/>
  <c r="B141" i="55"/>
  <c r="H140" i="55"/>
  <c r="B140" i="55"/>
  <c r="B139" i="55"/>
  <c r="H137" i="55"/>
  <c r="B137" i="55"/>
  <c r="H136" i="55"/>
  <c r="B136" i="55"/>
  <c r="H135" i="55"/>
  <c r="B135" i="55"/>
  <c r="B134" i="55"/>
  <c r="B129" i="55"/>
  <c r="B128" i="55"/>
  <c r="B127" i="55"/>
  <c r="B126" i="55"/>
  <c r="B122" i="55"/>
  <c r="B120" i="55"/>
  <c r="B118" i="55"/>
  <c r="H116" i="55"/>
  <c r="B116" i="55"/>
  <c r="H115" i="55"/>
  <c r="B115" i="55"/>
  <c r="H114" i="55"/>
  <c r="B114" i="55"/>
  <c r="B113" i="55"/>
  <c r="H111" i="55"/>
  <c r="B111" i="55"/>
  <c r="H110" i="55"/>
  <c r="B110" i="55"/>
  <c r="H109" i="55"/>
  <c r="B109" i="55"/>
  <c r="B108" i="55"/>
  <c r="H106" i="55"/>
  <c r="B106" i="55"/>
  <c r="H105" i="55"/>
  <c r="B105" i="55"/>
  <c r="H104" i="55"/>
  <c r="B104" i="55"/>
  <c r="B103" i="55"/>
  <c r="B101" i="55"/>
  <c r="H99" i="55"/>
  <c r="B99" i="55"/>
  <c r="H98" i="55"/>
  <c r="B98" i="55"/>
  <c r="H97" i="55"/>
  <c r="B97" i="55"/>
  <c r="H96" i="55"/>
  <c r="B96" i="55"/>
  <c r="H95" i="55"/>
  <c r="B95" i="55"/>
  <c r="H94" i="55"/>
  <c r="B94" i="55"/>
  <c r="B93" i="55"/>
  <c r="H91" i="55"/>
  <c r="B91" i="55"/>
  <c r="H90" i="55"/>
  <c r="B90" i="55"/>
  <c r="H89" i="55"/>
  <c r="B89" i="55"/>
  <c r="H88" i="55"/>
  <c r="B88" i="55"/>
  <c r="H87" i="55"/>
  <c r="B87" i="55"/>
  <c r="H86" i="55"/>
  <c r="B86" i="55"/>
  <c r="B85" i="55"/>
  <c r="H83" i="55"/>
  <c r="B83" i="55"/>
  <c r="H82" i="55"/>
  <c r="B82" i="55"/>
  <c r="H81" i="55"/>
  <c r="B81" i="55"/>
  <c r="H80" i="55"/>
  <c r="B80" i="55"/>
  <c r="H79" i="55"/>
  <c r="B79" i="55"/>
  <c r="H78" i="55"/>
  <c r="B78" i="55"/>
  <c r="B77" i="55"/>
  <c r="H75" i="55"/>
  <c r="B75" i="55"/>
  <c r="H74" i="55"/>
  <c r="B74" i="55"/>
  <c r="H73" i="55"/>
  <c r="B73" i="55"/>
  <c r="H72" i="55"/>
  <c r="B72" i="55"/>
  <c r="H71" i="55"/>
  <c r="B71" i="55"/>
  <c r="H70" i="55"/>
  <c r="B70" i="55"/>
  <c r="B69" i="55"/>
  <c r="B66" i="55"/>
  <c r="B64" i="55"/>
  <c r="H62" i="55"/>
  <c r="B62" i="55"/>
  <c r="H61" i="55"/>
  <c r="B61" i="55"/>
  <c r="H60" i="55"/>
  <c r="B60" i="55"/>
  <c r="B59" i="55"/>
  <c r="H57" i="55"/>
  <c r="B57" i="55"/>
  <c r="H56" i="55"/>
  <c r="B56" i="55"/>
  <c r="H55" i="55"/>
  <c r="B55" i="55"/>
  <c r="B54" i="55"/>
  <c r="B52" i="55"/>
  <c r="H50" i="55"/>
  <c r="B50" i="55"/>
  <c r="H49" i="55"/>
  <c r="B49" i="55"/>
  <c r="H48" i="55"/>
  <c r="B48" i="55"/>
  <c r="B47" i="55"/>
  <c r="H45" i="55"/>
  <c r="B45" i="55"/>
  <c r="H44" i="55"/>
  <c r="B44" i="55"/>
  <c r="H43" i="55"/>
  <c r="B43" i="55"/>
  <c r="B42" i="55"/>
  <c r="H40" i="55"/>
  <c r="B40" i="55"/>
  <c r="H39" i="55"/>
  <c r="B39" i="55"/>
  <c r="H38" i="55"/>
  <c r="B38" i="55"/>
  <c r="B37" i="55"/>
  <c r="H35" i="55"/>
  <c r="B35" i="55"/>
  <c r="H34" i="55"/>
  <c r="B34" i="55"/>
  <c r="H33" i="55"/>
  <c r="B33" i="55"/>
  <c r="B32" i="55"/>
  <c r="H30" i="55"/>
  <c r="B30" i="55"/>
  <c r="H29" i="55"/>
  <c r="B29" i="55"/>
  <c r="H28" i="55"/>
  <c r="B28" i="55"/>
  <c r="E28" i="8"/>
  <c r="H27" i="55" s="1"/>
  <c r="B27" i="55"/>
  <c r="H25" i="55"/>
  <c r="B25" i="55"/>
  <c r="H24" i="55"/>
  <c r="B24" i="55"/>
  <c r="H23" i="55"/>
  <c r="B23" i="55"/>
  <c r="B22" i="55"/>
  <c r="H20" i="55"/>
  <c r="B20" i="55"/>
  <c r="H19" i="55"/>
  <c r="B19" i="55"/>
  <c r="H18" i="55"/>
  <c r="B18" i="55"/>
  <c r="B17" i="55"/>
  <c r="H15" i="55"/>
  <c r="B15" i="55"/>
  <c r="H14" i="55"/>
  <c r="B14" i="55"/>
  <c r="H13" i="55"/>
  <c r="B13" i="55"/>
  <c r="B12" i="55"/>
  <c r="B6" i="55"/>
  <c r="H10" i="55"/>
  <c r="H9" i="55"/>
  <c r="H8" i="55"/>
  <c r="B10" i="55"/>
  <c r="B9" i="55"/>
  <c r="B8" i="55"/>
  <c r="H6" i="55"/>
  <c r="B583" i="1"/>
  <c r="AI8" i="63" s="1"/>
  <c r="B573" i="1"/>
  <c r="B580" i="1"/>
  <c r="B581" i="1"/>
  <c r="B582" i="1"/>
  <c r="B634" i="1"/>
  <c r="B1" i="47" s="1"/>
  <c r="B559" i="1"/>
  <c r="B1" i="62" s="1"/>
  <c r="C6348" i="55" s="1"/>
  <c r="B572" i="1"/>
  <c r="B574" i="1"/>
  <c r="B575" i="1"/>
  <c r="B576" i="1"/>
  <c r="EV10" i="63" s="1"/>
  <c r="B577" i="1"/>
  <c r="E17" i="62" s="1"/>
  <c r="B578" i="1"/>
  <c r="BN17" i="62" s="1"/>
  <c r="B579" i="1"/>
  <c r="B27" i="1"/>
  <c r="D34" i="2" s="1"/>
  <c r="L54" i="10"/>
  <c r="U54" i="10"/>
  <c r="J64" i="13"/>
  <c r="L56" i="10"/>
  <c r="U56" i="10"/>
  <c r="J66" i="13" s="1"/>
  <c r="L55" i="10"/>
  <c r="G65" i="13" s="1"/>
  <c r="U55" i="10"/>
  <c r="J65" i="13"/>
  <c r="L57" i="10"/>
  <c r="U57" i="10"/>
  <c r="J67" i="13" s="1"/>
  <c r="M58" i="10"/>
  <c r="V58" i="10"/>
  <c r="K68" i="13" s="1"/>
  <c r="C4" i="6"/>
  <c r="E7" i="8" s="1"/>
  <c r="F42" i="55" s="1"/>
  <c r="T53" i="47"/>
  <c r="N53" i="47"/>
  <c r="L53" i="47"/>
  <c r="B700" i="1"/>
  <c r="C90" i="47" s="1"/>
  <c r="B812" i="1"/>
  <c r="I111" i="49" s="1"/>
  <c r="B811" i="1"/>
  <c r="B111" i="49" s="1"/>
  <c r="B810" i="1"/>
  <c r="C123" i="49" s="1"/>
  <c r="B703" i="1"/>
  <c r="F63" i="47" s="1"/>
  <c r="B702" i="1"/>
  <c r="C92" i="47" s="1"/>
  <c r="F2927" i="55" s="1"/>
  <c r="B701" i="1"/>
  <c r="B699" i="1"/>
  <c r="C89" i="47" s="1"/>
  <c r="F2925" i="55" s="1"/>
  <c r="B698" i="1"/>
  <c r="C87" i="47" s="1"/>
  <c r="F2924" i="55" s="1"/>
  <c r="B18" i="1"/>
  <c r="D18" i="2" s="1"/>
  <c r="B42" i="1"/>
  <c r="D3" i="1" s="1"/>
  <c r="B43" i="1"/>
  <c r="B10" i="1" s="1"/>
  <c r="B44" i="1"/>
  <c r="A10" i="1" s="1"/>
  <c r="B40" i="1"/>
  <c r="B1" i="1" s="1"/>
  <c r="C9" i="4" s="1"/>
  <c r="B41" i="1"/>
  <c r="B3" i="1" s="1"/>
  <c r="B22" i="1"/>
  <c r="D29" i="2" s="1"/>
  <c r="B23" i="1"/>
  <c r="D30" i="2" s="1"/>
  <c r="B24" i="1"/>
  <c r="D31" i="2" s="1"/>
  <c r="B25" i="1"/>
  <c r="D32" i="2" s="1"/>
  <c r="B26" i="1"/>
  <c r="D33" i="2" s="1"/>
  <c r="N73" i="47"/>
  <c r="H1754" i="55" s="1"/>
  <c r="H73" i="47"/>
  <c r="H1598" i="55" s="1"/>
  <c r="F73" i="47"/>
  <c r="N80" i="52"/>
  <c r="K13" i="6"/>
  <c r="B373" i="1"/>
  <c r="B356" i="1"/>
  <c r="A79" i="57" s="1"/>
  <c r="E3147" i="55" s="1"/>
  <c r="E68" i="53"/>
  <c r="H2518" i="55" s="1"/>
  <c r="E77" i="53"/>
  <c r="H2527" i="55" s="1"/>
  <c r="E82" i="53"/>
  <c r="A10" i="52"/>
  <c r="F13" i="52"/>
  <c r="H2097" i="55" s="1"/>
  <c r="K13" i="52"/>
  <c r="H2804" i="55" s="1"/>
  <c r="A14" i="52"/>
  <c r="I14" i="52"/>
  <c r="N14" i="52"/>
  <c r="A15" i="52"/>
  <c r="I15" i="52"/>
  <c r="N15" i="52"/>
  <c r="A16" i="52"/>
  <c r="I16" i="52"/>
  <c r="N16" i="52"/>
  <c r="F18" i="52"/>
  <c r="H2102" i="55" s="1"/>
  <c r="K18" i="52"/>
  <c r="H2809" i="55" s="1"/>
  <c r="A19" i="52"/>
  <c r="I19" i="52"/>
  <c r="N19" i="52"/>
  <c r="A20" i="52"/>
  <c r="I20" i="52"/>
  <c r="N20" i="52"/>
  <c r="A21" i="52"/>
  <c r="I21" i="52"/>
  <c r="N21" i="52"/>
  <c r="F23" i="52"/>
  <c r="H2107" i="55" s="1"/>
  <c r="K23" i="52"/>
  <c r="H2814" i="55" s="1"/>
  <c r="A24" i="52"/>
  <c r="I24" i="52"/>
  <c r="N24" i="52"/>
  <c r="A25" i="52"/>
  <c r="I25" i="52"/>
  <c r="N25" i="52"/>
  <c r="A26" i="52"/>
  <c r="I26" i="52"/>
  <c r="N26" i="52"/>
  <c r="F28" i="52"/>
  <c r="H2112" i="55" s="1"/>
  <c r="K28" i="52"/>
  <c r="H2819" i="55" s="1"/>
  <c r="A29" i="52"/>
  <c r="I29" i="52"/>
  <c r="N29" i="52"/>
  <c r="A30" i="52"/>
  <c r="I30" i="52"/>
  <c r="N30" i="52"/>
  <c r="I31" i="52"/>
  <c r="F33" i="52"/>
  <c r="K33" i="52"/>
  <c r="H2824" i="55" s="1"/>
  <c r="A34" i="52"/>
  <c r="I34" i="52"/>
  <c r="N34" i="52"/>
  <c r="A35" i="52"/>
  <c r="I35" i="52"/>
  <c r="N35" i="52"/>
  <c r="A36" i="52"/>
  <c r="I36" i="52"/>
  <c r="N36" i="52"/>
  <c r="F38" i="52"/>
  <c r="H2122" i="55" s="1"/>
  <c r="K38" i="52"/>
  <c r="H2829" i="55" s="1"/>
  <c r="A39" i="52"/>
  <c r="I39" i="52"/>
  <c r="N39" i="52"/>
  <c r="A40" i="52"/>
  <c r="I40" i="52"/>
  <c r="N40" i="52"/>
  <c r="A41" i="52"/>
  <c r="I41" i="52"/>
  <c r="N41" i="52"/>
  <c r="F43" i="52"/>
  <c r="H2127" i="55" s="1"/>
  <c r="K43" i="52"/>
  <c r="A44" i="52"/>
  <c r="I44" i="52"/>
  <c r="N44" i="52"/>
  <c r="A45" i="52"/>
  <c r="I45" i="52"/>
  <c r="N45" i="52"/>
  <c r="A46" i="52"/>
  <c r="I46" i="52"/>
  <c r="N46" i="52"/>
  <c r="F48" i="52"/>
  <c r="H2132" i="55" s="1"/>
  <c r="K48" i="52"/>
  <c r="H2839" i="55" s="1"/>
  <c r="A49" i="52"/>
  <c r="I49" i="52"/>
  <c r="N49" i="52"/>
  <c r="A50" i="52"/>
  <c r="I50" i="52"/>
  <c r="N50" i="52"/>
  <c r="A51" i="52"/>
  <c r="I51" i="52"/>
  <c r="N51" i="52"/>
  <c r="F57" i="52"/>
  <c r="H2139" i="55" s="1"/>
  <c r="K57" i="52"/>
  <c r="A58" i="52"/>
  <c r="I58" i="52"/>
  <c r="N58" i="52"/>
  <c r="A59" i="52"/>
  <c r="I59" i="52"/>
  <c r="N59" i="52"/>
  <c r="A60" i="52"/>
  <c r="I60" i="52"/>
  <c r="N60" i="52"/>
  <c r="F62" i="52"/>
  <c r="K62" i="52"/>
  <c r="H2851" i="55" s="1"/>
  <c r="A63" i="52"/>
  <c r="I63" i="52"/>
  <c r="N63" i="52"/>
  <c r="N62" i="52" s="1"/>
  <c r="A64" i="52"/>
  <c r="I64" i="52"/>
  <c r="N64" i="52"/>
  <c r="A65" i="52"/>
  <c r="I65" i="52"/>
  <c r="N65" i="52"/>
  <c r="F74" i="52"/>
  <c r="H2154" i="55" s="1"/>
  <c r="K74" i="52"/>
  <c r="H2861" i="55" s="1"/>
  <c r="A75" i="52"/>
  <c r="I75" i="52"/>
  <c r="N75" i="52"/>
  <c r="A76" i="52"/>
  <c r="I76" i="52"/>
  <c r="N76" i="52"/>
  <c r="A77" i="52"/>
  <c r="I77" i="52"/>
  <c r="N77" i="52"/>
  <c r="A78" i="52"/>
  <c r="I78" i="52"/>
  <c r="N78" i="52"/>
  <c r="A79" i="52"/>
  <c r="I79" i="52"/>
  <c r="N79" i="52"/>
  <c r="A80" i="52"/>
  <c r="I80" i="52"/>
  <c r="F82" i="52"/>
  <c r="H2162" i="55" s="1"/>
  <c r="K82" i="52"/>
  <c r="H2869" i="55"/>
  <c r="A83" i="52"/>
  <c r="I83" i="52"/>
  <c r="N83" i="52"/>
  <c r="A84" i="52"/>
  <c r="I84" i="52"/>
  <c r="N84" i="52"/>
  <c r="A85" i="52"/>
  <c r="I85" i="52"/>
  <c r="N85" i="52"/>
  <c r="A86" i="52"/>
  <c r="I86" i="52"/>
  <c r="N86" i="52"/>
  <c r="A87" i="52"/>
  <c r="I87" i="52"/>
  <c r="N87" i="52"/>
  <c r="A88" i="52"/>
  <c r="I88" i="52"/>
  <c r="N88" i="52"/>
  <c r="F90" i="52"/>
  <c r="K90" i="52"/>
  <c r="A91" i="52"/>
  <c r="I91" i="52"/>
  <c r="N91" i="52"/>
  <c r="A92" i="52"/>
  <c r="I92" i="52"/>
  <c r="N92" i="52"/>
  <c r="A93" i="52"/>
  <c r="I93" i="52"/>
  <c r="N93" i="52"/>
  <c r="A94" i="52"/>
  <c r="I94" i="52"/>
  <c r="N94" i="52"/>
  <c r="A95" i="52"/>
  <c r="I95" i="52"/>
  <c r="N95" i="52"/>
  <c r="A96" i="52"/>
  <c r="I96" i="52"/>
  <c r="N96" i="52"/>
  <c r="F98" i="52"/>
  <c r="H2178" i="55" s="1"/>
  <c r="K98" i="52"/>
  <c r="A99" i="52"/>
  <c r="I99" i="52"/>
  <c r="N99" i="52"/>
  <c r="A100" i="52"/>
  <c r="I100" i="52"/>
  <c r="N100" i="52"/>
  <c r="A101" i="52"/>
  <c r="I101" i="52"/>
  <c r="N101" i="52"/>
  <c r="A102" i="52"/>
  <c r="I102" i="52"/>
  <c r="N102" i="52"/>
  <c r="A103" i="52"/>
  <c r="I103" i="52"/>
  <c r="N103" i="52"/>
  <c r="A104" i="52"/>
  <c r="I104" i="52"/>
  <c r="N104" i="52"/>
  <c r="F111" i="52"/>
  <c r="K111" i="52"/>
  <c r="H2895" i="55"/>
  <c r="A112" i="52"/>
  <c r="I112" i="52"/>
  <c r="N112" i="52"/>
  <c r="A113" i="52"/>
  <c r="I113" i="52"/>
  <c r="N113" i="52"/>
  <c r="A114" i="52"/>
  <c r="I114" i="52"/>
  <c r="N114" i="52"/>
  <c r="F116" i="52"/>
  <c r="H2193" i="55" s="1"/>
  <c r="K116" i="52"/>
  <c r="H2900" i="55"/>
  <c r="A117" i="52"/>
  <c r="I117" i="52"/>
  <c r="N117" i="52"/>
  <c r="A118" i="52"/>
  <c r="I118" i="52"/>
  <c r="N118" i="52"/>
  <c r="A119" i="52"/>
  <c r="I119" i="52"/>
  <c r="N119" i="52"/>
  <c r="N116" i="52" s="1"/>
  <c r="F121" i="52"/>
  <c r="H2198" i="55" s="1"/>
  <c r="K121" i="52"/>
  <c r="H2905" i="55"/>
  <c r="A122" i="52"/>
  <c r="I122" i="52"/>
  <c r="N122" i="52"/>
  <c r="A123" i="52"/>
  <c r="I123" i="52"/>
  <c r="N123" i="52"/>
  <c r="A124" i="52"/>
  <c r="I124" i="52"/>
  <c r="N124" i="52"/>
  <c r="N121" i="52" s="1"/>
  <c r="F137" i="52"/>
  <c r="H2212" i="55" s="1"/>
  <c r="K137" i="52"/>
  <c r="F138" i="52"/>
  <c r="G95" i="49" s="1"/>
  <c r="K138" i="52"/>
  <c r="H2920" i="55" s="1"/>
  <c r="F139" i="52"/>
  <c r="K139" i="52"/>
  <c r="B1" i="51"/>
  <c r="C29" i="4" s="1"/>
  <c r="D16" i="51"/>
  <c r="H16" i="51"/>
  <c r="I17" i="51"/>
  <c r="G18" i="51"/>
  <c r="I19" i="51"/>
  <c r="I20" i="51"/>
  <c r="D24" i="51"/>
  <c r="H24" i="51"/>
  <c r="I25" i="51"/>
  <c r="G26" i="51"/>
  <c r="D34" i="51"/>
  <c r="G34" i="51"/>
  <c r="H34" i="51"/>
  <c r="I35" i="51"/>
  <c r="I36" i="51"/>
  <c r="I37" i="51"/>
  <c r="I38" i="51"/>
  <c r="I39" i="51"/>
  <c r="W4" i="47"/>
  <c r="T27" i="47"/>
  <c r="F27" i="47"/>
  <c r="H27" i="47"/>
  <c r="H1564" i="55" s="1"/>
  <c r="J27" i="47"/>
  <c r="H1616" i="55" s="1"/>
  <c r="T42" i="47"/>
  <c r="F42" i="47"/>
  <c r="H1522" i="55" s="1"/>
  <c r="H42" i="47"/>
  <c r="J42" i="47"/>
  <c r="J45" i="47" s="1"/>
  <c r="J53" i="47" s="1"/>
  <c r="H1942" i="55"/>
  <c r="H1943" i="55"/>
  <c r="H1945" i="55"/>
  <c r="L69" i="47"/>
  <c r="L74" i="47" s="1"/>
  <c r="H1703" i="55" s="1"/>
  <c r="N69" i="47"/>
  <c r="H1802" i="55"/>
  <c r="F70" i="47"/>
  <c r="H1543" i="55" s="1"/>
  <c r="F81" i="47"/>
  <c r="H1553" i="55" s="1"/>
  <c r="H81" i="47"/>
  <c r="H1605" i="55" s="1"/>
  <c r="T85" i="47"/>
  <c r="L128" i="47"/>
  <c r="N128" i="47"/>
  <c r="T128" i="47"/>
  <c r="L129" i="47"/>
  <c r="N129" i="47"/>
  <c r="C10" i="24"/>
  <c r="O14" i="24"/>
  <c r="P14" i="24"/>
  <c r="O15" i="24"/>
  <c r="P15" i="24"/>
  <c r="O17" i="24"/>
  <c r="P17" i="24"/>
  <c r="O19" i="24"/>
  <c r="P19" i="24"/>
  <c r="O20" i="24"/>
  <c r="P20" i="24"/>
  <c r="O33" i="24"/>
  <c r="P33" i="24"/>
  <c r="O34" i="24"/>
  <c r="P34" i="24"/>
  <c r="O35" i="24"/>
  <c r="P35" i="24"/>
  <c r="O38" i="24"/>
  <c r="P38" i="24"/>
  <c r="O51" i="24"/>
  <c r="P51" i="24"/>
  <c r="O52" i="24"/>
  <c r="P52" i="24"/>
  <c r="C61" i="24" s="1"/>
  <c r="E18" i="25" s="1"/>
  <c r="H1052" i="55" s="1"/>
  <c r="O53" i="24"/>
  <c r="P53" i="24"/>
  <c r="O54" i="24"/>
  <c r="P54" i="24"/>
  <c r="O56" i="24"/>
  <c r="P56" i="24"/>
  <c r="O57" i="24"/>
  <c r="P57" i="24"/>
  <c r="C68" i="24"/>
  <c r="O72" i="24"/>
  <c r="P72" i="24"/>
  <c r="O73" i="24"/>
  <c r="P73" i="24"/>
  <c r="O74" i="24"/>
  <c r="P74" i="24"/>
  <c r="P76" i="24"/>
  <c r="O77" i="24"/>
  <c r="P77" i="24"/>
  <c r="O78" i="24"/>
  <c r="P78" i="24"/>
  <c r="O91" i="24"/>
  <c r="P91" i="24"/>
  <c r="O92" i="24"/>
  <c r="P92" i="24"/>
  <c r="O93" i="24"/>
  <c r="P93" i="24"/>
  <c r="O95" i="24"/>
  <c r="P95" i="24"/>
  <c r="O96" i="24"/>
  <c r="P96" i="24"/>
  <c r="P109" i="24"/>
  <c r="P111" i="24"/>
  <c r="O112" i="24"/>
  <c r="O113" i="24"/>
  <c r="P113" i="24"/>
  <c r="O115" i="24"/>
  <c r="P115" i="24"/>
  <c r="O116" i="24"/>
  <c r="P116" i="24"/>
  <c r="C127" i="24"/>
  <c r="O131" i="24"/>
  <c r="P131" i="24"/>
  <c r="O132" i="24"/>
  <c r="P132" i="24"/>
  <c r="O133" i="24"/>
  <c r="P133" i="24"/>
  <c r="O135" i="24"/>
  <c r="P135" i="24"/>
  <c r="O136" i="24"/>
  <c r="P136" i="24"/>
  <c r="O149" i="24"/>
  <c r="P149" i="24"/>
  <c r="O151" i="24"/>
  <c r="P151" i="24"/>
  <c r="O152" i="24"/>
  <c r="P152" i="24"/>
  <c r="O156" i="24"/>
  <c r="P156" i="24"/>
  <c r="O157" i="24"/>
  <c r="P157" i="24"/>
  <c r="O158" i="24"/>
  <c r="P158" i="24"/>
  <c r="O175" i="24"/>
  <c r="P175" i="24"/>
  <c r="O176" i="24"/>
  <c r="P176" i="24"/>
  <c r="O177" i="24"/>
  <c r="P177" i="24"/>
  <c r="O191" i="24"/>
  <c r="P191" i="24"/>
  <c r="O192" i="24"/>
  <c r="P192" i="24"/>
  <c r="O218" i="24"/>
  <c r="P218" i="24"/>
  <c r="O219" i="24"/>
  <c r="C222" i="24" s="1"/>
  <c r="P219" i="24"/>
  <c r="O220" i="24"/>
  <c r="P220" i="24"/>
  <c r="C231" i="24"/>
  <c r="O235" i="24"/>
  <c r="P235" i="24"/>
  <c r="O236" i="24"/>
  <c r="P236" i="24"/>
  <c r="O237" i="24"/>
  <c r="C240" i="24" s="1"/>
  <c r="P237" i="24"/>
  <c r="O238" i="24"/>
  <c r="P238" i="24"/>
  <c r="O250" i="24"/>
  <c r="P250" i="24"/>
  <c r="O251" i="24"/>
  <c r="P251" i="24"/>
  <c r="O252" i="24"/>
  <c r="P252" i="24"/>
  <c r="O253" i="24"/>
  <c r="P253" i="24"/>
  <c r="M17" i="10"/>
  <c r="V17" i="10"/>
  <c r="K27" i="13" s="1"/>
  <c r="M18" i="10"/>
  <c r="H28" i="13" s="1"/>
  <c r="V18" i="10"/>
  <c r="K28" i="13"/>
  <c r="M19" i="10"/>
  <c r="V19" i="10"/>
  <c r="M20" i="10"/>
  <c r="V20" i="10"/>
  <c r="K30" i="13" s="1"/>
  <c r="M21" i="10"/>
  <c r="H31" i="13" s="1"/>
  <c r="V21" i="10"/>
  <c r="M22" i="10"/>
  <c r="V22" i="10"/>
  <c r="K32" i="13" s="1"/>
  <c r="M23" i="10"/>
  <c r="H33" i="13" s="1"/>
  <c r="V23" i="10"/>
  <c r="M24" i="10"/>
  <c r="H34" i="13" s="1"/>
  <c r="V24" i="10"/>
  <c r="K34" i="13" s="1"/>
  <c r="M25" i="10"/>
  <c r="V25" i="10"/>
  <c r="K35" i="13" s="1"/>
  <c r="M26" i="10"/>
  <c r="H36" i="13" s="1"/>
  <c r="V26" i="10"/>
  <c r="M27" i="10"/>
  <c r="V27" i="10"/>
  <c r="K37" i="13" s="1"/>
  <c r="M28" i="10"/>
  <c r="V28" i="10"/>
  <c r="K38" i="13" s="1"/>
  <c r="M29" i="10"/>
  <c r="H39" i="13" s="1"/>
  <c r="V29" i="10"/>
  <c r="V30" i="10"/>
  <c r="K40" i="13" s="1"/>
  <c r="M31" i="10"/>
  <c r="H41" i="13" s="1"/>
  <c r="V31" i="10"/>
  <c r="K41" i="13" s="1"/>
  <c r="M32" i="10"/>
  <c r="V32" i="10"/>
  <c r="V33" i="10"/>
  <c r="K43" i="13" s="1"/>
  <c r="V34" i="10"/>
  <c r="K44" i="13" s="1"/>
  <c r="AP44" i="13" s="1"/>
  <c r="M35" i="10"/>
  <c r="V35" i="10"/>
  <c r="M36" i="10"/>
  <c r="V36" i="10"/>
  <c r="K46" i="13" s="1"/>
  <c r="M37" i="10"/>
  <c r="H47" i="13" s="1"/>
  <c r="V37" i="10"/>
  <c r="M41" i="10"/>
  <c r="V41" i="10"/>
  <c r="K51" i="13" s="1"/>
  <c r="M42" i="10"/>
  <c r="V42" i="10"/>
  <c r="K52" i="13" s="1"/>
  <c r="M43" i="10"/>
  <c r="H53" i="13" s="1"/>
  <c r="V43" i="10"/>
  <c r="M44" i="10"/>
  <c r="H54" i="13" s="1"/>
  <c r="V44" i="10"/>
  <c r="K54" i="13" s="1"/>
  <c r="CN54" i="13" s="1"/>
  <c r="M45" i="10"/>
  <c r="H55" i="13" s="1"/>
  <c r="V45" i="10"/>
  <c r="M46" i="10"/>
  <c r="H56" i="13" s="1"/>
  <c r="V46" i="10"/>
  <c r="K56" i="13" s="1"/>
  <c r="L47" i="10"/>
  <c r="G57" i="13" s="1"/>
  <c r="DF57" i="13" s="1"/>
  <c r="U47" i="10"/>
  <c r="J57" i="13"/>
  <c r="DH57" i="13" s="1"/>
  <c r="L48" i="10"/>
  <c r="U48" i="10"/>
  <c r="J58" i="13" s="1"/>
  <c r="L49" i="10"/>
  <c r="U49" i="10"/>
  <c r="J59" i="13" s="1"/>
  <c r="L50" i="10"/>
  <c r="U50" i="10"/>
  <c r="J60" i="13"/>
  <c r="L51" i="10"/>
  <c r="X51" i="10" s="1"/>
  <c r="G61" i="13"/>
  <c r="U51" i="10"/>
  <c r="J61" i="13" s="1"/>
  <c r="M52" i="10"/>
  <c r="H62" i="13" s="1"/>
  <c r="V52" i="10"/>
  <c r="L53" i="10"/>
  <c r="G63" i="13" s="1"/>
  <c r="M63" i="13" s="1"/>
  <c r="U53" i="10"/>
  <c r="J63" i="13" s="1"/>
  <c r="E11" i="9"/>
  <c r="E12" i="9"/>
  <c r="E13" i="9"/>
  <c r="E14" i="9"/>
  <c r="E15" i="9"/>
  <c r="E22" i="9"/>
  <c r="E23" i="9"/>
  <c r="E24" i="9"/>
  <c r="E27" i="9"/>
  <c r="E28" i="9"/>
  <c r="E29" i="9"/>
  <c r="E32" i="9"/>
  <c r="E31" i="9" s="1"/>
  <c r="E13" i="8"/>
  <c r="H12" i="55" s="1"/>
  <c r="G13" i="8"/>
  <c r="H134" i="55" s="1"/>
  <c r="F14" i="8"/>
  <c r="F15" i="8"/>
  <c r="F16" i="8"/>
  <c r="E18" i="8"/>
  <c r="H17" i="55"/>
  <c r="G18" i="8"/>
  <c r="H139" i="55" s="1"/>
  <c r="F19" i="8"/>
  <c r="F20" i="8"/>
  <c r="F21" i="8"/>
  <c r="E23" i="8"/>
  <c r="H22" i="55" s="1"/>
  <c r="G23" i="8"/>
  <c r="H144" i="55" s="1"/>
  <c r="F24" i="8"/>
  <c r="F25" i="8"/>
  <c r="F26" i="8"/>
  <c r="G28" i="8"/>
  <c r="F29" i="8"/>
  <c r="F30" i="8"/>
  <c r="E33" i="8"/>
  <c r="H32" i="55" s="1"/>
  <c r="G33" i="8"/>
  <c r="H154" i="55" s="1"/>
  <c r="F34" i="8"/>
  <c r="F35" i="8"/>
  <c r="F36" i="8"/>
  <c r="E38" i="8"/>
  <c r="H37" i="55" s="1"/>
  <c r="G38" i="8"/>
  <c r="H159" i="55" s="1"/>
  <c r="F39" i="8"/>
  <c r="F40" i="8"/>
  <c r="F41" i="8"/>
  <c r="E43" i="8"/>
  <c r="H42" i="55"/>
  <c r="G43" i="8"/>
  <c r="H164" i="55" s="1"/>
  <c r="F44" i="8"/>
  <c r="F45" i="8"/>
  <c r="F46" i="8"/>
  <c r="E48" i="8"/>
  <c r="H47" i="55" s="1"/>
  <c r="G48" i="8"/>
  <c r="H169" i="55" s="1"/>
  <c r="F49" i="8"/>
  <c r="F50" i="8"/>
  <c r="F51" i="8"/>
  <c r="E57" i="8"/>
  <c r="H54" i="55" s="1"/>
  <c r="G57" i="8"/>
  <c r="F58" i="8"/>
  <c r="F59" i="8"/>
  <c r="F60" i="8"/>
  <c r="E62" i="8"/>
  <c r="H59" i="55" s="1"/>
  <c r="G62" i="8"/>
  <c r="H181" i="55" s="1"/>
  <c r="F63" i="8"/>
  <c r="F64" i="8"/>
  <c r="F65" i="8"/>
  <c r="E74" i="8"/>
  <c r="G74" i="8"/>
  <c r="H191" i="55" s="1"/>
  <c r="F75" i="8"/>
  <c r="F76" i="8"/>
  <c r="F77" i="8"/>
  <c r="F78" i="8"/>
  <c r="F79" i="8"/>
  <c r="F80" i="8"/>
  <c r="E82" i="8"/>
  <c r="H77" i="55" s="1"/>
  <c r="G82" i="8"/>
  <c r="F83" i="8"/>
  <c r="F84" i="8"/>
  <c r="F85" i="8"/>
  <c r="F86" i="8"/>
  <c r="F87" i="8"/>
  <c r="F88" i="8"/>
  <c r="E90" i="8"/>
  <c r="H85" i="55" s="1"/>
  <c r="G90" i="8"/>
  <c r="H207" i="55" s="1"/>
  <c r="F91" i="8"/>
  <c r="F92" i="8"/>
  <c r="F93" i="8"/>
  <c r="F94" i="8"/>
  <c r="F95" i="8"/>
  <c r="F96" i="8"/>
  <c r="E98" i="8"/>
  <c r="H93" i="55" s="1"/>
  <c r="G98" i="8"/>
  <c r="H215" i="55" s="1"/>
  <c r="F99" i="8"/>
  <c r="F100" i="8"/>
  <c r="F101" i="8"/>
  <c r="F102" i="8"/>
  <c r="F103" i="8"/>
  <c r="F104" i="8"/>
  <c r="E111" i="8"/>
  <c r="G111" i="8"/>
  <c r="F112" i="8"/>
  <c r="F113" i="8"/>
  <c r="F114" i="8"/>
  <c r="E116" i="8"/>
  <c r="H108" i="55" s="1"/>
  <c r="G116" i="8"/>
  <c r="H230" i="55" s="1"/>
  <c r="F117" i="8"/>
  <c r="F118" i="8"/>
  <c r="F119" i="8"/>
  <c r="E121" i="8"/>
  <c r="H113" i="55" s="1"/>
  <c r="G121" i="8"/>
  <c r="H235" i="55" s="1"/>
  <c r="F122" i="8"/>
  <c r="F123" i="8"/>
  <c r="F124" i="8"/>
  <c r="E137" i="8"/>
  <c r="H127" i="55" s="1"/>
  <c r="G137" i="8"/>
  <c r="H249" i="55" s="1"/>
  <c r="E138" i="8"/>
  <c r="H128" i="55" s="1"/>
  <c r="G138" i="8"/>
  <c r="E139" i="8"/>
  <c r="H129" i="55" s="1"/>
  <c r="G139" i="8"/>
  <c r="K17" i="6"/>
  <c r="D23" i="6"/>
  <c r="B8" i="3"/>
  <c r="B9" i="3" s="1"/>
  <c r="B10" i="3" s="1"/>
  <c r="B11" i="3" s="1"/>
  <c r="B12" i="3" s="1"/>
  <c r="B13" i="3" s="1"/>
  <c r="B14" i="3" s="1"/>
  <c r="B15" i="3" s="1"/>
  <c r="B16" i="3" s="1"/>
  <c r="B17" i="3" s="1"/>
  <c r="B18" i="3" s="1"/>
  <c r="B19" i="3" s="1"/>
  <c r="B20" i="3" s="1"/>
  <c r="B21" i="3" s="1"/>
  <c r="B22" i="3" s="1"/>
  <c r="B23" i="3" s="1"/>
  <c r="B24" i="3" s="1"/>
  <c r="C10" i="1"/>
  <c r="D10" i="1"/>
  <c r="E10" i="1"/>
  <c r="H1944" i="55"/>
  <c r="H1939" i="55"/>
  <c r="T21" i="47"/>
  <c r="G16" i="49" s="1"/>
  <c r="H2025" i="55" s="1"/>
  <c r="H1929" i="55"/>
  <c r="H1932" i="55"/>
  <c r="H1936" i="55"/>
  <c r="L42" i="47"/>
  <c r="C78" i="57" s="1"/>
  <c r="H1935" i="55"/>
  <c r="H1931" i="55"/>
  <c r="H1927" i="55"/>
  <c r="L21" i="47"/>
  <c r="L27" i="47"/>
  <c r="H1947" i="55"/>
  <c r="N42" i="47"/>
  <c r="N134" i="47" s="1"/>
  <c r="H1937" i="55"/>
  <c r="B821" i="1"/>
  <c r="H4" i="52" s="1"/>
  <c r="F2724" i="55" s="1"/>
  <c r="B820" i="1"/>
  <c r="G6" i="52" s="1"/>
  <c r="B150" i="1"/>
  <c r="X9" i="10" s="1"/>
  <c r="B31" i="1"/>
  <c r="E37" i="2" s="1"/>
  <c r="B818" i="1"/>
  <c r="F4" i="52" s="1"/>
  <c r="F2109" i="55" s="1"/>
  <c r="B946" i="1"/>
  <c r="B91" i="53" s="1"/>
  <c r="B874" i="1"/>
  <c r="E7" i="53" s="1"/>
  <c r="B870" i="1"/>
  <c r="D3" i="53" s="1"/>
  <c r="B853" i="1"/>
  <c r="C109" i="52" s="1"/>
  <c r="B843" i="1"/>
  <c r="C69" i="52" s="1"/>
  <c r="B829" i="1"/>
  <c r="C11" i="52" s="1"/>
  <c r="B817" i="1"/>
  <c r="D7" i="52" s="1"/>
  <c r="B809" i="1"/>
  <c r="C122" i="49" s="1"/>
  <c r="B805" i="1"/>
  <c r="F116" i="49" s="1"/>
  <c r="B801" i="1"/>
  <c r="I106" i="49" s="1"/>
  <c r="B797" i="1"/>
  <c r="J88" i="49" s="1"/>
  <c r="B793" i="1"/>
  <c r="D105" i="49" s="1"/>
  <c r="D2094" i="55" s="1"/>
  <c r="B789" i="1"/>
  <c r="D95" i="49" s="1"/>
  <c r="E2090" i="55" s="1"/>
  <c r="B785" i="1"/>
  <c r="D91" i="49" s="1"/>
  <c r="E2086" i="55" s="1"/>
  <c r="B777" i="1"/>
  <c r="D82" i="49" s="1"/>
  <c r="E2082" i="55" s="1"/>
  <c r="B773" i="1"/>
  <c r="D56" i="49" s="1"/>
  <c r="B769" i="1"/>
  <c r="D48" i="49" s="1"/>
  <c r="E2071" i="55" s="1"/>
  <c r="B765" i="1"/>
  <c r="D44" i="49" s="1"/>
  <c r="E2067" i="55" s="1"/>
  <c r="B761" i="1"/>
  <c r="D40" i="49" s="1"/>
  <c r="E2063" i="55" s="1"/>
  <c r="B757" i="1"/>
  <c r="D26" i="49" s="1"/>
  <c r="B753" i="1"/>
  <c r="D21" i="49" s="1"/>
  <c r="E2055" i="55" s="1"/>
  <c r="B749" i="1"/>
  <c r="D16" i="49" s="1"/>
  <c r="E2025" i="55" s="1"/>
  <c r="B745" i="1"/>
  <c r="D11" i="49" s="1"/>
  <c r="E2038" i="55" s="1"/>
  <c r="B741" i="1"/>
  <c r="J7" i="49" s="1"/>
  <c r="B737" i="1"/>
  <c r="B723" i="1"/>
  <c r="C8" i="48" s="1"/>
  <c r="B706" i="1"/>
  <c r="C112" i="47" s="1"/>
  <c r="B642" i="1"/>
  <c r="E15" i="47" s="1"/>
  <c r="B443" i="1"/>
  <c r="A15" i="25" s="1"/>
  <c r="B529" i="1"/>
  <c r="A166" i="24" s="1"/>
  <c r="B525" i="1"/>
  <c r="M89" i="24" s="1"/>
  <c r="B518" i="1"/>
  <c r="B89" i="24" s="1"/>
  <c r="B437" i="1"/>
  <c r="L24" i="23" s="1"/>
  <c r="B415" i="1"/>
  <c r="I12" i="23" s="1"/>
  <c r="B410" i="1"/>
  <c r="B8" i="23" s="1"/>
  <c r="B401" i="1"/>
  <c r="G13" i="22" s="1"/>
  <c r="B397" i="1"/>
  <c r="B12" i="22" s="1"/>
  <c r="B393" i="1"/>
  <c r="E4" i="22" s="1"/>
  <c r="D996" i="55" s="1"/>
  <c r="B868" i="1"/>
  <c r="C136" i="52" s="1"/>
  <c r="D2458" i="55" s="1"/>
  <c r="B816" i="1"/>
  <c r="D6" i="52" s="1"/>
  <c r="B806" i="1"/>
  <c r="I116" i="49" s="1"/>
  <c r="B798" i="1"/>
  <c r="K88" i="49" s="1"/>
  <c r="D2086" i="55" s="1"/>
  <c r="B790" i="1"/>
  <c r="D96" i="49" s="1"/>
  <c r="B770" i="1"/>
  <c r="D49" i="49" s="1"/>
  <c r="E2072" i="55" s="1"/>
  <c r="B762" i="1"/>
  <c r="D41" i="49" s="1"/>
  <c r="E2064" i="55" s="1"/>
  <c r="B754" i="1"/>
  <c r="D22" i="49" s="1"/>
  <c r="E2031" i="55" s="1"/>
  <c r="B746" i="1"/>
  <c r="D12" i="49" s="1"/>
  <c r="E2022" i="55" s="1"/>
  <c r="B738" i="1"/>
  <c r="G7" i="49" s="1"/>
  <c r="D2019" i="55" s="1"/>
  <c r="B635" i="1"/>
  <c r="C4" i="47" s="1"/>
  <c r="B517" i="1"/>
  <c r="B162" i="24" s="1"/>
  <c r="B418" i="1"/>
  <c r="B17" i="23" s="1"/>
  <c r="B406" i="1"/>
  <c r="B4" i="23" s="1"/>
  <c r="B398" i="1"/>
  <c r="B15" i="22" s="1"/>
  <c r="B378" i="1"/>
  <c r="A94" i="57" s="1"/>
  <c r="B371" i="1"/>
  <c r="I88" i="57" s="1"/>
  <c r="F3175" i="55" s="1"/>
  <c r="B361" i="1"/>
  <c r="B353" i="1"/>
  <c r="E77" i="57" s="1"/>
  <c r="E3150" i="55" s="1"/>
  <c r="B331" i="1"/>
  <c r="B324" i="1"/>
  <c r="B320" i="1"/>
  <c r="B312" i="1"/>
  <c r="B302" i="1"/>
  <c r="B238" i="1"/>
  <c r="B227" i="1"/>
  <c r="B222" i="1"/>
  <c r="EH17" i="13" s="1"/>
  <c r="B218" i="1"/>
  <c r="B201" i="1"/>
  <c r="J7" i="13" s="1"/>
  <c r="B197" i="1"/>
  <c r="G4" i="13" s="1"/>
  <c r="B194" i="1"/>
  <c r="B190" i="1"/>
  <c r="F33" i="12" s="1"/>
  <c r="B186" i="1"/>
  <c r="D33" i="12" s="1"/>
  <c r="B168" i="1"/>
  <c r="B9" i="12" s="1"/>
  <c r="B164" i="1"/>
  <c r="B3" i="12" s="1"/>
  <c r="B149" i="1"/>
  <c r="R9" i="10" s="1"/>
  <c r="B143" i="1"/>
  <c r="O7" i="10" s="1"/>
  <c r="B139" i="1"/>
  <c r="B5" i="10" s="1"/>
  <c r="B135" i="1"/>
  <c r="B40" i="9" s="1"/>
  <c r="B131" i="1"/>
  <c r="B34" i="9" s="1"/>
  <c r="B432" i="1"/>
  <c r="B906" i="1"/>
  <c r="D40" i="53" s="1"/>
  <c r="F2490" i="55" s="1"/>
  <c r="B890" i="1"/>
  <c r="D24" i="53" s="1"/>
  <c r="F2474" i="55" s="1"/>
  <c r="B127" i="1"/>
  <c r="D28" i="9" s="1"/>
  <c r="B123" i="1"/>
  <c r="D23" i="9" s="1"/>
  <c r="B912" i="1"/>
  <c r="D47" i="53" s="1"/>
  <c r="F2497" i="55" s="1"/>
  <c r="B343" i="1"/>
  <c r="B903" i="1"/>
  <c r="D37" i="53" s="1"/>
  <c r="F2487" i="55" s="1"/>
  <c r="B939" i="1"/>
  <c r="D79" i="53" s="1"/>
  <c r="F2529" i="55" s="1"/>
  <c r="B554" i="1"/>
  <c r="B904" i="1"/>
  <c r="D38" i="53" s="1"/>
  <c r="F2488" i="55" s="1"/>
  <c r="B382" i="1"/>
  <c r="A42" i="57" s="1"/>
  <c r="B879" i="1"/>
  <c r="C68" i="53" s="1"/>
  <c r="D2521" i="55" s="1"/>
  <c r="B928" i="1"/>
  <c r="D63" i="53" s="1"/>
  <c r="F2513" i="55" s="1"/>
  <c r="B119" i="1"/>
  <c r="B17" i="9" s="1"/>
  <c r="B433" i="1"/>
  <c r="B944" i="1"/>
  <c r="D85" i="53" s="1"/>
  <c r="F2535" i="55" s="1"/>
  <c r="B357" i="1"/>
  <c r="B955" i="1"/>
  <c r="D103" i="53" s="1"/>
  <c r="F2553" i="55" s="1"/>
  <c r="B930" i="1"/>
  <c r="D65" i="53" s="1"/>
  <c r="F2515" i="55" s="1"/>
  <c r="B961" i="1"/>
  <c r="B449" i="1"/>
  <c r="B21" i="25" s="1"/>
  <c r="D1055" i="55" s="1"/>
  <c r="B465" i="1"/>
  <c r="A37" i="25" s="1"/>
  <c r="D1065" i="55" s="1"/>
  <c r="B896" i="1"/>
  <c r="D30" i="53" s="1"/>
  <c r="F2480" i="55" s="1"/>
  <c r="B783" i="1"/>
  <c r="B555" i="1"/>
  <c r="B938" i="1"/>
  <c r="D78" i="53" s="1"/>
  <c r="F2528" i="55" s="1"/>
  <c r="B731" i="1"/>
  <c r="B882" i="1"/>
  <c r="D15" i="53" s="1"/>
  <c r="E2465" i="55" s="1"/>
  <c r="B730" i="1"/>
  <c r="B459" i="1"/>
  <c r="B30" i="25" s="1"/>
  <c r="D1062" i="55" s="1"/>
  <c r="B891" i="1"/>
  <c r="D25" i="53" s="1"/>
  <c r="F2475" i="55" s="1"/>
  <c r="B907" i="1"/>
  <c r="D41" i="53" s="1"/>
  <c r="F2491" i="55" s="1"/>
  <c r="B405" i="1"/>
  <c r="B951" i="1"/>
  <c r="C97" i="53" s="1"/>
  <c r="D2547" i="55" s="1"/>
  <c r="B727" i="1"/>
  <c r="D30" i="49" s="1"/>
  <c r="E2045" i="55" s="1"/>
  <c r="B423" i="1"/>
  <c r="B919" i="1"/>
  <c r="D54" i="53" s="1"/>
  <c r="F2504" i="55" s="1"/>
  <c r="B425" i="1"/>
  <c r="B715" i="1"/>
  <c r="B716" i="1"/>
  <c r="B923" i="1"/>
  <c r="D58" i="53" s="1"/>
  <c r="F2508" i="55" s="1"/>
  <c r="B888" i="1"/>
  <c r="D22" i="53" s="1"/>
  <c r="B880" i="1"/>
  <c r="C75" i="53" s="1"/>
  <c r="B825" i="1"/>
  <c r="K6" i="52" s="1"/>
  <c r="B451" i="1"/>
  <c r="B23" i="25" s="1"/>
  <c r="D1057" i="55" s="1"/>
  <c r="B457" i="1"/>
  <c r="B922" i="1"/>
  <c r="D57" i="53" s="1"/>
  <c r="F2507" i="55" s="1"/>
  <c r="B898" i="1"/>
  <c r="D32" i="53" s="1"/>
  <c r="F2482" i="55" s="1"/>
  <c r="B952" i="1"/>
  <c r="C99" i="53" s="1"/>
  <c r="D2549" i="55" s="1"/>
  <c r="B914" i="1"/>
  <c r="D49" i="53" s="1"/>
  <c r="F2499" i="55" s="1"/>
  <c r="B800" i="1"/>
  <c r="I105" i="49" s="1"/>
  <c r="B784" i="1"/>
  <c r="D90" i="49" s="1"/>
  <c r="E2085" i="55" s="1"/>
  <c r="B768" i="1"/>
  <c r="D47" i="49" s="1"/>
  <c r="E2070" i="55" s="1"/>
  <c r="B752" i="1"/>
  <c r="D20" i="49" s="1"/>
  <c r="E2054" i="55" s="1"/>
  <c r="B713" i="1"/>
  <c r="C126" i="47" s="1"/>
  <c r="B684" i="1"/>
  <c r="C69" i="47" s="1"/>
  <c r="F1750" i="55" s="1"/>
  <c r="B412" i="1"/>
  <c r="B13" i="23" s="1"/>
  <c r="B244" i="1"/>
  <c r="A10" i="56" s="1"/>
  <c r="A22" i="56" s="1"/>
  <c r="B377" i="1"/>
  <c r="A93" i="57" s="1"/>
  <c r="B358" i="1"/>
  <c r="D77" i="57" s="1"/>
  <c r="F3147" i="55" s="1"/>
  <c r="B334" i="1"/>
  <c r="B311" i="1"/>
  <c r="B299" i="1"/>
  <c r="B236" i="1"/>
  <c r="AZ20" i="13" s="1"/>
  <c r="B230" i="1"/>
  <c r="B223" i="1"/>
  <c r="C19" i="13" s="1"/>
  <c r="B215" i="1"/>
  <c r="B193" i="1"/>
  <c r="B185" i="1"/>
  <c r="B33" i="12" s="1"/>
  <c r="B165" i="1"/>
  <c r="B5" i="12" s="1"/>
  <c r="B162" i="1"/>
  <c r="AD13" i="10" s="1"/>
  <c r="B155" i="1"/>
  <c r="I12" i="10" s="1"/>
  <c r="B146" i="1"/>
  <c r="I9" i="10" s="1"/>
  <c r="B138" i="1"/>
  <c r="B4" i="10" s="1"/>
  <c r="B128" i="1"/>
  <c r="D29" i="9" s="1"/>
  <c r="B120" i="1"/>
  <c r="C19" i="9" s="1"/>
  <c r="B114" i="1"/>
  <c r="D11" i="9" s="1"/>
  <c r="B110" i="1"/>
  <c r="D6" i="9" s="1"/>
  <c r="B98" i="1"/>
  <c r="B109" i="8" s="1"/>
  <c r="B78" i="1"/>
  <c r="B55" i="8" s="1"/>
  <c r="B822" i="1"/>
  <c r="H6" i="52" s="1"/>
  <c r="B30" i="1"/>
  <c r="D37" i="2" s="1"/>
  <c r="B872" i="1"/>
  <c r="D5" i="53" s="1"/>
  <c r="B859" i="1"/>
  <c r="C130" i="52" s="1"/>
  <c r="D2914" i="55" s="1"/>
  <c r="B847" i="1"/>
  <c r="C72" i="52" s="1"/>
  <c r="B839" i="1"/>
  <c r="C55" i="52" s="1"/>
  <c r="B823" i="1"/>
  <c r="J4" i="52" s="1"/>
  <c r="B819" i="1"/>
  <c r="G4" i="52" s="1"/>
  <c r="F2573" i="55" s="1"/>
  <c r="B815" i="1"/>
  <c r="D5" i="52" s="1"/>
  <c r="B807" i="1"/>
  <c r="C120" i="49" s="1"/>
  <c r="B803" i="1"/>
  <c r="C114" i="49" s="1"/>
  <c r="B799" i="1"/>
  <c r="D106" i="49" s="1"/>
  <c r="D2095" i="55" s="1"/>
  <c r="B795" i="1"/>
  <c r="H88" i="49" s="1"/>
  <c r="B791" i="1"/>
  <c r="D98" i="49" s="1"/>
  <c r="E2091" i="55" s="1"/>
  <c r="B787" i="1"/>
  <c r="D93" i="49" s="1"/>
  <c r="B775" i="1"/>
  <c r="D78" i="49" s="1"/>
  <c r="E2080" i="55" s="1"/>
  <c r="B771" i="1"/>
  <c r="D51" i="49" s="1"/>
  <c r="E2074" i="55" s="1"/>
  <c r="B767" i="1"/>
  <c r="D46" i="49" s="1"/>
  <c r="E2069" i="55" s="1"/>
  <c r="B763" i="1"/>
  <c r="D42" i="49" s="1"/>
  <c r="E2065" i="55" s="1"/>
  <c r="B759" i="1"/>
  <c r="D28" i="49" s="1"/>
  <c r="E2061" i="55" s="1"/>
  <c r="B755" i="1"/>
  <c r="D23" i="49" s="1"/>
  <c r="B751" i="1"/>
  <c r="D19" i="49" s="1"/>
  <c r="B747" i="1"/>
  <c r="D13" i="49" s="1"/>
  <c r="E2023" i="55" s="1"/>
  <c r="B743" i="1"/>
  <c r="D9" i="49" s="1"/>
  <c r="E2019" i="55" s="1"/>
  <c r="B739" i="1"/>
  <c r="H7" i="49" s="1"/>
  <c r="D2042" i="55" s="1"/>
  <c r="B725" i="1"/>
  <c r="E8" i="48" s="1"/>
  <c r="B714" i="1"/>
  <c r="C143" i="47" s="1"/>
  <c r="B651" i="1"/>
  <c r="C19" i="47" s="1"/>
  <c r="B441" i="1"/>
  <c r="B6" i="25" s="1"/>
  <c r="B527" i="1"/>
  <c r="O233" i="24" s="1"/>
  <c r="B523" i="1"/>
  <c r="B516" i="1"/>
  <c r="B240" i="24" s="1"/>
  <c r="B439" i="1"/>
  <c r="B435" i="1"/>
  <c r="B417" i="1"/>
  <c r="P13" i="23" s="1"/>
  <c r="B411" i="1"/>
  <c r="B10" i="23" s="1"/>
  <c r="B403" i="1"/>
  <c r="G40" i="22" s="1"/>
  <c r="B399" i="1"/>
  <c r="G11" i="22" s="1"/>
  <c r="B395" i="1"/>
  <c r="D5" i="22" s="1"/>
  <c r="E992" i="55" s="1"/>
  <c r="B392" i="1"/>
  <c r="K5" i="22" s="1"/>
  <c r="B408" i="1"/>
  <c r="B6" i="23" s="1"/>
  <c r="B871" i="1"/>
  <c r="D4" i="53" s="1"/>
  <c r="B824" i="1"/>
  <c r="K4" i="52" s="1"/>
  <c r="B802" i="1"/>
  <c r="C112" i="49" s="1"/>
  <c r="B794" i="1"/>
  <c r="G88" i="49" s="1"/>
  <c r="B786" i="1"/>
  <c r="D92" i="49" s="1"/>
  <c r="B774" i="1"/>
  <c r="D76" i="49" s="1"/>
  <c r="E2079" i="55" s="1"/>
  <c r="B766" i="1"/>
  <c r="D45" i="49" s="1"/>
  <c r="E2068" i="55" s="1"/>
  <c r="B758" i="1"/>
  <c r="D27" i="49" s="1"/>
  <c r="E2060" i="55" s="1"/>
  <c r="B750" i="1"/>
  <c r="D17" i="49" s="1"/>
  <c r="E2026" i="55" s="1"/>
  <c r="B742" i="1"/>
  <c r="K7" i="49" s="1"/>
  <c r="D2081" i="55" s="1"/>
  <c r="B709" i="1"/>
  <c r="C121" i="47" s="1"/>
  <c r="B442" i="1"/>
  <c r="A10" i="25" s="1"/>
  <c r="B436" i="1"/>
  <c r="L23" i="23" s="1"/>
  <c r="B414" i="1"/>
  <c r="F13" i="23" s="1"/>
  <c r="B402" i="1"/>
  <c r="H11" i="22" s="1"/>
  <c r="B394" i="1"/>
  <c r="H4" i="22" s="1"/>
  <c r="B384" i="1"/>
  <c r="A43" i="57" s="1"/>
  <c r="B376" i="1"/>
  <c r="A92" i="57" s="1"/>
  <c r="B333" i="1"/>
  <c r="B314" i="1"/>
  <c r="B300" i="1"/>
  <c r="A37" i="57" s="1"/>
  <c r="B240" i="1"/>
  <c r="AR21" i="13" s="1"/>
  <c r="B235" i="1"/>
  <c r="CJ19" i="13" s="1"/>
  <c r="B229" i="1"/>
  <c r="J19" i="13" s="1"/>
  <c r="B224" i="1"/>
  <c r="E19" i="13" s="1"/>
  <c r="B220" i="1"/>
  <c r="B216" i="1"/>
  <c r="B199" i="1"/>
  <c r="J5" i="13" s="1"/>
  <c r="B196" i="1"/>
  <c r="B28" i="12" s="1"/>
  <c r="B192" i="1"/>
  <c r="B188" i="1"/>
  <c r="F31" i="12" s="1"/>
  <c r="B184" i="1"/>
  <c r="B29" i="12" s="1"/>
  <c r="B166" i="1"/>
  <c r="B6" i="12" s="1"/>
  <c r="B158" i="1"/>
  <c r="X11" i="10" s="1"/>
  <c r="B147" i="1"/>
  <c r="B141" i="1"/>
  <c r="D9" i="10" s="1"/>
  <c r="B137" i="1"/>
  <c r="B3" i="10" s="1"/>
  <c r="B133" i="1"/>
  <c r="D37" i="9" s="1"/>
  <c r="B129" i="1"/>
  <c r="C31" i="9" s="1"/>
  <c r="B125" i="1"/>
  <c r="D26" i="9" s="1"/>
  <c r="B121" i="1"/>
  <c r="D21" i="9" s="1"/>
  <c r="B808" i="1"/>
  <c r="C121" i="49" s="1"/>
  <c r="B776" i="1"/>
  <c r="D80" i="49" s="1"/>
  <c r="E2081" i="55" s="1"/>
  <c r="B760" i="1"/>
  <c r="D36" i="49" s="1"/>
  <c r="E2051" i="55" s="1"/>
  <c r="B744" i="1"/>
  <c r="D10" i="49" s="1"/>
  <c r="E2037" i="55" s="1"/>
  <c r="B720" i="1"/>
  <c r="B467" i="1"/>
  <c r="A4" i="24" s="1"/>
  <c r="B396" i="1"/>
  <c r="D8" i="22" s="1"/>
  <c r="E997" i="55" s="1"/>
  <c r="B354" i="1"/>
  <c r="C77" i="57" s="1"/>
  <c r="F3144" i="55" s="1"/>
  <c r="B330" i="1"/>
  <c r="B323" i="1"/>
  <c r="B239" i="1"/>
  <c r="EC24" i="13" s="1"/>
  <c r="B920" i="1"/>
  <c r="D55" i="53" s="1"/>
  <c r="F2505" i="55" s="1"/>
  <c r="B233" i="1"/>
  <c r="AT19" i="13" s="1"/>
  <c r="B226" i="1"/>
  <c r="G20" i="13" s="1"/>
  <c r="B219" i="1"/>
  <c r="B200" i="1"/>
  <c r="J6" i="13" s="1"/>
  <c r="B189" i="1"/>
  <c r="G31" i="12" s="1"/>
  <c r="B169" i="1"/>
  <c r="D10" i="12" s="1"/>
  <c r="B159" i="1"/>
  <c r="B151" i="1"/>
  <c r="AB9" i="10" s="1"/>
  <c r="B142" i="1"/>
  <c r="F7" i="10" s="1"/>
  <c r="B132" i="1"/>
  <c r="C36" i="9" s="1"/>
  <c r="B124" i="1"/>
  <c r="D24" i="9" s="1"/>
  <c r="B117" i="1"/>
  <c r="D14" i="9" s="1"/>
  <c r="B112" i="1"/>
  <c r="B8" i="9" s="1"/>
  <c r="B108" i="1"/>
  <c r="D4" i="9" s="1"/>
  <c r="B86" i="1"/>
  <c r="B72" i="8" s="1"/>
  <c r="B68" i="1"/>
  <c r="B11" i="8" s="1"/>
  <c r="B66" i="1"/>
  <c r="K4" i="8" s="1"/>
  <c r="B62" i="1"/>
  <c r="C7" i="8" s="1"/>
  <c r="B56" i="1"/>
  <c r="B53" i="6" s="1"/>
  <c r="B53" i="1"/>
  <c r="E15" i="6" s="1"/>
  <c r="B47" i="1"/>
  <c r="B8" i="6" s="1"/>
  <c r="B32" i="1"/>
  <c r="C21" i="2" s="1"/>
  <c r="B20" i="1"/>
  <c r="C26" i="2" s="1"/>
  <c r="B15" i="1"/>
  <c r="C15" i="2" s="1"/>
  <c r="B107" i="1"/>
  <c r="D3" i="9" s="1"/>
  <c r="B111" i="1"/>
  <c r="E7" i="9" s="1"/>
  <c r="B115" i="1"/>
  <c r="D12" i="9" s="1"/>
  <c r="B140" i="1"/>
  <c r="B9" i="10" s="1"/>
  <c r="B167" i="1"/>
  <c r="B7" i="12" s="1"/>
  <c r="B191" i="1"/>
  <c r="F34" i="12" s="1"/>
  <c r="B221" i="1"/>
  <c r="DX17" i="13" s="1"/>
  <c r="B400" i="1"/>
  <c r="G12" i="22" s="1"/>
  <c r="B438" i="1"/>
  <c r="B94" i="23" s="1"/>
  <c r="B740" i="1"/>
  <c r="I7" i="49" s="1"/>
  <c r="B756" i="1"/>
  <c r="B772" i="1"/>
  <c r="D53" i="49" s="1"/>
  <c r="E2076" i="55" s="1"/>
  <c r="B828" i="1"/>
  <c r="N4" i="52" s="1"/>
  <c r="B804" i="1"/>
  <c r="D116" i="49" s="1"/>
  <c r="B788" i="1"/>
  <c r="D94" i="49" s="1"/>
  <c r="B452" i="1"/>
  <c r="A25" i="25" s="1"/>
  <c r="B385" i="1"/>
  <c r="A44" i="57" s="1"/>
  <c r="B360" i="1"/>
  <c r="B336" i="1"/>
  <c r="B321" i="1"/>
  <c r="B313" i="1"/>
  <c r="B237" i="1"/>
  <c r="B228" i="1"/>
  <c r="B202" i="1"/>
  <c r="B4" i="13" s="1"/>
  <c r="B134" i="1"/>
  <c r="D38" i="9" s="1"/>
  <c r="B126" i="1"/>
  <c r="D27" i="9" s="1"/>
  <c r="B118" i="1"/>
  <c r="D15" i="9" s="1"/>
  <c r="B61" i="1"/>
  <c r="C6" i="8" s="1"/>
  <c r="B50" i="1"/>
  <c r="B11" i="6" s="1"/>
  <c r="B46" i="1"/>
  <c r="B4" i="6" s="1"/>
  <c r="B33" i="1"/>
  <c r="D22" i="2" s="1"/>
  <c r="B21" i="1"/>
  <c r="D28" i="2" s="1"/>
  <c r="B16" i="1"/>
  <c r="D16" i="2" s="1"/>
  <c r="B67" i="1"/>
  <c r="M4" i="8" s="1"/>
  <c r="B65" i="1"/>
  <c r="B206" i="1"/>
  <c r="AL17" i="13" s="1"/>
  <c r="B89" i="1"/>
  <c r="C90" i="8" s="1"/>
  <c r="D85" i="55" s="1"/>
  <c r="B103" i="1"/>
  <c r="B128" i="8" s="1"/>
  <c r="D242" i="55" s="1"/>
  <c r="B145" i="1"/>
  <c r="F9" i="10" s="1"/>
  <c r="D7632" i="55" s="1"/>
  <c r="B64" i="1"/>
  <c r="F4" i="8" s="1"/>
  <c r="B60" i="1"/>
  <c r="C5" i="8" s="1"/>
  <c r="B54" i="1"/>
  <c r="B50" i="6" s="1"/>
  <c r="B51" i="1"/>
  <c r="B13" i="6" s="1"/>
  <c r="B34" i="1"/>
  <c r="D23" i="2" s="1"/>
  <c r="B28" i="1"/>
  <c r="C35" i="2" s="1"/>
  <c r="B17" i="1"/>
  <c r="D17" i="2" s="1"/>
  <c r="B109" i="1"/>
  <c r="D5" i="9" s="1"/>
  <c r="B113" i="1"/>
  <c r="C10" i="9" s="1"/>
  <c r="B116" i="1"/>
  <c r="D13" i="9" s="1"/>
  <c r="B409" i="1"/>
  <c r="B7" i="23" s="1"/>
  <c r="B144" i="1"/>
  <c r="X7" i="10" s="1"/>
  <c r="B187" i="1"/>
  <c r="F28" i="12" s="1"/>
  <c r="B217" i="1"/>
  <c r="B305" i="1"/>
  <c r="B416" i="1"/>
  <c r="N13" i="23" s="1"/>
  <c r="D1031" i="55" s="1"/>
  <c r="B748" i="1"/>
  <c r="B764" i="1"/>
  <c r="D43" i="49" s="1"/>
  <c r="E2066" i="55" s="1"/>
  <c r="B431" i="1"/>
  <c r="B858" i="1"/>
  <c r="C128" i="52" s="1"/>
  <c r="D2668" i="55" s="1"/>
  <c r="B873" i="1"/>
  <c r="D6" i="53" s="1"/>
  <c r="B814" i="1"/>
  <c r="D4" i="52" s="1"/>
  <c r="B796" i="1"/>
  <c r="I88" i="49" s="1"/>
  <c r="B717" i="1"/>
  <c r="B528" i="1"/>
  <c r="B407" i="1"/>
  <c r="B5" i="23" s="1"/>
  <c r="B375" i="1"/>
  <c r="B364" i="1"/>
  <c r="A88" i="57" s="1"/>
  <c r="B332" i="1"/>
  <c r="B225" i="1"/>
  <c r="B198" i="1"/>
  <c r="J4" i="13" s="1"/>
  <c r="B157" i="1"/>
  <c r="B130" i="1"/>
  <c r="D32" i="9" s="1"/>
  <c r="B122" i="1"/>
  <c r="D22" i="9" s="1"/>
  <c r="B59" i="1"/>
  <c r="C4" i="8" s="1"/>
  <c r="B52" i="1"/>
  <c r="C15" i="6" s="1"/>
  <c r="B35" i="1"/>
  <c r="D24" i="2" s="1"/>
  <c r="B29" i="1"/>
  <c r="D36" i="2" s="1"/>
  <c r="B19" i="1"/>
  <c r="D19" i="2" s="1"/>
  <c r="B14" i="1"/>
  <c r="C13" i="2" s="1"/>
  <c r="B105" i="1"/>
  <c r="B136" i="8" s="1"/>
  <c r="D248" i="55" s="1"/>
  <c r="B654" i="1"/>
  <c r="C24" i="47" s="1"/>
  <c r="B696" i="1"/>
  <c r="C84" i="47" s="1"/>
  <c r="B813" i="1"/>
  <c r="B1" i="52" s="1"/>
  <c r="B497" i="1"/>
  <c r="B113" i="24" s="1"/>
  <c r="E1268" i="55" s="1"/>
  <c r="B546" i="1"/>
  <c r="A226" i="24" s="1"/>
  <c r="D1454" i="55" s="1"/>
  <c r="B682" i="1"/>
  <c r="C67" i="47" s="1"/>
  <c r="F1644" i="55" s="1"/>
  <c r="B468" i="1"/>
  <c r="A5" i="24" s="1"/>
  <c r="D1082" i="55" s="1"/>
  <c r="B481" i="1"/>
  <c r="A63" i="24" s="1"/>
  <c r="B487" i="1"/>
  <c r="A84" i="24" s="1"/>
  <c r="B148" i="1"/>
  <c r="O9" i="10" s="1"/>
  <c r="D686" i="55" s="1"/>
  <c r="B544" i="1"/>
  <c r="B218" i="24" s="1"/>
  <c r="B548" i="1"/>
  <c r="B236" i="24" s="1"/>
  <c r="B479" i="1"/>
  <c r="B53" i="24" s="1"/>
  <c r="B549" i="1"/>
  <c r="B237" i="24" s="1"/>
  <c r="E1465" i="55" s="1"/>
  <c r="B676" i="1"/>
  <c r="C57" i="47" s="1"/>
  <c r="F1585" i="55" s="1"/>
  <c r="B688" i="1"/>
  <c r="C74" i="47" s="1"/>
  <c r="B450" i="1"/>
  <c r="B22" i="25" s="1"/>
  <c r="D1056" i="55" s="1"/>
  <c r="B728" i="1"/>
  <c r="B649" i="1"/>
  <c r="W17" i="47" s="1"/>
  <c r="B680" i="1"/>
  <c r="C64" i="47" s="1"/>
  <c r="B691" i="1"/>
  <c r="C78" i="47" s="1"/>
  <c r="B641" i="1"/>
  <c r="C15" i="47" s="1"/>
  <c r="D1825" i="55" s="1"/>
  <c r="B504" i="1"/>
  <c r="B659" i="1"/>
  <c r="C32" i="47" s="1"/>
  <c r="F1515" i="55" s="1"/>
  <c r="B671" i="1"/>
  <c r="C48" i="47" s="1"/>
  <c r="F1943" i="55" s="1"/>
  <c r="B675" i="1"/>
  <c r="C55" i="47" s="1"/>
  <c r="F1843" i="55" s="1"/>
  <c r="B707" i="1"/>
  <c r="B661" i="1"/>
  <c r="C35" i="47" s="1"/>
  <c r="F1726" i="55" s="1"/>
  <c r="B669" i="1"/>
  <c r="B673" i="1"/>
  <c r="C51" i="47" s="1"/>
  <c r="F1737" i="55" s="1"/>
  <c r="B136" i="1"/>
  <c r="B1" i="10" s="1"/>
  <c r="C769" i="55" s="1"/>
  <c r="B495" i="1"/>
  <c r="B111" i="24" s="1"/>
  <c r="B540" i="1"/>
  <c r="B674" i="1"/>
  <c r="C53" i="47" s="1"/>
  <c r="F1842" i="55" s="1"/>
  <c r="B690" i="1"/>
  <c r="C77" i="47" s="1"/>
  <c r="B485" i="1"/>
  <c r="B76" i="24" s="1"/>
  <c r="E1196" i="55" s="1"/>
  <c r="B489" i="1"/>
  <c r="B92" i="24" s="1"/>
  <c r="B534" i="1"/>
  <c r="B191" i="24" s="1"/>
  <c r="E1373" i="55" s="1"/>
  <c r="B830" i="1"/>
  <c r="D13" i="52" s="1"/>
  <c r="B505" i="1"/>
  <c r="B510" i="1"/>
  <c r="B530" i="1"/>
  <c r="A168" i="24" s="1"/>
  <c r="D1363" i="55" s="1"/>
  <c r="B536" i="1"/>
  <c r="B201" i="24" s="1"/>
  <c r="E1417" i="55" s="1"/>
  <c r="B542" i="1"/>
  <c r="B204" i="24" s="1"/>
  <c r="E1391" i="55" s="1"/>
  <c r="B550" i="1"/>
  <c r="A243" i="24" s="1"/>
  <c r="B668" i="1"/>
  <c r="C45" i="47" s="1"/>
  <c r="F1836" i="55" s="1"/>
  <c r="B692" i="1"/>
  <c r="C79" i="47" s="1"/>
  <c r="B694" i="1"/>
  <c r="C81" i="47" s="1"/>
  <c r="F1657" i="55" s="1"/>
  <c r="B175" i="1"/>
  <c r="B17" i="12" s="1"/>
  <c r="B369" i="1"/>
  <c r="G88" i="57" s="1"/>
  <c r="B492" i="1"/>
  <c r="A102" i="24" s="1"/>
  <c r="B503" i="1"/>
  <c r="B135" i="24" s="1"/>
  <c r="E1309" i="55" s="1"/>
  <c r="B856" i="1"/>
  <c r="D121" i="52" s="1"/>
  <c r="D2198" i="55" s="1"/>
  <c r="B935" i="1"/>
  <c r="D72" i="53" s="1"/>
  <c r="E2522" i="55" s="1"/>
  <c r="B678" i="1"/>
  <c r="C61" i="47" s="1"/>
  <c r="B496" i="1"/>
  <c r="B112" i="24" s="1"/>
  <c r="E1243" i="55" s="1"/>
  <c r="B365" i="1"/>
  <c r="C88" i="57" s="1"/>
  <c r="B852" i="1"/>
  <c r="D106" i="52" s="1"/>
  <c r="D2771" i="55" s="1"/>
  <c r="B466" i="1"/>
  <c r="B1" i="24" s="1"/>
  <c r="B826" i="1"/>
  <c r="L4" i="52" s="1"/>
  <c r="F2284" i="55" s="1"/>
  <c r="B658" i="1"/>
  <c r="C30" i="47" s="1"/>
  <c r="B662" i="1"/>
  <c r="C36" i="47" s="1"/>
  <c r="B491" i="1"/>
  <c r="B95" i="24" s="1"/>
  <c r="B303" i="1"/>
  <c r="B532" i="1"/>
  <c r="B176" i="24" s="1"/>
  <c r="E1371" i="55" s="1"/>
  <c r="B667" i="1"/>
  <c r="C43" i="47" s="1"/>
  <c r="F1939" i="55" s="1"/>
  <c r="B657" i="1"/>
  <c r="C28" i="47" s="1"/>
  <c r="B440" i="1"/>
  <c r="B1" i="25" s="1"/>
  <c r="B704" i="1"/>
  <c r="C96" i="47" s="1"/>
  <c r="B70" i="1"/>
  <c r="C18" i="8" s="1"/>
  <c r="B80" i="1"/>
  <c r="C62" i="8" s="1"/>
  <c r="D61" i="55" s="1"/>
  <c r="B173" i="1"/>
  <c r="B15" i="12" s="1"/>
  <c r="B177" i="1"/>
  <c r="B19" i="12" s="1"/>
  <c r="B181" i="1"/>
  <c r="B23" i="12" s="1"/>
  <c r="B512" i="1"/>
  <c r="B154" i="24" s="1"/>
  <c r="B531" i="1"/>
  <c r="B175" i="24" s="1"/>
  <c r="E1358" i="55" s="1"/>
  <c r="B535" i="1"/>
  <c r="A197" i="24" s="1"/>
  <c r="D1398" i="55" s="1"/>
  <c r="B539" i="1"/>
  <c r="B543" i="1"/>
  <c r="A211" i="24" s="1"/>
  <c r="B656" i="1"/>
  <c r="C27" i="47" s="1"/>
  <c r="B705" i="1"/>
  <c r="C110" i="47" s="1"/>
  <c r="B72" i="1"/>
  <c r="C28" i="8" s="1"/>
  <c r="D29" i="55" s="1"/>
  <c r="B76" i="1"/>
  <c r="C48" i="8" s="1"/>
  <c r="B498" i="1"/>
  <c r="B115" i="24" s="1"/>
  <c r="E1239" i="55" s="1"/>
  <c r="B502" i="1"/>
  <c r="B133" i="24" s="1"/>
  <c r="B509" i="1"/>
  <c r="B151" i="24" s="1"/>
  <c r="E1342" i="55" s="1"/>
  <c r="B515" i="1"/>
  <c r="B157" i="24" s="1"/>
  <c r="B533" i="1"/>
  <c r="A184" i="24" s="1"/>
  <c r="B541" i="1"/>
  <c r="B545" i="1"/>
  <c r="B219" i="24" s="1"/>
  <c r="B850" i="1"/>
  <c r="D90" i="52" s="1"/>
  <c r="D2415" i="55" s="1"/>
  <c r="B840" i="1"/>
  <c r="D57" i="52" s="1"/>
  <c r="D2604" i="55" s="1"/>
  <c r="B210" i="1"/>
  <c r="B245" i="1"/>
  <c r="C10" i="56" s="1"/>
  <c r="B831" i="1"/>
  <c r="D18" i="52" s="1"/>
  <c r="B666" i="1"/>
  <c r="C42" i="47" s="1"/>
  <c r="F1730" i="55" s="1"/>
  <c r="B476" i="1"/>
  <c r="A44" i="24" s="1"/>
  <c r="D1155" i="55" s="1"/>
  <c r="B404" i="1"/>
  <c r="B1" i="23" s="1"/>
  <c r="C1012" i="55" s="1"/>
  <c r="B374" i="1"/>
  <c r="A91" i="57" s="1"/>
  <c r="B493" i="1"/>
  <c r="B109" i="24" s="1"/>
  <c r="B637" i="1"/>
  <c r="C10" i="47" s="1"/>
  <c r="F1500" i="55" s="1"/>
  <c r="B304" i="1"/>
  <c r="B246" i="1"/>
  <c r="D10" i="56" s="1"/>
  <c r="B58" i="1"/>
  <c r="B1" i="8" s="1"/>
  <c r="C242" i="55" s="1"/>
  <c r="B848" i="1"/>
  <c r="D74" i="52" s="1"/>
  <c r="B362" i="1"/>
  <c r="A87" i="57" s="1"/>
  <c r="B653" i="1"/>
  <c r="C22" i="47" s="1"/>
  <c r="B866" i="1"/>
  <c r="D132" i="52" s="1"/>
  <c r="B833" i="1"/>
  <c r="D28" i="52" s="1"/>
  <c r="B712" i="1"/>
  <c r="B183" i="1"/>
  <c r="B25" i="12" s="1"/>
  <c r="B74" i="1"/>
  <c r="C38" i="8" s="1"/>
  <c r="D37" i="55" s="1"/>
  <c r="B708" i="1"/>
  <c r="C116" i="47" s="1"/>
  <c r="D2008" i="55" s="1"/>
  <c r="B551" i="1"/>
  <c r="B250" i="24" s="1"/>
  <c r="E1475" i="55" s="1"/>
  <c r="B537" i="1"/>
  <c r="B202" i="24" s="1"/>
  <c r="B232" i="1"/>
  <c r="B650" i="1"/>
  <c r="AB17" i="47" s="1"/>
  <c r="B499" i="1"/>
  <c r="A122" i="24" s="1"/>
  <c r="D1280" i="55" s="1"/>
  <c r="B695" i="1"/>
  <c r="C83" i="47" s="1"/>
  <c r="B176" i="1"/>
  <c r="B18" i="12" s="1"/>
  <c r="B484" i="1"/>
  <c r="B538" i="1"/>
  <c r="B203" i="24" s="1"/>
  <c r="E3056" i="55" s="1"/>
  <c r="B832" i="1"/>
  <c r="D23" i="52" s="1"/>
  <c r="B79" i="1"/>
  <c r="C57" i="8" s="1"/>
  <c r="D54" i="55" s="1"/>
  <c r="B687" i="1"/>
  <c r="C73" i="47" s="1"/>
  <c r="F1702" i="55" s="1"/>
  <c r="B841" i="1"/>
  <c r="D62" i="52" s="1"/>
  <c r="D2267" i="55" s="1"/>
  <c r="B867" i="1"/>
  <c r="D133" i="52" s="1"/>
  <c r="B75" i="1"/>
  <c r="C43" i="8" s="1"/>
  <c r="D167" i="55" s="1"/>
  <c r="B413" i="1"/>
  <c r="D13" i="23" s="1"/>
  <c r="B547" i="1"/>
  <c r="B235" i="24" s="1"/>
  <c r="E1455" i="55" s="1"/>
  <c r="B241" i="1"/>
  <c r="B1" i="56" s="1"/>
  <c r="B500" i="1"/>
  <c r="B131" i="24" s="1"/>
  <c r="E1292" i="55" s="1"/>
  <c r="B372" i="1"/>
  <c r="A89" i="57" s="1"/>
  <c r="B478" i="1"/>
  <c r="B54" i="24" s="1"/>
  <c r="B857" i="1"/>
  <c r="D126" i="52" s="1"/>
  <c r="B838" i="1"/>
  <c r="D53" i="52" s="1"/>
  <c r="D2844" i="55" s="1"/>
  <c r="B71" i="1"/>
  <c r="C23" i="8" s="1"/>
  <c r="D147" i="55" s="1"/>
  <c r="B483" i="1"/>
  <c r="B73" i="24" s="1"/>
  <c r="E1176" i="55" s="1"/>
  <c r="B681" i="1"/>
  <c r="C65" i="47" s="1"/>
  <c r="B693" i="1"/>
  <c r="C80" i="47" s="1"/>
  <c r="B45" i="1"/>
  <c r="B1" i="6" s="1"/>
  <c r="B836" i="1"/>
  <c r="D43" i="52" s="1"/>
  <c r="D2593" i="55" s="1"/>
  <c r="B161" i="1"/>
  <c r="B506" i="1"/>
  <c r="A144" i="24" s="1"/>
  <c r="D1353" i="55" s="1"/>
  <c r="B482" i="1"/>
  <c r="B72" i="24" s="1"/>
  <c r="B552" i="1"/>
  <c r="B251" i="24" s="1"/>
  <c r="B639" i="1"/>
  <c r="C12" i="47" s="1"/>
  <c r="B835" i="1"/>
  <c r="D38" i="52" s="1"/>
  <c r="D2247" i="55" s="1"/>
  <c r="B342" i="1"/>
  <c r="A65" i="57" s="1"/>
  <c r="B73" i="1"/>
  <c r="C33" i="8" s="1"/>
  <c r="B87" i="1"/>
  <c r="C74" i="8" s="1"/>
  <c r="D70" i="55" s="1"/>
  <c r="B842" i="1"/>
  <c r="D67" i="52" s="1"/>
  <c r="B834" i="1"/>
  <c r="D33" i="52" s="1"/>
  <c r="B69" i="1"/>
  <c r="C13" i="8" s="1"/>
  <c r="B100" i="1"/>
  <c r="C116" i="8" s="1"/>
  <c r="D230" i="55" s="1"/>
  <c r="B104" i="1"/>
  <c r="B130" i="8" s="1"/>
  <c r="B480" i="1"/>
  <c r="B56" i="24" s="1"/>
  <c r="E1137" i="55" s="1"/>
  <c r="B638" i="1"/>
  <c r="C11" i="47" s="1"/>
  <c r="F1501" i="55" s="1"/>
  <c r="B209" i="1"/>
  <c r="B328" i="1"/>
  <c r="B854" i="1"/>
  <c r="D111" i="52" s="1"/>
  <c r="D2311" i="55" s="1"/>
  <c r="B335" i="1"/>
  <c r="B679" i="1"/>
  <c r="C63" i="47" s="1"/>
  <c r="B153" i="1"/>
  <c r="G11" i="10" s="1"/>
  <c r="E393" i="55" s="1"/>
  <c r="B652" i="1"/>
  <c r="C21" i="47" s="1"/>
  <c r="F1717" i="55" s="1"/>
  <c r="B721" i="1"/>
  <c r="B1" i="48" s="1"/>
  <c r="B851" i="1"/>
  <c r="D98" i="52" s="1"/>
  <c r="B670" i="1"/>
  <c r="C47" i="47" s="1"/>
  <c r="B90" i="1"/>
  <c r="C98" i="8" s="1"/>
  <c r="D94" i="55" s="1"/>
  <c r="B477" i="1"/>
  <c r="B655" i="1"/>
  <c r="C25" i="47" s="1"/>
  <c r="F1823" i="55" s="1"/>
  <c r="B213" i="1"/>
  <c r="DD17" i="13" s="1"/>
  <c r="B677" i="1"/>
  <c r="C59" i="47" s="1"/>
  <c r="B645" i="1"/>
  <c r="J17" i="47" s="1"/>
  <c r="B724" i="1"/>
  <c r="D8" i="48" s="1"/>
  <c r="B855" i="1"/>
  <c r="D116" i="52" s="1"/>
  <c r="B179" i="1"/>
  <c r="B21" i="12" s="1"/>
  <c r="B367" i="1"/>
  <c r="E88" i="57" s="1"/>
  <c r="B182" i="1"/>
  <c r="B24" i="12" s="1"/>
  <c r="B102" i="1"/>
  <c r="C126" i="8" s="1"/>
  <c r="B152" i="1"/>
  <c r="O11" i="10" s="1"/>
  <c r="E595" i="55" s="1"/>
  <c r="B697" i="1"/>
  <c r="C85" i="47" s="1"/>
  <c r="F1556" i="55" s="1"/>
  <c r="B212" i="1"/>
  <c r="C13" i="13" s="1"/>
  <c r="B519" i="1"/>
  <c r="B514" i="1"/>
  <c r="B156" i="24" s="1"/>
  <c r="E1345" i="55" s="1"/>
  <c r="B837" i="1"/>
  <c r="D48" i="52" s="1"/>
  <c r="D2597" i="55" s="1"/>
  <c r="B81" i="1"/>
  <c r="C67" i="8" s="1"/>
  <c r="B329" i="1"/>
  <c r="B327" i="1"/>
  <c r="B470" i="1"/>
  <c r="B861" i="1"/>
  <c r="E92" i="52" s="1"/>
  <c r="B860" i="1"/>
  <c r="B156" i="1"/>
  <c r="U11" i="10" s="1"/>
  <c r="B207" i="1"/>
  <c r="B214" i="1"/>
  <c r="C15" i="13" s="1"/>
  <c r="B475" i="1"/>
  <c r="B471" i="1"/>
  <c r="B33" i="24" s="1"/>
  <c r="B160" i="1"/>
  <c r="B203" i="1"/>
  <c r="E17" i="13" s="1"/>
  <c r="B211" i="1"/>
  <c r="B204" i="1"/>
  <c r="B154" i="1"/>
  <c r="B472" i="1"/>
  <c r="B34" i="24" s="1"/>
  <c r="B473" i="1"/>
  <c r="B366" i="1"/>
  <c r="D88" i="57" s="1"/>
  <c r="F3156" i="55" s="1"/>
  <c r="B85" i="1"/>
  <c r="B69" i="8" s="1"/>
  <c r="B170" i="1"/>
  <c r="B12" i="12" s="1"/>
  <c r="B178" i="1"/>
  <c r="B20" i="12" s="1"/>
  <c r="B370" i="1"/>
  <c r="H88" i="57" s="1"/>
  <c r="F3174" i="55" s="1"/>
  <c r="B171" i="1"/>
  <c r="B13" i="12" s="1"/>
  <c r="B348" i="1"/>
  <c r="A76" i="57" s="1"/>
  <c r="B91" i="1"/>
  <c r="C106" i="8" s="1"/>
  <c r="B862" i="1"/>
  <c r="B208" i="1"/>
  <c r="C9" i="13" s="1"/>
  <c r="B643" i="1"/>
  <c r="F17" i="47" s="1"/>
  <c r="B520" i="1"/>
  <c r="B864" i="1"/>
  <c r="E87" i="52" s="1"/>
  <c r="B205" i="1"/>
  <c r="AB17" i="13" s="1"/>
  <c r="B863" i="1"/>
  <c r="B99" i="1"/>
  <c r="C111" i="8" s="1"/>
  <c r="D104" i="55" s="1"/>
  <c r="B180" i="1"/>
  <c r="B22" i="12" s="1"/>
  <c r="B174" i="1"/>
  <c r="B16" i="12" s="1"/>
  <c r="B488" i="1"/>
  <c r="B91" i="24" s="1"/>
  <c r="B501" i="1"/>
  <c r="B132" i="24" s="1"/>
  <c r="E1272" i="55" s="1"/>
  <c r="B486" i="1"/>
  <c r="B77" i="24" s="1"/>
  <c r="E1185" i="55" s="1"/>
  <c r="B490" i="1"/>
  <c r="B93" i="24" s="1"/>
  <c r="B507" i="1"/>
  <c r="B149" i="24" s="1"/>
  <c r="E1320" i="55" s="1"/>
  <c r="B865" i="1"/>
  <c r="B469" i="1"/>
  <c r="A26" i="24" s="1"/>
  <c r="D1127" i="55" s="1"/>
  <c r="B685" i="1"/>
  <c r="C70" i="47" s="1"/>
  <c r="F1803" i="55" s="1"/>
  <c r="B689" i="1"/>
  <c r="C75" i="47" s="1"/>
  <c r="F1860" i="55" s="1"/>
  <c r="B683" i="1"/>
  <c r="C68" i="47" s="1"/>
  <c r="F1801" i="55" s="1"/>
  <c r="B845" i="1"/>
  <c r="E15" i="52" s="1"/>
  <c r="B368" i="1"/>
  <c r="F88" i="57" s="1"/>
  <c r="B553" i="1"/>
  <c r="B252" i="24" s="1"/>
  <c r="E1485" i="55" s="1"/>
  <c r="B101" i="1"/>
  <c r="C121" i="8" s="1"/>
  <c r="B827" i="1"/>
  <c r="M4" i="52" s="1"/>
  <c r="B172" i="1"/>
  <c r="B14" i="12" s="1"/>
  <c r="B640" i="1"/>
  <c r="C13" i="47" s="1"/>
  <c r="B660" i="1"/>
  <c r="C33" i="47" s="1"/>
  <c r="B77" i="1"/>
  <c r="C53" i="8" s="1"/>
  <c r="D174" i="55" s="1"/>
  <c r="B686" i="1"/>
  <c r="C72" i="47" s="1"/>
  <c r="F1961" i="55" s="1"/>
  <c r="B869" i="1"/>
  <c r="B1" i="53" s="1"/>
  <c r="C2476" i="55" s="1"/>
  <c r="B849" i="1"/>
  <c r="D82" i="52" s="1"/>
  <c r="D2406" i="55" s="1"/>
  <c r="B88" i="1"/>
  <c r="C82" i="8" s="1"/>
  <c r="B846" i="1"/>
  <c r="E46" i="52" s="1"/>
  <c r="E2593" i="55" s="1"/>
  <c r="B521" i="1"/>
  <c r="I13" i="24" s="1"/>
  <c r="F2997" i="55" s="1"/>
  <c r="B844" i="1"/>
  <c r="B644" i="1"/>
  <c r="H17" i="47" s="1"/>
  <c r="H63" i="47" s="1"/>
  <c r="B526" i="1"/>
  <c r="B522" i="1"/>
  <c r="J32" i="24" s="1"/>
  <c r="F1121" i="55" s="1"/>
  <c r="B524" i="1"/>
  <c r="B97" i="1"/>
  <c r="D96" i="8" s="1"/>
  <c r="E213" i="55" s="1"/>
  <c r="B461" i="1"/>
  <c r="B429" i="1"/>
  <c r="B886" i="1"/>
  <c r="D19" i="53" s="1"/>
  <c r="E2469" i="55" s="1"/>
  <c r="B647" i="1"/>
  <c r="N17" i="47" s="1"/>
  <c r="E1741" i="55" s="1"/>
  <c r="B932" i="1"/>
  <c r="D69" i="53" s="1"/>
  <c r="E2519" i="55" s="1"/>
  <c r="B363" i="1"/>
  <c r="B454" i="1"/>
  <c r="B27" i="25" s="1"/>
  <c r="D1059" i="55" s="1"/>
  <c r="B646" i="1"/>
  <c r="L17" i="47" s="1"/>
  <c r="E1694" i="55" s="1"/>
  <c r="B735" i="1"/>
  <c r="B1" i="49" s="1"/>
  <c r="C2050" i="55" s="1"/>
  <c r="B462" i="1"/>
  <c r="B950" i="1"/>
  <c r="C95" i="53" s="1"/>
  <c r="D2545" i="55" s="1"/>
  <c r="B39" i="1"/>
  <c r="C4" i="4" s="1"/>
  <c r="B464" i="1"/>
  <c r="A34" i="25" s="1"/>
  <c r="D1064" i="55" s="1"/>
  <c r="B95" i="1"/>
  <c r="B947" i="1"/>
  <c r="C91" i="53" s="1"/>
  <c r="D2541" i="55" s="1"/>
  <c r="B934" i="1"/>
  <c r="D71" i="53" s="1"/>
  <c r="E2521" i="55" s="1"/>
  <c r="B92" i="1"/>
  <c r="B877" i="1"/>
  <c r="B12" i="53" s="1"/>
  <c r="D2462" i="55" s="1"/>
  <c r="B446" i="1"/>
  <c r="B18" i="25" s="1"/>
  <c r="D1052" i="55" s="1"/>
  <c r="B448" i="1"/>
  <c r="B20" i="25" s="1"/>
  <c r="D1054" i="55" s="1"/>
  <c r="B916" i="1"/>
  <c r="D51" i="53" s="1"/>
  <c r="F2501" i="55" s="1"/>
  <c r="B726" i="1"/>
  <c r="F8" i="48" s="1"/>
  <c r="E2017" i="55" s="1"/>
  <c r="B883" i="1"/>
  <c r="D16" i="53" s="1"/>
  <c r="E2466" i="55" s="1"/>
  <c r="B346" i="1"/>
  <c r="C66" i="57" s="1"/>
  <c r="E3142" i="55" s="1"/>
  <c r="B37" i="1"/>
  <c r="B1" i="4" s="1"/>
  <c r="C8" i="4" s="1"/>
  <c r="B925" i="1"/>
  <c r="D60" i="53" s="1"/>
  <c r="F2510" i="55" s="1"/>
  <c r="B889" i="1"/>
  <c r="D23" i="53" s="1"/>
  <c r="F2473" i="55" s="1"/>
  <c r="B941" i="1"/>
  <c r="D82" i="53" s="1"/>
  <c r="E2532" i="55" s="1"/>
  <c r="B909" i="1"/>
  <c r="D43" i="53" s="1"/>
  <c r="F2493" i="55" s="1"/>
  <c r="B36" i="1"/>
  <c r="B1" i="3" s="1"/>
  <c r="C7" i="4" s="1"/>
  <c r="B444" i="1"/>
  <c r="B16" i="25" s="1"/>
  <c r="D1050" i="55" s="1"/>
  <c r="B427" i="1"/>
  <c r="B463" i="1"/>
  <c r="B948" i="1"/>
  <c r="C92" i="53" s="1"/>
  <c r="D2542" i="55" s="1"/>
  <c r="B445" i="1"/>
  <c r="B17" i="25" s="1"/>
  <c r="D1051" i="55" s="1"/>
  <c r="B913" i="1"/>
  <c r="D48" i="53" s="1"/>
  <c r="F2498" i="55" s="1"/>
  <c r="B94" i="1"/>
  <c r="B926" i="1"/>
  <c r="D61" i="53" s="1"/>
  <c r="F2511" i="55" s="1"/>
  <c r="B893" i="1"/>
  <c r="D27" i="53" s="1"/>
  <c r="F2477" i="55" s="1"/>
  <c r="B96" i="1"/>
  <c r="D79" i="8" s="1"/>
  <c r="E74" i="55" s="1"/>
  <c r="B962" i="1"/>
  <c r="B895" i="1"/>
  <c r="D29" i="53" s="1"/>
  <c r="F2479" i="55" s="1"/>
  <c r="B901" i="1"/>
  <c r="D35" i="53" s="1"/>
  <c r="F2485" i="55" s="1"/>
  <c r="B897" i="1"/>
  <c r="D31" i="53" s="1"/>
  <c r="F2481" i="55" s="1"/>
  <c r="B918" i="1"/>
  <c r="D53" i="53" s="1"/>
  <c r="F2503" i="55" s="1"/>
  <c r="B900" i="1"/>
  <c r="D34" i="53" s="1"/>
  <c r="F2484" i="55" s="1"/>
  <c r="B341" i="1"/>
  <c r="B881" i="1"/>
  <c r="C87" i="53" s="1"/>
  <c r="B729" i="1"/>
  <c r="B924" i="1"/>
  <c r="D59" i="53" s="1"/>
  <c r="F2509" i="55" s="1"/>
  <c r="B732" i="1"/>
  <c r="C15" i="48" s="1"/>
  <c r="D2016" i="55" s="1"/>
  <c r="B933" i="1"/>
  <c r="D70" i="53" s="1"/>
  <c r="E2520" i="55" s="1"/>
  <c r="B352" i="1"/>
  <c r="E79" i="57" s="1"/>
  <c r="E3149" i="55" s="1"/>
  <c r="B910" i="1"/>
  <c r="D45" i="53" s="1"/>
  <c r="E2514" i="55" s="1"/>
  <c r="B106" i="1"/>
  <c r="B1" i="9" s="1"/>
  <c r="C13" i="4" s="1"/>
  <c r="B426" i="1"/>
  <c r="B419" i="1"/>
  <c r="B942" i="1"/>
  <c r="D83" i="53" s="1"/>
  <c r="F2533" i="55" s="1"/>
  <c r="B949" i="1"/>
  <c r="C93" i="53" s="1"/>
  <c r="D2543" i="55" s="1"/>
  <c r="B718" i="1"/>
  <c r="B93" i="1"/>
  <c r="D84" i="8" s="1"/>
  <c r="E201" i="55" s="1"/>
  <c r="B733" i="1"/>
  <c r="C17" i="48" s="1"/>
  <c r="D2017" i="55" s="1"/>
  <c r="B927" i="1"/>
  <c r="D62" i="53" s="1"/>
  <c r="F2512" i="55" s="1"/>
  <c r="B915" i="1"/>
  <c r="D50" i="53" s="1"/>
  <c r="F2500" i="55" s="1"/>
  <c r="B931" i="1"/>
  <c r="D66" i="53" s="1"/>
  <c r="F2516" i="55" s="1"/>
  <c r="B430" i="1"/>
  <c r="B780" i="1"/>
  <c r="B908" i="1"/>
  <c r="D42" i="53" s="1"/>
  <c r="F2492" i="55" s="1"/>
  <c r="B391" i="1"/>
  <c r="B1" i="22" s="1"/>
  <c r="C992" i="55" s="1"/>
  <c r="B956" i="1"/>
  <c r="B105" i="53" s="1"/>
  <c r="D2555" i="55" s="1"/>
  <c r="B892" i="1"/>
  <c r="D26" i="53" s="1"/>
  <c r="F2476" i="55" s="1"/>
  <c r="B719" i="1"/>
  <c r="B929" i="1"/>
  <c r="D64" i="53" s="1"/>
  <c r="F2514" i="55" s="1"/>
  <c r="B960" i="1"/>
  <c r="B917" i="1"/>
  <c r="D52" i="53" s="1"/>
  <c r="F2502" i="55" s="1"/>
  <c r="B453" i="1"/>
  <c r="B26" i="25" s="1"/>
  <c r="D1058" i="55" s="1"/>
  <c r="B957" i="1"/>
  <c r="B48" i="1"/>
  <c r="B9" i="6" s="1"/>
  <c r="D8" i="55" s="1"/>
  <c r="B943" i="1"/>
  <c r="D84" i="53" s="1"/>
  <c r="F2534" i="55" s="1"/>
  <c r="B422" i="1"/>
  <c r="B46" i="23" s="1"/>
  <c r="E1005" i="55" s="1"/>
  <c r="B421" i="1"/>
  <c r="B42" i="23" s="1"/>
  <c r="E1004" i="55" s="1"/>
  <c r="B905" i="1"/>
  <c r="D39" i="53" s="1"/>
  <c r="F2489" i="55" s="1"/>
  <c r="B884" i="1"/>
  <c r="D17" i="53" s="1"/>
  <c r="E2467" i="55" s="1"/>
  <c r="B49" i="1"/>
  <c r="B10" i="6" s="1"/>
  <c r="D9" i="55" s="1"/>
  <c r="B781" i="1"/>
  <c r="B447" i="1"/>
  <c r="B19" i="25" s="1"/>
  <c r="D1053" i="55" s="1"/>
  <c r="B460" i="1"/>
  <c r="B31" i="25" s="1"/>
  <c r="D1063" i="55" s="1"/>
  <c r="B381" i="1"/>
  <c r="B428" i="1"/>
  <c r="B434" i="1"/>
  <c r="B30" i="23" s="1"/>
  <c r="B921" i="1"/>
  <c r="D56" i="53" s="1"/>
  <c r="F2506" i="55" s="1"/>
  <c r="B885" i="1"/>
  <c r="D18" i="53" s="1"/>
  <c r="E2468" i="55" s="1"/>
  <c r="B958" i="1"/>
  <c r="B57" i="1"/>
  <c r="B1" i="55" s="1"/>
  <c r="C11" i="4" s="1"/>
  <c r="B954" i="1"/>
  <c r="D102" i="53" s="1"/>
  <c r="F2552" i="55" s="1"/>
  <c r="B945" i="1"/>
  <c r="D88" i="53" s="1"/>
  <c r="E2538" i="55" s="1"/>
  <c r="B937" i="1"/>
  <c r="D77" i="53" s="1"/>
  <c r="B458" i="1"/>
  <c r="B875" i="1"/>
  <c r="B8" i="53" s="1"/>
  <c r="D2460" i="55" s="1"/>
  <c r="B84" i="1"/>
  <c r="B936" i="1"/>
  <c r="D73" i="53" s="1"/>
  <c r="E2523" i="55" s="1"/>
  <c r="B878" i="1"/>
  <c r="C14" i="53" s="1"/>
  <c r="B82" i="1"/>
  <c r="D39" i="8" s="1"/>
  <c r="B894" i="1"/>
  <c r="D28" i="53" s="1"/>
  <c r="F2478" i="55" s="1"/>
  <c r="B899" i="1"/>
  <c r="D33" i="53" s="1"/>
  <c r="F2483" i="55" s="1"/>
  <c r="B83" i="1"/>
  <c r="D113" i="8" s="1"/>
  <c r="E105" i="55" s="1"/>
  <c r="B456" i="1"/>
  <c r="B29" i="25" s="1"/>
  <c r="D1061" i="55" s="1"/>
  <c r="B63" i="1"/>
  <c r="B455" i="1"/>
  <c r="B28" i="25" s="1"/>
  <c r="D1060" i="55" s="1"/>
  <c r="B940" i="1"/>
  <c r="D80" i="53" s="1"/>
  <c r="F2530" i="55" s="1"/>
  <c r="B163" i="1"/>
  <c r="B1" i="12" s="1"/>
  <c r="C15" i="4" s="1"/>
  <c r="B420" i="1"/>
  <c r="B38" i="23" s="1"/>
  <c r="M11" i="22" s="1"/>
  <c r="D61" i="49" s="1"/>
  <c r="B648" i="1"/>
  <c r="T17" i="47" s="1"/>
  <c r="E1838" i="55" s="1"/>
  <c r="B379" i="1"/>
  <c r="B231" i="1"/>
  <c r="B887" i="1"/>
  <c r="D20" i="53" s="1"/>
  <c r="E2470" i="55" s="1"/>
  <c r="B424" i="1"/>
  <c r="B959" i="1"/>
  <c r="B349" i="1"/>
  <c r="B234" i="1"/>
  <c r="B779" i="1"/>
  <c r="B55" i="1"/>
  <c r="B52" i="6" s="1"/>
  <c r="D10" i="55" s="1"/>
  <c r="B902" i="1"/>
  <c r="D36" i="53" s="1"/>
  <c r="F2486" i="55" s="1"/>
  <c r="B876" i="1"/>
  <c r="B10" i="53" s="1"/>
  <c r="D2461" i="55" s="1"/>
  <c r="B195" i="1"/>
  <c r="B1" i="13" s="1"/>
  <c r="C16" i="4" s="1"/>
  <c r="B953" i="1"/>
  <c r="C101" i="53" s="1"/>
  <c r="E2552" i="55" s="1"/>
  <c r="B351" i="1"/>
  <c r="E78" i="57" s="1"/>
  <c r="E3148" i="55" s="1"/>
  <c r="B782" i="1"/>
  <c r="B38" i="1"/>
  <c r="B4" i="4" s="1"/>
  <c r="B911" i="1"/>
  <c r="D46" i="53" s="1"/>
  <c r="F2496" i="55" s="1"/>
  <c r="N21" i="47"/>
  <c r="H1717" i="55" s="1"/>
  <c r="N27" i="47"/>
  <c r="B11" i="1"/>
  <c r="B1" i="2" s="1"/>
  <c r="M30" i="10"/>
  <c r="E103" i="53"/>
  <c r="M34" i="10"/>
  <c r="H44" i="13" s="1"/>
  <c r="M33" i="10"/>
  <c r="H1600" i="55"/>
  <c r="H2545" i="55"/>
  <c r="H1798" i="55"/>
  <c r="H2547" i="55"/>
  <c r="H2542" i="55"/>
  <c r="H1652" i="55"/>
  <c r="Y50" i="10"/>
  <c r="AC50" i="10" s="1"/>
  <c r="Y24" i="10"/>
  <c r="AC24" i="10" s="1"/>
  <c r="Y18" i="10"/>
  <c r="AC18" i="10" s="1"/>
  <c r="J35" i="13"/>
  <c r="Y49" i="10"/>
  <c r="AC49" i="10" s="1"/>
  <c r="Y31" i="10"/>
  <c r="AC31" i="10" s="1"/>
  <c r="J37" i="13"/>
  <c r="DH37" i="13" s="1"/>
  <c r="G44" i="13"/>
  <c r="X18" i="10"/>
  <c r="B55" i="24"/>
  <c r="D1550" i="55"/>
  <c r="H1803" i="55"/>
  <c r="C227" i="55"/>
  <c r="C178" i="55"/>
  <c r="D2336" i="55"/>
  <c r="D2675" i="55"/>
  <c r="Y51" i="10"/>
  <c r="AC51" i="10" s="1"/>
  <c r="G46" i="13"/>
  <c r="CV46" i="13" s="1"/>
  <c r="X36" i="10"/>
  <c r="AB36" i="10" s="1"/>
  <c r="G34" i="13"/>
  <c r="H43" i="13"/>
  <c r="H29" i="13"/>
  <c r="H84" i="47"/>
  <c r="BV21" i="13"/>
  <c r="EC23" i="13"/>
  <c r="X55" i="10"/>
  <c r="AB55" i="10" s="1"/>
  <c r="H176" i="55"/>
  <c r="P17" i="23"/>
  <c r="E102" i="53"/>
  <c r="H2552" i="55" s="1"/>
  <c r="K126" i="52"/>
  <c r="H2910" i="55" s="1"/>
  <c r="H250" i="55"/>
  <c r="G58" i="49"/>
  <c r="R131" i="47"/>
  <c r="R128" i="47"/>
  <c r="C5" i="2"/>
  <c r="R136" i="47"/>
  <c r="D2080" i="55"/>
  <c r="D2079" i="55"/>
  <c r="C20" i="55"/>
  <c r="C152" i="55"/>
  <c r="C69" i="55"/>
  <c r="P89" i="23"/>
  <c r="P60" i="23"/>
  <c r="V36" i="13"/>
  <c r="C144" i="55"/>
  <c r="C89" i="55"/>
  <c r="H42" i="13"/>
  <c r="C226" i="55"/>
  <c r="C62" i="55"/>
  <c r="X47" i="10"/>
  <c r="P54" i="23"/>
  <c r="C55" i="55"/>
  <c r="C182" i="55"/>
  <c r="C15" i="55"/>
  <c r="C32" i="55"/>
  <c r="C207" i="55"/>
  <c r="F57" i="8"/>
  <c r="E56" i="53" s="1"/>
  <c r="H2506" i="55" s="1"/>
  <c r="E13" i="6"/>
  <c r="P53" i="23"/>
  <c r="I10" i="23"/>
  <c r="P85" i="23"/>
  <c r="C1063" i="55"/>
  <c r="C1058" i="55"/>
  <c r="C232" i="55"/>
  <c r="C34" i="55"/>
  <c r="C231" i="55"/>
  <c r="C205" i="55"/>
  <c r="C186" i="55"/>
  <c r="P77" i="23"/>
  <c r="C166" i="55"/>
  <c r="C162" i="55"/>
  <c r="P72" i="23"/>
  <c r="C103" i="55"/>
  <c r="C19" i="55"/>
  <c r="C233" i="55"/>
  <c r="C72" i="55"/>
  <c r="C78" i="55"/>
  <c r="C193" i="55"/>
  <c r="BF41" i="13"/>
  <c r="AV41" i="13"/>
  <c r="AL41" i="13"/>
  <c r="AB41" i="13"/>
  <c r="AB29" i="13"/>
  <c r="AF29" i="13" s="1"/>
  <c r="R29" i="13"/>
  <c r="EH29" i="13"/>
  <c r="DX29" i="13"/>
  <c r="DZ29" i="13"/>
  <c r="C238" i="55"/>
  <c r="C93" i="55"/>
  <c r="C80" i="55"/>
  <c r="C61" i="55"/>
  <c r="C56" i="55"/>
  <c r="C235" i="55"/>
  <c r="Y48" i="10"/>
  <c r="AC48" i="10" s="1"/>
  <c r="H45" i="13"/>
  <c r="R64" i="13"/>
  <c r="AB64" i="13"/>
  <c r="BF64" i="13"/>
  <c r="BP64" i="13"/>
  <c r="BZ64" i="13"/>
  <c r="C137" i="55"/>
  <c r="C28" i="55"/>
  <c r="C48" i="55"/>
  <c r="C50" i="55"/>
  <c r="C134" i="55"/>
  <c r="C87" i="55"/>
  <c r="C95" i="55"/>
  <c r="C126" i="55"/>
  <c r="C23" i="55"/>
  <c r="C150" i="55"/>
  <c r="C52" i="55"/>
  <c r="C83" i="55"/>
  <c r="C204" i="55"/>
  <c r="C64" i="55"/>
  <c r="C145" i="55"/>
  <c r="C169" i="55"/>
  <c r="C161" i="55"/>
  <c r="C17" i="55"/>
  <c r="C66" i="55"/>
  <c r="C179" i="55"/>
  <c r="C225" i="55"/>
  <c r="C167" i="55"/>
  <c r="C201" i="55"/>
  <c r="C159" i="55"/>
  <c r="C203" i="55"/>
  <c r="C115" i="55"/>
  <c r="C151" i="55"/>
  <c r="C109" i="55"/>
  <c r="H2213" i="55"/>
  <c r="P52" i="23"/>
  <c r="C128" i="55"/>
  <c r="C29" i="55"/>
  <c r="C197" i="55"/>
  <c r="C39" i="55"/>
  <c r="C71" i="55"/>
  <c r="C140" i="55"/>
  <c r="E1242" i="55"/>
  <c r="E1236" i="55"/>
  <c r="E1254" i="55"/>
  <c r="E1248" i="55"/>
  <c r="P73" i="23"/>
  <c r="C208" i="55"/>
  <c r="P90" i="23"/>
  <c r="C139" i="55"/>
  <c r="C120" i="55"/>
  <c r="C200" i="55"/>
  <c r="C75" i="55"/>
  <c r="C96" i="55"/>
  <c r="C250" i="55"/>
  <c r="C127" i="55"/>
  <c r="E136" i="8"/>
  <c r="H126" i="55" s="1"/>
  <c r="C188" i="55"/>
  <c r="DN29" i="13"/>
  <c r="P78" i="23"/>
  <c r="BF27" i="13"/>
  <c r="BJ27" i="13" s="1"/>
  <c r="DN30" i="13"/>
  <c r="CT34" i="13"/>
  <c r="EH36" i="13"/>
  <c r="EL36" i="13"/>
  <c r="BF42" i="13"/>
  <c r="AL46" i="13"/>
  <c r="CT47" i="13"/>
  <c r="DD67" i="13"/>
  <c r="DH67" i="13" s="1"/>
  <c r="EH57" i="13"/>
  <c r="AB55" i="13"/>
  <c r="BP27" i="13"/>
  <c r="BT27" i="13" s="1"/>
  <c r="DX30" i="13"/>
  <c r="EB30" i="13" s="1"/>
  <c r="DD34" i="13"/>
  <c r="AV46" i="13"/>
  <c r="DD47" i="13"/>
  <c r="CT67" i="13"/>
  <c r="DX57" i="13"/>
  <c r="BZ27" i="13"/>
  <c r="R30" i="13"/>
  <c r="EH30" i="13"/>
  <c r="BZ42" i="13"/>
  <c r="BF46" i="13"/>
  <c r="CJ67" i="13"/>
  <c r="CN67" i="13" s="1"/>
  <c r="DD57" i="13"/>
  <c r="CJ27" i="13"/>
  <c r="AB30" i="13"/>
  <c r="R31" i="13"/>
  <c r="T31" i="13"/>
  <c r="CJ42" i="13"/>
  <c r="BP46" i="13"/>
  <c r="BT46" i="13" s="1"/>
  <c r="AB67" i="13"/>
  <c r="AF67" i="13" s="1"/>
  <c r="CJ57" i="13"/>
  <c r="DX49" i="13"/>
  <c r="N111" i="52"/>
  <c r="AL30" i="13"/>
  <c r="CT42" i="13"/>
  <c r="BP57" i="13"/>
  <c r="R27" i="13"/>
  <c r="V27" i="13" s="1"/>
  <c r="EH27" i="13"/>
  <c r="EL27" i="13" s="1"/>
  <c r="BZ30" i="13"/>
  <c r="DN46" i="13"/>
  <c r="AL68" i="13"/>
  <c r="AP68" i="13" s="1"/>
  <c r="DH36" i="13"/>
  <c r="D1364" i="55"/>
  <c r="C139" i="47"/>
  <c r="C134" i="47"/>
  <c r="C233" i="24"/>
  <c r="H1628" i="55"/>
  <c r="F1934" i="55"/>
  <c r="E3048" i="55"/>
  <c r="Z13" i="10"/>
  <c r="F2371" i="55"/>
  <c r="H1574" i="55"/>
  <c r="H45" i="47"/>
  <c r="H53" i="47" s="1"/>
  <c r="H35" i="47" s="1"/>
  <c r="F1703" i="55"/>
  <c r="F1599" i="55"/>
  <c r="B2" i="48"/>
  <c r="B2" i="62"/>
  <c r="D2" i="52"/>
  <c r="C2" i="8"/>
  <c r="F1594" i="55"/>
  <c r="BK23" i="13"/>
  <c r="W23" i="13"/>
  <c r="BU23" i="13"/>
  <c r="CO23" i="13"/>
  <c r="AQ23" i="13"/>
  <c r="AG23" i="13"/>
  <c r="D2333" i="55"/>
  <c r="D2213" i="55"/>
  <c r="D2211" i="55"/>
  <c r="D2335" i="55"/>
  <c r="D2334" i="55"/>
  <c r="D2674" i="55"/>
  <c r="D2457" i="55"/>
  <c r="D2676" i="55"/>
  <c r="D2799" i="55"/>
  <c r="D2214" i="55"/>
  <c r="D2677" i="55"/>
  <c r="D2920" i="55"/>
  <c r="C3446" i="55"/>
  <c r="DI23" i="13"/>
  <c r="D662" i="55"/>
  <c r="D2919" i="55"/>
  <c r="CY23" i="13"/>
  <c r="D2456" i="55"/>
  <c r="AV17" i="13"/>
  <c r="C8" i="13"/>
  <c r="F1882" i="55"/>
  <c r="F1778" i="55"/>
  <c r="E1250" i="55"/>
  <c r="D2151" i="55"/>
  <c r="D2395" i="55"/>
  <c r="D2736" i="55"/>
  <c r="D15" i="62"/>
  <c r="C8" i="63"/>
  <c r="EM23" i="13"/>
  <c r="D2796" i="55"/>
  <c r="D656" i="55"/>
  <c r="D654" i="55"/>
  <c r="D661" i="55"/>
  <c r="C5160" i="55"/>
  <c r="CE23" i="13"/>
  <c r="DS23" i="13"/>
  <c r="BA23" i="13"/>
  <c r="CP21" i="13"/>
  <c r="X21" i="13"/>
  <c r="EN21" i="13"/>
  <c r="DJ21" i="13"/>
  <c r="D2078" i="55"/>
  <c r="F2595" i="55"/>
  <c r="B2" i="12"/>
  <c r="B2" i="6"/>
  <c r="B2" i="56"/>
  <c r="B2" i="47"/>
  <c r="B2" i="9"/>
  <c r="B2" i="25"/>
  <c r="B2" i="57"/>
  <c r="B2" i="63"/>
  <c r="B2" i="23"/>
  <c r="B2" i="53"/>
  <c r="B2" i="49"/>
  <c r="B2" i="24"/>
  <c r="B2" i="13"/>
  <c r="B2" i="22"/>
  <c r="C1016" i="55"/>
  <c r="C1018" i="55"/>
  <c r="B2" i="3"/>
  <c r="E39" i="52"/>
  <c r="E2245" i="55" s="1"/>
  <c r="D1009" i="55"/>
  <c r="E1932" i="55"/>
  <c r="D2865" i="55"/>
  <c r="D2158" i="55"/>
  <c r="D2864" i="55"/>
  <c r="C3215" i="55"/>
  <c r="D137" i="8"/>
  <c r="E127" i="55" s="1"/>
  <c r="D1121" i="55"/>
  <c r="D1131" i="55"/>
  <c r="E565" i="55"/>
  <c r="E600" i="55"/>
  <c r="E1480" i="55"/>
  <c r="E1496" i="55"/>
  <c r="E1484" i="55"/>
  <c r="E1476" i="55"/>
  <c r="E3054" i="55"/>
  <c r="E3052" i="55"/>
  <c r="E3058" i="55"/>
  <c r="E3050" i="55"/>
  <c r="E3060" i="55"/>
  <c r="C1004" i="55"/>
  <c r="C1011" i="55"/>
  <c r="C1030" i="55"/>
  <c r="C3216" i="55"/>
  <c r="C1032" i="55"/>
  <c r="C3212" i="55"/>
  <c r="C1014" i="55"/>
  <c r="C3219" i="55"/>
  <c r="C1001" i="55"/>
  <c r="C3210" i="55"/>
  <c r="C1026" i="55"/>
  <c r="C1003" i="55"/>
  <c r="C3218" i="55"/>
  <c r="C1034" i="55"/>
  <c r="C1037" i="55"/>
  <c r="C3214" i="55"/>
  <c r="C3211" i="55"/>
  <c r="C1020" i="55"/>
  <c r="C1048" i="55"/>
  <c r="C3213" i="55"/>
  <c r="C1027" i="55"/>
  <c r="C3217" i="55"/>
  <c r="E1316" i="55"/>
  <c r="E1323" i="55"/>
  <c r="E1330" i="55"/>
  <c r="G23" i="13"/>
  <c r="M23" i="13"/>
  <c r="J23" i="13"/>
  <c r="L46" i="23"/>
  <c r="D1130" i="55"/>
  <c r="D5298" i="55"/>
  <c r="D5617" i="55"/>
  <c r="D5251" i="55"/>
  <c r="D5543" i="55"/>
  <c r="D5600" i="55"/>
  <c r="D5090" i="55"/>
  <c r="D5169" i="55"/>
  <c r="D5133" i="55"/>
  <c r="D5153" i="55"/>
  <c r="D5084" i="55"/>
  <c r="D5121" i="55"/>
  <c r="D5109" i="55"/>
  <c r="D5311" i="55"/>
  <c r="D5499" i="55"/>
  <c r="D5105" i="55"/>
  <c r="D5425" i="55"/>
  <c r="D5299" i="55"/>
  <c r="D5221" i="55"/>
  <c r="D5413" i="55"/>
  <c r="C1010" i="55"/>
  <c r="E617" i="55"/>
  <c r="C1045" i="55"/>
  <c r="E1337" i="55"/>
  <c r="B2" i="10"/>
  <c r="C1024" i="55"/>
  <c r="C1031" i="55"/>
  <c r="B3" i="55"/>
  <c r="D226" i="55"/>
  <c r="D227" i="55"/>
  <c r="D105" i="55"/>
  <c r="D225" i="55"/>
  <c r="C2958" i="55"/>
  <c r="E3188" i="55"/>
  <c r="E3199" i="55"/>
  <c r="E3194" i="55"/>
  <c r="E3204" i="55"/>
  <c r="D2626" i="55"/>
  <c r="D2625" i="55"/>
  <c r="D2748" i="55"/>
  <c r="D2870" i="55"/>
  <c r="D1373" i="55"/>
  <c r="D1378" i="55"/>
  <c r="F1651" i="55"/>
  <c r="F1859" i="55"/>
  <c r="F1547" i="55"/>
  <c r="F1807" i="55"/>
  <c r="E1238" i="55"/>
  <c r="E1262" i="55"/>
  <c r="E1256" i="55"/>
  <c r="C110" i="55"/>
  <c r="C181" i="55"/>
  <c r="C70" i="55"/>
  <c r="C171" i="55"/>
  <c r="C135" i="55"/>
  <c r="C216" i="55"/>
  <c r="C142" i="55"/>
  <c r="C37" i="55"/>
  <c r="C129" i="55"/>
  <c r="C174" i="55"/>
  <c r="C191" i="55"/>
  <c r="C219" i="55"/>
  <c r="C94" i="55"/>
  <c r="C149" i="55"/>
  <c r="C88" i="55"/>
  <c r="C184" i="55"/>
  <c r="C60" i="55"/>
  <c r="C141" i="55"/>
  <c r="C106" i="55"/>
  <c r="C24" i="55"/>
  <c r="C154" i="55"/>
  <c r="C27" i="55"/>
  <c r="C111" i="55"/>
  <c r="C116" i="55"/>
  <c r="D608" i="55"/>
  <c r="C30" i="55"/>
  <c r="C42" i="55"/>
  <c r="C155" i="55"/>
  <c r="C244" i="55"/>
  <c r="C108" i="55"/>
  <c r="C217" i="55"/>
  <c r="C74" i="55"/>
  <c r="C45" i="55"/>
  <c r="C49" i="55"/>
  <c r="C196" i="55"/>
  <c r="C91" i="55"/>
  <c r="C47" i="55"/>
  <c r="D2172" i="55"/>
  <c r="D5498" i="55"/>
  <c r="E1249" i="55"/>
  <c r="O216" i="24"/>
  <c r="C1050" i="55"/>
  <c r="E1598" i="55"/>
  <c r="F2389" i="55"/>
  <c r="F2358" i="55"/>
  <c r="F2433" i="55"/>
  <c r="E1600" i="55"/>
  <c r="E1191" i="55"/>
  <c r="E1574" i="55"/>
  <c r="F2393" i="55"/>
  <c r="F2456" i="55"/>
  <c r="F2438" i="55"/>
  <c r="E1562" i="55"/>
  <c r="E1203" i="55"/>
  <c r="F2414" i="55"/>
  <c r="F2419" i="55"/>
  <c r="F1925" i="55"/>
  <c r="E1173" i="55"/>
  <c r="F2386" i="55"/>
  <c r="E1565" i="55"/>
  <c r="F2363" i="55"/>
  <c r="E1179" i="55"/>
  <c r="F2427" i="55"/>
  <c r="F2357" i="55"/>
  <c r="F1561" i="55"/>
  <c r="E1585" i="55"/>
  <c r="C100" i="47"/>
  <c r="E1986" i="55" s="1"/>
  <c r="E1197" i="55"/>
  <c r="F2406" i="55"/>
  <c r="F2407" i="55"/>
  <c r="F1665" i="55"/>
  <c r="F2455" i="55"/>
  <c r="F2408" i="55"/>
  <c r="F2437" i="55"/>
  <c r="F2415" i="55"/>
  <c r="F2430" i="55"/>
  <c r="F2423" i="55"/>
  <c r="D5511" i="55"/>
  <c r="D6088" i="55"/>
  <c r="F2402" i="55"/>
  <c r="F2374" i="55"/>
  <c r="F2453" i="55"/>
  <c r="E1570" i="55"/>
  <c r="F2353" i="55"/>
  <c r="F2447" i="55"/>
  <c r="D5088" i="55"/>
  <c r="E1355" i="55"/>
  <c r="E1274" i="55"/>
  <c r="E1281" i="55"/>
  <c r="E1367" i="55"/>
  <c r="E1288" i="55"/>
  <c r="D1375" i="55"/>
  <c r="E1302" i="55"/>
  <c r="E1364" i="55"/>
  <c r="D1382" i="55"/>
  <c r="D1380" i="55"/>
  <c r="E1295" i="55"/>
  <c r="D1379" i="55"/>
  <c r="E1361" i="55"/>
  <c r="D1383" i="55"/>
  <c r="E1370" i="55"/>
  <c r="D1384" i="55"/>
  <c r="D1376" i="55"/>
  <c r="D5165" i="55"/>
  <c r="D5093" i="55"/>
  <c r="D5565" i="55"/>
  <c r="X20" i="10"/>
  <c r="G27" i="13"/>
  <c r="N54" i="13"/>
  <c r="CL54" i="13"/>
  <c r="CP54" i="13" s="1"/>
  <c r="X27" i="10"/>
  <c r="K66" i="13"/>
  <c r="X45" i="10"/>
  <c r="Y44" i="10"/>
  <c r="BT62" i="13"/>
  <c r="EL29" i="13"/>
  <c r="H2921" i="55"/>
  <c r="G51" i="13"/>
  <c r="BH51" i="13" s="1"/>
  <c r="X41" i="10"/>
  <c r="G59" i="13"/>
  <c r="X49" i="10"/>
  <c r="EB62" i="13"/>
  <c r="H2144" i="55"/>
  <c r="F67" i="52"/>
  <c r="H2149" i="55" s="1"/>
  <c r="X28" i="10"/>
  <c r="G38" i="13"/>
  <c r="M38" i="13" s="1"/>
  <c r="X21" i="10"/>
  <c r="J31" i="13"/>
  <c r="EJ31" i="13"/>
  <c r="N43" i="13"/>
  <c r="J41" i="13"/>
  <c r="AF41" i="13" s="1"/>
  <c r="X31" i="10"/>
  <c r="AZ27" i="13"/>
  <c r="H2214" i="55"/>
  <c r="F136" i="52"/>
  <c r="H2211" i="55" s="1"/>
  <c r="H2885" i="55"/>
  <c r="J56" i="13"/>
  <c r="BT56" i="13"/>
  <c r="BL21" i="13"/>
  <c r="F1565" i="55"/>
  <c r="E1260" i="55"/>
  <c r="D2747" i="55"/>
  <c r="H199" i="55"/>
  <c r="CD27" i="13"/>
  <c r="N90" i="52"/>
  <c r="CZ21" i="13"/>
  <c r="F1669" i="55"/>
  <c r="E1266" i="55"/>
  <c r="D2877" i="55"/>
  <c r="D2878" i="55"/>
  <c r="D1958" i="55"/>
  <c r="D1186" i="55"/>
  <c r="F1929" i="55"/>
  <c r="D2761" i="55"/>
  <c r="D93" i="8"/>
  <c r="E88" i="55" s="1"/>
  <c r="D77" i="8"/>
  <c r="E72" i="55" s="1"/>
  <c r="D2752" i="55"/>
  <c r="D2749" i="55"/>
  <c r="D2163" i="55"/>
  <c r="D2284" i="55"/>
  <c r="D2631" i="55"/>
  <c r="D2286" i="55"/>
  <c r="D2873" i="55"/>
  <c r="F1645" i="55"/>
  <c r="F1853" i="55"/>
  <c r="F1905" i="55"/>
  <c r="F1749" i="55"/>
  <c r="D106" i="55"/>
  <c r="D103" i="55"/>
  <c r="F1887" i="55"/>
  <c r="E1409" i="55"/>
  <c r="E1425" i="55"/>
  <c r="E1393" i="55"/>
  <c r="E1401" i="55"/>
  <c r="E1385" i="55"/>
  <c r="C519" i="55"/>
  <c r="C357" i="55"/>
  <c r="C607" i="55"/>
  <c r="C2968" i="55"/>
  <c r="C536" i="55"/>
  <c r="C2944" i="55"/>
  <c r="C861" i="55"/>
  <c r="E1878" i="55"/>
  <c r="E1884" i="55"/>
  <c r="E1907" i="55"/>
  <c r="P173" i="24"/>
  <c r="P12" i="24"/>
  <c r="D35" i="6"/>
  <c r="D34" i="6"/>
  <c r="D36" i="6"/>
  <c r="CF21" i="13"/>
  <c r="F1825" i="55"/>
  <c r="D2174" i="55"/>
  <c r="X53" i="10"/>
  <c r="DT21" i="13"/>
  <c r="F1721" i="55"/>
  <c r="C472" i="55"/>
  <c r="D2176" i="55"/>
  <c r="D2875" i="55"/>
  <c r="BB21" i="13"/>
  <c r="C599" i="55"/>
  <c r="ED21" i="13"/>
  <c r="D228" i="55"/>
  <c r="C795" i="55"/>
  <c r="H32" i="13"/>
  <c r="Y22" i="10"/>
  <c r="AC22" i="10" s="1"/>
  <c r="C241" i="24"/>
  <c r="E30" i="25" s="1"/>
  <c r="H1062" i="55" s="1"/>
  <c r="K64" i="13"/>
  <c r="P42" i="23"/>
  <c r="EB49" i="13"/>
  <c r="AB37" i="13"/>
  <c r="CT37" i="13"/>
  <c r="CJ37" i="13"/>
  <c r="BZ37" i="13"/>
  <c r="BP37" i="13"/>
  <c r="BF37" i="13"/>
  <c r="AV37" i="13"/>
  <c r="AZ37" i="13" s="1"/>
  <c r="AL37" i="13"/>
  <c r="CN62" i="13"/>
  <c r="R59" i="13"/>
  <c r="AB59" i="13"/>
  <c r="AF59" i="13" s="1"/>
  <c r="AL59" i="13"/>
  <c r="BF59" i="13"/>
  <c r="DX48" i="13"/>
  <c r="DN48" i="13"/>
  <c r="DD48" i="13"/>
  <c r="BP48" i="13"/>
  <c r="BT48" i="13" s="1"/>
  <c r="AV48" i="13"/>
  <c r="AL48" i="13"/>
  <c r="AP48" i="13" s="1"/>
  <c r="CJ36" i="13"/>
  <c r="BZ36" i="13"/>
  <c r="BP36" i="13"/>
  <c r="BF36" i="13"/>
  <c r="AV36" i="13"/>
  <c r="AL36" i="13"/>
  <c r="AB36" i="13"/>
  <c r="DX36" i="13"/>
  <c r="H5044" i="55"/>
  <c r="E1492" i="55"/>
  <c r="E1488" i="55"/>
  <c r="E1148" i="55"/>
  <c r="E1142" i="55"/>
  <c r="C1019" i="55"/>
  <c r="C1008" i="55"/>
  <c r="DX58" i="13"/>
  <c r="EH58" i="13"/>
  <c r="BZ47" i="13"/>
  <c r="BP47" i="13"/>
  <c r="BF47" i="13"/>
  <c r="AV47" i="13"/>
  <c r="AL47" i="13"/>
  <c r="AB47" i="13"/>
  <c r="EH47" i="13"/>
  <c r="R47" i="13"/>
  <c r="DN47" i="13"/>
  <c r="CT35" i="13"/>
  <c r="CX35" i="13" s="1"/>
  <c r="CJ35" i="13"/>
  <c r="BZ35" i="13"/>
  <c r="CD35" i="13"/>
  <c r="BP35" i="13"/>
  <c r="BF35" i="13"/>
  <c r="AV35" i="13"/>
  <c r="AL35" i="13"/>
  <c r="AP35" i="13" s="1"/>
  <c r="EH35" i="13"/>
  <c r="R35" i="13"/>
  <c r="H2117" i="55"/>
  <c r="F53" i="52"/>
  <c r="CD62" i="13"/>
  <c r="DR62" i="13"/>
  <c r="AP62" i="13"/>
  <c r="AZ62" i="13"/>
  <c r="AF62" i="13"/>
  <c r="E1244" i="55"/>
  <c r="P74" i="23"/>
  <c r="P58" i="23"/>
  <c r="DD35" i="13"/>
  <c r="DN68" i="13"/>
  <c r="DR68" i="13" s="1"/>
  <c r="AV68" i="13"/>
  <c r="AZ68" i="13" s="1"/>
  <c r="BP68" i="13"/>
  <c r="CJ68" i="13"/>
  <c r="CT68" i="13"/>
  <c r="CX68" i="13" s="1"/>
  <c r="DX68" i="13"/>
  <c r="EB68" i="13" s="1"/>
  <c r="EH68" i="13"/>
  <c r="EL68" i="13" s="1"/>
  <c r="BZ45" i="13"/>
  <c r="BP45" i="13"/>
  <c r="BF45" i="13"/>
  <c r="AV45" i="13"/>
  <c r="AL45" i="13"/>
  <c r="AB45" i="13"/>
  <c r="R45" i="13"/>
  <c r="EH45" i="13"/>
  <c r="H46" i="13"/>
  <c r="Y36" i="10"/>
  <c r="AD36" i="10" s="1"/>
  <c r="D54" i="12" s="1"/>
  <c r="G54" i="12" s="1"/>
  <c r="H2170" i="55"/>
  <c r="F106" i="52"/>
  <c r="D5148" i="55"/>
  <c r="D5381" i="55"/>
  <c r="D5576" i="55"/>
  <c r="D5568" i="55"/>
  <c r="D5483" i="55"/>
  <c r="EH67" i="13"/>
  <c r="AL55" i="13"/>
  <c r="F43" i="8"/>
  <c r="E53" i="53" s="1"/>
  <c r="H2503" i="55" s="1"/>
  <c r="D5971" i="55"/>
  <c r="Y38" i="10"/>
  <c r="AC38" i="10" s="1"/>
  <c r="H5038" i="55"/>
  <c r="F116" i="8"/>
  <c r="D5308" i="55"/>
  <c r="D5138" i="55"/>
  <c r="D5126" i="55"/>
  <c r="D5665" i="55"/>
  <c r="D5111" i="55"/>
  <c r="D5324" i="55"/>
  <c r="D5203" i="55"/>
  <c r="D5158" i="55"/>
  <c r="D5314" i="55"/>
  <c r="D5445" i="55"/>
  <c r="D5356" i="55"/>
  <c r="D5069" i="55"/>
  <c r="D5288" i="55"/>
  <c r="D5476" i="55"/>
  <c r="D5477" i="55"/>
  <c r="X40" i="10"/>
  <c r="AB40" i="10" s="1"/>
  <c r="BZ67" i="13"/>
  <c r="CD67" i="13" s="1"/>
  <c r="DG167" i="63"/>
  <c r="D5389" i="55"/>
  <c r="D5210" i="55"/>
  <c r="D5325" i="55"/>
  <c r="D5484" i="55"/>
  <c r="D5747" i="55"/>
  <c r="AV67" i="13"/>
  <c r="AZ67" i="13" s="1"/>
  <c r="D5401" i="55"/>
  <c r="D5466" i="55"/>
  <c r="D5333" i="55"/>
  <c r="D5294" i="55"/>
  <c r="D6215" i="55"/>
  <c r="CT55" i="13"/>
  <c r="F90" i="8"/>
  <c r="E61" i="53" s="1"/>
  <c r="H2511" i="55" s="1"/>
  <c r="CX49" i="13"/>
  <c r="H1720" i="55"/>
  <c r="N30" i="47"/>
  <c r="H1722" i="55" s="1"/>
  <c r="F28" i="8"/>
  <c r="E50" i="53" s="1"/>
  <c r="H2500" i="55" s="1"/>
  <c r="K29" i="13"/>
  <c r="Y19" i="10"/>
  <c r="C7293" i="55"/>
  <c r="C6628" i="55"/>
  <c r="C6915" i="55"/>
  <c r="K33" i="13"/>
  <c r="Y23" i="10"/>
  <c r="AC23" i="10" s="1"/>
  <c r="BJ62" i="13"/>
  <c r="AB25" i="10"/>
  <c r="G68" i="13"/>
  <c r="X58" i="10"/>
  <c r="H149" i="55"/>
  <c r="G53" i="8"/>
  <c r="H174" i="55" s="1"/>
  <c r="H69" i="55"/>
  <c r="E106" i="8"/>
  <c r="F38" i="8"/>
  <c r="E52" i="53" s="1"/>
  <c r="H2502" i="55" s="1"/>
  <c r="K47" i="13"/>
  <c r="Y37" i="10"/>
  <c r="AC37" i="10"/>
  <c r="D2141" i="55"/>
  <c r="D2262" i="55"/>
  <c r="F82" i="8"/>
  <c r="E60" i="53" s="1"/>
  <c r="H2510" i="55" s="1"/>
  <c r="F48" i="8"/>
  <c r="E54" i="53" s="1"/>
  <c r="H2504" i="55" s="1"/>
  <c r="AB40" i="13"/>
  <c r="EH40" i="13"/>
  <c r="R40" i="13"/>
  <c r="DX40" i="13"/>
  <c r="DN40" i="13"/>
  <c r="DD40" i="13"/>
  <c r="CT40" i="13"/>
  <c r="CJ40" i="13"/>
  <c r="BZ40" i="13"/>
  <c r="BP40" i="13"/>
  <c r="BF40" i="13"/>
  <c r="DN28" i="13"/>
  <c r="DD28" i="13"/>
  <c r="CT28" i="13"/>
  <c r="CV28" i="13" s="1"/>
  <c r="CJ28" i="13"/>
  <c r="BZ28" i="13"/>
  <c r="BP28" i="13"/>
  <c r="BR28" i="13" s="1"/>
  <c r="BF28" i="13"/>
  <c r="AV28" i="13"/>
  <c r="R28" i="13"/>
  <c r="EH28" i="13"/>
  <c r="DX28" i="13"/>
  <c r="AL28" i="13"/>
  <c r="AN28" i="13" s="1"/>
  <c r="AB28" i="13"/>
  <c r="EB51" i="13"/>
  <c r="BF61" i="13"/>
  <c r="EH61" i="13"/>
  <c r="BP61" i="13"/>
  <c r="CJ61" i="13"/>
  <c r="CT61" i="13"/>
  <c r="DN61" i="13"/>
  <c r="DX61" i="13"/>
  <c r="AL61" i="13"/>
  <c r="AP61" i="13" s="1"/>
  <c r="AL39" i="13"/>
  <c r="AB39" i="13"/>
  <c r="EH39" i="13"/>
  <c r="R39" i="13"/>
  <c r="DX39" i="13"/>
  <c r="DN39" i="13"/>
  <c r="DD39" i="13"/>
  <c r="CT39" i="13"/>
  <c r="CJ39" i="13"/>
  <c r="BP39" i="13"/>
  <c r="BF39" i="13"/>
  <c r="AV39" i="13"/>
  <c r="BZ39" i="13"/>
  <c r="CD39" i="13" s="1"/>
  <c r="AB18" i="10"/>
  <c r="AD18" i="10"/>
  <c r="D36" i="12" s="1"/>
  <c r="G36" i="12" s="1"/>
  <c r="Z18" i="10"/>
  <c r="BP60" i="13"/>
  <c r="BF60" i="13"/>
  <c r="DX60" i="13"/>
  <c r="EH60" i="13"/>
  <c r="AB60" i="13"/>
  <c r="AL60" i="13"/>
  <c r="AP60" i="13" s="1"/>
  <c r="CJ60" i="13"/>
  <c r="CT60" i="13"/>
  <c r="DN60" i="13"/>
  <c r="DN49" i="13"/>
  <c r="DR49" i="13" s="1"/>
  <c r="R49" i="13"/>
  <c r="V49" i="13" s="1"/>
  <c r="AV49" i="13"/>
  <c r="AZ49" i="13" s="1"/>
  <c r="CJ49" i="13"/>
  <c r="CL49" i="13" s="1"/>
  <c r="AL49" i="13"/>
  <c r="AN49" i="13"/>
  <c r="DD49" i="13"/>
  <c r="AB49" i="13"/>
  <c r="AF49" i="13" s="1"/>
  <c r="BZ49" i="13"/>
  <c r="CD49" i="13" s="1"/>
  <c r="EH49" i="13"/>
  <c r="EL49" i="13" s="1"/>
  <c r="BP49" i="13"/>
  <c r="BT49" i="13" s="1"/>
  <c r="BR49" i="13"/>
  <c r="BF49" i="13"/>
  <c r="BJ49" i="13" s="1"/>
  <c r="AV38" i="13"/>
  <c r="AL38" i="13"/>
  <c r="AB38" i="13"/>
  <c r="EH38" i="13"/>
  <c r="EJ38" i="13"/>
  <c r="R38" i="13"/>
  <c r="DX38" i="13"/>
  <c r="DN38" i="13"/>
  <c r="DD38" i="13"/>
  <c r="CT38" i="13"/>
  <c r="CJ38" i="13"/>
  <c r="BZ38" i="13"/>
  <c r="BF38" i="13"/>
  <c r="BP38" i="13"/>
  <c r="H225" i="55"/>
  <c r="G126" i="8"/>
  <c r="H240" i="55" s="1"/>
  <c r="J33" i="13"/>
  <c r="X23" i="10"/>
  <c r="H103" i="55"/>
  <c r="E126" i="8"/>
  <c r="H118" i="55" s="1"/>
  <c r="K65" i="13"/>
  <c r="Y55" i="10"/>
  <c r="D33" i="6"/>
  <c r="E23" i="6"/>
  <c r="X38" i="10"/>
  <c r="G48" i="13"/>
  <c r="CN35" i="13"/>
  <c r="K39" i="13"/>
  <c r="Y29" i="10"/>
  <c r="C255" i="24"/>
  <c r="AF64" i="13"/>
  <c r="E1335" i="55"/>
  <c r="D2858" i="55"/>
  <c r="D2273" i="55"/>
  <c r="D2614" i="55"/>
  <c r="H1730" i="55"/>
  <c r="H35" i="13"/>
  <c r="Y25" i="10"/>
  <c r="G47" i="13"/>
  <c r="D2327" i="55"/>
  <c r="D2912" i="55"/>
  <c r="K95" i="49"/>
  <c r="H2090" i="55" s="1"/>
  <c r="E37" i="9"/>
  <c r="F98" i="8"/>
  <c r="E62" i="53" s="1"/>
  <c r="H2512" i="55" s="1"/>
  <c r="M51" i="13"/>
  <c r="BJ51" i="13"/>
  <c r="BL51" i="13" s="1"/>
  <c r="H5046" i="55"/>
  <c r="D5122" i="55"/>
  <c r="D5450" i="55"/>
  <c r="D5321" i="55"/>
  <c r="D5371" i="55"/>
  <c r="N38" i="52"/>
  <c r="C161" i="24"/>
  <c r="N98" i="52"/>
  <c r="D6457" i="55"/>
  <c r="D5768" i="55"/>
  <c r="D5269" i="55"/>
  <c r="D6012" i="55"/>
  <c r="D5615" i="55"/>
  <c r="D5224" i="55"/>
  <c r="D5417" i="55"/>
  <c r="D5435" i="55"/>
  <c r="D5284" i="55"/>
  <c r="D5698" i="55"/>
  <c r="D5095" i="55"/>
  <c r="D6014" i="55"/>
  <c r="D5286" i="55"/>
  <c r="D5306" i="55"/>
  <c r="D5438" i="55"/>
  <c r="D5062" i="55"/>
  <c r="D5280" i="55"/>
  <c r="D5802" i="55"/>
  <c r="D5822" i="55"/>
  <c r="D5194" i="55"/>
  <c r="D5377" i="55"/>
  <c r="D5223" i="55"/>
  <c r="D5352" i="55"/>
  <c r="D5275" i="55"/>
  <c r="D5115" i="55"/>
  <c r="D5988" i="55"/>
  <c r="D5956" i="55"/>
  <c r="D5999" i="55"/>
  <c r="D5270" i="55"/>
  <c r="D5257" i="55"/>
  <c r="D5434" i="55"/>
  <c r="D5394" i="55"/>
  <c r="D5276" i="55"/>
  <c r="D5753" i="55"/>
  <c r="D5773" i="55"/>
  <c r="D5161" i="55"/>
  <c r="D5344" i="55"/>
  <c r="D5206" i="55"/>
  <c r="D5320" i="55"/>
  <c r="D5205" i="55"/>
  <c r="D5100" i="55"/>
  <c r="D5471" i="55"/>
  <c r="D5667" i="55"/>
  <c r="D5982" i="55"/>
  <c r="D5229" i="55"/>
  <c r="D5232" i="55"/>
  <c r="D5716" i="55"/>
  <c r="D5382" i="55"/>
  <c r="D5272" i="55"/>
  <c r="D5720" i="55"/>
  <c r="D5757" i="55"/>
  <c r="D5129" i="55"/>
  <c r="D5328" i="55"/>
  <c r="D5204" i="55"/>
  <c r="D5304" i="55"/>
  <c r="D5172" i="55"/>
  <c r="D5098" i="55"/>
  <c r="D5963" i="55"/>
  <c r="D5537" i="55"/>
  <c r="D5895" i="55"/>
  <c r="D5909" i="55"/>
  <c r="D5216" i="55"/>
  <c r="D5700" i="55"/>
  <c r="D5378" i="55"/>
  <c r="D5260" i="55"/>
  <c r="D5688" i="55"/>
  <c r="D5741" i="55"/>
  <c r="D5215" i="55"/>
  <c r="D5263" i="55"/>
  <c r="D5189" i="55"/>
  <c r="D5271" i="55"/>
  <c r="D5140" i="55"/>
  <c r="D5182" i="55"/>
  <c r="D5797" i="55"/>
  <c r="D5407" i="55"/>
  <c r="D5875" i="55"/>
  <c r="D5582" i="55"/>
  <c r="D5118" i="55"/>
  <c r="D5621" i="55"/>
  <c r="D5374" i="55"/>
  <c r="D5239" i="55"/>
  <c r="D5674" i="55"/>
  <c r="D5724" i="55"/>
  <c r="D5183" i="55"/>
  <c r="D5211" i="55"/>
  <c r="D5173" i="55"/>
  <c r="D5195" i="55"/>
  <c r="D5125" i="55"/>
  <c r="D5164" i="55"/>
  <c r="D5784" i="55"/>
  <c r="D5285" i="55"/>
  <c r="D5947" i="55"/>
  <c r="D5509" i="55"/>
  <c r="D5102" i="55"/>
  <c r="D5572" i="55"/>
  <c r="D5357" i="55"/>
  <c r="D5231" i="55"/>
  <c r="D5672" i="55"/>
  <c r="D5708" i="55"/>
  <c r="D5166" i="55"/>
  <c r="D5146" i="55"/>
  <c r="D5171" i="55"/>
  <c r="D5162" i="55"/>
  <c r="D5123" i="55"/>
  <c r="D5149" i="55"/>
  <c r="D5776" i="55"/>
  <c r="D5261" i="55"/>
  <c r="D5522" i="55"/>
  <c r="D5501" i="55"/>
  <c r="D5094" i="55"/>
  <c r="D5442" i="55"/>
  <c r="D5345" i="55"/>
  <c r="D5207" i="55"/>
  <c r="D5641" i="55"/>
  <c r="D5629" i="55"/>
  <c r="D5101" i="55"/>
  <c r="D5113" i="55"/>
  <c r="D5091" i="55"/>
  <c r="D5063" i="55"/>
  <c r="D5107" i="55"/>
  <c r="D5132" i="55"/>
  <c r="D5575" i="55"/>
  <c r="D6622" i="55"/>
  <c r="D5506" i="55"/>
  <c r="D5493" i="55"/>
  <c r="D5826" i="55"/>
  <c r="D5202" i="55"/>
  <c r="D5341" i="55"/>
  <c r="D5191" i="55"/>
  <c r="D5609" i="55"/>
  <c r="D5531" i="55"/>
  <c r="D5085" i="55"/>
  <c r="D5081" i="55"/>
  <c r="D5074" i="55"/>
  <c r="D5405" i="55"/>
  <c r="D5092" i="55"/>
  <c r="D5114" i="55"/>
  <c r="AV63" i="13"/>
  <c r="CJ63" i="13"/>
  <c r="CT63" i="13"/>
  <c r="CX63" i="13" s="1"/>
  <c r="AB63" i="13"/>
  <c r="AD63" i="13" s="1"/>
  <c r="AL63" i="13"/>
  <c r="BP63" i="13"/>
  <c r="BP51" i="13"/>
  <c r="DD51" i="13"/>
  <c r="AV51" i="13"/>
  <c r="DN51" i="13"/>
  <c r="AL51" i="13"/>
  <c r="CJ51" i="13"/>
  <c r="AB51" i="13"/>
  <c r="BZ51" i="13"/>
  <c r="R51" i="13"/>
  <c r="CT51" i="13"/>
  <c r="EH41" i="13"/>
  <c r="R41" i="13"/>
  <c r="DX41" i="13"/>
  <c r="DN41" i="13"/>
  <c r="DD41" i="13"/>
  <c r="CT41" i="13"/>
  <c r="CJ41" i="13"/>
  <c r="BZ41" i="13"/>
  <c r="BP41" i="13"/>
  <c r="DD29" i="13"/>
  <c r="CT29" i="13"/>
  <c r="CJ29" i="13"/>
  <c r="BZ29" i="13"/>
  <c r="BP29" i="13"/>
  <c r="BF29" i="13"/>
  <c r="BH29" i="13" s="1"/>
  <c r="AV29" i="13"/>
  <c r="AL29" i="13"/>
  <c r="AV59" i="13"/>
  <c r="AZ59" i="13" s="1"/>
  <c r="CJ59" i="13"/>
  <c r="CT59" i="13"/>
  <c r="H5047" i="55"/>
  <c r="AB31" i="13"/>
  <c r="DN37" i="13"/>
  <c r="Y39" i="10"/>
  <c r="AC39" i="10" s="1"/>
  <c r="CJ58" i="13"/>
  <c r="BP58" i="13"/>
  <c r="CT58" i="13"/>
  <c r="CX58" i="13"/>
  <c r="AL31" i="13"/>
  <c r="DX37" i="13"/>
  <c r="EH59" i="13"/>
  <c r="EL59" i="13" s="1"/>
  <c r="DD58" i="13"/>
  <c r="DX55" i="13"/>
  <c r="EB55" i="13" s="1"/>
  <c r="R48" i="13"/>
  <c r="AV31" i="13"/>
  <c r="R37" i="13"/>
  <c r="EH37" i="13"/>
  <c r="DX59" i="13"/>
  <c r="AV58" i="13"/>
  <c r="BZ48" i="13"/>
  <c r="C180" i="24"/>
  <c r="DN59" i="13"/>
  <c r="DR59" i="13" s="1"/>
  <c r="DX67" i="13"/>
  <c r="EB67" i="13" s="1"/>
  <c r="R67" i="13"/>
  <c r="BF67" i="13"/>
  <c r="BP67" i="13"/>
  <c r="DD55" i="13"/>
  <c r="CJ55" i="13"/>
  <c r="EH55" i="13"/>
  <c r="R55" i="13"/>
  <c r="DD59" i="13"/>
  <c r="DN54" i="13"/>
  <c r="CT54" i="13"/>
  <c r="BZ59" i="13"/>
  <c r="CD59" i="13" s="1"/>
  <c r="V46" i="13"/>
  <c r="BP59" i="13"/>
  <c r="BT59" i="13" s="1"/>
  <c r="H5055" i="55"/>
  <c r="H5043" i="55"/>
  <c r="D134" i="63"/>
  <c r="D89" i="63"/>
  <c r="DS97" i="63"/>
  <c r="E3198" i="55"/>
  <c r="E3203" i="55"/>
  <c r="E3208" i="55"/>
  <c r="D5390" i="55"/>
  <c r="D5604" i="55"/>
  <c r="D5777" i="55"/>
  <c r="D5330" i="55"/>
  <c r="D6005" i="55"/>
  <c r="D5654" i="55"/>
  <c r="D5524" i="55"/>
  <c r="D5651" i="55"/>
  <c r="D5502" i="55"/>
  <c r="D5650" i="55"/>
  <c r="D5296" i="55"/>
  <c r="D5406" i="55"/>
  <c r="D5684" i="55"/>
  <c r="D5078" i="55"/>
  <c r="D5452" i="55"/>
  <c r="D5254" i="55"/>
  <c r="D5980" i="55"/>
  <c r="D5939" i="55"/>
  <c r="D5670" i="55"/>
  <c r="D5695" i="55"/>
  <c r="D5959" i="55"/>
  <c r="D5225" i="55"/>
  <c r="D5788" i="55"/>
  <c r="D5873" i="55"/>
  <c r="D6365" i="55"/>
  <c r="D5326" i="55"/>
  <c r="D5307" i="55"/>
  <c r="D5858" i="55"/>
  <c r="D6155" i="55"/>
  <c r="D5942" i="55"/>
  <c r="D5563" i="55"/>
  <c r="D5508" i="55"/>
  <c r="D5578" i="55"/>
  <c r="D5486" i="55"/>
  <c r="D5520" i="55"/>
  <c r="D5623" i="55"/>
  <c r="D5416" i="55"/>
  <c r="D6595" i="55"/>
  <c r="D5549" i="55"/>
  <c r="D5464" i="55"/>
  <c r="D5217" i="55"/>
  <c r="D5616" i="55"/>
  <c r="D5447" i="55"/>
  <c r="D5697" i="55"/>
  <c r="D5940" i="55"/>
  <c r="D5449" i="55"/>
  <c r="D5891" i="55"/>
  <c r="D5906" i="55"/>
  <c r="D5570" i="55"/>
  <c r="D5250" i="55"/>
  <c r="D5727" i="55"/>
  <c r="D5496" i="55"/>
  <c r="D5751" i="55"/>
  <c r="D5782" i="55"/>
  <c r="D6208" i="55"/>
  <c r="D6330" i="55"/>
  <c r="D5071" i="55"/>
  <c r="D5494" i="55"/>
  <c r="D5854" i="55"/>
  <c r="D5682" i="55"/>
  <c r="D6421" i="55"/>
  <c r="D5408" i="55"/>
  <c r="D6465" i="55"/>
  <c r="D5540" i="55"/>
  <c r="D5448" i="55"/>
  <c r="D5209" i="55"/>
  <c r="D5608" i="55"/>
  <c r="D5965" i="55"/>
  <c r="D5656" i="55"/>
  <c r="D5440" i="55"/>
  <c r="D6084" i="55"/>
  <c r="D5364" i="55"/>
  <c r="D5707" i="55"/>
  <c r="D5931" i="55"/>
  <c r="D5758" i="55"/>
  <c r="D5984" i="55"/>
  <c r="D6087" i="55"/>
  <c r="D6000" i="55"/>
  <c r="D6380" i="55"/>
  <c r="A71" i="57"/>
  <c r="A60" i="57"/>
  <c r="A47" i="57"/>
  <c r="A82" i="57"/>
  <c r="A97" i="57"/>
  <c r="C76" i="57"/>
  <c r="C87" i="57"/>
  <c r="D5456" i="55"/>
  <c r="D5087" i="55"/>
  <c r="D5469" i="55"/>
  <c r="D5756" i="55"/>
  <c r="D6530" i="55"/>
  <c r="D5856" i="55"/>
  <c r="D6106" i="55"/>
  <c r="D6111" i="55"/>
  <c r="D6455" i="55"/>
  <c r="D6233" i="55"/>
  <c r="E3141" i="55"/>
  <c r="D78" i="57"/>
  <c r="H3146" i="55" s="1"/>
  <c r="D5722" i="55"/>
  <c r="D5848" i="55"/>
  <c r="D6319" i="55"/>
  <c r="A90" i="57"/>
  <c r="E3164" i="55" s="1"/>
  <c r="D5849" i="55"/>
  <c r="D5536" i="55"/>
  <c r="D5804" i="55"/>
  <c r="D6255" i="55"/>
  <c r="D6581" i="55"/>
  <c r="A16" i="57"/>
  <c r="E3112" i="55" s="1"/>
  <c r="D66" i="57"/>
  <c r="E3143" i="55" s="1"/>
  <c r="F3203" i="55"/>
  <c r="D5432" i="55"/>
  <c r="D6036" i="55"/>
  <c r="D5323" i="55"/>
  <c r="D5703" i="55"/>
  <c r="D5870" i="55"/>
  <c r="D5636" i="55"/>
  <c r="D5770" i="55"/>
  <c r="D6587" i="55"/>
  <c r="R45" i="47"/>
  <c r="H1784" i="55" s="1"/>
  <c r="AC53" i="10"/>
  <c r="M30" i="13"/>
  <c r="F139" i="8"/>
  <c r="F13" i="8"/>
  <c r="D2377" i="55"/>
  <c r="D2595" i="55"/>
  <c r="E3055" i="55"/>
  <c r="E3059" i="55"/>
  <c r="E1426" i="55"/>
  <c r="C1052" i="55"/>
  <c r="C1060" i="55"/>
  <c r="C1053" i="55"/>
  <c r="D1491" i="55"/>
  <c r="D1479" i="55"/>
  <c r="D1477" i="55"/>
  <c r="D1485" i="55"/>
  <c r="D1221" i="55"/>
  <c r="F2914" i="55"/>
  <c r="C1062" i="55"/>
  <c r="D2139" i="55"/>
  <c r="C1064" i="55"/>
  <c r="C1061" i="55"/>
  <c r="D2385" i="55"/>
  <c r="F1616" i="55"/>
  <c r="D2847" i="55"/>
  <c r="J173" i="24"/>
  <c r="C1055" i="55"/>
  <c r="F1824" i="55"/>
  <c r="D2848" i="55"/>
  <c r="E1394" i="55"/>
  <c r="F1719" i="55"/>
  <c r="D2710" i="55"/>
  <c r="A20" i="57"/>
  <c r="B31" i="24"/>
  <c r="BT28" i="13"/>
  <c r="C1059" i="55"/>
  <c r="D2602" i="55"/>
  <c r="D2724" i="55"/>
  <c r="CX66" i="13"/>
  <c r="AP59" i="13"/>
  <c r="BJ59" i="13"/>
  <c r="C1051" i="55"/>
  <c r="H1512" i="55"/>
  <c r="F30" i="47"/>
  <c r="DF37" i="13"/>
  <c r="DJ37" i="13" s="1"/>
  <c r="AX37" i="13"/>
  <c r="C1056" i="55"/>
  <c r="E1237" i="55"/>
  <c r="C1057" i="55"/>
  <c r="E1267" i="55"/>
  <c r="BT68" i="13"/>
  <c r="V68" i="13"/>
  <c r="C1054" i="55"/>
  <c r="E1255" i="55"/>
  <c r="C1065" i="55"/>
  <c r="E1261" i="55"/>
  <c r="C21" i="4"/>
  <c r="D2383" i="55"/>
  <c r="DI167" i="63"/>
  <c r="CW167" i="63"/>
  <c r="N82" i="52"/>
  <c r="N49" i="13"/>
  <c r="CN49" i="13"/>
  <c r="CP49" i="13" s="1"/>
  <c r="CJ44" i="13"/>
  <c r="BZ44" i="13"/>
  <c r="BP44" i="13"/>
  <c r="BF44" i="13"/>
  <c r="AV44" i="13"/>
  <c r="AL44" i="13"/>
  <c r="AB44" i="13"/>
  <c r="EH44" i="13"/>
  <c r="R44" i="13"/>
  <c r="DX44" i="13"/>
  <c r="DN44" i="13"/>
  <c r="CT44" i="13"/>
  <c r="CJ32" i="13"/>
  <c r="BZ32" i="13"/>
  <c r="BP32" i="13"/>
  <c r="BF32" i="13"/>
  <c r="AV32" i="13"/>
  <c r="AL32" i="13"/>
  <c r="AB32" i="13"/>
  <c r="EH32" i="13"/>
  <c r="R32" i="13"/>
  <c r="DX32" i="13"/>
  <c r="DN32" i="13"/>
  <c r="CT32" i="13"/>
  <c r="F74" i="8"/>
  <c r="AB65" i="13"/>
  <c r="DD65" i="13"/>
  <c r="DN65" i="13"/>
  <c r="DX65" i="13"/>
  <c r="EH65" i="13"/>
  <c r="R65" i="13"/>
  <c r="AL65" i="13"/>
  <c r="AV65" i="13"/>
  <c r="BF65" i="13"/>
  <c r="BP65" i="13"/>
  <c r="BZ65" i="13"/>
  <c r="CT65" i="13"/>
  <c r="G67" i="8"/>
  <c r="H186" i="55" s="1"/>
  <c r="N74" i="52"/>
  <c r="DP50" i="13"/>
  <c r="DR50" i="13"/>
  <c r="R66" i="13"/>
  <c r="EH66" i="13"/>
  <c r="DD45" i="13"/>
  <c r="D5116" i="55"/>
  <c r="D5163" i="55"/>
  <c r="D5259" i="55"/>
  <c r="D5238" i="55"/>
  <c r="D5076" i="55"/>
  <c r="D5365" i="55"/>
  <c r="D5360" i="55"/>
  <c r="D5199" i="55"/>
  <c r="D5613" i="55"/>
  <c r="D5527" i="55"/>
  <c r="D5785" i="55"/>
  <c r="D5252" i="55"/>
  <c r="D5329" i="55"/>
  <c r="D5398" i="55"/>
  <c r="D5556" i="55"/>
  <c r="D5470" i="55"/>
  <c r="D5110" i="55"/>
  <c r="D5428" i="55"/>
  <c r="D5645" i="55"/>
  <c r="D5303" i="55"/>
  <c r="D5620" i="55"/>
  <c r="D5917" i="55"/>
  <c r="D5557" i="55"/>
  <c r="D5383" i="55"/>
  <c r="D5602" i="55"/>
  <c r="D5103" i="55"/>
  <c r="D5420" i="55"/>
  <c r="D5646" i="55"/>
  <c r="D5793" i="55"/>
  <c r="D6048" i="55"/>
  <c r="D5685" i="55"/>
  <c r="D5796" i="55"/>
  <c r="D6264" i="55"/>
  <c r="D6643" i="55"/>
  <c r="D6518" i="55"/>
  <c r="BZ68" i="13"/>
  <c r="BZ66" i="13"/>
  <c r="BZ63" i="13"/>
  <c r="BZ61" i="13"/>
  <c r="BZ60" i="13"/>
  <c r="BZ58" i="13"/>
  <c r="BZ57" i="13"/>
  <c r="BZ54" i="13"/>
  <c r="AB50" i="13"/>
  <c r="BF50" i="13"/>
  <c r="CJ50" i="13"/>
  <c r="DX50" i="13"/>
  <c r="BP66" i="13"/>
  <c r="BP54" i="13"/>
  <c r="DX45" i="13"/>
  <c r="D5147" i="55"/>
  <c r="D5198" i="55"/>
  <c r="D5291" i="55"/>
  <c r="D5287" i="55"/>
  <c r="D5108" i="55"/>
  <c r="D5397" i="55"/>
  <c r="D5409" i="55"/>
  <c r="D5080" i="55"/>
  <c r="D5692" i="55"/>
  <c r="D5560" i="55"/>
  <c r="D5834" i="55"/>
  <c r="D5268" i="55"/>
  <c r="D5337" i="55"/>
  <c r="D5418" i="55"/>
  <c r="D5588" i="55"/>
  <c r="D5584" i="55"/>
  <c r="D5192" i="55"/>
  <c r="D5468" i="55"/>
  <c r="D5925" i="55"/>
  <c r="D5384" i="55"/>
  <c r="D5915" i="55"/>
  <c r="D5997" i="55"/>
  <c r="D5642" i="55"/>
  <c r="D5423" i="55"/>
  <c r="D5653" i="55"/>
  <c r="D5185" i="55"/>
  <c r="D5461" i="55"/>
  <c r="D5699" i="55"/>
  <c r="D5837" i="55"/>
  <c r="D5463" i="55"/>
  <c r="D5774" i="55"/>
  <c r="D6424" i="55"/>
  <c r="D6606" i="55"/>
  <c r="D6112" i="55"/>
  <c r="D6541" i="55"/>
  <c r="BF68" i="13"/>
  <c r="BF66" i="13"/>
  <c r="BF63" i="13"/>
  <c r="AV61" i="13"/>
  <c r="AZ61" i="13" s="1"/>
  <c r="AV60" i="13"/>
  <c r="BF58" i="13"/>
  <c r="BF57" i="13"/>
  <c r="BF54" i="13"/>
  <c r="AB48" i="13"/>
  <c r="BF48" i="13"/>
  <c r="CJ48" i="13"/>
  <c r="CT50" i="13"/>
  <c r="AV66" i="13"/>
  <c r="AV54" i="13"/>
  <c r="D5479" i="55"/>
  <c r="D5791" i="55"/>
  <c r="D5673" i="55"/>
  <c r="D5775" i="55"/>
  <c r="D6459" i="55"/>
  <c r="D6629" i="55"/>
  <c r="AL66" i="13"/>
  <c r="AB61" i="13"/>
  <c r="AL54" i="13"/>
  <c r="AL50" i="13"/>
  <c r="BP50" i="13"/>
  <c r="DD50" i="13"/>
  <c r="EH50" i="13"/>
  <c r="D6520" i="55"/>
  <c r="AB66" i="13"/>
  <c r="R63" i="13"/>
  <c r="R61" i="13"/>
  <c r="R60" i="13"/>
  <c r="AB58" i="13"/>
  <c r="AB57" i="13"/>
  <c r="AB54" i="13"/>
  <c r="R54" i="13"/>
  <c r="DX66" i="13"/>
  <c r="EH54" i="13"/>
  <c r="DN66" i="13"/>
  <c r="DX54" i="13"/>
  <c r="R50" i="13"/>
  <c r="AV50" i="13"/>
  <c r="BZ50" i="13"/>
  <c r="D5060" i="55"/>
  <c r="D5131" i="55"/>
  <c r="D5155" i="55"/>
  <c r="D5130" i="55"/>
  <c r="D5219" i="55"/>
  <c r="D5234" i="55"/>
  <c r="D5312" i="55"/>
  <c r="D5134" i="55"/>
  <c r="D5482" i="55"/>
  <c r="D5478" i="55"/>
  <c r="D5704" i="55"/>
  <c r="D5227" i="55"/>
  <c r="D5317" i="55"/>
  <c r="D5386" i="55"/>
  <c r="D5186" i="55"/>
  <c r="D5430" i="55"/>
  <c r="D5086" i="55"/>
  <c r="D5322" i="55"/>
  <c r="D5606" i="55"/>
  <c r="D5278" i="55"/>
  <c r="D5514" i="55"/>
  <c r="D5887" i="55"/>
  <c r="D5532" i="55"/>
  <c r="D5277" i="55"/>
  <c r="D5562" i="55"/>
  <c r="D5079" i="55"/>
  <c r="D5315" i="55"/>
  <c r="D5599" i="55"/>
  <c r="D5780" i="55"/>
  <c r="D5996" i="55"/>
  <c r="D5955" i="55"/>
  <c r="D5706" i="55"/>
  <c r="D6020" i="55"/>
  <c r="D5985" i="55"/>
  <c r="D6505" i="55"/>
  <c r="DD68" i="13"/>
  <c r="DD66" i="13"/>
  <c r="DD63" i="13"/>
  <c r="DD61" i="13"/>
  <c r="DD60" i="13"/>
  <c r="DN58" i="13"/>
  <c r="DN57" i="13"/>
  <c r="DD54" i="13"/>
  <c r="H5037" i="55"/>
  <c r="H5033" i="55"/>
  <c r="H5039" i="55"/>
  <c r="DS89" i="63"/>
  <c r="D2046" i="55"/>
  <c r="D6032" i="55"/>
  <c r="D5960" i="55"/>
  <c r="D6306" i="55"/>
  <c r="D6545" i="55"/>
  <c r="F1895" i="55"/>
  <c r="D6623" i="55"/>
  <c r="F1687" i="55"/>
  <c r="D6428" i="55"/>
  <c r="D6479" i="55"/>
  <c r="E95" i="62"/>
  <c r="F1739" i="55"/>
  <c r="EW10" i="63"/>
  <c r="E106" i="62"/>
  <c r="F1583" i="55"/>
  <c r="F1947" i="55"/>
  <c r="C7" i="13"/>
  <c r="AN113" i="62"/>
  <c r="F1798" i="55"/>
  <c r="F1694" i="55"/>
  <c r="F1590" i="55"/>
  <c r="F1902" i="55"/>
  <c r="F1538" i="55"/>
  <c r="F1850" i="55"/>
  <c r="F1954" i="55"/>
  <c r="F1642" i="55"/>
  <c r="F1746" i="55"/>
  <c r="D2745" i="55"/>
  <c r="D2410" i="55"/>
  <c r="D2629" i="55"/>
  <c r="D2285" i="55"/>
  <c r="F1697" i="55"/>
  <c r="F1541" i="55"/>
  <c r="C199" i="24"/>
  <c r="F3049" i="55" s="1"/>
  <c r="C147" i="24"/>
  <c r="E1483" i="55"/>
  <c r="D2142" i="55"/>
  <c r="D2263" i="55"/>
  <c r="D2408" i="55"/>
  <c r="D2869" i="55"/>
  <c r="D2628" i="55"/>
  <c r="E1351" i="55"/>
  <c r="E1344" i="55"/>
  <c r="D2751" i="55"/>
  <c r="D2165" i="55"/>
  <c r="D5197" i="55"/>
  <c r="D5064" i="55"/>
  <c r="D5226" i="55"/>
  <c r="D5067" i="55"/>
  <c r="D5369" i="55"/>
  <c r="D5124" i="55"/>
  <c r="D5332" i="55"/>
  <c r="D5279" i="55"/>
  <c r="D5222" i="55"/>
  <c r="D5096" i="55"/>
  <c r="D5548" i="55"/>
  <c r="D5446" i="55"/>
  <c r="D5655" i="55"/>
  <c r="D5065" i="55"/>
  <c r="D5244" i="55"/>
  <c r="D5300" i="55"/>
  <c r="D5366" i="55"/>
  <c r="D5422" i="55"/>
  <c r="D5474" i="55"/>
  <c r="D5421" i="55"/>
  <c r="D5680" i="55"/>
  <c r="D5200" i="55"/>
  <c r="D5379" i="55"/>
  <c r="D5590" i="55"/>
  <c r="D6007" i="55"/>
  <c r="D5392" i="55"/>
  <c r="D5571" i="55"/>
  <c r="D5879" i="55"/>
  <c r="D6105" i="55"/>
  <c r="D5658" i="55"/>
  <c r="D5334" i="55"/>
  <c r="D5545" i="55"/>
  <c r="D5958" i="55"/>
  <c r="D5193" i="55"/>
  <c r="D5372" i="55"/>
  <c r="D5583" i="55"/>
  <c r="D5732" i="55"/>
  <c r="D5841" i="55"/>
  <c r="D5981" i="55"/>
  <c r="D5666" i="55"/>
  <c r="D5872" i="55"/>
  <c r="D6308" i="55"/>
  <c r="D6118" i="55"/>
  <c r="D6267" i="55"/>
  <c r="D6396" i="55"/>
  <c r="D6344" i="55"/>
  <c r="D6384" i="55"/>
  <c r="D5068" i="55"/>
  <c r="D5075" i="55"/>
  <c r="D5243" i="55"/>
  <c r="D5097" i="55"/>
  <c r="D5385" i="55"/>
  <c r="D5141" i="55"/>
  <c r="D5348" i="55"/>
  <c r="D5295" i="55"/>
  <c r="D5061" i="55"/>
  <c r="D5112" i="55"/>
  <c r="D5580" i="55"/>
  <c r="D5462" i="55"/>
  <c r="D5657" i="55"/>
  <c r="D5077" i="55"/>
  <c r="D5248" i="55"/>
  <c r="D5309" i="55"/>
  <c r="D5370" i="55"/>
  <c r="D5427" i="55"/>
  <c r="D5491" i="55"/>
  <c r="D5426" i="55"/>
  <c r="D5696" i="55"/>
  <c r="D5208" i="55"/>
  <c r="D5387" i="55"/>
  <c r="D5598" i="55"/>
  <c r="D6027" i="55"/>
  <c r="D5400" i="55"/>
  <c r="D5579" i="55"/>
  <c r="D5883" i="55"/>
  <c r="D5443" i="55"/>
  <c r="D5675" i="55"/>
  <c r="D5342" i="55"/>
  <c r="D5554" i="55"/>
  <c r="D5974" i="55"/>
  <c r="D5201" i="55"/>
  <c r="D5380" i="55"/>
  <c r="D5591" i="55"/>
  <c r="D5736" i="55"/>
  <c r="D5845" i="55"/>
  <c r="D5983" i="55"/>
  <c r="D5923" i="55"/>
  <c r="D5880" i="55"/>
  <c r="D5648" i="55"/>
  <c r="D6130" i="55"/>
  <c r="D6316" i="55"/>
  <c r="D6445" i="55"/>
  <c r="D6405" i="55"/>
  <c r="D6576" i="55"/>
  <c r="D6482" i="55"/>
  <c r="D6410" i="55"/>
  <c r="D5929" i="55"/>
  <c r="D6470" i="55"/>
  <c r="D6253" i="55"/>
  <c r="D5995" i="55"/>
  <c r="D6154" i="55"/>
  <c r="D5843" i="55"/>
  <c r="D5820" i="55"/>
  <c r="D5888" i="55"/>
  <c r="D5701" i="55"/>
  <c r="D5544" i="55"/>
  <c r="D5998" i="55"/>
  <c r="D5882" i="55"/>
  <c r="D5801" i="55"/>
  <c r="D5740" i="55"/>
  <c r="D5679" i="55"/>
  <c r="D5510" i="55"/>
  <c r="D5388" i="55"/>
  <c r="D5266" i="55"/>
  <c r="D5120" i="55"/>
  <c r="D5989" i="55"/>
  <c r="D5619" i="55"/>
  <c r="D5472" i="55"/>
  <c r="D5350" i="55"/>
  <c r="D5228" i="55"/>
  <c r="D5573" i="55"/>
  <c r="D5451" i="55"/>
  <c r="D5934" i="55"/>
  <c r="D5842" i="55"/>
  <c r="D5587" i="55"/>
  <c r="D5465" i="55"/>
  <c r="D5319" i="55"/>
  <c r="D6044" i="55"/>
  <c r="D5661" i="55"/>
  <c r="D5517" i="55"/>
  <c r="D5395" i="55"/>
  <c r="D5273" i="55"/>
  <c r="D5127" i="55"/>
  <c r="D5712" i="55"/>
  <c r="D5503" i="55"/>
  <c r="D5733" i="55"/>
  <c r="D5458" i="55"/>
  <c r="D5431" i="55"/>
  <c r="D6454" i="55"/>
  <c r="D6532" i="55"/>
  <c r="D6222" i="55"/>
  <c r="D6419" i="55"/>
  <c r="D6375" i="55"/>
  <c r="D6206" i="55"/>
  <c r="D6203" i="55"/>
  <c r="D5892" i="55"/>
  <c r="D6377" i="55"/>
  <c r="D5927" i="55"/>
  <c r="D5734" i="55"/>
  <c r="D5618" i="55"/>
  <c r="D6031" i="55"/>
  <c r="D5898" i="55"/>
  <c r="D5825" i="55"/>
  <c r="D5752" i="55"/>
  <c r="D5691" i="55"/>
  <c r="D5559" i="55"/>
  <c r="D5412" i="55"/>
  <c r="D5290" i="55"/>
  <c r="D5168" i="55"/>
  <c r="D6019" i="55"/>
  <c r="D5637" i="55"/>
  <c r="D5521" i="55"/>
  <c r="D5375" i="55"/>
  <c r="D5253" i="55"/>
  <c r="D5622" i="55"/>
  <c r="D5475" i="55"/>
  <c r="D5966" i="55"/>
  <c r="D5867" i="55"/>
  <c r="D5612" i="55"/>
  <c r="D5490" i="55"/>
  <c r="D5368" i="55"/>
  <c r="D6092" i="55"/>
  <c r="D5907" i="55"/>
  <c r="D5566" i="55"/>
  <c r="D5419" i="55"/>
  <c r="D5297" i="55"/>
  <c r="D5175" i="55"/>
  <c r="D5761" i="55"/>
  <c r="D5552" i="55"/>
  <c r="D5814" i="55"/>
  <c r="D5523" i="55"/>
  <c r="D5072" i="55"/>
  <c r="D6579" i="55"/>
  <c r="D6507" i="55"/>
  <c r="D6124" i="55"/>
  <c r="D6325" i="55"/>
  <c r="D6351" i="55"/>
  <c r="D6158" i="55"/>
  <c r="D6179" i="55"/>
  <c r="D5868" i="55"/>
  <c r="D5938" i="55"/>
  <c r="D5910" i="55"/>
  <c r="D5717" i="55"/>
  <c r="D5577" i="55"/>
  <c r="D6015" i="55"/>
  <c r="D5894" i="55"/>
  <c r="D5817" i="55"/>
  <c r="D5748" i="55"/>
  <c r="D5687" i="55"/>
  <c r="D5542" i="55"/>
  <c r="D5404" i="55"/>
  <c r="D5282" i="55"/>
  <c r="D5152" i="55"/>
  <c r="D6006" i="55"/>
  <c r="D5635" i="55"/>
  <c r="D5505" i="55"/>
  <c r="D5367" i="55"/>
  <c r="D5245" i="55"/>
  <c r="D5605" i="55"/>
  <c r="D5467" i="55"/>
  <c r="D5964" i="55"/>
  <c r="D5859" i="55"/>
  <c r="D5603" i="55"/>
  <c r="D5481" i="55"/>
  <c r="D5351" i="55"/>
  <c r="D6076" i="55"/>
  <c r="D5678" i="55"/>
  <c r="D5550" i="55"/>
  <c r="D5411" i="55"/>
  <c r="D5289" i="55"/>
  <c r="D5159" i="55"/>
  <c r="D5745" i="55"/>
  <c r="D5535" i="55"/>
  <c r="D5798" i="55"/>
  <c r="D6555" i="55"/>
  <c r="D6434" i="55"/>
  <c r="D5953" i="55"/>
  <c r="D6301" i="55"/>
  <c r="D6277" i="55"/>
  <c r="D6320" i="55"/>
  <c r="D6167" i="55"/>
  <c r="D5852" i="55"/>
  <c r="D5844" i="55"/>
  <c r="D5896" i="55"/>
  <c r="D5709" i="55"/>
  <c r="D5553" i="55"/>
  <c r="D6013" i="55"/>
  <c r="D5890" i="55"/>
  <c r="D5805" i="55"/>
  <c r="D5744" i="55"/>
  <c r="D5683" i="55"/>
  <c r="D5518" i="55"/>
  <c r="D5396" i="55"/>
  <c r="D5274" i="55"/>
  <c r="D5128" i="55"/>
  <c r="D5991" i="55"/>
  <c r="D5627" i="55"/>
  <c r="D5480" i="55"/>
  <c r="D5358" i="55"/>
  <c r="D5236" i="55"/>
  <c r="D5581" i="55"/>
  <c r="D5459" i="55"/>
  <c r="D5949" i="55"/>
  <c r="D5846" i="55"/>
  <c r="D5595" i="55"/>
  <c r="D5473" i="55"/>
  <c r="D5327" i="55"/>
  <c r="D6060" i="55"/>
  <c r="D5676" i="55"/>
  <c r="D5525" i="55"/>
  <c r="D5403" i="55"/>
  <c r="D5281" i="55"/>
  <c r="D5135" i="55"/>
  <c r="D5728" i="55"/>
  <c r="D5519" i="55"/>
  <c r="D5765" i="55"/>
  <c r="D5179" i="55"/>
  <c r="D5181" i="55"/>
  <c r="D5190" i="55"/>
  <c r="D5059" i="55"/>
  <c r="D5336" i="55"/>
  <c r="D5106" i="55"/>
  <c r="D5267" i="55"/>
  <c r="D5247" i="55"/>
  <c r="D5170" i="55"/>
  <c r="D5066" i="55"/>
  <c r="D5515" i="55"/>
  <c r="D5789" i="55"/>
  <c r="D5639" i="55"/>
  <c r="D5818" i="55"/>
  <c r="D5235" i="55"/>
  <c r="D5292" i="55"/>
  <c r="D5349" i="55"/>
  <c r="D5414" i="55"/>
  <c r="D5218" i="55"/>
  <c r="D5830" i="55"/>
  <c r="D5649" i="55"/>
  <c r="D5184" i="55"/>
  <c r="D5354" i="55"/>
  <c r="D5574" i="55"/>
  <c r="D5975" i="55"/>
  <c r="D5376" i="55"/>
  <c r="D5547" i="55"/>
  <c r="D5871" i="55"/>
  <c r="D6056" i="55"/>
  <c r="D5630" i="55"/>
  <c r="D5310" i="55"/>
  <c r="D5529" i="55"/>
  <c r="D5926" i="55"/>
  <c r="D5176" i="55"/>
  <c r="D5347" i="55"/>
  <c r="D5567" i="55"/>
  <c r="D5719" i="55"/>
  <c r="D5833" i="55"/>
  <c r="D5933" i="55"/>
  <c r="D5634" i="55"/>
  <c r="D5815" i="55"/>
  <c r="D6391" i="55"/>
  <c r="D6069" i="55"/>
  <c r="D6219" i="55"/>
  <c r="D6283" i="55"/>
  <c r="D6246" i="55"/>
  <c r="D6526" i="55"/>
  <c r="E113" i="62"/>
  <c r="AN95" i="62"/>
  <c r="D101" i="63"/>
  <c r="C2252" i="55"/>
  <c r="C2861" i="55"/>
  <c r="C2651" i="55"/>
  <c r="C2856" i="55"/>
  <c r="C2811" i="55"/>
  <c r="C2422" i="55"/>
  <c r="C2693" i="55"/>
  <c r="C2865" i="55"/>
  <c r="C2725" i="55"/>
  <c r="C2576" i="55"/>
  <c r="C2630" i="55"/>
  <c r="C2758" i="55"/>
  <c r="C2341" i="55"/>
  <c r="C2419" i="55"/>
  <c r="C2797" i="55"/>
  <c r="C2883" i="55"/>
  <c r="C2699" i="55"/>
  <c r="C2378" i="55"/>
  <c r="C2259" i="55"/>
  <c r="C2361" i="55"/>
  <c r="C2560" i="55"/>
  <c r="C2751" i="55"/>
  <c r="C2766" i="55"/>
  <c r="C2812" i="55"/>
  <c r="C2456" i="55"/>
  <c r="C2342" i="55"/>
  <c r="C2393" i="55"/>
  <c r="C2303" i="55"/>
  <c r="C2127" i="55"/>
  <c r="C2284" i="55"/>
  <c r="C2262" i="55"/>
  <c r="C2170" i="55"/>
  <c r="C2573" i="55"/>
  <c r="C2788" i="55"/>
  <c r="C2902" i="55"/>
  <c r="C2790" i="55"/>
  <c r="C2901" i="55"/>
  <c r="C2386" i="55"/>
  <c r="C2434" i="55"/>
  <c r="C2794" i="55"/>
  <c r="C2853" i="55"/>
  <c r="C2609" i="55"/>
  <c r="C2670" i="55"/>
  <c r="C2281" i="55"/>
  <c r="C2695" i="55"/>
  <c r="C2097" i="55"/>
  <c r="C2656" i="55"/>
  <c r="C2810" i="55"/>
  <c r="C2881" i="55"/>
  <c r="C2292" i="55"/>
  <c r="C2287" i="55"/>
  <c r="C2288" i="55"/>
  <c r="C2898" i="55"/>
  <c r="C2713" i="55"/>
  <c r="C2123" i="55"/>
  <c r="C2724" i="55"/>
  <c r="C2312" i="55"/>
  <c r="C2631" i="55"/>
  <c r="C2831" i="55"/>
  <c r="C2618" i="55"/>
  <c r="C2118" i="55"/>
  <c r="C2120" i="55"/>
  <c r="C2119" i="55"/>
  <c r="C2842" i="55"/>
  <c r="C2848" i="55"/>
  <c r="C2863" i="55"/>
  <c r="C2862" i="55"/>
  <c r="C2763" i="55"/>
  <c r="C2697" i="55"/>
  <c r="C2369" i="55"/>
  <c r="C2305" i="55"/>
  <c r="C2852" i="55"/>
  <c r="C2409" i="55"/>
  <c r="C2588" i="55"/>
  <c r="C2629" i="55"/>
  <c r="C2230" i="55"/>
  <c r="C2440" i="55"/>
  <c r="C2575" i="55"/>
  <c r="C2775" i="55"/>
  <c r="C2807" i="55"/>
  <c r="C2214" i="55"/>
  <c r="C2875" i="55"/>
  <c r="C2212" i="55"/>
  <c r="C2188" i="55"/>
  <c r="C2873" i="55"/>
  <c r="C2635" i="55"/>
  <c r="C2634" i="55"/>
  <c r="C2166" i="55"/>
  <c r="C2173" i="55"/>
  <c r="C2718" i="55"/>
  <c r="C2740" i="55"/>
  <c r="C2336" i="55"/>
  <c r="C2771" i="55"/>
  <c r="C2755" i="55"/>
  <c r="C2269" i="55"/>
  <c r="C2816" i="55"/>
  <c r="C2304" i="55"/>
  <c r="C2820" i="55"/>
  <c r="C2739" i="55"/>
  <c r="C2825" i="55"/>
  <c r="C2455" i="55"/>
  <c r="C2251" i="55"/>
  <c r="C2906" i="55"/>
  <c r="C2878" i="55"/>
  <c r="C2568" i="55"/>
  <c r="C2587" i="55"/>
  <c r="C2172" i="55"/>
  <c r="C2377" i="55"/>
  <c r="C2666" i="55"/>
  <c r="C2690" i="55"/>
  <c r="C2736" i="55"/>
  <c r="C2748" i="55"/>
  <c r="C2128" i="55"/>
  <c r="C2132" i="55"/>
  <c r="C2207" i="55"/>
  <c r="C2840" i="55"/>
  <c r="C2593" i="55"/>
  <c r="C2717" i="55"/>
  <c r="C2572" i="55"/>
  <c r="C2240" i="55"/>
  <c r="C2389" i="55"/>
  <c r="C2598" i="55"/>
  <c r="C2289" i="55"/>
  <c r="C2445" i="55"/>
  <c r="C2684" i="55"/>
  <c r="C2608" i="55"/>
  <c r="C2918" i="55"/>
  <c r="C2327" i="55"/>
  <c r="C2809" i="55"/>
  <c r="C2675" i="55"/>
  <c r="C2779" i="55"/>
  <c r="C2103" i="55"/>
  <c r="C2872" i="55"/>
  <c r="C2822" i="55"/>
  <c r="C2897" i="55"/>
  <c r="C2430" i="55"/>
  <c r="C2276" i="55"/>
  <c r="C2112" i="55"/>
  <c r="C2322" i="55"/>
  <c r="C2585" i="55"/>
  <c r="C2676" i="55"/>
  <c r="C2659" i="55"/>
  <c r="C2893" i="55"/>
  <c r="C2677" i="55"/>
  <c r="C2114" i="55"/>
  <c r="C2282" i="55"/>
  <c r="C2776" i="55"/>
  <c r="C2439" i="55"/>
  <c r="C2597" i="55"/>
  <c r="C2423" i="55"/>
  <c r="C2804" i="55"/>
  <c r="C2712" i="55"/>
  <c r="C2683" i="55"/>
  <c r="C2749" i="55"/>
  <c r="C2623" i="55"/>
  <c r="C2180" i="55"/>
  <c r="C2124" i="55"/>
  <c r="C2171" i="55"/>
  <c r="C2381" i="55"/>
  <c r="C2780" i="55"/>
  <c r="C2652" i="55"/>
  <c r="C2753" i="55"/>
  <c r="C2325" i="55"/>
  <c r="C2880" i="55"/>
  <c r="C2916" i="55"/>
  <c r="C2805" i="55"/>
  <c r="C2919" i="55"/>
  <c r="C2236" i="55"/>
  <c r="C2105" i="55"/>
  <c r="C2257" i="55"/>
  <c r="C2698" i="55"/>
  <c r="C2247" i="55"/>
  <c r="C2227" i="55"/>
  <c r="C2621" i="55"/>
  <c r="C2784" i="55"/>
  <c r="C2614" i="55"/>
  <c r="C2351" i="55"/>
  <c r="C2722" i="55"/>
  <c r="C2707" i="55"/>
  <c r="C2710" i="55"/>
  <c r="C2453" i="55"/>
  <c r="C2416" i="55"/>
  <c r="C2420" i="55"/>
  <c r="C2356" i="55"/>
  <c r="C2306" i="55"/>
  <c r="C2417" i="55"/>
  <c r="C2110" i="55"/>
  <c r="C2102" i="55"/>
  <c r="C2266" i="55"/>
  <c r="C2344" i="55"/>
  <c r="C2418" i="55"/>
  <c r="C2144" i="55"/>
  <c r="C2760" i="55"/>
  <c r="C2633" i="55"/>
  <c r="C2280" i="55"/>
  <c r="C2313" i="55"/>
  <c r="C2866" i="55"/>
  <c r="C2768" i="55"/>
  <c r="C2858" i="55"/>
  <c r="C2702" i="55"/>
  <c r="C2449" i="55"/>
  <c r="C2895" i="55"/>
  <c r="C2199" i="55"/>
  <c r="C2374" i="55"/>
  <c r="C2827" i="55"/>
  <c r="C2578" i="55"/>
  <c r="C2647" i="55"/>
  <c r="C2562" i="55"/>
  <c r="C2627" i="55"/>
  <c r="C2703" i="55"/>
  <c r="C2642" i="55"/>
  <c r="C2437" i="55"/>
  <c r="C2363" i="55"/>
  <c r="C2373" i="55"/>
  <c r="C2846" i="55"/>
  <c r="C2181" i="55"/>
  <c r="C2165" i="55"/>
  <c r="C2720" i="55"/>
  <c r="C2129" i="55"/>
  <c r="C2636" i="55"/>
  <c r="C2122" i="55"/>
  <c r="C2694" i="55"/>
  <c r="C2646" i="55"/>
  <c r="C2610" i="55"/>
  <c r="C2742" i="55"/>
  <c r="C2591" i="55"/>
  <c r="C2644" i="55"/>
  <c r="C2745" i="55"/>
  <c r="C2271" i="55"/>
  <c r="C2830" i="55"/>
  <c r="C2798" i="55"/>
  <c r="C2151" i="55"/>
  <c r="C2385" i="55"/>
  <c r="C2817" i="55"/>
  <c r="C2146" i="55"/>
  <c r="C2263" i="55"/>
  <c r="C2232" i="55"/>
  <c r="C2757" i="55"/>
  <c r="C2414" i="55"/>
  <c r="C2705" i="55"/>
  <c r="C2115" i="55"/>
  <c r="C2688" i="55"/>
  <c r="C2602" i="55"/>
  <c r="C2346" i="55"/>
  <c r="C2286" i="55"/>
  <c r="C2323" i="55"/>
  <c r="C2320" i="55"/>
  <c r="C2799" i="55"/>
  <c r="C2250" i="55"/>
  <c r="C2741" i="55"/>
  <c r="C2764" i="55"/>
  <c r="C2400" i="55"/>
  <c r="C2708" i="55"/>
  <c r="C2773" i="55"/>
  <c r="C2189" i="55"/>
  <c r="C2242" i="55"/>
  <c r="C2371" i="55"/>
  <c r="C2571" i="55"/>
  <c r="C2186" i="55"/>
  <c r="C2658" i="55"/>
  <c r="C2219" i="55"/>
  <c r="C2819" i="55"/>
  <c r="C2715" i="55"/>
  <c r="C2424" i="55"/>
  <c r="C2108" i="55"/>
  <c r="C2329" i="55"/>
  <c r="C2321" i="55"/>
  <c r="C2156" i="55"/>
  <c r="C2451" i="55"/>
  <c r="C2668" i="55"/>
  <c r="C2692" i="55"/>
  <c r="C2685" i="55"/>
  <c r="C2353" i="55"/>
  <c r="C2580" i="55"/>
  <c r="C2914" i="55"/>
  <c r="C2254" i="55"/>
  <c r="C2211" i="55"/>
  <c r="C2196" i="55"/>
  <c r="C30" i="4"/>
  <c r="C2908" i="55"/>
  <c r="C2133" i="55"/>
  <c r="C2331" i="55"/>
  <c r="C2617" i="55"/>
  <c r="C2603" i="55"/>
  <c r="C2229" i="55"/>
  <c r="C2159" i="55"/>
  <c r="C2643" i="55"/>
  <c r="C2135" i="55"/>
  <c r="C2907" i="55"/>
  <c r="C2433" i="55"/>
  <c r="C2147" i="55"/>
  <c r="C2620" i="55"/>
  <c r="C2157" i="55"/>
  <c r="C2657" i="55"/>
  <c r="C2376" i="55"/>
  <c r="C2113" i="55"/>
  <c r="C2267" i="55"/>
  <c r="C2663" i="55"/>
  <c r="C2277" i="55"/>
  <c r="C2882" i="55"/>
  <c r="C2920" i="55"/>
  <c r="C2628" i="55"/>
  <c r="C2357" i="55"/>
  <c r="C2200" i="55"/>
  <c r="C2318" i="55"/>
  <c r="C2835" i="55"/>
  <c r="C2383" i="55"/>
  <c r="C2168" i="55"/>
  <c r="C2372" i="55"/>
  <c r="C2839" i="55"/>
  <c r="C2600" i="55"/>
  <c r="C2731" i="55"/>
  <c r="C2590" i="55"/>
  <c r="C2406" i="55"/>
  <c r="C2689" i="55"/>
  <c r="C2815" i="55"/>
  <c r="C2565" i="55"/>
  <c r="C2432" i="55"/>
  <c r="C2245" i="55"/>
  <c r="C2209" i="55"/>
  <c r="C2401" i="55"/>
  <c r="C2348" i="55"/>
  <c r="C2577" i="55"/>
  <c r="C2100" i="55"/>
  <c r="C2765" i="55"/>
  <c r="C2637" i="55"/>
  <c r="C2290" i="55"/>
  <c r="C2912" i="55"/>
  <c r="C2201" i="55"/>
  <c r="C2222" i="55"/>
  <c r="C2622" i="55"/>
  <c r="C2183" i="55"/>
  <c r="C2586" i="55"/>
  <c r="C2315" i="55"/>
  <c r="C2237" i="55"/>
  <c r="C2301" i="55"/>
  <c r="C2273" i="55"/>
  <c r="C2841" i="55"/>
  <c r="C2317" i="55"/>
  <c r="C2297" i="55"/>
  <c r="C2743" i="55"/>
  <c r="C2347" i="55"/>
  <c r="C2729" i="55"/>
  <c r="C2395" i="55"/>
  <c r="C2734" i="55"/>
  <c r="C2388" i="55"/>
  <c r="C2334" i="55"/>
  <c r="C2174" i="55"/>
  <c r="C2877" i="55"/>
  <c r="C2244" i="55"/>
  <c r="C2362" i="55"/>
  <c r="C2184" i="55"/>
  <c r="C2298" i="55"/>
  <c r="C2619" i="55"/>
  <c r="C2607" i="55"/>
  <c r="C2224" i="55"/>
  <c r="C2747" i="55"/>
  <c r="C2425" i="55"/>
  <c r="C2910" i="55"/>
  <c r="C2889" i="55"/>
  <c r="C2239" i="55"/>
  <c r="C2438" i="55"/>
  <c r="C2300" i="55"/>
  <c r="C2117" i="55"/>
  <c r="C2104" i="55"/>
  <c r="C2563" i="55"/>
  <c r="C2246" i="55"/>
  <c r="C2704" i="55"/>
  <c r="C2774" i="55"/>
  <c r="C2814" i="55"/>
  <c r="C2582" i="55"/>
  <c r="C2864" i="55"/>
  <c r="C2179" i="55"/>
  <c r="C2792" i="55"/>
  <c r="C2154" i="55"/>
  <c r="C2662" i="55"/>
  <c r="C31" i="24"/>
  <c r="F1385" i="55" s="1"/>
  <c r="C107" i="24"/>
  <c r="C173" i="24"/>
  <c r="F1635" i="55"/>
  <c r="F1791" i="55"/>
  <c r="D2117" i="55"/>
  <c r="D101" i="8"/>
  <c r="E218" i="55" s="1"/>
  <c r="D2411" i="55"/>
  <c r="D2874" i="55"/>
  <c r="D2167" i="55"/>
  <c r="E1567" i="55"/>
  <c r="F2381" i="55"/>
  <c r="F1957" i="55"/>
  <c r="D2407" i="55"/>
  <c r="F1593" i="55"/>
  <c r="D85" i="8"/>
  <c r="E80" i="55" s="1"/>
  <c r="F2412" i="55"/>
  <c r="D2166" i="55"/>
  <c r="D2753" i="55"/>
  <c r="D2871" i="55"/>
  <c r="F2451" i="55"/>
  <c r="C248" i="24"/>
  <c r="D2750" i="55"/>
  <c r="C49" i="24"/>
  <c r="F2428" i="55"/>
  <c r="D2164" i="55"/>
  <c r="C89" i="24"/>
  <c r="D2289" i="55"/>
  <c r="D2168" i="55"/>
  <c r="D2627" i="55"/>
  <c r="D2872" i="55"/>
  <c r="D2287" i="55"/>
  <c r="D2412" i="55"/>
  <c r="D2162" i="55"/>
  <c r="F1531" i="55"/>
  <c r="D2290" i="55"/>
  <c r="D2288" i="55"/>
  <c r="D2409" i="55"/>
  <c r="D2630" i="55"/>
  <c r="D5633" i="55"/>
  <c r="D5794" i="55"/>
  <c r="D5143" i="55"/>
  <c r="D5240" i="55"/>
  <c r="D5338" i="55"/>
  <c r="D5436" i="55"/>
  <c r="D5533" i="55"/>
  <c r="D5631" i="55"/>
  <c r="D5957" i="55"/>
  <c r="D5237" i="55"/>
  <c r="D5335" i="55"/>
  <c r="D5433" i="55"/>
  <c r="D5530" i="55"/>
  <c r="D5628" i="55"/>
  <c r="D5850" i="55"/>
  <c r="D5899" i="55"/>
  <c r="D6023" i="55"/>
  <c r="D5492" i="55"/>
  <c r="D5589" i="55"/>
  <c r="D6004" i="55"/>
  <c r="D5293" i="55"/>
  <c r="D5391" i="55"/>
  <c r="D5489" i="55"/>
  <c r="D5586" i="55"/>
  <c r="D5908" i="55"/>
  <c r="D6052" i="55"/>
  <c r="D5136" i="55"/>
  <c r="D5233" i="55"/>
  <c r="D5331" i="55"/>
  <c r="D5429" i="55"/>
  <c r="D5526" i="55"/>
  <c r="D5624" i="55"/>
  <c r="D5711" i="55"/>
  <c r="D5760" i="55"/>
  <c r="D5809" i="55"/>
  <c r="D5862" i="55"/>
  <c r="D5900" i="55"/>
  <c r="D6080" i="55"/>
  <c r="D5561" i="55"/>
  <c r="D5660" i="55"/>
  <c r="D5799" i="55"/>
  <c r="D6008" i="55"/>
  <c r="D5893" i="55"/>
  <c r="D5746" i="55"/>
  <c r="D6057" i="55"/>
  <c r="D6228" i="55"/>
  <c r="D6109" i="55"/>
  <c r="D6058" i="55"/>
  <c r="D6185" i="55"/>
  <c r="D6592" i="55"/>
  <c r="D6026" i="55"/>
  <c r="D6362" i="55"/>
  <c r="D6618" i="55"/>
  <c r="D6552" i="55"/>
  <c r="D153" i="63"/>
  <c r="E114" i="62"/>
  <c r="AN114" i="62"/>
  <c r="D108" i="63"/>
  <c r="DS108" i="63"/>
  <c r="AN90" i="62"/>
  <c r="E90" i="62"/>
  <c r="D5082" i="55"/>
  <c r="D5212" i="55"/>
  <c r="D5196" i="55"/>
  <c r="D5157" i="55"/>
  <c r="D5340" i="55"/>
  <c r="D5214" i="55"/>
  <c r="D5089" i="55"/>
  <c r="D5139" i="55"/>
  <c r="D5283" i="55"/>
  <c r="D5178" i="55"/>
  <c r="D5393" i="55"/>
  <c r="D5117" i="55"/>
  <c r="D5145" i="55"/>
  <c r="D5564" i="55"/>
  <c r="D5806" i="55"/>
  <c r="D5592" i="55"/>
  <c r="D5737" i="55"/>
  <c r="D5142" i="55"/>
  <c r="D5256" i="55"/>
  <c r="D5305" i="55"/>
  <c r="D5353" i="55"/>
  <c r="D5402" i="55"/>
  <c r="D5104" i="55"/>
  <c r="D5507" i="55"/>
  <c r="D5749" i="55"/>
  <c r="D5454" i="55"/>
  <c r="D5647" i="55"/>
  <c r="D5810" i="55"/>
  <c r="D5151" i="55"/>
  <c r="D5249" i="55"/>
  <c r="D5346" i="55"/>
  <c r="D5444" i="55"/>
  <c r="D5541" i="55"/>
  <c r="D5643" i="55"/>
  <c r="D5972" i="55"/>
  <c r="D5246" i="55"/>
  <c r="D5343" i="55"/>
  <c r="D5441" i="55"/>
  <c r="D5538" i="55"/>
  <c r="D5638" i="55"/>
  <c r="D5855" i="55"/>
  <c r="D5901" i="55"/>
  <c r="D6040" i="55"/>
  <c r="D5500" i="55"/>
  <c r="D5597" i="55"/>
  <c r="D6497" i="55"/>
  <c r="D5301" i="55"/>
  <c r="D5399" i="55"/>
  <c r="D5497" i="55"/>
  <c r="D5594" i="55"/>
  <c r="D5924" i="55"/>
  <c r="D6068" i="55"/>
  <c r="D5144" i="55"/>
  <c r="D5242" i="55"/>
  <c r="D5339" i="55"/>
  <c r="D5437" i="55"/>
  <c r="D5534" i="55"/>
  <c r="D5632" i="55"/>
  <c r="D5715" i="55"/>
  <c r="D5764" i="55"/>
  <c r="D5813" i="55"/>
  <c r="D5866" i="55"/>
  <c r="D5916" i="55"/>
  <c r="D5439" i="55"/>
  <c r="D5569" i="55"/>
  <c r="D5677" i="55"/>
  <c r="D5807" i="55"/>
  <c r="D6638" i="55"/>
  <c r="D5905" i="55"/>
  <c r="D5754" i="55"/>
  <c r="D6061" i="55"/>
  <c r="D6252" i="55"/>
  <c r="D6121" i="55"/>
  <c r="D6082" i="55"/>
  <c r="D6209" i="55"/>
  <c r="D6038" i="55"/>
  <c r="D6051" i="55"/>
  <c r="D6394" i="55"/>
  <c r="D6642" i="55"/>
  <c r="D6641" i="55"/>
  <c r="D6544" i="55"/>
  <c r="D6446" i="55"/>
  <c r="D6547" i="55"/>
  <c r="D6449" i="55"/>
  <c r="D6615" i="55"/>
  <c r="D6517" i="55"/>
  <c r="D6610" i="55"/>
  <c r="D6512" i="55"/>
  <c r="D6597" i="55"/>
  <c r="D6499" i="55"/>
  <c r="D6402" i="55"/>
  <c r="D6510" i="55"/>
  <c r="D6354" i="55"/>
  <c r="D6516" i="55"/>
  <c r="D6397" i="55"/>
  <c r="D6311" i="55"/>
  <c r="D6213" i="55"/>
  <c r="D6116" i="55"/>
  <c r="D6018" i="55"/>
  <c r="D5921" i="55"/>
  <c r="D6412" i="55"/>
  <c r="D6298" i="55"/>
  <c r="D6200" i="55"/>
  <c r="D6103" i="55"/>
  <c r="D6590" i="55"/>
  <c r="D6403" i="55"/>
  <c r="D6600" i="55"/>
  <c r="D6438" i="55"/>
  <c r="D6372" i="55"/>
  <c r="D6274" i="55"/>
  <c r="D6177" i="55"/>
  <c r="D6079" i="55"/>
  <c r="D6554" i="55"/>
  <c r="D6343" i="55"/>
  <c r="D6245" i="55"/>
  <c r="D6147" i="55"/>
  <c r="D6050" i="55"/>
  <c r="D5952" i="55"/>
  <c r="D6300" i="55"/>
  <c r="D6251" i="55"/>
  <c r="D6202" i="55"/>
  <c r="D6153" i="55"/>
  <c r="D6614" i="55"/>
  <c r="D5979" i="55"/>
  <c r="D5840" i="55"/>
  <c r="D5743" i="55"/>
  <c r="D6297" i="55"/>
  <c r="D6248" i="55"/>
  <c r="D6199" i="55"/>
  <c r="D6150" i="55"/>
  <c r="D6102" i="55"/>
  <c r="D6053" i="55"/>
  <c r="D5967" i="55"/>
  <c r="D5835" i="55"/>
  <c r="D5738" i="55"/>
  <c r="D5640" i="55"/>
  <c r="D6361" i="55"/>
  <c r="D5885" i="55"/>
  <c r="D5787" i="55"/>
  <c r="D6633" i="55"/>
  <c r="D6536" i="55"/>
  <c r="D6636" i="55"/>
  <c r="D6539" i="55"/>
  <c r="D6441" i="55"/>
  <c r="D6607" i="55"/>
  <c r="D6509" i="55"/>
  <c r="D6602" i="55"/>
  <c r="D6504" i="55"/>
  <c r="D6589" i="55"/>
  <c r="D6491" i="55"/>
  <c r="D6393" i="55"/>
  <c r="D6508" i="55"/>
  <c r="D6346" i="55"/>
  <c r="D6486" i="55"/>
  <c r="D6390" i="55"/>
  <c r="D6303" i="55"/>
  <c r="D6205" i="55"/>
  <c r="D6108" i="55"/>
  <c r="D6010" i="55"/>
  <c r="D5913" i="55"/>
  <c r="D6395" i="55"/>
  <c r="D6290" i="55"/>
  <c r="D6192" i="55"/>
  <c r="D6094" i="55"/>
  <c r="D6559" i="55"/>
  <c r="D6386" i="55"/>
  <c r="D6598" i="55"/>
  <c r="D6431" i="55"/>
  <c r="D6364" i="55"/>
  <c r="D6266" i="55"/>
  <c r="D6169" i="55"/>
  <c r="D6071" i="55"/>
  <c r="D6521" i="55"/>
  <c r="D6334" i="55"/>
  <c r="D6237" i="55"/>
  <c r="D6139" i="55"/>
  <c r="D6042" i="55"/>
  <c r="D5944" i="55"/>
  <c r="D6296" i="55"/>
  <c r="D6247" i="55"/>
  <c r="D6198" i="55"/>
  <c r="D6149" i="55"/>
  <c r="D6432" i="55"/>
  <c r="D5962" i="55"/>
  <c r="D5832" i="55"/>
  <c r="D5735" i="55"/>
  <c r="D6293" i="55"/>
  <c r="D6244" i="55"/>
  <c r="D6195" i="55"/>
  <c r="D6146" i="55"/>
  <c r="D6098" i="55"/>
  <c r="D6049" i="55"/>
  <c r="D5951" i="55"/>
  <c r="D5827" i="55"/>
  <c r="D5730" i="55"/>
  <c r="D6373" i="55"/>
  <c r="D6345" i="55"/>
  <c r="D5877" i="55"/>
  <c r="D5779" i="55"/>
  <c r="D6625" i="55"/>
  <c r="D6528" i="55"/>
  <c r="D6628" i="55"/>
  <c r="D6531" i="55"/>
  <c r="D6433" i="55"/>
  <c r="D6599" i="55"/>
  <c r="D6501" i="55"/>
  <c r="D6594" i="55"/>
  <c r="D6496" i="55"/>
  <c r="D6580" i="55"/>
  <c r="D6483" i="55"/>
  <c r="D6385" i="55"/>
  <c r="D6478" i="55"/>
  <c r="D6337" i="55"/>
  <c r="D6484" i="55"/>
  <c r="D6388" i="55"/>
  <c r="D6295" i="55"/>
  <c r="D6197" i="55"/>
  <c r="D6100" i="55"/>
  <c r="D6002" i="55"/>
  <c r="D5904" i="55"/>
  <c r="D6379" i="55"/>
  <c r="D6282" i="55"/>
  <c r="D6184" i="55"/>
  <c r="D6086" i="55"/>
  <c r="D6557" i="55"/>
  <c r="D6374" i="55"/>
  <c r="D6567" i="55"/>
  <c r="D6429" i="55"/>
  <c r="D6356" i="55"/>
  <c r="D6258" i="55"/>
  <c r="D6161" i="55"/>
  <c r="D6063" i="55"/>
  <c r="D6489" i="55"/>
  <c r="D6326" i="55"/>
  <c r="D6229" i="55"/>
  <c r="D6131" i="55"/>
  <c r="D6033" i="55"/>
  <c r="D5936" i="55"/>
  <c r="D6292" i="55"/>
  <c r="D6243" i="55"/>
  <c r="D6194" i="55"/>
  <c r="D6145" i="55"/>
  <c r="D6416" i="55"/>
  <c r="D5946" i="55"/>
  <c r="D5824" i="55"/>
  <c r="D5726" i="55"/>
  <c r="D6289" i="55"/>
  <c r="D6240" i="55"/>
  <c r="D6191" i="55"/>
  <c r="D6142" i="55"/>
  <c r="D6093" i="55"/>
  <c r="D6045" i="55"/>
  <c r="D5935" i="55"/>
  <c r="D5819" i="55"/>
  <c r="D5721" i="55"/>
  <c r="D6357" i="55"/>
  <c r="D6328" i="55"/>
  <c r="D5869" i="55"/>
  <c r="D5771" i="55"/>
  <c r="D6617" i="55"/>
  <c r="D6519" i="55"/>
  <c r="D6620" i="55"/>
  <c r="D6523" i="55"/>
  <c r="D6425" i="55"/>
  <c r="D6591" i="55"/>
  <c r="D6493" i="55"/>
  <c r="D6586" i="55"/>
  <c r="D6488" i="55"/>
  <c r="D6572" i="55"/>
  <c r="D6475" i="55"/>
  <c r="D6640" i="55"/>
  <c r="D6476" i="55"/>
  <c r="D6329" i="55"/>
  <c r="D6448" i="55"/>
  <c r="D6381" i="55"/>
  <c r="D6287" i="55"/>
  <c r="D6189" i="55"/>
  <c r="D6091" i="55"/>
  <c r="D5994" i="55"/>
  <c r="D6635" i="55"/>
  <c r="D6371" i="55"/>
  <c r="D6273" i="55"/>
  <c r="D6176" i="55"/>
  <c r="D6078" i="55"/>
  <c r="D6527" i="55"/>
  <c r="D6366" i="55"/>
  <c r="D6565" i="55"/>
  <c r="D6422" i="55"/>
  <c r="D6348" i="55"/>
  <c r="D6250" i="55"/>
  <c r="D6152" i="55"/>
  <c r="D6055" i="55"/>
  <c r="D6447" i="55"/>
  <c r="D6318" i="55"/>
  <c r="D6221" i="55"/>
  <c r="D6123" i="55"/>
  <c r="D6025" i="55"/>
  <c r="D5928" i="55"/>
  <c r="D6288" i="55"/>
  <c r="D6239" i="55"/>
  <c r="D6190" i="55"/>
  <c r="D6141" i="55"/>
  <c r="D6399" i="55"/>
  <c r="D5930" i="55"/>
  <c r="D5816" i="55"/>
  <c r="D5718" i="55"/>
  <c r="D6285" i="55"/>
  <c r="D6236" i="55"/>
  <c r="D6187" i="55"/>
  <c r="D6138" i="55"/>
  <c r="D6089" i="55"/>
  <c r="D6041" i="55"/>
  <c r="D5919" i="55"/>
  <c r="D5811" i="55"/>
  <c r="D5713" i="55"/>
  <c r="D6341" i="55"/>
  <c r="D6312" i="55"/>
  <c r="D5861" i="55"/>
  <c r="D5763" i="55"/>
  <c r="D6578" i="55"/>
  <c r="D6609" i="55"/>
  <c r="D6511" i="55"/>
  <c r="D6612" i="55"/>
  <c r="D6514" i="55"/>
  <c r="D6417" i="55"/>
  <c r="D6582" i="55"/>
  <c r="D6485" i="55"/>
  <c r="D6577" i="55"/>
  <c r="D6480" i="55"/>
  <c r="D6564" i="55"/>
  <c r="D6467" i="55"/>
  <c r="D6632" i="55"/>
  <c r="D6456" i="55"/>
  <c r="D6321" i="55"/>
  <c r="D6439" i="55"/>
  <c r="D6376" i="55"/>
  <c r="D6279" i="55"/>
  <c r="D6181" i="55"/>
  <c r="D6083" i="55"/>
  <c r="D5986" i="55"/>
  <c r="D6619" i="55"/>
  <c r="D6363" i="55"/>
  <c r="D6265" i="55"/>
  <c r="D6168" i="55"/>
  <c r="D6070" i="55"/>
  <c r="D6525" i="55"/>
  <c r="D6358" i="55"/>
  <c r="D6535" i="55"/>
  <c r="D6415" i="55"/>
  <c r="D6340" i="55"/>
  <c r="D6242" i="55"/>
  <c r="D6144" i="55"/>
  <c r="D6047" i="55"/>
  <c r="D6436" i="55"/>
  <c r="D6310" i="55"/>
  <c r="D6212" i="55"/>
  <c r="D6115" i="55"/>
  <c r="D6017" i="55"/>
  <c r="D5920" i="55"/>
  <c r="D6284" i="55"/>
  <c r="D6235" i="55"/>
  <c r="D6186" i="55"/>
  <c r="D6137" i="55"/>
  <c r="D6383" i="55"/>
  <c r="D5914" i="55"/>
  <c r="D5808" i="55"/>
  <c r="D5710" i="55"/>
  <c r="D6281" i="55"/>
  <c r="D6232" i="55"/>
  <c r="D6183" i="55"/>
  <c r="D6134" i="55"/>
  <c r="D6085" i="55"/>
  <c r="D6037" i="55"/>
  <c r="D5902" i="55"/>
  <c r="D5803" i="55"/>
  <c r="D5705" i="55"/>
  <c r="D6324" i="55"/>
  <c r="D6003" i="55"/>
  <c r="D5853" i="55"/>
  <c r="D5755" i="55"/>
  <c r="D6513" i="55"/>
  <c r="D5864" i="55"/>
  <c r="D5766" i="55"/>
  <c r="D5669" i="55"/>
  <c r="D5626" i="55"/>
  <c r="D5528" i="55"/>
  <c r="D6097" i="55"/>
  <c r="D5948" i="55"/>
  <c r="D5886" i="55"/>
  <c r="D6601" i="55"/>
  <c r="D6503" i="55"/>
  <c r="D6604" i="55"/>
  <c r="D6506" i="55"/>
  <c r="D6409" i="55"/>
  <c r="D6574" i="55"/>
  <c r="D6477" i="55"/>
  <c r="D6569" i="55"/>
  <c r="D6472" i="55"/>
  <c r="D6556" i="55"/>
  <c r="D6458" i="55"/>
  <c r="D6624" i="55"/>
  <c r="D6443" i="55"/>
  <c r="D6313" i="55"/>
  <c r="D6437" i="55"/>
  <c r="D6368" i="55"/>
  <c r="D6270" i="55"/>
  <c r="D6173" i="55"/>
  <c r="D6075" i="55"/>
  <c r="D5978" i="55"/>
  <c r="D6603" i="55"/>
  <c r="D6355" i="55"/>
  <c r="D6257" i="55"/>
  <c r="D6160" i="55"/>
  <c r="D6062" i="55"/>
  <c r="D6494" i="55"/>
  <c r="D6350" i="55"/>
  <c r="D6533" i="55"/>
  <c r="D6413" i="55"/>
  <c r="D6331" i="55"/>
  <c r="D6234" i="55"/>
  <c r="D6136" i="55"/>
  <c r="D6039" i="55"/>
  <c r="D6420" i="55"/>
  <c r="D6302" i="55"/>
  <c r="D6204" i="55"/>
  <c r="D6107" i="55"/>
  <c r="D6009" i="55"/>
  <c r="D5911" i="55"/>
  <c r="D6280" i="55"/>
  <c r="D6231" i="55"/>
  <c r="D6182" i="55"/>
  <c r="D6133" i="55"/>
  <c r="D6369" i="55"/>
  <c r="D5897" i="55"/>
  <c r="D5800" i="55"/>
  <c r="D5702" i="55"/>
  <c r="D6593" i="55"/>
  <c r="D6495" i="55"/>
  <c r="D6596" i="55"/>
  <c r="D6498" i="55"/>
  <c r="D6401" i="55"/>
  <c r="D6566" i="55"/>
  <c r="D6469" i="55"/>
  <c r="D6561" i="55"/>
  <c r="D6464" i="55"/>
  <c r="D6548" i="55"/>
  <c r="D6450" i="55"/>
  <c r="D6616" i="55"/>
  <c r="D6427" i="55"/>
  <c r="D6305" i="55"/>
  <c r="D6430" i="55"/>
  <c r="D6360" i="55"/>
  <c r="D6262" i="55"/>
  <c r="D6165" i="55"/>
  <c r="D6067" i="55"/>
  <c r="D5969" i="55"/>
  <c r="D6570" i="55"/>
  <c r="D6347" i="55"/>
  <c r="D6249" i="55"/>
  <c r="D6151" i="55"/>
  <c r="D6054" i="55"/>
  <c r="D6492" i="55"/>
  <c r="D6342" i="55"/>
  <c r="D6502" i="55"/>
  <c r="D6406" i="55"/>
  <c r="D6323" i="55"/>
  <c r="D6226" i="55"/>
  <c r="D6128" i="55"/>
  <c r="D6030" i="55"/>
  <c r="D6404" i="55"/>
  <c r="D6294" i="55"/>
  <c r="D6196" i="55"/>
  <c r="D6099" i="55"/>
  <c r="D6001" i="55"/>
  <c r="D5903" i="55"/>
  <c r="D6275" i="55"/>
  <c r="D6227" i="55"/>
  <c r="D6178" i="55"/>
  <c r="D6129" i="55"/>
  <c r="D6353" i="55"/>
  <c r="D5889" i="55"/>
  <c r="D5792" i="55"/>
  <c r="D5694" i="55"/>
  <c r="D6272" i="55"/>
  <c r="D6224" i="55"/>
  <c r="D6175" i="55"/>
  <c r="D6126" i="55"/>
  <c r="D6077" i="55"/>
  <c r="D6028" i="55"/>
  <c r="D5884" i="55"/>
  <c r="D5786" i="55"/>
  <c r="D5689" i="55"/>
  <c r="D6452" i="55"/>
  <c r="D5970" i="55"/>
  <c r="D5836" i="55"/>
  <c r="D5739" i="55"/>
  <c r="D5992" i="55"/>
  <c r="D5847" i="55"/>
  <c r="D5750" i="55"/>
  <c r="D5652" i="55"/>
  <c r="D5610" i="55"/>
  <c r="D5512" i="55"/>
  <c r="D6064" i="55"/>
  <c r="D5918" i="55"/>
  <c r="D5878" i="55"/>
  <c r="D5829" i="55"/>
  <c r="D6585" i="55"/>
  <c r="D6487" i="55"/>
  <c r="D6588" i="55"/>
  <c r="D6490" i="55"/>
  <c r="D6392" i="55"/>
  <c r="D6558" i="55"/>
  <c r="D6460" i="55"/>
  <c r="D6553" i="55"/>
  <c r="D6637" i="55"/>
  <c r="D6540" i="55"/>
  <c r="D6442" i="55"/>
  <c r="D6608" i="55"/>
  <c r="D6411" i="55"/>
  <c r="D6584" i="55"/>
  <c r="D6423" i="55"/>
  <c r="D6352" i="55"/>
  <c r="D6254" i="55"/>
  <c r="D6157" i="55"/>
  <c r="D6059" i="55"/>
  <c r="D5961" i="55"/>
  <c r="D6538" i="55"/>
  <c r="D6338" i="55"/>
  <c r="D6241" i="55"/>
  <c r="D6143" i="55"/>
  <c r="D6046" i="55"/>
  <c r="D6462" i="55"/>
  <c r="D6333" i="55"/>
  <c r="D6500" i="55"/>
  <c r="D6398" i="55"/>
  <c r="D6315" i="55"/>
  <c r="D6218" i="55"/>
  <c r="D6120" i="55"/>
  <c r="D6022" i="55"/>
  <c r="D6387" i="55"/>
  <c r="D6286" i="55"/>
  <c r="D6188" i="55"/>
  <c r="D6090" i="55"/>
  <c r="D5993" i="55"/>
  <c r="D6630" i="55"/>
  <c r="D6271" i="55"/>
  <c r="D6223" i="55"/>
  <c r="D6174" i="55"/>
  <c r="D6125" i="55"/>
  <c r="D6336" i="55"/>
  <c r="D5881" i="55"/>
  <c r="D5783" i="55"/>
  <c r="D5686" i="55"/>
  <c r="D6268" i="55"/>
  <c r="D6220" i="55"/>
  <c r="D6171" i="55"/>
  <c r="D6122" i="55"/>
  <c r="D6073" i="55"/>
  <c r="D6024" i="55"/>
  <c r="D5876" i="55"/>
  <c r="D5778" i="55"/>
  <c r="D5681" i="55"/>
  <c r="D6440" i="55"/>
  <c r="D5954" i="55"/>
  <c r="D5828" i="55"/>
  <c r="D5731" i="55"/>
  <c r="D5976" i="55"/>
  <c r="D5839" i="55"/>
  <c r="D5742" i="55"/>
  <c r="D5644" i="55"/>
  <c r="D5601" i="55"/>
  <c r="D5504" i="55"/>
  <c r="D6568" i="55"/>
  <c r="D6471" i="55"/>
  <c r="D6571" i="55"/>
  <c r="D6474" i="55"/>
  <c r="D6639" i="55"/>
  <c r="D6542" i="55"/>
  <c r="D6634" i="55"/>
  <c r="D6537" i="55"/>
  <c r="D6621" i="55"/>
  <c r="D6524" i="55"/>
  <c r="D6426" i="55"/>
  <c r="D6573" i="55"/>
  <c r="D6378" i="55"/>
  <c r="D6551" i="55"/>
  <c r="D6414" i="55"/>
  <c r="D6335" i="55"/>
  <c r="D6238" i="55"/>
  <c r="D6140" i="55"/>
  <c r="D6043" i="55"/>
  <c r="D5945" i="55"/>
  <c r="D6473" i="55"/>
  <c r="D6322" i="55"/>
  <c r="D6225" i="55"/>
  <c r="D6127" i="55"/>
  <c r="D6029" i="55"/>
  <c r="D6453" i="55"/>
  <c r="D6317" i="55"/>
  <c r="D6468" i="55"/>
  <c r="D6389" i="55"/>
  <c r="D6299" i="55"/>
  <c r="D6201" i="55"/>
  <c r="D6104" i="55"/>
  <c r="D6627" i="55"/>
  <c r="D6367" i="55"/>
  <c r="D6269" i="55"/>
  <c r="D6172" i="55"/>
  <c r="D6074" i="55"/>
  <c r="D5977" i="55"/>
  <c r="D6349" i="55"/>
  <c r="D6263" i="55"/>
  <c r="D6214" i="55"/>
  <c r="D6166" i="55"/>
  <c r="D6117" i="55"/>
  <c r="D6304" i="55"/>
  <c r="D5865" i="55"/>
  <c r="D5767" i="55"/>
  <c r="D6546" i="55"/>
  <c r="D6260" i="55"/>
  <c r="D6211" i="55"/>
  <c r="D6163" i="55"/>
  <c r="D6114" i="55"/>
  <c r="D6065" i="55"/>
  <c r="D6016" i="55"/>
  <c r="D5860" i="55"/>
  <c r="D5762" i="55"/>
  <c r="D5664" i="55"/>
  <c r="D6408" i="55"/>
  <c r="D5922" i="55"/>
  <c r="D5812" i="55"/>
  <c r="D5714" i="55"/>
  <c r="D5943" i="55"/>
  <c r="D5823" i="55"/>
  <c r="D5725" i="55"/>
  <c r="D6562" i="55"/>
  <c r="D5585" i="55"/>
  <c r="D5488" i="55"/>
  <c r="D6560" i="55"/>
  <c r="D6463" i="55"/>
  <c r="D6563" i="55"/>
  <c r="D6466" i="55"/>
  <c r="D6631" i="55"/>
  <c r="D6534" i="55"/>
  <c r="D6626" i="55"/>
  <c r="D6529" i="55"/>
  <c r="D6613" i="55"/>
  <c r="D6515" i="55"/>
  <c r="D6418" i="55"/>
  <c r="D6543" i="55"/>
  <c r="D6370" i="55"/>
  <c r="D6549" i="55"/>
  <c r="D6407" i="55"/>
  <c r="D6327" i="55"/>
  <c r="D6230" i="55"/>
  <c r="D6132" i="55"/>
  <c r="D6035" i="55"/>
  <c r="D5937" i="55"/>
  <c r="D6444" i="55"/>
  <c r="D6314" i="55"/>
  <c r="D6216" i="55"/>
  <c r="D6119" i="55"/>
  <c r="D6021" i="55"/>
  <c r="D6435" i="55"/>
  <c r="D6309" i="55"/>
  <c r="D6451" i="55"/>
  <c r="D6382" i="55"/>
  <c r="D6291" i="55"/>
  <c r="D6193" i="55"/>
  <c r="D6096" i="55"/>
  <c r="D6611" i="55"/>
  <c r="D6359" i="55"/>
  <c r="D6261" i="55"/>
  <c r="D6164" i="55"/>
  <c r="D6066" i="55"/>
  <c r="D5968" i="55"/>
  <c r="D6332" i="55"/>
  <c r="D6259" i="55"/>
  <c r="D6210" i="55"/>
  <c r="D6162" i="55"/>
  <c r="D6113" i="55"/>
  <c r="D6011" i="55"/>
  <c r="D5857" i="55"/>
  <c r="D5759" i="55"/>
  <c r="D6481" i="55"/>
  <c r="D6256" i="55"/>
  <c r="D6207" i="55"/>
  <c r="D6159" i="55"/>
  <c r="D6110" i="55"/>
  <c r="D5099" i="55"/>
  <c r="D5083" i="55"/>
  <c r="D5213" i="55"/>
  <c r="D5188" i="55"/>
  <c r="D5373" i="55"/>
  <c r="D5255" i="55"/>
  <c r="D5154" i="55"/>
  <c r="D5156" i="55"/>
  <c r="D5316" i="55"/>
  <c r="D5230" i="55"/>
  <c r="D5073" i="55"/>
  <c r="D5150" i="55"/>
  <c r="D5177" i="55"/>
  <c r="D5596" i="55"/>
  <c r="D5838" i="55"/>
  <c r="D5625" i="55"/>
  <c r="D5769" i="55"/>
  <c r="D5174" i="55"/>
  <c r="D5264" i="55"/>
  <c r="D5313" i="55"/>
  <c r="D5361" i="55"/>
  <c r="D5410" i="55"/>
  <c r="D5137" i="55"/>
  <c r="D5539" i="55"/>
  <c r="D5781" i="55"/>
  <c r="D5487" i="55"/>
  <c r="D5663" i="55"/>
  <c r="D5070" i="55"/>
  <c r="D5167" i="55"/>
  <c r="D5265" i="55"/>
  <c r="D5362" i="55"/>
  <c r="D5460" i="55"/>
  <c r="D5558" i="55"/>
  <c r="D5659" i="55"/>
  <c r="D5990" i="55"/>
  <c r="D5262" i="55"/>
  <c r="D5359" i="55"/>
  <c r="D5457" i="55"/>
  <c r="D5555" i="55"/>
  <c r="D5671" i="55"/>
  <c r="D5863" i="55"/>
  <c r="D5932" i="55"/>
  <c r="D6072" i="55"/>
  <c r="D5516" i="55"/>
  <c r="D5614" i="55"/>
  <c r="D5220" i="55"/>
  <c r="D5318" i="55"/>
  <c r="D5415" i="55"/>
  <c r="D5513" i="55"/>
  <c r="D5611" i="55"/>
  <c r="D5941" i="55"/>
  <c r="D6101" i="55"/>
  <c r="D5160" i="55"/>
  <c r="D5258" i="55"/>
  <c r="D5355" i="55"/>
  <c r="D5453" i="55"/>
  <c r="D5551" i="55"/>
  <c r="D5662" i="55"/>
  <c r="D5723" i="55"/>
  <c r="D5772" i="55"/>
  <c r="D5821" i="55"/>
  <c r="D5874" i="55"/>
  <c r="D5950" i="55"/>
  <c r="D5455" i="55"/>
  <c r="D5593" i="55"/>
  <c r="D5693" i="55"/>
  <c r="D5831" i="55"/>
  <c r="D5690" i="55"/>
  <c r="D5987" i="55"/>
  <c r="D5795" i="55"/>
  <c r="D6081" i="55"/>
  <c r="D6276" i="55"/>
  <c r="D6170" i="55"/>
  <c r="D6180" i="55"/>
  <c r="D6307" i="55"/>
  <c r="D6135" i="55"/>
  <c r="D6148" i="55"/>
  <c r="D6575" i="55"/>
  <c r="D6550" i="55"/>
  <c r="H1626" i="55"/>
  <c r="D107" i="63"/>
  <c r="D217" i="55"/>
  <c r="D221" i="55"/>
  <c r="C6" i="13"/>
  <c r="P233" i="24"/>
  <c r="F1753" i="55"/>
  <c r="P147" i="24"/>
  <c r="F1857" i="55"/>
  <c r="P89" i="24"/>
  <c r="F1545" i="55"/>
  <c r="P248" i="24"/>
  <c r="P49" i="24"/>
  <c r="DS100" i="63"/>
  <c r="P107" i="24"/>
  <c r="F1909" i="55"/>
  <c r="F1597" i="55"/>
  <c r="D100" i="63"/>
  <c r="P129" i="24"/>
  <c r="AN106" i="62"/>
  <c r="DS107" i="63"/>
  <c r="P70" i="24"/>
  <c r="C14" i="13"/>
  <c r="P31" i="24"/>
  <c r="P216" i="24"/>
  <c r="F1701" i="55"/>
  <c r="P189" i="24"/>
  <c r="H1782" i="55"/>
  <c r="D2037" i="55"/>
  <c r="P199" i="24"/>
  <c r="F3168" i="55"/>
  <c r="F3167" i="55"/>
  <c r="F3169" i="55"/>
  <c r="F3170" i="55"/>
  <c r="D105" i="63"/>
  <c r="I200" i="24"/>
  <c r="F1407" i="55" s="1"/>
  <c r="E1143" i="55"/>
  <c r="D2846" i="55"/>
  <c r="D2725" i="55"/>
  <c r="D2849" i="55"/>
  <c r="D2727" i="55"/>
  <c r="D2605" i="55"/>
  <c r="D2261" i="55"/>
  <c r="D2264" i="55"/>
  <c r="D2726" i="55"/>
  <c r="D2140" i="55"/>
  <c r="D2603" i="55"/>
  <c r="D2386" i="55"/>
  <c r="D2384" i="55"/>
  <c r="D2790" i="55"/>
  <c r="D2449" i="55"/>
  <c r="D2205" i="55"/>
  <c r="D2881" i="55"/>
  <c r="D2171" i="55"/>
  <c r="D2298" i="55"/>
  <c r="D2880" i="55"/>
  <c r="D2633" i="55"/>
  <c r="D2635" i="55"/>
  <c r="D2637" i="55"/>
  <c r="D2296" i="55"/>
  <c r="D2419" i="55"/>
  <c r="D2417" i="55"/>
  <c r="D2759" i="55"/>
  <c r="D2756" i="55"/>
  <c r="D2883" i="55"/>
  <c r="D2636" i="55"/>
  <c r="D2175" i="55"/>
  <c r="D2297" i="55"/>
  <c r="D2755" i="55"/>
  <c r="D2879" i="55"/>
  <c r="D2634" i="55"/>
  <c r="D2416" i="55"/>
  <c r="D2173" i="55"/>
  <c r="D2294" i="55"/>
  <c r="D2757" i="55"/>
  <c r="D2170" i="55"/>
  <c r="D2418" i="55"/>
  <c r="D2639" i="55"/>
  <c r="D2758" i="55"/>
  <c r="D2882" i="55"/>
  <c r="D2414" i="55"/>
  <c r="D2420" i="55"/>
  <c r="D2292" i="55"/>
  <c r="D2638" i="55"/>
  <c r="D2760" i="55"/>
  <c r="D2293" i="55"/>
  <c r="D2295" i="55"/>
  <c r="D1766" i="55"/>
  <c r="D128" i="63"/>
  <c r="AN89" i="62"/>
  <c r="D83" i="63"/>
  <c r="E89" i="62"/>
  <c r="C7647" i="55"/>
  <c r="C7646" i="55"/>
  <c r="C7641" i="55"/>
  <c r="C7638" i="55"/>
  <c r="D1199" i="55"/>
  <c r="D1182" i="55"/>
  <c r="D1189" i="55"/>
  <c r="D1194" i="55"/>
  <c r="D1176" i="55"/>
  <c r="D1187" i="55"/>
  <c r="D1183" i="55"/>
  <c r="D3006" i="55"/>
  <c r="D1184" i="55"/>
  <c r="D3002" i="55"/>
  <c r="D1170" i="55"/>
  <c r="D1202" i="55"/>
  <c r="D1175" i="55"/>
  <c r="D1177" i="55"/>
  <c r="D1190" i="55"/>
  <c r="D1172" i="55"/>
  <c r="D1201" i="55"/>
  <c r="D1197" i="55"/>
  <c r="D1178" i="55"/>
  <c r="D3004" i="55"/>
  <c r="D1180" i="55"/>
  <c r="D1181" i="55"/>
  <c r="D1193" i="55"/>
  <c r="EU10" i="63"/>
  <c r="BK17" i="62"/>
  <c r="C17" i="62"/>
  <c r="B10" i="63"/>
  <c r="D139" i="63"/>
  <c r="AN100" i="62"/>
  <c r="D94" i="63"/>
  <c r="DS94" i="63"/>
  <c r="E100" i="62"/>
  <c r="D127" i="63"/>
  <c r="AN88" i="62"/>
  <c r="D82" i="63"/>
  <c r="E88" i="62"/>
  <c r="DS82" i="63"/>
  <c r="D76" i="8"/>
  <c r="E193" i="55" s="1"/>
  <c r="D100" i="8"/>
  <c r="C8" i="55"/>
  <c r="C9" i="55"/>
  <c r="F2119" i="55"/>
  <c r="E99" i="62"/>
  <c r="DS93" i="63"/>
  <c r="D93" i="63"/>
  <c r="DS101" i="63"/>
  <c r="A34" i="57"/>
  <c r="E3125" i="55" s="1"/>
  <c r="AN107" i="62"/>
  <c r="D146" i="63"/>
  <c r="D2835" i="55"/>
  <c r="D1252" i="55"/>
  <c r="D1244" i="55"/>
  <c r="D1239" i="55"/>
  <c r="D1263" i="55"/>
  <c r="D1269" i="55"/>
  <c r="D3024" i="55"/>
  <c r="D1259" i="55"/>
  <c r="D3017" i="55"/>
  <c r="D3019" i="55"/>
  <c r="D1253" i="55"/>
  <c r="D3016" i="55"/>
  <c r="D1270" i="55"/>
  <c r="D1267" i="55"/>
  <c r="D3022" i="55"/>
  <c r="D1247" i="55"/>
  <c r="D1264" i="55"/>
  <c r="D1256" i="55"/>
  <c r="D3020" i="55"/>
  <c r="D1242" i="55"/>
  <c r="D1243" i="55"/>
  <c r="D1254" i="55"/>
  <c r="D3015" i="55"/>
  <c r="D1246" i="55"/>
  <c r="D1260" i="55"/>
  <c r="D1245" i="55"/>
  <c r="D1265" i="55"/>
  <c r="D1238" i="55"/>
  <c r="D1240" i="55"/>
  <c r="D1258" i="55"/>
  <c r="D1261" i="55"/>
  <c r="D1250" i="55"/>
  <c r="D3023" i="55"/>
  <c r="D1255" i="55"/>
  <c r="D3013" i="55"/>
  <c r="D1266" i="55"/>
  <c r="D1241" i="55"/>
  <c r="D1235" i="55"/>
  <c r="D1251" i="55"/>
  <c r="D1249" i="55"/>
  <c r="D1236" i="55"/>
  <c r="D1268" i="55"/>
  <c r="D3018" i="55"/>
  <c r="D1248" i="55"/>
  <c r="D1237" i="55"/>
  <c r="D3021" i="55"/>
  <c r="AG24" i="13"/>
  <c r="BK24" i="13"/>
  <c r="D1257" i="55"/>
  <c r="D3014" i="55"/>
  <c r="D1262" i="55"/>
  <c r="D2590" i="55"/>
  <c r="F1660" i="55"/>
  <c r="E1566" i="55"/>
  <c r="E1576" i="55"/>
  <c r="E1590" i="55"/>
  <c r="D1823" i="55"/>
  <c r="E1573" i="55"/>
  <c r="E1608" i="55"/>
  <c r="E1595" i="55"/>
  <c r="BL15" i="62"/>
  <c r="EV8" i="63"/>
  <c r="E1605" i="55"/>
  <c r="D1720" i="55"/>
  <c r="E1610" i="55"/>
  <c r="C1022" i="55"/>
  <c r="C1040" i="55"/>
  <c r="C1023" i="55"/>
  <c r="E1587" i="55"/>
  <c r="D1523" i="55"/>
  <c r="F1805" i="55"/>
  <c r="F1649" i="55"/>
  <c r="E1572" i="55"/>
  <c r="F1509" i="55"/>
  <c r="F1769" i="55"/>
  <c r="F1873" i="55"/>
  <c r="F1613" i="55"/>
  <c r="F1821" i="55"/>
  <c r="D1366" i="55"/>
  <c r="D1524" i="55"/>
  <c r="E1604" i="55"/>
  <c r="B37" i="24"/>
  <c r="E1121" i="55" s="1"/>
  <c r="B19" i="24"/>
  <c r="E1083" i="55" s="1"/>
  <c r="E1579" i="55"/>
  <c r="P11" i="10"/>
  <c r="E647" i="55" s="1"/>
  <c r="E1402" i="55"/>
  <c r="E3053" i="55"/>
  <c r="D2623" i="55"/>
  <c r="D2739" i="55"/>
  <c r="E1563" i="55"/>
  <c r="E1577" i="55"/>
  <c r="E1581" i="55"/>
  <c r="E1583" i="55"/>
  <c r="E1571" i="55"/>
  <c r="E1602" i="55"/>
  <c r="E1597" i="55"/>
  <c r="E1561" i="55"/>
  <c r="E1580" i="55"/>
  <c r="E1593" i="55"/>
  <c r="E1564" i="55"/>
  <c r="E1594" i="55"/>
  <c r="E1592" i="55"/>
  <c r="D1564" i="55"/>
  <c r="E1599" i="55"/>
  <c r="H97" i="47"/>
  <c r="E1607" i="55"/>
  <c r="E1578" i="55"/>
  <c r="E112" i="62"/>
  <c r="DS106" i="63"/>
  <c r="AN112" i="62"/>
  <c r="D151" i="63"/>
  <c r="D3025" i="55"/>
  <c r="D2149" i="55"/>
  <c r="C2483" i="55"/>
  <c r="C2501" i="55"/>
  <c r="C2480" i="55"/>
  <c r="C2508" i="55"/>
  <c r="C2528" i="55"/>
  <c r="C2467" i="55"/>
  <c r="C2460" i="55"/>
  <c r="H1634" i="55"/>
  <c r="J35" i="47"/>
  <c r="E2499" i="55"/>
  <c r="E2516" i="55"/>
  <c r="E2511" i="55"/>
  <c r="E2510" i="55"/>
  <c r="F1916" i="55"/>
  <c r="F1656" i="55"/>
  <c r="F1708" i="55"/>
  <c r="F1968" i="55"/>
  <c r="F1812" i="55"/>
  <c r="F1604" i="55"/>
  <c r="F1760" i="55"/>
  <c r="F1552" i="55"/>
  <c r="F1864" i="55"/>
  <c r="E1603" i="55"/>
  <c r="J11" i="22"/>
  <c r="D58" i="49" s="1"/>
  <c r="E3216" i="55"/>
  <c r="E3211" i="55"/>
  <c r="D140" i="63"/>
  <c r="E101" i="62"/>
  <c r="AN101" i="62"/>
  <c r="DS95" i="63"/>
  <c r="D99" i="8"/>
  <c r="E94" i="55" s="1"/>
  <c r="DS81" i="63"/>
  <c r="D126" i="63"/>
  <c r="AN87" i="62"/>
  <c r="E87" i="62"/>
  <c r="F3198" i="55"/>
  <c r="F3195" i="55"/>
  <c r="F3196" i="55"/>
  <c r="F3194" i="55"/>
  <c r="E3205" i="55"/>
  <c r="E3189" i="55"/>
  <c r="E3200" i="55"/>
  <c r="E3195" i="55"/>
  <c r="E3190" i="55"/>
  <c r="E3201" i="55"/>
  <c r="E3196" i="55"/>
  <c r="E94" i="62"/>
  <c r="CM143" i="63"/>
  <c r="D112" i="63"/>
  <c r="CM152" i="63"/>
  <c r="D138" i="63"/>
  <c r="CM161" i="63"/>
  <c r="DS105" i="63"/>
  <c r="DS83" i="63"/>
  <c r="D150" i="63"/>
  <c r="F1506" i="55"/>
  <c r="F1502" i="55"/>
  <c r="D2537" i="55"/>
  <c r="D2538" i="55"/>
  <c r="C1006" i="55"/>
  <c r="C1038" i="55"/>
  <c r="C1033" i="55"/>
  <c r="C1041" i="55"/>
  <c r="C1044" i="55"/>
  <c r="C1028" i="55"/>
  <c r="C1025" i="55"/>
  <c r="C1047" i="55"/>
  <c r="C1046" i="55"/>
  <c r="C1043" i="55"/>
  <c r="C1009" i="55"/>
  <c r="C1029" i="55"/>
  <c r="C1039" i="55"/>
  <c r="C1035" i="55"/>
  <c r="C1042" i="55"/>
  <c r="C1007" i="55"/>
  <c r="C1013" i="55"/>
  <c r="C1036" i="55"/>
  <c r="C1002" i="55"/>
  <c r="C1005" i="55"/>
  <c r="C1021" i="55"/>
  <c r="C1015" i="55"/>
  <c r="C1017" i="55"/>
  <c r="C20" i="4"/>
  <c r="CM162" i="63"/>
  <c r="E2042" i="55"/>
  <c r="F2418" i="55"/>
  <c r="D71" i="55"/>
  <c r="D2097" i="55"/>
  <c r="C2581" i="55"/>
  <c r="C2198" i="55"/>
  <c r="C2639" i="55"/>
  <c r="C2767" i="55"/>
  <c r="C2458" i="55"/>
  <c r="C2302" i="55"/>
  <c r="C2769" i="55"/>
  <c r="C2176" i="55"/>
  <c r="C2296" i="55"/>
  <c r="C2903" i="55"/>
  <c r="C2654" i="55"/>
  <c r="C2447" i="55"/>
  <c r="C2435" i="55"/>
  <c r="C2410" i="55"/>
  <c r="C2368" i="55"/>
  <c r="C2796" i="55"/>
  <c r="C2163" i="55"/>
  <c r="C2310" i="55"/>
  <c r="C2687" i="55"/>
  <c r="C2890" i="55"/>
  <c r="C2605" i="55"/>
  <c r="C2335" i="55"/>
  <c r="C2821" i="55"/>
  <c r="C2653" i="55"/>
  <c r="C2638" i="55"/>
  <c r="C2399" i="55"/>
  <c r="C2719" i="55"/>
  <c r="C2726" i="55"/>
  <c r="C2366" i="55"/>
  <c r="C2098" i="55"/>
  <c r="C2241" i="55"/>
  <c r="C2596" i="55"/>
  <c r="C2672" i="55"/>
  <c r="C2333" i="55"/>
  <c r="F1617" i="55"/>
  <c r="F1513" i="55"/>
  <c r="D677" i="55"/>
  <c r="D605" i="55"/>
  <c r="D606" i="55"/>
  <c r="D601" i="55"/>
  <c r="D688" i="55"/>
  <c r="F2401" i="55"/>
  <c r="D1381" i="55"/>
  <c r="D1377" i="55"/>
  <c r="D1374" i="55"/>
  <c r="E1852" i="55"/>
  <c r="E1841" i="55"/>
  <c r="E65" i="52"/>
  <c r="E2269" i="55" s="1"/>
  <c r="E26" i="52"/>
  <c r="E2817" i="55" s="1"/>
  <c r="F1830" i="55"/>
  <c r="F1674" i="55"/>
  <c r="F1622" i="55"/>
  <c r="F1570" i="55"/>
  <c r="F1518" i="55"/>
  <c r="F2416" i="55"/>
  <c r="F2420" i="55"/>
  <c r="F2356" i="55"/>
  <c r="F2368" i="55"/>
  <c r="F2385" i="55"/>
  <c r="F2403" i="55"/>
  <c r="F2377" i="55"/>
  <c r="F2359" i="55"/>
  <c r="F2342" i="55"/>
  <c r="F2399" i="55"/>
  <c r="F2442" i="55"/>
  <c r="F2425" i="55"/>
  <c r="F2372" i="55"/>
  <c r="F2349" i="55"/>
  <c r="F2366" i="55"/>
  <c r="F2362" i="55"/>
  <c r="F2344" i="55"/>
  <c r="F2384" i="55"/>
  <c r="F2434" i="55"/>
  <c r="F2390" i="55"/>
  <c r="F2395" i="55"/>
  <c r="F2354" i="55"/>
  <c r="F2388" i="55"/>
  <c r="F2352" i="55"/>
  <c r="F2404" i="55"/>
  <c r="F2432" i="55"/>
  <c r="F2422" i="55"/>
  <c r="F2411" i="55"/>
  <c r="F2376" i="55"/>
  <c r="F2457" i="55"/>
  <c r="F2444" i="55"/>
  <c r="F2440" i="55"/>
  <c r="F2400" i="55"/>
  <c r="F2346" i="55"/>
  <c r="F2449" i="55"/>
  <c r="F2409" i="55"/>
  <c r="F2343" i="55"/>
  <c r="F2341" i="55"/>
  <c r="F2378" i="55"/>
  <c r="F2347" i="55"/>
  <c r="F2443" i="55"/>
  <c r="F2379" i="55"/>
  <c r="F2367" i="55"/>
  <c r="F2458" i="55"/>
  <c r="F2445" i="55"/>
  <c r="F2383" i="55"/>
  <c r="F2348" i="55"/>
  <c r="F2435" i="55"/>
  <c r="F2439" i="55"/>
  <c r="F2417" i="55"/>
  <c r="F2351" i="55"/>
  <c r="F2424" i="55"/>
  <c r="F2373" i="55"/>
  <c r="F2398" i="55"/>
  <c r="F2391" i="55"/>
  <c r="F2361" i="55"/>
  <c r="F2369" i="55"/>
  <c r="F2410" i="55"/>
  <c r="D1024" i="55"/>
  <c r="D1008" i="55"/>
  <c r="D1005" i="55"/>
  <c r="D1016" i="55"/>
  <c r="D165" i="55"/>
  <c r="D43" i="55"/>
  <c r="D164" i="55"/>
  <c r="D45" i="55"/>
  <c r="D42" i="55"/>
  <c r="D166" i="55"/>
  <c r="D44" i="55"/>
  <c r="F1634" i="55"/>
  <c r="F3189" i="55"/>
  <c r="F3190" i="55"/>
  <c r="F3192" i="55"/>
  <c r="F3188" i="55"/>
  <c r="C129" i="24"/>
  <c r="C189" i="24"/>
  <c r="C70" i="24"/>
  <c r="F3154" i="55"/>
  <c r="F3164" i="55"/>
  <c r="F3165" i="55"/>
  <c r="F3163" i="55"/>
  <c r="F3166" i="55"/>
  <c r="D27" i="56"/>
  <c r="G30" i="57"/>
  <c r="AN111" i="62"/>
  <c r="D154" i="63"/>
  <c r="D142" i="63"/>
  <c r="D130" i="63"/>
  <c r="D129" i="63"/>
  <c r="E115" i="62"/>
  <c r="D109" i="63"/>
  <c r="DS84" i="63"/>
  <c r="D85" i="63"/>
  <c r="D81" i="63"/>
  <c r="DS109" i="63"/>
  <c r="D84" i="63"/>
  <c r="DS85" i="63"/>
  <c r="E103" i="62"/>
  <c r="AN91" i="62"/>
  <c r="D97" i="63"/>
  <c r="F1831" i="55"/>
  <c r="F1727" i="55"/>
  <c r="DP46" i="13"/>
  <c r="DR46" i="13"/>
  <c r="EL56" i="13"/>
  <c r="V29" i="13"/>
  <c r="AP30" i="13"/>
  <c r="BH46" i="13"/>
  <c r="BL46" i="13" s="1"/>
  <c r="BJ46" i="13"/>
  <c r="CX34" i="13"/>
  <c r="E194" i="55"/>
  <c r="BT41" i="13"/>
  <c r="N126" i="52"/>
  <c r="DR30" i="13"/>
  <c r="AB47" i="10"/>
  <c r="CD30" i="13"/>
  <c r="M57" i="13"/>
  <c r="CC67" i="63"/>
  <c r="DF67" i="63" s="1"/>
  <c r="CX67" i="13"/>
  <c r="CD56" i="13"/>
  <c r="EB56" i="13"/>
  <c r="DF34" i="13"/>
  <c r="AZ46" i="13"/>
  <c r="AX46" i="13"/>
  <c r="EB59" i="13"/>
  <c r="H1582" i="55"/>
  <c r="H1576" i="55"/>
  <c r="F3201" i="55"/>
  <c r="F3200" i="55"/>
  <c r="V59" i="13"/>
  <c r="AC44" i="10"/>
  <c r="AB45" i="10"/>
  <c r="BT36" i="13"/>
  <c r="EL67" i="13"/>
  <c r="AZ45" i="13"/>
  <c r="AX45" i="13"/>
  <c r="AD59" i="13"/>
  <c r="AH59" i="13" s="1"/>
  <c r="M59" i="13"/>
  <c r="AB20" i="10"/>
  <c r="BJ45" i="13"/>
  <c r="BH45" i="13"/>
  <c r="AB41" i="10"/>
  <c r="BH36" i="13"/>
  <c r="DH49" i="13"/>
  <c r="H1806" i="55"/>
  <c r="T27" i="13"/>
  <c r="X27" i="13" s="1"/>
  <c r="M27" i="13"/>
  <c r="DF27" i="13"/>
  <c r="BR27" i="13"/>
  <c r="BV27" i="13" s="1"/>
  <c r="AD27" i="13"/>
  <c r="EJ27" i="13"/>
  <c r="EN27" i="13" s="1"/>
  <c r="EL38" i="13"/>
  <c r="EN38" i="13" s="1"/>
  <c r="E65" i="53"/>
  <c r="H2515" i="55" s="1"/>
  <c r="CD45" i="13"/>
  <c r="CB45" i="13"/>
  <c r="T35" i="13"/>
  <c r="V35" i="13"/>
  <c r="AB46" i="10"/>
  <c r="CB36" i="13"/>
  <c r="DJ57" i="13"/>
  <c r="AX27" i="13"/>
  <c r="DH32" i="13"/>
  <c r="DZ51" i="13"/>
  <c r="ED51" i="13" s="1"/>
  <c r="H2186" i="55"/>
  <c r="AX35" i="13"/>
  <c r="AZ35" i="13"/>
  <c r="BH35" i="13"/>
  <c r="BJ35" i="13"/>
  <c r="V31" i="13"/>
  <c r="X31" i="13" s="1"/>
  <c r="BT31" i="13"/>
  <c r="DH31" i="13"/>
  <c r="M31" i="13"/>
  <c r="EJ35" i="13"/>
  <c r="EL35" i="13"/>
  <c r="AP49" i="13"/>
  <c r="CX55" i="13"/>
  <c r="BR35" i="13"/>
  <c r="AB21" i="10"/>
  <c r="BJ42" i="13"/>
  <c r="CN42" i="13"/>
  <c r="CX42" i="13"/>
  <c r="CD42" i="13"/>
  <c r="AD37" i="13"/>
  <c r="AH37" i="13" s="1"/>
  <c r="AF37" i="13"/>
  <c r="AD53" i="10"/>
  <c r="D71" i="12" s="1"/>
  <c r="G71" i="12" s="1"/>
  <c r="D23" i="12" s="1"/>
  <c r="AB53" i="10"/>
  <c r="Z53" i="10"/>
  <c r="DH40" i="13"/>
  <c r="V45" i="13"/>
  <c r="T45" i="13"/>
  <c r="AF36" i="13"/>
  <c r="AF55" i="13"/>
  <c r="CN66" i="13"/>
  <c r="E210" i="55"/>
  <c r="BJ56" i="13"/>
  <c r="CX56" i="13"/>
  <c r="DH56" i="13"/>
  <c r="CN56" i="13"/>
  <c r="AZ56" i="13"/>
  <c r="AF56" i="13"/>
  <c r="DR56" i="13"/>
  <c r="V56" i="13"/>
  <c r="AN36" i="13"/>
  <c r="BT64" i="13"/>
  <c r="BJ64" i="13"/>
  <c r="AB31" i="10"/>
  <c r="AD31" i="10"/>
  <c r="D49" i="12" s="1"/>
  <c r="G49" i="12" s="1"/>
  <c r="Z31" i="10"/>
  <c r="AB28" i="10"/>
  <c r="EL31" i="13"/>
  <c r="EN31" i="13" s="1"/>
  <c r="AB27" i="10"/>
  <c r="CC110" i="63"/>
  <c r="DF110" i="63" s="1"/>
  <c r="AN45" i="13"/>
  <c r="AZ36" i="13"/>
  <c r="BJ41" i="13"/>
  <c r="AZ41" i="13"/>
  <c r="AD49" i="10"/>
  <c r="D67" i="12" s="1"/>
  <c r="G67" i="12" s="1"/>
  <c r="Z49" i="10"/>
  <c r="AB49" i="10"/>
  <c r="CX60" i="13"/>
  <c r="V41" i="13"/>
  <c r="E3153" i="55"/>
  <c r="DF38" i="13"/>
  <c r="DH38" i="13"/>
  <c r="EL60" i="13"/>
  <c r="DR61" i="13"/>
  <c r="V28" i="13"/>
  <c r="T28" i="13"/>
  <c r="X28" i="13" s="1"/>
  <c r="CN40" i="13"/>
  <c r="DH55" i="13"/>
  <c r="DH29" i="13"/>
  <c r="CD51" i="13"/>
  <c r="CB51" i="13"/>
  <c r="CN63" i="13"/>
  <c r="AC55" i="10"/>
  <c r="AD55" i="10"/>
  <c r="D73" i="12" s="1"/>
  <c r="G73" i="12" s="1"/>
  <c r="Z55" i="10"/>
  <c r="EL33" i="13"/>
  <c r="M33" i="13"/>
  <c r="EL37" i="13"/>
  <c r="EJ37" i="13"/>
  <c r="EN37" i="13" s="1"/>
  <c r="DR28" i="13"/>
  <c r="DP28" i="13"/>
  <c r="AC25" i="10"/>
  <c r="AD25" i="10"/>
  <c r="D43" i="12" s="1"/>
  <c r="G43" i="12" s="1"/>
  <c r="Z25" i="10"/>
  <c r="CN59" i="13"/>
  <c r="AB38" i="10"/>
  <c r="Z38" i="10"/>
  <c r="AD38" i="10"/>
  <c r="D56" i="12" s="1"/>
  <c r="G56" i="12" s="1"/>
  <c r="AF28" i="13"/>
  <c r="AD28" i="13"/>
  <c r="AH28" i="13" s="1"/>
  <c r="AC29" i="10"/>
  <c r="BH38" i="13"/>
  <c r="BL38" i="13" s="1"/>
  <c r="BJ38" i="13"/>
  <c r="AP47" i="13"/>
  <c r="BT47" i="13"/>
  <c r="BT63" i="13"/>
  <c r="EB41" i="13"/>
  <c r="N35" i="13"/>
  <c r="DZ35" i="13"/>
  <c r="CV35" i="13"/>
  <c r="CZ35" i="13" s="1"/>
  <c r="CB35" i="13"/>
  <c r="DH58" i="13"/>
  <c r="BT29" i="13"/>
  <c r="F23" i="6"/>
  <c r="E34" i="6"/>
  <c r="E36" i="6"/>
  <c r="E35" i="6"/>
  <c r="E33" i="6"/>
  <c r="BR51" i="13"/>
  <c r="BT51" i="13"/>
  <c r="T37" i="13"/>
  <c r="V37" i="13"/>
  <c r="X37" i="13" s="1"/>
  <c r="BT38" i="13"/>
  <c r="BR38" i="13"/>
  <c r="AZ38" i="13"/>
  <c r="AX38" i="13"/>
  <c r="DR60" i="13"/>
  <c r="EL39" i="13"/>
  <c r="DF28" i="13"/>
  <c r="DH28" i="13"/>
  <c r="AF40" i="13"/>
  <c r="CX54" i="13"/>
  <c r="BT67" i="13"/>
  <c r="AX31" i="13"/>
  <c r="BB31" i="13" s="1"/>
  <c r="AZ31" i="13"/>
  <c r="CB29" i="13"/>
  <c r="CF29" i="13" s="1"/>
  <c r="CD29" i="13"/>
  <c r="EL41" i="13"/>
  <c r="AP63" i="13"/>
  <c r="CD38" i="13"/>
  <c r="CL60" i="13"/>
  <c r="CN60" i="13"/>
  <c r="AP39" i="13"/>
  <c r="BJ40" i="13"/>
  <c r="DR54" i="13"/>
  <c r="DP54" i="13"/>
  <c r="BJ67" i="13"/>
  <c r="BR41" i="13"/>
  <c r="BV41" i="13" s="1"/>
  <c r="CN29" i="13"/>
  <c r="CL29" i="13"/>
  <c r="CX51" i="13"/>
  <c r="CV51" i="13"/>
  <c r="AF63" i="13"/>
  <c r="AH63" i="13" s="1"/>
  <c r="CN38" i="13"/>
  <c r="AZ39" i="13"/>
  <c r="EB28" i="13"/>
  <c r="DZ28" i="13"/>
  <c r="BT40" i="13"/>
  <c r="H101" i="55"/>
  <c r="E128" i="8"/>
  <c r="DF59" i="13"/>
  <c r="DJ59" i="13" s="1"/>
  <c r="DH59" i="13"/>
  <c r="V67" i="13"/>
  <c r="CX59" i="13"/>
  <c r="CV59" i="13"/>
  <c r="CX29" i="13"/>
  <c r="CV29" i="13"/>
  <c r="CZ29" i="13" s="1"/>
  <c r="T51" i="13"/>
  <c r="V51" i="13"/>
  <c r="CV63" i="13"/>
  <c r="CZ63" i="13" s="1"/>
  <c r="AB23" i="10"/>
  <c r="Z23" i="10"/>
  <c r="AD23" i="10"/>
  <c r="D41" i="12" s="1"/>
  <c r="G41" i="12" s="1"/>
  <c r="CX38" i="13"/>
  <c r="AF60" i="13"/>
  <c r="BJ39" i="13"/>
  <c r="EB61" i="13"/>
  <c r="EL28" i="13"/>
  <c r="EJ28" i="13"/>
  <c r="CD40" i="13"/>
  <c r="AF31" i="13"/>
  <c r="AD31" i="13"/>
  <c r="AF51" i="13"/>
  <c r="AD51" i="13"/>
  <c r="AZ63" i="13"/>
  <c r="DR38" i="13"/>
  <c r="EB60" i="13"/>
  <c r="CX61" i="13"/>
  <c r="CV61" i="13"/>
  <c r="AX28" i="13"/>
  <c r="AZ28" i="13"/>
  <c r="CX40" i="13"/>
  <c r="CD41" i="13"/>
  <c r="CL51" i="13"/>
  <c r="CN51" i="13"/>
  <c r="EB38" i="13"/>
  <c r="BJ60" i="13"/>
  <c r="CX39" i="13"/>
  <c r="CN61" i="13"/>
  <c r="BH28" i="13"/>
  <c r="BL28" i="13" s="1"/>
  <c r="BJ28" i="13"/>
  <c r="AP28" i="13"/>
  <c r="AR28" i="13" s="1"/>
  <c r="CL41" i="13"/>
  <c r="CN41" i="13"/>
  <c r="CP41" i="13" s="1"/>
  <c r="V38" i="13"/>
  <c r="T38" i="13"/>
  <c r="X38" i="13" s="1"/>
  <c r="BT60" i="13"/>
  <c r="DH39" i="13"/>
  <c r="BT61" i="13"/>
  <c r="DR40" i="13"/>
  <c r="AC19" i="10"/>
  <c r="CN39" i="13"/>
  <c r="AX58" i="13"/>
  <c r="CX41" i="13"/>
  <c r="DP51" i="13"/>
  <c r="DT51" i="13" s="1"/>
  <c r="DR51" i="13"/>
  <c r="DR39" i="13"/>
  <c r="EL61" i="13"/>
  <c r="CB28" i="13"/>
  <c r="CD28" i="13"/>
  <c r="EB40" i="13"/>
  <c r="EB29" i="13"/>
  <c r="ED29" i="13" s="1"/>
  <c r="DR29" i="13"/>
  <c r="N29" i="13"/>
  <c r="V55" i="13"/>
  <c r="AP29" i="13"/>
  <c r="AN29" i="13"/>
  <c r="DH41" i="13"/>
  <c r="AX51" i="13"/>
  <c r="AZ51" i="13"/>
  <c r="AF38" i="13"/>
  <c r="AD38" i="13"/>
  <c r="AH38" i="13" s="1"/>
  <c r="EB39" i="13"/>
  <c r="BJ61" i="13"/>
  <c r="CN28" i="13"/>
  <c r="CL28" i="13"/>
  <c r="V40" i="13"/>
  <c r="AB58" i="10"/>
  <c r="EL55" i="13"/>
  <c r="AZ29" i="13"/>
  <c r="DR41" i="13"/>
  <c r="DP41" i="13"/>
  <c r="DF51" i="13"/>
  <c r="DJ51" i="13" s="1"/>
  <c r="DH51" i="13"/>
  <c r="AP51" i="13"/>
  <c r="CV47" i="13"/>
  <c r="DP47" i="13"/>
  <c r="BH47" i="13"/>
  <c r="AX47" i="13"/>
  <c r="DZ47" i="13"/>
  <c r="EJ47" i="13"/>
  <c r="AD47" i="13"/>
  <c r="DF47" i="13"/>
  <c r="CL47" i="13"/>
  <c r="AP38" i="13"/>
  <c r="V39" i="13"/>
  <c r="EL40" i="13"/>
  <c r="AD68" i="13"/>
  <c r="EJ68" i="13"/>
  <c r="EN68" i="13" s="1"/>
  <c r="CV68" i="13"/>
  <c r="CZ68" i="13" s="1"/>
  <c r="M68" i="13"/>
  <c r="F3199" i="55"/>
  <c r="C79" i="57"/>
  <c r="H3145" i="55" s="1"/>
  <c r="H3144" i="55"/>
  <c r="DH61" i="13"/>
  <c r="DF61" i="13"/>
  <c r="EB66" i="13"/>
  <c r="BH58" i="13"/>
  <c r="CD68" i="13"/>
  <c r="BT32" i="13"/>
  <c r="BR32" i="13"/>
  <c r="DR65" i="13"/>
  <c r="DP65" i="13"/>
  <c r="DT65" i="13" s="1"/>
  <c r="DF63" i="13"/>
  <c r="DH63" i="13"/>
  <c r="V54" i="13"/>
  <c r="EJ50" i="13"/>
  <c r="EL50" i="13"/>
  <c r="AZ60" i="13"/>
  <c r="AX60" i="13"/>
  <c r="EB50" i="13"/>
  <c r="DZ50" i="13"/>
  <c r="DH45" i="13"/>
  <c r="DF45" i="13"/>
  <c r="DJ45" i="13" s="1"/>
  <c r="G69" i="8"/>
  <c r="K23" i="8" s="1"/>
  <c r="AD65" i="13"/>
  <c r="CB32" i="13"/>
  <c r="CF32" i="13" s="1"/>
  <c r="CD32" i="13"/>
  <c r="CB44" i="13"/>
  <c r="BH44" i="13"/>
  <c r="DH50" i="13"/>
  <c r="DF50" i="13"/>
  <c r="DJ50" i="13" s="1"/>
  <c r="AX61" i="13"/>
  <c r="BB61" i="13" s="1"/>
  <c r="CL50" i="13"/>
  <c r="CN50" i="13"/>
  <c r="CP50" i="13" s="1"/>
  <c r="CV65" i="13"/>
  <c r="CX65" i="13"/>
  <c r="E59" i="53"/>
  <c r="H2509" i="55" s="1"/>
  <c r="F106" i="8"/>
  <c r="CN32" i="13"/>
  <c r="CL44" i="13"/>
  <c r="BJ32" i="13"/>
  <c r="BH32" i="13"/>
  <c r="DF68" i="13"/>
  <c r="DJ68" i="13" s="1"/>
  <c r="DH68" i="13"/>
  <c r="AF54" i="13"/>
  <c r="BT50" i="13"/>
  <c r="AX54" i="13"/>
  <c r="BB54" i="13" s="1"/>
  <c r="AZ54" i="13"/>
  <c r="BH63" i="13"/>
  <c r="BJ63" i="13"/>
  <c r="BJ50" i="13"/>
  <c r="BH50" i="13"/>
  <c r="CB65" i="13"/>
  <c r="CX32" i="13"/>
  <c r="CV32" i="13"/>
  <c r="CZ32" i="13" s="1"/>
  <c r="CV44" i="13"/>
  <c r="CD50" i="13"/>
  <c r="CB50" i="13"/>
  <c r="CF50" i="13" s="1"/>
  <c r="AF57" i="13"/>
  <c r="AD57" i="13"/>
  <c r="AH57" i="13" s="1"/>
  <c r="AP50" i="13"/>
  <c r="AZ66" i="13"/>
  <c r="BJ66" i="13"/>
  <c r="AF50" i="13"/>
  <c r="AD50" i="13"/>
  <c r="BR65" i="13"/>
  <c r="DP32" i="13"/>
  <c r="DT32" i="13" s="1"/>
  <c r="DR32" i="13"/>
  <c r="DP44" i="13"/>
  <c r="AZ50" i="13"/>
  <c r="AX50" i="13"/>
  <c r="BB50" i="13" s="1"/>
  <c r="AF58" i="13"/>
  <c r="AP54" i="13"/>
  <c r="AN54" i="13"/>
  <c r="AR54" i="13" s="1"/>
  <c r="BJ68" i="13"/>
  <c r="CD54" i="13"/>
  <c r="CB54" i="13"/>
  <c r="BH65" i="13"/>
  <c r="BJ65" i="13"/>
  <c r="EB32" i="13"/>
  <c r="DZ32" i="13"/>
  <c r="DZ44" i="13"/>
  <c r="V50" i="13"/>
  <c r="T50" i="13"/>
  <c r="V60" i="13"/>
  <c r="T60" i="13"/>
  <c r="AF61" i="13"/>
  <c r="AD61" i="13"/>
  <c r="CX50" i="13"/>
  <c r="CV50" i="13"/>
  <c r="DZ45" i="13"/>
  <c r="ED45" i="13" s="1"/>
  <c r="EB45" i="13"/>
  <c r="CB57" i="13"/>
  <c r="AX65" i="13"/>
  <c r="AZ65" i="13"/>
  <c r="T32" i="13"/>
  <c r="V32" i="13"/>
  <c r="T44" i="13"/>
  <c r="F21" i="47"/>
  <c r="H1509" i="55" s="1"/>
  <c r="E47" i="53"/>
  <c r="H2497" i="55" s="1"/>
  <c r="DH60" i="13"/>
  <c r="EB54" i="13"/>
  <c r="V61" i="13"/>
  <c r="T61" i="13"/>
  <c r="CL48" i="13"/>
  <c r="CN48" i="13"/>
  <c r="CB58" i="13"/>
  <c r="EL66" i="13"/>
  <c r="AN65" i="13"/>
  <c r="EJ32" i="13"/>
  <c r="EL32" i="13"/>
  <c r="EJ44" i="13"/>
  <c r="EL54" i="13"/>
  <c r="DH54" i="13"/>
  <c r="DR66" i="13"/>
  <c r="T63" i="13"/>
  <c r="X63" i="13" s="1"/>
  <c r="V63" i="13"/>
  <c r="CD60" i="13"/>
  <c r="CB60" i="13"/>
  <c r="V66" i="13"/>
  <c r="V65" i="13"/>
  <c r="T65" i="13"/>
  <c r="X65" i="13" s="1"/>
  <c r="AF32" i="13"/>
  <c r="AD32" i="13"/>
  <c r="AH32" i="13" s="1"/>
  <c r="AD44" i="13"/>
  <c r="DP57" i="13"/>
  <c r="AF66" i="13"/>
  <c r="BT54" i="13"/>
  <c r="BR54" i="13"/>
  <c r="CB61" i="13"/>
  <c r="CD61" i="13"/>
  <c r="DT50" i="13"/>
  <c r="EJ65" i="13"/>
  <c r="AN32" i="13"/>
  <c r="AP32" i="13"/>
  <c r="AN44" i="13"/>
  <c r="BH57" i="13"/>
  <c r="DP58" i="13"/>
  <c r="BH54" i="13"/>
  <c r="BJ54" i="13"/>
  <c r="BT66" i="13"/>
  <c r="CB63" i="13"/>
  <c r="CD63" i="13"/>
  <c r="N106" i="52"/>
  <c r="N128" i="52" s="1"/>
  <c r="DZ65" i="13"/>
  <c r="EB65" i="13"/>
  <c r="AZ32" i="13"/>
  <c r="AX32" i="13"/>
  <c r="AX44" i="13"/>
  <c r="F3050" i="55"/>
  <c r="H1570" i="55"/>
  <c r="E701" i="55"/>
  <c r="E360" i="55"/>
  <c r="E361" i="55"/>
  <c r="E351" i="55"/>
  <c r="E370" i="55"/>
  <c r="E400" i="55"/>
  <c r="E365" i="55"/>
  <c r="E355" i="55"/>
  <c r="E396" i="55"/>
  <c r="E352" i="55"/>
  <c r="E344" i="55"/>
  <c r="E395" i="55"/>
  <c r="E403" i="55"/>
  <c r="E390" i="55"/>
  <c r="E347" i="55"/>
  <c r="E332" i="55"/>
  <c r="E331" i="55"/>
  <c r="E389" i="55"/>
  <c r="E339" i="55"/>
  <c r="E402" i="55"/>
  <c r="E385" i="55"/>
  <c r="E401" i="55"/>
  <c r="E336" i="55"/>
  <c r="E2942" i="55"/>
  <c r="E371" i="55"/>
  <c r="H1622" i="55"/>
  <c r="DT46" i="13"/>
  <c r="BB45" i="13"/>
  <c r="CP29" i="13"/>
  <c r="BB38" i="13"/>
  <c r="BL45" i="13"/>
  <c r="BV38" i="13"/>
  <c r="BV51" i="13"/>
  <c r="BB35" i="13"/>
  <c r="DT41" i="13"/>
  <c r="CF45" i="13"/>
  <c r="DJ38" i="13"/>
  <c r="C90" i="57"/>
  <c r="D90" i="57" s="1"/>
  <c r="H1795" i="55"/>
  <c r="CP60" i="13"/>
  <c r="F34" i="6"/>
  <c r="DT54" i="13"/>
  <c r="CZ65" i="13"/>
  <c r="DJ61" i="13"/>
  <c r="H120" i="55"/>
  <c r="EN50" i="13"/>
  <c r="DJ63" i="13"/>
  <c r="CF63" i="13"/>
  <c r="CF61" i="13"/>
  <c r="H3205" i="55"/>
  <c r="H3198" i="55"/>
  <c r="H3210" i="55"/>
  <c r="G57" i="49"/>
  <c r="R139" i="47"/>
  <c r="R143" i="47" s="1"/>
  <c r="H3204" i="55"/>
  <c r="H1807" i="55"/>
  <c r="D1660" i="55" l="1"/>
  <c r="D7798" i="55"/>
  <c r="D7800" i="55"/>
  <c r="D7799" i="55"/>
  <c r="D7801" i="55"/>
  <c r="EX22" i="63"/>
  <c r="BN77" i="62"/>
  <c r="BN69" i="62"/>
  <c r="BN61" i="62"/>
  <c r="BN53" i="62"/>
  <c r="BN45" i="62"/>
  <c r="BN37" i="62"/>
  <c r="BN29" i="62"/>
  <c r="BN21" i="62"/>
  <c r="BN23" i="62"/>
  <c r="BN75" i="62"/>
  <c r="BN67" i="62"/>
  <c r="BN59" i="62"/>
  <c r="BN51" i="62"/>
  <c r="BN43" i="62"/>
  <c r="BN35" i="62"/>
  <c r="BN27" i="62"/>
  <c r="BN19" i="62"/>
  <c r="BN73" i="62"/>
  <c r="BN65" i="62"/>
  <c r="BN57" i="62"/>
  <c r="BN49" i="62"/>
  <c r="BN41" i="62"/>
  <c r="BN33" i="62"/>
  <c r="BN25" i="62"/>
  <c r="BN71" i="62"/>
  <c r="BN63" i="62"/>
  <c r="BN55" i="62"/>
  <c r="BN47" i="62"/>
  <c r="BN39" i="62"/>
  <c r="BN31" i="62"/>
  <c r="C123" i="47"/>
  <c r="F7800" i="55"/>
  <c r="C124" i="47"/>
  <c r="F7801" i="55"/>
  <c r="C7753" i="55"/>
  <c r="C7752" i="55"/>
  <c r="C114" i="47"/>
  <c r="F7799" i="55"/>
  <c r="F58" i="62"/>
  <c r="BN32" i="62"/>
  <c r="BN76" i="62"/>
  <c r="BN68" i="62"/>
  <c r="BN60" i="62"/>
  <c r="BN52" i="62"/>
  <c r="BN44" i="62"/>
  <c r="BN36" i="62"/>
  <c r="BN28" i="62"/>
  <c r="BN20" i="62"/>
  <c r="BN24" i="62"/>
  <c r="BN56" i="62"/>
  <c r="BN74" i="62"/>
  <c r="BN66" i="62"/>
  <c r="BN58" i="62"/>
  <c r="BN50" i="62"/>
  <c r="BN42" i="62"/>
  <c r="BN34" i="62"/>
  <c r="BN26" i="62"/>
  <c r="BN18" i="62"/>
  <c r="BN48" i="62"/>
  <c r="BN64" i="62"/>
  <c r="BN72" i="62"/>
  <c r="BN40" i="62"/>
  <c r="BN70" i="62"/>
  <c r="BN62" i="62"/>
  <c r="BN54" i="62"/>
  <c r="BN46" i="62"/>
  <c r="BN38" i="62"/>
  <c r="BN30" i="62"/>
  <c r="BN22" i="62"/>
  <c r="C7799" i="55"/>
  <c r="C7800" i="55"/>
  <c r="C7801" i="55"/>
  <c r="C7798" i="55"/>
  <c r="D7753" i="55"/>
  <c r="D7752" i="55"/>
  <c r="D1440" i="55"/>
  <c r="D1437" i="55"/>
  <c r="D1435" i="55"/>
  <c r="D1439" i="55"/>
  <c r="D1443" i="55"/>
  <c r="D1433" i="55"/>
  <c r="D1450" i="55"/>
  <c r="D1434" i="55"/>
  <c r="D1448" i="55"/>
  <c r="D1441" i="55"/>
  <c r="D1442" i="55"/>
  <c r="D1445" i="55"/>
  <c r="D1446" i="55"/>
  <c r="D2561" i="55"/>
  <c r="D2805" i="55"/>
  <c r="D2220" i="55"/>
  <c r="D2682" i="55"/>
  <c r="D2804" i="55"/>
  <c r="D2219" i="55"/>
  <c r="D197" i="55"/>
  <c r="D133" i="63"/>
  <c r="DS24" i="13"/>
  <c r="C7664" i="55"/>
  <c r="D1763" i="55"/>
  <c r="I71" i="24"/>
  <c r="F1181" i="55" s="1"/>
  <c r="C457" i="55"/>
  <c r="C672" i="55"/>
  <c r="C453" i="55"/>
  <c r="E2527" i="55"/>
  <c r="E2529" i="55"/>
  <c r="E2530" i="55"/>
  <c r="E2528" i="55"/>
  <c r="E1652" i="55"/>
  <c r="E1637" i="55"/>
  <c r="E1616" i="55"/>
  <c r="E1625" i="55"/>
  <c r="F1712" i="55"/>
  <c r="W24" i="13"/>
  <c r="D1642" i="55"/>
  <c r="D1592" i="55"/>
  <c r="C697" i="55"/>
  <c r="C704" i="55"/>
  <c r="C791" i="55"/>
  <c r="C373" i="55"/>
  <c r="C678" i="55"/>
  <c r="C595" i="55"/>
  <c r="C350" i="55"/>
  <c r="C619" i="55"/>
  <c r="C7621" i="55"/>
  <c r="D1659" i="55"/>
  <c r="D1605" i="55"/>
  <c r="C256" i="55"/>
  <c r="E56" i="63"/>
  <c r="C469" i="55"/>
  <c r="D2325" i="55"/>
  <c r="D2203" i="55"/>
  <c r="D2447" i="55"/>
  <c r="D2788" i="55"/>
  <c r="D2910" i="55"/>
  <c r="D2666" i="55"/>
  <c r="E1332" i="55"/>
  <c r="E1318" i="55"/>
  <c r="E1325" i="55"/>
  <c r="E1346" i="55"/>
  <c r="D2562" i="55"/>
  <c r="D195" i="55"/>
  <c r="C7671" i="55"/>
  <c r="D1968" i="55"/>
  <c r="C523" i="55"/>
  <c r="D1798" i="55"/>
  <c r="D66" i="55"/>
  <c r="D188" i="55"/>
  <c r="E1822" i="55"/>
  <c r="D1305" i="55"/>
  <c r="F1764" i="55"/>
  <c r="CM153" i="63"/>
  <c r="D1919" i="55"/>
  <c r="D1914" i="55"/>
  <c r="D1543" i="55"/>
  <c r="C692" i="55"/>
  <c r="C596" i="55"/>
  <c r="C410" i="55"/>
  <c r="C292" i="55"/>
  <c r="C359" i="55"/>
  <c r="C867" i="55"/>
  <c r="C466" i="55"/>
  <c r="C7653" i="55"/>
  <c r="D1867" i="55"/>
  <c r="D1436" i="55"/>
  <c r="C602" i="55"/>
  <c r="C484" i="55"/>
  <c r="D1889" i="55"/>
  <c r="C476" i="55"/>
  <c r="C432" i="55"/>
  <c r="C729" i="55"/>
  <c r="C744" i="55"/>
  <c r="E2013" i="55"/>
  <c r="E2016" i="55"/>
  <c r="E2011" i="55"/>
  <c r="E2014" i="55"/>
  <c r="E2015" i="55"/>
  <c r="F55" i="62"/>
  <c r="F67" i="62"/>
  <c r="E68" i="63"/>
  <c r="EX64" i="63"/>
  <c r="F59" i="62"/>
  <c r="E64" i="63"/>
  <c r="F39" i="62"/>
  <c r="EX60" i="63"/>
  <c r="EX28" i="63"/>
  <c r="F65" i="62"/>
  <c r="F31" i="62"/>
  <c r="E26" i="63"/>
  <c r="F53" i="62"/>
  <c r="EX54" i="63"/>
  <c r="E38" i="63"/>
  <c r="EX50" i="63"/>
  <c r="EX44" i="63"/>
  <c r="EX58" i="63"/>
  <c r="F61" i="62"/>
  <c r="EX68" i="63"/>
  <c r="F37" i="62"/>
  <c r="EX18" i="63"/>
  <c r="E62" i="63"/>
  <c r="EX16" i="63"/>
  <c r="EX46" i="63"/>
  <c r="EX70" i="63"/>
  <c r="E32" i="63"/>
  <c r="EX38" i="63"/>
  <c r="E66" i="63"/>
  <c r="EX14" i="63"/>
  <c r="F51" i="62"/>
  <c r="EX34" i="63"/>
  <c r="F23" i="62"/>
  <c r="EX36" i="63"/>
  <c r="E50" i="63"/>
  <c r="E52" i="63"/>
  <c r="F35" i="62"/>
  <c r="E42" i="63"/>
  <c r="F69" i="62"/>
  <c r="EX66" i="63"/>
  <c r="F63" i="62"/>
  <c r="EX52" i="63"/>
  <c r="E30" i="63"/>
  <c r="E12" i="63"/>
  <c r="E58" i="63"/>
  <c r="F25" i="62"/>
  <c r="E60" i="63"/>
  <c r="E20" i="63"/>
  <c r="F21" i="62"/>
  <c r="E14" i="63"/>
  <c r="F49" i="62"/>
  <c r="F77" i="62"/>
  <c r="F41" i="62"/>
  <c r="CM144" i="63"/>
  <c r="E102" i="62"/>
  <c r="C7650" i="55"/>
  <c r="C317" i="55"/>
  <c r="C674" i="55"/>
  <c r="D19" i="55"/>
  <c r="D18" i="55"/>
  <c r="F1959" i="55"/>
  <c r="D1635" i="55"/>
  <c r="E60" i="52"/>
  <c r="D2098" i="55"/>
  <c r="F1868" i="55"/>
  <c r="F1816" i="55"/>
  <c r="C7662" i="55"/>
  <c r="C7619" i="55"/>
  <c r="E678" i="55"/>
  <c r="E124" i="52"/>
  <c r="D2100" i="55"/>
  <c r="D2222" i="55"/>
  <c r="D75" i="55"/>
  <c r="C7629" i="55"/>
  <c r="D1290" i="55"/>
  <c r="D1832" i="55"/>
  <c r="D1883" i="55"/>
  <c r="D1736" i="55"/>
  <c r="F1897" i="55"/>
  <c r="D1671" i="55"/>
  <c r="EM24" i="13"/>
  <c r="C7657" i="55"/>
  <c r="C2955" i="55"/>
  <c r="C7648" i="55"/>
  <c r="C254" i="55"/>
  <c r="D1602" i="55"/>
  <c r="I249" i="24"/>
  <c r="D1694" i="55"/>
  <c r="C507" i="55"/>
  <c r="C848" i="55"/>
  <c r="C346" i="55"/>
  <c r="C806" i="55"/>
  <c r="C2934" i="55"/>
  <c r="C550" i="55"/>
  <c r="C498" i="55"/>
  <c r="C855" i="55"/>
  <c r="F47" i="62"/>
  <c r="E40" i="63"/>
  <c r="C414" i="55"/>
  <c r="C374" i="55"/>
  <c r="C552" i="55"/>
  <c r="D74" i="55"/>
  <c r="D196" i="55"/>
  <c r="D191" i="55"/>
  <c r="D72" i="55"/>
  <c r="D192" i="55"/>
  <c r="D1711" i="55"/>
  <c r="D1959" i="55"/>
  <c r="D1703" i="55"/>
  <c r="D1662" i="55"/>
  <c r="D1961" i="55"/>
  <c r="D1595" i="55"/>
  <c r="D1761" i="55"/>
  <c r="D1807" i="55"/>
  <c r="D1858" i="55"/>
  <c r="D1652" i="55"/>
  <c r="D1818" i="55"/>
  <c r="D1657" i="55"/>
  <c r="D1704" i="55"/>
  <c r="D1907" i="55"/>
  <c r="D1756" i="55"/>
  <c r="D1646" i="55"/>
  <c r="D1649" i="55"/>
  <c r="D1546" i="55"/>
  <c r="D1812" i="55"/>
  <c r="D1753" i="55"/>
  <c r="D1599" i="55"/>
  <c r="D1813" i="55"/>
  <c r="D1759" i="55"/>
  <c r="D1751" i="55"/>
  <c r="D1850" i="55"/>
  <c r="D2924" i="55"/>
  <c r="D1593" i="55"/>
  <c r="D1764" i="55"/>
  <c r="D1906" i="55"/>
  <c r="D1852" i="55"/>
  <c r="D1758" i="55"/>
  <c r="D1701" i="55"/>
  <c r="D1590" i="55"/>
  <c r="D1865" i="55"/>
  <c r="D1862" i="55"/>
  <c r="D1755" i="55"/>
  <c r="D1902" i="55"/>
  <c r="D1607" i="55"/>
  <c r="D1806" i="55"/>
  <c r="D1816" i="55"/>
  <c r="D1541" i="55"/>
  <c r="D1802" i="55"/>
  <c r="D1552" i="55"/>
  <c r="D1916" i="55"/>
  <c r="D1800" i="55"/>
  <c r="D1746" i="55"/>
  <c r="D2926" i="55"/>
  <c r="D1808" i="55"/>
  <c r="D1803" i="55"/>
  <c r="D1859" i="55"/>
  <c r="D1600" i="55"/>
  <c r="D1708" i="55"/>
  <c r="D1540" i="55"/>
  <c r="D1712" i="55"/>
  <c r="D1597" i="55"/>
  <c r="D1749" i="55"/>
  <c r="D1810" i="55"/>
  <c r="D1656" i="55"/>
  <c r="D1905" i="55"/>
  <c r="D1714" i="55"/>
  <c r="D1603" i="55"/>
  <c r="D1964" i="55"/>
  <c r="D1855" i="55"/>
  <c r="D1645" i="55"/>
  <c r="D1644" i="55"/>
  <c r="D1556" i="55"/>
  <c r="D1698" i="55"/>
  <c r="D1815" i="55"/>
  <c r="D1647" i="55"/>
  <c r="D1910" i="55"/>
  <c r="D1972" i="55"/>
  <c r="D1904" i="55"/>
  <c r="D1604" i="55"/>
  <c r="D1956" i="55"/>
  <c r="D1610" i="55"/>
  <c r="D1971" i="55"/>
  <c r="D1870" i="55"/>
  <c r="D1709" i="55"/>
  <c r="D1963" i="55"/>
  <c r="D1697" i="55"/>
  <c r="D1608" i="55"/>
  <c r="D1917" i="55"/>
  <c r="D1760" i="55"/>
  <c r="D1555" i="55"/>
  <c r="D1920" i="55"/>
  <c r="D1915" i="55"/>
  <c r="D1868" i="55"/>
  <c r="D1860" i="55"/>
  <c r="D1654" i="55"/>
  <c r="D1863" i="55"/>
  <c r="D1594" i="55"/>
  <c r="D1706" i="55"/>
  <c r="D1805" i="55"/>
  <c r="D1957" i="55"/>
  <c r="D1696" i="55"/>
  <c r="D1954" i="55"/>
  <c r="D1974" i="55"/>
  <c r="D1864" i="55"/>
  <c r="D1801" i="55"/>
  <c r="D1853" i="55"/>
  <c r="D1598" i="55"/>
  <c r="D1962" i="55"/>
  <c r="D1966" i="55"/>
  <c r="D1551" i="55"/>
  <c r="D1909" i="55"/>
  <c r="D1538" i="55"/>
  <c r="D1699" i="55"/>
  <c r="D1969" i="55"/>
  <c r="D1754" i="55"/>
  <c r="D1702" i="55"/>
  <c r="D1651" i="55"/>
  <c r="D1854" i="55"/>
  <c r="D1912" i="55"/>
  <c r="D1558" i="55"/>
  <c r="D1911" i="55"/>
  <c r="D1750" i="55"/>
  <c r="D1553" i="55"/>
  <c r="D1857" i="55"/>
  <c r="D1650" i="55"/>
  <c r="D1542" i="55"/>
  <c r="D2925" i="55"/>
  <c r="D1547" i="55"/>
  <c r="D1077" i="55"/>
  <c r="D1067" i="55"/>
  <c r="D1083" i="55"/>
  <c r="D1087" i="55"/>
  <c r="D2988" i="55"/>
  <c r="D1096" i="55"/>
  <c r="D1089" i="55"/>
  <c r="D2986" i="55"/>
  <c r="D2983" i="55"/>
  <c r="D1068" i="55"/>
  <c r="D1072" i="55"/>
  <c r="D1097" i="55"/>
  <c r="D2985" i="55"/>
  <c r="D1090" i="55"/>
  <c r="D1100" i="55"/>
  <c r="D2984" i="55"/>
  <c r="D2987" i="55"/>
  <c r="D1102" i="55"/>
  <c r="D1085" i="55"/>
  <c r="D1095" i="55"/>
  <c r="D1080" i="55"/>
  <c r="D1086" i="55"/>
  <c r="D1076" i="55"/>
  <c r="D1070" i="55"/>
  <c r="D1079" i="55"/>
  <c r="D1092" i="55"/>
  <c r="D1101" i="55"/>
  <c r="D1094" i="55"/>
  <c r="D1081" i="55"/>
  <c r="D1098" i="55"/>
  <c r="D1069" i="55"/>
  <c r="D1074" i="55"/>
  <c r="D1075" i="55"/>
  <c r="D1088" i="55"/>
  <c r="D1091" i="55"/>
  <c r="C653" i="55"/>
  <c r="C623" i="55"/>
  <c r="D1078" i="55"/>
  <c r="F1699" i="55"/>
  <c r="F1543" i="55"/>
  <c r="F1595" i="55"/>
  <c r="D141" i="63"/>
  <c r="D2344" i="55"/>
  <c r="D194" i="55"/>
  <c r="DS112" i="63"/>
  <c r="D1444" i="55"/>
  <c r="AQ24" i="13"/>
  <c r="C7674" i="55"/>
  <c r="I234" i="24"/>
  <c r="F1459" i="55" s="1"/>
  <c r="E699" i="55"/>
  <c r="E1823" i="55"/>
  <c r="D96" i="63"/>
  <c r="D1945" i="55"/>
  <c r="F1972" i="55"/>
  <c r="CY24" i="13"/>
  <c r="D2341" i="55"/>
  <c r="DS88" i="63"/>
  <c r="D1622" i="55"/>
  <c r="CE24" i="13"/>
  <c r="BA24" i="13"/>
  <c r="C7666" i="55"/>
  <c r="C7637" i="55"/>
  <c r="C7672" i="55"/>
  <c r="C7649" i="55"/>
  <c r="D1545" i="55"/>
  <c r="C274" i="55"/>
  <c r="C813" i="55"/>
  <c r="C258" i="55"/>
  <c r="C580" i="55"/>
  <c r="C2938" i="55"/>
  <c r="C7630" i="55"/>
  <c r="C480" i="55"/>
  <c r="E70" i="63"/>
  <c r="C2941" i="55"/>
  <c r="E22" i="63"/>
  <c r="E16" i="63"/>
  <c r="I50" i="24"/>
  <c r="I217" i="24"/>
  <c r="F1439" i="55" s="1"/>
  <c r="I108" i="24"/>
  <c r="I174" i="24"/>
  <c r="F1362" i="55" s="1"/>
  <c r="I90" i="24"/>
  <c r="F1215" i="55" s="1"/>
  <c r="I190" i="24"/>
  <c r="I32" i="24"/>
  <c r="F1116" i="55" s="1"/>
  <c r="I130" i="24"/>
  <c r="E1223" i="55"/>
  <c r="E1218" i="55"/>
  <c r="E1233" i="55"/>
  <c r="E1208" i="55"/>
  <c r="E1228" i="55"/>
  <c r="C452" i="55"/>
  <c r="C548" i="55"/>
  <c r="C482" i="55"/>
  <c r="C859" i="55"/>
  <c r="C383" i="55"/>
  <c r="C503" i="55"/>
  <c r="C2943" i="55"/>
  <c r="C807" i="55"/>
  <c r="C2947" i="55"/>
  <c r="C293" i="55"/>
  <c r="C587" i="55"/>
  <c r="C525" i="55"/>
  <c r="C787" i="55"/>
  <c r="C721" i="55"/>
  <c r="C447" i="55"/>
  <c r="C741" i="55"/>
  <c r="C360" i="55"/>
  <c r="C765" i="55"/>
  <c r="C873" i="55"/>
  <c r="C665" i="55"/>
  <c r="C2935" i="55"/>
  <c r="C556" i="55"/>
  <c r="C838" i="55"/>
  <c r="C2961" i="55"/>
  <c r="C439" i="55"/>
  <c r="C616" i="55"/>
  <c r="C14" i="4"/>
  <c r="C824" i="55"/>
  <c r="C363" i="55"/>
  <c r="C590" i="55"/>
  <c r="C7627" i="55"/>
  <c r="C462" i="55"/>
  <c r="C461" i="55"/>
  <c r="C318" i="55"/>
  <c r="C688" i="55"/>
  <c r="C609" i="55"/>
  <c r="C810" i="55"/>
  <c r="C668" i="55"/>
  <c r="C2959" i="55"/>
  <c r="C718" i="55"/>
  <c r="C738" i="55"/>
  <c r="C450" i="55"/>
  <c r="C871" i="55"/>
  <c r="C639" i="55"/>
  <c r="C546" i="55"/>
  <c r="C422" i="55"/>
  <c r="C331" i="55"/>
  <c r="C770" i="55"/>
  <c r="C585" i="55"/>
  <c r="C338" i="55"/>
  <c r="C853" i="55"/>
  <c r="C643" i="55"/>
  <c r="C308" i="55"/>
  <c r="C263" i="55"/>
  <c r="C847" i="55"/>
  <c r="C669" i="55"/>
  <c r="C689" i="55"/>
  <c r="C269" i="55"/>
  <c r="C344" i="55"/>
  <c r="C736" i="55"/>
  <c r="C753" i="55"/>
  <c r="C670" i="55"/>
  <c r="C713" i="55"/>
  <c r="C303" i="55"/>
  <c r="C793" i="55"/>
  <c r="C574" i="55"/>
  <c r="C815" i="55"/>
  <c r="C2956" i="55"/>
  <c r="C381" i="55"/>
  <c r="C809" i="55"/>
  <c r="C371" i="55"/>
  <c r="C284" i="55"/>
  <c r="C740" i="55"/>
  <c r="C492" i="55"/>
  <c r="C726" i="55"/>
  <c r="C724" i="55"/>
  <c r="C797" i="55"/>
  <c r="C796" i="55"/>
  <c r="C571" i="55"/>
  <c r="C2974" i="55"/>
  <c r="C841" i="55"/>
  <c r="C415" i="55"/>
  <c r="C598" i="55"/>
  <c r="C286" i="55"/>
  <c r="C368" i="55"/>
  <c r="C489" i="55"/>
  <c r="C326" i="55"/>
  <c r="C866" i="55"/>
  <c r="C699" i="55"/>
  <c r="C309" i="55"/>
  <c r="C698" i="55"/>
  <c r="C332" i="55"/>
  <c r="C320" i="55"/>
  <c r="C302" i="55"/>
  <c r="C474" i="55"/>
  <c r="C833" i="55"/>
  <c r="C628" i="55"/>
  <c r="C577" i="55"/>
  <c r="C290" i="55"/>
  <c r="C535" i="55"/>
  <c r="C581" i="55"/>
  <c r="C747" i="55"/>
  <c r="C367" i="55"/>
  <c r="C264" i="55"/>
  <c r="C572" i="55"/>
  <c r="C542" i="55"/>
  <c r="C768" i="55"/>
  <c r="C2965" i="55"/>
  <c r="C865" i="55"/>
  <c r="C743" i="55"/>
  <c r="C800" i="55"/>
  <c r="C745" i="55"/>
  <c r="C2978" i="55"/>
  <c r="C2960" i="55"/>
  <c r="C776" i="55"/>
  <c r="C804" i="55"/>
  <c r="C538" i="55"/>
  <c r="C779" i="55"/>
  <c r="C361" i="55"/>
  <c r="C362" i="55"/>
  <c r="C431" i="55"/>
  <c r="C820" i="55"/>
  <c r="C445" i="55"/>
  <c r="C301" i="55"/>
  <c r="C272" i="55"/>
  <c r="C366" i="55"/>
  <c r="C711" i="55"/>
  <c r="C663" i="55"/>
  <c r="C562" i="55"/>
  <c r="C754" i="55"/>
  <c r="C388" i="55"/>
  <c r="C731" i="55"/>
  <c r="C398" i="55"/>
  <c r="C860" i="55"/>
  <c r="C2942" i="55"/>
  <c r="C305" i="55"/>
  <c r="C588" i="55"/>
  <c r="C737" i="55"/>
  <c r="C600" i="55"/>
  <c r="C693" i="55"/>
  <c r="C353" i="55"/>
  <c r="C783" i="55"/>
  <c r="C296" i="55"/>
  <c r="C567" i="55"/>
  <c r="C524" i="55"/>
  <c r="C478" i="55"/>
  <c r="C732" i="55"/>
  <c r="C573" i="55"/>
  <c r="C654" i="55"/>
  <c r="C685" i="55"/>
  <c r="C464" i="55"/>
  <c r="C321" i="55"/>
  <c r="C622" i="55"/>
  <c r="C533" i="55"/>
  <c r="C407" i="55"/>
  <c r="C534" i="55"/>
  <c r="C603" i="55"/>
  <c r="C612" i="55"/>
  <c r="C518" i="55"/>
  <c r="C7660" i="55"/>
  <c r="C629" i="55"/>
  <c r="C333" i="55"/>
  <c r="C687" i="55"/>
  <c r="C440" i="55"/>
  <c r="C298" i="55"/>
  <c r="C402" i="55"/>
  <c r="C282" i="55"/>
  <c r="C575" i="55"/>
  <c r="C844" i="55"/>
  <c r="C703" i="55"/>
  <c r="C370" i="55"/>
  <c r="C757" i="55"/>
  <c r="C752" i="55"/>
  <c r="C463" i="55"/>
  <c r="C644" i="55"/>
  <c r="C657" i="55"/>
  <c r="C544" i="55"/>
  <c r="C792" i="55"/>
  <c r="C545" i="55"/>
  <c r="C638" i="55"/>
  <c r="C593" i="55"/>
  <c r="C799" i="55"/>
  <c r="C358" i="55"/>
  <c r="C773" i="55"/>
  <c r="C2977" i="55"/>
  <c r="C355" i="55"/>
  <c r="C829" i="55"/>
  <c r="C633" i="55"/>
  <c r="C411" i="55"/>
  <c r="C730" i="55"/>
  <c r="C777" i="55"/>
  <c r="C631" i="55"/>
  <c r="C287" i="55"/>
  <c r="C516" i="55"/>
  <c r="C435" i="55"/>
  <c r="C397" i="55"/>
  <c r="C394" i="55"/>
  <c r="C460" i="55"/>
  <c r="C671" i="55"/>
  <c r="C511" i="55"/>
  <c r="C557" i="55"/>
  <c r="C565" i="55"/>
  <c r="C376" i="55"/>
  <c r="C377" i="55"/>
  <c r="C840" i="55"/>
  <c r="C7620" i="55"/>
  <c r="C554" i="55"/>
  <c r="C280" i="55"/>
  <c r="C756" i="55"/>
  <c r="C759" i="55"/>
  <c r="C442" i="55"/>
  <c r="C771" i="55"/>
  <c r="C606" i="55"/>
  <c r="C684" i="55"/>
  <c r="C327" i="55"/>
  <c r="C816" i="55"/>
  <c r="C265" i="55"/>
  <c r="C664" i="55"/>
  <c r="C337" i="55"/>
  <c r="C772" i="55"/>
  <c r="C725" i="55"/>
  <c r="C696" i="55"/>
  <c r="C781" i="55"/>
  <c r="C425" i="55"/>
  <c r="C310" i="55"/>
  <c r="C802" i="55"/>
  <c r="C582" i="55"/>
  <c r="C531" i="55"/>
  <c r="C717" i="55"/>
  <c r="C334" i="55"/>
  <c r="C436" i="55"/>
  <c r="C714" i="55"/>
  <c r="C2967" i="55"/>
  <c r="C667" i="55"/>
  <c r="C733" i="55"/>
  <c r="C270" i="55"/>
  <c r="C349" i="55"/>
  <c r="C260" i="55"/>
  <c r="C295" i="55"/>
  <c r="C579" i="55"/>
  <c r="C851" i="55"/>
  <c r="C342" i="55"/>
  <c r="C475" i="55"/>
  <c r="C485" i="55"/>
  <c r="C481" i="55"/>
  <c r="C850" i="55"/>
  <c r="C705" i="55"/>
  <c r="C794" i="55"/>
  <c r="C691" i="55"/>
  <c r="C563" i="55"/>
  <c r="C468" i="55"/>
  <c r="C405" i="55"/>
  <c r="C448" i="55"/>
  <c r="C611" i="55"/>
  <c r="C570" i="55"/>
  <c r="C2954" i="55"/>
  <c r="C7645" i="55"/>
  <c r="C7669" i="55"/>
  <c r="C7626" i="55"/>
  <c r="C7622" i="55"/>
  <c r="C7618" i="55"/>
  <c r="C7642" i="55"/>
  <c r="C7679" i="55"/>
  <c r="C7640" i="55"/>
  <c r="C662" i="55"/>
  <c r="C339" i="55"/>
  <c r="C811" i="55"/>
  <c r="C827" i="55"/>
  <c r="C543" i="55"/>
  <c r="C830" i="55"/>
  <c r="C456" i="55"/>
  <c r="C624" i="55"/>
  <c r="C814" i="55"/>
  <c r="C471" i="55"/>
  <c r="C335" i="55"/>
  <c r="C261" i="55"/>
  <c r="C828" i="55"/>
  <c r="C875" i="55"/>
  <c r="C299" i="55"/>
  <c r="C661" i="55"/>
  <c r="C281" i="55"/>
  <c r="C437" i="55"/>
  <c r="C416" i="55"/>
  <c r="C635" i="55"/>
  <c r="C7636" i="55"/>
  <c r="C315" i="55"/>
  <c r="C300" i="55"/>
  <c r="C679" i="55"/>
  <c r="C803" i="55"/>
  <c r="C2937" i="55"/>
  <c r="C459" i="55"/>
  <c r="C378" i="55"/>
  <c r="C558" i="55"/>
  <c r="C648" i="55"/>
  <c r="C470" i="55"/>
  <c r="C775" i="55"/>
  <c r="C836" i="55"/>
  <c r="C620" i="55"/>
  <c r="C2946" i="55"/>
  <c r="C568" i="55"/>
  <c r="C857" i="55"/>
  <c r="C429" i="55"/>
  <c r="C399" i="55"/>
  <c r="C2980" i="55"/>
  <c r="C291" i="55"/>
  <c r="C401" i="55"/>
  <c r="C2950" i="55"/>
  <c r="C617" i="55"/>
  <c r="C2966" i="55"/>
  <c r="C520" i="55"/>
  <c r="C2962" i="55"/>
  <c r="C279" i="55"/>
  <c r="C7643" i="55"/>
  <c r="C7663" i="55"/>
  <c r="C7665" i="55"/>
  <c r="C7659" i="55"/>
  <c r="C7625" i="55"/>
  <c r="C7655" i="55"/>
  <c r="C7681" i="55"/>
  <c r="C430" i="55"/>
  <c r="C719" i="55"/>
  <c r="C788" i="55"/>
  <c r="C423" i="55"/>
  <c r="C835" i="55"/>
  <c r="C493" i="55"/>
  <c r="C336" i="55"/>
  <c r="C314" i="55"/>
  <c r="C868" i="55"/>
  <c r="C273" i="55"/>
  <c r="C505" i="55"/>
  <c r="C473" i="55"/>
  <c r="C790" i="55"/>
  <c r="C488" i="55"/>
  <c r="C283" i="55"/>
  <c r="C277" i="55"/>
  <c r="C7675" i="55"/>
  <c r="C846" i="55"/>
  <c r="C276" i="55"/>
  <c r="C676" i="55"/>
  <c r="C316" i="55"/>
  <c r="C262" i="55"/>
  <c r="C566" i="55"/>
  <c r="C785" i="55"/>
  <c r="C532" i="55"/>
  <c r="C515" i="55"/>
  <c r="C413" i="55"/>
  <c r="C419" i="55"/>
  <c r="C712" i="55"/>
  <c r="C578" i="55"/>
  <c r="C420" i="55"/>
  <c r="C707" i="55"/>
  <c r="C510" i="55"/>
  <c r="C874" i="55"/>
  <c r="C694" i="55"/>
  <c r="C329" i="55"/>
  <c r="C386" i="55"/>
  <c r="C597" i="55"/>
  <c r="C433" i="55"/>
  <c r="C322" i="55"/>
  <c r="C630" i="55"/>
  <c r="C365" i="55"/>
  <c r="C822" i="55"/>
  <c r="C487" i="55"/>
  <c r="C727" i="55"/>
  <c r="C591" i="55"/>
  <c r="C389" i="55"/>
  <c r="C650" i="55"/>
  <c r="C605" i="55"/>
  <c r="C340" i="55"/>
  <c r="C789" i="55"/>
  <c r="C645" i="55"/>
  <c r="C706" i="55"/>
  <c r="C275" i="55"/>
  <c r="C842" i="55"/>
  <c r="C709" i="55"/>
  <c r="C514" i="55"/>
  <c r="C403" i="55"/>
  <c r="C351" i="55"/>
  <c r="C608" i="55"/>
  <c r="C325" i="55"/>
  <c r="C817" i="55"/>
  <c r="C675" i="55"/>
  <c r="C774" i="55"/>
  <c r="C2948" i="55"/>
  <c r="C454" i="55"/>
  <c r="C7651" i="55"/>
  <c r="C569" i="55"/>
  <c r="C748" i="55"/>
  <c r="C395" i="55"/>
  <c r="C443" i="55"/>
  <c r="C2973" i="55"/>
  <c r="C627" i="55"/>
  <c r="C2976" i="55"/>
  <c r="C701" i="55"/>
  <c r="C826" i="55"/>
  <c r="C652" i="55"/>
  <c r="C636" i="55"/>
  <c r="C750" i="55"/>
  <c r="C834" i="55"/>
  <c r="C655" i="55"/>
  <c r="C311" i="55"/>
  <c r="C521" i="55"/>
  <c r="C758" i="55"/>
  <c r="C7678" i="55"/>
  <c r="C7680" i="55"/>
  <c r="C396" i="55"/>
  <c r="C477" i="55"/>
  <c r="C716" i="55"/>
  <c r="C384" i="55"/>
  <c r="C428" i="55"/>
  <c r="C526" i="55"/>
  <c r="C7635" i="55"/>
  <c r="C390" i="55"/>
  <c r="C7633" i="55"/>
  <c r="C369" i="55"/>
  <c r="C409" i="55"/>
  <c r="C856" i="55"/>
  <c r="C613" i="55"/>
  <c r="C495" i="55"/>
  <c r="C825" i="55"/>
  <c r="C821" i="55"/>
  <c r="C2970" i="55"/>
  <c r="C271" i="55"/>
  <c r="C843" i="55"/>
  <c r="C400" i="55"/>
  <c r="C455" i="55"/>
  <c r="C680" i="55"/>
  <c r="C618" i="55"/>
  <c r="C7623" i="55"/>
  <c r="C2979" i="55"/>
  <c r="C391" i="55"/>
  <c r="C763" i="55"/>
  <c r="C307" i="55"/>
  <c r="C845" i="55"/>
  <c r="C540" i="55"/>
  <c r="C444" i="55"/>
  <c r="C490" i="55"/>
  <c r="C285" i="55"/>
  <c r="C297" i="55"/>
  <c r="C513" i="55"/>
  <c r="C328" i="55"/>
  <c r="C253" i="55"/>
  <c r="C393" i="55"/>
  <c r="C294" i="55"/>
  <c r="C522" i="55"/>
  <c r="C527" i="55"/>
  <c r="C427" i="55"/>
  <c r="C324" i="55"/>
  <c r="C710" i="55"/>
  <c r="C760" i="55"/>
  <c r="C863" i="55"/>
  <c r="C426" i="55"/>
  <c r="C255" i="55"/>
  <c r="C592" i="55"/>
  <c r="C594" i="55"/>
  <c r="C764" i="55"/>
  <c r="C734" i="55"/>
  <c r="C434" i="55"/>
  <c r="C660" i="55"/>
  <c r="C723" i="55"/>
  <c r="C7656" i="55"/>
  <c r="C7658" i="55"/>
  <c r="C7676" i="55"/>
  <c r="C494" i="55"/>
  <c r="C632" i="55"/>
  <c r="C257" i="55"/>
  <c r="C497" i="55"/>
  <c r="C839" i="55"/>
  <c r="C319" i="55"/>
  <c r="C504" i="55"/>
  <c r="C417" i="55"/>
  <c r="C681" i="55"/>
  <c r="C586" i="55"/>
  <c r="C735" i="55"/>
  <c r="C528" i="55"/>
  <c r="C375" i="55"/>
  <c r="C418" i="55"/>
  <c r="C549" i="55"/>
  <c r="C499" i="55"/>
  <c r="C424" i="55"/>
  <c r="C659" i="55"/>
  <c r="C2952" i="55"/>
  <c r="C2940" i="55"/>
  <c r="C7654" i="55"/>
  <c r="C491" i="55"/>
  <c r="C749" i="55"/>
  <c r="C722" i="55"/>
  <c r="C341" i="55"/>
  <c r="C862" i="55"/>
  <c r="C502" i="55"/>
  <c r="C7677" i="55"/>
  <c r="C778" i="55"/>
  <c r="C304" i="55"/>
  <c r="C496" i="55"/>
  <c r="C673" i="55"/>
  <c r="C767" i="55"/>
  <c r="C766" i="55"/>
  <c r="C831" i="55"/>
  <c r="C751" i="55"/>
  <c r="C621" i="55"/>
  <c r="C614" i="55"/>
  <c r="C2949" i="55"/>
  <c r="C715" i="55"/>
  <c r="C677" i="55"/>
  <c r="C808" i="55"/>
  <c r="C801" i="55"/>
  <c r="C278" i="55"/>
  <c r="C784" i="55"/>
  <c r="C780" i="55"/>
  <c r="C421" i="55"/>
  <c r="C658" i="55"/>
  <c r="C666" i="55"/>
  <c r="C823" i="55"/>
  <c r="C755" i="55"/>
  <c r="C7632" i="55"/>
  <c r="C7628" i="55"/>
  <c r="C7652" i="55"/>
  <c r="C7670" i="55"/>
  <c r="C849" i="55"/>
  <c r="C852" i="55"/>
  <c r="C555" i="55"/>
  <c r="C837" i="55"/>
  <c r="C479" i="55"/>
  <c r="C2964" i="55"/>
  <c r="C858" i="55"/>
  <c r="C140" i="47"/>
  <c r="C135" i="47"/>
  <c r="C144" i="47"/>
  <c r="D2342" i="55"/>
  <c r="BU24" i="13"/>
  <c r="C690" i="55"/>
  <c r="C869" i="55"/>
  <c r="C819" i="55"/>
  <c r="C647" i="55"/>
  <c r="C559" i="55"/>
  <c r="D32" i="49"/>
  <c r="E2047" i="55" s="1"/>
  <c r="C12" i="48"/>
  <c r="D2013" i="55" s="1"/>
  <c r="E1160" i="55"/>
  <c r="E1166" i="55"/>
  <c r="E1136" i="55"/>
  <c r="E1154" i="55"/>
  <c r="E1321" i="55"/>
  <c r="E1349" i="55"/>
  <c r="E1314" i="55"/>
  <c r="E1328" i="55"/>
  <c r="E1377" i="55"/>
  <c r="E1379" i="55"/>
  <c r="E1383" i="55"/>
  <c r="E1375" i="55"/>
  <c r="E1381" i="55"/>
  <c r="AN102" i="62"/>
  <c r="C7661" i="55"/>
  <c r="D2927" i="55"/>
  <c r="F1855" i="55"/>
  <c r="D2563" i="55"/>
  <c r="C539" i="55"/>
  <c r="C7639" i="55"/>
  <c r="D1811" i="55"/>
  <c r="I148" i="24"/>
  <c r="F1329" i="55" s="1"/>
  <c r="E654" i="55"/>
  <c r="F1647" i="55"/>
  <c r="E119" i="52"/>
  <c r="E2903" i="55" s="1"/>
  <c r="D2685" i="55"/>
  <c r="D73" i="55"/>
  <c r="E7629" i="55"/>
  <c r="F1608" i="55"/>
  <c r="F1751" i="55"/>
  <c r="E114" i="52"/>
  <c r="D2343" i="55"/>
  <c r="D2099" i="55"/>
  <c r="AN118" i="62"/>
  <c r="D88" i="63"/>
  <c r="D1874" i="55"/>
  <c r="DI24" i="13"/>
  <c r="CO24" i="13"/>
  <c r="C501" i="55"/>
  <c r="C7644" i="55"/>
  <c r="C530" i="55"/>
  <c r="C7673" i="55"/>
  <c r="D1655" i="55"/>
  <c r="C641" i="55"/>
  <c r="C786" i="55"/>
  <c r="C451" i="55"/>
  <c r="C404" i="55"/>
  <c r="C872" i="55"/>
  <c r="C610" i="55"/>
  <c r="C385" i="55"/>
  <c r="C812" i="55"/>
  <c r="D1967" i="55"/>
  <c r="C782" i="55"/>
  <c r="C576" i="55"/>
  <c r="C438" i="55"/>
  <c r="C512" i="55"/>
  <c r="F1533" i="55"/>
  <c r="F1689" i="55"/>
  <c r="F1949" i="55"/>
  <c r="F1637" i="55"/>
  <c r="F1793" i="55"/>
  <c r="F1741" i="55"/>
  <c r="F1845" i="55"/>
  <c r="D381" i="55"/>
  <c r="D278" i="55"/>
  <c r="D255" i="55"/>
  <c r="D268" i="55"/>
  <c r="E36" i="52"/>
  <c r="E2705" i="55" s="1"/>
  <c r="D2560" i="55"/>
  <c r="E118" i="62"/>
  <c r="D1717" i="55"/>
  <c r="D1670" i="55"/>
  <c r="C7667" i="55"/>
  <c r="F1907" i="55"/>
  <c r="D193" i="55"/>
  <c r="C7624" i="55"/>
  <c r="D1307" i="55"/>
  <c r="D1887" i="55"/>
  <c r="D1449" i="55"/>
  <c r="E1213" i="55"/>
  <c r="E693" i="55"/>
  <c r="F1920" i="55"/>
  <c r="E31" i="52"/>
  <c r="E2359" i="55" s="1"/>
  <c r="D2683" i="55"/>
  <c r="D69" i="55"/>
  <c r="D1845" i="55"/>
  <c r="D1837" i="55"/>
  <c r="C7631" i="55"/>
  <c r="C7668" i="55"/>
  <c r="C7634" i="55"/>
  <c r="C854" i="55"/>
  <c r="D1748" i="55"/>
  <c r="F1633" i="55"/>
  <c r="C604" i="55"/>
  <c r="C537" i="55"/>
  <c r="D1707" i="55"/>
  <c r="C870" i="55"/>
  <c r="C615" i="55"/>
  <c r="C449" i="55"/>
  <c r="C441" i="55"/>
  <c r="C553" i="55"/>
  <c r="C289" i="55"/>
  <c r="D1922" i="55"/>
  <c r="D1099" i="55"/>
  <c r="C818" i="55"/>
  <c r="C467" i="55"/>
  <c r="E3032" i="55"/>
  <c r="E3033" i="55"/>
  <c r="E3031" i="55"/>
  <c r="E3035" i="55"/>
  <c r="E3036" i="55"/>
  <c r="E3034" i="55"/>
  <c r="E3145" i="55"/>
  <c r="BR58" i="63"/>
  <c r="BR84" i="63"/>
  <c r="CU84" i="63" s="1"/>
  <c r="BR66" i="63"/>
  <c r="CU66" i="63" s="1"/>
  <c r="BR19" i="63"/>
  <c r="CU19" i="63" s="1"/>
  <c r="BR29" i="63"/>
  <c r="CU29" i="63" s="1"/>
  <c r="BR102" i="63"/>
  <c r="CU102" i="63" s="1"/>
  <c r="BR88" i="63"/>
  <c r="CU88" i="63" s="1"/>
  <c r="BR86" i="63"/>
  <c r="CU86" i="63" s="1"/>
  <c r="BR64" i="63"/>
  <c r="CU64" i="63" s="1"/>
  <c r="BR32" i="63"/>
  <c r="CU32" i="63" s="1"/>
  <c r="BR95" i="63"/>
  <c r="CU95" i="63" s="1"/>
  <c r="BR53" i="63"/>
  <c r="CU53" i="63" s="1"/>
  <c r="BR65" i="63"/>
  <c r="CU65" i="63" s="1"/>
  <c r="BR90" i="63"/>
  <c r="CU90" i="63" s="1"/>
  <c r="BR22" i="63"/>
  <c r="BR24" i="63"/>
  <c r="CU24" i="63" s="1"/>
  <c r="BR18" i="63"/>
  <c r="CU18" i="63" s="1"/>
  <c r="BR104" i="63"/>
  <c r="CU104" i="63" s="1"/>
  <c r="BR101" i="63"/>
  <c r="CU101" i="63" s="1"/>
  <c r="BR70" i="63"/>
  <c r="BR91" i="63"/>
  <c r="CU91" i="63" s="1"/>
  <c r="BR60" i="63"/>
  <c r="CU60" i="63" s="1"/>
  <c r="BR87" i="63"/>
  <c r="CU87" i="63" s="1"/>
  <c r="BR69" i="63"/>
  <c r="CU69" i="63" s="1"/>
  <c r="CC30" i="63"/>
  <c r="CU167" i="63"/>
  <c r="CC96" i="63"/>
  <c r="DF96" i="63" s="1"/>
  <c r="CC53" i="63"/>
  <c r="DF53" i="63" s="1"/>
  <c r="CC24" i="63"/>
  <c r="DF24" i="63" s="1"/>
  <c r="CC34" i="63"/>
  <c r="CC88" i="63"/>
  <c r="DF88" i="63" s="1"/>
  <c r="CC62" i="63"/>
  <c r="CC48" i="63"/>
  <c r="DF48" i="63" s="1"/>
  <c r="CC16" i="63"/>
  <c r="DF16" i="63" s="1"/>
  <c r="CC107" i="63"/>
  <c r="DF107" i="63" s="1"/>
  <c r="BR54" i="63"/>
  <c r="BR112" i="63"/>
  <c r="CU112" i="63" s="1"/>
  <c r="BR26" i="63"/>
  <c r="CU26" i="63" s="1"/>
  <c r="BR99" i="63"/>
  <c r="CU99" i="63" s="1"/>
  <c r="BR105" i="63"/>
  <c r="CU105" i="63" s="1"/>
  <c r="BR61" i="63"/>
  <c r="CU61" i="63" s="1"/>
  <c r="BR56" i="63"/>
  <c r="CU56" i="63" s="1"/>
  <c r="BR34" i="63"/>
  <c r="CU34" i="63" s="1"/>
  <c r="BR96" i="63"/>
  <c r="CU96" i="63" s="1"/>
  <c r="BR42" i="63"/>
  <c r="CU42" i="63" s="1"/>
  <c r="BR37" i="63"/>
  <c r="CU37" i="63" s="1"/>
  <c r="BR23" i="63"/>
  <c r="CU23" i="63" s="1"/>
  <c r="CC61" i="63"/>
  <c r="DF61" i="63" s="1"/>
  <c r="CC114" i="63"/>
  <c r="DF114" i="63" s="1"/>
  <c r="CC42" i="63"/>
  <c r="DF42" i="63" s="1"/>
  <c r="CC105" i="63"/>
  <c r="DF105" i="63" s="1"/>
  <c r="BR114" i="63"/>
  <c r="CU114" i="63" s="1"/>
  <c r="BR55" i="63"/>
  <c r="CU55" i="63" s="1"/>
  <c r="BR46" i="63"/>
  <c r="BR50" i="63"/>
  <c r="CU50" i="63" s="1"/>
  <c r="BR83" i="63"/>
  <c r="CU83" i="63" s="1"/>
  <c r="BR59" i="63"/>
  <c r="CU59" i="63" s="1"/>
  <c r="BR62" i="63"/>
  <c r="BR68" i="63"/>
  <c r="CU68" i="63" s="1"/>
  <c r="BR16" i="63"/>
  <c r="CU16" i="63" s="1"/>
  <c r="BR31" i="63"/>
  <c r="CU31" i="63" s="1"/>
  <c r="BR47" i="63"/>
  <c r="CU47" i="63" s="1"/>
  <c r="BR89" i="63"/>
  <c r="CU89" i="63" s="1"/>
  <c r="CC59" i="63"/>
  <c r="DF59" i="63" s="1"/>
  <c r="CC33" i="63"/>
  <c r="DF33" i="63" s="1"/>
  <c r="CC25" i="63"/>
  <c r="DF25" i="63" s="1"/>
  <c r="CC12" i="63"/>
  <c r="DF12" i="63" s="1"/>
  <c r="CC15" i="63"/>
  <c r="DF15" i="63" s="1"/>
  <c r="CC17" i="63"/>
  <c r="DF17" i="63" s="1"/>
  <c r="CC50" i="63"/>
  <c r="DF50" i="63" s="1"/>
  <c r="CC52" i="63"/>
  <c r="DF52" i="63" s="1"/>
  <c r="BR36" i="63"/>
  <c r="CU36" i="63" s="1"/>
  <c r="BR98" i="63"/>
  <c r="CU98" i="63" s="1"/>
  <c r="BR21" i="63"/>
  <c r="CU21" i="63" s="1"/>
  <c r="BR25" i="63"/>
  <c r="CU25" i="63" s="1"/>
  <c r="BR40" i="63"/>
  <c r="CU40" i="63" s="1"/>
  <c r="BR97" i="63"/>
  <c r="CU97" i="63" s="1"/>
  <c r="BR106" i="63"/>
  <c r="CU106" i="63" s="1"/>
  <c r="BR85" i="63"/>
  <c r="CU85" i="63" s="1"/>
  <c r="BR33" i="63"/>
  <c r="CU33" i="63" s="1"/>
  <c r="BR13" i="63"/>
  <c r="CU13" i="63" s="1"/>
  <c r="BR44" i="63"/>
  <c r="CU44" i="63" s="1"/>
  <c r="BR43" i="63"/>
  <c r="CU43" i="63" s="1"/>
  <c r="CC113" i="63"/>
  <c r="DF113" i="63" s="1"/>
  <c r="CC91" i="63"/>
  <c r="DF91" i="63" s="1"/>
  <c r="CC104" i="63"/>
  <c r="DF104" i="63" s="1"/>
  <c r="CC14" i="63"/>
  <c r="DF14" i="63" s="1"/>
  <c r="CC83" i="63"/>
  <c r="DF83" i="63" s="1"/>
  <c r="CC31" i="63"/>
  <c r="DF31" i="63" s="1"/>
  <c r="CC60" i="63"/>
  <c r="DF60" i="63" s="1"/>
  <c r="CC82" i="63"/>
  <c r="DF82" i="63" s="1"/>
  <c r="CC102" i="63"/>
  <c r="DF102" i="63" s="1"/>
  <c r="BR20" i="63"/>
  <c r="CU20" i="63" s="1"/>
  <c r="BR45" i="63"/>
  <c r="CU45" i="63" s="1"/>
  <c r="BR14" i="63"/>
  <c r="BR48" i="63"/>
  <c r="CU48" i="63" s="1"/>
  <c r="BR111" i="63"/>
  <c r="CU111" i="63" s="1"/>
  <c r="BR49" i="63"/>
  <c r="CU49" i="63" s="1"/>
  <c r="BR108" i="63"/>
  <c r="CU108" i="63" s="1"/>
  <c r="BR30" i="63"/>
  <c r="BR67" i="63"/>
  <c r="CU67" i="63" s="1"/>
  <c r="BR94" i="63"/>
  <c r="CU94" i="63" s="1"/>
  <c r="BR27" i="63"/>
  <c r="CU27" i="63" s="1"/>
  <c r="BR52" i="63"/>
  <c r="CU52" i="63" s="1"/>
  <c r="CC64" i="63"/>
  <c r="DF64" i="63" s="1"/>
  <c r="CC51" i="63"/>
  <c r="DF51" i="63" s="1"/>
  <c r="CC85" i="63"/>
  <c r="DF85" i="63" s="1"/>
  <c r="CC106" i="63"/>
  <c r="DF106" i="63" s="1"/>
  <c r="CC20" i="63"/>
  <c r="DF20" i="63" s="1"/>
  <c r="CC101" i="63"/>
  <c r="DF101" i="63" s="1"/>
  <c r="CC108" i="63"/>
  <c r="DF108" i="63" s="1"/>
  <c r="CC109" i="63"/>
  <c r="DF109" i="63" s="1"/>
  <c r="CC13" i="63"/>
  <c r="DF13" i="63" s="1"/>
  <c r="BR92" i="63"/>
  <c r="CU92" i="63" s="1"/>
  <c r="BR103" i="63"/>
  <c r="CU103" i="63" s="1"/>
  <c r="BR41" i="63"/>
  <c r="CU41" i="63" s="1"/>
  <c r="BR82" i="63"/>
  <c r="CU82" i="63" s="1"/>
  <c r="BR15" i="63"/>
  <c r="CU15" i="63" s="1"/>
  <c r="BR57" i="63"/>
  <c r="CU57" i="63" s="1"/>
  <c r="BR93" i="63"/>
  <c r="CU93" i="63" s="1"/>
  <c r="BR107" i="63"/>
  <c r="CU107" i="63" s="1"/>
  <c r="BR38" i="63"/>
  <c r="BR109" i="63"/>
  <c r="CU109" i="63" s="1"/>
  <c r="BR113" i="63"/>
  <c r="CU113" i="63" s="1"/>
  <c r="BR81" i="63"/>
  <c r="CU81" i="63" s="1"/>
  <c r="CC55" i="63"/>
  <c r="DF55" i="63" s="1"/>
  <c r="CC95" i="63"/>
  <c r="DF95" i="63" s="1"/>
  <c r="CC35" i="63"/>
  <c r="DF35" i="63" s="1"/>
  <c r="CC70" i="63"/>
  <c r="CC81" i="63"/>
  <c r="DF81" i="63" s="1"/>
  <c r="CC19" i="63"/>
  <c r="DF19" i="63" s="1"/>
  <c r="CC66" i="63"/>
  <c r="DF66" i="63" s="1"/>
  <c r="CC90" i="63"/>
  <c r="DF90" i="63" s="1"/>
  <c r="CC103" i="63"/>
  <c r="DF103" i="63" s="1"/>
  <c r="CC56" i="63"/>
  <c r="DF56" i="63" s="1"/>
  <c r="BR17" i="63"/>
  <c r="CU17" i="63" s="1"/>
  <c r="BR39" i="63"/>
  <c r="CU39" i="63" s="1"/>
  <c r="BR110" i="63"/>
  <c r="CU110" i="63" s="1"/>
  <c r="BR12" i="63"/>
  <c r="CU12" i="63" s="1"/>
  <c r="BR28" i="63"/>
  <c r="CU28" i="63" s="1"/>
  <c r="BR35" i="63"/>
  <c r="CU35" i="63" s="1"/>
  <c r="BR51" i="63"/>
  <c r="CU51" i="63" s="1"/>
  <c r="BR11" i="63"/>
  <c r="CU11" i="63" s="1"/>
  <c r="BR63" i="63"/>
  <c r="CU63" i="63" s="1"/>
  <c r="BR100" i="63"/>
  <c r="CU100" i="63" s="1"/>
  <c r="CC93" i="63"/>
  <c r="DF93" i="63" s="1"/>
  <c r="CC58" i="63"/>
  <c r="DF58" i="63" s="1"/>
  <c r="CC39" i="63"/>
  <c r="DF39" i="63" s="1"/>
  <c r="CC40" i="63"/>
  <c r="DF40" i="63" s="1"/>
  <c r="CC86" i="63"/>
  <c r="DF86" i="63" s="1"/>
  <c r="BQ35" i="63"/>
  <c r="CT35" i="63" s="1"/>
  <c r="BQ89" i="63"/>
  <c r="CT89" i="63" s="1"/>
  <c r="BQ45" i="63"/>
  <c r="CT45" i="63" s="1"/>
  <c r="BQ82" i="63"/>
  <c r="CT82" i="63" s="1"/>
  <c r="BQ14" i="63"/>
  <c r="CT14" i="63" s="1"/>
  <c r="BQ63" i="63"/>
  <c r="CT63" i="63" s="1"/>
  <c r="BQ53" i="63"/>
  <c r="CT53" i="63" s="1"/>
  <c r="BQ48" i="63"/>
  <c r="CT48" i="63" s="1"/>
  <c r="BQ44" i="63"/>
  <c r="CT44" i="63" s="1"/>
  <c r="BQ105" i="63"/>
  <c r="CT105" i="63" s="1"/>
  <c r="BQ36" i="63"/>
  <c r="CT36" i="63" s="1"/>
  <c r="BQ27" i="63"/>
  <c r="CT27" i="63" s="1"/>
  <c r="BQ42" i="63"/>
  <c r="CT42" i="63" s="1"/>
  <c r="BQ16" i="63"/>
  <c r="CT16" i="63" s="1"/>
  <c r="BQ46" i="63"/>
  <c r="BQ66" i="63"/>
  <c r="CT66" i="63" s="1"/>
  <c r="BQ101" i="63"/>
  <c r="CT101" i="63" s="1"/>
  <c r="BQ37" i="63"/>
  <c r="CT37" i="63" s="1"/>
  <c r="BQ55" i="63"/>
  <c r="CT55" i="63" s="1"/>
  <c r="BQ87" i="63"/>
  <c r="CT87" i="63" s="1"/>
  <c r="BQ112" i="63"/>
  <c r="CT112" i="63" s="1"/>
  <c r="BQ95" i="63"/>
  <c r="CT95" i="63" s="1"/>
  <c r="BQ106" i="63"/>
  <c r="CT106" i="63" s="1"/>
  <c r="BQ93" i="63"/>
  <c r="CT93" i="63" s="1"/>
  <c r="BQ103" i="63"/>
  <c r="CT103" i="63" s="1"/>
  <c r="BQ98" i="63"/>
  <c r="CT98" i="63" s="1"/>
  <c r="BQ50" i="63"/>
  <c r="CT50" i="63" s="1"/>
  <c r="BQ67" i="63"/>
  <c r="CT67" i="63" s="1"/>
  <c r="BQ11" i="63"/>
  <c r="CT11" i="63" s="1"/>
  <c r="BQ43" i="63"/>
  <c r="CT43" i="63" s="1"/>
  <c r="BQ21" i="63"/>
  <c r="CT21" i="63" s="1"/>
  <c r="BQ12" i="63"/>
  <c r="CT12" i="63" s="1"/>
  <c r="BQ86" i="63"/>
  <c r="CT86" i="63" s="1"/>
  <c r="BQ70" i="63"/>
  <c r="BQ33" i="63"/>
  <c r="CT33" i="63" s="1"/>
  <c r="BQ91" i="63"/>
  <c r="CT91" i="63" s="1"/>
  <c r="BQ83" i="63"/>
  <c r="CT83" i="63" s="1"/>
  <c r="BQ54" i="63"/>
  <c r="CT54" i="63" s="1"/>
  <c r="BQ40" i="63"/>
  <c r="CT40" i="63" s="1"/>
  <c r="BQ110" i="63"/>
  <c r="CT110" i="63" s="1"/>
  <c r="BQ15" i="63"/>
  <c r="CT15" i="63" s="1"/>
  <c r="BQ64" i="63"/>
  <c r="CT64" i="63" s="1"/>
  <c r="BQ34" i="63"/>
  <c r="BQ41" i="63"/>
  <c r="CT41" i="63" s="1"/>
  <c r="BQ23" i="63"/>
  <c r="CT23" i="63" s="1"/>
  <c r="BQ84" i="63"/>
  <c r="CT84" i="63" s="1"/>
  <c r="BQ20" i="63"/>
  <c r="CT20" i="63" s="1"/>
  <c r="BQ92" i="63"/>
  <c r="CT92" i="63" s="1"/>
  <c r="BQ107" i="63"/>
  <c r="CT107" i="63" s="1"/>
  <c r="BQ69" i="63"/>
  <c r="CT69" i="63" s="1"/>
  <c r="BQ13" i="63"/>
  <c r="CT13" i="63" s="1"/>
  <c r="BQ30" i="63"/>
  <c r="BQ111" i="63"/>
  <c r="CT111" i="63" s="1"/>
  <c r="BQ61" i="63"/>
  <c r="CT61" i="63" s="1"/>
  <c r="BQ104" i="63"/>
  <c r="CT104" i="63" s="1"/>
  <c r="BQ26" i="63"/>
  <c r="CT26" i="63" s="1"/>
  <c r="BQ39" i="63"/>
  <c r="CT39" i="63" s="1"/>
  <c r="BQ52" i="63"/>
  <c r="CT52" i="63" s="1"/>
  <c r="CQ167" i="63"/>
  <c r="BM87" i="63" s="1"/>
  <c r="CP87" i="63" s="1"/>
  <c r="DC167" i="63"/>
  <c r="B620" i="1"/>
  <c r="G122" i="63" s="1"/>
  <c r="B619" i="1"/>
  <c r="G77" i="63" s="1"/>
  <c r="B254" i="1"/>
  <c r="B308" i="1"/>
  <c r="B974" i="1"/>
  <c r="B722" i="1"/>
  <c r="B6" i="48" s="1"/>
  <c r="B383" i="1"/>
  <c r="B736" i="1"/>
  <c r="C5" i="49" s="1"/>
  <c r="B337" i="1"/>
  <c r="B973" i="1"/>
  <c r="B980" i="1"/>
  <c r="B276" i="1"/>
  <c r="B318" i="1"/>
  <c r="B566" i="1"/>
  <c r="H83" i="62" s="1"/>
  <c r="B264" i="1"/>
  <c r="B309" i="1"/>
  <c r="B315" i="1"/>
  <c r="B355" i="1"/>
  <c r="A78" i="57" s="1"/>
  <c r="B322" i="1"/>
  <c r="B252" i="1"/>
  <c r="B307" i="1"/>
  <c r="B664" i="1"/>
  <c r="C39" i="47" s="1"/>
  <c r="B267" i="1"/>
  <c r="B345" i="1"/>
  <c r="B268" i="1"/>
  <c r="B636" i="1"/>
  <c r="C9" i="47" s="1"/>
  <c r="B310" i="1"/>
  <c r="B665" i="1"/>
  <c r="C40" i="47" s="1"/>
  <c r="B316" i="1"/>
  <c r="B359" i="1"/>
  <c r="B325" i="1"/>
  <c r="B269" i="1"/>
  <c r="B249" i="1"/>
  <c r="A13" i="56" s="1"/>
  <c r="D3076" i="55" s="1"/>
  <c r="B672" i="1"/>
  <c r="C50" i="47" s="1"/>
  <c r="B317" i="1"/>
  <c r="B380" i="1"/>
  <c r="B734" i="1"/>
  <c r="B3" i="49" s="1"/>
  <c r="B326" i="1"/>
  <c r="B251" i="1"/>
  <c r="B981" i="1"/>
  <c r="C31" i="48" s="1"/>
  <c r="F7757" i="55" s="1"/>
  <c r="D7717" i="55"/>
  <c r="D7716" i="55"/>
  <c r="D7714" i="55"/>
  <c r="D7713" i="55"/>
  <c r="D7715" i="55"/>
  <c r="D7718" i="55"/>
  <c r="D7712" i="55"/>
  <c r="D3077" i="55"/>
  <c r="D3083" i="55"/>
  <c r="D3082" i="55"/>
  <c r="D3081" i="55"/>
  <c r="D3079" i="55"/>
  <c r="D3078" i="55"/>
  <c r="D3080" i="55"/>
  <c r="E3078" i="55"/>
  <c r="E7710" i="55"/>
  <c r="E7702" i="55"/>
  <c r="E7707" i="55"/>
  <c r="E7699" i="55"/>
  <c r="E7704" i="55"/>
  <c r="E7709" i="55"/>
  <c r="E7706" i="55"/>
  <c r="E7711" i="55"/>
  <c r="E7700" i="55"/>
  <c r="E7701" i="55"/>
  <c r="E7703" i="55"/>
  <c r="E7708" i="55"/>
  <c r="F7698" i="55"/>
  <c r="E7698" i="55"/>
  <c r="F7705" i="55"/>
  <c r="E7705" i="55"/>
  <c r="D7725" i="55"/>
  <c r="D7721" i="55"/>
  <c r="D7724" i="55"/>
  <c r="D7723" i="55"/>
  <c r="D7722" i="55"/>
  <c r="D7719" i="55"/>
  <c r="D7720" i="55"/>
  <c r="D7701" i="55"/>
  <c r="D7700" i="55"/>
  <c r="D7699" i="55"/>
  <c r="D7698" i="55"/>
  <c r="D7704" i="55"/>
  <c r="D7703" i="55"/>
  <c r="D7702" i="55"/>
  <c r="D7709" i="55"/>
  <c r="D7708" i="55"/>
  <c r="D7706" i="55"/>
  <c r="D7705" i="55"/>
  <c r="D7710" i="55"/>
  <c r="D7707" i="55"/>
  <c r="D7711" i="55"/>
  <c r="C29" i="48"/>
  <c r="D25" i="49"/>
  <c r="D15" i="49"/>
  <c r="R17" i="47"/>
  <c r="C7705" i="55"/>
  <c r="C7710" i="55"/>
  <c r="C7702" i="55"/>
  <c r="C7707" i="55"/>
  <c r="C7699" i="55"/>
  <c r="C7704" i="55"/>
  <c r="C7706" i="55"/>
  <c r="C7698" i="55"/>
  <c r="C7711" i="55"/>
  <c r="C7709" i="55"/>
  <c r="C7701" i="55"/>
  <c r="C7703" i="55"/>
  <c r="C7708" i="55"/>
  <c r="C7700" i="55"/>
  <c r="D24" i="49"/>
  <c r="D14" i="49"/>
  <c r="BS43" i="63"/>
  <c r="CV43" i="63" s="1"/>
  <c r="BS96" i="63"/>
  <c r="CV96" i="63" s="1"/>
  <c r="BS26" i="63"/>
  <c r="CV26" i="63" s="1"/>
  <c r="BS25" i="63"/>
  <c r="CV25" i="63" s="1"/>
  <c r="BS32" i="63"/>
  <c r="CV32" i="63" s="1"/>
  <c r="C256" i="24"/>
  <c r="E31" i="25" s="1"/>
  <c r="H1063" i="55" s="1"/>
  <c r="C223" i="24"/>
  <c r="E29" i="25" s="1"/>
  <c r="H1061" i="55" s="1"/>
  <c r="C208" i="24"/>
  <c r="C162" i="24"/>
  <c r="E23" i="25" s="1"/>
  <c r="H1057" i="55" s="1"/>
  <c r="C100" i="24"/>
  <c r="E20" i="25" s="1"/>
  <c r="H1054" i="55" s="1"/>
  <c r="C82" i="24"/>
  <c r="E19" i="25" s="1"/>
  <c r="H1053" i="55" s="1"/>
  <c r="C81" i="24"/>
  <c r="C24" i="24"/>
  <c r="E16" i="25" s="1"/>
  <c r="H1050" i="55" s="1"/>
  <c r="N56" i="13"/>
  <c r="AR29" i="13"/>
  <c r="DJ28" i="13"/>
  <c r="BL35" i="13"/>
  <c r="BB65" i="13"/>
  <c r="BV32" i="13"/>
  <c r="CZ50" i="13"/>
  <c r="G106" i="8"/>
  <c r="G136" i="8"/>
  <c r="H248" i="55" s="1"/>
  <c r="K98" i="8"/>
  <c r="K82" i="8"/>
  <c r="E53" i="8"/>
  <c r="B129" i="24"/>
  <c r="BT19" i="13"/>
  <c r="F2712" i="55"/>
  <c r="F2725" i="55"/>
  <c r="F2785" i="55"/>
  <c r="B16" i="24"/>
  <c r="E1069" i="55" s="1"/>
  <c r="F1391" i="55"/>
  <c r="F1235" i="55"/>
  <c r="F2779" i="55"/>
  <c r="F2699" i="55"/>
  <c r="F2713" i="55"/>
  <c r="E706" i="55"/>
  <c r="E7660" i="55"/>
  <c r="E674" i="55"/>
  <c r="F2689" i="55"/>
  <c r="B189" i="24"/>
  <c r="DH19" i="13"/>
  <c r="CN19" i="13"/>
  <c r="F2703" i="55"/>
  <c r="D1045" i="55"/>
  <c r="AF19" i="13"/>
  <c r="F2700" i="55"/>
  <c r="F2783" i="55"/>
  <c r="F2717" i="55"/>
  <c r="F2719" i="55"/>
  <c r="E700" i="55"/>
  <c r="E669" i="55"/>
  <c r="E685" i="55"/>
  <c r="D1028" i="55"/>
  <c r="CO158" i="63"/>
  <c r="CN8" i="63"/>
  <c r="AZ19" i="13"/>
  <c r="F2702" i="55"/>
  <c r="B49" i="24"/>
  <c r="EL19" i="13"/>
  <c r="F2766" i="55"/>
  <c r="D1042" i="55"/>
  <c r="D3219" i="55"/>
  <c r="F2739" i="55"/>
  <c r="F2794" i="55"/>
  <c r="D1039" i="55"/>
  <c r="F2730" i="55"/>
  <c r="F2774" i="55"/>
  <c r="D1025" i="55"/>
  <c r="E680" i="55"/>
  <c r="E710" i="55"/>
  <c r="E7658" i="55"/>
  <c r="L70" i="47"/>
  <c r="H1699" i="55" s="1"/>
  <c r="D1048" i="55"/>
  <c r="G8" i="63"/>
  <c r="F2708" i="55"/>
  <c r="B216" i="24"/>
  <c r="F2714" i="55"/>
  <c r="F1610" i="55"/>
  <c r="D1033" i="55"/>
  <c r="F2741" i="55"/>
  <c r="F2750" i="55"/>
  <c r="D1038" i="55"/>
  <c r="F2781" i="55"/>
  <c r="F2685" i="55"/>
  <c r="E7632" i="55"/>
  <c r="E698" i="55"/>
  <c r="D1041" i="55"/>
  <c r="DP8" i="63"/>
  <c r="CD19" i="13"/>
  <c r="F2683" i="55"/>
  <c r="B12" i="24"/>
  <c r="F2776" i="55"/>
  <c r="F1818" i="55"/>
  <c r="D1046" i="55"/>
  <c r="F2926" i="55"/>
  <c r="F2792" i="55"/>
  <c r="F2768" i="55"/>
  <c r="F2786" i="55"/>
  <c r="D3218" i="55"/>
  <c r="F2684" i="55"/>
  <c r="F2755" i="55"/>
  <c r="D1036" i="55"/>
  <c r="CO132" i="63"/>
  <c r="CO140" i="63"/>
  <c r="F2771" i="55"/>
  <c r="B70" i="24"/>
  <c r="F2798" i="55"/>
  <c r="F17" i="62"/>
  <c r="D1026" i="55"/>
  <c r="F2749" i="55"/>
  <c r="D3216" i="55"/>
  <c r="EX10" i="63"/>
  <c r="F2780" i="55"/>
  <c r="F2784" i="55"/>
  <c r="E3042" i="55"/>
  <c r="F2682" i="55"/>
  <c r="F2710" i="55"/>
  <c r="F2745" i="55"/>
  <c r="C3129" i="55"/>
  <c r="AK15" i="62"/>
  <c r="F2756" i="55"/>
  <c r="B248" i="24"/>
  <c r="E10" i="63"/>
  <c r="D1034" i="55"/>
  <c r="F2760" i="55"/>
  <c r="F2775" i="55"/>
  <c r="F2695" i="55"/>
  <c r="CO149" i="63"/>
  <c r="F2790" i="55"/>
  <c r="F2743" i="55"/>
  <c r="F2715" i="55"/>
  <c r="C3131" i="55"/>
  <c r="E76" i="52"/>
  <c r="BK78" i="63"/>
  <c r="AI78" i="63"/>
  <c r="BJ19" i="13"/>
  <c r="F2757" i="55"/>
  <c r="B233" i="24"/>
  <c r="D1037" i="55"/>
  <c r="D1044" i="55"/>
  <c r="F2718" i="55"/>
  <c r="F2796" i="55"/>
  <c r="F2709" i="55"/>
  <c r="F2688" i="55"/>
  <c r="F2765" i="55"/>
  <c r="F2752" i="55"/>
  <c r="E667" i="55"/>
  <c r="E682" i="55"/>
  <c r="E100" i="52"/>
  <c r="E2180" i="55" s="1"/>
  <c r="G78" i="63"/>
  <c r="H15" i="62"/>
  <c r="AP19" i="13"/>
  <c r="F2748" i="55"/>
  <c r="B173" i="24"/>
  <c r="D1040" i="55"/>
  <c r="D1035" i="55"/>
  <c r="F2693" i="55"/>
  <c r="F1766" i="55"/>
  <c r="F2767" i="55"/>
  <c r="F2704" i="55"/>
  <c r="F2707" i="55"/>
  <c r="F2726" i="55"/>
  <c r="F2778" i="55"/>
  <c r="F2799" i="55"/>
  <c r="E659" i="55"/>
  <c r="E645" i="55"/>
  <c r="E704" i="55"/>
  <c r="E2968" i="55"/>
  <c r="C19" i="4"/>
  <c r="CN78" i="63"/>
  <c r="F2761" i="55"/>
  <c r="B199" i="24"/>
  <c r="EB19" i="13"/>
  <c r="CX19" i="13"/>
  <c r="D1029" i="55"/>
  <c r="F2690" i="55"/>
  <c r="F2763" i="55"/>
  <c r="F2698" i="55"/>
  <c r="F2687" i="55"/>
  <c r="F2734" i="55"/>
  <c r="F2720" i="55"/>
  <c r="F2742" i="55"/>
  <c r="E679" i="55"/>
  <c r="E7663" i="55"/>
  <c r="E715" i="55"/>
  <c r="E671" i="55"/>
  <c r="E675" i="55"/>
  <c r="E696" i="55"/>
  <c r="BK8" i="63"/>
  <c r="AI123" i="63"/>
  <c r="V19" i="13"/>
  <c r="DR19" i="13"/>
  <c r="F2773" i="55"/>
  <c r="B107" i="24"/>
  <c r="F2788" i="55"/>
  <c r="D1043" i="55"/>
  <c r="D1027" i="55"/>
  <c r="D1032" i="55"/>
  <c r="F2759" i="55"/>
  <c r="F2694" i="55"/>
  <c r="F2758" i="55"/>
  <c r="F2740" i="55"/>
  <c r="F2692" i="55"/>
  <c r="F2797" i="55"/>
  <c r="F2751" i="55"/>
  <c r="F2764" i="55"/>
  <c r="CO123" i="63"/>
  <c r="H84" i="62"/>
  <c r="F2753" i="55"/>
  <c r="B147" i="24"/>
  <c r="F2731" i="55"/>
  <c r="F2697" i="55"/>
  <c r="F2727" i="55"/>
  <c r="F2705" i="55"/>
  <c r="F2736" i="55"/>
  <c r="F2769" i="55"/>
  <c r="F2747" i="55"/>
  <c r="F2722" i="55"/>
  <c r="E3019" i="55"/>
  <c r="E3021" i="55"/>
  <c r="E686" i="55"/>
  <c r="E2964" i="55"/>
  <c r="E651" i="55"/>
  <c r="O147" i="24"/>
  <c r="O199" i="24"/>
  <c r="E644" i="55"/>
  <c r="E697" i="55"/>
  <c r="E719" i="55"/>
  <c r="F1462" i="55"/>
  <c r="O189" i="24"/>
  <c r="L47" i="23"/>
  <c r="E670" i="55"/>
  <c r="E702" i="55"/>
  <c r="E716" i="55"/>
  <c r="F1460" i="55"/>
  <c r="F70" i="62"/>
  <c r="F1461" i="55"/>
  <c r="D7585" i="55"/>
  <c r="D50" i="8"/>
  <c r="E49" i="55" s="1"/>
  <c r="O89" i="24"/>
  <c r="O107" i="24"/>
  <c r="L31" i="23"/>
  <c r="L18" i="23"/>
  <c r="O49" i="24"/>
  <c r="O129" i="24"/>
  <c r="EX25" i="63"/>
  <c r="O12" i="24"/>
  <c r="L39" i="23"/>
  <c r="F50" i="62"/>
  <c r="EX69" i="63"/>
  <c r="O173" i="24"/>
  <c r="EX59" i="63"/>
  <c r="L43" i="23"/>
  <c r="O70" i="24"/>
  <c r="EX61" i="63"/>
  <c r="L35" i="23"/>
  <c r="EX27" i="63"/>
  <c r="L27" i="23"/>
  <c r="D7582" i="55"/>
  <c r="D2009" i="55"/>
  <c r="C6712" i="55"/>
  <c r="C6980" i="55"/>
  <c r="C7515" i="55"/>
  <c r="E705" i="55"/>
  <c r="C7588" i="55"/>
  <c r="C7089" i="55"/>
  <c r="C3535" i="55"/>
  <c r="E2659" i="55"/>
  <c r="D210" i="55"/>
  <c r="C6499" i="55"/>
  <c r="C3629" i="55"/>
  <c r="C3524" i="55"/>
  <c r="C6399" i="55"/>
  <c r="F1858" i="55"/>
  <c r="CR19" i="13"/>
  <c r="C6716" i="55"/>
  <c r="C6259" i="55"/>
  <c r="C7106" i="55"/>
  <c r="C6710" i="55"/>
  <c r="F1184" i="55"/>
  <c r="D92" i="63"/>
  <c r="D23" i="55"/>
  <c r="E1736" i="55"/>
  <c r="E98" i="62"/>
  <c r="C7045" i="55"/>
  <c r="C6768" i="55"/>
  <c r="C3520" i="55"/>
  <c r="C6975" i="55"/>
  <c r="F1185" i="55"/>
  <c r="E1761" i="55"/>
  <c r="F1504" i="55"/>
  <c r="C7498" i="55"/>
  <c r="C7343" i="55"/>
  <c r="C7348" i="55"/>
  <c r="C7202" i="55"/>
  <c r="C5265" i="55"/>
  <c r="F1183" i="55"/>
  <c r="D2313" i="55"/>
  <c r="C6140" i="55"/>
  <c r="C7521" i="55"/>
  <c r="C3640" i="55"/>
  <c r="C3528" i="55"/>
  <c r="C5584" i="55"/>
  <c r="F1182" i="55"/>
  <c r="D7603" i="55"/>
  <c r="D2898" i="55"/>
  <c r="C6771" i="55"/>
  <c r="C6848" i="55"/>
  <c r="C6254" i="55"/>
  <c r="C6744" i="55"/>
  <c r="D87" i="8"/>
  <c r="C7080" i="55"/>
  <c r="C6976" i="55"/>
  <c r="C6464" i="55"/>
  <c r="C7266" i="55"/>
  <c r="C7411" i="55"/>
  <c r="C7347" i="55"/>
  <c r="C6683" i="55"/>
  <c r="C7251" i="55"/>
  <c r="C6214" i="55"/>
  <c r="C7386" i="55"/>
  <c r="C7179" i="55"/>
  <c r="C4581" i="55"/>
  <c r="E1108" i="55"/>
  <c r="E1113" i="55"/>
  <c r="E1123" i="55"/>
  <c r="E1103" i="55"/>
  <c r="E1128" i="55"/>
  <c r="E1118" i="55"/>
  <c r="E3158" i="55"/>
  <c r="E3162" i="55"/>
  <c r="D7593" i="55"/>
  <c r="D7594" i="55"/>
  <c r="D7612" i="55"/>
  <c r="D144" i="55"/>
  <c r="C103" i="47"/>
  <c r="F1992" i="55" s="1"/>
  <c r="E1724" i="55"/>
  <c r="DS104" i="63"/>
  <c r="D2188" i="55"/>
  <c r="D2897" i="55"/>
  <c r="D207" i="55"/>
  <c r="DL19" i="13"/>
  <c r="Z19" i="13"/>
  <c r="C6670" i="55"/>
  <c r="C6856" i="55"/>
  <c r="C7128" i="55"/>
  <c r="C3546" i="55"/>
  <c r="C6121" i="55"/>
  <c r="C7187" i="55"/>
  <c r="C6990" i="55"/>
  <c r="C7351" i="55"/>
  <c r="C6355" i="55"/>
  <c r="C6439" i="55"/>
  <c r="C6991" i="55"/>
  <c r="C7298" i="55"/>
  <c r="C3507" i="55"/>
  <c r="C6432" i="55"/>
  <c r="C6765" i="55"/>
  <c r="C6971" i="55"/>
  <c r="C3465" i="55"/>
  <c r="C6460" i="55"/>
  <c r="C7057" i="55"/>
  <c r="C7137" i="55"/>
  <c r="C7506" i="55"/>
  <c r="C6752" i="55"/>
  <c r="C7225" i="55"/>
  <c r="C7213" i="55"/>
  <c r="C3568" i="55"/>
  <c r="C7229" i="55"/>
  <c r="C3557" i="55"/>
  <c r="C7446" i="55"/>
  <c r="C3619" i="55"/>
  <c r="C6352" i="55"/>
  <c r="C6857" i="55"/>
  <c r="C6781" i="55"/>
  <c r="C7190" i="55"/>
  <c r="C7125" i="55"/>
  <c r="C7435" i="55"/>
  <c r="C3630" i="55"/>
  <c r="C6564" i="55"/>
  <c r="C6809" i="55"/>
  <c r="C7264" i="55"/>
  <c r="C7303" i="55"/>
  <c r="C3600" i="55"/>
  <c r="C6843" i="55"/>
  <c r="C6922" i="55"/>
  <c r="C7494" i="55"/>
  <c r="F1754" i="55"/>
  <c r="C4752" i="55"/>
  <c r="C4811" i="55"/>
  <c r="C5253" i="55"/>
  <c r="C5194" i="55"/>
  <c r="C4420" i="55"/>
  <c r="CH19" i="13"/>
  <c r="D7602" i="55"/>
  <c r="D24" i="55"/>
  <c r="B61" i="24"/>
  <c r="E1728" i="55"/>
  <c r="E1731" i="55"/>
  <c r="D104" i="63"/>
  <c r="D2435" i="55"/>
  <c r="D2434" i="55"/>
  <c r="D88" i="55"/>
  <c r="DB19" i="13"/>
  <c r="C6076" i="55"/>
  <c r="C6802" i="55"/>
  <c r="C6492" i="55"/>
  <c r="C7393" i="55"/>
  <c r="C3593" i="55"/>
  <c r="C6243" i="55"/>
  <c r="C6571" i="55"/>
  <c r="C7269" i="55"/>
  <c r="C7540" i="55"/>
  <c r="C6619" i="55"/>
  <c r="C6594" i="55"/>
  <c r="C7167" i="55"/>
  <c r="C7569" i="55"/>
  <c r="C6027" i="55"/>
  <c r="C6640" i="55"/>
  <c r="C7195" i="55"/>
  <c r="C7182" i="55"/>
  <c r="C3478" i="55"/>
  <c r="C6582" i="55"/>
  <c r="C7563" i="55"/>
  <c r="C7260" i="55"/>
  <c r="C3616" i="55"/>
  <c r="C6918" i="55"/>
  <c r="C6916" i="55"/>
  <c r="C7418" i="55"/>
  <c r="C3605" i="55"/>
  <c r="C7483" i="55"/>
  <c r="C3589" i="55"/>
  <c r="C7545" i="55"/>
  <c r="C3501" i="55"/>
  <c r="C6584" i="55"/>
  <c r="C7027" i="55"/>
  <c r="C6932" i="55"/>
  <c r="C6867" i="55"/>
  <c r="C7224" i="55"/>
  <c r="C7534" i="55"/>
  <c r="C3527" i="55"/>
  <c r="C6351" i="55"/>
  <c r="C6984" i="55"/>
  <c r="C6952" i="55"/>
  <c r="C7232" i="55"/>
  <c r="C3626" i="55"/>
  <c r="C6480" i="55"/>
  <c r="C7021" i="55"/>
  <c r="C7433" i="55"/>
  <c r="C6740" i="55"/>
  <c r="C4343" i="55"/>
  <c r="C4047" i="55"/>
  <c r="C4204" i="55"/>
  <c r="C5984" i="55"/>
  <c r="C4405" i="55"/>
  <c r="D7611" i="55"/>
  <c r="D22" i="55"/>
  <c r="D7610" i="55"/>
  <c r="B181" i="24"/>
  <c r="E1727" i="55"/>
  <c r="E1734" i="55"/>
  <c r="E1719" i="55"/>
  <c r="E110" i="62"/>
  <c r="D2896" i="55"/>
  <c r="D2651" i="55"/>
  <c r="D208" i="55"/>
  <c r="D211" i="55"/>
  <c r="AJ19" i="13"/>
  <c r="C6174" i="55"/>
  <c r="C6398" i="55"/>
  <c r="C6630" i="55"/>
  <c r="C7208" i="55"/>
  <c r="C3569" i="55"/>
  <c r="C6365" i="55"/>
  <c r="C6735" i="55"/>
  <c r="C6938" i="55"/>
  <c r="C7496" i="55"/>
  <c r="C6026" i="55"/>
  <c r="C6733" i="55"/>
  <c r="C6939" i="55"/>
  <c r="C7188" i="55"/>
  <c r="C6125" i="55"/>
  <c r="C6318" i="55"/>
  <c r="C6581" i="55"/>
  <c r="C7522" i="55"/>
  <c r="C3645" i="55"/>
  <c r="C6705" i="55"/>
  <c r="C6972" i="55"/>
  <c r="C7117" i="55"/>
  <c r="C3639" i="55"/>
  <c r="C6414" i="55"/>
  <c r="C7040" i="55"/>
  <c r="C7160" i="55"/>
  <c r="C3644" i="55"/>
  <c r="C7177" i="55"/>
  <c r="C3627" i="55"/>
  <c r="C7419" i="55"/>
  <c r="C3500" i="55"/>
  <c r="C5991" i="55"/>
  <c r="C6517" i="55"/>
  <c r="C6451" i="55"/>
  <c r="C6966" i="55"/>
  <c r="C7322" i="55"/>
  <c r="C7574" i="55"/>
  <c r="C3603" i="55"/>
  <c r="C6524" i="55"/>
  <c r="C6397" i="55"/>
  <c r="C7051" i="55"/>
  <c r="C7172" i="55"/>
  <c r="C3510" i="55"/>
  <c r="C7060" i="55"/>
  <c r="C7245" i="55"/>
  <c r="C7532" i="55"/>
  <c r="C7487" i="55"/>
  <c r="C5847" i="55"/>
  <c r="C4115" i="55"/>
  <c r="C4081" i="55"/>
  <c r="C3720" i="55"/>
  <c r="C5953" i="55"/>
  <c r="C5616" i="55"/>
  <c r="D7615" i="55"/>
  <c r="D7587" i="55"/>
  <c r="B120" i="24"/>
  <c r="D7584" i="55"/>
  <c r="E1753" i="55"/>
  <c r="E1717" i="55"/>
  <c r="E1751" i="55"/>
  <c r="AN110" i="62"/>
  <c r="D2653" i="55"/>
  <c r="D2190" i="55"/>
  <c r="D91" i="55"/>
  <c r="P19" i="13"/>
  <c r="D1417" i="55"/>
  <c r="E1362" i="55"/>
  <c r="C6369" i="55"/>
  <c r="C6529" i="55"/>
  <c r="C6858" i="55"/>
  <c r="C7437" i="55"/>
  <c r="C3470" i="55"/>
  <c r="C6608" i="55"/>
  <c r="C6446" i="55"/>
  <c r="C7112" i="55"/>
  <c r="C7580" i="55"/>
  <c r="C6148" i="55"/>
  <c r="C6485" i="55"/>
  <c r="C7100" i="55"/>
  <c r="C7210" i="55"/>
  <c r="C6223" i="55"/>
  <c r="C6825" i="55"/>
  <c r="C6721" i="55"/>
  <c r="C7478" i="55"/>
  <c r="C3594" i="55"/>
  <c r="C6474" i="55"/>
  <c r="C7146" i="55"/>
  <c r="C7439" i="55"/>
  <c r="C3560" i="55"/>
  <c r="C6658" i="55"/>
  <c r="C7508" i="55"/>
  <c r="C7464" i="55"/>
  <c r="C3454" i="55"/>
  <c r="C7497" i="55"/>
  <c r="C3541" i="55"/>
  <c r="C7570" i="55"/>
  <c r="C3515" i="55"/>
  <c r="C6186" i="55"/>
  <c r="C6615" i="55"/>
  <c r="C6647" i="55"/>
  <c r="C7061" i="55"/>
  <c r="C7065" i="55"/>
  <c r="C7599" i="55"/>
  <c r="C6797" i="55"/>
  <c r="C6726" i="55"/>
  <c r="C6593" i="55"/>
  <c r="C7192" i="55"/>
  <c r="C7270" i="55"/>
  <c r="C3529" i="55"/>
  <c r="C6829" i="55"/>
  <c r="C6921" i="55"/>
  <c r="C7550" i="55"/>
  <c r="D25" i="55"/>
  <c r="C5237" i="55"/>
  <c r="C7361" i="55"/>
  <c r="C6083" i="55"/>
  <c r="F3171" i="55"/>
  <c r="D7591" i="55"/>
  <c r="D7596" i="55"/>
  <c r="D2201" i="55"/>
  <c r="D7586" i="55"/>
  <c r="E1721" i="55"/>
  <c r="E1755" i="55"/>
  <c r="E1750" i="55"/>
  <c r="D2189" i="55"/>
  <c r="D2433" i="55"/>
  <c r="D212" i="55"/>
  <c r="D1407" i="55"/>
  <c r="C6783" i="55"/>
  <c r="C6684" i="55"/>
  <c r="C6873" i="55"/>
  <c r="C7122" i="55"/>
  <c r="C6109" i="55"/>
  <c r="C6302" i="55"/>
  <c r="C6541" i="55"/>
  <c r="C7489" i="55"/>
  <c r="C3473" i="55"/>
  <c r="C6295" i="55"/>
  <c r="C6579" i="55"/>
  <c r="C6903" i="55"/>
  <c r="C7548" i="55"/>
  <c r="C6320" i="55"/>
  <c r="C6610" i="55"/>
  <c r="C6912" i="55"/>
  <c r="C7573" i="55"/>
  <c r="C3583" i="55"/>
  <c r="C6381" i="55"/>
  <c r="C6886" i="55"/>
  <c r="C7127" i="55"/>
  <c r="C3566" i="55"/>
  <c r="C6671" i="55"/>
  <c r="C6954" i="55"/>
  <c r="C7323" i="55"/>
  <c r="C3539" i="55"/>
  <c r="C7339" i="55"/>
  <c r="C3523" i="55"/>
  <c r="C7539" i="55"/>
  <c r="C3553" i="55"/>
  <c r="C6739" i="55"/>
  <c r="C6713" i="55"/>
  <c r="C6855" i="55"/>
  <c r="C7409" i="55"/>
  <c r="C7136" i="55"/>
  <c r="C7358" i="55"/>
  <c r="C6371" i="55"/>
  <c r="C6736" i="55"/>
  <c r="C6691" i="55"/>
  <c r="C6875" i="55"/>
  <c r="C7549" i="55"/>
  <c r="C6408" i="55"/>
  <c r="C7154" i="55"/>
  <c r="C7020" i="55"/>
  <c r="C7473" i="55"/>
  <c r="F1546" i="55"/>
  <c r="D146" i="55"/>
  <c r="C5175" i="55"/>
  <c r="C5215" i="55"/>
  <c r="C4199" i="55"/>
  <c r="F3172" i="55"/>
  <c r="D7600" i="55"/>
  <c r="D7607" i="55"/>
  <c r="D7608" i="55"/>
  <c r="D7590" i="55"/>
  <c r="E1759" i="55"/>
  <c r="E1748" i="55"/>
  <c r="E1729" i="55"/>
  <c r="D2895" i="55"/>
  <c r="D2652" i="55"/>
  <c r="D87" i="55"/>
  <c r="DV19" i="13"/>
  <c r="C6108" i="55"/>
  <c r="C6815" i="55"/>
  <c r="C7038" i="55"/>
  <c r="C7295" i="55"/>
  <c r="C6206" i="55"/>
  <c r="C6489" i="55"/>
  <c r="C6704" i="55"/>
  <c r="C7189" i="55"/>
  <c r="C3505" i="55"/>
  <c r="C6448" i="55"/>
  <c r="C6760" i="55"/>
  <c r="C7069" i="55"/>
  <c r="C7512" i="55"/>
  <c r="C6481" i="55"/>
  <c r="C6741" i="55"/>
  <c r="C7055" i="55"/>
  <c r="C7196" i="55"/>
  <c r="C3571" i="55"/>
  <c r="C6528" i="55"/>
  <c r="C7010" i="55"/>
  <c r="C7276" i="55"/>
  <c r="C3622" i="55"/>
  <c r="C6795" i="55"/>
  <c r="C7092" i="55"/>
  <c r="C7488" i="55"/>
  <c r="C3504" i="55"/>
  <c r="C7504" i="55"/>
  <c r="C3488" i="55"/>
  <c r="C3634" i="55"/>
  <c r="C3456" i="55"/>
  <c r="C6343" i="55"/>
  <c r="C6812" i="55"/>
  <c r="C7036" i="55"/>
  <c r="C6905" i="55"/>
  <c r="C7234" i="55"/>
  <c r="C7457" i="55"/>
  <c r="C6540" i="55"/>
  <c r="C6667" i="55"/>
  <c r="C6965" i="55"/>
  <c r="C6974" i="55"/>
  <c r="C7486" i="55"/>
  <c r="C6616" i="55"/>
  <c r="C6620" i="55"/>
  <c r="C7149" i="55"/>
  <c r="C3586" i="55"/>
  <c r="F1598" i="55"/>
  <c r="D145" i="55"/>
  <c r="C4814" i="55"/>
  <c r="C6281" i="55"/>
  <c r="C5368" i="55"/>
  <c r="D7588" i="55"/>
  <c r="F3173" i="55"/>
  <c r="D7583" i="55"/>
  <c r="D7604" i="55"/>
  <c r="E1749" i="55"/>
  <c r="E1743" i="55"/>
  <c r="E1758" i="55"/>
  <c r="F1650" i="55"/>
  <c r="D2191" i="55"/>
  <c r="D2775" i="55"/>
  <c r="D90" i="55"/>
  <c r="BN19" i="13"/>
  <c r="C6230" i="55"/>
  <c r="C7025" i="55"/>
  <c r="C7401" i="55"/>
  <c r="C7119" i="55"/>
  <c r="C6304" i="55"/>
  <c r="C6792" i="55"/>
  <c r="C6879" i="55"/>
  <c r="C7415" i="55"/>
  <c r="C3599" i="55"/>
  <c r="C5983" i="55"/>
  <c r="C7017" i="55"/>
  <c r="C7304" i="55"/>
  <c r="C7476" i="55"/>
  <c r="C6731" i="55"/>
  <c r="C6927" i="55"/>
  <c r="C7242" i="55"/>
  <c r="C7070" i="55"/>
  <c r="C3532" i="55"/>
  <c r="C6650" i="55"/>
  <c r="C7159" i="55"/>
  <c r="C7462" i="55"/>
  <c r="C3573" i="55"/>
  <c r="C6978" i="55"/>
  <c r="C7421" i="55"/>
  <c r="C7394" i="55"/>
  <c r="C7454" i="55"/>
  <c r="C7410" i="55"/>
  <c r="C3576" i="55"/>
  <c r="C3489" i="55"/>
  <c r="C3545" i="55"/>
  <c r="C6521" i="55"/>
  <c r="C7068" i="55"/>
  <c r="C6868" i="55"/>
  <c r="C7004" i="55"/>
  <c r="C7330" i="55"/>
  <c r="C3618" i="55"/>
  <c r="C6751" i="55"/>
  <c r="C6766" i="55"/>
  <c r="C6754" i="55"/>
  <c r="C7075" i="55"/>
  <c r="C7372" i="55"/>
  <c r="C6075" i="55"/>
  <c r="C6503" i="55"/>
  <c r="C7596" i="55"/>
  <c r="C3584" i="55"/>
  <c r="C4718" i="55"/>
  <c r="C7459" i="55"/>
  <c r="C3463" i="55"/>
  <c r="C6266" i="55"/>
  <c r="F1910" i="55"/>
  <c r="DS92" i="63"/>
  <c r="D7592" i="55"/>
  <c r="D7601" i="55"/>
  <c r="B241" i="24"/>
  <c r="D7614" i="55"/>
  <c r="E1726" i="55"/>
  <c r="E1723" i="55"/>
  <c r="F1962" i="55"/>
  <c r="D2654" i="55"/>
  <c r="D2312" i="55"/>
  <c r="D213" i="55"/>
  <c r="EF19" i="13"/>
  <c r="C6376" i="55"/>
  <c r="C6697" i="55"/>
  <c r="C6985" i="55"/>
  <c r="C7337" i="55"/>
  <c r="C6440" i="55"/>
  <c r="C6882" i="55"/>
  <c r="C6989" i="55"/>
  <c r="C7525" i="55"/>
  <c r="C3597" i="55"/>
  <c r="C6251" i="55"/>
  <c r="C6454" i="55"/>
  <c r="C7321" i="55"/>
  <c r="C7583" i="55"/>
  <c r="C6635" i="55"/>
  <c r="C6493" i="55"/>
  <c r="C7198" i="55"/>
  <c r="C7218" i="55"/>
  <c r="C6643" i="55"/>
  <c r="C6773" i="55"/>
  <c r="C7032" i="55"/>
  <c r="C7370" i="55"/>
  <c r="C3462" i="55"/>
  <c r="C6902" i="55"/>
  <c r="C7222" i="55"/>
  <c r="C7556" i="55"/>
  <c r="C7238" i="55"/>
  <c r="C7560" i="55"/>
  <c r="C3525" i="55"/>
  <c r="C3449" i="55"/>
  <c r="C6578" i="55"/>
  <c r="C6709" i="55"/>
  <c r="C6604" i="55"/>
  <c r="C6967" i="55"/>
  <c r="C7579" i="55"/>
  <c r="C7528" i="55"/>
  <c r="C3643" i="55"/>
  <c r="C6165" i="55"/>
  <c r="C6861" i="55"/>
  <c r="C6852" i="55"/>
  <c r="C7600" i="55"/>
  <c r="C7471" i="55"/>
  <c r="C6007" i="55"/>
  <c r="C6998" i="55"/>
  <c r="C7610" i="55"/>
  <c r="C3590" i="55"/>
  <c r="C4269" i="55"/>
  <c r="C5939" i="55"/>
  <c r="C3974" i="55"/>
  <c r="C4107" i="55"/>
  <c r="D7613" i="55"/>
  <c r="B24" i="24"/>
  <c r="D7595" i="55"/>
  <c r="E1766" i="55"/>
  <c r="E1754" i="55"/>
  <c r="D137" i="63"/>
  <c r="D2773" i="55"/>
  <c r="D2774" i="55"/>
  <c r="D209" i="55"/>
  <c r="BX19" i="13"/>
  <c r="C5942" i="55"/>
  <c r="C6842" i="55"/>
  <c r="C7157" i="55"/>
  <c r="C7377" i="55"/>
  <c r="C6698" i="55"/>
  <c r="C6894" i="55"/>
  <c r="C7176" i="55"/>
  <c r="C7451" i="55"/>
  <c r="C3551" i="55"/>
  <c r="C6491" i="55"/>
  <c r="C6617" i="55"/>
  <c r="C7197" i="55"/>
  <c r="C7407" i="55"/>
  <c r="C6486" i="55"/>
  <c r="C6648" i="55"/>
  <c r="C7071" i="55"/>
  <c r="C7431" i="55"/>
  <c r="C6455" i="55"/>
  <c r="C7085" i="55"/>
  <c r="C7283" i="55"/>
  <c r="C7527" i="55"/>
  <c r="C6738" i="55"/>
  <c r="C7209" i="55"/>
  <c r="C7150" i="55"/>
  <c r="C7589" i="55"/>
  <c r="C7166" i="55"/>
  <c r="C7593" i="55"/>
  <c r="C7301" i="55"/>
  <c r="C3602" i="55"/>
  <c r="C6734" i="55"/>
  <c r="C6629" i="55"/>
  <c r="C6389" i="55"/>
  <c r="C7062" i="55"/>
  <c r="C7349" i="55"/>
  <c r="C7378" i="55"/>
  <c r="C3479" i="55"/>
  <c r="C6262" i="55"/>
  <c r="C7058" i="55"/>
  <c r="C7044" i="55"/>
  <c r="C7156" i="55"/>
  <c r="C7345" i="55"/>
  <c r="C6105" i="55"/>
  <c r="C6468" i="55"/>
  <c r="C7241" i="55"/>
  <c r="C3508" i="55"/>
  <c r="C3772" i="55"/>
  <c r="C7181" i="55"/>
  <c r="C5728" i="55"/>
  <c r="C5206" i="55"/>
  <c r="C6737" i="55"/>
  <c r="D7589" i="55"/>
  <c r="B42" i="24"/>
  <c r="D7605" i="55"/>
  <c r="E1718" i="55"/>
  <c r="E1739" i="55"/>
  <c r="D2310" i="55"/>
  <c r="D2432" i="55"/>
  <c r="D86" i="55"/>
  <c r="D89" i="55"/>
  <c r="C6064" i="55"/>
  <c r="C7390" i="55"/>
  <c r="C6933" i="55"/>
  <c r="C7564" i="55"/>
  <c r="C6347" i="55"/>
  <c r="C6477" i="55"/>
  <c r="C6958" i="55"/>
  <c r="C7201" i="55"/>
  <c r="C3531" i="55"/>
  <c r="C6808" i="55"/>
  <c r="C6757" i="55"/>
  <c r="C7447" i="55"/>
  <c r="C3536" i="55"/>
  <c r="C6015" i="55"/>
  <c r="C6788" i="55"/>
  <c r="C7328" i="55"/>
  <c r="C7436" i="55"/>
  <c r="C6602" i="55"/>
  <c r="C6516" i="55"/>
  <c r="C7090" i="55"/>
  <c r="C7408" i="55"/>
  <c r="C6874" i="55"/>
  <c r="C6942" i="55"/>
  <c r="C7273" i="55"/>
  <c r="C7383" i="55"/>
  <c r="C7290" i="55"/>
  <c r="C7399" i="55"/>
  <c r="C7400" i="55"/>
  <c r="C3633" i="55"/>
  <c r="C6059" i="55"/>
  <c r="C6728" i="55"/>
  <c r="C6487" i="55"/>
  <c r="C7233" i="55"/>
  <c r="C7546" i="55"/>
  <c r="C7477" i="55"/>
  <c r="C3609" i="55"/>
  <c r="C5901" i="55"/>
  <c r="C6526" i="55"/>
  <c r="C7141" i="55"/>
  <c r="C7255" i="55"/>
  <c r="C7465" i="55"/>
  <c r="C6202" i="55"/>
  <c r="C6565" i="55"/>
  <c r="C7538" i="55"/>
  <c r="C3587" i="55"/>
  <c r="C6177" i="55"/>
  <c r="C7456" i="55"/>
  <c r="C5015" i="55"/>
  <c r="C6546" i="55"/>
  <c r="D7606" i="55"/>
  <c r="D7598" i="55"/>
  <c r="D7609" i="55"/>
  <c r="D7599" i="55"/>
  <c r="E1732" i="55"/>
  <c r="D2776" i="55"/>
  <c r="BD19" i="13"/>
  <c r="C6210" i="55"/>
  <c r="C6552" i="55"/>
  <c r="C7138" i="55"/>
  <c r="C7611" i="55"/>
  <c r="C6603" i="55"/>
  <c r="C6607" i="55"/>
  <c r="C7165" i="55"/>
  <c r="C7398" i="55"/>
  <c r="C6019" i="55"/>
  <c r="C6711" i="55"/>
  <c r="C7162" i="55"/>
  <c r="C7219" i="55"/>
  <c r="C3493" i="55"/>
  <c r="C6137" i="55"/>
  <c r="C7253" i="55"/>
  <c r="C7007" i="55"/>
  <c r="C7367" i="55"/>
  <c r="C6725" i="55"/>
  <c r="C6638" i="55"/>
  <c r="C7214" i="55"/>
  <c r="C7315" i="55"/>
  <c r="C6482" i="55"/>
  <c r="C7095" i="55"/>
  <c r="C7470" i="55"/>
  <c r="C7514" i="55"/>
  <c r="C7503" i="55"/>
  <c r="C7531" i="55"/>
  <c r="C7499" i="55"/>
  <c r="C3552" i="55"/>
  <c r="C6157" i="55"/>
  <c r="C6827" i="55"/>
  <c r="C6585" i="55"/>
  <c r="C6906" i="55"/>
  <c r="C7194" i="55"/>
  <c r="C7318" i="55"/>
  <c r="C3623" i="55"/>
  <c r="C6292" i="55"/>
  <c r="C6623" i="55"/>
  <c r="C6876" i="55"/>
  <c r="C7380" i="55"/>
  <c r="C3612" i="55"/>
  <c r="C6359" i="55"/>
  <c r="C6663" i="55"/>
  <c r="C7081" i="55"/>
  <c r="C3467" i="55"/>
  <c r="C5446" i="55"/>
  <c r="C5551" i="55"/>
  <c r="C5715" i="55"/>
  <c r="C4067" i="55"/>
  <c r="E2752" i="55"/>
  <c r="E2874" i="55"/>
  <c r="E2167" i="55"/>
  <c r="E2289" i="55"/>
  <c r="E2411" i="55"/>
  <c r="E2630" i="55"/>
  <c r="D138" i="8"/>
  <c r="F1289" i="55"/>
  <c r="F1452" i="55"/>
  <c r="D97" i="55"/>
  <c r="D25" i="8"/>
  <c r="D2717" i="55"/>
  <c r="E576" i="55"/>
  <c r="D1108" i="55"/>
  <c r="D1105" i="55"/>
  <c r="D216" i="55"/>
  <c r="D2135" i="55"/>
  <c r="D15" i="8"/>
  <c r="E14" i="55" s="1"/>
  <c r="D2379" i="55"/>
  <c r="C101" i="47"/>
  <c r="F1983" i="55" s="1"/>
  <c r="E196" i="55"/>
  <c r="E635" i="55"/>
  <c r="D2991" i="55"/>
  <c r="D1122" i="55"/>
  <c r="F11" i="10"/>
  <c r="F1290" i="55"/>
  <c r="F1287" i="55"/>
  <c r="E1155" i="55"/>
  <c r="D99" i="55"/>
  <c r="E1642" i="55"/>
  <c r="D2134" i="55"/>
  <c r="D2840" i="55"/>
  <c r="D2598" i="55"/>
  <c r="E1631" i="55"/>
  <c r="E2535" i="55"/>
  <c r="D88" i="8"/>
  <c r="E83" i="55" s="1"/>
  <c r="E572" i="55"/>
  <c r="D1109" i="55"/>
  <c r="D1114" i="55"/>
  <c r="F1274" i="55"/>
  <c r="R11" i="10"/>
  <c r="F1238" i="55"/>
  <c r="F1237" i="55"/>
  <c r="E1149" i="55"/>
  <c r="D218" i="55"/>
  <c r="E1495" i="55"/>
  <c r="E1626" i="55"/>
  <c r="E1627" i="55"/>
  <c r="D2255" i="55"/>
  <c r="D45" i="8"/>
  <c r="E44" i="55" s="1"/>
  <c r="E570" i="55"/>
  <c r="E598" i="55"/>
  <c r="D1112" i="55"/>
  <c r="D1117" i="55"/>
  <c r="E606" i="55"/>
  <c r="F1906" i="55"/>
  <c r="F1236" i="55"/>
  <c r="E1161" i="55"/>
  <c r="D95" i="55"/>
  <c r="M20" i="13"/>
  <c r="E1491" i="55"/>
  <c r="D2376" i="55"/>
  <c r="E1614" i="55"/>
  <c r="F1904" i="55"/>
  <c r="J97" i="47"/>
  <c r="D2720" i="55"/>
  <c r="F1958" i="55"/>
  <c r="D2992" i="55"/>
  <c r="D64" i="8"/>
  <c r="D103" i="8"/>
  <c r="E103" i="52"/>
  <c r="E2962" i="55"/>
  <c r="E634" i="55"/>
  <c r="D1125" i="55"/>
  <c r="D1126" i="55"/>
  <c r="E636" i="55"/>
  <c r="F1277" i="55"/>
  <c r="D215" i="55"/>
  <c r="J20" i="13"/>
  <c r="D2839" i="55"/>
  <c r="F1800" i="55"/>
  <c r="E1656" i="55"/>
  <c r="D2596" i="55"/>
  <c r="F1646" i="55"/>
  <c r="E594" i="55"/>
  <c r="E604" i="55"/>
  <c r="E614" i="55"/>
  <c r="D1115" i="55"/>
  <c r="D1129" i="55"/>
  <c r="F1434" i="55"/>
  <c r="E91" i="55"/>
  <c r="D98" i="55"/>
  <c r="D96" i="55"/>
  <c r="F1748" i="55"/>
  <c r="D2719" i="55"/>
  <c r="D2256" i="55"/>
  <c r="D2718" i="55"/>
  <c r="F1802" i="55"/>
  <c r="D2729" i="55"/>
  <c r="D1106" i="55"/>
  <c r="D2990" i="55"/>
  <c r="E619" i="55"/>
  <c r="E638" i="55"/>
  <c r="D1128" i="55"/>
  <c r="D52" i="55"/>
  <c r="E227" i="55"/>
  <c r="D219" i="55"/>
  <c r="D93" i="55"/>
  <c r="E1657" i="55"/>
  <c r="D2133" i="55"/>
  <c r="F1592" i="55"/>
  <c r="D2254" i="55"/>
  <c r="D120" i="55"/>
  <c r="E575" i="55"/>
  <c r="E622" i="55"/>
  <c r="E615" i="55"/>
  <c r="D2994" i="55"/>
  <c r="F1316" i="55"/>
  <c r="F1285" i="55"/>
  <c r="D220" i="55"/>
  <c r="E1628" i="55"/>
  <c r="D2257" i="55"/>
  <c r="D2841" i="55"/>
  <c r="F1540" i="55"/>
  <c r="D35" i="8"/>
  <c r="E1650" i="55"/>
  <c r="D2842" i="55"/>
  <c r="E79" i="52"/>
  <c r="D1113" i="55"/>
  <c r="E641" i="55"/>
  <c r="E568" i="55"/>
  <c r="E637" i="55"/>
  <c r="D1119" i="55"/>
  <c r="D80" i="8"/>
  <c r="E75" i="55" s="1"/>
  <c r="E7652" i="55"/>
  <c r="D95" i="8"/>
  <c r="F1286" i="55"/>
  <c r="E1613" i="55"/>
  <c r="E1632" i="55"/>
  <c r="F1841" i="55"/>
  <c r="D2132" i="55"/>
  <c r="D59" i="8"/>
  <c r="D2378" i="55"/>
  <c r="D1123" i="55"/>
  <c r="F1835" i="55"/>
  <c r="E581" i="55"/>
  <c r="E95" i="52"/>
  <c r="D1124" i="55"/>
  <c r="D104" i="8"/>
  <c r="E578" i="55"/>
  <c r="E1167" i="55"/>
  <c r="F1114" i="55"/>
  <c r="D1677" i="55"/>
  <c r="F1686" i="55"/>
  <c r="D657" i="55"/>
  <c r="D672" i="55"/>
  <c r="D602" i="55"/>
  <c r="D707" i="55"/>
  <c r="D7662" i="55"/>
  <c r="D1288" i="55"/>
  <c r="D1272" i="55"/>
  <c r="D1286" i="55"/>
  <c r="D1302" i="55"/>
  <c r="D1617" i="55"/>
  <c r="D1573" i="55"/>
  <c r="D1616" i="55"/>
  <c r="D1729" i="55"/>
  <c r="D1928" i="55"/>
  <c r="D1833" i="55"/>
  <c r="D1520" i="55"/>
  <c r="D1576" i="55"/>
  <c r="D1731" i="55"/>
  <c r="D1834" i="55"/>
  <c r="D1728" i="55"/>
  <c r="D1795" i="55"/>
  <c r="D1737" i="55"/>
  <c r="D1629" i="55"/>
  <c r="C3120" i="55"/>
  <c r="L12" i="10"/>
  <c r="D1570" i="55"/>
  <c r="D1628" i="55"/>
  <c r="D2127" i="55"/>
  <c r="D636" i="55"/>
  <c r="D679" i="55"/>
  <c r="D664" i="55"/>
  <c r="D630" i="55"/>
  <c r="D711" i="55"/>
  <c r="D1784" i="55"/>
  <c r="D570" i="55"/>
  <c r="D675" i="55"/>
  <c r="E3037" i="55"/>
  <c r="E10" i="9"/>
  <c r="D1615" i="55"/>
  <c r="F1582" i="55"/>
  <c r="D2962" i="55"/>
  <c r="D7659" i="55"/>
  <c r="D714" i="55"/>
  <c r="D696" i="55"/>
  <c r="D1300" i="55"/>
  <c r="D1274" i="55"/>
  <c r="D1283" i="55"/>
  <c r="D3029" i="55"/>
  <c r="D1531" i="55"/>
  <c r="D1681" i="55"/>
  <c r="D1772" i="55"/>
  <c r="D1735" i="55"/>
  <c r="D1630" i="55"/>
  <c r="D1943" i="55"/>
  <c r="D1587" i="55"/>
  <c r="D1840" i="55"/>
  <c r="D1886" i="55"/>
  <c r="D1623" i="55"/>
  <c r="D1778" i="55"/>
  <c r="D1835" i="55"/>
  <c r="D1769" i="55"/>
  <c r="C3126" i="55"/>
  <c r="D1926" i="55"/>
  <c r="D1526" i="55"/>
  <c r="D2836" i="55"/>
  <c r="D626" i="55"/>
  <c r="D680" i="55"/>
  <c r="D1724" i="55"/>
  <c r="D621" i="55"/>
  <c r="D674" i="55"/>
  <c r="D598" i="55"/>
  <c r="D1521" i="55"/>
  <c r="M248" i="24"/>
  <c r="D1838" i="55"/>
  <c r="F1530" i="55"/>
  <c r="D7651" i="55"/>
  <c r="D690" i="55"/>
  <c r="D616" i="55"/>
  <c r="D7661" i="55"/>
  <c r="D1275" i="55"/>
  <c r="D1285" i="55"/>
  <c r="D1287" i="55"/>
  <c r="D1306" i="55"/>
  <c r="D1512" i="55"/>
  <c r="D1939" i="55"/>
  <c r="D1741" i="55"/>
  <c r="D1791" i="55"/>
  <c r="D1938" i="55"/>
  <c r="D1685" i="55"/>
  <c r="D1726" i="55"/>
  <c r="D1843" i="55"/>
  <c r="D1892" i="55"/>
  <c r="D1730" i="55"/>
  <c r="D1935" i="55"/>
  <c r="D1880" i="55"/>
  <c r="C3113" i="55"/>
  <c r="D1721" i="55"/>
  <c r="D1836" i="55"/>
  <c r="D2837" i="55"/>
  <c r="C18" i="4"/>
  <c r="D709" i="55"/>
  <c r="D592" i="55"/>
  <c r="D1824" i="55"/>
  <c r="D2430" i="55"/>
  <c r="M189" i="24"/>
  <c r="D655" i="55"/>
  <c r="D698" i="55"/>
  <c r="D681" i="55"/>
  <c r="D619" i="55"/>
  <c r="D1519" i="55"/>
  <c r="M147" i="24"/>
  <c r="E202" i="55"/>
  <c r="D1581" i="55"/>
  <c r="D2958" i="55"/>
  <c r="D641" i="55"/>
  <c r="D7652" i="55"/>
  <c r="D7664" i="55"/>
  <c r="D30" i="55"/>
  <c r="D651" i="55"/>
  <c r="D1312" i="55"/>
  <c r="D1271" i="55"/>
  <c r="D1294" i="55"/>
  <c r="D1291" i="55"/>
  <c r="D1785" i="55"/>
  <c r="D1940" i="55"/>
  <c r="D1891" i="55"/>
  <c r="D1583" i="55"/>
  <c r="D1535" i="55"/>
  <c r="D1667" i="55"/>
  <c r="D1770" i="55"/>
  <c r="D1530" i="55"/>
  <c r="D1723" i="55"/>
  <c r="D1782" i="55"/>
  <c r="D1632" i="55"/>
  <c r="D1882" i="55"/>
  <c r="D1771" i="55"/>
  <c r="D1931" i="55"/>
  <c r="C3119" i="55"/>
  <c r="D1876" i="55"/>
  <c r="D1930" i="55"/>
  <c r="D1510" i="55"/>
  <c r="D2372" i="55"/>
  <c r="C3124" i="55"/>
  <c r="E1459" i="55"/>
  <c r="D590" i="55"/>
  <c r="D622" i="55"/>
  <c r="D1563" i="55"/>
  <c r="D2186" i="55"/>
  <c r="D580" i="55"/>
  <c r="D599" i="55"/>
  <c r="D574" i="55"/>
  <c r="D2967" i="55"/>
  <c r="D1788" i="55"/>
  <c r="M12" i="24"/>
  <c r="D2592" i="55"/>
  <c r="D588" i="55"/>
  <c r="D689" i="55"/>
  <c r="D692" i="55"/>
  <c r="D611" i="55"/>
  <c r="D150" i="55"/>
  <c r="D607" i="55"/>
  <c r="D1282" i="55"/>
  <c r="D1273" i="55"/>
  <c r="D1276" i="55"/>
  <c r="D1304" i="55"/>
  <c r="D1672" i="55"/>
  <c r="D1626" i="55"/>
  <c r="D1719" i="55"/>
  <c r="D1572" i="55"/>
  <c r="D1634" i="55"/>
  <c r="D1934" i="55"/>
  <c r="D1565" i="55"/>
  <c r="D1932" i="55"/>
  <c r="D1779" i="55"/>
  <c r="D1925" i="55"/>
  <c r="D1509" i="55"/>
  <c r="D1678" i="55"/>
  <c r="D1929" i="55"/>
  <c r="C3116" i="55"/>
  <c r="C3125" i="55"/>
  <c r="D1733" i="55"/>
  <c r="D1631" i="55"/>
  <c r="D1944" i="55"/>
  <c r="D2834" i="55"/>
  <c r="D2374" i="55"/>
  <c r="D663" i="55"/>
  <c r="D600" i="55"/>
  <c r="D1686" i="55"/>
  <c r="D2649" i="55"/>
  <c r="D576" i="55"/>
  <c r="D578" i="55"/>
  <c r="D702" i="55"/>
  <c r="D587" i="55"/>
  <c r="D668" i="55"/>
  <c r="F1790" i="55"/>
  <c r="M49" i="24"/>
  <c r="D7655" i="55"/>
  <c r="D620" i="55"/>
  <c r="D577" i="55"/>
  <c r="D671" i="55"/>
  <c r="D149" i="55"/>
  <c r="D1295" i="55"/>
  <c r="D3028" i="55"/>
  <c r="D3030" i="55"/>
  <c r="D1298" i="55"/>
  <c r="D1899" i="55"/>
  <c r="D1877" i="55"/>
  <c r="D1878" i="55"/>
  <c r="D1842" i="55"/>
  <c r="D1513" i="55"/>
  <c r="D1620" i="55"/>
  <c r="D1514" i="55"/>
  <c r="D1893" i="55"/>
  <c r="D1884" i="55"/>
  <c r="D1783" i="55"/>
  <c r="D1525" i="55"/>
  <c r="D1567" i="55"/>
  <c r="C3133" i="55"/>
  <c r="C3109" i="55"/>
  <c r="D1633" i="55"/>
  <c r="D1775" i="55"/>
  <c r="D1946" i="55"/>
  <c r="D2249" i="55"/>
  <c r="D2252" i="55"/>
  <c r="D710" i="55"/>
  <c r="D652" i="55"/>
  <c r="D1821" i="55"/>
  <c r="D2893" i="55"/>
  <c r="D1789" i="55"/>
  <c r="D653" i="55"/>
  <c r="D718" i="55"/>
  <c r="D569" i="55"/>
  <c r="D571" i="55"/>
  <c r="D1585" i="55"/>
  <c r="F1894" i="55"/>
  <c r="M70" i="24"/>
  <c r="C3110" i="55"/>
  <c r="D643" i="55"/>
  <c r="D693" i="55"/>
  <c r="D593" i="55"/>
  <c r="D7650" i="55"/>
  <c r="D152" i="55"/>
  <c r="D1299" i="55"/>
  <c r="D1309" i="55"/>
  <c r="D1292" i="55"/>
  <c r="D1308" i="55"/>
  <c r="D1787" i="55"/>
  <c r="D1522" i="55"/>
  <c r="D1873" i="55"/>
  <c r="D1691" i="55"/>
  <c r="D1613" i="55"/>
  <c r="D1637" i="55"/>
  <c r="D1949" i="55"/>
  <c r="D1682" i="55"/>
  <c r="D1793" i="55"/>
  <c r="D1947" i="55"/>
  <c r="D1786" i="55"/>
  <c r="D1776" i="55"/>
  <c r="D1580" i="55"/>
  <c r="C3122" i="55"/>
  <c r="C3118" i="55"/>
  <c r="D1826" i="55"/>
  <c r="D1674" i="55"/>
  <c r="D2713" i="55"/>
  <c r="D10" i="63"/>
  <c r="E3038" i="55"/>
  <c r="D2960" i="55"/>
  <c r="D638" i="55"/>
  <c r="D1879" i="55"/>
  <c r="D2308" i="55"/>
  <c r="D648" i="55"/>
  <c r="D567" i="55"/>
  <c r="D628" i="55"/>
  <c r="D719" i="55"/>
  <c r="D631" i="55"/>
  <c r="D1841" i="55"/>
  <c r="F1738" i="55"/>
  <c r="D2518" i="55"/>
  <c r="M173" i="24"/>
  <c r="C3115" i="55"/>
  <c r="D2522" i="55"/>
  <c r="D613" i="55"/>
  <c r="D589" i="55"/>
  <c r="D7657" i="55"/>
  <c r="D7653" i="55"/>
  <c r="D1281" i="55"/>
  <c r="D1297" i="55"/>
  <c r="D1303" i="55"/>
  <c r="D3026" i="55"/>
  <c r="D1942" i="55"/>
  <c r="D1727" i="55"/>
  <c r="D1839" i="55"/>
  <c r="D1562" i="55"/>
  <c r="D1828" i="55"/>
  <c r="D1951" i="55"/>
  <c r="D1897" i="55"/>
  <c r="D1822" i="55"/>
  <c r="D1875" i="55"/>
  <c r="D1561" i="55"/>
  <c r="D1575" i="55"/>
  <c r="D1739" i="55"/>
  <c r="C3132" i="55"/>
  <c r="C3112" i="55"/>
  <c r="D1831" i="55"/>
  <c r="D1619" i="55"/>
  <c r="D2129" i="55"/>
  <c r="D2520" i="55"/>
  <c r="E1471" i="55"/>
  <c r="E3040" i="55"/>
  <c r="D706" i="55"/>
  <c r="D624" i="55"/>
  <c r="D1895" i="55"/>
  <c r="D140" i="55"/>
  <c r="D625" i="55"/>
  <c r="D617" i="55"/>
  <c r="D618" i="55"/>
  <c r="D700" i="55"/>
  <c r="D1941" i="55"/>
  <c r="BM17" i="62"/>
  <c r="E3039" i="55"/>
  <c r="M216" i="24"/>
  <c r="C3121" i="55"/>
  <c r="D2519" i="55"/>
  <c r="D604" i="55"/>
  <c r="D697" i="55"/>
  <c r="D7656" i="55"/>
  <c r="D650" i="55"/>
  <c r="D1279" i="55"/>
  <c r="D1289" i="55"/>
  <c r="D1278" i="55"/>
  <c r="D1277" i="55"/>
  <c r="D1566" i="55"/>
  <c r="D1936" i="55"/>
  <c r="D1689" i="55"/>
  <c r="D1927" i="55"/>
  <c r="D1511" i="55"/>
  <c r="D1579" i="55"/>
  <c r="D1888" i="55"/>
  <c r="D1625" i="55"/>
  <c r="D1624" i="55"/>
  <c r="D1738" i="55"/>
  <c r="D1890" i="55"/>
  <c r="D1666" i="55"/>
  <c r="C3128" i="55"/>
  <c r="C3117" i="55"/>
  <c r="D1676" i="55"/>
  <c r="D1830" i="55"/>
  <c r="D1529" i="55"/>
  <c r="D2712" i="55"/>
  <c r="E1451" i="55"/>
  <c r="F3146" i="55"/>
  <c r="D582" i="55"/>
  <c r="D141" i="55"/>
  <c r="D634" i="55"/>
  <c r="D673" i="55"/>
  <c r="D575" i="55"/>
  <c r="D687" i="55"/>
  <c r="D1847" i="55"/>
  <c r="M31" i="24"/>
  <c r="M233" i="24"/>
  <c r="F1115" i="55"/>
  <c r="C3127" i="55"/>
  <c r="F1946" i="55"/>
  <c r="D695" i="55"/>
  <c r="D7663" i="55"/>
  <c r="D712" i="55"/>
  <c r="D7665" i="55"/>
  <c r="D7654" i="55"/>
  <c r="D1668" i="55"/>
  <c r="D1296" i="55"/>
  <c r="D1310" i="55"/>
  <c r="D1311" i="55"/>
  <c r="D1284" i="55"/>
  <c r="D1577" i="55"/>
  <c r="D1518" i="55"/>
  <c r="D1578" i="55"/>
  <c r="D1582" i="55"/>
  <c r="D1574" i="55"/>
  <c r="D1780" i="55"/>
  <c r="D1571" i="55"/>
  <c r="D1527" i="55"/>
  <c r="D1533" i="55"/>
  <c r="D1774" i="55"/>
  <c r="D1515" i="55"/>
  <c r="D1781" i="55"/>
  <c r="D1528" i="55"/>
  <c r="C3130" i="55"/>
  <c r="C3111" i="55"/>
  <c r="D1743" i="55"/>
  <c r="D1665" i="55"/>
  <c r="D2714" i="55"/>
  <c r="D2965" i="55"/>
  <c r="H1821" i="55"/>
  <c r="D20" i="55"/>
  <c r="D566" i="55"/>
  <c r="D639" i="55"/>
  <c r="D591" i="55"/>
  <c r="D1639" i="55"/>
  <c r="D1687" i="55"/>
  <c r="D2523" i="55"/>
  <c r="D7658" i="55"/>
  <c r="D715" i="55"/>
  <c r="D694" i="55"/>
  <c r="D7660" i="55"/>
  <c r="D603" i="55"/>
  <c r="D1732" i="55"/>
  <c r="D3027" i="55"/>
  <c r="D1293" i="55"/>
  <c r="D1301" i="55"/>
  <c r="D1679" i="55"/>
  <c r="D1790" i="55"/>
  <c r="D1675" i="55"/>
  <c r="D1722" i="55"/>
  <c r="D1827" i="55"/>
  <c r="D1894" i="55"/>
  <c r="D1684" i="55"/>
  <c r="D1683" i="55"/>
  <c r="D1773" i="55"/>
  <c r="D1718" i="55"/>
  <c r="D1734" i="55"/>
  <c r="D1669" i="55"/>
  <c r="D1937" i="55"/>
  <c r="C3114" i="55"/>
  <c r="D1627" i="55"/>
  <c r="D1614" i="55"/>
  <c r="D1680" i="55"/>
  <c r="D572" i="55"/>
  <c r="D596" i="55"/>
  <c r="D701" i="55"/>
  <c r="D568" i="55"/>
  <c r="F1218" i="55"/>
  <c r="F1216" i="55"/>
  <c r="E160" i="55"/>
  <c r="E38" i="55"/>
  <c r="E1985" i="55"/>
  <c r="F2189" i="55"/>
  <c r="F2333" i="55"/>
  <c r="D58" i="8"/>
  <c r="F2646" i="55"/>
  <c r="E1983" i="55"/>
  <c r="F2142" i="55"/>
  <c r="F2289" i="55"/>
  <c r="D24" i="8"/>
  <c r="F1977" i="55"/>
  <c r="D112" i="8"/>
  <c r="E1984" i="55"/>
  <c r="D29" i="8"/>
  <c r="E1987" i="55"/>
  <c r="E2553" i="55"/>
  <c r="D1348" i="55"/>
  <c r="D34" i="8"/>
  <c r="E2551" i="55"/>
  <c r="D1323" i="55"/>
  <c r="D122" i="8"/>
  <c r="F2139" i="55"/>
  <c r="D49" i="8"/>
  <c r="F1574" i="55"/>
  <c r="E249" i="55"/>
  <c r="F2201" i="55"/>
  <c r="D14" i="8"/>
  <c r="D19" i="8"/>
  <c r="F2140" i="55"/>
  <c r="D44" i="8"/>
  <c r="D117" i="8"/>
  <c r="F2132" i="55"/>
  <c r="D63" i="8"/>
  <c r="CD20" i="13"/>
  <c r="F2149" i="55"/>
  <c r="CN20" i="13"/>
  <c r="E2237" i="55"/>
  <c r="E2700" i="55"/>
  <c r="E2578" i="55"/>
  <c r="E2806" i="55"/>
  <c r="E2221" i="55"/>
  <c r="E2684" i="55"/>
  <c r="E2343" i="55"/>
  <c r="E2562" i="55"/>
  <c r="E2099" i="55"/>
  <c r="D2269" i="55"/>
  <c r="D2730" i="55"/>
  <c r="E1479" i="55"/>
  <c r="F1956" i="55"/>
  <c r="D406" i="55"/>
  <c r="D346" i="55"/>
  <c r="D2389" i="55"/>
  <c r="E1487" i="55"/>
  <c r="F1696" i="55"/>
  <c r="D399" i="55"/>
  <c r="D325" i="55"/>
  <c r="D2731" i="55"/>
  <c r="E79" i="55"/>
  <c r="D2854" i="55"/>
  <c r="D1356" i="55"/>
  <c r="D1361" i="55"/>
  <c r="F1529" i="55"/>
  <c r="F1575" i="55"/>
  <c r="D2391" i="55"/>
  <c r="D2608" i="55"/>
  <c r="D1372" i="55"/>
  <c r="F1523" i="55"/>
  <c r="D2388" i="55"/>
  <c r="D92" i="8"/>
  <c r="D1371" i="55"/>
  <c r="F1852" i="55"/>
  <c r="D1362" i="55"/>
  <c r="F1627" i="55"/>
  <c r="D2851" i="55"/>
  <c r="E50" i="52"/>
  <c r="E2134" i="55" s="1"/>
  <c r="D1358" i="55"/>
  <c r="D1360" i="55"/>
  <c r="F1783" i="55"/>
  <c r="D2145" i="55"/>
  <c r="E1331" i="55"/>
  <c r="D355" i="55"/>
  <c r="D1368" i="55"/>
  <c r="F1731" i="55"/>
  <c r="D2390" i="55"/>
  <c r="E59" i="52"/>
  <c r="D339" i="55"/>
  <c r="D1359" i="55"/>
  <c r="D2853" i="55"/>
  <c r="D2610" i="55"/>
  <c r="F1679" i="55"/>
  <c r="D2609" i="55"/>
  <c r="E30" i="52"/>
  <c r="E2821" i="55" s="1"/>
  <c r="D2146" i="55"/>
  <c r="D305" i="55"/>
  <c r="D314" i="55"/>
  <c r="D1365" i="55"/>
  <c r="D2268" i="55"/>
  <c r="D2607" i="55"/>
  <c r="D392" i="55"/>
  <c r="D1369" i="55"/>
  <c r="D254" i="55"/>
  <c r="D348" i="55"/>
  <c r="E2837" i="55"/>
  <c r="E2130" i="55"/>
  <c r="E2374" i="55"/>
  <c r="E2715" i="55"/>
  <c r="E2252" i="55"/>
  <c r="E1075" i="55"/>
  <c r="E1093" i="55"/>
  <c r="F1932" i="55"/>
  <c r="F1568" i="55"/>
  <c r="F1828" i="55"/>
  <c r="F1620" i="55"/>
  <c r="F1724" i="55"/>
  <c r="F1880" i="55"/>
  <c r="F1672" i="55"/>
  <c r="F1516" i="55"/>
  <c r="D240" i="55"/>
  <c r="D118" i="55"/>
  <c r="E3171" i="55"/>
  <c r="E3155" i="55"/>
  <c r="E3159" i="55"/>
  <c r="E3163" i="55"/>
  <c r="E1301" i="55"/>
  <c r="E1308" i="55"/>
  <c r="E1280" i="55"/>
  <c r="E1294" i="55"/>
  <c r="E1287" i="55"/>
  <c r="E1273" i="55"/>
  <c r="F1926" i="55"/>
  <c r="F1822" i="55"/>
  <c r="F1614" i="55"/>
  <c r="F1718" i="55"/>
  <c r="F1510" i="55"/>
  <c r="F1666" i="55"/>
  <c r="F1874" i="55"/>
  <c r="F1770" i="55"/>
  <c r="F1562" i="55"/>
  <c r="L99" i="23"/>
  <c r="L106" i="23"/>
  <c r="L104" i="23"/>
  <c r="L101" i="23"/>
  <c r="L100" i="23"/>
  <c r="L105" i="23"/>
  <c r="L97" i="23"/>
  <c r="L98" i="23"/>
  <c r="L96" i="23"/>
  <c r="L102" i="23"/>
  <c r="L103" i="23"/>
  <c r="T134" i="47"/>
  <c r="T139" i="47" s="1"/>
  <c r="H1834" i="55"/>
  <c r="T45" i="47"/>
  <c r="H1836" i="55" s="1"/>
  <c r="C1907" i="55"/>
  <c r="C1652" i="55"/>
  <c r="C1662" i="55"/>
  <c r="C1535" i="55"/>
  <c r="C1880" i="55"/>
  <c r="C1938" i="55"/>
  <c r="C1850" i="55"/>
  <c r="C1614" i="55"/>
  <c r="C1825" i="55"/>
  <c r="C1750" i="55"/>
  <c r="C1564" i="55"/>
  <c r="C1738" i="55"/>
  <c r="C1616" i="55"/>
  <c r="C1994" i="55"/>
  <c r="C1659" i="55"/>
  <c r="C1961" i="55"/>
  <c r="C2001" i="55"/>
  <c r="C1675" i="55"/>
  <c r="C1513" i="55"/>
  <c r="C1633" i="55"/>
  <c r="C1694" i="55"/>
  <c r="C1936" i="55"/>
  <c r="C1944" i="55"/>
  <c r="C1687" i="55"/>
  <c r="C1815" i="55"/>
  <c r="C1791" i="55"/>
  <c r="C1504" i="55"/>
  <c r="C1932" i="55"/>
  <c r="C1646" i="55"/>
  <c r="C1914" i="55"/>
  <c r="C1524" i="55"/>
  <c r="C1916" i="55"/>
  <c r="C1997" i="55"/>
  <c r="C1672" i="55"/>
  <c r="C1793" i="55"/>
  <c r="C1884" i="55"/>
  <c r="C1746" i="55"/>
  <c r="C1766" i="55"/>
  <c r="C1811" i="55"/>
  <c r="C1637" i="55"/>
  <c r="C1681" i="55"/>
  <c r="C1558" i="55"/>
  <c r="C1512" i="55"/>
  <c r="C1751" i="55"/>
  <c r="C1951" i="55"/>
  <c r="C1801" i="55"/>
  <c r="C1608" i="55"/>
  <c r="C1520" i="55"/>
  <c r="C1649" i="55"/>
  <c r="C1503" i="55"/>
  <c r="C1795" i="55"/>
  <c r="C1587" i="55"/>
  <c r="C1699" i="55"/>
  <c r="C1772" i="55"/>
  <c r="C1842" i="55"/>
  <c r="C1972" i="55"/>
  <c r="C1617" i="55"/>
  <c r="C1665" i="55"/>
  <c r="C1668" i="55"/>
  <c r="C1837" i="55"/>
  <c r="C1941" i="55"/>
  <c r="C1959" i="55"/>
  <c r="C1875" i="55"/>
  <c r="C1739" i="55"/>
  <c r="C1620" i="55"/>
  <c r="C1533" i="55"/>
  <c r="C1507" i="55"/>
  <c r="C1562" i="55"/>
  <c r="C1731" i="55"/>
  <c r="C1831" i="55"/>
  <c r="C2005" i="55"/>
  <c r="C1763" i="55"/>
  <c r="C1697" i="55"/>
  <c r="C1897" i="55"/>
  <c r="C1963" i="55"/>
  <c r="C1978" i="55"/>
  <c r="C1689" i="55"/>
  <c r="C1812" i="55"/>
  <c r="C1816" i="55"/>
  <c r="C1845" i="55"/>
  <c r="C1722" i="55"/>
  <c r="C1574" i="55"/>
  <c r="C1995" i="55"/>
  <c r="C1514" i="55"/>
  <c r="C1686" i="55"/>
  <c r="C1748" i="55"/>
  <c r="C1521" i="55"/>
  <c r="C1922" i="55"/>
  <c r="C1671" i="55"/>
  <c r="C1964" i="55"/>
  <c r="C1887" i="55"/>
  <c r="C1890" i="55"/>
  <c r="C1790" i="55"/>
  <c r="C1582" i="55"/>
  <c r="C1571" i="55"/>
  <c r="C1625" i="55"/>
  <c r="C1634" i="55"/>
  <c r="C1755" i="55"/>
  <c r="C1962" i="55"/>
  <c r="C1516" i="55"/>
  <c r="C1833" i="55"/>
  <c r="C1656" i="55"/>
  <c r="C1760" i="55"/>
  <c r="C1515" i="55"/>
  <c r="C1895" i="55"/>
  <c r="C1969" i="55"/>
  <c r="C1647" i="55"/>
  <c r="C1712" i="55"/>
  <c r="C1505" i="55"/>
  <c r="C1500" i="55"/>
  <c r="C1635" i="55"/>
  <c r="C1834" i="55"/>
  <c r="C1874" i="55"/>
  <c r="C1528" i="55"/>
  <c r="C1758" i="55"/>
  <c r="C2007" i="55"/>
  <c r="C1518" i="55"/>
  <c r="C1583" i="55"/>
  <c r="C1925" i="55"/>
  <c r="C1771" i="55"/>
  <c r="C1838" i="55"/>
  <c r="C1974" i="55"/>
  <c r="C1704" i="55"/>
  <c r="C1610" i="55"/>
  <c r="C1782" i="55"/>
  <c r="C1572" i="55"/>
  <c r="C1552" i="55"/>
  <c r="C1864" i="55"/>
  <c r="C1618" i="55"/>
  <c r="C1565" i="55"/>
  <c r="C1827" i="55"/>
  <c r="C1619" i="55"/>
  <c r="C1548" i="55"/>
  <c r="C1886" i="55"/>
  <c r="C1917" i="55"/>
  <c r="C1781" i="55"/>
  <c r="C1839" i="55"/>
  <c r="C1607" i="55"/>
  <c r="C1522" i="55"/>
  <c r="C1840" i="55"/>
  <c r="C1857" i="55"/>
  <c r="C1655" i="55"/>
  <c r="C1860" i="55"/>
  <c r="C1734" i="55"/>
  <c r="C2002" i="55"/>
  <c r="C1882" i="55"/>
  <c r="C1527" i="55"/>
  <c r="C1683" i="55"/>
  <c r="C1595" i="55"/>
  <c r="C1578" i="55"/>
  <c r="C1780" i="55"/>
  <c r="C1580" i="55"/>
  <c r="C1754" i="55"/>
  <c r="C1993" i="55"/>
  <c r="C1632" i="55"/>
  <c r="C1761" i="55"/>
  <c r="C1891" i="55"/>
  <c r="C1773" i="55"/>
  <c r="C1823" i="55"/>
  <c r="C1776" i="55"/>
  <c r="C1676" i="55"/>
  <c r="C1807" i="55"/>
  <c r="C1735" i="55"/>
  <c r="C1691" i="55"/>
  <c r="C2924" i="55"/>
  <c r="C1605" i="55"/>
  <c r="C1883" i="55"/>
  <c r="C1800" i="55"/>
  <c r="C2008" i="55"/>
  <c r="C1928" i="55"/>
  <c r="C1855" i="55"/>
  <c r="C2009" i="55"/>
  <c r="C1985" i="55"/>
  <c r="C1879" i="55"/>
  <c r="C1650" i="55"/>
  <c r="C1545" i="55"/>
  <c r="C1642" i="55"/>
  <c r="C1870" i="55"/>
  <c r="C1629" i="55"/>
  <c r="C1736" i="55"/>
  <c r="C1576" i="55"/>
  <c r="C1726" i="55"/>
  <c r="C1506" i="55"/>
  <c r="C1987" i="55"/>
  <c r="C1709" i="55"/>
  <c r="C1764" i="55"/>
  <c r="C1899" i="55"/>
  <c r="C1651" i="55"/>
  <c r="C1644" i="55"/>
  <c r="C1546" i="55"/>
  <c r="C1826" i="55"/>
  <c r="C1785" i="55"/>
  <c r="C2927" i="55"/>
  <c r="C1813" i="55"/>
  <c r="C1654" i="55"/>
  <c r="C1905" i="55"/>
  <c r="C1779" i="55"/>
  <c r="C1732" i="55"/>
  <c r="C1669" i="55"/>
  <c r="C1910" i="55"/>
  <c r="C1983" i="55"/>
  <c r="C1553" i="55"/>
  <c r="C1708" i="55"/>
  <c r="C1630" i="55"/>
  <c r="C1888" i="55"/>
  <c r="C1759" i="55"/>
  <c r="C1863" i="55"/>
  <c r="C1867" i="55"/>
  <c r="C1930" i="55"/>
  <c r="C1706" i="55"/>
  <c r="C1992" i="55"/>
  <c r="C1931" i="55"/>
  <c r="C1674" i="55"/>
  <c r="C1501" i="55"/>
  <c r="C1942" i="55"/>
  <c r="C1996" i="55"/>
  <c r="C1551" i="55"/>
  <c r="C1788" i="55"/>
  <c r="C1737" i="55"/>
  <c r="C1774" i="55"/>
  <c r="C1939" i="55"/>
  <c r="C1519" i="55"/>
  <c r="C1956" i="55"/>
  <c r="C1906" i="55"/>
  <c r="C1526" i="55"/>
  <c r="C1568" i="55"/>
  <c r="C1980" i="55"/>
  <c r="C1946" i="55"/>
  <c r="C1592" i="55"/>
  <c r="C2000" i="55"/>
  <c r="C1919" i="55"/>
  <c r="C1885" i="55"/>
  <c r="C1753" i="55"/>
  <c r="C1958" i="55"/>
  <c r="C1805" i="55"/>
  <c r="C1510" i="55"/>
  <c r="C1802" i="55"/>
  <c r="C1623" i="55"/>
  <c r="C1971" i="55"/>
  <c r="C1707" i="55"/>
  <c r="C1806" i="55"/>
  <c r="C3226" i="55"/>
  <c r="C1685" i="55"/>
  <c r="C1947" i="55"/>
  <c r="C1723" i="55"/>
  <c r="C1927" i="55"/>
  <c r="C1645" i="55"/>
  <c r="C1786" i="55"/>
  <c r="C1937" i="55"/>
  <c r="C1555" i="55"/>
  <c r="C1538" i="55"/>
  <c r="C2006" i="55"/>
  <c r="C1542" i="55"/>
  <c r="C1680" i="55"/>
  <c r="C1566" i="55"/>
  <c r="C1957" i="55"/>
  <c r="C1832" i="55"/>
  <c r="C2925" i="55"/>
  <c r="C1597" i="55"/>
  <c r="C1729" i="55"/>
  <c r="C1556" i="55"/>
  <c r="C1730" i="55"/>
  <c r="C1904" i="55"/>
  <c r="C1670" i="55"/>
  <c r="C25" i="4"/>
  <c r="C1657" i="55"/>
  <c r="C1787" i="55"/>
  <c r="C1853" i="55"/>
  <c r="C3224" i="55"/>
  <c r="C1627" i="55"/>
  <c r="C2003" i="55"/>
  <c r="C1579" i="55"/>
  <c r="C1954" i="55"/>
  <c r="C1893" i="55"/>
  <c r="C1920" i="55"/>
  <c r="C1631" i="55"/>
  <c r="C1770" i="55"/>
  <c r="C1502" i="55"/>
  <c r="C1988" i="55"/>
  <c r="C1847" i="55"/>
  <c r="C1989" i="55"/>
  <c r="C1603" i="55"/>
  <c r="C1889" i="55"/>
  <c r="C1530" i="55"/>
  <c r="C1821" i="55"/>
  <c r="C1679" i="55"/>
  <c r="C1577" i="55"/>
  <c r="C1721" i="55"/>
  <c r="C1828" i="55"/>
  <c r="C1677" i="55"/>
  <c r="C1841" i="55"/>
  <c r="C1570" i="55"/>
  <c r="C1968" i="55"/>
  <c r="C1728" i="55"/>
  <c r="C1523" i="55"/>
  <c r="C1600" i="55"/>
  <c r="C1926" i="55"/>
  <c r="C1581" i="55"/>
  <c r="C1943" i="55"/>
  <c r="C1667" i="55"/>
  <c r="C1990" i="55"/>
  <c r="C1561" i="55"/>
  <c r="C1541" i="55"/>
  <c r="C1949" i="55"/>
  <c r="C1529" i="55"/>
  <c r="C1979" i="55"/>
  <c r="C1830" i="55"/>
  <c r="C1984" i="55"/>
  <c r="C1876" i="55"/>
  <c r="C1727" i="55"/>
  <c r="C1859" i="55"/>
  <c r="C1622" i="55"/>
  <c r="C1912" i="55"/>
  <c r="C1703" i="55"/>
  <c r="C1724" i="55"/>
  <c r="C1585" i="55"/>
  <c r="C1615" i="55"/>
  <c r="C1894" i="55"/>
  <c r="C1540" i="55"/>
  <c r="C1684" i="55"/>
  <c r="C1967" i="55"/>
  <c r="C1789" i="55"/>
  <c r="C1810" i="55"/>
  <c r="C1836" i="55"/>
  <c r="C1718" i="55"/>
  <c r="C1854" i="55"/>
  <c r="C1698" i="55"/>
  <c r="C1696" i="55"/>
  <c r="C1892" i="55"/>
  <c r="C1873" i="55"/>
  <c r="C1822" i="55"/>
  <c r="C1599" i="55"/>
  <c r="C1743" i="55"/>
  <c r="C1711" i="55"/>
  <c r="C1902" i="55"/>
  <c r="C1986" i="55"/>
  <c r="C1982" i="55"/>
  <c r="C1547" i="55"/>
  <c r="C1862" i="55"/>
  <c r="C1858" i="55"/>
  <c r="C1843" i="55"/>
  <c r="C1778" i="55"/>
  <c r="C1783" i="55"/>
  <c r="C1818" i="55"/>
  <c r="C1575" i="55"/>
  <c r="F1122" i="55"/>
  <c r="F1119" i="55"/>
  <c r="F1118" i="55"/>
  <c r="F1120" i="55"/>
  <c r="E1109" i="55"/>
  <c r="E1104" i="55"/>
  <c r="E1114" i="55"/>
  <c r="E1129" i="55"/>
  <c r="EC19" i="13"/>
  <c r="BK19" i="13"/>
  <c r="M19" i="13"/>
  <c r="CE19" i="13"/>
  <c r="DS19" i="13"/>
  <c r="AG19" i="13"/>
  <c r="W19" i="13"/>
  <c r="DI19" i="13"/>
  <c r="CO19" i="13"/>
  <c r="AQ19" i="13"/>
  <c r="BA19" i="13"/>
  <c r="EM19" i="13"/>
  <c r="BU19" i="13"/>
  <c r="CY19" i="13"/>
  <c r="C1590" i="55"/>
  <c r="D2515" i="55"/>
  <c r="D2507" i="55"/>
  <c r="G173" i="24"/>
  <c r="G248" i="24"/>
  <c r="G147" i="24"/>
  <c r="G49" i="24"/>
  <c r="G199" i="24"/>
  <c r="F3052" i="55" s="1"/>
  <c r="G129" i="24"/>
  <c r="F1278" i="55" s="1"/>
  <c r="G89" i="24"/>
  <c r="G216" i="24"/>
  <c r="F1438" i="55" s="1"/>
  <c r="G12" i="24"/>
  <c r="G233" i="24"/>
  <c r="F1458" i="55" s="1"/>
  <c r="G31" i="24"/>
  <c r="G107" i="24"/>
  <c r="F1241" i="55" s="1"/>
  <c r="G70" i="24"/>
  <c r="G189" i="24"/>
  <c r="F1890" i="55"/>
  <c r="F1734" i="55"/>
  <c r="F1578" i="55"/>
  <c r="F1786" i="55"/>
  <c r="F1838" i="55"/>
  <c r="F1942" i="55"/>
  <c r="F1682" i="55"/>
  <c r="F1526" i="55"/>
  <c r="F1630" i="55"/>
  <c r="D1134" i="55"/>
  <c r="D1136" i="55"/>
  <c r="D1158" i="55"/>
  <c r="D1162" i="55"/>
  <c r="D1159" i="55"/>
  <c r="D2995" i="55"/>
  <c r="D1163" i="55"/>
  <c r="D1160" i="55"/>
  <c r="D3000" i="55"/>
  <c r="D1137" i="55"/>
  <c r="D1154" i="55"/>
  <c r="D1149" i="55"/>
  <c r="D2996" i="55"/>
  <c r="D1140" i="55"/>
  <c r="D1153" i="55"/>
  <c r="D1135" i="55"/>
  <c r="D1150" i="55"/>
  <c r="D1167" i="55"/>
  <c r="D2999" i="55"/>
  <c r="D1164" i="55"/>
  <c r="D1152" i="55"/>
  <c r="D1147" i="55"/>
  <c r="D2997" i="55"/>
  <c r="D1145" i="55"/>
  <c r="D2998" i="55"/>
  <c r="D1144" i="55"/>
  <c r="D1168" i="55"/>
  <c r="D1139" i="55"/>
  <c r="D1157" i="55"/>
  <c r="D1151" i="55"/>
  <c r="D1138" i="55"/>
  <c r="D1156" i="55"/>
  <c r="D1133" i="55"/>
  <c r="D1142" i="55"/>
  <c r="D1146" i="55"/>
  <c r="D1141" i="55"/>
  <c r="D1166" i="55"/>
  <c r="D1161" i="55"/>
  <c r="H1738" i="55"/>
  <c r="N35" i="47"/>
  <c r="F81" i="55"/>
  <c r="D1165" i="55"/>
  <c r="L50" i="24"/>
  <c r="L13" i="24"/>
  <c r="L32" i="24"/>
  <c r="F1126" i="55" s="1"/>
  <c r="L174" i="24"/>
  <c r="L90" i="24"/>
  <c r="F1226" i="55" s="1"/>
  <c r="L217" i="24"/>
  <c r="L108" i="24"/>
  <c r="L148" i="24"/>
  <c r="F1343" i="55" s="1"/>
  <c r="L190" i="24"/>
  <c r="L200" i="24"/>
  <c r="L249" i="24"/>
  <c r="F1491" i="55" s="1"/>
  <c r="B35" i="24"/>
  <c r="B17" i="24"/>
  <c r="E1088" i="55" s="1"/>
  <c r="E1153" i="55"/>
  <c r="E1147" i="55"/>
  <c r="E1141" i="55"/>
  <c r="E1165" i="55"/>
  <c r="E1159" i="55"/>
  <c r="E1135" i="55"/>
  <c r="D992" i="55"/>
  <c r="D993" i="55"/>
  <c r="D994" i="55"/>
  <c r="E2032" i="55"/>
  <c r="E2057" i="55"/>
  <c r="E2476" i="55"/>
  <c r="E2493" i="55"/>
  <c r="E2477" i="55"/>
  <c r="E2487" i="55"/>
  <c r="E2481" i="55"/>
  <c r="E2492" i="55"/>
  <c r="E2475" i="55"/>
  <c r="E2482" i="55"/>
  <c r="E2485" i="55"/>
  <c r="E2486" i="55"/>
  <c r="E2479" i="55"/>
  <c r="E2474" i="55"/>
  <c r="E2484" i="55"/>
  <c r="E2480" i="55"/>
  <c r="E2490" i="55"/>
  <c r="E2488" i="55"/>
  <c r="E2472" i="55"/>
  <c r="E2489" i="55"/>
  <c r="E2491" i="55"/>
  <c r="E2478" i="55"/>
  <c r="E2483" i="55"/>
  <c r="E2473" i="55"/>
  <c r="K5" i="49"/>
  <c r="K112" i="49"/>
  <c r="K86" i="49"/>
  <c r="H1546" i="55"/>
  <c r="F75" i="47"/>
  <c r="D132" i="63"/>
  <c r="DS87" i="63"/>
  <c r="C1981" i="55"/>
  <c r="L71" i="24"/>
  <c r="F1196" i="55" s="1"/>
  <c r="F1776" i="55"/>
  <c r="E88" i="52"/>
  <c r="E80" i="52"/>
  <c r="E2745" i="55" s="1"/>
  <c r="E96" i="52"/>
  <c r="E104" i="52"/>
  <c r="E2769" i="55" s="1"/>
  <c r="E91" i="52"/>
  <c r="E2634" i="55" s="1"/>
  <c r="E83" i="52"/>
  <c r="E75" i="52"/>
  <c r="E99" i="52"/>
  <c r="D2699" i="55"/>
  <c r="D2819" i="55"/>
  <c r="D2114" i="55"/>
  <c r="D2112" i="55"/>
  <c r="D2234" i="55"/>
  <c r="D2113" i="55"/>
  <c r="D2115" i="55"/>
  <c r="D2356" i="55"/>
  <c r="D2237" i="55"/>
  <c r="D2358" i="55"/>
  <c r="D2575" i="55"/>
  <c r="D2236" i="55"/>
  <c r="D2578" i="55"/>
  <c r="D2577" i="55"/>
  <c r="D2357" i="55"/>
  <c r="D2700" i="55"/>
  <c r="D2697" i="55"/>
  <c r="D2359" i="55"/>
  <c r="D2821" i="55"/>
  <c r="D2698" i="55"/>
  <c r="D2235" i="55"/>
  <c r="D2576" i="55"/>
  <c r="D2820" i="55"/>
  <c r="F1722" i="55"/>
  <c r="F1514" i="55"/>
  <c r="F1618" i="55"/>
  <c r="F1930" i="55"/>
  <c r="F1826" i="55"/>
  <c r="F1774" i="55"/>
  <c r="F1670" i="55"/>
  <c r="E1206" i="55"/>
  <c r="E1231" i="55"/>
  <c r="E1216" i="55"/>
  <c r="E1226" i="55"/>
  <c r="CO22" i="13"/>
  <c r="DS22" i="13"/>
  <c r="DI22" i="13"/>
  <c r="AG22" i="13"/>
  <c r="EC22" i="13"/>
  <c r="BA22" i="13"/>
  <c r="BU22" i="13"/>
  <c r="AQ22" i="13"/>
  <c r="EM22" i="13"/>
  <c r="H1657" i="55"/>
  <c r="J84" i="47"/>
  <c r="D2822" i="55"/>
  <c r="DS111" i="63"/>
  <c r="D1148" i="55"/>
  <c r="C1865" i="55"/>
  <c r="E2264" i="55"/>
  <c r="E2727" i="55"/>
  <c r="E2386" i="55"/>
  <c r="E2849" i="55"/>
  <c r="E2156" i="55"/>
  <c r="E2619" i="55"/>
  <c r="E2278" i="55"/>
  <c r="E2863" i="55"/>
  <c r="D111" i="63"/>
  <c r="F43" i="55"/>
  <c r="F122" i="55"/>
  <c r="F24" i="55"/>
  <c r="F47" i="55"/>
  <c r="F20" i="55"/>
  <c r="F129" i="55"/>
  <c r="F77" i="55"/>
  <c r="F22" i="55"/>
  <c r="F80" i="55"/>
  <c r="F106" i="55"/>
  <c r="F13" i="55"/>
  <c r="F85" i="55"/>
  <c r="C1915" i="55"/>
  <c r="C1945" i="55"/>
  <c r="D1143" i="55"/>
  <c r="E1989" i="55"/>
  <c r="C1934" i="55"/>
  <c r="D7669" i="55"/>
  <c r="D752" i="55"/>
  <c r="D809" i="55"/>
  <c r="D792" i="55"/>
  <c r="D775" i="55"/>
  <c r="D2977" i="55"/>
  <c r="D829" i="55"/>
  <c r="D767" i="55"/>
  <c r="D743" i="55"/>
  <c r="D787" i="55"/>
  <c r="F1435" i="55"/>
  <c r="F1138" i="55"/>
  <c r="F1356" i="55"/>
  <c r="F1172" i="55"/>
  <c r="F1319" i="55"/>
  <c r="F1626" i="55"/>
  <c r="F1571" i="55"/>
  <c r="E1843" i="55"/>
  <c r="E1854" i="55"/>
  <c r="E2515" i="55"/>
  <c r="E2512" i="55"/>
  <c r="F2105" i="55"/>
  <c r="F2198" i="55"/>
  <c r="F2145" i="55"/>
  <c r="F2173" i="55"/>
  <c r="E84" i="52"/>
  <c r="D86" i="63"/>
  <c r="F2230" i="55"/>
  <c r="D1349" i="55"/>
  <c r="CB20" i="13"/>
  <c r="B139" i="24"/>
  <c r="E1452" i="55"/>
  <c r="E1472" i="55"/>
  <c r="D830" i="55"/>
  <c r="D739" i="55"/>
  <c r="D807" i="55"/>
  <c r="D778" i="55"/>
  <c r="D803" i="55"/>
  <c r="D851" i="55"/>
  <c r="D735" i="55"/>
  <c r="D789" i="55"/>
  <c r="D858" i="55"/>
  <c r="D802" i="55"/>
  <c r="F1208" i="55"/>
  <c r="F1386" i="55"/>
  <c r="F1478" i="55"/>
  <c r="F1388" i="55"/>
  <c r="F1205" i="55"/>
  <c r="F1678" i="55"/>
  <c r="F1623" i="55"/>
  <c r="D108" i="55"/>
  <c r="E1837" i="55"/>
  <c r="E2507" i="55"/>
  <c r="E2497" i="55"/>
  <c r="F2172" i="55"/>
  <c r="F2162" i="55"/>
  <c r="F2211" i="55"/>
  <c r="F2103" i="55"/>
  <c r="E1184" i="55"/>
  <c r="D1325" i="55"/>
  <c r="F2664" i="55"/>
  <c r="F2267" i="55"/>
  <c r="D3040" i="55"/>
  <c r="D1344" i="55"/>
  <c r="D1326" i="55"/>
  <c r="D3037" i="55"/>
  <c r="D3044" i="55"/>
  <c r="D3038" i="55"/>
  <c r="D3042" i="55"/>
  <c r="D1347" i="55"/>
  <c r="D1318" i="55"/>
  <c r="D3036" i="55"/>
  <c r="D1350" i="55"/>
  <c r="D1337" i="55"/>
  <c r="D3031" i="55"/>
  <c r="D3045" i="55"/>
  <c r="D1354" i="55"/>
  <c r="D3035" i="55"/>
  <c r="D1330" i="55"/>
  <c r="D1327" i="55"/>
  <c r="D3041" i="55"/>
  <c r="D1343" i="55"/>
  <c r="D1313" i="55"/>
  <c r="D1351" i="55"/>
  <c r="D1319" i="55"/>
  <c r="D1331" i="55"/>
  <c r="D1324" i="55"/>
  <c r="D3047" i="55"/>
  <c r="D3046" i="55"/>
  <c r="D1342" i="55"/>
  <c r="D1317" i="55"/>
  <c r="D3043" i="55"/>
  <c r="D1341" i="55"/>
  <c r="D1345" i="55"/>
  <c r="D1336" i="55"/>
  <c r="D1340" i="55"/>
  <c r="D1314" i="55"/>
  <c r="D1320" i="55"/>
  <c r="D1339" i="55"/>
  <c r="D1315" i="55"/>
  <c r="D3048" i="55"/>
  <c r="D799" i="55"/>
  <c r="D873" i="55"/>
  <c r="D2978" i="55"/>
  <c r="D2973" i="55"/>
  <c r="D855" i="55"/>
  <c r="D751" i="55"/>
  <c r="D833" i="55"/>
  <c r="D766" i="55"/>
  <c r="D750" i="55"/>
  <c r="D730" i="55"/>
  <c r="F1171" i="55"/>
  <c r="F1135" i="55"/>
  <c r="F1272" i="55"/>
  <c r="F1451" i="55"/>
  <c r="F1239" i="55"/>
  <c r="F1782" i="55"/>
  <c r="F1519" i="55"/>
  <c r="D231" i="55"/>
  <c r="C106" i="47"/>
  <c r="F1991" i="55" s="1"/>
  <c r="E2503" i="55"/>
  <c r="E2509" i="55"/>
  <c r="F2125" i="55"/>
  <c r="F2199" i="55"/>
  <c r="F2164" i="55"/>
  <c r="F2122" i="55"/>
  <c r="E1172" i="55"/>
  <c r="D1335" i="55"/>
  <c r="D1322" i="55"/>
  <c r="F2604" i="55"/>
  <c r="E1269" i="55"/>
  <c r="D1346" i="55"/>
  <c r="F2636" i="55"/>
  <c r="C2070" i="55"/>
  <c r="C2087" i="55"/>
  <c r="C2049" i="55"/>
  <c r="C2088" i="55"/>
  <c r="C2069" i="55"/>
  <c r="C2051" i="55"/>
  <c r="C2053" i="55"/>
  <c r="C2028" i="55"/>
  <c r="C2030" i="55"/>
  <c r="C2063" i="55"/>
  <c r="C2060" i="55"/>
  <c r="C2056" i="55"/>
  <c r="C2065" i="55"/>
  <c r="C2057" i="55"/>
  <c r="C2078" i="55"/>
  <c r="C2042" i="55"/>
  <c r="C2048" i="55"/>
  <c r="C2037" i="55"/>
  <c r="C2054" i="55"/>
  <c r="C2074" i="55"/>
  <c r="C2085" i="55"/>
  <c r="C2055" i="55"/>
  <c r="C2033" i="55"/>
  <c r="C2058" i="55"/>
  <c r="C2032" i="55"/>
  <c r="C2081" i="55"/>
  <c r="D2180" i="55"/>
  <c r="D2424" i="55"/>
  <c r="D2331" i="55"/>
  <c r="D2209" i="55"/>
  <c r="D2794" i="55"/>
  <c r="F1775" i="55"/>
  <c r="F1931" i="55"/>
  <c r="F1619" i="55"/>
  <c r="F1827" i="55"/>
  <c r="F72" i="63"/>
  <c r="AH72" i="63"/>
  <c r="AH161" i="63"/>
  <c r="AH116" i="63"/>
  <c r="F161" i="63"/>
  <c r="G122" i="62"/>
  <c r="E7569" i="55" s="1"/>
  <c r="CM116" i="63"/>
  <c r="G79" i="62"/>
  <c r="F116" i="63"/>
  <c r="CM72" i="63"/>
  <c r="D835" i="55"/>
  <c r="D756" i="55"/>
  <c r="D813" i="55"/>
  <c r="D812" i="55"/>
  <c r="D738" i="55"/>
  <c r="D758" i="55"/>
  <c r="D849" i="55"/>
  <c r="D823" i="55"/>
  <c r="D726" i="55"/>
  <c r="D759" i="55"/>
  <c r="D2971" i="55"/>
  <c r="F1314" i="55"/>
  <c r="F1357" i="55"/>
  <c r="F1275" i="55"/>
  <c r="F1453" i="55"/>
  <c r="F1105" i="55"/>
  <c r="F1886" i="55"/>
  <c r="F1883" i="55"/>
  <c r="D110" i="55"/>
  <c r="E1860" i="55"/>
  <c r="E1836" i="55"/>
  <c r="F1723" i="55"/>
  <c r="E2502" i="55"/>
  <c r="E2508" i="55"/>
  <c r="F2205" i="55"/>
  <c r="F2110" i="55"/>
  <c r="F2170" i="55"/>
  <c r="F2195" i="55"/>
  <c r="J30" i="47"/>
  <c r="H1618" i="55" s="1"/>
  <c r="D3032" i="55"/>
  <c r="D1338" i="55"/>
  <c r="F2588" i="55"/>
  <c r="F2118" i="55"/>
  <c r="E1341" i="55"/>
  <c r="E1334" i="55"/>
  <c r="E1313" i="55"/>
  <c r="E1327" i="55"/>
  <c r="E1348" i="55"/>
  <c r="E1245" i="55"/>
  <c r="E1251" i="55"/>
  <c r="E1263" i="55"/>
  <c r="E1257" i="55"/>
  <c r="F1761" i="55"/>
  <c r="F1605" i="55"/>
  <c r="F1865" i="55"/>
  <c r="F1553" i="55"/>
  <c r="F1813" i="55"/>
  <c r="F1709" i="55"/>
  <c r="F1917" i="55"/>
  <c r="F2670" i="55"/>
  <c r="F2653" i="55"/>
  <c r="F2622" i="55"/>
  <c r="F2607" i="55"/>
  <c r="F2603" i="55"/>
  <c r="F2672" i="55"/>
  <c r="F2608" i="55"/>
  <c r="F2598" i="55"/>
  <c r="F2572" i="55"/>
  <c r="F2629" i="55"/>
  <c r="F2570" i="55"/>
  <c r="F2577" i="55"/>
  <c r="F2612" i="55"/>
  <c r="F2585" i="55"/>
  <c r="F2587" i="55"/>
  <c r="F2649" i="55"/>
  <c r="F2581" i="55"/>
  <c r="F2592" i="55"/>
  <c r="F2627" i="55"/>
  <c r="F2619" i="55"/>
  <c r="F2561" i="55"/>
  <c r="F2576" i="55"/>
  <c r="F2647" i="55"/>
  <c r="F2677" i="55"/>
  <c r="F2600" i="55"/>
  <c r="F2676" i="55"/>
  <c r="F2582" i="55"/>
  <c r="F2621" i="55"/>
  <c r="F2562" i="55"/>
  <c r="F2643" i="55"/>
  <c r="F2674" i="55"/>
  <c r="F2614" i="55"/>
  <c r="F2654" i="55"/>
  <c r="F2659" i="55"/>
  <c r="F2618" i="55"/>
  <c r="F2637" i="55"/>
  <c r="F2631" i="55"/>
  <c r="F2567" i="55"/>
  <c r="F2651" i="55"/>
  <c r="F2596" i="55"/>
  <c r="F2662" i="55"/>
  <c r="F2602" i="55"/>
  <c r="F2566" i="55"/>
  <c r="F2634" i="55"/>
  <c r="F2626" i="55"/>
  <c r="F2623" i="55"/>
  <c r="F2571" i="55"/>
  <c r="F2633" i="55"/>
  <c r="F2645" i="55"/>
  <c r="F2635" i="55"/>
  <c r="F2657" i="55"/>
  <c r="F2642" i="55"/>
  <c r="F2620" i="55"/>
  <c r="F2630" i="55"/>
  <c r="F2586" i="55"/>
  <c r="F2661" i="55"/>
  <c r="F2652" i="55"/>
  <c r="F2575" i="55"/>
  <c r="F2644" i="55"/>
  <c r="F2597" i="55"/>
  <c r="F2617" i="55"/>
  <c r="F2639" i="55"/>
  <c r="F2625" i="55"/>
  <c r="F2638" i="55"/>
  <c r="F2591" i="55"/>
  <c r="F2580" i="55"/>
  <c r="F2658" i="55"/>
  <c r="F2641" i="55"/>
  <c r="F2610" i="55"/>
  <c r="F2568" i="55"/>
  <c r="F2583" i="55"/>
  <c r="F2563" i="55"/>
  <c r="F2668" i="55"/>
  <c r="F2593" i="55"/>
  <c r="F2663" i="55"/>
  <c r="F2656" i="55"/>
  <c r="F2578" i="55"/>
  <c r="F2565" i="55"/>
  <c r="F2560" i="55"/>
  <c r="D2070" i="55"/>
  <c r="D2053" i="55"/>
  <c r="D2076" i="55"/>
  <c r="D2068" i="55"/>
  <c r="D7674" i="55"/>
  <c r="D776" i="55"/>
  <c r="D854" i="55"/>
  <c r="D2980" i="55"/>
  <c r="D816" i="55"/>
  <c r="D831" i="55"/>
  <c r="D721" i="55"/>
  <c r="D859" i="55"/>
  <c r="D850" i="55"/>
  <c r="D780" i="55"/>
  <c r="D7677" i="55"/>
  <c r="F1136" i="55"/>
  <c r="F1315" i="55"/>
  <c r="F1103" i="55"/>
  <c r="F1392" i="55"/>
  <c r="F1318" i="55"/>
  <c r="F1938" i="55"/>
  <c r="F1779" i="55"/>
  <c r="D109" i="55"/>
  <c r="E1855" i="55"/>
  <c r="E1858" i="55"/>
  <c r="F1671" i="55"/>
  <c r="E2504" i="55"/>
  <c r="E2513" i="55"/>
  <c r="B6" i="6"/>
  <c r="F2181" i="55"/>
  <c r="F2099" i="55"/>
  <c r="F2156" i="55"/>
  <c r="F2183" i="55"/>
  <c r="F2308" i="55"/>
  <c r="F2231" i="55"/>
  <c r="F2244" i="55"/>
  <c r="F2235" i="55"/>
  <c r="C2031" i="55"/>
  <c r="F2203" i="55"/>
  <c r="F2605" i="55"/>
  <c r="F2171" i="55"/>
  <c r="F1503" i="55"/>
  <c r="F1507" i="55"/>
  <c r="E1190" i="55"/>
  <c r="E1202" i="55"/>
  <c r="E1178" i="55"/>
  <c r="D790" i="55"/>
  <c r="F1389" i="55"/>
  <c r="F1240" i="55"/>
  <c r="F1276" i="55"/>
  <c r="F1935" i="55"/>
  <c r="D233" i="55"/>
  <c r="E1839" i="55"/>
  <c r="E1826" i="55"/>
  <c r="F1879" i="55"/>
  <c r="E2506" i="55"/>
  <c r="F2184" i="55"/>
  <c r="F2108" i="55"/>
  <c r="F2214" i="55"/>
  <c r="F2124" i="55"/>
  <c r="F2247" i="55"/>
  <c r="B97" i="23"/>
  <c r="F2239" i="55"/>
  <c r="F2245" i="55"/>
  <c r="F2311" i="55"/>
  <c r="C2029" i="55"/>
  <c r="F2141" i="55"/>
  <c r="F2590" i="55"/>
  <c r="J148" i="24"/>
  <c r="D826" i="55"/>
  <c r="D2972" i="55"/>
  <c r="D785" i="55"/>
  <c r="F1133" i="55"/>
  <c r="D815" i="55"/>
  <c r="D868" i="55"/>
  <c r="D821" i="55"/>
  <c r="D755" i="55"/>
  <c r="D774" i="55"/>
  <c r="D2974" i="55"/>
  <c r="D818" i="55"/>
  <c r="D769" i="55"/>
  <c r="D724" i="55"/>
  <c r="D7668" i="55"/>
  <c r="F1174" i="55"/>
  <c r="F1387" i="55"/>
  <c r="F1476" i="55"/>
  <c r="F1273" i="55"/>
  <c r="F1170" i="55"/>
  <c r="F1374" i="55"/>
  <c r="D232" i="55"/>
  <c r="E1853" i="55"/>
  <c r="E1840" i="55"/>
  <c r="F1567" i="55"/>
  <c r="E2505" i="55"/>
  <c r="F2113" i="55"/>
  <c r="F2190" i="55"/>
  <c r="F2158" i="55"/>
  <c r="F2107" i="55"/>
  <c r="F2254" i="55"/>
  <c r="F2303" i="55"/>
  <c r="D1334" i="55"/>
  <c r="C2091" i="55"/>
  <c r="F2144" i="55"/>
  <c r="F2609" i="55"/>
  <c r="D865" i="55"/>
  <c r="D744" i="55"/>
  <c r="D7672" i="55"/>
  <c r="F1477" i="55"/>
  <c r="D746" i="55"/>
  <c r="D731" i="55"/>
  <c r="D760" i="55"/>
  <c r="D736" i="55"/>
  <c r="D800" i="55"/>
  <c r="D728" i="55"/>
  <c r="D737" i="55"/>
  <c r="D846" i="55"/>
  <c r="D842" i="55"/>
  <c r="F1107" i="55"/>
  <c r="F1173" i="55"/>
  <c r="F1134" i="55"/>
  <c r="F1137" i="55"/>
  <c r="F1313" i="55"/>
  <c r="F1433" i="55"/>
  <c r="D111" i="55"/>
  <c r="E1825" i="55"/>
  <c r="E1867" i="55"/>
  <c r="E2498" i="55"/>
  <c r="E2496" i="55"/>
  <c r="F2146" i="55"/>
  <c r="F2104" i="55"/>
  <c r="F2151" i="55"/>
  <c r="F2193" i="55"/>
  <c r="F2134" i="55"/>
  <c r="F2315" i="55"/>
  <c r="D1328" i="55"/>
  <c r="C2076" i="55"/>
  <c r="D3039" i="55"/>
  <c r="F2212" i="55"/>
  <c r="F2675" i="55"/>
  <c r="J108" i="24"/>
  <c r="D824" i="55"/>
  <c r="D856" i="55"/>
  <c r="D747" i="55"/>
  <c r="F3021" i="55"/>
  <c r="F1454" i="55"/>
  <c r="D862" i="55"/>
  <c r="D848" i="55"/>
  <c r="E2424" i="55"/>
  <c r="F1475" i="55"/>
  <c r="F1106" i="55"/>
  <c r="F1355" i="55"/>
  <c r="F1271" i="55"/>
  <c r="F1104" i="55"/>
  <c r="F1209" i="55"/>
  <c r="E1845" i="55"/>
  <c r="E1850" i="55"/>
  <c r="E2501" i="55"/>
  <c r="E2500" i="55"/>
  <c r="F2127" i="55"/>
  <c r="F2098" i="55"/>
  <c r="F2137" i="55"/>
  <c r="F2147" i="55"/>
  <c r="F2112" i="55"/>
  <c r="D2672" i="55"/>
  <c r="D1329" i="55"/>
  <c r="C2034" i="55"/>
  <c r="D1352" i="55"/>
  <c r="F2628" i="55"/>
  <c r="J130" i="24"/>
  <c r="J13" i="24"/>
  <c r="J200" i="24"/>
  <c r="J174" i="24"/>
  <c r="J90" i="24"/>
  <c r="J190" i="24"/>
  <c r="J217" i="24"/>
  <c r="J71" i="24"/>
  <c r="J50" i="24"/>
  <c r="E1271" i="55"/>
  <c r="E1278" i="55"/>
  <c r="E1299" i="55"/>
  <c r="E1285" i="55"/>
  <c r="E1306" i="55"/>
  <c r="F2280" i="55"/>
  <c r="F2282" i="55"/>
  <c r="F2322" i="55"/>
  <c r="F2257" i="55"/>
  <c r="F2250" i="55"/>
  <c r="F2236" i="55"/>
  <c r="F2335" i="55"/>
  <c r="F2334" i="55"/>
  <c r="F2263" i="55"/>
  <c r="F2268" i="55"/>
  <c r="F2219" i="55"/>
  <c r="F2241" i="55"/>
  <c r="F2249" i="55"/>
  <c r="F2222" i="55"/>
  <c r="F2271" i="55"/>
  <c r="F2220" i="55"/>
  <c r="F2232" i="55"/>
  <c r="F2327" i="55"/>
  <c r="F2312" i="55"/>
  <c r="F2279" i="55"/>
  <c r="F2288" i="55"/>
  <c r="F2325" i="55"/>
  <c r="F2273" i="55"/>
  <c r="F2331" i="55"/>
  <c r="F2256" i="55"/>
  <c r="F2286" i="55"/>
  <c r="F2318" i="55"/>
  <c r="F2304" i="55"/>
  <c r="F2278" i="55"/>
  <c r="F2302" i="55"/>
  <c r="F2295" i="55"/>
  <c r="F2261" i="55"/>
  <c r="F2305" i="55"/>
  <c r="F2287" i="55"/>
  <c r="F2336" i="55"/>
  <c r="F2277" i="55"/>
  <c r="F2285" i="55"/>
  <c r="F2269" i="55"/>
  <c r="F2229" i="55"/>
  <c r="F2251" i="55"/>
  <c r="F2262" i="55"/>
  <c r="F2316" i="55"/>
  <c r="F2227" i="55"/>
  <c r="F2321" i="55"/>
  <c r="F2246" i="55"/>
  <c r="F2224" i="55"/>
  <c r="F2313" i="55"/>
  <c r="F2297" i="55"/>
  <c r="F2300" i="55"/>
  <c r="F2221" i="55"/>
  <c r="F2237" i="55"/>
  <c r="F2298" i="55"/>
  <c r="F2259" i="55"/>
  <c r="F2252" i="55"/>
  <c r="F2317" i="55"/>
  <c r="F2301" i="55"/>
  <c r="F2293" i="55"/>
  <c r="F2320" i="55"/>
  <c r="F2266" i="55"/>
  <c r="F2323" i="55"/>
  <c r="F2276" i="55"/>
  <c r="F2329" i="55"/>
  <c r="F2225" i="55"/>
  <c r="F2264" i="55"/>
  <c r="F2294" i="55"/>
  <c r="F2306" i="55"/>
  <c r="F2310" i="55"/>
  <c r="D126" i="55"/>
  <c r="D249" i="55"/>
  <c r="D129" i="55"/>
  <c r="D250" i="55"/>
  <c r="D128" i="55"/>
  <c r="D127" i="55"/>
  <c r="D251" i="55"/>
  <c r="B255" i="24"/>
  <c r="B60" i="24"/>
  <c r="B180" i="24"/>
  <c r="B23" i="24"/>
  <c r="B81" i="24"/>
  <c r="B119" i="24"/>
  <c r="B99" i="24"/>
  <c r="B222" i="24"/>
  <c r="B208" i="24"/>
  <c r="BT20" i="13"/>
  <c r="EB20" i="13"/>
  <c r="T20" i="13"/>
  <c r="BJ20" i="13"/>
  <c r="EL20" i="13"/>
  <c r="AP20" i="13"/>
  <c r="DZ20" i="13"/>
  <c r="BR20" i="13"/>
  <c r="DR20" i="13"/>
  <c r="DF20" i="13"/>
  <c r="AN20" i="13"/>
  <c r="AX20" i="13"/>
  <c r="EJ20" i="13"/>
  <c r="CV20" i="13"/>
  <c r="AD20" i="13"/>
  <c r="AF20" i="13"/>
  <c r="DH20" i="13"/>
  <c r="BH20" i="13"/>
  <c r="CX20" i="13"/>
  <c r="CL20" i="13"/>
  <c r="DP20" i="13"/>
  <c r="V20" i="13"/>
  <c r="F2209" i="55"/>
  <c r="F2167" i="55"/>
  <c r="F2191" i="55"/>
  <c r="F2196" i="55"/>
  <c r="F2176" i="55"/>
  <c r="F2123" i="55"/>
  <c r="F2114" i="55"/>
  <c r="F2160" i="55"/>
  <c r="F2097" i="55"/>
  <c r="F2213" i="55"/>
  <c r="F2135" i="55"/>
  <c r="F2155" i="55"/>
  <c r="F2165" i="55"/>
  <c r="F2194" i="55"/>
  <c r="F2168" i="55"/>
  <c r="F2117" i="55"/>
  <c r="F2200" i="55"/>
  <c r="F2154" i="55"/>
  <c r="F2159" i="55"/>
  <c r="F2175" i="55"/>
  <c r="F2180" i="55"/>
  <c r="F2133" i="55"/>
  <c r="F2186" i="55"/>
  <c r="F2157" i="55"/>
  <c r="F2182" i="55"/>
  <c r="F2174" i="55"/>
  <c r="F2179" i="55"/>
  <c r="F2115" i="55"/>
  <c r="F2163" i="55"/>
  <c r="F2102" i="55"/>
  <c r="D866" i="55"/>
  <c r="D783" i="55"/>
  <c r="D870" i="55"/>
  <c r="D740" i="55"/>
  <c r="D844" i="55"/>
  <c r="D875" i="55"/>
  <c r="D749" i="55"/>
  <c r="D7666" i="55"/>
  <c r="D761" i="55"/>
  <c r="D2970" i="55"/>
  <c r="E1081" i="55"/>
  <c r="D793" i="55"/>
  <c r="D777" i="55"/>
  <c r="D839" i="55"/>
  <c r="D863" i="55"/>
  <c r="D748" i="55"/>
  <c r="D762" i="55"/>
  <c r="D771" i="55"/>
  <c r="D860" i="55"/>
  <c r="D874" i="55"/>
  <c r="D764" i="55"/>
  <c r="F1317" i="55"/>
  <c r="F1206" i="55"/>
  <c r="F1207" i="55"/>
  <c r="F1373" i="55"/>
  <c r="E1857" i="55"/>
  <c r="E1824" i="55"/>
  <c r="E2495" i="55"/>
  <c r="F2188" i="55"/>
  <c r="F2166" i="55"/>
  <c r="F2128" i="55"/>
  <c r="F2207" i="55"/>
  <c r="F2120" i="55"/>
  <c r="F2234" i="55"/>
  <c r="D1316" i="55"/>
  <c r="C2089" i="55"/>
  <c r="F1969" i="55"/>
  <c r="F2129" i="55"/>
  <c r="F2666" i="55"/>
  <c r="B100" i="23"/>
  <c r="E1012" i="55" s="1"/>
  <c r="E26" i="9"/>
  <c r="E21" i="9"/>
  <c r="B99" i="23"/>
  <c r="S11" i="22" s="1"/>
  <c r="D67" i="49" s="1"/>
  <c r="B98" i="23"/>
  <c r="E1034" i="55" s="1"/>
  <c r="F3162" i="55"/>
  <c r="F3160" i="55"/>
  <c r="F3159" i="55"/>
  <c r="M13" i="10"/>
  <c r="V13" i="10"/>
  <c r="AC13" i="10"/>
  <c r="J13" i="10"/>
  <c r="E499" i="55" s="1"/>
  <c r="Y13" i="10"/>
  <c r="D169" i="55"/>
  <c r="D50" i="55"/>
  <c r="D48" i="55"/>
  <c r="D172" i="55"/>
  <c r="D170" i="55"/>
  <c r="D47" i="55"/>
  <c r="D171" i="55"/>
  <c r="D182" i="55"/>
  <c r="D60" i="55"/>
  <c r="D184" i="55"/>
  <c r="D183" i="55"/>
  <c r="D181" i="55"/>
  <c r="D59" i="55"/>
  <c r="D62" i="55"/>
  <c r="C1223" i="55"/>
  <c r="C3019" i="55"/>
  <c r="C1233" i="55"/>
  <c r="C1451" i="55"/>
  <c r="C1352" i="55"/>
  <c r="C1177" i="55"/>
  <c r="C1117" i="55"/>
  <c r="C1461" i="55"/>
  <c r="C1472" i="55"/>
  <c r="C1344" i="55"/>
  <c r="C1498" i="55"/>
  <c r="C1455" i="55"/>
  <c r="C1287" i="55"/>
  <c r="C3032" i="55"/>
  <c r="C1473" i="55"/>
  <c r="C3024" i="55"/>
  <c r="C1360" i="55"/>
  <c r="C1185" i="55"/>
  <c r="C1127" i="55"/>
  <c r="C1118" i="55"/>
  <c r="C1181" i="55"/>
  <c r="C1438" i="55"/>
  <c r="C1420" i="55"/>
  <c r="C1405" i="55"/>
  <c r="C1482" i="55"/>
  <c r="C1159" i="55"/>
  <c r="C1201" i="55"/>
  <c r="C1346" i="55"/>
  <c r="C1341" i="55"/>
  <c r="C3058" i="55"/>
  <c r="C1183" i="55"/>
  <c r="C1414" i="55"/>
  <c r="C1262" i="55"/>
  <c r="C1152" i="55"/>
  <c r="C1383" i="55"/>
  <c r="C1141" i="55"/>
  <c r="C1426" i="55"/>
  <c r="C1271" i="55"/>
  <c r="C1398" i="55"/>
  <c r="C1190" i="55"/>
  <c r="C2985" i="55"/>
  <c r="C1134" i="55"/>
  <c r="C3026" i="55"/>
  <c r="C1413" i="55"/>
  <c r="C3057" i="55"/>
  <c r="C1187" i="55"/>
  <c r="C1356" i="55"/>
  <c r="C1322" i="55"/>
  <c r="C1307" i="55"/>
  <c r="C3001" i="55"/>
  <c r="C1132" i="55"/>
  <c r="C3035" i="55"/>
  <c r="C1212" i="55"/>
  <c r="C1452" i="55"/>
  <c r="C1351" i="55"/>
  <c r="C2997" i="55"/>
  <c r="C1488" i="55"/>
  <c r="C1329" i="55"/>
  <c r="C1180" i="55"/>
  <c r="C1130" i="55"/>
  <c r="C1294" i="55"/>
  <c r="C1397" i="55"/>
  <c r="C3050" i="55"/>
  <c r="C1205" i="55"/>
  <c r="C1198" i="55"/>
  <c r="C1384" i="55"/>
  <c r="C1115" i="55"/>
  <c r="C1355" i="55"/>
  <c r="C3017" i="55"/>
  <c r="C3049" i="55"/>
  <c r="C1196" i="55"/>
  <c r="C2994" i="55"/>
  <c r="C3005" i="55"/>
  <c r="C1228" i="55"/>
  <c r="C3059" i="55"/>
  <c r="C1460" i="55"/>
  <c r="C1150" i="55"/>
  <c r="C1446" i="55"/>
  <c r="C1387" i="55"/>
  <c r="C1172" i="55"/>
  <c r="C1116" i="55"/>
  <c r="C1093" i="55"/>
  <c r="C1289" i="55"/>
  <c r="C1372" i="55"/>
  <c r="C1431" i="55"/>
  <c r="C1286" i="55"/>
  <c r="C1216" i="55"/>
  <c r="C1203" i="55"/>
  <c r="F1967" i="55"/>
  <c r="F1759" i="55"/>
  <c r="F1603" i="55"/>
  <c r="F1915" i="55"/>
  <c r="F1863" i="55"/>
  <c r="F1551" i="55"/>
  <c r="F1811" i="55"/>
  <c r="F1655" i="55"/>
  <c r="E1445" i="55"/>
  <c r="E1442" i="55"/>
  <c r="E1436" i="55"/>
  <c r="E1439" i="55"/>
  <c r="F2810" i="55"/>
  <c r="F2806" i="55"/>
  <c r="F2908" i="55"/>
  <c r="F2844" i="55"/>
  <c r="F2841" i="55"/>
  <c r="F2822" i="55"/>
  <c r="F2834" i="55"/>
  <c r="F2866" i="55"/>
  <c r="F2835" i="55"/>
  <c r="F2805" i="55"/>
  <c r="F2864" i="55"/>
  <c r="F2837" i="55"/>
  <c r="F2887" i="55"/>
  <c r="F2851" i="55"/>
  <c r="F2896" i="55"/>
  <c r="F2905" i="55"/>
  <c r="F2842" i="55"/>
  <c r="F2819" i="55"/>
  <c r="F2812" i="55"/>
  <c r="F2883" i="55"/>
  <c r="F2901" i="55"/>
  <c r="F2848" i="55"/>
  <c r="F2891" i="55"/>
  <c r="F2907" i="55"/>
  <c r="F2906" i="55"/>
  <c r="F2897" i="55"/>
  <c r="F2861" i="55"/>
  <c r="F2862" i="55"/>
  <c r="F2816" i="55"/>
  <c r="F2858" i="55"/>
  <c r="F2919" i="55"/>
  <c r="F2881" i="55"/>
  <c r="F2826" i="55"/>
  <c r="F2921" i="55"/>
  <c r="F2817" i="55"/>
  <c r="F2821" i="55"/>
  <c r="F2878" i="55"/>
  <c r="F2888" i="55"/>
  <c r="F2830" i="55"/>
  <c r="F2865" i="55"/>
  <c r="F2882" i="55"/>
  <c r="F2820" i="55"/>
  <c r="F2849" i="55"/>
  <c r="F2825" i="55"/>
  <c r="F2918" i="55"/>
  <c r="F2807" i="55"/>
  <c r="F2839" i="55"/>
  <c r="F2827" i="55"/>
  <c r="F2832" i="55"/>
  <c r="F2902" i="55"/>
  <c r="F2856" i="55"/>
  <c r="F2869" i="55"/>
  <c r="F2870" i="55"/>
  <c r="F2815" i="55"/>
  <c r="F2829" i="55"/>
  <c r="F2886" i="55"/>
  <c r="F2893" i="55"/>
  <c r="F2814" i="55"/>
  <c r="F2910" i="55"/>
  <c r="F2903" i="55"/>
  <c r="F2811" i="55"/>
  <c r="F2912" i="55"/>
  <c r="F2853" i="55"/>
  <c r="F2916" i="55"/>
  <c r="F2920" i="55"/>
  <c r="F2836" i="55"/>
  <c r="F2840" i="55"/>
  <c r="F2889" i="55"/>
  <c r="F2890" i="55"/>
  <c r="F2831" i="55"/>
  <c r="F2824" i="55"/>
  <c r="F2847" i="55"/>
  <c r="F2895" i="55"/>
  <c r="F2867" i="55"/>
  <c r="J107" i="24"/>
  <c r="J233" i="24"/>
  <c r="J12" i="24"/>
  <c r="J216" i="24"/>
  <c r="J199" i="24"/>
  <c r="J49" i="24"/>
  <c r="J189" i="24"/>
  <c r="J248" i="24"/>
  <c r="J89" i="24"/>
  <c r="J129" i="24"/>
  <c r="J147" i="24"/>
  <c r="J70" i="24"/>
  <c r="J31" i="24"/>
  <c r="A70" i="57"/>
  <c r="A46" i="57"/>
  <c r="A81" i="57"/>
  <c r="A36" i="57"/>
  <c r="A96" i="57"/>
  <c r="A59" i="57"/>
  <c r="A19" i="57"/>
  <c r="G7" i="8"/>
  <c r="K7" i="8"/>
  <c r="M7" i="8"/>
  <c r="N7" i="52"/>
  <c r="L7" i="52"/>
  <c r="J7" i="52"/>
  <c r="AJ15" i="62"/>
  <c r="ER8" i="63"/>
  <c r="DO8" i="63"/>
  <c r="G15" i="62"/>
  <c r="AH8" i="63"/>
  <c r="BJ8" i="63"/>
  <c r="F4" i="62"/>
  <c r="E3440" i="55" s="1"/>
  <c r="CM8" i="63"/>
  <c r="CM126" i="63"/>
  <c r="AN117" i="62"/>
  <c r="D156" i="63"/>
  <c r="AN105" i="62"/>
  <c r="E105" i="62"/>
  <c r="D144" i="63"/>
  <c r="DS99" i="63"/>
  <c r="D99" i="63"/>
  <c r="D87" i="63"/>
  <c r="AN93" i="62"/>
  <c r="E93" i="62"/>
  <c r="E1684" i="55"/>
  <c r="H2553" i="55"/>
  <c r="E101" i="53"/>
  <c r="H2551" i="55" s="1"/>
  <c r="D46" i="8"/>
  <c r="D119" i="8"/>
  <c r="D60" i="8"/>
  <c r="D26" i="8"/>
  <c r="D36" i="8"/>
  <c r="E157" i="55" s="1"/>
  <c r="D31" i="8"/>
  <c r="D124" i="8"/>
  <c r="D65" i="8"/>
  <c r="D139" i="8"/>
  <c r="D51" i="8"/>
  <c r="D114" i="8"/>
  <c r="D41" i="8"/>
  <c r="B14" i="24"/>
  <c r="E1091" i="55" s="1"/>
  <c r="B51" i="24"/>
  <c r="E1157" i="55" s="1"/>
  <c r="D136" i="55"/>
  <c r="D137" i="55"/>
  <c r="D135" i="55"/>
  <c r="D14" i="55"/>
  <c r="D15" i="55"/>
  <c r="D134" i="55"/>
  <c r="D12" i="55"/>
  <c r="D2227" i="55"/>
  <c r="D2346" i="55"/>
  <c r="D2809" i="55"/>
  <c r="D2566" i="55"/>
  <c r="D2105" i="55"/>
  <c r="D2688" i="55"/>
  <c r="D2225" i="55"/>
  <c r="F1417" i="55"/>
  <c r="F12" i="55"/>
  <c r="E16" i="6"/>
  <c r="D2103" i="55"/>
  <c r="F2875" i="55"/>
  <c r="F2854" i="55"/>
  <c r="F2873" i="55"/>
  <c r="H85" i="47"/>
  <c r="G20" i="49" s="1"/>
  <c r="H2029" i="55" s="1"/>
  <c r="H1607" i="55"/>
  <c r="F2900" i="55"/>
  <c r="F2871" i="55"/>
  <c r="C6" i="4"/>
  <c r="C6" i="55"/>
  <c r="E24" i="52"/>
  <c r="E2230" i="55" s="1"/>
  <c r="E58" i="52"/>
  <c r="E2847" i="55" s="1"/>
  <c r="E49" i="52"/>
  <c r="E2840" i="55" s="1"/>
  <c r="E44" i="52"/>
  <c r="E122" i="52"/>
  <c r="E14" i="52"/>
  <c r="E2683" i="55" s="1"/>
  <c r="E34" i="52"/>
  <c r="E117" i="52"/>
  <c r="E2316" i="55" s="1"/>
  <c r="E63" i="52"/>
  <c r="D236" i="55"/>
  <c r="D114" i="55"/>
  <c r="D113" i="55"/>
  <c r="D116" i="55"/>
  <c r="D238" i="55"/>
  <c r="D115" i="55"/>
  <c r="C12" i="13"/>
  <c r="B103" i="23" s="1"/>
  <c r="CJ17" i="13"/>
  <c r="D2734" i="55"/>
  <c r="D2393" i="55"/>
  <c r="D2612" i="55"/>
  <c r="D2856" i="55"/>
  <c r="D2271" i="55"/>
  <c r="C10" i="55"/>
  <c r="C10" i="4"/>
  <c r="D3210" i="55"/>
  <c r="D1021" i="55"/>
  <c r="D1018" i="55"/>
  <c r="D1015" i="55"/>
  <c r="D1004" i="55"/>
  <c r="D1010" i="55"/>
  <c r="D1022" i="55"/>
  <c r="D1013" i="55"/>
  <c r="D1019" i="55"/>
  <c r="D1003" i="55"/>
  <c r="D1006" i="55"/>
  <c r="D1007" i="55"/>
  <c r="D1017" i="55"/>
  <c r="D1002" i="55"/>
  <c r="D1011" i="55"/>
  <c r="D1014" i="55"/>
  <c r="E1935" i="55"/>
  <c r="E1928" i="55"/>
  <c r="E1946" i="55"/>
  <c r="E1967" i="55"/>
  <c r="D2278" i="55"/>
  <c r="D2740" i="55"/>
  <c r="D2399" i="55"/>
  <c r="D2863" i="55"/>
  <c r="D2401" i="55"/>
  <c r="D2618" i="55"/>
  <c r="D2156" i="55"/>
  <c r="D2741" i="55"/>
  <c r="D2866" i="55"/>
  <c r="D2280" i="55"/>
  <c r="D2398" i="55"/>
  <c r="D2620" i="55"/>
  <c r="D2862" i="55"/>
  <c r="D2402" i="55"/>
  <c r="D2155" i="55"/>
  <c r="D2742" i="55"/>
  <c r="D2744" i="55"/>
  <c r="D2861" i="55"/>
  <c r="D2621" i="55"/>
  <c r="D2157" i="55"/>
  <c r="D2619" i="55"/>
  <c r="D2159" i="55"/>
  <c r="D2281" i="55"/>
  <c r="D2154" i="55"/>
  <c r="D2279" i="55"/>
  <c r="D2404" i="55"/>
  <c r="D2276" i="55"/>
  <c r="D2867" i="55"/>
  <c r="D2277" i="55"/>
  <c r="D2617" i="55"/>
  <c r="D2400" i="55"/>
  <c r="D2160" i="55"/>
  <c r="D2403" i="55"/>
  <c r="D2282" i="55"/>
  <c r="D2622" i="55"/>
  <c r="D2001" i="55"/>
  <c r="D3223" i="55"/>
  <c r="D2005" i="55"/>
  <c r="D3226" i="55"/>
  <c r="D2004" i="55"/>
  <c r="D3225" i="55"/>
  <c r="D2002" i="55"/>
  <c r="D3224" i="55"/>
  <c r="F3152" i="55"/>
  <c r="F3153" i="55"/>
  <c r="F3151" i="55"/>
  <c r="D1493" i="55"/>
  <c r="D1487" i="55"/>
  <c r="D1492" i="55"/>
  <c r="D1497" i="55"/>
  <c r="D1484" i="55"/>
  <c r="D1498" i="55"/>
  <c r="D1495" i="55"/>
  <c r="D1489" i="55"/>
  <c r="D1478" i="55"/>
  <c r="D1481" i="55"/>
  <c r="D1488" i="55"/>
  <c r="D1486" i="55"/>
  <c r="D1480" i="55"/>
  <c r="D1482" i="55"/>
  <c r="D1483" i="55"/>
  <c r="D1475" i="55"/>
  <c r="D1476" i="55"/>
  <c r="D1496" i="55"/>
  <c r="D1494" i="55"/>
  <c r="D1490" i="55"/>
  <c r="F1550" i="55"/>
  <c r="F1810" i="55"/>
  <c r="F1654" i="55"/>
  <c r="F1758" i="55"/>
  <c r="F1862" i="55"/>
  <c r="F1966" i="55"/>
  <c r="F1602" i="55"/>
  <c r="F1914" i="55"/>
  <c r="F1706" i="55"/>
  <c r="D1211" i="55"/>
  <c r="D1217" i="55"/>
  <c r="D1224" i="55"/>
  <c r="L9" i="10"/>
  <c r="U9" i="10"/>
  <c r="DD19" i="13"/>
  <c r="BF19" i="13"/>
  <c r="EH19" i="13"/>
  <c r="AB19" i="13"/>
  <c r="DX19" i="13"/>
  <c r="CT19" i="13"/>
  <c r="AL19" i="13"/>
  <c r="BZ19" i="13"/>
  <c r="DN19" i="13"/>
  <c r="BP19" i="13"/>
  <c r="R19" i="13"/>
  <c r="AV19" i="13"/>
  <c r="L44" i="23"/>
  <c r="L28" i="23"/>
  <c r="L19" i="23"/>
  <c r="L48" i="23"/>
  <c r="L40" i="23"/>
  <c r="L36" i="23"/>
  <c r="L32" i="23"/>
  <c r="N74" i="47"/>
  <c r="H1755" i="55" s="1"/>
  <c r="H1750" i="55"/>
  <c r="N70" i="47"/>
  <c r="H1824" i="55"/>
  <c r="T30" i="47"/>
  <c r="H1826" i="55" s="1"/>
  <c r="H2532" i="55"/>
  <c r="E75" i="53"/>
  <c r="H2525" i="55" s="1"/>
  <c r="EX31" i="63"/>
  <c r="EX45" i="63"/>
  <c r="E67" i="63"/>
  <c r="F72" i="62"/>
  <c r="E35" i="63"/>
  <c r="E19" i="63"/>
  <c r="E59" i="63"/>
  <c r="EX43" i="63"/>
  <c r="F62" i="62"/>
  <c r="F60" i="62"/>
  <c r="F20" i="62"/>
  <c r="E11" i="63"/>
  <c r="E33" i="63"/>
  <c r="F22" i="62"/>
  <c r="EX23" i="63"/>
  <c r="EX47" i="63"/>
  <c r="EX51" i="63"/>
  <c r="EX37" i="63"/>
  <c r="EX13" i="63"/>
  <c r="E53" i="63"/>
  <c r="EX11" i="63"/>
  <c r="EX41" i="63"/>
  <c r="F46" i="62"/>
  <c r="E63" i="63"/>
  <c r="E17" i="63"/>
  <c r="EX33" i="63"/>
  <c r="E29" i="63"/>
  <c r="E37" i="63"/>
  <c r="F56" i="62"/>
  <c r="EX65" i="63"/>
  <c r="E47" i="63"/>
  <c r="EX39" i="63"/>
  <c r="E69" i="63"/>
  <c r="F28" i="62"/>
  <c r="E27" i="63"/>
  <c r="F44" i="62"/>
  <c r="F42" i="62"/>
  <c r="E23" i="63"/>
  <c r="F34" i="62"/>
  <c r="F52" i="62"/>
  <c r="F26" i="62"/>
  <c r="F68" i="62"/>
  <c r="EX53" i="63"/>
  <c r="F40" i="62"/>
  <c r="F66" i="62"/>
  <c r="E61" i="63"/>
  <c r="F74" i="62"/>
  <c r="F48" i="62"/>
  <c r="F76" i="62"/>
  <c r="E13" i="63"/>
  <c r="E21" i="63"/>
  <c r="E55" i="63"/>
  <c r="B94" i="24"/>
  <c r="B36" i="24"/>
  <c r="B18" i="24"/>
  <c r="E2991" i="55" s="1"/>
  <c r="B75" i="24"/>
  <c r="B114" i="24"/>
  <c r="B134" i="24"/>
  <c r="A28" i="56"/>
  <c r="E31" i="57"/>
  <c r="F2874" i="55"/>
  <c r="C1197" i="55"/>
  <c r="E2719" i="55"/>
  <c r="E2256" i="55"/>
  <c r="E2378" i="55"/>
  <c r="E2841" i="55"/>
  <c r="E2597" i="55"/>
  <c r="E2995" i="55"/>
  <c r="E2997" i="55"/>
  <c r="E2998" i="55"/>
  <c r="E2999" i="55"/>
  <c r="E2996" i="55"/>
  <c r="E3000" i="55"/>
  <c r="C1235" i="55"/>
  <c r="F2885" i="55"/>
  <c r="C1347" i="55"/>
  <c r="E1207" i="55"/>
  <c r="E1222" i="55"/>
  <c r="E1227" i="55"/>
  <c r="E1232" i="55"/>
  <c r="E1212" i="55"/>
  <c r="E1217" i="55"/>
  <c r="C1443" i="55"/>
  <c r="F2879" i="55"/>
  <c r="F8" i="63"/>
  <c r="E1703" i="55"/>
  <c r="F1141" i="55"/>
  <c r="F1142" i="55"/>
  <c r="F1143" i="55"/>
  <c r="C1486" i="55"/>
  <c r="D2689" i="55"/>
  <c r="F2898" i="55"/>
  <c r="M71" i="24"/>
  <c r="F1199" i="55" s="1"/>
  <c r="M200" i="24"/>
  <c r="M249" i="24"/>
  <c r="M32" i="24"/>
  <c r="M108" i="24"/>
  <c r="M234" i="24"/>
  <c r="F1474" i="55" s="1"/>
  <c r="M148" i="24"/>
  <c r="F1349" i="55" s="1"/>
  <c r="M90" i="24"/>
  <c r="F1232" i="55" s="1"/>
  <c r="M130" i="24"/>
  <c r="F1309" i="55" s="1"/>
  <c r="M13" i="24"/>
  <c r="F1099" i="55" s="1"/>
  <c r="M174" i="24"/>
  <c r="F1371" i="55" s="1"/>
  <c r="M217" i="24"/>
  <c r="F1448" i="55" s="1"/>
  <c r="M50" i="24"/>
  <c r="F2880" i="55"/>
  <c r="E1448" i="55"/>
  <c r="C1495" i="55"/>
  <c r="C3022" i="55"/>
  <c r="BF17" i="13"/>
  <c r="M190" i="24"/>
  <c r="F1383" i="55" s="1"/>
  <c r="D13" i="55"/>
  <c r="S13" i="10"/>
  <c r="F2804" i="55"/>
  <c r="F7" i="52"/>
  <c r="D21" i="8"/>
  <c r="F2872" i="55"/>
  <c r="E1433" i="55"/>
  <c r="C1444" i="55"/>
  <c r="C1128" i="55"/>
  <c r="D16" i="8"/>
  <c r="L11" i="10"/>
  <c r="I11" i="10"/>
  <c r="C3029" i="55"/>
  <c r="D49" i="55"/>
  <c r="C1487" i="55"/>
  <c r="F2846" i="55"/>
  <c r="H1678" i="55"/>
  <c r="E19" i="52"/>
  <c r="C1210" i="55"/>
  <c r="F2863" i="55"/>
  <c r="F2809" i="55"/>
  <c r="E2586" i="55"/>
  <c r="E2708" i="55"/>
  <c r="E2123" i="55"/>
  <c r="E2367" i="55"/>
  <c r="E2830" i="55"/>
  <c r="L63" i="47"/>
  <c r="C102" i="47"/>
  <c r="E1993" i="55" s="1"/>
  <c r="E1678" i="55"/>
  <c r="E1683" i="55"/>
  <c r="E1669" i="55"/>
  <c r="E1689" i="55"/>
  <c r="E1680" i="55"/>
  <c r="E1668" i="55"/>
  <c r="E1685" i="55"/>
  <c r="E1699" i="55"/>
  <c r="E1675" i="55"/>
  <c r="E1711" i="55"/>
  <c r="E1704" i="55"/>
  <c r="E1714" i="55"/>
  <c r="E1677" i="55"/>
  <c r="E1667" i="55"/>
  <c r="E1681" i="55"/>
  <c r="E1682" i="55"/>
  <c r="E1708" i="55"/>
  <c r="E1670" i="55"/>
  <c r="E1707" i="55"/>
  <c r="E1674" i="55"/>
  <c r="E1679" i="55"/>
  <c r="E1706" i="55"/>
  <c r="E1701" i="55"/>
  <c r="E1665" i="55"/>
  <c r="E1672" i="55"/>
  <c r="E1697" i="55"/>
  <c r="C3025" i="55"/>
  <c r="F2877" i="55"/>
  <c r="F2852" i="55"/>
  <c r="E1686" i="55"/>
  <c r="F1707" i="55"/>
  <c r="E2427" i="55"/>
  <c r="E2305" i="55"/>
  <c r="E2768" i="55"/>
  <c r="E71" i="55"/>
  <c r="DO78" i="63"/>
  <c r="G4" i="8"/>
  <c r="E4" i="8"/>
  <c r="N23" i="13"/>
  <c r="H23" i="13"/>
  <c r="K23" i="13"/>
  <c r="L30" i="23"/>
  <c r="L17" i="23"/>
  <c r="L38" i="23"/>
  <c r="L26" i="23"/>
  <c r="L42" i="23"/>
  <c r="L22" i="23"/>
  <c r="L34" i="23"/>
  <c r="E2053" i="55"/>
  <c r="E2028" i="55"/>
  <c r="B223" i="24"/>
  <c r="B82" i="24"/>
  <c r="B140" i="24"/>
  <c r="B256" i="24"/>
  <c r="B100" i="24"/>
  <c r="B195" i="24"/>
  <c r="B209" i="24"/>
  <c r="G26" i="49"/>
  <c r="H2034" i="55" s="1"/>
  <c r="H1868" i="55"/>
  <c r="T92" i="47"/>
  <c r="H1870" i="55" s="1"/>
  <c r="C4415" i="55"/>
  <c r="C6964" i="55"/>
  <c r="C3674" i="55"/>
  <c r="C3830" i="55"/>
  <c r="C7438" i="55"/>
  <c r="C3822" i="55"/>
  <c r="C7558" i="55"/>
  <c r="C7509" i="55"/>
  <c r="C7111" i="55"/>
  <c r="C6820" i="55"/>
  <c r="C6235" i="55"/>
  <c r="C5998" i="55"/>
  <c r="C6146" i="55"/>
  <c r="C5804" i="55"/>
  <c r="C5632" i="55"/>
  <c r="C7094" i="55"/>
  <c r="C7294" i="55"/>
  <c r="C6113" i="55"/>
  <c r="C6425" i="55"/>
  <c r="C5866" i="55"/>
  <c r="C5916" i="55"/>
  <c r="C5899" i="55"/>
  <c r="C5254" i="55"/>
  <c r="C4898" i="55"/>
  <c r="C5285" i="55"/>
  <c r="C4757" i="55"/>
  <c r="C4545" i="55"/>
  <c r="C4671" i="55"/>
  <c r="C4260" i="55"/>
  <c r="C3929" i="55"/>
  <c r="C4245" i="55"/>
  <c r="C4974" i="55"/>
  <c r="C3912" i="55"/>
  <c r="C3882" i="55"/>
  <c r="C3653" i="55"/>
  <c r="C7175" i="55"/>
  <c r="C6899" i="55"/>
  <c r="C6530" i="55"/>
  <c r="C6201" i="55"/>
  <c r="C6289" i="55"/>
  <c r="C6070" i="55"/>
  <c r="C5409" i="55"/>
  <c r="C5883" i="55"/>
  <c r="C5416" i="55"/>
  <c r="C7615" i="55"/>
  <c r="C7297" i="55"/>
  <c r="C6693" i="55"/>
  <c r="C6144" i="55"/>
  <c r="C6134" i="55"/>
  <c r="C5972" i="55"/>
  <c r="C5274" i="55"/>
  <c r="C5595" i="55"/>
  <c r="C5118" i="55"/>
  <c r="C5354" i="55"/>
  <c r="C4790" i="55"/>
  <c r="C4471" i="55"/>
  <c r="C4492" i="55"/>
  <c r="C4661" i="55"/>
  <c r="C4160" i="55"/>
  <c r="C4280" i="55"/>
  <c r="C4490" i="55"/>
  <c r="C3773" i="55"/>
  <c r="C3987" i="55"/>
  <c r="C7139" i="55"/>
  <c r="C6641" i="55"/>
  <c r="C6319" i="55"/>
  <c r="C5829" i="55"/>
  <c r="C6277" i="55"/>
  <c r="C5572" i="55"/>
  <c r="C5838" i="55"/>
  <c r="C5091" i="55"/>
  <c r="C5681" i="55"/>
  <c r="C5080" i="55"/>
  <c r="C4631" i="55"/>
  <c r="C4792" i="55"/>
  <c r="C4249" i="55"/>
  <c r="C4417" i="55"/>
  <c r="C3705" i="55"/>
  <c r="C4023" i="55"/>
  <c r="C4018" i="55"/>
  <c r="C3878" i="55"/>
  <c r="C3451" i="55"/>
  <c r="C7015" i="55"/>
  <c r="C6692" i="55"/>
  <c r="C4316" i="55"/>
  <c r="C7124" i="55"/>
  <c r="C5107" i="55"/>
  <c r="C5558" i="55"/>
  <c r="C5700" i="55"/>
  <c r="C5078" i="55"/>
  <c r="C7327" i="55"/>
  <c r="C7422" i="55"/>
  <c r="C7147" i="55"/>
  <c r="C6839" i="55"/>
  <c r="C6048" i="55"/>
  <c r="C5900" i="55"/>
  <c r="C6435" i="55"/>
  <c r="C5706" i="55"/>
  <c r="C5437" i="55"/>
  <c r="C7114" i="55"/>
  <c r="C6707" i="55"/>
  <c r="C5918" i="55"/>
  <c r="C5988" i="55"/>
  <c r="C6456" i="55"/>
  <c r="C5556" i="55"/>
  <c r="C5850" i="55"/>
  <c r="C5156" i="55"/>
  <c r="C4801" i="55"/>
  <c r="C5236" i="55"/>
  <c r="C5239" i="55"/>
  <c r="C4447" i="55"/>
  <c r="C4573" i="55"/>
  <c r="C5061" i="55"/>
  <c r="C5014" i="55"/>
  <c r="C4147" i="55"/>
  <c r="C4746" i="55"/>
  <c r="C3815" i="55"/>
  <c r="C3820" i="55"/>
  <c r="C3578" i="55"/>
  <c r="C7544" i="55"/>
  <c r="C6633" i="55"/>
  <c r="C6267" i="55"/>
  <c r="C6087" i="55"/>
  <c r="C6236" i="55"/>
  <c r="C6017" i="55"/>
  <c r="C5304" i="55"/>
  <c r="C5834" i="55"/>
  <c r="C5319" i="55"/>
  <c r="C7369" i="55"/>
  <c r="C6860" i="55"/>
  <c r="C6805" i="55"/>
  <c r="C6014" i="55"/>
  <c r="C6401" i="55"/>
  <c r="C5550" i="55"/>
  <c r="C5619" i="55"/>
  <c r="C5481" i="55"/>
  <c r="C3765" i="55"/>
  <c r="C5801" i="55"/>
  <c r="C5128" i="55"/>
  <c r="C5646" i="55"/>
  <c r="C5243" i="55"/>
  <c r="C4981" i="55"/>
  <c r="C7016" i="55"/>
  <c r="C7375" i="55"/>
  <c r="C7373" i="55"/>
  <c r="C7052" i="55"/>
  <c r="C6421" i="55"/>
  <c r="C6418" i="55"/>
  <c r="C6354" i="55"/>
  <c r="C5940" i="55"/>
  <c r="C5242" i="55"/>
  <c r="C7249" i="55"/>
  <c r="C6430" i="55"/>
  <c r="C6238" i="55"/>
  <c r="C5837" i="55"/>
  <c r="C6196" i="55"/>
  <c r="C5450" i="55"/>
  <c r="C5802" i="55"/>
  <c r="C5819" i="55"/>
  <c r="C5730" i="55"/>
  <c r="C5168" i="55"/>
  <c r="C4867" i="55"/>
  <c r="C4861" i="55"/>
  <c r="C4475" i="55"/>
  <c r="C4706" i="55"/>
  <c r="C4770" i="55"/>
  <c r="C4049" i="55"/>
  <c r="C4697" i="55"/>
  <c r="C3717" i="55"/>
  <c r="C3722" i="55"/>
  <c r="C3494" i="55"/>
  <c r="C7140" i="55"/>
  <c r="C7063" i="55"/>
  <c r="C6040" i="55"/>
  <c r="C5982" i="55"/>
  <c r="C6183" i="55"/>
  <c r="C5945" i="55"/>
  <c r="C5198" i="55"/>
  <c r="C5785" i="55"/>
  <c r="C5221" i="55"/>
  <c r="C7384" i="55"/>
  <c r="C3665" i="55"/>
  <c r="C4409" i="55"/>
  <c r="C4046" i="55"/>
  <c r="C5382" i="55"/>
  <c r="C4719" i="55"/>
  <c r="C7598" i="55"/>
  <c r="C6866" i="55"/>
  <c r="C7612" i="55"/>
  <c r="C7480" i="55"/>
  <c r="C6669" i="55"/>
  <c r="C6213" i="55"/>
  <c r="C6004" i="55"/>
  <c r="C5890" i="55"/>
  <c r="C5476" i="55"/>
  <c r="C5611" i="55"/>
  <c r="C7235" i="55"/>
  <c r="C6776" i="55"/>
  <c r="C6043" i="55"/>
  <c r="C5993" i="55"/>
  <c r="C6143" i="55"/>
  <c r="C5344" i="55"/>
  <c r="C5753" i="55"/>
  <c r="C5656" i="55"/>
  <c r="C5569" i="55"/>
  <c r="C5103" i="55"/>
  <c r="C4769" i="55"/>
  <c r="C4763" i="55"/>
  <c r="C4378" i="55"/>
  <c r="C4657" i="55"/>
  <c r="C4266" i="55"/>
  <c r="C3952" i="55"/>
  <c r="C4648" i="55"/>
  <c r="C3809" i="55"/>
  <c r="C4162" i="55"/>
  <c r="C3512" i="55"/>
  <c r="C7110" i="55"/>
  <c r="C6653" i="55"/>
  <c r="C6388" i="55"/>
  <c r="C6342" i="55"/>
  <c r="C6130" i="55"/>
  <c r="C5861" i="55"/>
  <c r="C5092" i="55"/>
  <c r="C5737" i="55"/>
  <c r="C5124" i="55"/>
  <c r="C7365" i="55"/>
  <c r="C6533" i="55"/>
  <c r="C6080" i="55"/>
  <c r="C6385" i="55"/>
  <c r="C5776" i="55"/>
  <c r="C5864" i="55"/>
  <c r="C6478" i="55"/>
  <c r="C5246" i="55"/>
  <c r="C7325" i="55"/>
  <c r="C3672" i="55"/>
  <c r="C4340" i="55"/>
  <c r="C4313" i="55"/>
  <c r="C3452" i="55"/>
  <c r="C7286" i="55"/>
  <c r="C7168" i="55"/>
  <c r="C7077" i="55"/>
  <c r="C7039" i="55"/>
  <c r="C6833" i="55"/>
  <c r="C5854" i="55"/>
  <c r="C5793" i="55"/>
  <c r="C5856" i="55"/>
  <c r="C5513" i="55"/>
  <c r="C7271" i="55"/>
  <c r="C6490" i="55"/>
  <c r="C6444" i="55"/>
  <c r="C5824" i="55"/>
  <c r="C6090" i="55"/>
  <c r="C5230" i="55"/>
  <c r="C5704" i="55"/>
  <c r="C5479" i="55"/>
  <c r="C5422" i="55"/>
  <c r="C5024" i="55"/>
  <c r="C4672" i="55"/>
  <c r="C5231" i="55"/>
  <c r="C4431" i="55"/>
  <c r="C4609" i="55"/>
  <c r="C4168" i="55"/>
  <c r="C4872" i="55"/>
  <c r="C4599" i="55"/>
  <c r="C3679" i="55"/>
  <c r="C3967" i="55"/>
  <c r="C3606" i="55"/>
  <c r="C7541" i="55"/>
  <c r="C6973" i="55"/>
  <c r="C6189" i="55"/>
  <c r="C6394" i="55"/>
  <c r="C6410" i="55"/>
  <c r="C5755" i="55"/>
  <c r="C5677" i="55"/>
  <c r="C5688" i="55"/>
  <c r="C5754" i="55"/>
  <c r="C7287" i="55"/>
  <c r="C6732" i="55"/>
  <c r="C6405" i="55"/>
  <c r="C6470" i="55"/>
  <c r="C4163" i="55"/>
  <c r="C3696" i="55"/>
  <c r="C6323" i="55"/>
  <c r="C4567" i="55"/>
  <c r="C6618" i="55"/>
  <c r="C3445" i="55"/>
  <c r="C7559" i="55"/>
  <c r="C6681" i="55"/>
  <c r="C6457" i="55"/>
  <c r="C5756" i="55"/>
  <c r="C6273" i="55"/>
  <c r="C5629" i="55"/>
  <c r="C6065" i="55"/>
  <c r="C7248" i="55"/>
  <c r="C6746" i="55"/>
  <c r="C6328" i="55"/>
  <c r="C5718" i="55"/>
  <c r="C6038" i="55"/>
  <c r="C5125" i="55"/>
  <c r="C5609" i="55"/>
  <c r="C5451" i="55"/>
  <c r="C5685" i="55"/>
  <c r="C4927" i="55"/>
  <c r="C4574" i="55"/>
  <c r="C4840" i="55"/>
  <c r="C4366" i="55"/>
  <c r="C4560" i="55"/>
  <c r="C4071" i="55"/>
  <c r="C4307" i="55"/>
  <c r="C4551" i="55"/>
  <c r="C4024" i="55"/>
  <c r="C3695" i="55"/>
  <c r="C7481" i="55"/>
  <c r="C6859" i="55"/>
  <c r="C6656" i="55"/>
  <c r="C6701" i="55"/>
  <c r="C5923" i="55"/>
  <c r="C5980" i="55"/>
  <c r="C5649" i="55"/>
  <c r="C5567" i="55"/>
  <c r="C5576" i="55"/>
  <c r="C5610" i="55"/>
  <c r="C7404" i="55"/>
  <c r="C6422" i="55"/>
  <c r="C6124" i="55"/>
  <c r="C6450" i="55"/>
  <c r="C4888" i="55"/>
  <c r="C3637" i="55"/>
  <c r="C6411" i="55"/>
  <c r="C4246" i="55"/>
  <c r="C4385" i="55"/>
  <c r="C6420" i="55"/>
  <c r="C3641" i="55"/>
  <c r="C6925" i="55"/>
  <c r="C6469" i="55"/>
  <c r="C6682" i="55"/>
  <c r="C6011" i="55"/>
  <c r="C6176" i="55"/>
  <c r="C5531" i="55"/>
  <c r="C3519" i="55"/>
  <c r="C6888" i="55"/>
  <c r="C6501" i="55"/>
  <c r="C6567" i="55"/>
  <c r="C6333" i="55"/>
  <c r="C5970" i="55"/>
  <c r="C5976" i="55"/>
  <c r="C5511" i="55"/>
  <c r="C5050" i="55"/>
  <c r="C5443" i="55"/>
  <c r="C4829" i="55"/>
  <c r="C4476" i="55"/>
  <c r="C4741" i="55"/>
  <c r="C4301" i="55"/>
  <c r="C4511" i="55"/>
  <c r="C3973" i="55"/>
  <c r="C5199" i="55"/>
  <c r="C4502" i="55"/>
  <c r="C3735" i="55"/>
  <c r="C3767" i="55"/>
  <c r="C7562" i="55"/>
  <c r="C6969" i="55"/>
  <c r="C6992" i="55"/>
  <c r="C6330" i="55"/>
  <c r="C5805" i="55"/>
  <c r="C5833" i="55"/>
  <c r="C5606" i="55"/>
  <c r="C5461" i="55"/>
  <c r="C5478" i="55"/>
  <c r="C5823" i="55"/>
  <c r="C7252" i="55"/>
  <c r="C6686" i="55"/>
  <c r="C6572" i="55"/>
  <c r="C7523" i="55"/>
  <c r="C6204" i="55"/>
  <c r="C5662" i="55"/>
  <c r="C4939" i="55"/>
  <c r="C4223" i="55"/>
  <c r="C4674" i="55"/>
  <c r="C6551" i="55"/>
  <c r="C3458" i="55"/>
  <c r="C7490" i="55"/>
  <c r="C7002" i="55"/>
  <c r="C6799" i="55"/>
  <c r="C6353" i="55"/>
  <c r="C5873" i="55"/>
  <c r="C6127" i="55"/>
  <c r="C5434" i="55"/>
  <c r="C3562" i="55"/>
  <c r="C6957" i="55"/>
  <c r="C6537" i="55"/>
  <c r="C6340" i="55"/>
  <c r="C6256" i="55"/>
  <c r="C5893" i="55"/>
  <c r="C5599" i="55"/>
  <c r="C5316" i="55"/>
  <c r="C4952" i="55"/>
  <c r="C5054" i="55"/>
  <c r="C5188" i="55"/>
  <c r="C4379" i="55"/>
  <c r="C4643" i="55"/>
  <c r="C4208" i="55"/>
  <c r="C4462" i="55"/>
  <c r="C3876" i="55"/>
  <c r="C4312" i="55"/>
  <c r="C4453" i="55"/>
  <c r="C3805" i="55"/>
  <c r="C3669" i="55"/>
  <c r="C7405" i="55"/>
  <c r="C7046" i="55"/>
  <c r="C6700" i="55"/>
  <c r="C6513" i="55"/>
  <c r="C5699" i="55"/>
  <c r="C5727" i="55"/>
  <c r="C5501" i="55"/>
  <c r="C5355" i="55"/>
  <c r="C5381" i="55"/>
  <c r="C5581" i="55"/>
  <c r="C7230" i="55"/>
  <c r="C6845" i="55"/>
  <c r="C6747" i="55"/>
  <c r="C5904" i="55"/>
  <c r="C6107" i="55"/>
  <c r="C5222" i="55"/>
  <c r="C5680" i="55"/>
  <c r="C5725" i="55"/>
  <c r="C5605" i="55"/>
  <c r="C4805" i="55"/>
  <c r="C4346" i="55"/>
  <c r="C4505" i="55"/>
  <c r="C3964" i="55"/>
  <c r="C4068" i="55"/>
  <c r="C4277" i="55"/>
  <c r="C4786" i="55"/>
  <c r="C6050" i="55"/>
  <c r="C5981" i="55"/>
  <c r="C5571" i="55"/>
  <c r="C5815" i="55"/>
  <c r="C4139" i="55"/>
  <c r="C5800" i="55"/>
  <c r="C6764" i="55"/>
  <c r="C3441" i="55"/>
  <c r="C7568" i="55"/>
  <c r="C7314" i="55"/>
  <c r="C6553" i="55"/>
  <c r="C6198" i="55"/>
  <c r="C5678" i="55"/>
  <c r="C6078" i="55"/>
  <c r="C5336" i="55"/>
  <c r="C3610" i="55"/>
  <c r="C7102" i="55"/>
  <c r="C6654" i="55"/>
  <c r="C6234" i="55"/>
  <c r="C6203" i="55"/>
  <c r="C5787" i="55"/>
  <c r="C5494" i="55"/>
  <c r="C5638" i="55"/>
  <c r="C5216" i="55"/>
  <c r="C4956" i="55"/>
  <c r="C5011" i="55"/>
  <c r="C5406" i="55"/>
  <c r="C4546" i="55"/>
  <c r="C4110" i="55"/>
  <c r="C4352" i="55"/>
  <c r="C3778" i="55"/>
  <c r="C4202" i="55"/>
  <c r="C4319" i="55"/>
  <c r="C3708" i="55"/>
  <c r="C4069" i="55"/>
  <c r="C7510" i="55"/>
  <c r="C7135" i="55"/>
  <c r="C6496" i="55"/>
  <c r="C6263" i="55"/>
  <c r="C5969" i="55"/>
  <c r="C6286" i="55"/>
  <c r="C6000" i="55"/>
  <c r="C5250" i="55"/>
  <c r="C5283" i="55"/>
  <c r="C5162" i="55"/>
  <c r="C7184" i="55"/>
  <c r="C6558" i="55"/>
  <c r="C6296" i="55"/>
  <c r="C5767" i="55"/>
  <c r="C6046" i="55"/>
  <c r="C5100" i="55"/>
  <c r="C5543" i="55"/>
  <c r="C5211" i="55"/>
  <c r="C5187" i="55"/>
  <c r="C5055" i="55"/>
  <c r="C5325" i="55"/>
  <c r="C5333" i="55"/>
  <c r="C4896" i="55"/>
  <c r="C3962" i="55"/>
  <c r="C4171" i="55"/>
  <c r="C4705" i="55"/>
  <c r="C3812" i="55"/>
  <c r="C3951" i="55"/>
  <c r="C7591" i="55"/>
  <c r="C7109" i="55"/>
  <c r="C6587" i="55"/>
  <c r="C6104" i="55"/>
  <c r="C6114" i="55"/>
  <c r="C5631" i="55"/>
  <c r="C5225" i="55"/>
  <c r="C5563" i="55"/>
  <c r="C5095" i="55"/>
  <c r="C5338" i="55"/>
  <c r="C4755" i="55"/>
  <c r="C5223" i="55"/>
  <c r="C4451" i="55"/>
  <c r="C4641" i="55"/>
  <c r="C4128" i="55"/>
  <c r="C4248" i="55"/>
  <c r="C4473" i="55"/>
  <c r="C3740" i="55"/>
  <c r="C3927" i="55"/>
  <c r="C7199" i="55"/>
  <c r="C6850" i="55"/>
  <c r="C6042" i="55"/>
  <c r="C4329" i="55"/>
  <c r="C4606" i="55"/>
  <c r="C4201" i="55"/>
  <c r="C5042" i="55"/>
  <c r="C6030" i="55"/>
  <c r="C3608" i="55"/>
  <c r="C7529" i="55"/>
  <c r="C6865" i="55"/>
  <c r="C7101" i="55"/>
  <c r="C6396" i="55"/>
  <c r="C6293" i="55"/>
  <c r="C6029" i="55"/>
  <c r="C5238" i="55"/>
  <c r="C3461" i="55"/>
  <c r="C7299" i="55"/>
  <c r="C6436" i="55"/>
  <c r="C6128" i="55"/>
  <c r="C6150" i="55"/>
  <c r="C5682" i="55"/>
  <c r="C5282" i="55"/>
  <c r="C5547" i="55"/>
  <c r="C5151" i="55"/>
  <c r="C5432" i="55"/>
  <c r="C4962" i="55"/>
  <c r="C5191" i="55"/>
  <c r="C4448" i="55"/>
  <c r="C4013" i="55"/>
  <c r="C4222" i="55"/>
  <c r="C3680" i="55"/>
  <c r="C4104" i="55"/>
  <c r="C4205" i="55"/>
  <c r="C4126" i="55"/>
  <c r="C3915" i="55"/>
  <c r="C7319" i="55"/>
  <c r="C7275" i="55"/>
  <c r="C6794" i="55"/>
  <c r="C6101" i="55"/>
  <c r="C5897" i="55"/>
  <c r="C6233" i="55"/>
  <c r="C5860" i="55"/>
  <c r="C5602" i="55"/>
  <c r="C6020" i="55"/>
  <c r="C3574" i="55"/>
  <c r="C7171" i="55"/>
  <c r="C6824" i="55"/>
  <c r="C4745" i="55"/>
  <c r="C3905" i="55"/>
  <c r="C4276" i="55"/>
  <c r="C3827" i="55"/>
  <c r="C5433" i="55"/>
  <c r="C3559" i="55"/>
  <c r="C7392" i="55"/>
  <c r="C6950" i="55"/>
  <c r="C6695" i="55"/>
  <c r="C6193" i="55"/>
  <c r="C6244" i="55"/>
  <c r="C5968" i="55"/>
  <c r="C5141" i="55"/>
  <c r="C7597" i="55"/>
  <c r="C6956" i="55"/>
  <c r="C6838" i="55"/>
  <c r="C6321" i="55"/>
  <c r="C4855" i="55"/>
  <c r="C3909" i="55"/>
  <c r="C6367" i="55"/>
  <c r="C5514" i="55"/>
  <c r="C6358" i="55"/>
  <c r="C5869" i="55"/>
  <c r="C5741" i="55"/>
  <c r="C4931" i="55"/>
  <c r="C5016" i="55"/>
  <c r="C4683" i="55"/>
  <c r="C4424" i="55"/>
  <c r="C4279" i="55"/>
  <c r="C3960" i="55"/>
  <c r="C4262" i="55"/>
  <c r="C3898" i="55"/>
  <c r="C3558" i="55"/>
  <c r="C6970" i="55"/>
  <c r="C6023" i="55"/>
  <c r="C5960" i="55"/>
  <c r="C6021" i="55"/>
  <c r="C5486" i="55"/>
  <c r="C5441" i="55"/>
  <c r="C4784" i="55"/>
  <c r="C4878" i="55"/>
  <c r="C5260" i="55"/>
  <c r="C4662" i="55"/>
  <c r="C4588" i="55"/>
  <c r="C3810" i="55"/>
  <c r="C4957" i="55"/>
  <c r="C3777" i="55"/>
  <c r="C3716" i="55"/>
  <c r="C7513" i="55"/>
  <c r="C7091" i="55"/>
  <c r="C6044" i="55"/>
  <c r="C7501" i="55"/>
  <c r="C6511" i="55"/>
  <c r="C6182" i="55"/>
  <c r="C6138" i="55"/>
  <c r="C5896" i="55"/>
  <c r="C5814" i="55"/>
  <c r="C5630" i="55"/>
  <c r="C4964" i="55"/>
  <c r="C4804" i="55"/>
  <c r="C5345" i="55"/>
  <c r="C4200" i="55"/>
  <c r="C4051" i="55"/>
  <c r="C4001" i="55"/>
  <c r="C4494" i="55"/>
  <c r="C3947" i="55"/>
  <c r="C3642" i="55"/>
  <c r="C6836" i="55"/>
  <c r="C6424" i="55"/>
  <c r="C6211" i="55"/>
  <c r="C5517" i="55"/>
  <c r="C5875" i="55"/>
  <c r="C5614" i="55"/>
  <c r="C4948" i="55"/>
  <c r="C4788" i="55"/>
  <c r="C5329" i="55"/>
  <c r="C3611" i="55"/>
  <c r="C7272" i="55"/>
  <c r="C6116" i="55"/>
  <c r="C5670" i="55"/>
  <c r="C5722" i="55"/>
  <c r="C5545" i="55"/>
  <c r="C5140" i="55"/>
  <c r="C5782" i="55"/>
  <c r="C5003" i="55"/>
  <c r="C4561" i="55"/>
  <c r="C4321" i="55"/>
  <c r="C4450" i="55"/>
  <c r="C4318" i="55"/>
  <c r="C4664" i="55"/>
  <c r="C3656" i="55"/>
  <c r="C3858" i="55"/>
  <c r="C3926" i="55"/>
  <c r="C4587" i="55"/>
  <c r="C4432" i="55"/>
  <c r="C4682" i="55"/>
  <c r="C4676" i="55"/>
  <c r="C4930" i="55"/>
  <c r="C4833" i="55"/>
  <c r="C5568" i="55"/>
  <c r="C6324" i="55"/>
  <c r="C4996" i="55"/>
  <c r="C4027" i="55"/>
  <c r="C7577" i="55"/>
  <c r="C5515" i="55"/>
  <c r="C6349" i="55"/>
  <c r="C6298" i="55"/>
  <c r="C5404" i="55"/>
  <c r="C5025" i="55"/>
  <c r="C5301" i="55"/>
  <c r="C4663" i="55"/>
  <c r="C4864" i="55"/>
  <c r="C4605" i="55"/>
  <c r="C3737" i="55"/>
  <c r="C4652" i="55"/>
  <c r="C3686" i="55"/>
  <c r="C3821" i="55"/>
  <c r="C6987" i="55"/>
  <c r="C6423" i="55"/>
  <c r="C5965" i="55"/>
  <c r="C5736" i="55"/>
  <c r="C5312" i="55"/>
  <c r="C5503" i="55"/>
  <c r="C4887" i="55"/>
  <c r="C5281" i="55"/>
  <c r="C4737" i="55"/>
  <c r="C4578" i="55"/>
  <c r="C4778" i="55"/>
  <c r="C4392" i="55"/>
  <c r="C4393" i="55"/>
  <c r="C4124" i="55"/>
  <c r="C3704" i="55"/>
  <c r="C7389" i="55"/>
  <c r="C7228" i="55"/>
  <c r="C6051" i="55"/>
  <c r="C5691" i="55"/>
  <c r="C7067" i="55"/>
  <c r="C6031" i="55"/>
  <c r="C5881" i="55"/>
  <c r="C5920" i="55"/>
  <c r="C5290" i="55"/>
  <c r="C5311" i="55"/>
  <c r="C5634" i="55"/>
  <c r="C4789" i="55"/>
  <c r="C4723" i="55"/>
  <c r="C4500" i="55"/>
  <c r="C4531" i="55"/>
  <c r="C5065" i="55"/>
  <c r="C4750" i="55"/>
  <c r="C4089" i="55"/>
  <c r="C4004" i="55"/>
  <c r="C6864" i="55"/>
  <c r="C6341" i="55"/>
  <c r="C5979" i="55"/>
  <c r="C6003" i="55"/>
  <c r="C5420" i="55"/>
  <c r="C5303" i="55"/>
  <c r="C7333" i="55"/>
  <c r="C6022" i="55"/>
  <c r="C5383" i="55"/>
  <c r="C4390" i="55"/>
  <c r="C7009" i="55"/>
  <c r="C5497" i="55"/>
  <c r="C6133" i="55"/>
  <c r="C6237" i="55"/>
  <c r="C5480" i="55"/>
  <c r="C4920" i="55"/>
  <c r="C5249" i="55"/>
  <c r="C4558" i="55"/>
  <c r="C4703" i="55"/>
  <c r="C4552" i="55"/>
  <c r="C4423" i="55"/>
  <c r="C4595" i="55"/>
  <c r="C3661" i="55"/>
  <c r="C3714" i="55"/>
  <c r="C7023" i="55"/>
  <c r="C6753" i="55"/>
  <c r="C6443" i="55"/>
  <c r="C6212" i="55"/>
  <c r="C5182" i="55"/>
  <c r="C5389" i="55"/>
  <c r="C5167" i="55"/>
  <c r="C5228" i="55"/>
  <c r="C4525" i="55"/>
  <c r="C4472" i="55"/>
  <c r="C4252" i="55"/>
  <c r="C4233" i="55"/>
  <c r="C4234" i="55"/>
  <c r="C3904" i="55"/>
  <c r="C4097" i="55"/>
  <c r="C7453" i="55"/>
  <c r="C6576" i="55"/>
  <c r="C6412" i="55"/>
  <c r="C3509" i="55"/>
  <c r="C7008" i="55"/>
  <c r="C6222" i="55"/>
  <c r="C5726" i="55"/>
  <c r="C5771" i="55"/>
  <c r="C5586" i="55"/>
  <c r="C5181" i="55"/>
  <c r="C5427" i="55"/>
  <c r="C5023" i="55"/>
  <c r="C4601" i="55"/>
  <c r="C4362" i="55"/>
  <c r="C4470" i="55"/>
  <c r="C4357" i="55"/>
  <c r="C4681" i="55"/>
  <c r="C3752" i="55"/>
  <c r="C3883" i="55"/>
  <c r="C7126" i="55"/>
  <c r="C5958" i="55"/>
  <c r="C5865" i="55"/>
  <c r="C5913" i="55"/>
  <c r="C5266" i="55"/>
  <c r="C5172" i="55"/>
  <c r="C5414" i="55"/>
  <c r="C5019" i="55"/>
  <c r="C4593" i="55"/>
  <c r="C4353" i="55"/>
  <c r="C7108" i="55"/>
  <c r="C6723" i="55"/>
  <c r="C5740" i="55"/>
  <c r="C6066" i="55"/>
  <c r="C5542" i="55"/>
  <c r="C5555" i="55"/>
  <c r="C4850" i="55"/>
  <c r="C5000" i="55"/>
  <c r="C4289" i="55"/>
  <c r="C4711" i="55"/>
  <c r="C4637" i="55"/>
  <c r="C3867" i="55"/>
  <c r="C3934" i="55"/>
  <c r="C3668" i="55"/>
  <c r="C3751" i="55"/>
  <c r="C4016" i="55"/>
  <c r="C4213" i="55"/>
  <c r="C4041" i="55"/>
  <c r="C4454" i="55"/>
  <c r="C4687" i="55"/>
  <c r="C4785" i="55"/>
  <c r="C5459" i="55"/>
  <c r="C5530" i="55"/>
  <c r="C6195" i="55"/>
  <c r="C5449" i="55"/>
  <c r="C4325" i="55"/>
  <c r="C6307" i="55"/>
  <c r="C6943" i="55"/>
  <c r="C6168" i="55"/>
  <c r="C5308" i="55"/>
  <c r="C5021" i="55"/>
  <c r="C4452" i="55"/>
  <c r="C4281" i="55"/>
  <c r="C4054" i="55"/>
  <c r="C4542" i="55"/>
  <c r="C3738" i="55"/>
  <c r="C7216" i="55"/>
  <c r="C6657" i="55"/>
  <c r="C5735" i="55"/>
  <c r="C5902" i="55"/>
  <c r="C5267" i="55"/>
  <c r="C5799" i="55"/>
  <c r="C4869" i="55"/>
  <c r="C5268" i="55"/>
  <c r="C4483" i="55"/>
  <c r="C4025" i="55"/>
  <c r="C3798" i="55"/>
  <c r="C3875" i="55"/>
  <c r="C7041" i="55"/>
  <c r="C6483" i="55"/>
  <c r="C7267" i="55"/>
  <c r="C6761" i="55"/>
  <c r="C6285" i="55"/>
  <c r="C5507" i="55"/>
  <c r="C6102" i="55"/>
  <c r="C5573" i="55"/>
  <c r="C4834" i="55"/>
  <c r="C5252" i="55"/>
  <c r="C4320" i="55"/>
  <c r="C4290" i="55"/>
  <c r="C3847" i="55"/>
  <c r="C3723" i="55"/>
  <c r="C6479" i="55"/>
  <c r="C6325" i="55"/>
  <c r="C5763" i="55"/>
  <c r="C5633" i="55"/>
  <c r="C5012" i="55"/>
  <c r="C4902" i="55"/>
  <c r="C4463" i="55"/>
  <c r="C3585" i="55"/>
  <c r="C7388" i="55"/>
  <c r="C6169" i="55"/>
  <c r="C6221" i="55"/>
  <c r="C5380" i="55"/>
  <c r="C5689" i="55"/>
  <c r="C4924" i="55"/>
  <c r="C4802" i="55"/>
  <c r="C4440" i="55"/>
  <c r="C4576" i="55"/>
  <c r="C4212" i="55"/>
  <c r="C4469" i="55"/>
  <c r="C3834" i="55"/>
  <c r="C3685" i="55"/>
  <c r="C4441" i="55"/>
  <c r="C3802" i="55"/>
  <c r="C3940" i="55"/>
  <c r="C4774" i="55"/>
  <c r="C5411" i="55"/>
  <c r="C6053" i="55"/>
  <c r="C6024" i="55"/>
  <c r="C5911" i="55"/>
  <c r="C6626" i="55"/>
  <c r="C7566" i="55"/>
  <c r="C3652" i="55"/>
  <c r="C4075" i="55"/>
  <c r="C4969" i="55"/>
  <c r="C4255" i="55"/>
  <c r="C4532" i="55"/>
  <c r="C4623" i="55"/>
  <c r="C5005" i="55"/>
  <c r="C5376" i="55"/>
  <c r="C5255" i="55"/>
  <c r="C6159" i="55"/>
  <c r="C6145" i="55"/>
  <c r="C7492" i="55"/>
  <c r="C6272" i="55"/>
  <c r="C3869" i="55"/>
  <c r="C4530" i="55"/>
  <c r="C5643" i="55"/>
  <c r="C4782" i="55"/>
  <c r="C7324" i="55"/>
  <c r="C3457" i="55"/>
  <c r="C5645" i="55"/>
  <c r="C5526" i="55"/>
  <c r="C4825" i="55"/>
  <c r="C4885" i="55"/>
  <c r="C4611" i="55"/>
  <c r="C4173" i="55"/>
  <c r="C4161" i="55"/>
  <c r="C3991" i="55"/>
  <c r="C3572" i="55"/>
  <c r="C6555" i="55"/>
  <c r="C6226" i="55"/>
  <c r="C5936" i="55"/>
  <c r="C5895" i="55"/>
  <c r="C4993" i="55"/>
  <c r="C4772" i="55"/>
  <c r="C4830" i="55"/>
  <c r="C3931" i="55"/>
  <c r="C4399" i="55"/>
  <c r="C4579" i="55"/>
  <c r="C3803" i="55"/>
  <c r="C7074" i="55"/>
  <c r="C6597" i="55"/>
  <c r="C5821" i="55"/>
  <c r="C6694" i="55"/>
  <c r="C6374" i="55"/>
  <c r="C6010" i="55"/>
  <c r="C5745" i="55"/>
  <c r="C5121" i="55"/>
  <c r="C4919" i="55"/>
  <c r="C5035" i="55"/>
  <c r="C4227" i="55"/>
  <c r="C3786" i="55"/>
  <c r="C4416" i="55"/>
  <c r="C4130" i="55"/>
  <c r="C7552" i="55"/>
  <c r="C6166" i="55"/>
  <c r="C5687" i="55"/>
  <c r="C5575" i="55"/>
  <c r="C5097" i="55"/>
  <c r="C5289" i="55"/>
  <c r="C4444" i="55"/>
  <c r="C4614" i="55"/>
  <c r="C6977" i="55"/>
  <c r="C6338" i="55"/>
  <c r="C6110" i="55"/>
  <c r="C5466" i="55"/>
  <c r="C5324" i="55"/>
  <c r="C5778" i="55"/>
  <c r="C4942" i="55"/>
  <c r="C5280" i="55"/>
  <c r="C4978" i="55"/>
  <c r="C4120" i="55"/>
  <c r="C4941" i="55"/>
  <c r="C3726" i="55"/>
  <c r="C3793" i="55"/>
  <c r="C4272" i="55"/>
  <c r="C4527" i="55"/>
  <c r="C4857" i="55"/>
  <c r="C4976" i="55"/>
  <c r="C5758" i="55"/>
  <c r="C5943" i="55"/>
  <c r="C6305" i="55"/>
  <c r="C6132" i="55"/>
  <c r="C7423" i="55"/>
  <c r="C3650" i="55"/>
  <c r="C4105" i="55"/>
  <c r="C4031" i="55"/>
  <c r="C4282" i="55"/>
  <c r="C4102" i="55"/>
  <c r="C4610" i="55"/>
  <c r="C5143" i="55"/>
  <c r="C5146" i="55"/>
  <c r="C5562" i="55"/>
  <c r="C6160" i="55"/>
  <c r="C6372" i="55"/>
  <c r="C6901" i="55"/>
  <c r="C3718" i="55"/>
  <c r="C3953" i="55"/>
  <c r="C4355" i="55"/>
  <c r="C7329" i="55"/>
  <c r="C6073" i="55"/>
  <c r="C5010" i="55"/>
  <c r="C6622" i="55"/>
  <c r="C3522" i="55"/>
  <c r="C6264" i="55"/>
  <c r="C5859" i="55"/>
  <c r="C5762" i="55"/>
  <c r="C5288" i="55"/>
  <c r="C4597" i="55"/>
  <c r="C3856" i="55"/>
  <c r="C4056" i="55"/>
  <c r="C4028" i="55"/>
  <c r="C7430" i="55"/>
  <c r="C6763" i="55"/>
  <c r="C6329" i="55"/>
  <c r="C5828" i="55"/>
  <c r="C5777" i="55"/>
  <c r="C5004" i="55"/>
  <c r="C5027" i="55"/>
  <c r="C5361" i="55"/>
  <c r="C4747" i="55"/>
  <c r="C4332" i="55"/>
  <c r="C4526" i="55"/>
  <c r="C3808" i="55"/>
  <c r="C6979" i="55"/>
  <c r="C6227" i="55"/>
  <c r="C3443" i="55"/>
  <c r="C6796" i="55"/>
  <c r="C6346" i="55"/>
  <c r="C6005" i="55"/>
  <c r="C5647" i="55"/>
  <c r="C5020" i="55"/>
  <c r="C4958" i="55"/>
  <c r="C4749" i="55"/>
  <c r="C4727" i="55"/>
  <c r="C4261" i="55"/>
  <c r="C4221" i="55"/>
  <c r="C3792" i="55"/>
  <c r="C6997" i="55"/>
  <c r="C6380" i="55"/>
  <c r="C6245" i="55"/>
  <c r="C5578" i="55"/>
  <c r="C4960" i="55"/>
  <c r="C5210" i="55"/>
  <c r="C4322" i="55"/>
  <c r="C4484" i="55"/>
  <c r="C6955" i="55"/>
  <c r="C6361" i="55"/>
  <c r="C6012" i="55"/>
  <c r="C5295" i="55"/>
  <c r="C5959" i="55"/>
  <c r="C5536" i="55"/>
  <c r="C4877" i="55"/>
  <c r="C4826" i="55"/>
  <c r="C4347" i="55"/>
  <c r="C3998" i="55"/>
  <c r="C4725" i="55"/>
  <c r="C4109" i="55"/>
  <c r="C6045" i="55"/>
  <c r="C4740" i="55"/>
  <c r="C6775" i="55"/>
  <c r="C6810" i="55"/>
  <c r="C5482" i="55"/>
  <c r="C5585" i="55"/>
  <c r="C4577" i="55"/>
  <c r="C4714" i="55"/>
  <c r="C3950" i="55"/>
  <c r="C3662" i="55"/>
  <c r="C6778" i="55"/>
  <c r="C5707" i="55"/>
  <c r="C5442" i="55"/>
  <c r="C5463" i="55"/>
  <c r="C4975" i="55"/>
  <c r="C4557" i="55"/>
  <c r="C4982" i="55"/>
  <c r="C4384" i="55"/>
  <c r="C3450" i="55"/>
  <c r="C6415" i="55"/>
  <c r="C3544" i="55"/>
  <c r="C6357" i="55"/>
  <c r="C6253" i="55"/>
  <c r="C5495" i="55"/>
  <c r="C5419" i="55"/>
  <c r="C5244" i="55"/>
  <c r="C4666" i="55"/>
  <c r="C4226" i="55"/>
  <c r="C3918" i="55"/>
  <c r="C6926" i="55"/>
  <c r="C5780" i="55"/>
  <c r="C5352" i="55"/>
  <c r="C5200" i="55"/>
  <c r="C4954" i="55"/>
  <c r="C4480" i="55"/>
  <c r="C6729" i="55"/>
  <c r="C6434" i="55"/>
  <c r="C5468" i="55"/>
  <c r="C5408" i="55"/>
  <c r="C5330" i="55"/>
  <c r="C4691" i="55"/>
  <c r="C5183" i="55"/>
  <c r="C3968" i="55"/>
  <c r="C3790" i="55"/>
  <c r="C3896" i="55"/>
  <c r="C3957" i="55"/>
  <c r="C4358" i="55"/>
  <c r="C4822" i="55"/>
  <c r="C5081" i="55"/>
  <c r="C5417" i="55"/>
  <c r="C5683" i="55"/>
  <c r="C6560" i="55"/>
  <c r="C3703" i="55"/>
  <c r="C4377" i="55"/>
  <c r="C4458" i="55"/>
  <c r="C4529" i="55"/>
  <c r="C5032" i="55"/>
  <c r="C4912" i="55"/>
  <c r="C5510" i="55"/>
  <c r="C6252" i="55"/>
  <c r="C6634" i="55"/>
  <c r="C3533" i="55"/>
  <c r="C3887" i="55"/>
  <c r="C4099" i="55"/>
  <c r="C4228" i="55"/>
  <c r="C4625" i="55"/>
  <c r="C4554" i="55"/>
  <c r="C4853" i="55"/>
  <c r="C5713" i="55"/>
  <c r="C5438" i="55"/>
  <c r="C5444" i="55"/>
  <c r="C5764" i="55"/>
  <c r="C6664" i="55"/>
  <c r="C3481" i="55"/>
  <c r="C3707" i="55"/>
  <c r="C4170" i="55"/>
  <c r="C4218" i="55"/>
  <c r="C5030" i="55"/>
  <c r="C4293" i="55"/>
  <c r="C4338" i="55"/>
  <c r="C5362" i="55"/>
  <c r="C5803" i="55"/>
  <c r="C5084" i="55"/>
  <c r="C6417" i="55"/>
  <c r="C6170" i="55"/>
  <c r="C7103" i="55"/>
  <c r="C4146" i="55"/>
  <c r="C4278" i="55"/>
  <c r="C4106" i="55"/>
  <c r="C4487" i="55"/>
  <c r="C4766" i="55"/>
  <c r="C4865" i="55"/>
  <c r="C5622" i="55"/>
  <c r="C5628" i="55"/>
  <c r="C5523" i="55"/>
  <c r="C6297" i="55"/>
  <c r="C6387" i="55"/>
  <c r="C7292" i="55"/>
  <c r="C5351" i="55"/>
  <c r="C3829" i="55"/>
  <c r="C5612" i="55"/>
  <c r="C5961" i="55"/>
  <c r="C5721" i="55"/>
  <c r="C4938" i="55"/>
  <c r="C4175" i="55"/>
  <c r="C4066" i="55"/>
  <c r="C3663" i="55"/>
  <c r="C7120" i="55"/>
  <c r="C6515" i="55"/>
  <c r="C6086" i="55"/>
  <c r="C5671" i="55"/>
  <c r="C4883" i="55"/>
  <c r="C4536" i="55"/>
  <c r="C4247" i="55"/>
  <c r="C3917" i="55"/>
  <c r="C3654" i="55"/>
  <c r="C6968" i="55"/>
  <c r="C6079" i="55"/>
  <c r="C6484" i="55"/>
  <c r="C6215" i="55"/>
  <c r="C5583" i="55"/>
  <c r="C5202" i="55"/>
  <c r="C4712" i="55"/>
  <c r="C4317" i="55"/>
  <c r="C3908" i="55"/>
  <c r="C3709" i="55"/>
  <c r="C7310" i="55"/>
  <c r="C6507" i="55"/>
  <c r="C5907" i="55"/>
  <c r="C5587" i="55"/>
  <c r="C5350" i="55"/>
  <c r="C4844" i="55"/>
  <c r="C7078" i="55"/>
  <c r="C5926" i="55"/>
  <c r="C6147" i="55"/>
  <c r="C5789" i="55"/>
  <c r="C4972" i="55"/>
  <c r="C4680" i="55"/>
  <c r="C4375" i="55"/>
  <c r="C4250" i="55"/>
  <c r="C4335" i="55"/>
  <c r="C4166" i="55"/>
  <c r="C3710" i="55"/>
  <c r="C4361" i="55"/>
  <c r="C5085" i="55"/>
  <c r="C5374" i="55"/>
  <c r="C5664" i="55"/>
  <c r="C5554" i="55"/>
  <c r="C5768" i="55"/>
  <c r="C6532" i="55"/>
  <c r="C3635" i="55"/>
  <c r="C3861" i="55"/>
  <c r="C4673" i="55"/>
  <c r="C4111" i="55"/>
  <c r="C4373" i="55"/>
  <c r="C4800" i="55"/>
  <c r="C5666" i="55"/>
  <c r="C5749" i="55"/>
  <c r="C6058" i="55"/>
  <c r="C6306" i="55"/>
  <c r="C7307" i="55"/>
  <c r="C5147" i="55"/>
  <c r="C3768" i="55"/>
  <c r="C4210" i="55"/>
  <c r="C4117" i="55"/>
  <c r="C4402" i="55"/>
  <c r="C4493" i="55"/>
  <c r="C5436" i="55"/>
  <c r="C5213" i="55"/>
  <c r="C5076" i="55"/>
  <c r="C6403" i="55"/>
  <c r="C6162" i="55"/>
  <c r="C7183" i="55"/>
  <c r="C3731" i="55"/>
  <c r="C4693" i="55"/>
  <c r="C3851" i="55"/>
  <c r="C4219" i="55"/>
  <c r="C4798" i="55"/>
  <c r="C4862" i="55"/>
  <c r="C5169" i="55"/>
  <c r="C6049" i="55"/>
  <c r="C6082" i="55"/>
  <c r="C6535" i="55"/>
  <c r="C7132" i="55"/>
  <c r="C6937" i="55"/>
  <c r="C5086" i="55"/>
  <c r="C3930" i="55"/>
  <c r="C7256" i="55"/>
  <c r="C5739" i="55"/>
  <c r="C5544" i="55"/>
  <c r="C5043" i="55"/>
  <c r="C4070" i="55"/>
  <c r="C4860" i="55"/>
  <c r="C3715" i="55"/>
  <c r="C7082" i="55"/>
  <c r="C6247" i="55"/>
  <c r="C5698" i="55"/>
  <c r="C5327" i="55"/>
  <c r="C5391" i="55"/>
  <c r="C5082" i="55"/>
  <c r="C4141" i="55"/>
  <c r="C4738" i="55"/>
  <c r="C3816" i="55"/>
  <c r="C6770" i="55"/>
  <c r="C5957" i="55"/>
  <c r="C6960" i="55"/>
  <c r="C6386" i="55"/>
  <c r="C5429" i="55"/>
  <c r="C4882" i="55"/>
  <c r="C4590" i="55"/>
  <c r="C4078" i="55"/>
  <c r="C4123" i="55"/>
  <c r="C3763" i="55"/>
  <c r="C7185" i="55"/>
  <c r="C6209" i="55"/>
  <c r="C5892" i="55"/>
  <c r="C5457" i="55"/>
  <c r="C5129" i="55"/>
  <c r="C4859" i="55"/>
  <c r="C7371" i="55"/>
  <c r="C6092" i="55"/>
  <c r="C5987" i="55"/>
  <c r="C5716" i="55"/>
  <c r="C5492" i="55"/>
  <c r="C4541" i="55"/>
  <c r="C4291" i="55"/>
  <c r="C3745" i="55"/>
  <c r="C4181" i="55"/>
  <c r="C3923" i="55"/>
  <c r="C3670" i="55"/>
  <c r="C4953" i="55"/>
  <c r="C4364" i="55"/>
  <c r="C4436" i="55"/>
  <c r="C4988" i="55"/>
  <c r="C5307" i="55"/>
  <c r="C6154" i="55"/>
  <c r="C6613" i="55"/>
  <c r="C3549" i="55"/>
  <c r="C3666" i="55"/>
  <c r="C4754" i="55"/>
  <c r="C4949" i="55"/>
  <c r="C4370" i="55"/>
  <c r="C5272" i="55"/>
  <c r="C4841" i="55"/>
  <c r="C5826" i="55"/>
  <c r="C6265" i="55"/>
  <c r="C6197" i="55"/>
  <c r="C7543" i="55"/>
  <c r="C5620" i="55"/>
  <c r="C4154" i="55"/>
  <c r="C5069" i="55"/>
  <c r="C4287" i="55"/>
  <c r="C4549" i="55"/>
  <c r="C4647" i="55"/>
  <c r="C5029" i="55"/>
  <c r="C5392" i="55"/>
  <c r="C5271" i="55"/>
  <c r="C6167" i="55"/>
  <c r="C6822" i="55"/>
  <c r="C7086" i="55"/>
  <c r="C4142" i="55"/>
  <c r="C4876" i="55"/>
  <c r="C4006" i="55"/>
  <c r="C4843" i="55"/>
  <c r="C4488" i="55"/>
  <c r="C5057" i="55"/>
  <c r="C4977" i="55"/>
  <c r="C5635" i="55"/>
  <c r="C6192" i="55"/>
  <c r="C6336" i="55"/>
  <c r="C6928" i="55"/>
  <c r="C4101" i="55"/>
  <c r="C3823" i="55"/>
  <c r="C5166" i="55"/>
  <c r="C3995" i="55"/>
  <c r="C4414" i="55"/>
  <c r="C4354" i="55"/>
  <c r="C5367" i="55"/>
  <c r="C5835" i="55"/>
  <c r="C5591" i="55"/>
  <c r="C5874" i="55"/>
  <c r="C6668" i="55"/>
  <c r="C6897" i="55"/>
  <c r="C6096" i="55"/>
  <c r="C5334" i="55"/>
  <c r="C3866" i="55"/>
  <c r="C7434" i="55"/>
  <c r="C6057" i="55"/>
  <c r="C5186" i="55"/>
  <c r="C4783" i="55"/>
  <c r="C4298" i="55"/>
  <c r="C5101" i="55"/>
  <c r="C3845" i="55"/>
  <c r="C7084" i="55"/>
  <c r="C6052" i="55"/>
  <c r="C5509" i="55"/>
  <c r="C5205" i="55"/>
  <c r="C5152" i="55"/>
  <c r="C4684" i="55"/>
  <c r="C4035" i="55"/>
  <c r="C4685" i="55"/>
  <c r="C4134" i="55"/>
  <c r="C6547" i="55"/>
  <c r="C6441" i="55"/>
  <c r="C6545" i="55"/>
  <c r="C5849" i="55"/>
  <c r="C5440" i="55"/>
  <c r="C4760" i="55"/>
  <c r="C4460" i="55"/>
  <c r="C3948" i="55"/>
  <c r="C4921" i="55"/>
  <c r="C3775" i="55"/>
  <c r="C7557" i="55"/>
  <c r="C6047" i="55"/>
  <c r="C5672" i="55"/>
  <c r="C5770" i="55"/>
  <c r="C5041" i="55"/>
  <c r="C4733" i="55"/>
  <c r="C7511" i="55"/>
  <c r="C6331" i="55"/>
  <c r="C5877" i="55"/>
  <c r="C5592" i="55"/>
  <c r="C5046" i="55"/>
  <c r="C4411" i="55"/>
  <c r="C4159" i="55"/>
  <c r="C4413" i="55"/>
  <c r="C4059" i="55"/>
  <c r="C3658" i="55"/>
  <c r="C4073" i="55"/>
  <c r="C4196" i="55"/>
  <c r="C4094" i="55"/>
  <c r="C4615" i="55"/>
  <c r="C5137" i="55"/>
  <c r="C5502" i="55"/>
  <c r="C6248" i="55"/>
  <c r="C6550" i="55"/>
  <c r="C4061" i="55"/>
  <c r="C3877" i="55"/>
  <c r="C3954" i="55"/>
  <c r="C4695" i="55"/>
  <c r="C4836" i="55"/>
  <c r="C5028" i="55"/>
  <c r="C5919" i="55"/>
  <c r="C5784" i="55"/>
  <c r="C6690" i="55"/>
  <c r="C7605" i="55"/>
  <c r="C5772" i="55"/>
  <c r="C3828" i="55"/>
  <c r="C5018" i="55"/>
  <c r="C4474" i="55"/>
  <c r="C4728" i="55"/>
  <c r="C4818" i="55"/>
  <c r="C5524" i="55"/>
  <c r="C5579" i="55"/>
  <c r="C5474" i="55"/>
  <c r="C5751" i="55"/>
  <c r="C6786" i="55"/>
  <c r="C7491" i="55"/>
  <c r="C3759" i="55"/>
  <c r="C3901" i="55"/>
  <c r="C4152" i="55"/>
  <c r="C3988" i="55"/>
  <c r="C4634" i="55"/>
  <c r="C5161" i="55"/>
  <c r="C5467" i="55"/>
  <c r="C5347" i="55"/>
  <c r="C6290" i="55"/>
  <c r="C6505" i="55"/>
  <c r="C6673" i="55"/>
  <c r="C4010" i="55"/>
  <c r="C5878" i="55"/>
  <c r="C5132" i="55"/>
  <c r="C5212" i="55"/>
  <c r="C4350" i="55"/>
  <c r="C3891" i="55"/>
  <c r="C6428" i="55"/>
  <c r="C5364" i="55"/>
  <c r="C4989" i="55"/>
  <c r="C4333" i="55"/>
  <c r="C4129" i="55"/>
  <c r="C7572" i="55"/>
  <c r="C6218" i="55"/>
  <c r="C6429" i="55"/>
  <c r="C6061" i="55"/>
  <c r="C5217" i="55"/>
  <c r="C4398" i="55"/>
  <c r="C3852" i="55"/>
  <c r="C7493" i="55"/>
  <c r="C6126" i="55"/>
  <c r="C6069" i="55"/>
  <c r="C4832" i="55"/>
  <c r="C7444" i="55"/>
  <c r="C5832" i="55"/>
  <c r="C5863" i="55"/>
  <c r="C5112" i="55"/>
  <c r="C4443" i="55"/>
  <c r="C4344" i="55"/>
  <c r="C3727" i="55"/>
  <c r="C4514" i="55"/>
  <c r="C4239" i="55"/>
  <c r="C4821" i="55"/>
  <c r="C5822" i="55"/>
  <c r="C5925" i="55"/>
  <c r="C7246" i="55"/>
  <c r="C3724" i="55"/>
  <c r="C4341" i="55"/>
  <c r="C5284" i="55"/>
  <c r="C5326" i="55"/>
  <c r="C5315" i="55"/>
  <c r="C5955" i="55"/>
  <c r="C3604" i="55"/>
  <c r="C3755" i="55"/>
  <c r="C4082" i="55"/>
  <c r="C3980" i="55"/>
  <c r="C5321" i="55"/>
  <c r="C4944" i="55"/>
  <c r="C6013" i="55"/>
  <c r="C6502" i="55"/>
  <c r="C7613" i="55"/>
  <c r="C3895" i="55"/>
  <c r="C4270" i="55"/>
  <c r="C3986" i="55"/>
  <c r="C5349" i="55"/>
  <c r="C4875" i="55"/>
  <c r="C5663" i="55"/>
  <c r="C6171" i="55"/>
  <c r="C6793" i="55"/>
  <c r="C3899" i="55"/>
  <c r="C4132" i="55"/>
  <c r="C4374" i="55"/>
  <c r="C4235" i="55"/>
  <c r="C4496" i="55"/>
  <c r="C5273" i="55"/>
  <c r="C5425" i="55"/>
  <c r="C5460" i="55"/>
  <c r="C6402" i="55"/>
  <c r="C6849" i="55"/>
  <c r="C7607" i="55"/>
  <c r="C7028" i="55"/>
  <c r="C6519" i="55"/>
  <c r="C3596" i="55"/>
  <c r="C7452" i="55"/>
  <c r="C7152" i="55"/>
  <c r="C7382" i="55"/>
  <c r="C7223" i="55"/>
  <c r="C6871" i="55"/>
  <c r="C6406" i="55"/>
  <c r="C6863" i="55"/>
  <c r="C6772" i="55"/>
  <c r="C6767" i="55"/>
  <c r="C3621" i="55"/>
  <c r="C7366" i="55"/>
  <c r="C7387" i="55"/>
  <c r="C7133" i="55"/>
  <c r="C7442" i="55"/>
  <c r="C7076" i="55"/>
  <c r="C6790" i="55"/>
  <c r="C6722" i="55"/>
  <c r="C6637" i="55"/>
  <c r="C6360" i="55"/>
  <c r="C3486" i="55"/>
  <c r="C3614" i="55"/>
  <c r="C7417" i="55"/>
  <c r="C7505" i="55"/>
  <c r="C7116" i="55"/>
  <c r="C7005" i="55"/>
  <c r="C6549" i="55"/>
  <c r="C6506" i="55"/>
  <c r="C7355" i="55"/>
  <c r="C6088" i="55"/>
  <c r="C3448" i="55"/>
  <c r="C3624" i="55"/>
  <c r="C7517" i="55"/>
  <c r="C3579" i="55"/>
  <c r="C3563" i="55"/>
  <c r="C7300" i="55"/>
  <c r="C7115" i="55"/>
  <c r="C3582" i="55"/>
  <c r="C7284" i="55"/>
  <c r="C7098" i="55"/>
  <c r="C7590" i="55"/>
  <c r="C6536" i="55"/>
  <c r="C3638" i="55"/>
  <c r="C7455" i="55"/>
  <c r="C7265" i="55"/>
  <c r="C6908" i="55"/>
  <c r="C6787" i="55"/>
  <c r="C6853" i="55"/>
  <c r="C3466" i="55"/>
  <c r="C7306" i="55"/>
  <c r="C7206" i="55"/>
  <c r="C7000" i="55"/>
  <c r="C6588" i="55"/>
  <c r="C6556" i="55"/>
  <c r="C6395" i="55"/>
  <c r="C3444" i="55"/>
  <c r="C7608" i="55"/>
  <c r="C6999" i="55"/>
  <c r="C6573" i="55"/>
  <c r="C6896" i="55"/>
  <c r="C6129" i="55"/>
  <c r="C6117" i="55"/>
  <c r="C7468" i="55"/>
  <c r="C7186" i="55"/>
  <c r="C6931" i="55"/>
  <c r="C6951" i="55"/>
  <c r="C6703" i="55"/>
  <c r="C6018" i="55"/>
  <c r="C3455" i="55"/>
  <c r="C7317" i="55"/>
  <c r="C6880" i="55"/>
  <c r="C6811" i="55"/>
  <c r="C6566" i="55"/>
  <c r="C6332" i="55"/>
  <c r="C6271" i="55"/>
  <c r="C3939" i="55"/>
  <c r="C5917" i="55"/>
  <c r="C3739" i="55"/>
  <c r="C5748" i="55"/>
  <c r="C5037" i="55"/>
  <c r="C4824" i="55"/>
  <c r="C4267" i="55"/>
  <c r="C3561" i="55"/>
  <c r="C6356" i="55"/>
  <c r="C5570" i="55"/>
  <c r="C4984" i="55"/>
  <c r="C4143" i="55"/>
  <c r="C4632" i="55"/>
  <c r="C7226" i="55"/>
  <c r="C6313" i="55"/>
  <c r="C6242" i="55"/>
  <c r="C5879" i="55"/>
  <c r="C5136" i="55"/>
  <c r="C4412" i="55"/>
  <c r="C4620" i="55"/>
  <c r="C7244" i="55"/>
  <c r="C6384" i="55"/>
  <c r="C5528" i="55"/>
  <c r="C4704" i="55"/>
  <c r="C7250" i="55"/>
  <c r="C6268" i="55"/>
  <c r="C5454" i="55"/>
  <c r="C4870" i="55"/>
  <c r="C4029" i="55"/>
  <c r="C4186" i="55"/>
  <c r="C4669" i="55"/>
  <c r="C4613" i="55"/>
  <c r="C5127" i="55"/>
  <c r="C5997" i="55"/>
  <c r="C6136" i="55"/>
  <c r="C7502" i="55"/>
  <c r="C3795" i="55"/>
  <c r="C3664" i="55"/>
  <c r="C4692" i="55"/>
  <c r="C5423" i="55"/>
  <c r="C6008" i="55"/>
  <c r="C5933" i="55"/>
  <c r="C3699" i="55"/>
  <c r="C3688" i="55"/>
  <c r="C4127" i="55"/>
  <c r="C4950" i="55"/>
  <c r="C5195" i="55"/>
  <c r="C5659" i="55"/>
  <c r="C6288" i="55"/>
  <c r="C3440" i="55"/>
  <c r="C4085" i="55"/>
  <c r="C4461" i="55"/>
  <c r="C4149" i="55"/>
  <c r="C4562" i="55"/>
  <c r="C5038" i="55"/>
  <c r="C5765" i="55"/>
  <c r="C6276" i="55"/>
  <c r="C6814" i="55"/>
  <c r="C3734" i="55"/>
  <c r="C4465" i="55"/>
  <c r="C3713" i="55"/>
  <c r="C4880" i="55"/>
  <c r="C4658" i="55"/>
  <c r="C4891" i="55"/>
  <c r="C5275" i="55"/>
  <c r="C6575" i="55"/>
  <c r="C5990" i="55"/>
  <c r="C7200" i="55"/>
  <c r="C7460" i="55"/>
  <c r="C7236" i="55"/>
  <c r="C6920" i="55"/>
  <c r="C3598" i="55"/>
  <c r="C7353" i="55"/>
  <c r="C7592" i="55"/>
  <c r="C7263" i="55"/>
  <c r="C7059" i="55"/>
  <c r="C7575" i="55"/>
  <c r="C6986" i="55"/>
  <c r="C6774" i="55"/>
  <c r="C6595" i="55"/>
  <c r="C6570" i="55"/>
  <c r="C3518" i="55"/>
  <c r="C7601" i="55"/>
  <c r="C7530" i="55"/>
  <c r="C3698" i="55"/>
  <c r="C6433" i="55"/>
  <c r="C6445" i="55"/>
  <c r="C5986" i="55"/>
  <c r="C5418" i="55"/>
  <c r="C4716" i="55"/>
  <c r="C3844" i="55"/>
  <c r="C3565" i="55"/>
  <c r="C5857" i="55"/>
  <c r="C5448" i="55"/>
  <c r="C4922" i="55"/>
  <c r="C4037" i="55"/>
  <c r="C4229" i="55"/>
  <c r="C7130" i="55"/>
  <c r="C7466" i="55"/>
  <c r="C6055" i="55"/>
  <c r="C5356" i="55"/>
  <c r="C5049" i="55"/>
  <c r="C4596" i="55"/>
  <c r="C4559" i="55"/>
  <c r="C7031" i="55"/>
  <c r="C5841" i="55"/>
  <c r="C5111" i="55"/>
  <c r="C4582" i="55"/>
  <c r="C6831" i="55"/>
  <c r="C6187" i="55"/>
  <c r="C5278" i="55"/>
  <c r="C5226" i="55"/>
  <c r="C4702" i="55"/>
  <c r="C4064" i="55"/>
  <c r="C4742" i="55"/>
  <c r="C4241" i="55"/>
  <c r="C5245" i="55"/>
  <c r="C5247" i="55"/>
  <c r="C6364" i="55"/>
  <c r="C3766" i="55"/>
  <c r="C3819" i="55"/>
  <c r="C5044" i="55"/>
  <c r="C5475" i="55"/>
  <c r="C5426" i="55"/>
  <c r="C6152" i="55"/>
  <c r="C4093" i="55"/>
  <c r="C3835" i="55"/>
  <c r="C4273" i="55"/>
  <c r="C5048" i="55"/>
  <c r="C5807" i="55"/>
  <c r="C5796" i="55"/>
  <c r="C6473" i="55"/>
  <c r="C3732" i="55"/>
  <c r="C4538" i="55"/>
  <c r="C4304" i="55"/>
  <c r="C4759" i="55"/>
  <c r="C5589" i="55"/>
  <c r="C5846" i="55"/>
  <c r="C5759" i="55"/>
  <c r="C6828" i="55"/>
  <c r="C3760" i="55"/>
  <c r="C4547" i="55"/>
  <c r="C3859" i="55"/>
  <c r="C3997" i="55"/>
  <c r="C5126" i="55"/>
  <c r="C5063" i="55"/>
  <c r="C5462" i="55"/>
  <c r="C5820" i="55"/>
  <c r="C6250" i="55"/>
  <c r="C6936" i="55"/>
  <c r="C7397" i="55"/>
  <c r="C6900" i="55"/>
  <c r="C6661" i="55"/>
  <c r="C3521" i="55"/>
  <c r="C3526" i="55"/>
  <c r="C7479" i="55"/>
  <c r="C7279" i="55"/>
  <c r="C7164" i="55"/>
  <c r="C6961" i="55"/>
  <c r="C6877" i="55"/>
  <c r="C6817" i="55"/>
  <c r="C6675" i="55"/>
  <c r="C6416" i="55"/>
  <c r="C6379" i="55"/>
  <c r="C3615" i="55"/>
  <c r="C7576" i="55"/>
  <c r="C7332" i="55"/>
  <c r="C3850" i="55"/>
  <c r="C5537" i="55"/>
  <c r="C5792" i="55"/>
  <c r="C6199" i="55"/>
  <c r="C4916" i="55"/>
  <c r="C4386" i="55"/>
  <c r="C4437" i="55"/>
  <c r="C7469" i="55"/>
  <c r="C6317" i="55"/>
  <c r="C5720" i="55"/>
  <c r="C5196" i="55"/>
  <c r="C4694" i="55"/>
  <c r="C3693" i="55"/>
  <c r="C6993" i="55"/>
  <c r="C7582" i="55"/>
  <c r="C5788" i="55"/>
  <c r="C5603" i="55"/>
  <c r="C4897" i="55"/>
  <c r="C4182" i="55"/>
  <c r="C4091" i="55"/>
  <c r="C6645" i="55"/>
  <c r="C6164" i="55"/>
  <c r="C4874" i="55"/>
  <c r="C5227" i="55"/>
  <c r="C6531" i="55"/>
  <c r="C5809" i="55"/>
  <c r="C5447" i="55"/>
  <c r="C5402" i="55"/>
  <c r="C4515" i="55"/>
  <c r="C4603" i="55"/>
  <c r="C3744" i="55"/>
  <c r="C3868" i="55"/>
  <c r="C4337" i="55"/>
  <c r="C5322" i="55"/>
  <c r="C5639" i="55"/>
  <c r="C6231" i="55"/>
  <c r="C3920" i="55"/>
  <c r="C3965" i="55"/>
  <c r="C4779" i="55"/>
  <c r="C5431" i="55"/>
  <c r="C5655" i="55"/>
  <c r="C6255" i="55"/>
  <c r="C3757" i="55"/>
  <c r="C3989" i="55"/>
  <c r="C4389" i="55"/>
  <c r="C4854" i="55"/>
  <c r="C5738" i="55"/>
  <c r="C5954" i="55"/>
  <c r="C6279" i="55"/>
  <c r="C3743" i="55"/>
  <c r="C4072" i="55"/>
  <c r="C4478" i="55"/>
  <c r="C4856" i="55"/>
  <c r="C5455" i="55"/>
  <c r="C5559" i="55"/>
  <c r="C5937" i="55"/>
  <c r="C7584" i="55"/>
  <c r="C3771" i="55"/>
  <c r="C4624" i="55"/>
  <c r="C4014" i="55"/>
  <c r="C4151" i="55"/>
  <c r="C4509" i="55"/>
  <c r="C5471" i="55"/>
  <c r="C5684" i="55"/>
  <c r="C5985" i="55"/>
  <c r="C6600" i="55"/>
  <c r="C7296" i="55"/>
  <c r="C7342" i="55"/>
  <c r="C7026" i="55"/>
  <c r="C3482" i="55"/>
  <c r="C3580" i="55"/>
  <c r="C7381" i="55"/>
  <c r="C7180" i="55"/>
  <c r="C7066" i="55"/>
  <c r="C6862" i="55"/>
  <c r="C6762" i="55"/>
  <c r="C6719" i="55"/>
  <c r="C6577" i="55"/>
  <c r="C6300" i="55"/>
  <c r="C6813" i="55"/>
  <c r="C3592" i="55"/>
  <c r="C7542" i="55"/>
  <c r="C7243" i="55"/>
  <c r="C3894" i="55"/>
  <c r="C6098" i="55"/>
  <c r="C5686" i="55"/>
  <c r="C5915" i="55"/>
  <c r="C5407" i="55"/>
  <c r="C4356" i="55"/>
  <c r="C4156" i="55"/>
  <c r="C7259" i="55"/>
  <c r="C6240" i="55"/>
  <c r="C5625" i="55"/>
  <c r="C4849" i="55"/>
  <c r="C4535" i="55"/>
  <c r="C4138" i="55"/>
  <c r="C7030" i="55"/>
  <c r="C7277" i="55"/>
  <c r="C5995" i="55"/>
  <c r="C5465" i="55"/>
  <c r="C5256" i="55"/>
  <c r="C3913" i="55"/>
  <c r="C3969" i="55"/>
  <c r="C6929" i="55"/>
  <c r="C6094" i="55"/>
  <c r="C5827" i="55"/>
  <c r="C4715" i="55"/>
  <c r="C6599" i="55"/>
  <c r="C6462" i="55"/>
  <c r="C5532" i="55"/>
  <c r="C5098" i="55"/>
  <c r="C4263" i="55"/>
  <c r="C4534" i="55"/>
  <c r="C3862" i="55"/>
  <c r="C4015" i="55"/>
  <c r="C4524" i="55"/>
  <c r="C4997" i="55"/>
  <c r="C5590" i="55"/>
  <c r="C6846" i="55"/>
  <c r="C4237" i="55"/>
  <c r="C4100" i="55"/>
  <c r="C5171" i="55"/>
  <c r="C5144" i="55"/>
  <c r="C6041" i="55"/>
  <c r="C6662" i="55"/>
  <c r="C3782" i="55"/>
  <c r="C4144" i="55"/>
  <c r="C5317" i="55"/>
  <c r="C5033" i="55"/>
  <c r="C5251" i="55"/>
  <c r="C6074" i="55"/>
  <c r="C6651" i="55"/>
  <c r="C4113" i="55"/>
  <c r="C5134" i="55"/>
  <c r="C4556" i="55"/>
  <c r="C4501" i="55"/>
  <c r="C5746" i="55"/>
  <c r="C5279" i="55"/>
  <c r="C6392" i="55"/>
  <c r="C7280" i="55"/>
  <c r="C3886" i="55"/>
  <c r="C4701" i="55"/>
  <c r="C4185" i="55"/>
  <c r="C4308" i="55"/>
  <c r="C4688" i="55"/>
  <c r="C5795" i="55"/>
  <c r="C5769" i="55"/>
  <c r="C6103" i="55"/>
  <c r="C6345" i="55"/>
  <c r="C7313" i="55"/>
  <c r="C7606" i="55"/>
  <c r="C7335" i="55"/>
  <c r="C4914" i="55"/>
  <c r="C6180" i="55"/>
  <c r="C5604" i="55"/>
  <c r="C5177" i="55"/>
  <c r="C5150" i="55"/>
  <c r="C4050" i="55"/>
  <c r="C7054" i="55"/>
  <c r="C6175" i="55"/>
  <c r="C5673" i="55"/>
  <c r="C4419" i="55"/>
  <c r="C3921" i="55"/>
  <c r="C3833" i="55"/>
  <c r="C6755" i="55"/>
  <c r="C7123" i="55"/>
  <c r="C5703" i="55"/>
  <c r="C5786" i="55"/>
  <c r="C4330" i="55"/>
  <c r="C4933" i="55"/>
  <c r="C3651" i="55"/>
  <c r="C6512" i="55"/>
  <c r="C5499" i="55"/>
  <c r="C5618" i="55"/>
  <c r="C4602" i="55"/>
  <c r="C6807" i="55"/>
  <c r="C5623" i="55"/>
  <c r="C5059" i="55"/>
  <c r="C5093" i="55"/>
  <c r="C4133" i="55"/>
  <c r="C3928" i="55"/>
  <c r="C3971" i="55"/>
  <c r="C4169" i="55"/>
  <c r="C5207" i="55"/>
  <c r="C5831" i="55"/>
  <c r="C5731" i="55"/>
  <c r="C6072" i="55"/>
  <c r="C4445" i="55"/>
  <c r="C4539" i="55"/>
  <c r="C4791" i="55"/>
  <c r="C5774" i="55"/>
  <c r="C5598" i="55"/>
  <c r="C6574" i="55"/>
  <c r="C4254" i="55"/>
  <c r="C4327" i="55"/>
  <c r="C4724" i="55"/>
  <c r="C5159" i="55"/>
  <c r="C5617" i="55"/>
  <c r="C6188" i="55"/>
  <c r="C6785" i="55"/>
  <c r="C3769" i="55"/>
  <c r="C4372" i="55"/>
  <c r="C4629" i="55"/>
  <c r="C4655" i="55"/>
  <c r="C4906" i="55"/>
  <c r="C5491" i="55"/>
  <c r="C5974" i="55"/>
  <c r="C7507" i="55"/>
  <c r="C3747" i="55"/>
  <c r="C4892" i="55"/>
  <c r="C4359" i="55"/>
  <c r="C4418" i="55"/>
  <c r="C5353" i="55"/>
  <c r="C4915" i="55"/>
  <c r="C5855" i="55"/>
  <c r="C6200" i="55"/>
  <c r="C6335" i="55"/>
  <c r="C7331" i="55"/>
  <c r="C7193" i="55"/>
  <c r="C6898" i="55"/>
  <c r="C4566" i="55"/>
  <c r="C3453" i="55"/>
  <c r="C4642" i="55"/>
  <c r="C6123" i="55"/>
  <c r="C5360" i="55"/>
  <c r="C5110" i="55"/>
  <c r="C4499" i="55"/>
  <c r="C3945" i="55"/>
  <c r="C7261" i="55"/>
  <c r="C6370" i="55"/>
  <c r="C5597" i="55"/>
  <c r="C4314" i="55"/>
  <c r="C4022" i="55"/>
  <c r="C3840" i="55"/>
  <c r="C6687" i="55"/>
  <c r="C6872" i="55"/>
  <c r="C6172" i="55"/>
  <c r="C5561" i="55"/>
  <c r="C4479" i="55"/>
  <c r="C4311" i="55"/>
  <c r="C3857" i="55"/>
  <c r="C6678" i="55"/>
  <c r="C5190" i="55"/>
  <c r="C5557" i="55"/>
  <c r="C5224" i="55"/>
  <c r="C6407" i="55"/>
  <c r="C5880" i="55"/>
  <c r="C4928" i="55"/>
  <c r="C5204" i="55"/>
  <c r="C4003" i="55"/>
  <c r="C3728" i="55"/>
  <c r="C3832" i="55"/>
  <c r="C4334" i="55"/>
  <c r="C4521" i="55"/>
  <c r="C4903" i="55"/>
  <c r="C5929" i="55"/>
  <c r="C6563" i="55"/>
  <c r="C4518" i="55"/>
  <c r="C4617" i="55"/>
  <c r="C5390" i="55"/>
  <c r="C5675" i="55"/>
  <c r="C5747" i="55"/>
  <c r="C6636" i="55"/>
  <c r="C4365" i="55"/>
  <c r="C4457" i="55"/>
  <c r="C4998" i="55"/>
  <c r="C5114" i="55"/>
  <c r="C5261" i="55"/>
  <c r="C5761" i="55"/>
  <c r="C6282" i="55"/>
  <c r="C6724" i="55"/>
  <c r="C3874" i="55"/>
  <c r="C3936" i="55"/>
  <c r="C4710" i="55"/>
  <c r="C4851" i="55"/>
  <c r="C5062" i="55"/>
  <c r="C5843" i="55"/>
  <c r="C6185" i="55"/>
  <c r="C7424" i="55"/>
  <c r="C4158" i="55"/>
  <c r="C3925" i="55"/>
  <c r="C3848" i="55"/>
  <c r="C4589" i="55"/>
  <c r="C4881" i="55"/>
  <c r="C5070" i="55"/>
  <c r="C5456" i="55"/>
  <c r="C6294" i="55"/>
  <c r="C6178" i="55"/>
  <c r="C7432" i="55"/>
  <c r="C3570" i="55"/>
  <c r="C7254" i="55"/>
  <c r="C7033" i="55"/>
  <c r="C5235" i="55"/>
  <c r="C5621" i="55"/>
  <c r="C5660" i="55"/>
  <c r="C4911" i="55"/>
  <c r="C4446" i="55"/>
  <c r="C3839" i="55"/>
  <c r="C6885" i="55"/>
  <c r="C5858" i="55"/>
  <c r="C5130" i="55"/>
  <c r="C4758" i="55"/>
  <c r="C3916" i="55"/>
  <c r="C4174" i="55"/>
  <c r="C6458" i="55"/>
  <c r="C7258" i="55"/>
  <c r="C6099" i="55"/>
  <c r="C5113" i="55"/>
  <c r="C4846" i="55"/>
  <c r="C4176" i="55"/>
  <c r="C3753" i="55"/>
  <c r="C6334" i="55"/>
  <c r="C6028" i="55"/>
  <c r="C5089" i="55"/>
  <c r="C4736" i="55"/>
  <c r="C6605" i="55"/>
  <c r="C5613" i="55"/>
  <c r="C5176" i="55"/>
  <c r="C4812" i="55"/>
  <c r="C3881" i="55"/>
  <c r="C4008" i="55"/>
  <c r="C3706" i="55"/>
  <c r="C4103" i="55"/>
  <c r="C5410" i="55"/>
  <c r="C5658" i="55"/>
  <c r="C6054" i="55"/>
  <c r="C6614" i="55"/>
  <c r="C3870" i="55"/>
  <c r="C4591" i="55"/>
  <c r="C4686" i="55"/>
  <c r="C4468" i="55"/>
  <c r="C5189" i="55"/>
  <c r="C5938" i="55"/>
  <c r="C6666" i="55"/>
  <c r="C4616" i="55"/>
  <c r="C4612" i="55"/>
  <c r="C3978" i="55"/>
  <c r="C4796" i="55"/>
  <c r="C5346" i="55"/>
  <c r="C5842" i="55"/>
  <c r="C5817" i="55"/>
  <c r="C6803" i="55"/>
  <c r="C3784" i="55"/>
  <c r="C4098" i="55"/>
  <c r="C4135" i="55"/>
  <c r="C5337" i="55"/>
  <c r="C5839" i="55"/>
  <c r="C5452" i="55"/>
  <c r="C6327" i="55"/>
  <c r="C3575" i="55"/>
  <c r="C3789" i="55"/>
  <c r="C4080" i="55"/>
  <c r="C4157" i="55"/>
  <c r="C5366" i="55"/>
  <c r="C4971" i="55"/>
  <c r="C5184" i="55"/>
  <c r="C5667" i="55"/>
  <c r="C6419" i="55"/>
  <c r="C6851" i="55"/>
  <c r="C3632" i="55"/>
  <c r="C3556" i="55"/>
  <c r="C7561" i="55"/>
  <c r="C7174" i="55"/>
  <c r="C4429" i="55"/>
  <c r="C6016" i="55"/>
  <c r="C5798" i="55"/>
  <c r="C4991" i="55"/>
  <c r="C4835" i="55"/>
  <c r="C3733" i="55"/>
  <c r="C7096" i="55"/>
  <c r="C6151" i="55"/>
  <c r="C4890" i="55"/>
  <c r="C4650" i="55"/>
  <c r="C4236" i="55"/>
  <c r="C3963" i="55"/>
  <c r="C5966" i="55"/>
  <c r="C6945" i="55"/>
  <c r="C5525" i="55"/>
  <c r="C4968" i="55"/>
  <c r="C4619" i="55"/>
  <c r="C4038" i="55"/>
  <c r="C3797" i="55"/>
  <c r="C6205" i="55"/>
  <c r="C6081" i="55"/>
  <c r="C5415" i="55"/>
  <c r="C4391" i="55"/>
  <c r="C6219" i="55"/>
  <c r="C5157" i="55"/>
  <c r="C5088" i="55"/>
  <c r="C4700" i="55"/>
  <c r="C4868" i="55"/>
  <c r="C3764" i="55"/>
  <c r="C3853" i="55"/>
  <c r="C4258" i="55"/>
  <c r="C5139" i="55"/>
  <c r="C5164" i="55"/>
  <c r="C6155" i="55"/>
  <c r="C6893" i="55"/>
  <c r="C4020" i="55"/>
  <c r="C4178" i="55"/>
  <c r="C5117" i="55"/>
  <c r="C4934" i="55"/>
  <c r="C5538" i="55"/>
  <c r="C6337" i="55"/>
  <c r="C6680" i="55"/>
  <c r="C7257" i="55"/>
  <c r="C3691" i="55"/>
  <c r="C4689" i="55"/>
  <c r="C4548" i="55"/>
  <c r="C4455" i="55"/>
  <c r="C5439" i="55"/>
  <c r="C6032" i="55"/>
  <c r="C5930" i="55"/>
  <c r="C7024" i="55"/>
  <c r="C3842" i="55"/>
  <c r="C4253" i="55"/>
  <c r="C4407" i="55"/>
  <c r="C4873" i="55"/>
  <c r="C5229" i="55"/>
  <c r="C5676" i="55"/>
  <c r="C6326" i="55"/>
  <c r="C3480" i="55"/>
  <c r="C3800" i="55"/>
  <c r="C4243" i="55"/>
  <c r="C4336" i="55"/>
  <c r="C4586" i="55"/>
  <c r="C5123" i="55"/>
  <c r="C4985" i="55"/>
  <c r="C5372" i="55"/>
  <c r="C6179" i="55"/>
  <c r="C6782" i="55"/>
  <c r="C3464" i="55"/>
  <c r="C3485" i="55"/>
  <c r="C7191" i="55"/>
  <c r="C7011" i="55"/>
  <c r="C3613" i="55"/>
  <c r="C7374" i="55"/>
  <c r="C7395" i="55"/>
  <c r="C7142" i="55"/>
  <c r="C7475" i="55"/>
  <c r="C7093" i="55"/>
  <c r="C6798" i="55"/>
  <c r="C6730" i="55"/>
  <c r="C6646" i="55"/>
  <c r="C6368" i="55"/>
  <c r="C3476" i="55"/>
  <c r="C3495" i="55"/>
  <c r="C7524" i="55"/>
  <c r="C7073" i="55"/>
  <c r="C7567" i="55"/>
  <c r="C7212" i="55"/>
  <c r="C6655" i="55"/>
  <c r="C6612" i="55"/>
  <c r="C6472" i="55"/>
  <c r="C6194" i="55"/>
  <c r="C6580" i="55"/>
  <c r="C3617" i="55"/>
  <c r="C7336" i="55"/>
  <c r="C7516" i="55"/>
  <c r="C7247" i="55"/>
  <c r="C7043" i="55"/>
  <c r="C7042" i="55"/>
  <c r="C6953" i="55"/>
  <c r="C6758" i="55"/>
  <c r="C6562" i="55"/>
  <c r="C6538" i="55"/>
  <c r="C3542" i="55"/>
  <c r="C7440" i="55"/>
  <c r="C7461" i="55"/>
  <c r="C3459" i="55"/>
  <c r="C7458" i="55"/>
  <c r="C7285" i="55"/>
  <c r="C3514" i="55"/>
  <c r="C7441" i="55"/>
  <c r="C7268" i="55"/>
  <c r="C7018" i="55"/>
  <c r="C6525" i="55"/>
  <c r="C3513" i="55"/>
  <c r="C7350" i="55"/>
  <c r="C7385" i="55"/>
  <c r="C7079" i="55"/>
  <c r="C6934" i="55"/>
  <c r="C6887" i="55"/>
  <c r="C7014" i="55"/>
  <c r="C7416" i="55"/>
  <c r="C7305" i="55"/>
  <c r="C6911" i="55"/>
  <c r="C6625" i="55"/>
  <c r="C6447" i="55"/>
  <c r="C6303" i="55"/>
  <c r="C3534" i="55"/>
  <c r="C7359" i="55"/>
  <c r="C7520" i="55"/>
  <c r="C7240" i="55"/>
  <c r="C7220" i="55"/>
  <c r="C6310" i="55"/>
  <c r="C6715" i="55"/>
  <c r="C3497" i="55"/>
  <c r="C7155" i="55"/>
  <c r="C7291" i="55"/>
  <c r="C7083" i="55"/>
  <c r="C6717" i="55"/>
  <c r="C5975" i="55"/>
  <c r="C3496" i="55"/>
  <c r="C7413" i="55"/>
  <c r="C7308" i="55"/>
  <c r="C7049" i="55"/>
  <c r="C6677" i="55"/>
  <c r="C6676" i="55"/>
  <c r="C6475" i="55"/>
  <c r="C5903" i="55"/>
  <c r="C4125" i="55"/>
  <c r="C6520" i="55"/>
  <c r="C5430" i="55"/>
  <c r="C4823" i="55"/>
  <c r="C4274" i="55"/>
  <c r="C4179" i="55"/>
  <c r="C6708" i="55"/>
  <c r="C6543" i="55"/>
  <c r="C5504" i="55"/>
  <c r="C4799" i="55"/>
  <c r="C4131" i="55"/>
  <c r="C3756" i="55"/>
  <c r="C6311" i="55"/>
  <c r="C6375" i="55"/>
  <c r="C5948" i="55"/>
  <c r="C5105" i="55"/>
  <c r="C4489" i="55"/>
  <c r="C4426" i="55"/>
  <c r="C3667" i="55"/>
  <c r="C5971" i="55"/>
  <c r="C5733" i="55"/>
  <c r="C4780" i="55"/>
  <c r="C6689" i="55"/>
  <c r="C6006" i="55"/>
  <c r="C5910" i="55"/>
  <c r="C5399" i="55"/>
  <c r="C4570" i="55"/>
  <c r="C4090" i="55"/>
  <c r="C3902" i="55"/>
  <c r="C4044" i="55"/>
  <c r="C4917" i="55"/>
  <c r="C4585" i="55"/>
  <c r="C5359" i="55"/>
  <c r="C6261" i="55"/>
  <c r="C7368" i="55"/>
  <c r="C3700" i="55"/>
  <c r="C4323" i="55"/>
  <c r="C4380" i="55"/>
  <c r="C4837" i="55"/>
  <c r="C5234" i="55"/>
  <c r="C5702" i="55"/>
  <c r="C7467" i="55"/>
  <c r="C4052" i="55"/>
  <c r="C4852" i="55"/>
  <c r="C4698" i="55"/>
  <c r="C4626" i="55"/>
  <c r="C4866" i="55"/>
  <c r="C5627" i="55"/>
  <c r="C6378" i="55"/>
  <c r="C6919" i="55"/>
  <c r="C3806" i="55"/>
  <c r="C4367" i="55"/>
  <c r="C4410" i="55"/>
  <c r="C4966" i="55"/>
  <c r="C5400" i="55"/>
  <c r="C5812" i="55"/>
  <c r="C6818" i="55"/>
  <c r="C4187" i="55"/>
  <c r="C4388" i="55"/>
  <c r="C4564" i="55"/>
  <c r="C4761" i="55"/>
  <c r="C4886" i="55"/>
  <c r="C5483" i="55"/>
  <c r="C5108" i="55"/>
  <c r="C5783" i="55"/>
  <c r="C6804" i="55"/>
  <c r="C3543" i="55"/>
  <c r="C7178" i="55"/>
  <c r="C6696" i="55"/>
  <c r="C3516" i="55"/>
  <c r="C7603" i="55"/>
  <c r="C7586" i="55"/>
  <c r="C7320" i="55"/>
  <c r="C7088" i="55"/>
  <c r="C6983" i="55"/>
  <c r="C6699" i="55"/>
  <c r="C6631" i="55"/>
  <c r="C6742" i="55"/>
  <c r="C6270" i="55"/>
  <c r="C3469" i="55"/>
  <c r="C3601" i="55"/>
  <c r="C7425" i="55"/>
  <c r="C7536" i="55"/>
  <c r="C7118" i="55"/>
  <c r="C7013" i="55"/>
  <c r="C6557" i="55"/>
  <c r="C6514" i="55"/>
  <c r="C7357" i="55"/>
  <c r="C6097" i="55"/>
  <c r="C3537" i="55"/>
  <c r="C3530" i="55"/>
  <c r="C7463" i="55"/>
  <c r="C7262" i="55"/>
  <c r="C7148" i="55"/>
  <c r="C6944" i="55"/>
  <c r="C6844" i="55"/>
  <c r="C6801" i="55"/>
  <c r="C6659" i="55"/>
  <c r="C6383" i="55"/>
  <c r="C6363" i="55"/>
  <c r="C3646" i="55"/>
  <c r="C7341" i="55"/>
  <c r="C3472" i="55"/>
  <c r="C3554" i="55"/>
  <c r="C7551" i="55"/>
  <c r="C7161" i="55"/>
  <c r="C3564" i="55"/>
  <c r="C7535" i="55"/>
  <c r="C7145" i="55"/>
  <c r="C6895" i="55"/>
  <c r="C7129" i="55"/>
  <c r="C3547" i="55"/>
  <c r="C7587" i="55"/>
  <c r="C7205" i="55"/>
  <c r="C6946" i="55"/>
  <c r="C7207" i="55"/>
  <c r="C6743" i="55"/>
  <c r="C6769" i="55"/>
  <c r="C7585" i="55"/>
  <c r="C7604" i="55"/>
  <c r="C7113" i="55"/>
  <c r="C6463" i="55"/>
  <c r="C6948" i="55"/>
  <c r="C6181" i="55"/>
  <c r="C3581" i="55"/>
  <c r="C7428" i="55"/>
  <c r="C7151" i="55"/>
  <c r="C7022" i="55"/>
  <c r="C6779" i="55"/>
  <c r="C6624" i="55"/>
  <c r="C6449" i="55"/>
  <c r="C3538" i="55"/>
  <c r="C7565" i="55"/>
  <c r="C7035" i="55"/>
  <c r="C6748" i="55"/>
  <c r="C6586" i="55"/>
  <c r="C6437" i="55"/>
  <c r="C3492" i="55"/>
  <c r="C7474" i="55"/>
  <c r="C7131" i="55"/>
  <c r="C6909" i="55"/>
  <c r="C6539" i="55"/>
  <c r="C6404" i="55"/>
  <c r="C6314" i="55"/>
  <c r="C7450" i="55"/>
  <c r="C4007" i="55"/>
  <c r="C6413" i="55"/>
  <c r="C6037" i="55"/>
  <c r="C5040" i="55"/>
  <c r="C3949" i="55"/>
  <c r="C3748" i="55"/>
  <c r="C6275" i="55"/>
  <c r="C6077" i="55"/>
  <c r="C5540" i="55"/>
  <c r="C4345" i="55"/>
  <c r="C5002" i="55"/>
  <c r="C3577" i="55"/>
  <c r="C6239" i="55"/>
  <c r="C6652" i="55"/>
  <c r="C5369" i="55"/>
  <c r="C5358" i="55"/>
  <c r="C4744" i="55"/>
  <c r="C4096" i="55"/>
  <c r="C3517" i="55"/>
  <c r="C5710" i="55"/>
  <c r="C5487" i="55"/>
  <c r="C4893" i="55"/>
  <c r="C7448" i="55"/>
  <c r="C5906" i="55"/>
  <c r="C6510" i="55"/>
  <c r="C5269" i="55"/>
  <c r="C5142" i="55"/>
  <c r="C4795" i="55"/>
  <c r="C3690" i="55"/>
  <c r="C3758" i="55"/>
  <c r="C3946" i="55"/>
  <c r="C5163" i="55"/>
  <c r="C5397" i="55"/>
  <c r="C5694" i="55"/>
  <c r="C6949" i="55"/>
  <c r="C4032" i="55"/>
  <c r="C4058" i="55"/>
  <c r="C3956" i="55"/>
  <c r="C4992" i="55"/>
  <c r="C5405" i="55"/>
  <c r="C5914" i="55"/>
  <c r="C7048" i="55"/>
  <c r="C3711" i="55"/>
  <c r="C3893" i="55"/>
  <c r="C4211" i="55"/>
  <c r="C4839" i="55"/>
  <c r="C5053" i="55"/>
  <c r="C5331" i="55"/>
  <c r="C5949" i="55"/>
  <c r="C7203" i="55"/>
  <c r="C3961" i="55"/>
  <c r="C3697" i="55"/>
  <c r="C4565" i="55"/>
  <c r="C5090" i="55"/>
  <c r="C5259" i="55"/>
  <c r="C5978" i="55"/>
  <c r="C6750" i="55"/>
  <c r="C3660" i="55"/>
  <c r="C3944" i="55"/>
  <c r="C4633" i="55"/>
  <c r="C5179" i="55"/>
  <c r="C5066" i="55"/>
  <c r="C5496" i="55"/>
  <c r="C5287" i="55"/>
  <c r="C5944" i="55"/>
  <c r="C6826" i="55"/>
  <c r="C3625" i="55"/>
  <c r="C7288" i="55"/>
  <c r="C6476" i="55"/>
  <c r="C3607" i="55"/>
  <c r="C7578" i="55"/>
  <c r="C7363" i="55"/>
  <c r="C7211" i="55"/>
  <c r="C6982" i="55"/>
  <c r="C6884" i="55"/>
  <c r="C6601" i="55"/>
  <c r="C6534" i="55"/>
  <c r="C6554" i="55"/>
  <c r="C6173" i="55"/>
  <c r="C3595" i="55"/>
  <c r="C3588" i="55"/>
  <c r="C7326" i="55"/>
  <c r="C7338" i="55"/>
  <c r="C7012" i="55"/>
  <c r="C6914" i="55"/>
  <c r="C6459" i="55"/>
  <c r="C7121" i="55"/>
  <c r="C6835" i="55"/>
  <c r="C5999" i="55"/>
  <c r="C3498" i="55"/>
  <c r="C3442" i="55"/>
  <c r="C7364" i="55"/>
  <c r="C7163" i="55"/>
  <c r="C7555" i="55"/>
  <c r="C7500" i="55"/>
  <c r="C6745" i="55"/>
  <c r="C6702" i="55"/>
  <c r="C6561" i="55"/>
  <c r="C6284" i="55"/>
  <c r="C6780" i="55"/>
  <c r="C3550" i="55"/>
  <c r="C7595" i="55"/>
  <c r="C3474" i="55"/>
  <c r="C3471" i="55"/>
  <c r="C7420" i="55"/>
  <c r="C7445" i="55"/>
  <c r="C3511" i="55"/>
  <c r="C7403" i="55"/>
  <c r="C7412" i="55"/>
  <c r="C7278" i="55"/>
  <c r="C6806" i="55"/>
  <c r="C3499" i="55"/>
  <c r="C7526" i="55"/>
  <c r="C7614" i="55"/>
  <c r="C7376" i="55"/>
  <c r="C7105" i="55"/>
  <c r="C6596" i="55"/>
  <c r="C6621" i="55"/>
  <c r="C7485" i="55"/>
  <c r="C7227" i="55"/>
  <c r="C6947" i="55"/>
  <c r="C7019" i="55"/>
  <c r="C6720" i="55"/>
  <c r="C6035" i="55"/>
  <c r="C3591" i="55"/>
  <c r="C7429" i="55"/>
  <c r="C6963" i="55"/>
  <c r="C6910" i="55"/>
  <c r="C6639" i="55"/>
  <c r="C6373" i="55"/>
  <c r="C6312" i="55"/>
  <c r="C7391" i="55"/>
  <c r="C7282" i="55"/>
  <c r="C6878" i="55"/>
  <c r="C6609" i="55"/>
  <c r="C6431" i="55"/>
  <c r="C6287" i="55"/>
  <c r="C3636" i="55"/>
  <c r="C7518" i="55"/>
  <c r="C7281" i="55"/>
  <c r="C7001" i="55"/>
  <c r="C6940" i="55"/>
  <c r="C6789" i="55"/>
  <c r="C6632" i="55"/>
  <c r="D727" i="55"/>
  <c r="D808" i="55"/>
  <c r="D791" i="55"/>
  <c r="E353" i="55"/>
  <c r="C3555" i="55"/>
  <c r="C6823" i="55"/>
  <c r="C6672" i="55"/>
  <c r="C4048" i="55"/>
  <c r="C4622" i="55"/>
  <c r="C3843" i="55"/>
  <c r="E1124" i="55"/>
  <c r="D811" i="55"/>
  <c r="D838" i="55"/>
  <c r="D725" i="55"/>
  <c r="D784" i="55"/>
  <c r="D864" i="55"/>
  <c r="D810" i="55"/>
  <c r="D786" i="55"/>
  <c r="D861" i="55"/>
  <c r="D797" i="55"/>
  <c r="D757" i="55"/>
  <c r="D7673" i="55"/>
  <c r="E348" i="55"/>
  <c r="E1126" i="55"/>
  <c r="F1217" i="55"/>
  <c r="E2765" i="55"/>
  <c r="D734" i="55"/>
  <c r="D852" i="55"/>
  <c r="D836" i="55"/>
  <c r="D770" i="55"/>
  <c r="D817" i="55"/>
  <c r="D845" i="55"/>
  <c r="D825" i="55"/>
  <c r="D804" i="55"/>
  <c r="D742" i="55"/>
  <c r="D828" i="55"/>
  <c r="D843" i="55"/>
  <c r="D763" i="55"/>
  <c r="D2979" i="55"/>
  <c r="D729" i="55"/>
  <c r="E405" i="55"/>
  <c r="E379" i="55"/>
  <c r="F1219" i="55"/>
  <c r="E2643" i="55"/>
  <c r="C6067" i="55"/>
  <c r="C6569" i="55"/>
  <c r="C6495" i="55"/>
  <c r="C7533" i="55"/>
  <c r="C7594" i="55"/>
  <c r="C7443" i="55"/>
  <c r="C5909" i="55"/>
  <c r="C6523" i="55"/>
  <c r="C6883" i="55"/>
  <c r="C7334" i="55"/>
  <c r="C3468" i="55"/>
  <c r="C5797" i="55"/>
  <c r="C5825" i="55"/>
  <c r="C4240" i="55"/>
  <c r="C5293" i="55"/>
  <c r="C4765" i="55"/>
  <c r="E2781" i="55"/>
  <c r="E2242" i="55"/>
  <c r="D857" i="55"/>
  <c r="D765" i="55"/>
  <c r="D847" i="55"/>
  <c r="D834" i="55"/>
  <c r="D781" i="55"/>
  <c r="D832" i="55"/>
  <c r="D867" i="55"/>
  <c r="D753" i="55"/>
  <c r="D814" i="55"/>
  <c r="D732" i="55"/>
  <c r="D7678" i="55"/>
  <c r="D805" i="55"/>
  <c r="D788" i="55"/>
  <c r="E398" i="55"/>
  <c r="E380" i="55"/>
  <c r="E372" i="55"/>
  <c r="F1117" i="55"/>
  <c r="E2400" i="55"/>
  <c r="C3484" i="55"/>
  <c r="C6756" i="55"/>
  <c r="C6821" i="55"/>
  <c r="C6869" i="55"/>
  <c r="C6913" i="55"/>
  <c r="C7144" i="55"/>
  <c r="C3490" i="55"/>
  <c r="C6382" i="55"/>
  <c r="C7143" i="55"/>
  <c r="C7340" i="55"/>
  <c r="C3620" i="55"/>
  <c r="C3977" i="55"/>
  <c r="C4306" i="55"/>
  <c r="C4257" i="55"/>
  <c r="C4092" i="55"/>
  <c r="C5348" i="55"/>
  <c r="C5122" i="55"/>
  <c r="L234" i="24"/>
  <c r="L130" i="24"/>
  <c r="B106" i="23"/>
  <c r="E1018" i="55" s="1"/>
  <c r="E1443" i="55"/>
  <c r="E1446" i="55"/>
  <c r="E1440" i="55"/>
  <c r="E1434" i="55"/>
  <c r="N135" i="47"/>
  <c r="N139" i="47"/>
  <c r="N143" i="47" s="1"/>
  <c r="E387" i="55"/>
  <c r="E337" i="55"/>
  <c r="E368" i="55"/>
  <c r="E364" i="55"/>
  <c r="E7633" i="55"/>
  <c r="E709" i="55"/>
  <c r="E2965" i="55"/>
  <c r="E689" i="55"/>
  <c r="F3045" i="55"/>
  <c r="F82" i="55"/>
  <c r="F97" i="55"/>
  <c r="E3027" i="55"/>
  <c r="D2323" i="55"/>
  <c r="D131" i="63"/>
  <c r="C2538" i="55"/>
  <c r="C2493" i="55"/>
  <c r="C2547" i="55"/>
  <c r="C2464" i="55"/>
  <c r="C2542" i="55"/>
  <c r="C2533" i="55"/>
  <c r="C2497" i="55"/>
  <c r="D1467" i="55"/>
  <c r="D1463" i="55"/>
  <c r="E3219" i="55"/>
  <c r="D98" i="63"/>
  <c r="F1756" i="55"/>
  <c r="D310" i="55"/>
  <c r="D358" i="55"/>
  <c r="D386" i="55"/>
  <c r="D2664" i="55"/>
  <c r="D1387" i="55"/>
  <c r="D2600" i="55"/>
  <c r="D2124" i="55"/>
  <c r="F1927" i="55"/>
  <c r="N45" i="47"/>
  <c r="H1732" i="55" s="1"/>
  <c r="B104" i="23"/>
  <c r="E1016" i="55" s="1"/>
  <c r="D264" i="55"/>
  <c r="D296" i="55"/>
  <c r="D284" i="55"/>
  <c r="E3046" i="55"/>
  <c r="D370" i="55"/>
  <c r="D379" i="55"/>
  <c r="D362" i="55"/>
  <c r="D316" i="55"/>
  <c r="D302" i="55"/>
  <c r="D347" i="55"/>
  <c r="D359" i="55"/>
  <c r="D332" i="55"/>
  <c r="D349" i="55"/>
  <c r="D331" i="55"/>
  <c r="E2610" i="55"/>
  <c r="E391" i="55"/>
  <c r="E338" i="55"/>
  <c r="E2944" i="55"/>
  <c r="E394" i="55"/>
  <c r="E668" i="55"/>
  <c r="E673" i="55"/>
  <c r="E666" i="55"/>
  <c r="E714" i="55"/>
  <c r="F3057" i="55"/>
  <c r="F3009" i="55"/>
  <c r="F95" i="55"/>
  <c r="F38" i="55"/>
  <c r="F1449" i="55"/>
  <c r="E3028" i="55"/>
  <c r="F1729" i="55"/>
  <c r="AN116" i="62"/>
  <c r="D2200" i="55"/>
  <c r="D7629" i="55"/>
  <c r="C2515" i="55"/>
  <c r="C2522" i="55"/>
  <c r="C2521" i="55"/>
  <c r="C2473" i="55"/>
  <c r="C2466" i="55"/>
  <c r="C2479" i="55"/>
  <c r="C2500" i="55"/>
  <c r="D1472" i="55"/>
  <c r="E104" i="62"/>
  <c r="D3049" i="55"/>
  <c r="D7624" i="55"/>
  <c r="D2940" i="55"/>
  <c r="D7626" i="55"/>
  <c r="D2906" i="55"/>
  <c r="D1385" i="55"/>
  <c r="D2722" i="55"/>
  <c r="D2830" i="55"/>
  <c r="F1704" i="55"/>
  <c r="F1600" i="55"/>
  <c r="D378" i="55"/>
  <c r="D57" i="55"/>
  <c r="D276" i="55"/>
  <c r="D312" i="55"/>
  <c r="E3047" i="55"/>
  <c r="D376" i="55"/>
  <c r="D318" i="55"/>
  <c r="D282" i="55"/>
  <c r="D405" i="55"/>
  <c r="D274" i="55"/>
  <c r="D369" i="55"/>
  <c r="D306" i="55"/>
  <c r="D387" i="55"/>
  <c r="D253" i="55"/>
  <c r="D329" i="55"/>
  <c r="D342" i="55"/>
  <c r="D345" i="55"/>
  <c r="D322" i="55"/>
  <c r="E2142" i="55"/>
  <c r="E2605" i="55"/>
  <c r="E1099" i="55"/>
  <c r="E2147" i="55"/>
  <c r="E406" i="55"/>
  <c r="E382" i="55"/>
  <c r="E349" i="55"/>
  <c r="E343" i="55"/>
  <c r="E7665" i="55"/>
  <c r="E684" i="55"/>
  <c r="E2967" i="55"/>
  <c r="E713" i="55"/>
  <c r="F1421" i="55"/>
  <c r="F1403" i="55"/>
  <c r="F110" i="55"/>
  <c r="E2114" i="55"/>
  <c r="F1833" i="55"/>
  <c r="DS86" i="63"/>
  <c r="D56" i="55"/>
  <c r="D2663" i="55"/>
  <c r="D7631" i="55"/>
  <c r="C2530" i="55"/>
  <c r="C2510" i="55"/>
  <c r="C2532" i="55"/>
  <c r="C2474" i="55"/>
  <c r="C2511" i="55"/>
  <c r="C2535" i="55"/>
  <c r="C2553" i="55"/>
  <c r="D162" i="55"/>
  <c r="D1462" i="55"/>
  <c r="D7633" i="55"/>
  <c r="D298" i="55"/>
  <c r="D7619" i="55"/>
  <c r="D2783" i="55"/>
  <c r="D1430" i="55"/>
  <c r="D2246" i="55"/>
  <c r="D2829" i="55"/>
  <c r="F1964" i="55"/>
  <c r="D326" i="55"/>
  <c r="D308" i="55"/>
  <c r="D354" i="55"/>
  <c r="D309" i="55"/>
  <c r="D2936" i="55"/>
  <c r="D2938" i="55"/>
  <c r="D321" i="55"/>
  <c r="D374" i="55"/>
  <c r="D323" i="55"/>
  <c r="D259" i="55"/>
  <c r="D360" i="55"/>
  <c r="D313" i="55"/>
  <c r="D257" i="55"/>
  <c r="D341" i="55"/>
  <c r="D266" i="55"/>
  <c r="D352" i="55"/>
  <c r="E2358" i="55"/>
  <c r="F1625" i="55"/>
  <c r="D2442" i="55"/>
  <c r="D143" i="63"/>
  <c r="D7628" i="55"/>
  <c r="C2465" i="55"/>
  <c r="C2489" i="55"/>
  <c r="C2461" i="55"/>
  <c r="C2491" i="55"/>
  <c r="C2506" i="55"/>
  <c r="C2518" i="55"/>
  <c r="C2543" i="55"/>
  <c r="D159" i="55"/>
  <c r="C10" i="48"/>
  <c r="D2011" i="55" s="1"/>
  <c r="D2585" i="55"/>
  <c r="D333" i="55"/>
  <c r="D291" i="55"/>
  <c r="D2320" i="55"/>
  <c r="D1411" i="55"/>
  <c r="D2367" i="55"/>
  <c r="D2708" i="55"/>
  <c r="F1652" i="55"/>
  <c r="D2259" i="55"/>
  <c r="D384" i="55"/>
  <c r="D2381" i="55"/>
  <c r="D338" i="55"/>
  <c r="D396" i="55"/>
  <c r="D288" i="55"/>
  <c r="D356" i="55"/>
  <c r="D286" i="55"/>
  <c r="D272" i="55"/>
  <c r="D256" i="55"/>
  <c r="D273" i="55"/>
  <c r="D2942" i="55"/>
  <c r="D385" i="55"/>
  <c r="D401" i="55"/>
  <c r="AB42" i="47"/>
  <c r="H1938" i="55" s="1"/>
  <c r="W53" i="47"/>
  <c r="E2577" i="55"/>
  <c r="F1341" i="55"/>
  <c r="F1781" i="55"/>
  <c r="D2786" i="55"/>
  <c r="C2513" i="55"/>
  <c r="C2477" i="55"/>
  <c r="C2549" i="55"/>
  <c r="C2520" i="55"/>
  <c r="C2487" i="55"/>
  <c r="C2462" i="55"/>
  <c r="C2541" i="55"/>
  <c r="D38" i="55"/>
  <c r="D1461" i="55"/>
  <c r="D1470" i="55"/>
  <c r="E1356" i="55"/>
  <c r="F1808" i="55"/>
  <c r="D337" i="55"/>
  <c r="D260" i="55"/>
  <c r="D2443" i="55"/>
  <c r="D3050" i="55"/>
  <c r="D2586" i="55"/>
  <c r="D2369" i="55"/>
  <c r="D275" i="55"/>
  <c r="D2137" i="55"/>
  <c r="D403" i="55"/>
  <c r="D2937" i="55"/>
  <c r="D2944" i="55"/>
  <c r="D265" i="55"/>
  <c r="D365" i="55"/>
  <c r="D269" i="55"/>
  <c r="D400" i="55"/>
  <c r="D279" i="55"/>
  <c r="D391" i="55"/>
  <c r="G9" i="49"/>
  <c r="H2019" i="55" s="1"/>
  <c r="E2699" i="55"/>
  <c r="F1344" i="55"/>
  <c r="DS98" i="63"/>
  <c r="D1414" i="55"/>
  <c r="D2322" i="55"/>
  <c r="C2537" i="55"/>
  <c r="C2484" i="55"/>
  <c r="C2488" i="55"/>
  <c r="C2509" i="55"/>
  <c r="C2555" i="55"/>
  <c r="C2525" i="55"/>
  <c r="C2503" i="55"/>
  <c r="D160" i="55"/>
  <c r="D1460" i="55"/>
  <c r="D1466" i="55"/>
  <c r="CT17" i="13"/>
  <c r="D7627" i="55"/>
  <c r="E3214" i="55"/>
  <c r="D327" i="55"/>
  <c r="D7620" i="55"/>
  <c r="D2907" i="55"/>
  <c r="D1404" i="55"/>
  <c r="D2123" i="55"/>
  <c r="D2707" i="55"/>
  <c r="F1912" i="55"/>
  <c r="D1465" i="55"/>
  <c r="D283" i="55"/>
  <c r="D363" i="55"/>
  <c r="D328" i="55"/>
  <c r="D390" i="55"/>
  <c r="D373" i="55"/>
  <c r="D261" i="55"/>
  <c r="D388" i="55"/>
  <c r="D335" i="55"/>
  <c r="D311" i="55"/>
  <c r="D315" i="55"/>
  <c r="D382" i="55"/>
  <c r="F1348" i="55"/>
  <c r="E2236" i="55"/>
  <c r="F1342" i="55"/>
  <c r="D1416" i="55"/>
  <c r="D2445" i="55"/>
  <c r="DS110" i="63"/>
  <c r="C2523" i="55"/>
  <c r="C2545" i="55"/>
  <c r="C2499" i="55"/>
  <c r="C2551" i="55"/>
  <c r="C2492" i="55"/>
  <c r="C2512" i="55"/>
  <c r="C2502" i="55"/>
  <c r="D39" i="55"/>
  <c r="D1451" i="55"/>
  <c r="D7630" i="55"/>
  <c r="D293" i="55"/>
  <c r="D7621" i="55"/>
  <c r="D2908" i="55"/>
  <c r="D1419" i="55"/>
  <c r="D2244" i="55"/>
  <c r="D2125" i="55"/>
  <c r="D361" i="55"/>
  <c r="DN17" i="13"/>
  <c r="D300" i="55"/>
  <c r="D2935" i="55"/>
  <c r="D377" i="55"/>
  <c r="D372" i="55"/>
  <c r="D277" i="55"/>
  <c r="D281" i="55"/>
  <c r="D393" i="55"/>
  <c r="D289" i="55"/>
  <c r="D270" i="55"/>
  <c r="D2943" i="55"/>
  <c r="D263" i="55"/>
  <c r="L134" i="47"/>
  <c r="W42" i="47"/>
  <c r="E28" i="56"/>
  <c r="F29" i="57"/>
  <c r="C32" i="57" s="1"/>
  <c r="H3123" i="55" s="1"/>
  <c r="F1353" i="55"/>
  <c r="F1345" i="55"/>
  <c r="F1677" i="55"/>
  <c r="D2785" i="55"/>
  <c r="D155" i="63"/>
  <c r="C2514" i="55"/>
  <c r="C2472" i="55"/>
  <c r="C2527" i="55"/>
  <c r="C2486" i="55"/>
  <c r="C2507" i="55"/>
  <c r="C2468" i="55"/>
  <c r="C2495" i="55"/>
  <c r="D161" i="55"/>
  <c r="D1459" i="55"/>
  <c r="F1548" i="55"/>
  <c r="D402" i="55"/>
  <c r="D7625" i="55"/>
  <c r="D2662" i="55"/>
  <c r="D1393" i="55"/>
  <c r="D2122" i="55"/>
  <c r="D2831" i="55"/>
  <c r="D366" i="55"/>
  <c r="E3023" i="55"/>
  <c r="E3043" i="55"/>
  <c r="D371" i="55"/>
  <c r="D285" i="55"/>
  <c r="D301" i="55"/>
  <c r="D290" i="55"/>
  <c r="D307" i="55"/>
  <c r="D336" i="55"/>
  <c r="D407" i="55"/>
  <c r="D368" i="55"/>
  <c r="D299" i="55"/>
  <c r="D351" i="55"/>
  <c r="D258" i="55"/>
  <c r="E3029" i="55"/>
  <c r="F1346" i="55"/>
  <c r="E2384" i="55"/>
  <c r="F1885" i="55"/>
  <c r="E92" i="62"/>
  <c r="D2661" i="55"/>
  <c r="D2321" i="55"/>
  <c r="E116" i="62"/>
  <c r="C2490" i="55"/>
  <c r="C2482" i="55"/>
  <c r="C2478" i="55"/>
  <c r="C2516" i="55"/>
  <c r="C31" i="4"/>
  <c r="C2481" i="55"/>
  <c r="C2498" i="55"/>
  <c r="D40" i="55"/>
  <c r="C10" i="63"/>
  <c r="D1474" i="55"/>
  <c r="D1468" i="55"/>
  <c r="D1458" i="55"/>
  <c r="D1469" i="55"/>
  <c r="H1514" i="55"/>
  <c r="D389" i="55"/>
  <c r="D7622" i="55"/>
  <c r="D2444" i="55"/>
  <c r="D3052" i="55"/>
  <c r="D2366" i="55"/>
  <c r="D2245" i="55"/>
  <c r="D297" i="55"/>
  <c r="E3020" i="55"/>
  <c r="D398" i="55"/>
  <c r="D334" i="55"/>
  <c r="D320" i="55"/>
  <c r="D262" i="55"/>
  <c r="D324" i="55"/>
  <c r="D267" i="55"/>
  <c r="D287" i="55"/>
  <c r="D397" i="55"/>
  <c r="D350" i="55"/>
  <c r="D280" i="55"/>
  <c r="D2934" i="55"/>
  <c r="F1352" i="55"/>
  <c r="F1573" i="55"/>
  <c r="D2199" i="55"/>
  <c r="D2784" i="55"/>
  <c r="C2496" i="55"/>
  <c r="C2470" i="55"/>
  <c r="C2534" i="55"/>
  <c r="C2552" i="55"/>
  <c r="C2504" i="55"/>
  <c r="C2505" i="55"/>
  <c r="D1452" i="55"/>
  <c r="D1464" i="55"/>
  <c r="D1453" i="55"/>
  <c r="D1457" i="55"/>
  <c r="D1471" i="55"/>
  <c r="E1029" i="55"/>
  <c r="D2905" i="55"/>
  <c r="D404" i="55"/>
  <c r="D7618" i="55"/>
  <c r="E1365" i="55"/>
  <c r="D3054" i="55"/>
  <c r="D2588" i="55"/>
  <c r="D2368" i="55"/>
  <c r="D2832" i="55"/>
  <c r="D1473" i="55"/>
  <c r="D383" i="55"/>
  <c r="E1368" i="55"/>
  <c r="E3044" i="55"/>
  <c r="D340" i="55"/>
  <c r="D375" i="55"/>
  <c r="D367" i="55"/>
  <c r="D319" i="55"/>
  <c r="D292" i="55"/>
  <c r="D380" i="55"/>
  <c r="D394" i="55"/>
  <c r="F1082" i="55"/>
  <c r="E3030" i="55"/>
  <c r="F1347" i="55"/>
  <c r="E2115" i="55"/>
  <c r="E350" i="55"/>
  <c r="E378" i="55"/>
  <c r="E376" i="55"/>
  <c r="E354" i="55"/>
  <c r="E681" i="55"/>
  <c r="E695" i="55"/>
  <c r="E2966" i="55"/>
  <c r="E712" i="55"/>
  <c r="F1494" i="55"/>
  <c r="F1080" i="55"/>
  <c r="F104" i="55"/>
  <c r="F45" i="55"/>
  <c r="F52" i="55"/>
  <c r="C2485" i="55"/>
  <c r="C2529" i="55"/>
  <c r="C2519" i="55"/>
  <c r="C2469" i="55"/>
  <c r="C2475" i="55"/>
  <c r="D1455" i="55"/>
  <c r="D1456" i="55"/>
  <c r="D304" i="55"/>
  <c r="D395" i="55"/>
  <c r="D7623" i="55"/>
  <c r="E1359" i="55"/>
  <c r="D2709" i="55"/>
  <c r="F1771" i="55"/>
  <c r="D2587" i="55"/>
  <c r="D343" i="55"/>
  <c r="D294" i="55"/>
  <c r="D295" i="55"/>
  <c r="D364" i="55"/>
  <c r="D353" i="55"/>
  <c r="D344" i="55"/>
  <c r="D303" i="55"/>
  <c r="D271" i="55"/>
  <c r="D2941" i="55"/>
  <c r="D317" i="55"/>
  <c r="D357" i="55"/>
  <c r="A12" i="56"/>
  <c r="E3175" i="55"/>
  <c r="E3166" i="55"/>
  <c r="E3170" i="55"/>
  <c r="E3154" i="55"/>
  <c r="E3174" i="55"/>
  <c r="F3157" i="55"/>
  <c r="F3158" i="55"/>
  <c r="A21" i="57"/>
  <c r="A38" i="57"/>
  <c r="H3196" i="55"/>
  <c r="H3195" i="55"/>
  <c r="E1253" i="55"/>
  <c r="E1259" i="55"/>
  <c r="E1265" i="55"/>
  <c r="E2854" i="55"/>
  <c r="F29" i="55"/>
  <c r="F74" i="55"/>
  <c r="F126" i="55"/>
  <c r="E2732" i="55"/>
  <c r="F62" i="55"/>
  <c r="F98" i="55"/>
  <c r="F54" i="55"/>
  <c r="F1691" i="55"/>
  <c r="F1743" i="55"/>
  <c r="F1899" i="55"/>
  <c r="F1535" i="55"/>
  <c r="F1639" i="55"/>
  <c r="F1795" i="55"/>
  <c r="F1587" i="55"/>
  <c r="F1847" i="55"/>
  <c r="F1951" i="55"/>
  <c r="E555" i="55"/>
  <c r="E2440" i="55"/>
  <c r="E2196" i="55"/>
  <c r="F1354" i="55"/>
  <c r="F1084" i="55"/>
  <c r="F1401" i="55"/>
  <c r="E358" i="55"/>
  <c r="E386" i="55"/>
  <c r="E377" i="55"/>
  <c r="E342" i="55"/>
  <c r="E334" i="55"/>
  <c r="E656" i="55"/>
  <c r="E692" i="55"/>
  <c r="E7659" i="55"/>
  <c r="E648" i="55"/>
  <c r="E708" i="55"/>
  <c r="E7662" i="55"/>
  <c r="F1350" i="55"/>
  <c r="F3003" i="55"/>
  <c r="F3053" i="55"/>
  <c r="E2302" i="55"/>
  <c r="E2741" i="55"/>
  <c r="F1186" i="55"/>
  <c r="F1522" i="55"/>
  <c r="F109" i="55"/>
  <c r="F56" i="55"/>
  <c r="F3059" i="55"/>
  <c r="F3161" i="55"/>
  <c r="F1714" i="55"/>
  <c r="F1558" i="55"/>
  <c r="M129" i="24"/>
  <c r="M199" i="24"/>
  <c r="M107" i="24"/>
  <c r="F1662" i="55"/>
  <c r="F1974" i="55"/>
  <c r="F3205" i="55"/>
  <c r="F3206" i="55"/>
  <c r="F3155" i="55"/>
  <c r="F3015" i="55"/>
  <c r="F3033" i="55"/>
  <c r="E1035" i="55"/>
  <c r="F2985" i="55"/>
  <c r="F17" i="55"/>
  <c r="F19" i="55"/>
  <c r="F128" i="55"/>
  <c r="E2364" i="55"/>
  <c r="E2391" i="55"/>
  <c r="E374" i="55"/>
  <c r="E381" i="55"/>
  <c r="E375" i="55"/>
  <c r="E388" i="55"/>
  <c r="E341" i="55"/>
  <c r="E665" i="55"/>
  <c r="E662" i="55"/>
  <c r="E650" i="55"/>
  <c r="E643" i="55"/>
  <c r="E646" i="55"/>
  <c r="E663" i="55"/>
  <c r="F1492" i="55"/>
  <c r="F1420" i="55"/>
  <c r="F3039" i="55"/>
  <c r="F2991" i="55"/>
  <c r="F1248" i="55"/>
  <c r="F111" i="55"/>
  <c r="F87" i="55"/>
  <c r="F1834" i="55"/>
  <c r="F115" i="55"/>
  <c r="F108" i="55"/>
  <c r="F1431" i="55"/>
  <c r="F3145" i="55"/>
  <c r="F75" i="55"/>
  <c r="D1516" i="55"/>
  <c r="D7780" i="55"/>
  <c r="D7773" i="55"/>
  <c r="D7769" i="55"/>
  <c r="D7761" i="55"/>
  <c r="D7779" i="55"/>
  <c r="D7772" i="55"/>
  <c r="D7767" i="55"/>
  <c r="D7776" i="55"/>
  <c r="D7765" i="55"/>
  <c r="D7783" i="55"/>
  <c r="D7768" i="55"/>
  <c r="D7763" i="55"/>
  <c r="D7778" i="55"/>
  <c r="D7764" i="55"/>
  <c r="D7771" i="55"/>
  <c r="D7775" i="55"/>
  <c r="D7782" i="55"/>
  <c r="D7781" i="55"/>
  <c r="D7777" i="55"/>
  <c r="D7774" i="55"/>
  <c r="D7770" i="55"/>
  <c r="D7766" i="55"/>
  <c r="D7762" i="55"/>
  <c r="D1568" i="55"/>
  <c r="D691" i="55"/>
  <c r="D659" i="55"/>
  <c r="D623" i="55"/>
  <c r="D629" i="55"/>
  <c r="L35" i="47"/>
  <c r="H1686" i="55"/>
  <c r="C6260" i="55"/>
  <c r="C7153" i="55"/>
  <c r="C5560" i="55"/>
  <c r="C4288" i="55"/>
  <c r="C4275" i="55"/>
  <c r="C4807" i="55"/>
  <c r="C6393" i="55"/>
  <c r="C5470" i="55"/>
  <c r="C5757" i="55"/>
  <c r="C3922" i="55"/>
  <c r="C5810" i="55"/>
  <c r="C3992" i="55"/>
  <c r="C6377" i="55"/>
  <c r="C4729" i="55"/>
  <c r="C3942" i="55"/>
  <c r="C6280" i="55"/>
  <c r="C5697" i="55"/>
  <c r="C4060" i="55"/>
  <c r="C3487" i="55"/>
  <c r="C5519" i="55"/>
  <c r="C5458" i="55"/>
  <c r="C5752" i="55"/>
  <c r="C4517" i="55"/>
  <c r="C4215" i="55"/>
  <c r="C6718" i="55"/>
  <c r="C4858" i="55"/>
  <c r="C4690" i="55"/>
  <c r="C3983" i="55"/>
  <c r="C4271" i="55"/>
  <c r="C5385" i="55"/>
  <c r="C4220" i="55"/>
  <c r="C5473" i="55"/>
  <c r="C3825" i="55"/>
  <c r="C4910" i="55"/>
  <c r="C6881" i="55"/>
  <c r="C6892" i="55"/>
  <c r="C3477" i="55"/>
  <c r="C3503" i="55"/>
  <c r="C7107" i="55"/>
  <c r="C6568" i="55"/>
  <c r="C6467" i="55"/>
  <c r="C6291" i="55"/>
  <c r="C5775" i="55"/>
  <c r="C6225" i="55"/>
  <c r="C5935" i="55"/>
  <c r="C5339" i="55"/>
  <c r="C7602" i="55"/>
  <c r="C6917" i="55"/>
  <c r="C6981" i="55"/>
  <c r="C6158" i="55"/>
  <c r="C5921" i="55"/>
  <c r="C6249" i="55"/>
  <c r="C5876" i="55"/>
  <c r="C5651" i="55"/>
  <c r="C6085" i="55"/>
  <c r="C6544" i="55"/>
  <c r="C5421" i="55"/>
  <c r="C4324" i="55"/>
  <c r="C4510" i="55"/>
  <c r="C5036" i="55"/>
  <c r="C6131" i="55"/>
  <c r="C5335" i="55"/>
  <c r="C5709" i="55"/>
  <c r="C3785" i="55"/>
  <c r="C5626" i="55"/>
  <c r="C4231" i="55"/>
  <c r="C6120" i="55"/>
  <c r="C4520" i="55"/>
  <c r="C4656" i="55"/>
  <c r="C6112" i="55"/>
  <c r="C5170" i="55"/>
  <c r="C4180" i="55"/>
  <c r="C7237" i="55"/>
  <c r="C5083" i="55"/>
  <c r="C5498" i="55"/>
  <c r="C6119" i="55"/>
  <c r="C4707" i="55"/>
  <c r="C4039" i="55"/>
  <c r="C6409" i="55"/>
  <c r="C5766" i="55"/>
  <c r="C4136" i="55"/>
  <c r="C3647" i="55"/>
  <c r="C4600" i="55"/>
  <c r="C6309" i="55"/>
  <c r="C3900" i="55"/>
  <c r="C5712" i="55"/>
  <c r="C4189" i="55"/>
  <c r="C5145" i="55"/>
  <c r="C7097" i="55"/>
  <c r="C6149" i="55"/>
  <c r="C5148" i="55"/>
  <c r="C4310" i="55"/>
  <c r="C3863" i="55"/>
  <c r="C5133" i="55"/>
  <c r="C5922" i="55"/>
  <c r="C4951" i="55"/>
  <c r="C4955" i="55"/>
  <c r="C3655" i="55"/>
  <c r="C5277" i="55"/>
  <c r="C4145" i="55"/>
  <c r="C5845" i="55"/>
  <c r="C5248" i="55"/>
  <c r="C4498" i="55"/>
  <c r="C5723" i="55"/>
  <c r="C5371" i="55"/>
  <c r="C4762" i="55"/>
  <c r="C6996" i="55"/>
  <c r="C5318" i="55"/>
  <c r="C5138" i="55"/>
  <c r="C5779" i="55"/>
  <c r="C4828" i="55"/>
  <c r="C4571" i="55"/>
  <c r="C5848" i="55"/>
  <c r="C4899" i="55"/>
  <c r="C3770" i="55"/>
  <c r="C3846" i="55"/>
  <c r="C4994" i="55"/>
  <c r="C6322" i="55"/>
  <c r="C4884" i="55"/>
  <c r="C5298" i="55"/>
  <c r="C4608" i="55"/>
  <c r="C5013" i="55"/>
  <c r="C6084" i="55"/>
  <c r="C5742" i="55"/>
  <c r="C4119" i="55"/>
  <c r="C3774" i="55"/>
  <c r="C4713" i="55"/>
  <c r="C6135" i="55"/>
  <c r="C5577" i="55"/>
  <c r="C5007" i="55"/>
  <c r="C5154" i="55"/>
  <c r="C3879" i="55"/>
  <c r="C5155" i="55"/>
  <c r="C3741" i="55"/>
  <c r="C5661" i="55"/>
  <c r="C4464" i="55"/>
  <c r="C4148" i="55"/>
  <c r="C5653" i="55"/>
  <c r="C5096" i="55"/>
  <c r="C4251" i="55"/>
  <c r="C6727" i="55"/>
  <c r="C5087" i="55"/>
  <c r="C4639" i="55"/>
  <c r="C5464" i="55"/>
  <c r="C4815" i="55"/>
  <c r="C3719" i="55"/>
  <c r="C6191" i="55"/>
  <c r="C5232" i="55"/>
  <c r="C4302" i="55"/>
  <c r="C3854" i="55"/>
  <c r="C4296" i="55"/>
  <c r="C6504" i="55"/>
  <c r="C4369" i="55"/>
  <c r="C5401" i="55"/>
  <c r="C3966" i="55"/>
  <c r="C4947" i="55"/>
  <c r="C5977" i="55"/>
  <c r="C5701" i="55"/>
  <c r="C4592" i="55"/>
  <c r="C3749" i="55"/>
  <c r="C4137" i="55"/>
  <c r="C6494" i="55"/>
  <c r="C4813" i="55"/>
  <c r="C4184" i="55"/>
  <c r="C4983" i="55"/>
  <c r="C7056" i="55"/>
  <c r="C4838" i="55"/>
  <c r="C4122" i="55"/>
  <c r="C6257" i="55"/>
  <c r="C4630" i="55"/>
  <c r="C3780" i="55"/>
  <c r="C6426" i="55"/>
  <c r="C5220" i="55"/>
  <c r="C3885" i="55"/>
  <c r="C7047" i="55"/>
  <c r="C5039" i="55"/>
  <c r="C4516" i="55"/>
  <c r="C5291" i="55"/>
  <c r="C4394" i="55"/>
  <c r="C4077" i="55"/>
  <c r="C5744" i="55"/>
  <c r="C4403" i="55"/>
  <c r="C3984" i="55"/>
  <c r="C3814" i="55"/>
  <c r="C4901" i="55"/>
  <c r="C6891" i="55"/>
  <c r="C4670" i="55"/>
  <c r="C5941" i="55"/>
  <c r="C4264" i="55"/>
  <c r="C5565" i="55"/>
  <c r="C5840" i="55"/>
  <c r="C5508" i="55"/>
  <c r="C3864" i="55"/>
  <c r="C3692" i="55"/>
  <c r="C4986" i="55"/>
  <c r="C4753" i="55"/>
  <c r="C4961" i="55"/>
  <c r="C4618" i="55"/>
  <c r="C6840" i="55"/>
  <c r="C4748" i="55"/>
  <c r="C3807" i="55"/>
  <c r="C5867" i="55"/>
  <c r="C4349" i="55"/>
  <c r="C3736" i="55"/>
  <c r="C6001" i="55"/>
  <c r="C4512" i="55"/>
  <c r="C4644" i="55"/>
  <c r="C5934" i="55"/>
  <c r="C4773" i="55"/>
  <c r="C7360" i="55"/>
  <c r="C5343" i="55"/>
  <c r="C4224" i="55"/>
  <c r="C3865" i="55"/>
  <c r="C6111" i="55"/>
  <c r="C4699" i="55"/>
  <c r="C4207" i="55"/>
  <c r="C3890" i="55"/>
  <c r="C5008" i="55"/>
  <c r="C7158" i="55"/>
  <c r="C5026" i="55"/>
  <c r="C6816" i="55"/>
  <c r="C4285" i="55"/>
  <c r="C5490" i="55"/>
  <c r="C6232" i="55"/>
  <c r="C5185" i="55"/>
  <c r="C4294" i="55"/>
  <c r="C4191" i="55"/>
  <c r="C5306" i="55"/>
  <c r="C4485" i="55"/>
  <c r="C4155" i="55"/>
  <c r="C4735" i="55"/>
  <c r="C6497" i="55"/>
  <c r="C4497" i="55"/>
  <c r="C3979" i="55"/>
  <c r="C5535" i="55"/>
  <c r="C4284" i="55"/>
  <c r="C3678" i="55"/>
  <c r="C5566" i="55"/>
  <c r="C5051" i="55"/>
  <c r="C4486" i="55"/>
  <c r="C5996" i="55"/>
  <c r="C4504" i="55"/>
  <c r="C6589" i="55"/>
  <c r="C5512" i="55"/>
  <c r="C4945" i="55"/>
  <c r="C4000" i="55"/>
  <c r="C5690" i="55"/>
  <c r="C5378" i="55"/>
  <c r="C3990" i="55"/>
  <c r="C3694" i="55"/>
  <c r="C4940" i="55"/>
  <c r="C3483" i="55"/>
  <c r="C4305" i="55"/>
  <c r="C6832" i="55"/>
  <c r="C3924" i="55"/>
  <c r="C5773" i="55"/>
  <c r="C6184" i="55"/>
  <c r="C4845" i="55"/>
  <c r="C3754" i="55"/>
  <c r="C3781" i="55"/>
  <c r="C6002" i="55"/>
  <c r="C7352" i="55"/>
  <c r="C4904" i="55"/>
  <c r="C3892" i="55"/>
  <c r="C5898" i="55"/>
  <c r="C4654" i="55"/>
  <c r="C4195" i="55"/>
  <c r="C5636" i="55"/>
  <c r="C4649" i="55"/>
  <c r="C4036" i="55"/>
  <c r="C5548" i="55"/>
  <c r="C5398" i="55"/>
  <c r="C4140" i="55"/>
  <c r="C5952" i="55"/>
  <c r="C4808" i="55"/>
  <c r="C6800" i="55"/>
  <c r="C4895" i="55"/>
  <c r="C3889" i="55"/>
  <c r="C3683" i="55"/>
  <c r="C5868" i="55"/>
  <c r="C4635" i="55"/>
  <c r="C4721" i="55"/>
  <c r="C5022" i="55"/>
  <c r="C4809" i="55"/>
  <c r="C3903" i="55"/>
  <c r="C4905" i="55"/>
  <c r="C6923" i="55"/>
  <c r="C4900" i="55"/>
  <c r="C5882" i="55"/>
  <c r="C7354" i="55"/>
  <c r="C5624" i="55"/>
  <c r="C4387" i="55"/>
  <c r="C4339" i="55"/>
  <c r="C6498" i="55"/>
  <c r="C6208" i="55"/>
  <c r="C7006" i="55"/>
  <c r="C3999" i="55"/>
  <c r="C5263" i="55"/>
  <c r="C3981" i="55"/>
  <c r="C7050" i="55"/>
  <c r="C4768" i="55"/>
  <c r="C4188" i="55"/>
  <c r="C7396" i="55"/>
  <c r="C5178" i="55"/>
  <c r="C4621" i="55"/>
  <c r="C3955" i="55"/>
  <c r="C5924" i="55"/>
  <c r="C6935" i="55"/>
  <c r="C5889" i="55"/>
  <c r="C4932" i="55"/>
  <c r="C4309" i="55"/>
  <c r="C7170" i="55"/>
  <c r="C5286" i="55"/>
  <c r="C4216" i="55"/>
  <c r="C4012" i="55"/>
  <c r="C3884" i="55"/>
  <c r="C5696" i="55"/>
  <c r="C3958" i="55"/>
  <c r="C4817" i="55"/>
  <c r="C4439" i="55"/>
  <c r="C6100" i="55"/>
  <c r="C7302" i="55"/>
  <c r="C3460" i="55"/>
  <c r="C7426" i="55"/>
  <c r="C6590" i="55"/>
  <c r="C6627" i="55"/>
  <c r="C6060" i="55"/>
  <c r="C5946" i="55"/>
  <c r="C5695" i="55"/>
  <c r="C5574" i="55"/>
  <c r="C5534" i="55"/>
  <c r="C7553" i="55"/>
  <c r="C7316" i="55"/>
  <c r="C6791" i="55"/>
  <c r="C6649" i="55"/>
  <c r="C5732" i="55"/>
  <c r="C5760" i="55"/>
  <c r="C5533" i="55"/>
  <c r="C5388" i="55"/>
  <c r="C5413" i="55"/>
  <c r="C5693" i="55"/>
  <c r="C7221" i="55"/>
  <c r="C5600" i="55"/>
  <c r="C4659" i="55"/>
  <c r="C4283" i="55"/>
  <c r="C3888" i="55"/>
  <c r="C6642" i="55"/>
  <c r="C5891" i="55"/>
  <c r="C5539" i="55"/>
  <c r="C4819" i="55"/>
  <c r="C5477" i="55"/>
  <c r="C4292" i="55"/>
  <c r="C6488" i="55"/>
  <c r="C5375" i="55"/>
  <c r="C4827" i="55"/>
  <c r="C7034" i="55"/>
  <c r="C5104" i="55"/>
  <c r="C4442" i="55"/>
  <c r="C3681" i="55"/>
  <c r="C5806" i="55"/>
  <c r="C6559" i="55"/>
  <c r="C6220" i="55"/>
  <c r="C5064" i="55"/>
  <c r="C4009" i="55"/>
  <c r="C7312" i="55"/>
  <c r="C5791" i="55"/>
  <c r="C4913" i="55"/>
  <c r="C3836" i="55"/>
  <c r="C4376" i="55"/>
  <c r="C5258" i="55"/>
  <c r="C4256" i="55"/>
  <c r="C5549" i="55"/>
  <c r="C3907" i="55"/>
  <c r="C4550" i="55"/>
  <c r="C6962" i="55"/>
  <c r="E489" i="55"/>
  <c r="F1083" i="55"/>
  <c r="E216" i="55"/>
  <c r="F3027" i="55"/>
  <c r="F1079" i="55"/>
  <c r="F66" i="55"/>
  <c r="F37" i="55"/>
  <c r="F103" i="55"/>
  <c r="E346" i="55"/>
  <c r="E363" i="55"/>
  <c r="E340" i="55"/>
  <c r="E367" i="55"/>
  <c r="E335" i="55"/>
  <c r="E664" i="55"/>
  <c r="E657" i="55"/>
  <c r="E7627" i="55"/>
  <c r="E661" i="55"/>
  <c r="E7664" i="55"/>
  <c r="E683" i="55"/>
  <c r="F1493" i="55"/>
  <c r="F1081" i="55"/>
  <c r="F3054" i="55"/>
  <c r="F1113" i="55"/>
  <c r="F30" i="55"/>
  <c r="F127" i="55"/>
  <c r="F35" i="55"/>
  <c r="F93" i="55"/>
  <c r="F25" i="55"/>
  <c r="F3060" i="55"/>
  <c r="F3204" i="55"/>
  <c r="D2003" i="55"/>
  <c r="D2007" i="55"/>
  <c r="C1543" i="55"/>
  <c r="C7784" i="55"/>
  <c r="C7776" i="55"/>
  <c r="C7769" i="55"/>
  <c r="C7761" i="55"/>
  <c r="C7768" i="55"/>
  <c r="C7789" i="55"/>
  <c r="C7775" i="55"/>
  <c r="C7765" i="55"/>
  <c r="C7787" i="55"/>
  <c r="C7764" i="55"/>
  <c r="C7771" i="55"/>
  <c r="C7795" i="55"/>
  <c r="C7791" i="55"/>
  <c r="C7788" i="55"/>
  <c r="C7780" i="55"/>
  <c r="C7773" i="55"/>
  <c r="C7772" i="55"/>
  <c r="C7786" i="55"/>
  <c r="C7779" i="55"/>
  <c r="C7782" i="55"/>
  <c r="C7794" i="55"/>
  <c r="C7790" i="55"/>
  <c r="C7783" i="55"/>
  <c r="C7793" i="55"/>
  <c r="C7763" i="55"/>
  <c r="C7767" i="55"/>
  <c r="C7797" i="55"/>
  <c r="C7778" i="55"/>
  <c r="C7796" i="55"/>
  <c r="C7792" i="55"/>
  <c r="C7785" i="55"/>
  <c r="C7781" i="55"/>
  <c r="C7777" i="55"/>
  <c r="C7774" i="55"/>
  <c r="C7770" i="55"/>
  <c r="C7766" i="55"/>
  <c r="C7762" i="55"/>
  <c r="C1717" i="55"/>
  <c r="C1756" i="55"/>
  <c r="C2926" i="55"/>
  <c r="C1525" i="55"/>
  <c r="C1531" i="55"/>
  <c r="C2004" i="55"/>
  <c r="C1940" i="55"/>
  <c r="C1798" i="55"/>
  <c r="C1909" i="55"/>
  <c r="C1966" i="55"/>
  <c r="C1911" i="55"/>
  <c r="C3223" i="55"/>
  <c r="C1626" i="55"/>
  <c r="C1719" i="55"/>
  <c r="C1720" i="55"/>
  <c r="C1511" i="55"/>
  <c r="C1598" i="55"/>
  <c r="C1660" i="55"/>
  <c r="C1803" i="55"/>
  <c r="C1604" i="55"/>
  <c r="C1741" i="55"/>
  <c r="C3225" i="55"/>
  <c r="C1824" i="55"/>
  <c r="C1852" i="55"/>
  <c r="C1573" i="55"/>
  <c r="C1935" i="55"/>
  <c r="C1929" i="55"/>
  <c r="C1639" i="55"/>
  <c r="C1775" i="55"/>
  <c r="C1733" i="55"/>
  <c r="C1594" i="55"/>
  <c r="C1749" i="55"/>
  <c r="C1784" i="55"/>
  <c r="C1835" i="55"/>
  <c r="C1550" i="55"/>
  <c r="C1593" i="55"/>
  <c r="C1977" i="55"/>
  <c r="C1509" i="55"/>
  <c r="C1563" i="55"/>
  <c r="C1877" i="55"/>
  <c r="C1868" i="55"/>
  <c r="C1678" i="55"/>
  <c r="C1701" i="55"/>
  <c r="C1991" i="55"/>
  <c r="C1567" i="55"/>
  <c r="C1602" i="55"/>
  <c r="C1624" i="55"/>
  <c r="C1613" i="55"/>
  <c r="C99" i="55"/>
  <c r="C192" i="55"/>
  <c r="C248" i="55"/>
  <c r="C214" i="55"/>
  <c r="C79" i="55"/>
  <c r="C104" i="55"/>
  <c r="C12" i="55"/>
  <c r="C44" i="55"/>
  <c r="C172" i="55"/>
  <c r="C25" i="55"/>
  <c r="E3077" i="55"/>
  <c r="F7719" i="55"/>
  <c r="E7719" i="55"/>
  <c r="F7691" i="55"/>
  <c r="E7691" i="55"/>
  <c r="E7684" i="55"/>
  <c r="F7684" i="55"/>
  <c r="F7712" i="55"/>
  <c r="E7712" i="55"/>
  <c r="F45" i="47"/>
  <c r="C81" i="55"/>
  <c r="C3197" i="55"/>
  <c r="C3185" i="55"/>
  <c r="C3208" i="55"/>
  <c r="C3196" i="55"/>
  <c r="C3184" i="55"/>
  <c r="C3207" i="55"/>
  <c r="C3195" i="55"/>
  <c r="C3183" i="55"/>
  <c r="C3206" i="55"/>
  <c r="C3194" i="55"/>
  <c r="C3182" i="55"/>
  <c r="C3205" i="55"/>
  <c r="C3193" i="55"/>
  <c r="C3181" i="55"/>
  <c r="C3204" i="55"/>
  <c r="C3192" i="55"/>
  <c r="C3180" i="55"/>
  <c r="C3203" i="55"/>
  <c r="C3191" i="55"/>
  <c r="C3179" i="55"/>
  <c r="C3202" i="55"/>
  <c r="C3190" i="55"/>
  <c r="C3178" i="55"/>
  <c r="C3201" i="55"/>
  <c r="C3189" i="55"/>
  <c r="C3177" i="55"/>
  <c r="C3200" i="55"/>
  <c r="C3188" i="55"/>
  <c r="C3199" i="55"/>
  <c r="C3187" i="55"/>
  <c r="C3198" i="55"/>
  <c r="C3186" i="55"/>
  <c r="C3167" i="55"/>
  <c r="C3155" i="55"/>
  <c r="C3143" i="55"/>
  <c r="C3166" i="55"/>
  <c r="C3154" i="55"/>
  <c r="C3142" i="55"/>
  <c r="C3165" i="55"/>
  <c r="C3153" i="55"/>
  <c r="C3141" i="55"/>
  <c r="C3140" i="55"/>
  <c r="C3151" i="55"/>
  <c r="C3148" i="55"/>
  <c r="C3136" i="55"/>
  <c r="C3146" i="55"/>
  <c r="C3169" i="55"/>
  <c r="C3164" i="55"/>
  <c r="C3171" i="55"/>
  <c r="C3163" i="55"/>
  <c r="C3150" i="55"/>
  <c r="C3161" i="55"/>
  <c r="C3160" i="55"/>
  <c r="C3159" i="55"/>
  <c r="C3170" i="55"/>
  <c r="C3157" i="55"/>
  <c r="C3152" i="55"/>
  <c r="C3174" i="55"/>
  <c r="C3173" i="55"/>
  <c r="C3175" i="55"/>
  <c r="C3162" i="55"/>
  <c r="C3138" i="55"/>
  <c r="C3172" i="55"/>
  <c r="C3147" i="55"/>
  <c r="C3158" i="55"/>
  <c r="C3145" i="55"/>
  <c r="C3139" i="55"/>
  <c r="C3137" i="55"/>
  <c r="C3149" i="55"/>
  <c r="C3135" i="55"/>
  <c r="C3168" i="55"/>
  <c r="C3156" i="55"/>
  <c r="C3144" i="55"/>
  <c r="C183" i="55"/>
  <c r="C77" i="55"/>
  <c r="D1548" i="55"/>
  <c r="D7791" i="55"/>
  <c r="D7784" i="55"/>
  <c r="D7793" i="55"/>
  <c r="D7795" i="55"/>
  <c r="D7788" i="55"/>
  <c r="D7789" i="55"/>
  <c r="D7794" i="55"/>
  <c r="D7790" i="55"/>
  <c r="D7787" i="55"/>
  <c r="D7797" i="55"/>
  <c r="D7786" i="55"/>
  <c r="D7796" i="55"/>
  <c r="D7792" i="55"/>
  <c r="D7785" i="55"/>
  <c r="D1030" i="55"/>
  <c r="D3215" i="55"/>
  <c r="C73" i="55"/>
  <c r="N11" i="22"/>
  <c r="D62" i="49" s="1"/>
  <c r="D7745" i="55"/>
  <c r="D7733" i="55"/>
  <c r="D7728" i="55"/>
  <c r="D7751" i="55"/>
  <c r="D7746" i="55"/>
  <c r="D7744" i="55"/>
  <c r="D7732" i="55"/>
  <c r="D7743" i="55"/>
  <c r="D7731" i="55"/>
  <c r="D7729" i="55"/>
  <c r="D7739" i="55"/>
  <c r="D7742" i="55"/>
  <c r="D7730" i="55"/>
  <c r="D7741" i="55"/>
  <c r="D7740" i="55"/>
  <c r="D7727" i="55"/>
  <c r="D7750" i="55"/>
  <c r="D7738" i="55"/>
  <c r="D7726" i="55"/>
  <c r="D7734" i="55"/>
  <c r="D7749" i="55"/>
  <c r="D7737" i="55"/>
  <c r="D7748" i="55"/>
  <c r="D7736" i="55"/>
  <c r="D7747" i="55"/>
  <c r="D7735" i="55"/>
  <c r="C211" i="55"/>
  <c r="C164" i="55"/>
  <c r="C33" i="55"/>
  <c r="C202" i="55"/>
  <c r="C157" i="55"/>
  <c r="E7757" i="55"/>
  <c r="E7756" i="55"/>
  <c r="C7757" i="55"/>
  <c r="C7756" i="55"/>
  <c r="C7759" i="55"/>
  <c r="C7758" i="55"/>
  <c r="C85" i="55"/>
  <c r="C240" i="55"/>
  <c r="C221" i="55"/>
  <c r="C105" i="55"/>
  <c r="C223" i="55"/>
  <c r="C59" i="55"/>
  <c r="C170" i="55"/>
  <c r="C17" i="4"/>
  <c r="C7747" i="55"/>
  <c r="C7735" i="55"/>
  <c r="C7721" i="55"/>
  <c r="C7715" i="55"/>
  <c r="C7694" i="55"/>
  <c r="C7687" i="55"/>
  <c r="C7725" i="55"/>
  <c r="C7743" i="55"/>
  <c r="C7685" i="55"/>
  <c r="C7729" i="55"/>
  <c r="C7718" i="55"/>
  <c r="C7746" i="55"/>
  <c r="C7734" i="55"/>
  <c r="C7684" i="55"/>
  <c r="C7731" i="55"/>
  <c r="C7719" i="55"/>
  <c r="C7742" i="55"/>
  <c r="C7741" i="55"/>
  <c r="C7724" i="55"/>
  <c r="C7736" i="55"/>
  <c r="C7745" i="55"/>
  <c r="C7733" i="55"/>
  <c r="C7720" i="55"/>
  <c r="C7714" i="55"/>
  <c r="C7693" i="55"/>
  <c r="C7686" i="55"/>
  <c r="C7692" i="55"/>
  <c r="C7730" i="55"/>
  <c r="C7697" i="55"/>
  <c r="C7754" i="55"/>
  <c r="C7744" i="55"/>
  <c r="C7732" i="55"/>
  <c r="C7713" i="55"/>
  <c r="C7690" i="55"/>
  <c r="C7712" i="55"/>
  <c r="C7740" i="55"/>
  <c r="C7728" i="55"/>
  <c r="C7751" i="55"/>
  <c r="C7739" i="55"/>
  <c r="C7727" i="55"/>
  <c r="C7723" i="55"/>
  <c r="C7717" i="55"/>
  <c r="C7696" i="55"/>
  <c r="C7689" i="55"/>
  <c r="C7688" i="55"/>
  <c r="C7748" i="55"/>
  <c r="C7750" i="55"/>
  <c r="C7738" i="55"/>
  <c r="C7726" i="55"/>
  <c r="C7749" i="55"/>
  <c r="C7737" i="55"/>
  <c r="C7722" i="55"/>
  <c r="C7716" i="55"/>
  <c r="C7695" i="55"/>
  <c r="C7691" i="55"/>
  <c r="CU54" i="63"/>
  <c r="DF62" i="63"/>
  <c r="CU62" i="63"/>
  <c r="DF30" i="63"/>
  <c r="CU14" i="63"/>
  <c r="CU30" i="63"/>
  <c r="CT30" i="63"/>
  <c r="CU38" i="63"/>
  <c r="D2047" i="55"/>
  <c r="D2051" i="55"/>
  <c r="D2038" i="55"/>
  <c r="D2048" i="55"/>
  <c r="D2060" i="55"/>
  <c r="E2036" i="55"/>
  <c r="E2020" i="55"/>
  <c r="D2082" i="55"/>
  <c r="D2028" i="55"/>
  <c r="D2040" i="55"/>
  <c r="D2041" i="55"/>
  <c r="E2078" i="55"/>
  <c r="K48" i="8"/>
  <c r="E1119" i="55"/>
  <c r="E1087" i="55"/>
  <c r="E384" i="55"/>
  <c r="E357" i="55"/>
  <c r="E2941" i="55"/>
  <c r="E383" i="55"/>
  <c r="E399" i="55"/>
  <c r="E373" i="55"/>
  <c r="E392" i="55"/>
  <c r="E717" i="55"/>
  <c r="E653" i="55"/>
  <c r="E658" i="55"/>
  <c r="E660" i="55"/>
  <c r="E687" i="55"/>
  <c r="E652" i="55"/>
  <c r="E718" i="55"/>
  <c r="E7626" i="55"/>
  <c r="F1419" i="55"/>
  <c r="F1351" i="55"/>
  <c r="F99" i="55"/>
  <c r="F50" i="55"/>
  <c r="F15" i="55"/>
  <c r="F96" i="55"/>
  <c r="F18" i="55"/>
  <c r="F61" i="55"/>
  <c r="BL54" i="13"/>
  <c r="EN32" i="13"/>
  <c r="X32" i="13"/>
  <c r="X50" i="13"/>
  <c r="X51" i="13"/>
  <c r="DT28" i="13"/>
  <c r="D151" i="55"/>
  <c r="D28" i="55"/>
  <c r="D27" i="55"/>
  <c r="F1732" i="55"/>
  <c r="F1524" i="55"/>
  <c r="F1940" i="55"/>
  <c r="F1680" i="55"/>
  <c r="F1784" i="55"/>
  <c r="F1628" i="55"/>
  <c r="F1888" i="55"/>
  <c r="F1576" i="55"/>
  <c r="K38" i="8"/>
  <c r="E2232" i="55"/>
  <c r="F1130" i="55"/>
  <c r="E1194" i="55"/>
  <c r="E1182" i="55"/>
  <c r="E1188" i="55"/>
  <c r="E1170" i="55"/>
  <c r="E1200" i="55"/>
  <c r="E1418" i="55"/>
  <c r="E3057" i="55"/>
  <c r="E3051" i="55"/>
  <c r="E3049" i="55"/>
  <c r="E1410" i="55"/>
  <c r="D1994" i="55"/>
  <c r="D1982" i="55"/>
  <c r="D1980" i="55"/>
  <c r="D1981" i="55"/>
  <c r="D1987" i="55"/>
  <c r="CL36" i="13"/>
  <c r="CV36" i="13"/>
  <c r="DP36" i="13"/>
  <c r="H2877" i="55"/>
  <c r="K106" i="52"/>
  <c r="H2834" i="55"/>
  <c r="K53" i="52"/>
  <c r="BL17" i="62"/>
  <c r="D17" i="62"/>
  <c r="X26" i="10"/>
  <c r="AB26" i="10" s="1"/>
  <c r="G36" i="13"/>
  <c r="K28" i="8"/>
  <c r="E2695" i="55"/>
  <c r="E2822" i="55"/>
  <c r="E397" i="55"/>
  <c r="E369" i="55"/>
  <c r="E366" i="55"/>
  <c r="E2940" i="55"/>
  <c r="E404" i="55"/>
  <c r="E333" i="55"/>
  <c r="E676" i="55"/>
  <c r="E711" i="55"/>
  <c r="E691" i="55"/>
  <c r="E677" i="55"/>
  <c r="E703" i="55"/>
  <c r="E694" i="55"/>
  <c r="E707" i="55"/>
  <c r="E7661" i="55"/>
  <c r="E7631" i="55"/>
  <c r="E2887" i="55"/>
  <c r="F23" i="55"/>
  <c r="F91" i="55"/>
  <c r="F113" i="55"/>
  <c r="F90" i="55"/>
  <c r="F27" i="55"/>
  <c r="CF60" i="13"/>
  <c r="BB60" i="13"/>
  <c r="F1564" i="55"/>
  <c r="F1772" i="55"/>
  <c r="F1876" i="55"/>
  <c r="F1512" i="55"/>
  <c r="F1928" i="55"/>
  <c r="F1720" i="55"/>
  <c r="F1668" i="55"/>
  <c r="K62" i="13"/>
  <c r="Y52" i="10"/>
  <c r="AC52" i="10" s="1"/>
  <c r="D1191" i="55"/>
  <c r="D1185" i="55"/>
  <c r="D3001" i="55"/>
  <c r="D1200" i="55"/>
  <c r="D1198" i="55"/>
  <c r="D1192" i="55"/>
  <c r="D1188" i="55"/>
  <c r="D1204" i="55"/>
  <c r="D3005" i="55"/>
  <c r="D1196" i="55"/>
  <c r="D1195" i="55"/>
  <c r="D1203" i="55"/>
  <c r="D1169" i="55"/>
  <c r="D1173" i="55"/>
  <c r="D3003" i="55"/>
  <c r="D1174" i="55"/>
  <c r="D1171" i="55"/>
  <c r="D1179" i="55"/>
  <c r="E96" i="55"/>
  <c r="E2110" i="55"/>
  <c r="E2573" i="55"/>
  <c r="F120" i="55"/>
  <c r="D1993" i="55"/>
  <c r="EN35" i="13"/>
  <c r="F33" i="55"/>
  <c r="F101" i="55"/>
  <c r="F79" i="55"/>
  <c r="F118" i="55"/>
  <c r="F40" i="55"/>
  <c r="E2318" i="55"/>
  <c r="E2354" i="55"/>
  <c r="E407" i="55"/>
  <c r="E2943" i="55"/>
  <c r="E345" i="55"/>
  <c r="E359" i="55"/>
  <c r="E356" i="55"/>
  <c r="E362" i="55"/>
  <c r="E649" i="55"/>
  <c r="E690" i="55"/>
  <c r="E7630" i="55"/>
  <c r="E655" i="55"/>
  <c r="E688" i="55"/>
  <c r="E672" i="55"/>
  <c r="E7628" i="55"/>
  <c r="F78" i="55"/>
  <c r="F86" i="55"/>
  <c r="F28" i="55"/>
  <c r="F34" i="55"/>
  <c r="F94" i="55"/>
  <c r="F70" i="55"/>
  <c r="F44" i="55"/>
  <c r="AR44" i="13"/>
  <c r="CP48" i="13"/>
  <c r="BL65" i="13"/>
  <c r="E3168" i="55"/>
  <c r="BB51" i="13"/>
  <c r="X35" i="13"/>
  <c r="X12" i="10"/>
  <c r="AB12" i="10"/>
  <c r="E3160" i="55"/>
  <c r="E3172" i="55"/>
  <c r="CP28" i="13"/>
  <c r="CP51" i="13"/>
  <c r="AN35" i="13"/>
  <c r="AR35" i="13" s="1"/>
  <c r="M35" i="13"/>
  <c r="BT35" i="13"/>
  <c r="BV35" i="13" s="1"/>
  <c r="F3042" i="55"/>
  <c r="AH61" i="13"/>
  <c r="EN28" i="13"/>
  <c r="C2415" i="55"/>
  <c r="C2193" i="55"/>
  <c r="C2869" i="55"/>
  <c r="C2829" i="55"/>
  <c r="C2226" i="55"/>
  <c r="C2220" i="55"/>
  <c r="C2125" i="55"/>
  <c r="C2391" i="55"/>
  <c r="C2358" i="55"/>
  <c r="C2442" i="55"/>
  <c r="C2885" i="55"/>
  <c r="C2140" i="55"/>
  <c r="C2641" i="55"/>
  <c r="C2645" i="55"/>
  <c r="C2900" i="55"/>
  <c r="C2427" i="55"/>
  <c r="C2761" i="55"/>
  <c r="C2343" i="55"/>
  <c r="C2139" i="55"/>
  <c r="C2905" i="55"/>
  <c r="C2661" i="55"/>
  <c r="C2870" i="55"/>
  <c r="C2194" i="55"/>
  <c r="C2213" i="55"/>
  <c r="C2867" i="55"/>
  <c r="C2234" i="55"/>
  <c r="C2268" i="55"/>
  <c r="C2294" i="55"/>
  <c r="C2674" i="55"/>
  <c r="C2786" i="55"/>
  <c r="C2426" i="55"/>
  <c r="C2137" i="55"/>
  <c r="C2604" i="55"/>
  <c r="C2279" i="55"/>
  <c r="C2293" i="55"/>
  <c r="C2783" i="55"/>
  <c r="C2732" i="55"/>
  <c r="C2278" i="55"/>
  <c r="C2444" i="55"/>
  <c r="C2141" i="55"/>
  <c r="C2295" i="55"/>
  <c r="C2231" i="55"/>
  <c r="C2407" i="55"/>
  <c r="C2879" i="55"/>
  <c r="C2851" i="55"/>
  <c r="C2612" i="55"/>
  <c r="C2834" i="55"/>
  <c r="C2886" i="55"/>
  <c r="C2109" i="55"/>
  <c r="C2158" i="55"/>
  <c r="C2403" i="55"/>
  <c r="C2443" i="55"/>
  <c r="C2142" i="55"/>
  <c r="C2134" i="55"/>
  <c r="C2844" i="55"/>
  <c r="C2826" i="55"/>
  <c r="C2824" i="55"/>
  <c r="C2182" i="55"/>
  <c r="C2709" i="55"/>
  <c r="C2778" i="55"/>
  <c r="C2592" i="55"/>
  <c r="C2412" i="55"/>
  <c r="C2367" i="55"/>
  <c r="C2384" i="55"/>
  <c r="C2854" i="55"/>
  <c r="C2398" i="55"/>
  <c r="C2781" i="55"/>
  <c r="C2145" i="55"/>
  <c r="C2664" i="55"/>
  <c r="C2379" i="55"/>
  <c r="C2404" i="55"/>
  <c r="C2457" i="55"/>
  <c r="C2744" i="55"/>
  <c r="C2567" i="55"/>
  <c r="C2256" i="55"/>
  <c r="C2887" i="55"/>
  <c r="C2752" i="55"/>
  <c r="C2561" i="55"/>
  <c r="C2311" i="55"/>
  <c r="C2785" i="55"/>
  <c r="C2402" i="55"/>
  <c r="C2849" i="55"/>
  <c r="C2921" i="55"/>
  <c r="C2625" i="55"/>
  <c r="C2837" i="55"/>
  <c r="C2255" i="55"/>
  <c r="C2649" i="55"/>
  <c r="C2595" i="55"/>
  <c r="C2107" i="55"/>
  <c r="C2896" i="55"/>
  <c r="C2359" i="55"/>
  <c r="C2130" i="55"/>
  <c r="C2225" i="55"/>
  <c r="C2316" i="55"/>
  <c r="C2264" i="55"/>
  <c r="C2191" i="55"/>
  <c r="C2155" i="55"/>
  <c r="C2408" i="55"/>
  <c r="C2164" i="55"/>
  <c r="C2714" i="55"/>
  <c r="C2730" i="55"/>
  <c r="C2175" i="55"/>
  <c r="C2871" i="55"/>
  <c r="C2847" i="55"/>
  <c r="C2195" i="55"/>
  <c r="C2308" i="55"/>
  <c r="C2428" i="55"/>
  <c r="C2750" i="55"/>
  <c r="C2190" i="55"/>
  <c r="C2874" i="55"/>
  <c r="C2099" i="55"/>
  <c r="C2261" i="55"/>
  <c r="C2700" i="55"/>
  <c r="C2285" i="55"/>
  <c r="C2352" i="55"/>
  <c r="C2806" i="55"/>
  <c r="C2249" i="55"/>
  <c r="C2235" i="55"/>
  <c r="C2836" i="55"/>
  <c r="C2682" i="55"/>
  <c r="C2390" i="55"/>
  <c r="C2354" i="55"/>
  <c r="C2626" i="55"/>
  <c r="C2149" i="55"/>
  <c r="C2167" i="55"/>
  <c r="C2566" i="55"/>
  <c r="C2759" i="55"/>
  <c r="C2349" i="55"/>
  <c r="C2727" i="55"/>
  <c r="C2583" i="55"/>
  <c r="C2162" i="55"/>
  <c r="C2178" i="55"/>
  <c r="C2756" i="55"/>
  <c r="C2364" i="55"/>
  <c r="C2411" i="55"/>
  <c r="C2160" i="55"/>
  <c r="C2888" i="55"/>
  <c r="C2221" i="55"/>
  <c r="C2205" i="55"/>
  <c r="C2891" i="55"/>
  <c r="F1102" i="55"/>
  <c r="E3167" i="55"/>
  <c r="E3151" i="55"/>
  <c r="F1839" i="55"/>
  <c r="F1787" i="55"/>
  <c r="F1683" i="55"/>
  <c r="F1735" i="55"/>
  <c r="F1631" i="55"/>
  <c r="F1891" i="55"/>
  <c r="F1527" i="55"/>
  <c r="F1579" i="55"/>
  <c r="E1469" i="55"/>
  <c r="E1453" i="55"/>
  <c r="E1457" i="55"/>
  <c r="E1461" i="55"/>
  <c r="E1473" i="55"/>
  <c r="D2533" i="55"/>
  <c r="D2529" i="55"/>
  <c r="D2534" i="55"/>
  <c r="D2532" i="55"/>
  <c r="D2530" i="55"/>
  <c r="D2535" i="55"/>
  <c r="D2525" i="55"/>
  <c r="D2527" i="55"/>
  <c r="D2528" i="55"/>
  <c r="X60" i="13"/>
  <c r="BL50" i="13"/>
  <c r="D2104" i="55"/>
  <c r="D2102" i="55"/>
  <c r="D2565" i="55"/>
  <c r="D2349" i="55"/>
  <c r="D2224" i="55"/>
  <c r="D2348" i="55"/>
  <c r="D2687" i="55"/>
  <c r="D2567" i="55"/>
  <c r="D2811" i="55"/>
  <c r="D2226" i="55"/>
  <c r="D2812" i="55"/>
  <c r="D2690" i="55"/>
  <c r="D2568" i="55"/>
  <c r="D2810" i="55"/>
  <c r="D2347" i="55"/>
  <c r="F1963" i="55"/>
  <c r="F1755" i="55"/>
  <c r="C14" i="48"/>
  <c r="D2015" i="55" s="1"/>
  <c r="D34" i="49"/>
  <c r="E2049" i="55" s="1"/>
  <c r="DF44" i="13"/>
  <c r="J249" i="24"/>
  <c r="D2212" i="55"/>
  <c r="C728" i="55"/>
  <c r="C742" i="55"/>
  <c r="C465" i="55"/>
  <c r="F1806" i="55"/>
  <c r="C739" i="55"/>
  <c r="D35" i="49"/>
  <c r="E2050" i="55" s="1"/>
  <c r="C392" i="55"/>
  <c r="C372" i="55"/>
  <c r="C500" i="55"/>
  <c r="AH21" i="13"/>
  <c r="C458" i="55"/>
  <c r="C216" i="24"/>
  <c r="C12" i="24"/>
  <c r="G58" i="13"/>
  <c r="AD58" i="13" s="1"/>
  <c r="AH58" i="13" s="1"/>
  <c r="X48" i="10"/>
  <c r="N18" i="52"/>
  <c r="G67" i="13"/>
  <c r="X57" i="10"/>
  <c r="EJ33" i="13"/>
  <c r="EN33" i="13" s="1"/>
  <c r="BB28" i="13"/>
  <c r="D2743" i="55"/>
  <c r="D1023" i="55"/>
  <c r="J234" i="24"/>
  <c r="D1885" i="55"/>
  <c r="C2025" i="55"/>
  <c r="F1698" i="55"/>
  <c r="C364" i="55"/>
  <c r="C2972" i="55"/>
  <c r="C354" i="55"/>
  <c r="C312" i="55"/>
  <c r="C517" i="55"/>
  <c r="C345" i="55"/>
  <c r="D627" i="55"/>
  <c r="Y34" i="10"/>
  <c r="AC34" i="10" s="1"/>
  <c r="P64" i="23"/>
  <c r="P19" i="23"/>
  <c r="P61" i="23"/>
  <c r="P18" i="23"/>
  <c r="P87" i="23"/>
  <c r="D10" i="23"/>
  <c r="P81" i="23"/>
  <c r="P56" i="23"/>
  <c r="P91" i="23"/>
  <c r="N137" i="52"/>
  <c r="BV28" i="13"/>
  <c r="H2846" i="55"/>
  <c r="K67" i="52"/>
  <c r="H2856" i="55" s="1"/>
  <c r="J25" i="52"/>
  <c r="L25" i="52" s="1"/>
  <c r="DH27" i="13"/>
  <c r="DJ27" i="13" s="1"/>
  <c r="BJ29" i="13"/>
  <c r="J36" i="52"/>
  <c r="L36" i="52" s="1"/>
  <c r="H2242" i="55" s="1"/>
  <c r="J30" i="52"/>
  <c r="L30" i="52" s="1"/>
  <c r="H2236" i="55" s="1"/>
  <c r="CB47" i="13"/>
  <c r="N33" i="52"/>
  <c r="F1911" i="55"/>
  <c r="DP29" i="13"/>
  <c r="DT29" i="13" s="1"/>
  <c r="F1542" i="55"/>
  <c r="F138" i="8"/>
  <c r="J95" i="49" s="1"/>
  <c r="CL35" i="13"/>
  <c r="N44" i="13"/>
  <c r="C686" i="55"/>
  <c r="C343" i="55"/>
  <c r="C547" i="55"/>
  <c r="C2953" i="55"/>
  <c r="C584" i="55"/>
  <c r="C695" i="55"/>
  <c r="C2971" i="55"/>
  <c r="C634" i="55"/>
  <c r="C561" i="55"/>
  <c r="C762" i="55"/>
  <c r="C702" i="55"/>
  <c r="C529" i="55"/>
  <c r="C406" i="55"/>
  <c r="C2936" i="55"/>
  <c r="C446" i="55"/>
  <c r="C864" i="55"/>
  <c r="C682" i="55"/>
  <c r="C352" i="55"/>
  <c r="C268" i="55"/>
  <c r="C347" i="55"/>
  <c r="C761" i="55"/>
  <c r="C649" i="55"/>
  <c r="C551" i="55"/>
  <c r="C646" i="55"/>
  <c r="C379" i="55"/>
  <c r="C560" i="55"/>
  <c r="C832" i="55"/>
  <c r="D2798" i="55"/>
  <c r="D2455" i="55"/>
  <c r="BR68" i="13"/>
  <c r="BV68" i="13" s="1"/>
  <c r="D1370" i="55"/>
  <c r="D1355" i="55"/>
  <c r="D1357" i="55"/>
  <c r="D1367" i="55"/>
  <c r="G60" i="13"/>
  <c r="X50" i="10"/>
  <c r="K45" i="13"/>
  <c r="Y35" i="10"/>
  <c r="AC35" i="10" s="1"/>
  <c r="C119" i="24"/>
  <c r="D118" i="8"/>
  <c r="CD64" i="13"/>
  <c r="E2012" i="55"/>
  <c r="D3217" i="55"/>
  <c r="D1047" i="55"/>
  <c r="C13" i="48"/>
  <c r="D2014" i="55" s="1"/>
  <c r="D33" i="49"/>
  <c r="E2048" i="55" s="1"/>
  <c r="F1870" i="55"/>
  <c r="F1922" i="55"/>
  <c r="CX28" i="13"/>
  <c r="CZ28" i="13" s="1"/>
  <c r="V64" i="13"/>
  <c r="D30" i="8"/>
  <c r="D2329" i="55"/>
  <c r="D2792" i="55"/>
  <c r="Y58" i="10"/>
  <c r="H68" i="13"/>
  <c r="E39" i="63"/>
  <c r="E41" i="63"/>
  <c r="F38" i="62"/>
  <c r="CJ45" i="13"/>
  <c r="CT45" i="13"/>
  <c r="DN45" i="13"/>
  <c r="DN35" i="13"/>
  <c r="DP35" i="13" s="1"/>
  <c r="AB35" i="13"/>
  <c r="AF68" i="13"/>
  <c r="AH68" i="13" s="1"/>
  <c r="C1878" i="55"/>
  <c r="C5233" i="55"/>
  <c r="C3783" i="55"/>
  <c r="C3721" i="55"/>
  <c r="C4907" i="55"/>
  <c r="C7087" i="55"/>
  <c r="C4397" i="55"/>
  <c r="C5493" i="55"/>
  <c r="C5342" i="55"/>
  <c r="C4771" i="55"/>
  <c r="C4449" i="55"/>
  <c r="C3871" i="55"/>
  <c r="C4026" i="55"/>
  <c r="C4580" i="55"/>
  <c r="C4797" i="55"/>
  <c r="C5794" i="55"/>
  <c r="C6907" i="55"/>
  <c r="X35" i="10"/>
  <c r="F111" i="8"/>
  <c r="I34" i="51"/>
  <c r="AL27" i="13"/>
  <c r="AP27" i="13" s="1"/>
  <c r="CN27" i="13"/>
  <c r="C1808" i="55"/>
  <c r="C1666" i="55"/>
  <c r="C5218" i="55"/>
  <c r="C6283" i="55"/>
  <c r="C4730" i="55"/>
  <c r="C4651" i="55"/>
  <c r="C5708" i="55"/>
  <c r="C7402" i="55"/>
  <c r="C5309" i="55"/>
  <c r="C6229" i="55"/>
  <c r="C3831" i="55"/>
  <c r="C4342" i="55"/>
  <c r="C5099" i="55"/>
  <c r="C7053" i="55"/>
  <c r="C4259" i="55"/>
  <c r="C5357" i="55"/>
  <c r="C6442" i="55"/>
  <c r="C3849" i="55"/>
  <c r="C4242" i="55"/>
  <c r="C5552" i="55"/>
  <c r="C7406" i="55"/>
  <c r="C4965" i="55"/>
  <c r="C6606" i="55"/>
  <c r="C5654" i="55"/>
  <c r="C5034" i="55"/>
  <c r="C3996" i="55"/>
  <c r="C4563" i="55"/>
  <c r="C4731" i="55"/>
  <c r="C4959" i="55"/>
  <c r="C5149" i="55"/>
  <c r="C6508" i="55"/>
  <c r="C181" i="24"/>
  <c r="E26" i="25" s="1"/>
  <c r="H1058" i="55" s="1"/>
  <c r="C209" i="24"/>
  <c r="E28" i="25" s="1"/>
  <c r="H1060" i="55" s="1"/>
  <c r="C42" i="24"/>
  <c r="E17" i="25" s="1"/>
  <c r="H1051" i="55" s="1"/>
  <c r="CL65" i="13"/>
  <c r="BM70" i="63"/>
  <c r="CP70" i="63" s="1"/>
  <c r="BY102" i="63"/>
  <c r="DB102" i="63" s="1"/>
  <c r="BG161" i="63"/>
  <c r="DM127" i="63" s="1"/>
  <c r="AU161" i="63"/>
  <c r="DA127" i="63" s="1"/>
  <c r="DA128" i="63" s="1"/>
  <c r="DA144" i="63" s="1"/>
  <c r="BH161" i="63"/>
  <c r="DN127" i="63" s="1"/>
  <c r="DN128" i="63" s="1"/>
  <c r="DM167" i="63"/>
  <c r="CI84" i="63" s="1"/>
  <c r="DL84" i="63" s="1"/>
  <c r="DA167" i="63"/>
  <c r="BW48" i="63" s="1"/>
  <c r="CZ48" i="63" s="1"/>
  <c r="DO135" i="63"/>
  <c r="DD167" i="63"/>
  <c r="BZ86" i="63" s="1"/>
  <c r="DC86" i="63" s="1"/>
  <c r="DF167" i="63"/>
  <c r="CB59" i="63" s="1"/>
  <c r="DE59" i="63" s="1"/>
  <c r="CT167" i="63"/>
  <c r="BP66" i="63" s="1"/>
  <c r="CS66" i="63" s="1"/>
  <c r="M45" i="13"/>
  <c r="DH42" i="13"/>
  <c r="P65" i="23"/>
  <c r="P82" i="23"/>
  <c r="P34" i="23"/>
  <c r="EH63" i="13"/>
  <c r="DE167" i="63"/>
  <c r="CA33" i="63" s="1"/>
  <c r="DD33" i="63" s="1"/>
  <c r="CS167" i="63"/>
  <c r="BO58" i="63" s="1"/>
  <c r="CR58" i="63" s="1"/>
  <c r="C23" i="24"/>
  <c r="P66" i="23"/>
  <c r="P83" i="23"/>
  <c r="DR63" i="13"/>
  <c r="AF42" i="13"/>
  <c r="DN167" i="63"/>
  <c r="CP167" i="63"/>
  <c r="AP41" i="13"/>
  <c r="C1628" i="55"/>
  <c r="C1702" i="55"/>
  <c r="C5500" i="55"/>
  <c r="C6056" i="55"/>
  <c r="C3860" i="55"/>
  <c r="C5106" i="55"/>
  <c r="C5615" i="55"/>
  <c r="C4164" i="55"/>
  <c r="C5601" i="55"/>
  <c r="C3794" i="55"/>
  <c r="C6904" i="55"/>
  <c r="C6706" i="55"/>
  <c r="C6142" i="55"/>
  <c r="C6062" i="55"/>
  <c r="C3659" i="55"/>
  <c r="C4348" i="55"/>
  <c r="C4627" i="55"/>
  <c r="C5593" i="55"/>
  <c r="E67" i="8"/>
  <c r="H64" i="55" s="1"/>
  <c r="X17" i="10"/>
  <c r="BZ31" i="13"/>
  <c r="O11" i="22"/>
  <c r="D63" i="49" s="1"/>
  <c r="EH51" i="13"/>
  <c r="F126" i="52"/>
  <c r="M37" i="13"/>
  <c r="P69" i="23"/>
  <c r="P86" i="23"/>
  <c r="EH48" i="13"/>
  <c r="DF31" i="13"/>
  <c r="DJ31" i="13" s="1"/>
  <c r="T46" i="13"/>
  <c r="X46" i="13" s="1"/>
  <c r="AF27" i="13"/>
  <c r="EB35" i="13"/>
  <c r="ED35" i="13" s="1"/>
  <c r="W11" i="22"/>
  <c r="D71" i="49" s="1"/>
  <c r="E3215" i="55"/>
  <c r="I11" i="22"/>
  <c r="D57" i="49" s="1"/>
  <c r="E1028" i="55"/>
  <c r="AS116" i="63"/>
  <c r="CE86" i="63"/>
  <c r="DH86" i="63" s="1"/>
  <c r="CE52" i="63"/>
  <c r="DH52" i="63" s="1"/>
  <c r="CE48" i="63"/>
  <c r="DH48" i="63" s="1"/>
  <c r="CE91" i="63"/>
  <c r="DH91" i="63" s="1"/>
  <c r="CE109" i="63"/>
  <c r="DH109" i="63" s="1"/>
  <c r="CE18" i="63"/>
  <c r="DH18" i="63" s="1"/>
  <c r="CE37" i="63"/>
  <c r="DH37" i="63" s="1"/>
  <c r="CE108" i="63"/>
  <c r="DH108" i="63" s="1"/>
  <c r="CE11" i="63"/>
  <c r="DH11" i="63" s="1"/>
  <c r="CE31" i="63"/>
  <c r="DH31" i="63" s="1"/>
  <c r="CE103" i="63"/>
  <c r="DH103" i="63" s="1"/>
  <c r="CE38" i="63"/>
  <c r="DH38" i="63" s="1"/>
  <c r="CE56" i="63"/>
  <c r="DH56" i="63" s="1"/>
  <c r="CE55" i="63"/>
  <c r="DH55" i="63" s="1"/>
  <c r="CE21" i="63"/>
  <c r="DH21" i="63" s="1"/>
  <c r="CE12" i="63"/>
  <c r="DH12" i="63" s="1"/>
  <c r="CE41" i="63"/>
  <c r="DH41" i="63" s="1"/>
  <c r="CE20" i="63"/>
  <c r="DH20" i="63" s="1"/>
  <c r="CE59" i="63"/>
  <c r="DH59" i="63" s="1"/>
  <c r="CE61" i="63"/>
  <c r="DH61" i="63" s="1"/>
  <c r="CE110" i="63"/>
  <c r="DH110" i="63" s="1"/>
  <c r="CE92" i="63"/>
  <c r="DH92" i="63" s="1"/>
  <c r="CE32" i="63"/>
  <c r="DH32" i="63" s="1"/>
  <c r="CE96" i="63"/>
  <c r="DH96" i="63" s="1"/>
  <c r="CE33" i="63"/>
  <c r="DH33" i="63" s="1"/>
  <c r="CE111" i="63"/>
  <c r="DH111" i="63" s="1"/>
  <c r="CE60" i="63"/>
  <c r="DH60" i="63" s="1"/>
  <c r="CE82" i="63"/>
  <c r="DH82" i="63" s="1"/>
  <c r="CE13" i="63"/>
  <c r="DH13" i="63" s="1"/>
  <c r="CE93" i="63"/>
  <c r="DH93" i="63" s="1"/>
  <c r="CE97" i="63"/>
  <c r="DH97" i="63" s="1"/>
  <c r="CE27" i="63"/>
  <c r="DH27" i="63" s="1"/>
  <c r="CE83" i="63"/>
  <c r="DH83" i="63" s="1"/>
  <c r="CE14" i="63"/>
  <c r="DH14" i="63" s="1"/>
  <c r="CE47" i="63"/>
  <c r="DH47" i="63" s="1"/>
  <c r="CE94" i="63"/>
  <c r="DH94" i="63" s="1"/>
  <c r="CE22" i="63"/>
  <c r="DH22" i="63" s="1"/>
  <c r="CE113" i="63"/>
  <c r="DH113" i="63" s="1"/>
  <c r="H5052" i="55"/>
  <c r="CE81" i="63"/>
  <c r="DH81" i="63" s="1"/>
  <c r="CE45" i="63"/>
  <c r="DH45" i="63" s="1"/>
  <c r="CE106" i="63"/>
  <c r="DH106" i="63" s="1"/>
  <c r="CE89" i="63"/>
  <c r="DH89" i="63" s="1"/>
  <c r="CE99" i="63"/>
  <c r="DH99" i="63" s="1"/>
  <c r="CE88" i="63"/>
  <c r="DH88" i="63" s="1"/>
  <c r="CE114" i="63"/>
  <c r="DH114" i="63" s="1"/>
  <c r="CE50" i="63"/>
  <c r="DH50" i="63" s="1"/>
  <c r="CE85" i="63"/>
  <c r="DH85" i="63" s="1"/>
  <c r="BF116" i="63"/>
  <c r="AO161" i="63"/>
  <c r="CU127" i="63" s="1"/>
  <c r="CU128" i="63" s="1"/>
  <c r="CU144" i="63" s="1"/>
  <c r="BY106" i="63"/>
  <c r="DB106" i="63" s="1"/>
  <c r="AN161" i="63"/>
  <c r="CT127" i="63" s="1"/>
  <c r="CT128" i="63" s="1"/>
  <c r="F36" i="6"/>
  <c r="F33" i="6"/>
  <c r="G23" i="6"/>
  <c r="G35" i="6" s="1"/>
  <c r="EB27" i="13"/>
  <c r="AY116" i="63"/>
  <c r="AI161" i="63"/>
  <c r="CO127" i="63" s="1"/>
  <c r="DS90" i="63"/>
  <c r="D90" i="63"/>
  <c r="D135" i="63"/>
  <c r="E96" i="62"/>
  <c r="AN96" i="62"/>
  <c r="CB89" i="63"/>
  <c r="DE89" i="63" s="1"/>
  <c r="AN109" i="62"/>
  <c r="DS103" i="63"/>
  <c r="D103" i="63"/>
  <c r="D148" i="63"/>
  <c r="E109" i="62"/>
  <c r="Y40" i="10"/>
  <c r="H50" i="13"/>
  <c r="AQ161" i="63"/>
  <c r="CW127" i="63" s="1"/>
  <c r="AK161" i="63"/>
  <c r="CQ127" i="63" s="1"/>
  <c r="CQ128" i="63" s="1"/>
  <c r="CQ143" i="63" s="1"/>
  <c r="DL167" i="63"/>
  <c r="CB84" i="63"/>
  <c r="DE84" i="63" s="1"/>
  <c r="BM103" i="63"/>
  <c r="CP103" i="63" s="1"/>
  <c r="D2817" i="55"/>
  <c r="D2570" i="55"/>
  <c r="D2352" i="55"/>
  <c r="D2107" i="55"/>
  <c r="D2354" i="55"/>
  <c r="D2230" i="55"/>
  <c r="D2231" i="55"/>
  <c r="D2109" i="55"/>
  <c r="D2693" i="55"/>
  <c r="D2353" i="55"/>
  <c r="D2695" i="55"/>
  <c r="D2814" i="55"/>
  <c r="D2108" i="55"/>
  <c r="D2572" i="55"/>
  <c r="D2692" i="55"/>
  <c r="D2351" i="55"/>
  <c r="D2816" i="55"/>
  <c r="D2232" i="55"/>
  <c r="D2573" i="55"/>
  <c r="D2815" i="55"/>
  <c r="D2694" i="55"/>
  <c r="D2571" i="55"/>
  <c r="G29" i="13"/>
  <c r="AD29" i="13" s="1"/>
  <c r="AH29" i="13" s="1"/>
  <c r="X19" i="10"/>
  <c r="AM116" i="63"/>
  <c r="AT161" i="63"/>
  <c r="CZ127" i="63" s="1"/>
  <c r="CZ128" i="63" s="1"/>
  <c r="BM86" i="63"/>
  <c r="CP86" i="63" s="1"/>
  <c r="BM44" i="63"/>
  <c r="CP44" i="63" s="1"/>
  <c r="BM43" i="63"/>
  <c r="CP43" i="63" s="1"/>
  <c r="BM48" i="63"/>
  <c r="CP48" i="63" s="1"/>
  <c r="BM17" i="63"/>
  <c r="CP17" i="63" s="1"/>
  <c r="BM39" i="63"/>
  <c r="CP39" i="63" s="1"/>
  <c r="BM41" i="63"/>
  <c r="CP41" i="63" s="1"/>
  <c r="BM47" i="63"/>
  <c r="CP47" i="63" s="1"/>
  <c r="BM23" i="63"/>
  <c r="CP23" i="63" s="1"/>
  <c r="BM83" i="63"/>
  <c r="CP83" i="63" s="1"/>
  <c r="BM58" i="63"/>
  <c r="CP58" i="63" s="1"/>
  <c r="BM61" i="63"/>
  <c r="CP61" i="63" s="1"/>
  <c r="BM64" i="63"/>
  <c r="CP64" i="63" s="1"/>
  <c r="BM46" i="63"/>
  <c r="CP46" i="63" s="1"/>
  <c r="BM62" i="63"/>
  <c r="CP62" i="63" s="1"/>
  <c r="BM114" i="63"/>
  <c r="CP114" i="63" s="1"/>
  <c r="BM65" i="63"/>
  <c r="CP65" i="63" s="1"/>
  <c r="BM97" i="63"/>
  <c r="CP97" i="63" s="1"/>
  <c r="BM25" i="63"/>
  <c r="CP25" i="63" s="1"/>
  <c r="BM96" i="63"/>
  <c r="CP96" i="63" s="1"/>
  <c r="BM53" i="63"/>
  <c r="CP53" i="63" s="1"/>
  <c r="BM92" i="63"/>
  <c r="CP92" i="63" s="1"/>
  <c r="BM89" i="63"/>
  <c r="CP89" i="63" s="1"/>
  <c r="BM18" i="63"/>
  <c r="CP18" i="63" s="1"/>
  <c r="BM56" i="63"/>
  <c r="CP56" i="63" s="1"/>
  <c r="BM93" i="63"/>
  <c r="CP93" i="63" s="1"/>
  <c r="BM110" i="63"/>
  <c r="CP110" i="63" s="1"/>
  <c r="BM105" i="63"/>
  <c r="CP105" i="63" s="1"/>
  <c r="BM98" i="63"/>
  <c r="CP98" i="63" s="1"/>
  <c r="BM85" i="63"/>
  <c r="CP85" i="63" s="1"/>
  <c r="BM52" i="63"/>
  <c r="CP52" i="63" s="1"/>
  <c r="BM34" i="63"/>
  <c r="CP34" i="63" s="1"/>
  <c r="BM14" i="63"/>
  <c r="CP14" i="63" s="1"/>
  <c r="BM50" i="63"/>
  <c r="CP50" i="63" s="1"/>
  <c r="BM101" i="63"/>
  <c r="CP101" i="63" s="1"/>
  <c r="BM99" i="63"/>
  <c r="CP99" i="63" s="1"/>
  <c r="BM24" i="63"/>
  <c r="CP24" i="63" s="1"/>
  <c r="BM36" i="63"/>
  <c r="CP36" i="63" s="1"/>
  <c r="BM104" i="63"/>
  <c r="CP104" i="63" s="1"/>
  <c r="BM51" i="63"/>
  <c r="CP51" i="63" s="1"/>
  <c r="BM60" i="63"/>
  <c r="CP60" i="63" s="1"/>
  <c r="BM67" i="63"/>
  <c r="CP67" i="63" s="1"/>
  <c r="BM106" i="63"/>
  <c r="CP106" i="63" s="1"/>
  <c r="BM81" i="63"/>
  <c r="CP81" i="63" s="1"/>
  <c r="BM91" i="63"/>
  <c r="CP91" i="63" s="1"/>
  <c r="BM88" i="63"/>
  <c r="CP88" i="63" s="1"/>
  <c r="BM21" i="63"/>
  <c r="CP21" i="63" s="1"/>
  <c r="BM26" i="63"/>
  <c r="CP26" i="63" s="1"/>
  <c r="BM31" i="63"/>
  <c r="CP31" i="63" s="1"/>
  <c r="BM28" i="63"/>
  <c r="CP28" i="63" s="1"/>
  <c r="BM102" i="63"/>
  <c r="CP102" i="63" s="1"/>
  <c r="BM22" i="63"/>
  <c r="CP22" i="63" s="1"/>
  <c r="BM55" i="63"/>
  <c r="CP55" i="63" s="1"/>
  <c r="BM84" i="63"/>
  <c r="CP84" i="63" s="1"/>
  <c r="BM69" i="63"/>
  <c r="CP69" i="63" s="1"/>
  <c r="BM100" i="63"/>
  <c r="CP100" i="63" s="1"/>
  <c r="BM68" i="63"/>
  <c r="CP68" i="63" s="1"/>
  <c r="BM32" i="63"/>
  <c r="CP32" i="63" s="1"/>
  <c r="BM30" i="63"/>
  <c r="CP30" i="63" s="1"/>
  <c r="BM15" i="63"/>
  <c r="CP15" i="63" s="1"/>
  <c r="BM113" i="63"/>
  <c r="CP113" i="63" s="1"/>
  <c r="BM40" i="63"/>
  <c r="CP40" i="63" s="1"/>
  <c r="BM109" i="63"/>
  <c r="CP109" i="63" s="1"/>
  <c r="BM94" i="63"/>
  <c r="CP94" i="63" s="1"/>
  <c r="BM42" i="63"/>
  <c r="CP42" i="63" s="1"/>
  <c r="BM49" i="63"/>
  <c r="CP49" i="63" s="1"/>
  <c r="BM33" i="63"/>
  <c r="CP33" i="63" s="1"/>
  <c r="BM66" i="63"/>
  <c r="CP66" i="63" s="1"/>
  <c r="BM19" i="63"/>
  <c r="CP19" i="63" s="1"/>
  <c r="BM63" i="63"/>
  <c r="CP63" i="63" s="1"/>
  <c r="BM16" i="63"/>
  <c r="CP16" i="63" s="1"/>
  <c r="BM82" i="63"/>
  <c r="CP82" i="63" s="1"/>
  <c r="BM45" i="63"/>
  <c r="CP45" i="63" s="1"/>
  <c r="BM90" i="63"/>
  <c r="CP90" i="63" s="1"/>
  <c r="BM107" i="63"/>
  <c r="CP107" i="63" s="1"/>
  <c r="BM20" i="63"/>
  <c r="CP20" i="63" s="1"/>
  <c r="BM29" i="63"/>
  <c r="CP29" i="63" s="1"/>
  <c r="BM59" i="63"/>
  <c r="CP59" i="63" s="1"/>
  <c r="BM112" i="63"/>
  <c r="CP112" i="63" s="1"/>
  <c r="BM12" i="63"/>
  <c r="CP12" i="63" s="1"/>
  <c r="BM57" i="63"/>
  <c r="CP57" i="63" s="1"/>
  <c r="BM27" i="63"/>
  <c r="CP27" i="63" s="1"/>
  <c r="BM11" i="63"/>
  <c r="CP11" i="63" s="1"/>
  <c r="BM54" i="63"/>
  <c r="CP54" i="63" s="1"/>
  <c r="BM13" i="63"/>
  <c r="CP13" i="63" s="1"/>
  <c r="BM95" i="63"/>
  <c r="CP95" i="63" s="1"/>
  <c r="BM38" i="63"/>
  <c r="CP38" i="63" s="1"/>
  <c r="BM35" i="63"/>
  <c r="CP35" i="63" s="1"/>
  <c r="BW101" i="63"/>
  <c r="CZ101" i="63" s="1"/>
  <c r="BW36" i="63"/>
  <c r="CZ36" i="63" s="1"/>
  <c r="BW52" i="63"/>
  <c r="CZ52" i="63" s="1"/>
  <c r="BW84" i="63"/>
  <c r="CZ84" i="63" s="1"/>
  <c r="BW61" i="63"/>
  <c r="CZ61" i="63" s="1"/>
  <c r="BW46" i="63"/>
  <c r="CZ46" i="63" s="1"/>
  <c r="BW68" i="63"/>
  <c r="CZ68" i="63" s="1"/>
  <c r="BW27" i="63"/>
  <c r="CZ27" i="63" s="1"/>
  <c r="D114" i="63"/>
  <c r="AN120" i="62"/>
  <c r="E120" i="62"/>
  <c r="DS114" i="63"/>
  <c r="D159" i="63"/>
  <c r="E1181" i="55"/>
  <c r="E1175" i="55"/>
  <c r="E1199" i="55"/>
  <c r="E1187" i="55"/>
  <c r="E1193" i="55"/>
  <c r="E1169" i="55"/>
  <c r="H66" i="13"/>
  <c r="Y56" i="10"/>
  <c r="AC56" i="10" s="1"/>
  <c r="BZ43" i="13"/>
  <c r="DN43" i="13"/>
  <c r="BF43" i="13"/>
  <c r="BP43" i="13"/>
  <c r="BZ88" i="63"/>
  <c r="DC88" i="63" s="1"/>
  <c r="BZ93" i="63"/>
  <c r="DC93" i="63" s="1"/>
  <c r="BZ87" i="63"/>
  <c r="DC87" i="63" s="1"/>
  <c r="BZ37" i="63"/>
  <c r="DC37" i="63" s="1"/>
  <c r="BZ101" i="63"/>
  <c r="DC101" i="63" s="1"/>
  <c r="BZ108" i="63"/>
  <c r="DC108" i="63" s="1"/>
  <c r="BZ13" i="63"/>
  <c r="DC13" i="63" s="1"/>
  <c r="BZ84" i="63"/>
  <c r="DC84" i="63" s="1"/>
  <c r="BZ19" i="63"/>
  <c r="DC19" i="63" s="1"/>
  <c r="BZ60" i="63"/>
  <c r="DC60" i="63" s="1"/>
  <c r="BZ45" i="63"/>
  <c r="DC45" i="63" s="1"/>
  <c r="BZ70" i="63"/>
  <c r="DC70" i="63" s="1"/>
  <c r="BZ52" i="63"/>
  <c r="DC52" i="63" s="1"/>
  <c r="BZ68" i="63"/>
  <c r="DC68" i="63" s="1"/>
  <c r="BZ91" i="63"/>
  <c r="DC91" i="63" s="1"/>
  <c r="BZ113" i="63"/>
  <c r="DC113" i="63" s="1"/>
  <c r="BZ59" i="63"/>
  <c r="DC59" i="63" s="1"/>
  <c r="BZ46" i="63"/>
  <c r="DC46" i="63" s="1"/>
  <c r="BZ103" i="63"/>
  <c r="DC103" i="63" s="1"/>
  <c r="BZ40" i="63"/>
  <c r="DC40" i="63" s="1"/>
  <c r="BZ107" i="63"/>
  <c r="DC107" i="63" s="1"/>
  <c r="BZ62" i="63"/>
  <c r="DC62" i="63" s="1"/>
  <c r="BZ24" i="63"/>
  <c r="DC24" i="63" s="1"/>
  <c r="BZ102" i="63"/>
  <c r="DC102" i="63" s="1"/>
  <c r="BZ23" i="63"/>
  <c r="DC23" i="63" s="1"/>
  <c r="BZ17" i="63"/>
  <c r="DC17" i="63" s="1"/>
  <c r="BZ67" i="63"/>
  <c r="DC67" i="63" s="1"/>
  <c r="BZ105" i="63"/>
  <c r="DC105" i="63" s="1"/>
  <c r="BZ51" i="63"/>
  <c r="DC51" i="63" s="1"/>
  <c r="BZ90" i="63"/>
  <c r="DC90" i="63" s="1"/>
  <c r="BZ48" i="63"/>
  <c r="DC48" i="63" s="1"/>
  <c r="BZ56" i="63"/>
  <c r="DC56" i="63" s="1"/>
  <c r="BZ58" i="63"/>
  <c r="DC58" i="63" s="1"/>
  <c r="BZ47" i="63"/>
  <c r="DC47" i="63" s="1"/>
  <c r="BZ104" i="63"/>
  <c r="DC104" i="63" s="1"/>
  <c r="BZ26" i="63"/>
  <c r="DC26" i="63" s="1"/>
  <c r="BZ34" i="63"/>
  <c r="DC34" i="63" s="1"/>
  <c r="BZ41" i="63"/>
  <c r="DC41" i="63" s="1"/>
  <c r="BZ21" i="63"/>
  <c r="DC21" i="63" s="1"/>
  <c r="BZ111" i="63"/>
  <c r="DC111" i="63" s="1"/>
  <c r="BZ39" i="63"/>
  <c r="DC39" i="63" s="1"/>
  <c r="BZ95" i="63"/>
  <c r="DC95" i="63" s="1"/>
  <c r="BZ35" i="63"/>
  <c r="DC35" i="63" s="1"/>
  <c r="BZ11" i="63"/>
  <c r="DC11" i="63" s="1"/>
  <c r="BZ109" i="63"/>
  <c r="DC109" i="63" s="1"/>
  <c r="BZ16" i="63"/>
  <c r="DC16" i="63" s="1"/>
  <c r="BZ27" i="63"/>
  <c r="DC27" i="63" s="1"/>
  <c r="BZ106" i="63"/>
  <c r="DC106" i="63" s="1"/>
  <c r="BZ100" i="63"/>
  <c r="DC100" i="63" s="1"/>
  <c r="BZ85" i="63"/>
  <c r="DC85" i="63" s="1"/>
  <c r="BZ99" i="63"/>
  <c r="DC99" i="63" s="1"/>
  <c r="BZ110" i="63"/>
  <c r="DC110" i="63" s="1"/>
  <c r="BZ36" i="63"/>
  <c r="DC36" i="63" s="1"/>
  <c r="BZ96" i="63"/>
  <c r="DC96" i="63" s="1"/>
  <c r="BZ29" i="63"/>
  <c r="DC29" i="63" s="1"/>
  <c r="BZ42" i="63"/>
  <c r="DC42" i="63" s="1"/>
  <c r="BZ31" i="63"/>
  <c r="DC31" i="63" s="1"/>
  <c r="BZ55" i="63"/>
  <c r="DC55" i="63" s="1"/>
  <c r="BZ18" i="63"/>
  <c r="DC18" i="63" s="1"/>
  <c r="BZ89" i="63"/>
  <c r="DC89" i="63" s="1"/>
  <c r="BZ54" i="63"/>
  <c r="DC54" i="63" s="1"/>
  <c r="BZ33" i="63"/>
  <c r="DC33" i="63" s="1"/>
  <c r="BZ83" i="63"/>
  <c r="DC83" i="63" s="1"/>
  <c r="BZ94" i="63"/>
  <c r="DC94" i="63" s="1"/>
  <c r="BZ82" i="63"/>
  <c r="DC82" i="63" s="1"/>
  <c r="BZ15" i="63"/>
  <c r="DC15" i="63" s="1"/>
  <c r="BZ22" i="63"/>
  <c r="DC22" i="63" s="1"/>
  <c r="BZ63" i="63"/>
  <c r="DC63" i="63" s="1"/>
  <c r="BZ65" i="63"/>
  <c r="DC65" i="63" s="1"/>
  <c r="BZ66" i="63"/>
  <c r="DC66" i="63" s="1"/>
  <c r="BD116" i="63"/>
  <c r="AM161" i="63"/>
  <c r="CS127" i="63" s="1"/>
  <c r="CS128" i="63" s="1"/>
  <c r="CS144" i="63" s="1"/>
  <c r="AN108" i="62"/>
  <c r="D147" i="63"/>
  <c r="D102" i="63"/>
  <c r="DS102" i="63"/>
  <c r="E108" i="62"/>
  <c r="AZ161" i="63"/>
  <c r="DF127" i="63" s="1"/>
  <c r="DF128" i="63" s="1"/>
  <c r="CI28" i="63"/>
  <c r="DL28" i="63" s="1"/>
  <c r="CI103" i="63"/>
  <c r="DL103" i="63" s="1"/>
  <c r="CI56" i="63"/>
  <c r="DL56" i="63" s="1"/>
  <c r="D136" i="63"/>
  <c r="D91" i="63"/>
  <c r="E97" i="62"/>
  <c r="DS91" i="63"/>
  <c r="AN97" i="62"/>
  <c r="F1555" i="55"/>
  <c r="F1815" i="55"/>
  <c r="F1971" i="55"/>
  <c r="F1763" i="55"/>
  <c r="F1659" i="55"/>
  <c r="F1919" i="55"/>
  <c r="F1711" i="55"/>
  <c r="F1607" i="55"/>
  <c r="F1867" i="55"/>
  <c r="G53" i="13"/>
  <c r="X43" i="10"/>
  <c r="AB43" i="10" s="1"/>
  <c r="BA161" i="63"/>
  <c r="DG127" i="63" s="1"/>
  <c r="DG128" i="63" s="1"/>
  <c r="DG144" i="63" s="1"/>
  <c r="AY161" i="63"/>
  <c r="DE127" i="63" s="1"/>
  <c r="CZ167" i="63"/>
  <c r="CA48" i="63"/>
  <c r="DD48" i="63" s="1"/>
  <c r="CA28" i="63"/>
  <c r="DD28" i="63" s="1"/>
  <c r="CE64" i="63"/>
  <c r="DH64" i="63" s="1"/>
  <c r="CE67" i="63"/>
  <c r="DH67" i="63" s="1"/>
  <c r="BY27" i="63"/>
  <c r="DB27" i="63" s="1"/>
  <c r="BY33" i="63"/>
  <c r="DB33" i="63" s="1"/>
  <c r="BY101" i="63"/>
  <c r="DB101" i="63" s="1"/>
  <c r="BY31" i="63"/>
  <c r="DB31" i="63" s="1"/>
  <c r="BY12" i="63"/>
  <c r="DB12" i="63" s="1"/>
  <c r="BY20" i="63"/>
  <c r="DB20" i="63" s="1"/>
  <c r="BY34" i="63"/>
  <c r="DB34" i="63" s="1"/>
  <c r="BY45" i="63"/>
  <c r="DB45" i="63" s="1"/>
  <c r="BY86" i="63"/>
  <c r="DB86" i="63" s="1"/>
  <c r="BY44" i="63"/>
  <c r="DB44" i="63" s="1"/>
  <c r="BY13" i="63"/>
  <c r="DB13" i="63" s="1"/>
  <c r="BY70" i="63"/>
  <c r="DB70" i="63" s="1"/>
  <c r="BY25" i="63"/>
  <c r="DB25" i="63" s="1"/>
  <c r="BY49" i="63"/>
  <c r="DB49" i="63" s="1"/>
  <c r="BY59" i="63"/>
  <c r="DB59" i="63" s="1"/>
  <c r="BY46" i="63"/>
  <c r="DB46" i="63" s="1"/>
  <c r="BY63" i="63"/>
  <c r="DB63" i="63" s="1"/>
  <c r="BY94" i="63"/>
  <c r="DB94" i="63" s="1"/>
  <c r="BY35" i="63"/>
  <c r="DB35" i="63" s="1"/>
  <c r="BY104" i="63"/>
  <c r="DB104" i="63" s="1"/>
  <c r="BY89" i="63"/>
  <c r="DB89" i="63" s="1"/>
  <c r="BY85" i="63"/>
  <c r="DB85" i="63" s="1"/>
  <c r="BY87" i="63"/>
  <c r="DB87" i="63" s="1"/>
  <c r="BY67" i="63"/>
  <c r="DB67" i="63" s="1"/>
  <c r="BY57" i="63"/>
  <c r="DB57" i="63" s="1"/>
  <c r="BY42" i="63"/>
  <c r="DB42" i="63" s="1"/>
  <c r="BY40" i="63"/>
  <c r="DB40" i="63" s="1"/>
  <c r="BY65" i="63"/>
  <c r="DB65" i="63" s="1"/>
  <c r="BY53" i="63"/>
  <c r="DB53" i="63" s="1"/>
  <c r="BY21" i="63"/>
  <c r="DB21" i="63" s="1"/>
  <c r="BY107" i="63"/>
  <c r="DB107" i="63" s="1"/>
  <c r="BY114" i="63"/>
  <c r="DB114" i="63" s="1"/>
  <c r="BY56" i="63"/>
  <c r="DB56" i="63" s="1"/>
  <c r="BY92" i="63"/>
  <c r="DB92" i="63" s="1"/>
  <c r="BY100" i="63"/>
  <c r="DB100" i="63" s="1"/>
  <c r="BY16" i="63"/>
  <c r="DB16" i="63" s="1"/>
  <c r="BY14" i="63"/>
  <c r="DB14" i="63" s="1"/>
  <c r="BY43" i="63"/>
  <c r="DB43" i="63" s="1"/>
  <c r="BY58" i="63"/>
  <c r="DB58" i="63" s="1"/>
  <c r="BY18" i="63"/>
  <c r="DB18" i="63" s="1"/>
  <c r="BY38" i="63"/>
  <c r="DB38" i="63" s="1"/>
  <c r="BY81" i="63"/>
  <c r="DB81" i="63" s="1"/>
  <c r="BY60" i="63"/>
  <c r="DB60" i="63" s="1"/>
  <c r="BY23" i="63"/>
  <c r="DB23" i="63" s="1"/>
  <c r="BY93" i="63"/>
  <c r="DB93" i="63" s="1"/>
  <c r="BY48" i="63"/>
  <c r="DB48" i="63" s="1"/>
  <c r="BY98" i="63"/>
  <c r="DB98" i="63" s="1"/>
  <c r="BY103" i="63"/>
  <c r="DB103" i="63" s="1"/>
  <c r="BY62" i="63"/>
  <c r="DB62" i="63" s="1"/>
  <c r="BY105" i="63"/>
  <c r="DB105" i="63" s="1"/>
  <c r="BY90" i="63"/>
  <c r="DB90" i="63" s="1"/>
  <c r="BY68" i="63"/>
  <c r="DB68" i="63" s="1"/>
  <c r="BY28" i="63"/>
  <c r="DB28" i="63" s="1"/>
  <c r="BY52" i="63"/>
  <c r="DB52" i="63" s="1"/>
  <c r="BY82" i="63"/>
  <c r="DB82" i="63" s="1"/>
  <c r="BY108" i="63"/>
  <c r="DB108" i="63" s="1"/>
  <c r="BY47" i="63"/>
  <c r="DB47" i="63" s="1"/>
  <c r="BY88" i="63"/>
  <c r="DB88" i="63" s="1"/>
  <c r="BY11" i="63"/>
  <c r="DB11" i="63" s="1"/>
  <c r="BY26" i="63"/>
  <c r="DB26" i="63" s="1"/>
  <c r="BY69" i="63"/>
  <c r="DB69" i="63" s="1"/>
  <c r="BY30" i="63"/>
  <c r="DB30" i="63" s="1"/>
  <c r="BY24" i="63"/>
  <c r="DB24" i="63" s="1"/>
  <c r="BY22" i="63"/>
  <c r="DB22" i="63" s="1"/>
  <c r="BY39" i="63"/>
  <c r="DB39" i="63" s="1"/>
  <c r="BY36" i="63"/>
  <c r="DB36" i="63" s="1"/>
  <c r="BY64" i="63"/>
  <c r="DB64" i="63" s="1"/>
  <c r="BY66" i="63"/>
  <c r="DB66" i="63" s="1"/>
  <c r="BY54" i="63"/>
  <c r="DB54" i="63" s="1"/>
  <c r="BY19" i="63"/>
  <c r="DB19" i="63" s="1"/>
  <c r="BY91" i="63"/>
  <c r="DB91" i="63" s="1"/>
  <c r="BY96" i="63"/>
  <c r="DB96" i="63" s="1"/>
  <c r="BY83" i="63"/>
  <c r="DB83" i="63" s="1"/>
  <c r="BY29" i="63"/>
  <c r="DB29" i="63" s="1"/>
  <c r="BY32" i="63"/>
  <c r="DB32" i="63" s="1"/>
  <c r="BY15" i="63"/>
  <c r="DB15" i="63" s="1"/>
  <c r="BY113" i="63"/>
  <c r="DB113" i="63" s="1"/>
  <c r="BY84" i="63"/>
  <c r="DB84" i="63" s="1"/>
  <c r="BY109" i="63"/>
  <c r="DB109" i="63" s="1"/>
  <c r="BY50" i="63"/>
  <c r="DB50" i="63" s="1"/>
  <c r="BY99" i="63"/>
  <c r="DB99" i="63" s="1"/>
  <c r="BY17" i="63"/>
  <c r="DB17" i="63" s="1"/>
  <c r="BY97" i="63"/>
  <c r="DB97" i="63" s="1"/>
  <c r="BY61" i="63"/>
  <c r="DB61" i="63" s="1"/>
  <c r="BY55" i="63"/>
  <c r="DB55" i="63" s="1"/>
  <c r="BY41" i="63"/>
  <c r="DB41" i="63" s="1"/>
  <c r="BY95" i="63"/>
  <c r="DB95" i="63" s="1"/>
  <c r="BY110" i="63"/>
  <c r="DB110" i="63" s="1"/>
  <c r="BY51" i="63"/>
  <c r="DB51" i="63" s="1"/>
  <c r="BY112" i="63"/>
  <c r="DB112" i="63" s="1"/>
  <c r="BY37" i="63"/>
  <c r="DB37" i="63" s="1"/>
  <c r="CB58" i="63"/>
  <c r="DE58" i="63" s="1"/>
  <c r="CB28" i="63"/>
  <c r="DE28" i="63" s="1"/>
  <c r="CB90" i="63"/>
  <c r="DE90" i="63" s="1"/>
  <c r="CB102" i="63"/>
  <c r="DE102" i="63" s="1"/>
  <c r="CB81" i="63"/>
  <c r="DE81" i="63" s="1"/>
  <c r="CB65" i="63"/>
  <c r="DE65" i="63" s="1"/>
  <c r="CB40" i="63"/>
  <c r="DE40" i="63" s="1"/>
  <c r="CB106" i="63"/>
  <c r="DE106" i="63" s="1"/>
  <c r="CB56" i="63"/>
  <c r="DE56" i="63" s="1"/>
  <c r="CB62" i="63"/>
  <c r="DE62" i="63" s="1"/>
  <c r="CB101" i="63"/>
  <c r="DE101" i="63" s="1"/>
  <c r="CB13" i="63"/>
  <c r="DE13" i="63" s="1"/>
  <c r="CB108" i="63"/>
  <c r="DE108" i="63" s="1"/>
  <c r="CB66" i="63"/>
  <c r="DE66" i="63" s="1"/>
  <c r="CB44" i="63"/>
  <c r="DE44" i="63" s="1"/>
  <c r="CB48" i="63"/>
  <c r="DE48" i="63" s="1"/>
  <c r="CB46" i="63"/>
  <c r="DE46" i="63" s="1"/>
  <c r="CB105" i="63"/>
  <c r="DE105" i="63" s="1"/>
  <c r="CB26" i="63"/>
  <c r="DE26" i="63" s="1"/>
  <c r="CB11" i="63"/>
  <c r="DE11" i="63" s="1"/>
  <c r="CB82" i="63"/>
  <c r="DE82" i="63" s="1"/>
  <c r="CB99" i="63"/>
  <c r="DE99" i="63" s="1"/>
  <c r="CB47" i="63"/>
  <c r="DE47" i="63" s="1"/>
  <c r="CB42" i="63"/>
  <c r="DE42" i="63" s="1"/>
  <c r="CB35" i="63"/>
  <c r="DE35" i="63" s="1"/>
  <c r="CB92" i="63"/>
  <c r="DE92" i="63" s="1"/>
  <c r="CB64" i="63"/>
  <c r="DE64" i="63" s="1"/>
  <c r="CB110" i="63"/>
  <c r="DE110" i="63" s="1"/>
  <c r="CB14" i="63"/>
  <c r="DE14" i="63" s="1"/>
  <c r="CB68" i="63"/>
  <c r="DE68" i="63" s="1"/>
  <c r="CB112" i="63"/>
  <c r="DE112" i="63" s="1"/>
  <c r="CB69" i="63"/>
  <c r="DE69" i="63" s="1"/>
  <c r="CB39" i="63"/>
  <c r="DE39" i="63" s="1"/>
  <c r="CB18" i="63"/>
  <c r="DE18" i="63" s="1"/>
  <c r="CB114" i="63"/>
  <c r="DE114" i="63" s="1"/>
  <c r="CB107" i="63"/>
  <c r="DE107" i="63" s="1"/>
  <c r="CB96" i="63"/>
  <c r="DE96" i="63" s="1"/>
  <c r="CB29" i="63"/>
  <c r="DE29" i="63" s="1"/>
  <c r="CB41" i="63"/>
  <c r="DE41" i="63" s="1"/>
  <c r="CB103" i="63"/>
  <c r="DE103" i="63" s="1"/>
  <c r="CB53" i="63"/>
  <c r="DE53" i="63" s="1"/>
  <c r="CB21" i="63"/>
  <c r="DE21" i="63" s="1"/>
  <c r="CB52" i="63"/>
  <c r="DE52" i="63" s="1"/>
  <c r="CB17" i="63"/>
  <c r="DE17" i="63" s="1"/>
  <c r="CB100" i="63"/>
  <c r="DE100" i="63" s="1"/>
  <c r="CB36" i="63"/>
  <c r="DE36" i="63" s="1"/>
  <c r="CB57" i="63"/>
  <c r="DE57" i="63" s="1"/>
  <c r="CB85" i="63"/>
  <c r="DE85" i="63" s="1"/>
  <c r="CB33" i="63"/>
  <c r="DE33" i="63" s="1"/>
  <c r="CB111" i="63"/>
  <c r="DE111" i="63" s="1"/>
  <c r="CB91" i="63"/>
  <c r="DE91" i="63" s="1"/>
  <c r="CB70" i="63"/>
  <c r="DE70" i="63" s="1"/>
  <c r="CB94" i="63"/>
  <c r="DE94" i="63" s="1"/>
  <c r="CB45" i="63"/>
  <c r="DE45" i="63" s="1"/>
  <c r="CB51" i="63"/>
  <c r="DE51" i="63" s="1"/>
  <c r="CB49" i="63"/>
  <c r="DE49" i="63" s="1"/>
  <c r="CB15" i="63"/>
  <c r="DE15" i="63" s="1"/>
  <c r="CB86" i="63"/>
  <c r="DE86" i="63" s="1"/>
  <c r="CB23" i="63"/>
  <c r="DE23" i="63" s="1"/>
  <c r="CB50" i="63"/>
  <c r="DE50" i="63" s="1"/>
  <c r="CB22" i="63"/>
  <c r="DE22" i="63" s="1"/>
  <c r="CB37" i="63"/>
  <c r="DE37" i="63" s="1"/>
  <c r="CB38" i="63"/>
  <c r="DE38" i="63" s="1"/>
  <c r="CB87" i="63"/>
  <c r="DE87" i="63" s="1"/>
  <c r="CB54" i="63"/>
  <c r="DE54" i="63" s="1"/>
  <c r="CB25" i="63"/>
  <c r="DE25" i="63" s="1"/>
  <c r="CB16" i="63"/>
  <c r="DE16" i="63" s="1"/>
  <c r="CB24" i="63"/>
  <c r="DE24" i="63" s="1"/>
  <c r="CB31" i="63"/>
  <c r="DE31" i="63" s="1"/>
  <c r="CB43" i="63"/>
  <c r="DE43" i="63" s="1"/>
  <c r="CB60" i="63"/>
  <c r="DE60" i="63" s="1"/>
  <c r="CB88" i="63"/>
  <c r="DE88" i="63" s="1"/>
  <c r="CB97" i="63"/>
  <c r="DE97" i="63" s="1"/>
  <c r="CB20" i="63"/>
  <c r="DE20" i="63" s="1"/>
  <c r="CB113" i="63"/>
  <c r="DE113" i="63" s="1"/>
  <c r="CB30" i="63"/>
  <c r="DE30" i="63" s="1"/>
  <c r="CB98" i="63"/>
  <c r="DE98" i="63" s="1"/>
  <c r="CB27" i="63"/>
  <c r="DE27" i="63" s="1"/>
  <c r="CB104" i="63"/>
  <c r="DE104" i="63" s="1"/>
  <c r="D122" i="55"/>
  <c r="D244" i="55"/>
  <c r="R12" i="10"/>
  <c r="U12" i="10"/>
  <c r="AW161" i="63"/>
  <c r="DC127" i="63" s="1"/>
  <c r="DC128" i="63" s="1"/>
  <c r="DC144" i="63" s="1"/>
  <c r="CO167" i="63"/>
  <c r="E119" i="62"/>
  <c r="AN119" i="62"/>
  <c r="DS113" i="63"/>
  <c r="D158" i="63"/>
  <c r="D113" i="63"/>
  <c r="CE65" i="63"/>
  <c r="DH65" i="63" s="1"/>
  <c r="BM37" i="63"/>
  <c r="CP37" i="63" s="1"/>
  <c r="BP100" i="63"/>
  <c r="CS100" i="63" s="1"/>
  <c r="BP61" i="63"/>
  <c r="CS61" i="63" s="1"/>
  <c r="BP15" i="63"/>
  <c r="CS15" i="63" s="1"/>
  <c r="BP18" i="63"/>
  <c r="CS18" i="63" s="1"/>
  <c r="BP22" i="63"/>
  <c r="CS22" i="63" s="1"/>
  <c r="BP43" i="63"/>
  <c r="CS43" i="63" s="1"/>
  <c r="BP82" i="63"/>
  <c r="CS82" i="63" s="1"/>
  <c r="BP13" i="63"/>
  <c r="CS13" i="63" s="1"/>
  <c r="BP113" i="63"/>
  <c r="CS113" i="63" s="1"/>
  <c r="H2844" i="55"/>
  <c r="K69" i="52"/>
  <c r="J50" i="52"/>
  <c r="L50" i="52" s="1"/>
  <c r="M50" i="52" s="1"/>
  <c r="H2378" i="55" s="1"/>
  <c r="J44" i="52"/>
  <c r="L44" i="52" s="1"/>
  <c r="H2250" i="55" s="1"/>
  <c r="J83" i="52"/>
  <c r="L83" i="52" s="1"/>
  <c r="M83" i="52" s="1"/>
  <c r="J88" i="52"/>
  <c r="L88" i="52" s="1"/>
  <c r="M88" i="52" s="1"/>
  <c r="H2412" i="55" s="1"/>
  <c r="J59" i="52"/>
  <c r="L59" i="52" s="1"/>
  <c r="H2263" i="55" s="1"/>
  <c r="J58" i="52"/>
  <c r="L58" i="52" s="1"/>
  <c r="H2262" i="55" s="1"/>
  <c r="J85" i="52"/>
  <c r="L85" i="52" s="1"/>
  <c r="H2287" i="55" s="1"/>
  <c r="J35" i="52"/>
  <c r="L35" i="52" s="1"/>
  <c r="H2241" i="55" s="1"/>
  <c r="J122" i="52"/>
  <c r="L122" i="52" s="1"/>
  <c r="M122" i="52" s="1"/>
  <c r="J26" i="52"/>
  <c r="L26" i="52" s="1"/>
  <c r="M26" i="52" s="1"/>
  <c r="H2354" i="55" s="1"/>
  <c r="J117" i="52"/>
  <c r="L117" i="52" s="1"/>
  <c r="H2316" i="55" s="1"/>
  <c r="J96" i="52"/>
  <c r="L96" i="52" s="1"/>
  <c r="M96" i="52" s="1"/>
  <c r="H2420" i="55" s="1"/>
  <c r="J16" i="52"/>
  <c r="L16" i="52" s="1"/>
  <c r="H2222" i="55" s="1"/>
  <c r="J45" i="52"/>
  <c r="L45" i="52" s="1"/>
  <c r="M45" i="52" s="1"/>
  <c r="H2373" i="55" s="1"/>
  <c r="J119" i="52"/>
  <c r="L119" i="52" s="1"/>
  <c r="H2318" i="55" s="1"/>
  <c r="J123" i="52"/>
  <c r="L123" i="52" s="1"/>
  <c r="M123" i="52" s="1"/>
  <c r="H2444" i="55" s="1"/>
  <c r="J102" i="52"/>
  <c r="L102" i="52" s="1"/>
  <c r="H2304" i="55" s="1"/>
  <c r="J14" i="52"/>
  <c r="L14" i="52" s="1"/>
  <c r="M14" i="52" s="1"/>
  <c r="J75" i="52"/>
  <c r="L75" i="52" s="1"/>
  <c r="H2277" i="55" s="1"/>
  <c r="J76" i="52"/>
  <c r="L76" i="52" s="1"/>
  <c r="H2278" i="55" s="1"/>
  <c r="J101" i="52"/>
  <c r="L101" i="52" s="1"/>
  <c r="M101" i="52" s="1"/>
  <c r="H2425" i="55" s="1"/>
  <c r="J86" i="52"/>
  <c r="L86" i="52" s="1"/>
  <c r="H2288" i="55" s="1"/>
  <c r="J77" i="52"/>
  <c r="L77" i="52" s="1"/>
  <c r="H2279" i="55" s="1"/>
  <c r="J112" i="52"/>
  <c r="L112" i="52" s="1"/>
  <c r="J104" i="52"/>
  <c r="L104" i="52" s="1"/>
  <c r="H2306" i="55" s="1"/>
  <c r="J24" i="52"/>
  <c r="L24" i="52" s="1"/>
  <c r="H2230" i="55" s="1"/>
  <c r="J19" i="52"/>
  <c r="L19" i="52" s="1"/>
  <c r="J15" i="52"/>
  <c r="L15" i="52" s="1"/>
  <c r="H2221" i="55" s="1"/>
  <c r="J34" i="52"/>
  <c r="L34" i="52" s="1"/>
  <c r="M34" i="52" s="1"/>
  <c r="J21" i="52"/>
  <c r="L21" i="52" s="1"/>
  <c r="H2227" i="55" s="1"/>
  <c r="J87" i="52"/>
  <c r="L87" i="52" s="1"/>
  <c r="H2289" i="55" s="1"/>
  <c r="J99" i="52"/>
  <c r="L99" i="52" s="1"/>
  <c r="H2301" i="55" s="1"/>
  <c r="J103" i="52"/>
  <c r="L103" i="52" s="1"/>
  <c r="H2305" i="55" s="1"/>
  <c r="J63" i="52"/>
  <c r="L63" i="52" s="1"/>
  <c r="H2267" i="55" s="1"/>
  <c r="J64" i="52"/>
  <c r="L64" i="52" s="1"/>
  <c r="M64" i="52" s="1"/>
  <c r="H2390" i="55" s="1"/>
  <c r="J84" i="52"/>
  <c r="L84" i="52" s="1"/>
  <c r="M84" i="52" s="1"/>
  <c r="H2408" i="55" s="1"/>
  <c r="J51" i="52"/>
  <c r="L51" i="52" s="1"/>
  <c r="M51" i="52" s="1"/>
  <c r="H2379" i="55" s="1"/>
  <c r="J92" i="52"/>
  <c r="L92" i="52" s="1"/>
  <c r="H2294" i="55" s="1"/>
  <c r="J80" i="52"/>
  <c r="L80" i="52" s="1"/>
  <c r="M80" i="52" s="1"/>
  <c r="H2404" i="55" s="1"/>
  <c r="J60" i="52"/>
  <c r="L60" i="52" s="1"/>
  <c r="H2264" i="55" s="1"/>
  <c r="J39" i="52"/>
  <c r="L39" i="52" s="1"/>
  <c r="M39" i="52" s="1"/>
  <c r="H2367" i="55" s="1"/>
  <c r="J65" i="52"/>
  <c r="L65" i="52" s="1"/>
  <c r="M65" i="52" s="1"/>
  <c r="H2391" i="55" s="1"/>
  <c r="J40" i="52"/>
  <c r="L40" i="52" s="1"/>
  <c r="M40" i="52" s="1"/>
  <c r="H2368" i="55" s="1"/>
  <c r="J29" i="52"/>
  <c r="L29" i="52" s="1"/>
  <c r="M29" i="52" s="1"/>
  <c r="H2357" i="55" s="1"/>
  <c r="J20" i="52"/>
  <c r="L20" i="52" s="1"/>
  <c r="M20" i="52" s="1"/>
  <c r="H2348" i="55" s="1"/>
  <c r="J124" i="52"/>
  <c r="L124" i="52" s="1"/>
  <c r="M124" i="52" s="1"/>
  <c r="H2445" i="55" s="1"/>
  <c r="J114" i="52"/>
  <c r="L114" i="52" s="1"/>
  <c r="H2313" i="55" s="1"/>
  <c r="J100" i="52"/>
  <c r="L100" i="52" s="1"/>
  <c r="M100" i="52" s="1"/>
  <c r="H2424" i="55" s="1"/>
  <c r="J79" i="52"/>
  <c r="L79" i="52" s="1"/>
  <c r="M79" i="52" s="1"/>
  <c r="H2403" i="55" s="1"/>
  <c r="J95" i="52"/>
  <c r="L95" i="52" s="1"/>
  <c r="H2297" i="55" s="1"/>
  <c r="J118" i="52"/>
  <c r="L118" i="52" s="1"/>
  <c r="J91" i="52"/>
  <c r="L91" i="52" s="1"/>
  <c r="H2293" i="55" s="1"/>
  <c r="J78" i="52"/>
  <c r="L78" i="52" s="1"/>
  <c r="H2280" i="55" s="1"/>
  <c r="J49" i="52"/>
  <c r="L49" i="52" s="1"/>
  <c r="H2255" i="55" s="1"/>
  <c r="J94" i="52"/>
  <c r="L94" i="52" s="1"/>
  <c r="H2296" i="55" s="1"/>
  <c r="J93" i="52"/>
  <c r="L93" i="52" s="1"/>
  <c r="M93" i="52" s="1"/>
  <c r="H2417" i="55" s="1"/>
  <c r="J113" i="52"/>
  <c r="L113" i="52" s="1"/>
  <c r="M113" i="52" s="1"/>
  <c r="H2434" i="55" s="1"/>
  <c r="G40" i="13"/>
  <c r="X30" i="10"/>
  <c r="CJ53" i="13"/>
  <c r="AB53" i="13"/>
  <c r="AV53" i="13"/>
  <c r="AX53" i="13" s="1"/>
  <c r="BF53" i="13"/>
  <c r="BH53" i="13" s="1"/>
  <c r="BP53" i="13"/>
  <c r="BR53" i="13" s="1"/>
  <c r="BZ53" i="13"/>
  <c r="CB53" i="13" s="1"/>
  <c r="DD53" i="13"/>
  <c r="DX53" i="13"/>
  <c r="DN53" i="13"/>
  <c r="DP53" i="13" s="1"/>
  <c r="EH53" i="13"/>
  <c r="R53" i="13"/>
  <c r="AL53" i="13"/>
  <c r="AN53" i="13" s="1"/>
  <c r="CT53" i="13"/>
  <c r="H5041" i="55"/>
  <c r="BF161" i="63"/>
  <c r="DL127" i="63" s="1"/>
  <c r="DL128" i="63" s="1"/>
  <c r="DL144" i="63" s="1"/>
  <c r="BC161" i="63"/>
  <c r="DI127" i="63" s="1"/>
  <c r="DI128" i="63" s="1"/>
  <c r="DI143" i="63" s="1"/>
  <c r="F35" i="6"/>
  <c r="BM108" i="63"/>
  <c r="CP108" i="63" s="1"/>
  <c r="E2435" i="55"/>
  <c r="E2898" i="55"/>
  <c r="E93" i="52"/>
  <c r="E77" i="52"/>
  <c r="E85" i="52"/>
  <c r="E101" i="52"/>
  <c r="D2646" i="55"/>
  <c r="D2428" i="55"/>
  <c r="D2422" i="55"/>
  <c r="D2888" i="55"/>
  <c r="D2423" i="55"/>
  <c r="D2426" i="55"/>
  <c r="D2300" i="55"/>
  <c r="D2767" i="55"/>
  <c r="D2302" i="55"/>
  <c r="D2764" i="55"/>
  <c r="D2887" i="55"/>
  <c r="D2303" i="55"/>
  <c r="D2641" i="55"/>
  <c r="D2889" i="55"/>
  <c r="D2182" i="55"/>
  <c r="D2301" i="55"/>
  <c r="D2178" i="55"/>
  <c r="D2768" i="55"/>
  <c r="D2425" i="55"/>
  <c r="D2184" i="55"/>
  <c r="D2642" i="55"/>
  <c r="D2304" i="55"/>
  <c r="D2766" i="55"/>
  <c r="D2306" i="55"/>
  <c r="D2891" i="55"/>
  <c r="D2183" i="55"/>
  <c r="D2643" i="55"/>
  <c r="D2885" i="55"/>
  <c r="D2763" i="55"/>
  <c r="D2765" i="55"/>
  <c r="D2427" i="55"/>
  <c r="D2305" i="55"/>
  <c r="D2647" i="55"/>
  <c r="D2890" i="55"/>
  <c r="D2179" i="55"/>
  <c r="D2644" i="55"/>
  <c r="D2181" i="55"/>
  <c r="D2886" i="55"/>
  <c r="D2645" i="55"/>
  <c r="D2769" i="55"/>
  <c r="BJ37" i="13"/>
  <c r="DR37" i="13"/>
  <c r="CX37" i="13"/>
  <c r="AP37" i="13"/>
  <c r="H27" i="13"/>
  <c r="Y17" i="10"/>
  <c r="AC17" i="10" s="1"/>
  <c r="J46" i="52"/>
  <c r="L46" i="52" s="1"/>
  <c r="H2252" i="55" s="1"/>
  <c r="J41" i="52"/>
  <c r="L41" i="52" s="1"/>
  <c r="H2247" i="55" s="1"/>
  <c r="EL58" i="13"/>
  <c r="CN58" i="13"/>
  <c r="AZ58" i="13"/>
  <c r="BB58" i="13" s="1"/>
  <c r="CD58" i="13"/>
  <c r="CF58" i="13" s="1"/>
  <c r="BJ58" i="13"/>
  <c r="BL58" i="13" s="1"/>
  <c r="DR58" i="13"/>
  <c r="DT58" i="13" s="1"/>
  <c r="BT58" i="13"/>
  <c r="J44" i="13"/>
  <c r="X34" i="10"/>
  <c r="J34" i="13"/>
  <c r="X24" i="10"/>
  <c r="AD24" i="10" s="1"/>
  <c r="D42" i="12" s="1"/>
  <c r="G42" i="12" s="1"/>
  <c r="H64" i="13"/>
  <c r="CB64" i="13" s="1"/>
  <c r="CF64" i="13" s="1"/>
  <c r="Y54" i="10"/>
  <c r="AC54" i="10" s="1"/>
  <c r="G52" i="13"/>
  <c r="M52" i="13" s="1"/>
  <c r="X42" i="10"/>
  <c r="G39" i="13"/>
  <c r="CL39" i="13" s="1"/>
  <c r="CP39" i="13" s="1"/>
  <c r="X29" i="10"/>
  <c r="J31" i="52"/>
  <c r="L31" i="52" s="1"/>
  <c r="F1624" i="55"/>
  <c r="F1832" i="55"/>
  <c r="F1520" i="55"/>
  <c r="F1780" i="55"/>
  <c r="F1572" i="55"/>
  <c r="F1884" i="55"/>
  <c r="F1676" i="55"/>
  <c r="F1728" i="55"/>
  <c r="F1936" i="55"/>
  <c r="E3144" i="55"/>
  <c r="E3146" i="55"/>
  <c r="CJ52" i="13"/>
  <c r="CN52" i="13" s="1"/>
  <c r="AV52" i="13"/>
  <c r="AZ52" i="13" s="1"/>
  <c r="CT52" i="13"/>
  <c r="DD52" i="13"/>
  <c r="DN52" i="13"/>
  <c r="DR52" i="13" s="1"/>
  <c r="DX52" i="13"/>
  <c r="EB52" i="13" s="1"/>
  <c r="AB52" i="13"/>
  <c r="BF52" i="13"/>
  <c r="BJ52" i="13" s="1"/>
  <c r="BP52" i="13"/>
  <c r="BT52" i="13" s="1"/>
  <c r="BZ52" i="13"/>
  <c r="CD52" i="13" s="1"/>
  <c r="AL52" i="13"/>
  <c r="AP52" i="13" s="1"/>
  <c r="R52" i="13"/>
  <c r="EH52" i="13"/>
  <c r="EJ52" i="13" s="1"/>
  <c r="BZ33" i="13"/>
  <c r="CD33" i="13" s="1"/>
  <c r="DX33" i="13"/>
  <c r="DN33" i="13"/>
  <c r="DR33" i="13" s="1"/>
  <c r="CT33" i="13"/>
  <c r="CX33" i="13" s="1"/>
  <c r="CJ33" i="13"/>
  <c r="CN33" i="13" s="1"/>
  <c r="R33" i="13"/>
  <c r="BP33" i="13"/>
  <c r="AV33" i="13"/>
  <c r="AL33" i="13"/>
  <c r="AP33" i="13" s="1"/>
  <c r="AB33" i="13"/>
  <c r="DD33" i="13"/>
  <c r="BF33" i="13"/>
  <c r="BH33" i="13" s="1"/>
  <c r="H5042" i="55"/>
  <c r="BU45" i="63"/>
  <c r="CX45" i="63" s="1"/>
  <c r="H5053" i="55"/>
  <c r="BO25" i="63"/>
  <c r="CR25" i="63" s="1"/>
  <c r="BO40" i="63"/>
  <c r="CR40" i="63" s="1"/>
  <c r="BO105" i="63"/>
  <c r="CR105" i="63" s="1"/>
  <c r="BO16" i="63"/>
  <c r="CR16" i="63" s="1"/>
  <c r="CA83" i="63"/>
  <c r="DD83" i="63" s="1"/>
  <c r="CA113" i="63"/>
  <c r="DD113" i="63" s="1"/>
  <c r="CA18" i="63"/>
  <c r="DD18" i="63" s="1"/>
  <c r="CA95" i="63"/>
  <c r="DD95" i="63" s="1"/>
  <c r="CA112" i="63"/>
  <c r="DD112" i="63" s="1"/>
  <c r="CA88" i="63"/>
  <c r="DD88" i="63" s="1"/>
  <c r="CA47" i="63"/>
  <c r="DD47" i="63" s="1"/>
  <c r="CA54" i="63"/>
  <c r="DD54" i="63" s="1"/>
  <c r="CA110" i="63"/>
  <c r="DD110" i="63" s="1"/>
  <c r="CA20" i="63"/>
  <c r="DD20" i="63" s="1"/>
  <c r="CA58" i="63"/>
  <c r="DD58" i="63" s="1"/>
  <c r="CA57" i="63"/>
  <c r="DD57" i="63" s="1"/>
  <c r="CA60" i="63"/>
  <c r="DD60" i="63" s="1"/>
  <c r="CA101" i="63"/>
  <c r="DD101" i="63" s="1"/>
  <c r="CA98" i="63"/>
  <c r="DD98" i="63" s="1"/>
  <c r="CA96" i="63"/>
  <c r="DD96" i="63" s="1"/>
  <c r="CA42" i="63"/>
  <c r="DD42" i="63" s="1"/>
  <c r="CA70" i="63"/>
  <c r="DD70" i="63" s="1"/>
  <c r="CA22" i="63"/>
  <c r="DD22" i="63" s="1"/>
  <c r="CA106" i="63"/>
  <c r="DD106" i="63" s="1"/>
  <c r="CA103" i="63"/>
  <c r="DD103" i="63" s="1"/>
  <c r="CA89" i="63"/>
  <c r="DD89" i="63" s="1"/>
  <c r="CA92" i="63"/>
  <c r="DD92" i="63" s="1"/>
  <c r="CA97" i="63"/>
  <c r="DD97" i="63" s="1"/>
  <c r="CA37" i="63"/>
  <c r="DD37" i="63" s="1"/>
  <c r="CA12" i="63"/>
  <c r="DD12" i="63" s="1"/>
  <c r="CA53" i="63"/>
  <c r="DD53" i="63" s="1"/>
  <c r="CA86" i="63"/>
  <c r="DD86" i="63" s="1"/>
  <c r="CA93" i="63"/>
  <c r="DD93" i="63" s="1"/>
  <c r="CA114" i="63"/>
  <c r="DD114" i="63" s="1"/>
  <c r="CA45" i="63"/>
  <c r="DD45" i="63" s="1"/>
  <c r="CA13" i="63"/>
  <c r="DD13" i="63" s="1"/>
  <c r="CA35" i="63"/>
  <c r="DD35" i="63" s="1"/>
  <c r="CA21" i="63"/>
  <c r="DD21" i="63" s="1"/>
  <c r="CA69" i="63"/>
  <c r="DD69" i="63" s="1"/>
  <c r="CA39" i="63"/>
  <c r="DD39" i="63" s="1"/>
  <c r="CA36" i="63"/>
  <c r="DD36" i="63" s="1"/>
  <c r="CA108" i="63"/>
  <c r="DD108" i="63" s="1"/>
  <c r="CA50" i="63"/>
  <c r="DD50" i="63" s="1"/>
  <c r="CA66" i="63"/>
  <c r="DD66" i="63" s="1"/>
  <c r="CA25" i="63"/>
  <c r="DD25" i="63" s="1"/>
  <c r="CA84" i="63"/>
  <c r="DD84" i="63" s="1"/>
  <c r="CA111" i="63"/>
  <c r="DD111" i="63" s="1"/>
  <c r="CA102" i="63"/>
  <c r="DD102" i="63" s="1"/>
  <c r="CA56" i="63"/>
  <c r="DD56" i="63" s="1"/>
  <c r="CA38" i="63"/>
  <c r="DD38" i="63" s="1"/>
  <c r="CA27" i="63"/>
  <c r="DD27" i="63" s="1"/>
  <c r="CA40" i="63"/>
  <c r="DD40" i="63" s="1"/>
  <c r="CA104" i="63"/>
  <c r="DD104" i="63" s="1"/>
  <c r="CA81" i="63"/>
  <c r="DD81" i="63" s="1"/>
  <c r="CA32" i="63"/>
  <c r="DD32" i="63" s="1"/>
  <c r="CA51" i="63"/>
  <c r="DD51" i="63" s="1"/>
  <c r="CA19" i="63"/>
  <c r="DD19" i="63" s="1"/>
  <c r="CA99" i="63"/>
  <c r="DD99" i="63" s="1"/>
  <c r="CA55" i="63"/>
  <c r="DD55" i="63" s="1"/>
  <c r="CA43" i="63"/>
  <c r="DD43" i="63" s="1"/>
  <c r="CA44" i="63"/>
  <c r="DD44" i="63" s="1"/>
  <c r="CA15" i="63"/>
  <c r="DD15" i="63" s="1"/>
  <c r="CA82" i="63"/>
  <c r="DD82" i="63" s="1"/>
  <c r="CA16" i="63"/>
  <c r="DD16" i="63" s="1"/>
  <c r="CA94" i="63"/>
  <c r="DD94" i="63" s="1"/>
  <c r="CA68" i="63"/>
  <c r="DD68" i="63" s="1"/>
  <c r="CA14" i="63"/>
  <c r="DD14" i="63" s="1"/>
  <c r="CA29" i="63"/>
  <c r="DD29" i="63" s="1"/>
  <c r="BG116" i="63"/>
  <c r="AU116" i="63"/>
  <c r="AK116" i="63"/>
  <c r="BA116" i="63"/>
  <c r="BC116" i="63"/>
  <c r="AQ116" i="63"/>
  <c r="BE161" i="63"/>
  <c r="DK127" i="63" s="1"/>
  <c r="DK128" i="63" s="1"/>
  <c r="DK143" i="63" s="1"/>
  <c r="AS161" i="63"/>
  <c r="CY127" i="63" s="1"/>
  <c r="CY128" i="63" s="1"/>
  <c r="CY144" i="63" s="1"/>
  <c r="BB161" i="63"/>
  <c r="DH127" i="63" s="1"/>
  <c r="DH128" i="63" s="1"/>
  <c r="DH143" i="63" s="1"/>
  <c r="AP161" i="63"/>
  <c r="CV127" i="63" s="1"/>
  <c r="CV128" i="63" s="1"/>
  <c r="CV144" i="63" s="1"/>
  <c r="BD161" i="63"/>
  <c r="DJ127" i="63" s="1"/>
  <c r="DJ128" i="63" s="1"/>
  <c r="DJ143" i="63" s="1"/>
  <c r="AR161" i="63"/>
  <c r="CX127" i="63" s="1"/>
  <c r="CX128" i="63" s="1"/>
  <c r="CX144" i="63" s="1"/>
  <c r="AV161" i="63"/>
  <c r="DB127" i="63" s="1"/>
  <c r="DB128" i="63" s="1"/>
  <c r="DB144" i="63" s="1"/>
  <c r="AJ161" i="63"/>
  <c r="CP127" i="63" s="1"/>
  <c r="CP128" i="63" s="1"/>
  <c r="CP143" i="63" s="1"/>
  <c r="AX161" i="63"/>
  <c r="DD127" i="63" s="1"/>
  <c r="DD128" i="63" s="1"/>
  <c r="DD143" i="63" s="1"/>
  <c r="AL161" i="63"/>
  <c r="CR127" i="63" s="1"/>
  <c r="CR128" i="63" s="1"/>
  <c r="CR143" i="63" s="1"/>
  <c r="CX167" i="63"/>
  <c r="BT95" i="63" s="1"/>
  <c r="CW95" i="63" s="1"/>
  <c r="DO136" i="63"/>
  <c r="DK167" i="63"/>
  <c r="CY167" i="63"/>
  <c r="BU92" i="63" s="1"/>
  <c r="CX92" i="63" s="1"/>
  <c r="CJ62" i="63"/>
  <c r="DM62" i="63" s="1"/>
  <c r="CJ92" i="63"/>
  <c r="DM92" i="63" s="1"/>
  <c r="CJ104" i="63"/>
  <c r="DM104" i="63" s="1"/>
  <c r="CJ47" i="63"/>
  <c r="DM47" i="63" s="1"/>
  <c r="CJ102" i="63"/>
  <c r="DM102" i="63" s="1"/>
  <c r="CJ19" i="63"/>
  <c r="DM19" i="63" s="1"/>
  <c r="CJ34" i="63"/>
  <c r="DM34" i="63" s="1"/>
  <c r="CJ53" i="63"/>
  <c r="DM53" i="63" s="1"/>
  <c r="CJ16" i="63"/>
  <c r="DM16" i="63" s="1"/>
  <c r="CJ82" i="63"/>
  <c r="DM82" i="63" s="1"/>
  <c r="CJ106" i="63"/>
  <c r="DM106" i="63" s="1"/>
  <c r="CJ114" i="63"/>
  <c r="DM114" i="63" s="1"/>
  <c r="CJ58" i="63"/>
  <c r="DM58" i="63" s="1"/>
  <c r="CJ39" i="63"/>
  <c r="DM39" i="63" s="1"/>
  <c r="CJ99" i="63"/>
  <c r="DM99" i="63" s="1"/>
  <c r="CJ65" i="63"/>
  <c r="DM65" i="63" s="1"/>
  <c r="CJ56" i="63"/>
  <c r="DM56" i="63" s="1"/>
  <c r="CJ85" i="63"/>
  <c r="DM85" i="63" s="1"/>
  <c r="CJ83" i="63"/>
  <c r="DM83" i="63" s="1"/>
  <c r="CJ40" i="63"/>
  <c r="DM40" i="63" s="1"/>
  <c r="CJ52" i="63"/>
  <c r="DM52" i="63" s="1"/>
  <c r="CJ110" i="63"/>
  <c r="DM110" i="63" s="1"/>
  <c r="CJ46" i="63"/>
  <c r="DM46" i="63" s="1"/>
  <c r="CJ93" i="63"/>
  <c r="DM93" i="63" s="1"/>
  <c r="CJ25" i="63"/>
  <c r="DM25" i="63" s="1"/>
  <c r="CJ36" i="63"/>
  <c r="DM36" i="63" s="1"/>
  <c r="CJ64" i="63"/>
  <c r="DM64" i="63" s="1"/>
  <c r="CJ31" i="63"/>
  <c r="DM31" i="63" s="1"/>
  <c r="CJ103" i="63"/>
  <c r="DM103" i="63" s="1"/>
  <c r="CJ33" i="63"/>
  <c r="DM33" i="63" s="1"/>
  <c r="CJ11" i="63"/>
  <c r="DM11" i="63" s="1"/>
  <c r="CJ100" i="63"/>
  <c r="DM100" i="63" s="1"/>
  <c r="CJ29" i="63"/>
  <c r="DM29" i="63" s="1"/>
  <c r="CJ109" i="63"/>
  <c r="DM109" i="63" s="1"/>
  <c r="CJ105" i="63"/>
  <c r="DM105" i="63" s="1"/>
  <c r="CJ21" i="63"/>
  <c r="DM21" i="63" s="1"/>
  <c r="CJ51" i="63"/>
  <c r="DM51" i="63" s="1"/>
  <c r="CJ86" i="63"/>
  <c r="DM86" i="63" s="1"/>
  <c r="CJ91" i="63"/>
  <c r="DM91" i="63" s="1"/>
  <c r="CJ57" i="63"/>
  <c r="DM57" i="63" s="1"/>
  <c r="CJ59" i="63"/>
  <c r="DM59" i="63" s="1"/>
  <c r="CJ98" i="63"/>
  <c r="DM98" i="63" s="1"/>
  <c r="CJ88" i="63"/>
  <c r="DM88" i="63" s="1"/>
  <c r="CJ32" i="63"/>
  <c r="DM32" i="63" s="1"/>
  <c r="CJ13" i="63"/>
  <c r="DM13" i="63" s="1"/>
  <c r="CJ35" i="63"/>
  <c r="DM35" i="63" s="1"/>
  <c r="CJ50" i="63"/>
  <c r="DM50" i="63" s="1"/>
  <c r="CJ107" i="63"/>
  <c r="DM107" i="63" s="1"/>
  <c r="CJ68" i="63"/>
  <c r="DM68" i="63" s="1"/>
  <c r="CJ61" i="63"/>
  <c r="DM61" i="63" s="1"/>
  <c r="CJ112" i="63"/>
  <c r="DM112" i="63" s="1"/>
  <c r="CJ43" i="63"/>
  <c r="DM43" i="63" s="1"/>
  <c r="CJ67" i="63"/>
  <c r="DM67" i="63" s="1"/>
  <c r="CJ111" i="63"/>
  <c r="DM111" i="63" s="1"/>
  <c r="CJ20" i="63"/>
  <c r="DM20" i="63" s="1"/>
  <c r="CJ45" i="63"/>
  <c r="DM45" i="63" s="1"/>
  <c r="CJ70" i="63"/>
  <c r="DM70" i="63" s="1"/>
  <c r="CJ97" i="63"/>
  <c r="DM97" i="63" s="1"/>
  <c r="CJ18" i="63"/>
  <c r="DM18" i="63" s="1"/>
  <c r="CJ55" i="63"/>
  <c r="DM55" i="63" s="1"/>
  <c r="CJ28" i="63"/>
  <c r="DM28" i="63" s="1"/>
  <c r="CJ30" i="63"/>
  <c r="DM30" i="63" s="1"/>
  <c r="CJ41" i="63"/>
  <c r="DM41" i="63" s="1"/>
  <c r="CJ87" i="63"/>
  <c r="DM87" i="63" s="1"/>
  <c r="CJ48" i="63"/>
  <c r="DM48" i="63" s="1"/>
  <c r="CJ12" i="63"/>
  <c r="DM12" i="63" s="1"/>
  <c r="CJ108" i="63"/>
  <c r="DM108" i="63" s="1"/>
  <c r="CJ44" i="63"/>
  <c r="DM44" i="63" s="1"/>
  <c r="CJ27" i="63"/>
  <c r="DM27" i="63" s="1"/>
  <c r="CJ60" i="63"/>
  <c r="DM60" i="63" s="1"/>
  <c r="CJ69" i="63"/>
  <c r="DM69" i="63" s="1"/>
  <c r="CJ26" i="63"/>
  <c r="DM26" i="63" s="1"/>
  <c r="CJ101" i="63"/>
  <c r="DM101" i="63" s="1"/>
  <c r="BL70" i="63"/>
  <c r="CO70" i="63" s="1"/>
  <c r="BL63" i="63"/>
  <c r="CO63" i="63" s="1"/>
  <c r="BL18" i="63"/>
  <c r="CO18" i="63" s="1"/>
  <c r="BL19" i="63"/>
  <c r="CO19" i="63" s="1"/>
  <c r="BL107" i="63"/>
  <c r="CO107" i="63" s="1"/>
  <c r="BL16" i="63"/>
  <c r="CO16" i="63" s="1"/>
  <c r="BL57" i="63"/>
  <c r="CO57" i="63" s="1"/>
  <c r="BL109" i="63"/>
  <c r="CO109" i="63" s="1"/>
  <c r="BL53" i="63"/>
  <c r="CO53" i="63" s="1"/>
  <c r="BL21" i="63"/>
  <c r="CO21" i="63" s="1"/>
  <c r="BL26" i="63"/>
  <c r="CO26" i="63" s="1"/>
  <c r="BL114" i="63"/>
  <c r="CO114" i="63" s="1"/>
  <c r="BL68" i="63"/>
  <c r="CO68" i="63" s="1"/>
  <c r="BL38" i="63"/>
  <c r="CO38" i="63" s="1"/>
  <c r="BL103" i="63"/>
  <c r="CO103" i="63" s="1"/>
  <c r="BL14" i="63"/>
  <c r="CO14" i="63" s="1"/>
  <c r="BL39" i="63"/>
  <c r="CO39" i="63" s="1"/>
  <c r="BL60" i="63"/>
  <c r="CO60" i="63" s="1"/>
  <c r="BL106" i="63"/>
  <c r="CO106" i="63" s="1"/>
  <c r="BL108" i="63"/>
  <c r="CO108" i="63" s="1"/>
  <c r="BL82" i="63"/>
  <c r="CO82" i="63" s="1"/>
  <c r="BL49" i="63"/>
  <c r="CO49" i="63" s="1"/>
  <c r="BL13" i="63"/>
  <c r="CO13" i="63" s="1"/>
  <c r="BL62" i="63"/>
  <c r="CO62" i="63" s="1"/>
  <c r="BL98" i="63"/>
  <c r="CO98" i="63" s="1"/>
  <c r="BL113" i="63"/>
  <c r="CO113" i="63" s="1"/>
  <c r="BL105" i="63"/>
  <c r="CO105" i="63" s="1"/>
  <c r="BL29" i="63"/>
  <c r="CO29" i="63" s="1"/>
  <c r="BL15" i="63"/>
  <c r="CO15" i="63" s="1"/>
  <c r="BL56" i="63"/>
  <c r="CO56" i="63" s="1"/>
  <c r="BL85" i="63"/>
  <c r="CO85" i="63" s="1"/>
  <c r="BL110" i="63"/>
  <c r="CO110" i="63" s="1"/>
  <c r="BL20" i="63"/>
  <c r="CO20" i="63" s="1"/>
  <c r="BL48" i="63"/>
  <c r="CO48" i="63" s="1"/>
  <c r="BL31" i="63"/>
  <c r="CO31" i="63" s="1"/>
  <c r="BL59" i="63"/>
  <c r="CO59" i="63" s="1"/>
  <c r="BL111" i="63"/>
  <c r="CO111" i="63" s="1"/>
  <c r="BL96" i="63"/>
  <c r="CO96" i="63" s="1"/>
  <c r="BL34" i="63"/>
  <c r="CO34" i="63" s="1"/>
  <c r="BL27" i="63"/>
  <c r="CO27" i="63" s="1"/>
  <c r="BL61" i="63"/>
  <c r="CO61" i="63" s="1"/>
  <c r="BL22" i="63"/>
  <c r="CO22" i="63" s="1"/>
  <c r="BL23" i="63"/>
  <c r="CO23" i="63" s="1"/>
  <c r="BL12" i="63"/>
  <c r="CO12" i="63" s="1"/>
  <c r="BL46" i="63"/>
  <c r="CO46" i="63" s="1"/>
  <c r="BL104" i="63"/>
  <c r="CO104" i="63" s="1"/>
  <c r="BL17" i="63"/>
  <c r="CO17" i="63" s="1"/>
  <c r="BL45" i="63"/>
  <c r="CO45" i="63" s="1"/>
  <c r="BL25" i="63"/>
  <c r="CO25" i="63" s="1"/>
  <c r="BL65" i="63"/>
  <c r="CO65" i="63" s="1"/>
  <c r="BL55" i="63"/>
  <c r="CO55" i="63" s="1"/>
  <c r="BL28" i="63"/>
  <c r="CO28" i="63" s="1"/>
  <c r="BL99" i="63"/>
  <c r="CO99" i="63" s="1"/>
  <c r="BL66" i="63"/>
  <c r="CO66" i="63" s="1"/>
  <c r="BL101" i="63"/>
  <c r="CO101" i="63" s="1"/>
  <c r="BL90" i="63"/>
  <c r="CO90" i="63" s="1"/>
  <c r="BL40" i="63"/>
  <c r="CO40" i="63" s="1"/>
  <c r="BL44" i="63"/>
  <c r="CO44" i="63" s="1"/>
  <c r="BL24" i="63"/>
  <c r="CO24" i="63" s="1"/>
  <c r="BL37" i="63"/>
  <c r="CO37" i="63" s="1"/>
  <c r="BL33" i="63"/>
  <c r="CO33" i="63" s="1"/>
  <c r="BL51" i="63"/>
  <c r="CO51" i="63" s="1"/>
  <c r="BL69" i="63"/>
  <c r="CO69" i="63" s="1"/>
  <c r="BL52" i="63"/>
  <c r="CO52" i="63" s="1"/>
  <c r="BL11" i="63"/>
  <c r="CO11" i="63" s="1"/>
  <c r="BL50" i="63"/>
  <c r="CO50" i="63" s="1"/>
  <c r="BL43" i="63"/>
  <c r="CO43" i="63" s="1"/>
  <c r="BL92" i="63"/>
  <c r="CO92" i="63" s="1"/>
  <c r="BL67" i="63"/>
  <c r="CO67" i="63" s="1"/>
  <c r="BL47" i="63"/>
  <c r="CO47" i="63" s="1"/>
  <c r="BL35" i="63"/>
  <c r="CO35" i="63" s="1"/>
  <c r="BL112" i="63"/>
  <c r="CO112" i="63" s="1"/>
  <c r="DO153" i="63"/>
  <c r="BV54" i="13"/>
  <c r="AH50" i="13"/>
  <c r="CJ37" i="63"/>
  <c r="DM37" i="63" s="1"/>
  <c r="CJ89" i="63"/>
  <c r="DM89" i="63" s="1"/>
  <c r="BL100" i="63"/>
  <c r="CO100" i="63" s="1"/>
  <c r="BL84" i="63"/>
  <c r="CO84" i="63" s="1"/>
  <c r="EB37" i="13"/>
  <c r="CA30" i="63"/>
  <c r="DD30" i="63" s="1"/>
  <c r="CD37" i="13"/>
  <c r="E2805" i="55"/>
  <c r="E2561" i="55"/>
  <c r="E2342" i="55"/>
  <c r="E2098" i="55"/>
  <c r="E2220" i="55"/>
  <c r="AD30" i="13"/>
  <c r="AF30" i="13"/>
  <c r="CJ14" i="63"/>
  <c r="DM14" i="63" s="1"/>
  <c r="CJ95" i="63"/>
  <c r="DM95" i="63" s="1"/>
  <c r="BL83" i="63"/>
  <c r="CO83" i="63" s="1"/>
  <c r="BT37" i="13"/>
  <c r="BR37" i="13"/>
  <c r="E2875" i="55"/>
  <c r="E2631" i="55"/>
  <c r="E2290" i="55"/>
  <c r="E2168" i="55"/>
  <c r="E2412" i="55"/>
  <c r="BU36" i="63"/>
  <c r="CX36" i="63" s="1"/>
  <c r="BU24" i="63"/>
  <c r="CX24" i="63" s="1"/>
  <c r="CJ84" i="63"/>
  <c r="DM84" i="63" s="1"/>
  <c r="CJ49" i="63"/>
  <c r="DM49" i="63" s="1"/>
  <c r="BL36" i="63"/>
  <c r="CO36" i="63" s="1"/>
  <c r="CA63" i="63"/>
  <c r="DD63" i="63" s="1"/>
  <c r="E2776" i="55"/>
  <c r="BL42" i="63"/>
  <c r="CO42" i="63" s="1"/>
  <c r="CA49" i="63"/>
  <c r="DD49" i="63" s="1"/>
  <c r="E2654" i="55"/>
  <c r="E2313" i="55"/>
  <c r="BU87" i="63"/>
  <c r="CX87" i="63" s="1"/>
  <c r="BL81" i="63"/>
  <c r="CO81" i="63" s="1"/>
  <c r="CJ96" i="63"/>
  <c r="DM96" i="63" s="1"/>
  <c r="CJ81" i="63"/>
  <c r="DM81" i="63" s="1"/>
  <c r="BL94" i="63"/>
  <c r="CO94" i="63" s="1"/>
  <c r="BL41" i="63"/>
  <c r="CO41" i="63" s="1"/>
  <c r="CA24" i="63"/>
  <c r="DD24" i="63" s="1"/>
  <c r="E2191" i="55"/>
  <c r="BU63" i="63"/>
  <c r="CX63" i="63" s="1"/>
  <c r="CJ38" i="63"/>
  <c r="DM38" i="63" s="1"/>
  <c r="CJ90" i="63"/>
  <c r="DM90" i="63" s="1"/>
  <c r="CJ24" i="63"/>
  <c r="DM24" i="63" s="1"/>
  <c r="BL95" i="63"/>
  <c r="CO95" i="63" s="1"/>
  <c r="BL102" i="63"/>
  <c r="CO102" i="63" s="1"/>
  <c r="CA46" i="63"/>
  <c r="DD46" i="63" s="1"/>
  <c r="DF34" i="63"/>
  <c r="CN37" i="13"/>
  <c r="CJ94" i="63"/>
  <c r="DM94" i="63" s="1"/>
  <c r="BU38" i="63"/>
  <c r="CX38" i="63" s="1"/>
  <c r="CJ23" i="63"/>
  <c r="DM23" i="63" s="1"/>
  <c r="BL32" i="13"/>
  <c r="BL32" i="63"/>
  <c r="CO32" i="63" s="1"/>
  <c r="BL64" i="63"/>
  <c r="CO64" i="63" s="1"/>
  <c r="CA11" i="63"/>
  <c r="DD11" i="63" s="1"/>
  <c r="CJ54" i="63"/>
  <c r="DM54" i="63" s="1"/>
  <c r="BL30" i="63"/>
  <c r="CO30" i="63" s="1"/>
  <c r="BL88" i="63"/>
  <c r="CO88" i="63" s="1"/>
  <c r="CA87" i="63"/>
  <c r="DD87" i="63" s="1"/>
  <c r="ED32" i="13"/>
  <c r="BL63" i="13"/>
  <c r="CU70" i="63"/>
  <c r="CZ61" i="13"/>
  <c r="CT46" i="63"/>
  <c r="N32" i="13"/>
  <c r="CL32" i="13"/>
  <c r="CP32" i="13" s="1"/>
  <c r="F1094" i="55"/>
  <c r="E1293" i="55"/>
  <c r="E1286" i="55"/>
  <c r="E1307" i="55"/>
  <c r="E1300" i="55"/>
  <c r="E1279" i="55"/>
  <c r="C2012" i="55"/>
  <c r="C2011" i="55"/>
  <c r="C2013" i="55"/>
  <c r="C2015" i="55"/>
  <c r="C2016" i="55"/>
  <c r="C2014" i="55"/>
  <c r="C26" i="4"/>
  <c r="C2017" i="55"/>
  <c r="B152" i="24"/>
  <c r="B74" i="24"/>
  <c r="H37" i="13"/>
  <c r="Y27" i="10"/>
  <c r="K31" i="13"/>
  <c r="Y21" i="10"/>
  <c r="DF70" i="63"/>
  <c r="F1333" i="55"/>
  <c r="F1332" i="55"/>
  <c r="F1330" i="55"/>
  <c r="F1328" i="55"/>
  <c r="F1327" i="55"/>
  <c r="F1331" i="55"/>
  <c r="EJ45" i="13"/>
  <c r="EN45" i="13" s="1"/>
  <c r="EL45" i="13"/>
  <c r="CN68" i="13"/>
  <c r="CL68" i="13"/>
  <c r="H2137" i="55"/>
  <c r="F69" i="52"/>
  <c r="CP35" i="13"/>
  <c r="EB58" i="13"/>
  <c r="CU46" i="63"/>
  <c r="ED28" i="13"/>
  <c r="E1131" i="55"/>
  <c r="E1106" i="55"/>
  <c r="E1116" i="55"/>
  <c r="E1111" i="55"/>
  <c r="D7670" i="55"/>
  <c r="D722" i="55"/>
  <c r="D7675" i="55"/>
  <c r="D819" i="55"/>
  <c r="D7680" i="55"/>
  <c r="D795" i="55"/>
  <c r="D7667" i="55"/>
  <c r="D841" i="55"/>
  <c r="D7681" i="55"/>
  <c r="D773" i="55"/>
  <c r="D794" i="55"/>
  <c r="D7676" i="55"/>
  <c r="D869" i="55"/>
  <c r="D782" i="55"/>
  <c r="D779" i="55"/>
  <c r="CZ59" i="13"/>
  <c r="CF51" i="13"/>
  <c r="E95" i="55"/>
  <c r="E217" i="55"/>
  <c r="X61" i="13"/>
  <c r="ED50" i="13"/>
  <c r="AC36" i="10"/>
  <c r="Z36" i="10"/>
  <c r="AD45" i="13"/>
  <c r="AF45" i="13"/>
  <c r="E1230" i="55"/>
  <c r="E1205" i="55"/>
  <c r="E1215" i="55"/>
  <c r="E1220" i="55"/>
  <c r="E1210" i="55"/>
  <c r="D64" i="55"/>
  <c r="D186" i="55"/>
  <c r="D2702" i="55"/>
  <c r="D2239" i="55"/>
  <c r="D2120" i="55"/>
  <c r="D2825" i="55"/>
  <c r="D2826" i="55"/>
  <c r="ED65" i="13"/>
  <c r="CF28" i="13"/>
  <c r="CZ51" i="13"/>
  <c r="F3008" i="55"/>
  <c r="F1112" i="55"/>
  <c r="AD39" i="13"/>
  <c r="AH39" i="13" s="1"/>
  <c r="AF39" i="13"/>
  <c r="E2281" i="55"/>
  <c r="E2622" i="55"/>
  <c r="E2744" i="55"/>
  <c r="E2866" i="55"/>
  <c r="E35" i="55"/>
  <c r="X45" i="13"/>
  <c r="E111" i="55"/>
  <c r="E233" i="55"/>
  <c r="E2263" i="55"/>
  <c r="E2385" i="55"/>
  <c r="E2141" i="55"/>
  <c r="E2848" i="55"/>
  <c r="BV49" i="13"/>
  <c r="H52" i="55"/>
  <c r="E69" i="8"/>
  <c r="CU22" i="63"/>
  <c r="CU58" i="63"/>
  <c r="CT34" i="63"/>
  <c r="BQ22" i="63"/>
  <c r="CT22" i="63" s="1"/>
  <c r="BQ57" i="63"/>
  <c r="CT57" i="63" s="1"/>
  <c r="BQ58" i="63"/>
  <c r="CT58" i="63" s="1"/>
  <c r="BQ25" i="63"/>
  <c r="CT25" i="63" s="1"/>
  <c r="BQ60" i="63"/>
  <c r="CT60" i="63" s="1"/>
  <c r="BQ62" i="63"/>
  <c r="CT62" i="63" s="1"/>
  <c r="BQ31" i="63"/>
  <c r="CT31" i="63" s="1"/>
  <c r="BQ96" i="63"/>
  <c r="CT96" i="63" s="1"/>
  <c r="BQ19" i="63"/>
  <c r="CT19" i="63" s="1"/>
  <c r="BQ68" i="63"/>
  <c r="CT68" i="63" s="1"/>
  <c r="BQ38" i="63"/>
  <c r="CT38" i="63" s="1"/>
  <c r="BQ94" i="63"/>
  <c r="CT94" i="63" s="1"/>
  <c r="BQ47" i="63"/>
  <c r="CT47" i="63" s="1"/>
  <c r="BQ81" i="63"/>
  <c r="CT81" i="63" s="1"/>
  <c r="BQ17" i="63"/>
  <c r="CT17" i="63" s="1"/>
  <c r="BQ113" i="63"/>
  <c r="CT113" i="63" s="1"/>
  <c r="BQ90" i="63"/>
  <c r="CT90" i="63" s="1"/>
  <c r="BQ100" i="63"/>
  <c r="CT100" i="63" s="1"/>
  <c r="BQ51" i="63"/>
  <c r="CT51" i="63" s="1"/>
  <c r="BQ49" i="63"/>
  <c r="CT49" i="63" s="1"/>
  <c r="BQ102" i="63"/>
  <c r="CT102" i="63" s="1"/>
  <c r="BQ99" i="63"/>
  <c r="CT99" i="63" s="1"/>
  <c r="BQ56" i="63"/>
  <c r="CT56" i="63" s="1"/>
  <c r="BQ109" i="63"/>
  <c r="CT109" i="63" s="1"/>
  <c r="BQ32" i="63"/>
  <c r="CT32" i="63" s="1"/>
  <c r="BQ114" i="63"/>
  <c r="CT114" i="63" s="1"/>
  <c r="BQ97" i="63"/>
  <c r="CT97" i="63" s="1"/>
  <c r="BQ65" i="63"/>
  <c r="CT65" i="63" s="1"/>
  <c r="BQ88" i="63"/>
  <c r="CT88" i="63" s="1"/>
  <c r="BQ28" i="63"/>
  <c r="CT28" i="63" s="1"/>
  <c r="BQ18" i="63"/>
  <c r="CT18" i="63" s="1"/>
  <c r="BQ29" i="63"/>
  <c r="CT29" i="63" s="1"/>
  <c r="BQ59" i="63"/>
  <c r="CT59" i="63" s="1"/>
  <c r="BQ85" i="63"/>
  <c r="CT85" i="63" s="1"/>
  <c r="BQ108" i="63"/>
  <c r="CT108" i="63" s="1"/>
  <c r="BQ24" i="63"/>
  <c r="CT24" i="63" s="1"/>
  <c r="H1751" i="55"/>
  <c r="N75" i="47"/>
  <c r="H1756" i="55" s="1"/>
  <c r="H1608" i="55"/>
  <c r="H92" i="47"/>
  <c r="H1610" i="55" s="1"/>
  <c r="CF35" i="13"/>
  <c r="CT70" i="63"/>
  <c r="E1009" i="55"/>
  <c r="Q11" i="22"/>
  <c r="D65" i="49" s="1"/>
  <c r="E1033" i="55"/>
  <c r="BL29" i="13"/>
  <c r="CC32" i="63"/>
  <c r="DF32" i="63" s="1"/>
  <c r="CC11" i="63"/>
  <c r="DF11" i="63" s="1"/>
  <c r="CC47" i="63"/>
  <c r="DF47" i="63" s="1"/>
  <c r="CC87" i="63"/>
  <c r="DF87" i="63" s="1"/>
  <c r="CC28" i="63"/>
  <c r="DF28" i="63" s="1"/>
  <c r="CC63" i="63"/>
  <c r="DF63" i="63" s="1"/>
  <c r="CC36" i="63"/>
  <c r="DF36" i="63" s="1"/>
  <c r="CC45" i="63"/>
  <c r="DF45" i="63" s="1"/>
  <c r="CC57" i="63"/>
  <c r="DF57" i="63" s="1"/>
  <c r="CC21" i="63"/>
  <c r="DF21" i="63" s="1"/>
  <c r="CC98" i="63"/>
  <c r="DF98" i="63" s="1"/>
  <c r="CC44" i="63"/>
  <c r="DF44" i="63" s="1"/>
  <c r="CC112" i="63"/>
  <c r="DF112" i="63" s="1"/>
  <c r="CC23" i="63"/>
  <c r="DF23" i="63" s="1"/>
  <c r="CC49" i="63"/>
  <c r="DF49" i="63" s="1"/>
  <c r="CC97" i="63"/>
  <c r="DF97" i="63" s="1"/>
  <c r="CC22" i="63"/>
  <c r="DF22" i="63" s="1"/>
  <c r="CC43" i="63"/>
  <c r="DF43" i="63" s="1"/>
  <c r="CC68" i="63"/>
  <c r="DF68" i="63" s="1"/>
  <c r="CC111" i="63"/>
  <c r="DF111" i="63" s="1"/>
  <c r="CC26" i="63"/>
  <c r="DF26" i="63" s="1"/>
  <c r="CC18" i="63"/>
  <c r="DF18" i="63" s="1"/>
  <c r="CC89" i="63"/>
  <c r="DF89" i="63" s="1"/>
  <c r="CC54" i="63"/>
  <c r="DF54" i="63" s="1"/>
  <c r="CC27" i="63"/>
  <c r="DF27" i="63" s="1"/>
  <c r="CC99" i="63"/>
  <c r="DF99" i="63" s="1"/>
  <c r="CC29" i="63"/>
  <c r="DF29" i="63" s="1"/>
  <c r="CC46" i="63"/>
  <c r="DF46" i="63" s="1"/>
  <c r="CC84" i="63"/>
  <c r="DF84" i="63" s="1"/>
  <c r="CC69" i="63"/>
  <c r="DF69" i="63" s="1"/>
  <c r="CC65" i="63"/>
  <c r="DF65" i="63" s="1"/>
  <c r="CC94" i="63"/>
  <c r="DF94" i="63" s="1"/>
  <c r="CC92" i="63"/>
  <c r="DF92" i="63" s="1"/>
  <c r="CC100" i="63"/>
  <c r="DF100" i="63" s="1"/>
  <c r="F1390" i="55"/>
  <c r="F1169" i="55"/>
  <c r="E41" i="52"/>
  <c r="E139" i="52"/>
  <c r="E21" i="52"/>
  <c r="E16" i="52"/>
  <c r="E51" i="52"/>
  <c r="D2250" i="55"/>
  <c r="D2130" i="55"/>
  <c r="D2128" i="55"/>
  <c r="D2371" i="55"/>
  <c r="D2715" i="55"/>
  <c r="D2251" i="55"/>
  <c r="D2591" i="55"/>
  <c r="D2373" i="55"/>
  <c r="E282" i="55"/>
  <c r="E296" i="55"/>
  <c r="E292" i="55"/>
  <c r="E295" i="55"/>
  <c r="E323" i="55"/>
  <c r="E7623" i="55"/>
  <c r="N63" i="47"/>
  <c r="E1730" i="55"/>
  <c r="E1733" i="55"/>
  <c r="E1763" i="55"/>
  <c r="E1720" i="55"/>
  <c r="E1737" i="55"/>
  <c r="E1760" i="55"/>
  <c r="E1735" i="55"/>
  <c r="E1738" i="55"/>
  <c r="E1756" i="55"/>
  <c r="E1764" i="55"/>
  <c r="N97" i="47"/>
  <c r="E1746" i="55"/>
  <c r="E1722" i="55"/>
  <c r="E113" i="52"/>
  <c r="E35" i="52"/>
  <c r="E64" i="52"/>
  <c r="E20" i="52"/>
  <c r="E123" i="52"/>
  <c r="E25" i="52"/>
  <c r="E2109" i="55" s="1"/>
  <c r="E138" i="52"/>
  <c r="E45" i="52"/>
  <c r="E118" i="52"/>
  <c r="E40" i="52"/>
  <c r="B52" i="24"/>
  <c r="B15" i="24"/>
  <c r="E1317" i="55"/>
  <c r="E1338" i="55"/>
  <c r="E1352" i="55"/>
  <c r="E1324" i="55"/>
  <c r="J63" i="47"/>
  <c r="E1623" i="55"/>
  <c r="E1633" i="55"/>
  <c r="E1634" i="55"/>
  <c r="E1624" i="55"/>
  <c r="E1647" i="55"/>
  <c r="E1655" i="55"/>
  <c r="E1651" i="55"/>
  <c r="E1618" i="55"/>
  <c r="E1639" i="55"/>
  <c r="E1646" i="55"/>
  <c r="E1630" i="55"/>
  <c r="E1620" i="55"/>
  <c r="E1622" i="55"/>
  <c r="E1659" i="55"/>
  <c r="E1654" i="55"/>
  <c r="E1619" i="55"/>
  <c r="E1615" i="55"/>
  <c r="E1662" i="55"/>
  <c r="E1617" i="55"/>
  <c r="E1645" i="55"/>
  <c r="E1635" i="55"/>
  <c r="E1629" i="55"/>
  <c r="E1649" i="55"/>
  <c r="E1660" i="55"/>
  <c r="E1644" i="55"/>
  <c r="D78" i="8"/>
  <c r="D102" i="8"/>
  <c r="D86" i="8"/>
  <c r="D94" i="8"/>
  <c r="BB46" i="13"/>
  <c r="DZ46" i="13"/>
  <c r="K42" i="13"/>
  <c r="N42" i="13" s="1"/>
  <c r="Y32" i="10"/>
  <c r="AC32" i="10" s="1"/>
  <c r="Y26" i="10"/>
  <c r="K36" i="13"/>
  <c r="CD36" i="13" s="1"/>
  <c r="CF36" i="13" s="1"/>
  <c r="H2188" i="55"/>
  <c r="K57" i="13"/>
  <c r="Y47" i="10"/>
  <c r="DX42" i="13"/>
  <c r="EB42" i="13" s="1"/>
  <c r="AV42" i="13"/>
  <c r="AZ42" i="13" s="1"/>
  <c r="AL42" i="13"/>
  <c r="R42" i="13"/>
  <c r="V42" i="13" s="1"/>
  <c r="BP42" i="13"/>
  <c r="EH42" i="13"/>
  <c r="EL42" i="13" s="1"/>
  <c r="H51" i="13"/>
  <c r="Y41" i="10"/>
  <c r="N48" i="52"/>
  <c r="G62" i="13"/>
  <c r="X52" i="10"/>
  <c r="Z52" i="10" s="1"/>
  <c r="D3214" i="55"/>
  <c r="DH34" i="13"/>
  <c r="DJ34" i="13" s="1"/>
  <c r="X32" i="10"/>
  <c r="D1012" i="55"/>
  <c r="Y46" i="10"/>
  <c r="Z46" i="10" s="1"/>
  <c r="F1566" i="55"/>
  <c r="F1878" i="55"/>
  <c r="CE22" i="13"/>
  <c r="CY22" i="13"/>
  <c r="W22" i="13"/>
  <c r="BK22" i="13"/>
  <c r="K55" i="13"/>
  <c r="N55" i="13" s="1"/>
  <c r="Y45" i="10"/>
  <c r="B105" i="23"/>
  <c r="Y11" i="22" s="1"/>
  <c r="D73" i="49" s="1"/>
  <c r="AR49" i="13"/>
  <c r="X22" i="10"/>
  <c r="D3212" i="55"/>
  <c r="F2296" i="55"/>
  <c r="F2242" i="55"/>
  <c r="F2255" i="55"/>
  <c r="E1211" i="55"/>
  <c r="E1221" i="55"/>
  <c r="B194" i="24"/>
  <c r="B161" i="24"/>
  <c r="B41" i="24"/>
  <c r="D1001" i="55"/>
  <c r="DR35" i="13"/>
  <c r="DT35" i="13" s="1"/>
  <c r="D3213" i="55"/>
  <c r="D3211" i="55"/>
  <c r="E1235" i="55"/>
  <c r="E1241" i="55"/>
  <c r="E1247" i="55"/>
  <c r="E1437" i="55"/>
  <c r="E1449" i="55"/>
  <c r="O248" i="24"/>
  <c r="O31" i="24"/>
  <c r="F121" i="8"/>
  <c r="E66" i="53" s="1"/>
  <c r="H2516" i="55" s="1"/>
  <c r="DF40" i="13"/>
  <c r="DJ40" i="13" s="1"/>
  <c r="D1020" i="55"/>
  <c r="D101" i="55"/>
  <c r="D223" i="55"/>
  <c r="D1321" i="55"/>
  <c r="D1332" i="55"/>
  <c r="D3033" i="55"/>
  <c r="D1333" i="55"/>
  <c r="D3034" i="55"/>
  <c r="F2130" i="55"/>
  <c r="F2100" i="55"/>
  <c r="F2178" i="55"/>
  <c r="H1790" i="55"/>
  <c r="R35" i="47"/>
  <c r="G66" i="13"/>
  <c r="T66" i="13" s="1"/>
  <c r="X66" i="13" s="1"/>
  <c r="X56" i="10"/>
  <c r="C3776" i="55"/>
  <c r="C7173" i="55"/>
  <c r="C6591" i="55"/>
  <c r="C6274" i="55"/>
  <c r="C6224" i="55"/>
  <c r="C5674" i="55"/>
  <c r="C5608" i="55"/>
  <c r="C5365" i="55"/>
  <c r="C5001" i="55"/>
  <c r="C5073" i="55"/>
  <c r="C4995" i="55"/>
  <c r="C5292" i="55"/>
  <c r="C5109" i="55"/>
  <c r="C4086" i="55"/>
  <c r="C4568" i="55"/>
  <c r="C4225" i="55"/>
  <c r="C4300" i="55"/>
  <c r="C4121" i="55"/>
  <c r="C4506" i="55"/>
  <c r="C3761" i="55"/>
  <c r="C3914" i="55"/>
  <c r="C3702" i="55"/>
  <c r="C4383" i="55"/>
  <c r="C5750" i="55"/>
  <c r="C6466" i="55"/>
  <c r="C4153" i="55"/>
  <c r="C4764" i="55"/>
  <c r="C6036" i="55"/>
  <c r="C6344" i="55"/>
  <c r="C5872" i="55"/>
  <c r="C5135" i="55"/>
  <c r="C5276" i="55"/>
  <c r="C6509" i="55"/>
  <c r="C6033" i="55"/>
  <c r="C5705" i="55"/>
  <c r="C5060" i="55"/>
  <c r="C4751" i="55"/>
  <c r="C4112" i="55"/>
  <c r="C6308" i="55"/>
  <c r="C5116" i="55"/>
  <c r="C5379" i="55"/>
  <c r="C4422" i="55"/>
  <c r="C7217" i="55"/>
  <c r="C6777" i="55"/>
  <c r="C6258" i="55"/>
  <c r="C6163" i="55"/>
  <c r="C5665" i="55"/>
  <c r="C5469" i="55"/>
  <c r="C5992" i="55"/>
  <c r="C4936" i="55"/>
  <c r="C5403" i="55"/>
  <c r="C4987" i="55"/>
  <c r="C5158" i="55"/>
  <c r="C5077" i="55"/>
  <c r="C4021" i="55"/>
  <c r="C4491" i="55"/>
  <c r="C4217" i="55"/>
  <c r="C4114" i="55"/>
  <c r="C4088" i="55"/>
  <c r="C4477" i="55"/>
  <c r="C3746" i="55"/>
  <c r="C3910" i="55"/>
  <c r="C4118" i="55"/>
  <c r="C4087" i="55"/>
  <c r="C5153" i="55"/>
  <c r="C7571" i="55"/>
  <c r="C3976" i="55"/>
  <c r="C5310" i="55"/>
  <c r="C6452" i="55"/>
  <c r="C6391" i="55"/>
  <c r="C5393" i="55"/>
  <c r="C4923" i="55"/>
  <c r="C4528" i="55"/>
  <c r="C6841" i="55"/>
  <c r="C5714" i="55"/>
  <c r="C5516" i="55"/>
  <c r="C4598" i="55"/>
  <c r="C4645" i="55"/>
  <c r="C5006" i="55"/>
  <c r="C6830" i="55"/>
  <c r="C5323" i="55"/>
  <c r="C5201" i="55"/>
  <c r="C4167" i="55"/>
  <c r="C4295" i="55"/>
  <c r="C3841" i="55"/>
  <c r="C6141" i="55"/>
  <c r="C5529" i="55"/>
  <c r="C5071" i="55"/>
  <c r="C4005" i="55"/>
  <c r="C6930" i="55"/>
  <c r="C6759" i="55"/>
  <c r="C6161" i="55"/>
  <c r="C5963" i="55"/>
  <c r="C5657" i="55"/>
  <c r="C5594" i="55"/>
  <c r="C5669" i="55"/>
  <c r="C5209" i="55"/>
  <c r="C5395" i="55"/>
  <c r="C4946" i="55"/>
  <c r="C4667" i="55"/>
  <c r="C4831" i="55"/>
  <c r="C4396" i="55"/>
  <c r="C4434" i="55"/>
  <c r="C4209" i="55"/>
  <c r="C4074" i="55"/>
  <c r="C3982" i="55"/>
  <c r="C4400" i="55"/>
  <c r="C3730" i="55"/>
  <c r="C3818" i="55"/>
  <c r="C3919" i="55"/>
  <c r="C4011" i="55"/>
  <c r="C5642" i="55"/>
  <c r="C7482" i="55"/>
  <c r="C4406" i="55"/>
  <c r="C5435" i="55"/>
  <c r="C6471" i="55"/>
  <c r="C6299" i="55"/>
  <c r="C6093" i="55"/>
  <c r="C5553" i="55"/>
  <c r="C5394" i="55"/>
  <c r="C6153" i="55"/>
  <c r="C5484" i="55"/>
  <c r="C4871" i="55"/>
  <c r="C4297" i="55"/>
  <c r="C4503" i="55"/>
  <c r="C4660" i="55"/>
  <c r="C6315" i="55"/>
  <c r="C5951" i="55"/>
  <c r="C4935" i="55"/>
  <c r="C4929" i="55"/>
  <c r="C7289" i="55"/>
  <c r="C6660" i="55"/>
  <c r="C6427" i="55"/>
  <c r="C5947" i="55"/>
  <c r="C5541" i="55"/>
  <c r="C5521" i="55"/>
  <c r="C5652" i="55"/>
  <c r="C5072" i="55"/>
  <c r="C5387" i="55"/>
  <c r="C5386" i="55"/>
  <c r="C4569" i="55"/>
  <c r="C4679" i="55"/>
  <c r="C4331" i="55"/>
  <c r="C4401" i="55"/>
  <c r="C4063" i="55"/>
  <c r="C4033" i="55"/>
  <c r="C4990" i="55"/>
  <c r="C4368" i="55"/>
  <c r="C4057" i="55"/>
  <c r="C3801" i="55"/>
  <c r="C3911" i="55"/>
  <c r="C4150" i="55"/>
  <c r="C4495" i="55"/>
  <c r="C5299" i="55"/>
  <c r="C4095" i="55"/>
  <c r="C5193" i="55"/>
  <c r="C6941" i="55"/>
  <c r="C3631" i="55"/>
  <c r="C5908" i="55"/>
  <c r="C5412" i="55"/>
  <c r="C5203" i="55"/>
  <c r="C4775" i="55"/>
  <c r="C6685" i="55"/>
  <c r="C5564" i="55"/>
  <c r="C4980" i="55"/>
  <c r="C4675" i="55"/>
  <c r="C4214" i="55"/>
  <c r="C4555" i="55"/>
  <c r="C6453" i="55"/>
  <c r="C3502" i="55"/>
  <c r="C6988" i="55"/>
  <c r="C6611" i="55"/>
  <c r="C6362" i="55"/>
  <c r="C5931" i="55"/>
  <c r="C5888" i="55"/>
  <c r="C5489" i="55"/>
  <c r="C5384" i="55"/>
  <c r="C5045" i="55"/>
  <c r="C5314" i="55"/>
  <c r="C5305" i="55"/>
  <c r="C4553" i="55"/>
  <c r="C4467" i="55"/>
  <c r="C4315" i="55"/>
  <c r="C4190" i="55"/>
  <c r="C3941" i="55"/>
  <c r="C4017" i="55"/>
  <c r="C4925" i="55"/>
  <c r="C4197" i="55"/>
  <c r="C3959" i="55"/>
  <c r="C3787" i="55"/>
  <c r="C3837" i="55"/>
  <c r="C3657" i="55"/>
  <c r="C4743" i="55"/>
  <c r="C5887" i="55"/>
  <c r="C23" i="4"/>
  <c r="C4019" i="55"/>
  <c r="C5075" i="55"/>
  <c r="C7427" i="55"/>
  <c r="C7356" i="55"/>
  <c r="C5813" i="55"/>
  <c r="C5505" i="55"/>
  <c r="C5428" i="55"/>
  <c r="C4456" i="55"/>
  <c r="C6068" i="55"/>
  <c r="C5173" i="55"/>
  <c r="C5811" i="55"/>
  <c r="C5056" i="55"/>
  <c r="C3970" i="55"/>
  <c r="C4351" i="55"/>
  <c r="C6009" i="55"/>
  <c r="C5373" i="55"/>
  <c r="C5370" i="55"/>
  <c r="C4584" i="55"/>
  <c r="C4628" i="55"/>
  <c r="C3540" i="55"/>
  <c r="C5808" i="55"/>
  <c r="C5927" i="55"/>
  <c r="C4816" i="55"/>
  <c r="C4507" i="55"/>
  <c r="C3491" i="55"/>
  <c r="C6890" i="55"/>
  <c r="C6316" i="55"/>
  <c r="C5886" i="55"/>
  <c r="C6269" i="55"/>
  <c r="C5852" i="55"/>
  <c r="C5472" i="55"/>
  <c r="C5270" i="55"/>
  <c r="C4963" i="55"/>
  <c r="C5257" i="55"/>
  <c r="C5131" i="55"/>
  <c r="C4863" i="55"/>
  <c r="C4459" i="55"/>
  <c r="C4244" i="55"/>
  <c r="C4165" i="55"/>
  <c r="C3932" i="55"/>
  <c r="C4937" i="55"/>
  <c r="C4908" i="55"/>
  <c r="C4042" i="55"/>
  <c r="C3817" i="55"/>
  <c r="C3673" i="55"/>
  <c r="C3804" i="55"/>
  <c r="C3813" i="55"/>
  <c r="C4192" i="55"/>
  <c r="C5644" i="55"/>
  <c r="C4183" i="55"/>
  <c r="C4519" i="55"/>
  <c r="C5340" i="55"/>
  <c r="C7472" i="55"/>
  <c r="C5816" i="55"/>
  <c r="C5818" i="55"/>
  <c r="C5297" i="55"/>
  <c r="C3475" i="55"/>
  <c r="C6071" i="55"/>
  <c r="C5518" i="55"/>
  <c r="C5734" i="55"/>
  <c r="C4842" i="55"/>
  <c r="C4408" i="55"/>
  <c r="C3447" i="55"/>
  <c r="C5637" i="55"/>
  <c r="C5522" i="55"/>
  <c r="C4696" i="55"/>
  <c r="C4438" i="55"/>
  <c r="C4481" i="55"/>
  <c r="C7537" i="55"/>
  <c r="C6207" i="55"/>
  <c r="C5294" i="55"/>
  <c r="C4428" i="55"/>
  <c r="C4206" i="55"/>
  <c r="C4286" i="55"/>
  <c r="C7495" i="55"/>
  <c r="C6025" i="55"/>
  <c r="C5219" i="55"/>
  <c r="C4062" i="55"/>
  <c r="C7547" i="55"/>
  <c r="C6688" i="55"/>
  <c r="C6518" i="55"/>
  <c r="C5870" i="55"/>
  <c r="C6216" i="55"/>
  <c r="C5596" i="55"/>
  <c r="C5871" i="55"/>
  <c r="C5262" i="55"/>
  <c r="C4793" i="55"/>
  <c r="C5208" i="55"/>
  <c r="C5068" i="55"/>
  <c r="C5313" i="55"/>
  <c r="C4435" i="55"/>
  <c r="C4739" i="55"/>
  <c r="C4108" i="55"/>
  <c r="C3762" i="55"/>
  <c r="C4404" i="55"/>
  <c r="C4734" i="55"/>
  <c r="C4034" i="55"/>
  <c r="C3838" i="55"/>
  <c r="C3649" i="55"/>
  <c r="C3788" i="55"/>
  <c r="C3975" i="55"/>
  <c r="C4638" i="55"/>
  <c r="C5967" i="55"/>
  <c r="C3671" i="55"/>
  <c r="C4203" i="55"/>
  <c r="C5932" i="55"/>
  <c r="C7037" i="55"/>
  <c r="C6228" i="55"/>
  <c r="C5692" i="55"/>
  <c r="C5094" i="55"/>
  <c r="C7609" i="55"/>
  <c r="C5894" i="55"/>
  <c r="C5956" i="55"/>
  <c r="C4973" i="55"/>
  <c r="C4594" i="55"/>
  <c r="C4079" i="55"/>
  <c r="C7346" i="55"/>
  <c r="C6106" i="55"/>
  <c r="C5115" i="55"/>
  <c r="C4363" i="55"/>
  <c r="C4084" i="55"/>
  <c r="C7362" i="55"/>
  <c r="C6674" i="55"/>
  <c r="C6665" i="55"/>
  <c r="C5928" i="55"/>
  <c r="C6139" i="55"/>
  <c r="C5328" i="55"/>
  <c r="C5781" i="55"/>
  <c r="C5640" i="55"/>
  <c r="C5520" i="55"/>
  <c r="C4967" i="55"/>
  <c r="C4607" i="55"/>
  <c r="C5264" i="55"/>
  <c r="C4326" i="55"/>
  <c r="C4678" i="55"/>
  <c r="C3938" i="55"/>
  <c r="C3729" i="55"/>
  <c r="C4328" i="55"/>
  <c r="C4640" i="55"/>
  <c r="C3993" i="55"/>
  <c r="C3675" i="55"/>
  <c r="C3935" i="55"/>
  <c r="C4433" i="55"/>
  <c r="C4732" i="55"/>
  <c r="C6118" i="55"/>
  <c r="C4040" i="55"/>
  <c r="C4646" i="55"/>
  <c r="C6089" i="55"/>
  <c r="C6598" i="55"/>
  <c r="C6592" i="55"/>
  <c r="C5506" i="55"/>
  <c r="C4979" i="55"/>
  <c r="C7311" i="55"/>
  <c r="C6366" i="55"/>
  <c r="C5724" i="55"/>
  <c r="C5192" i="55"/>
  <c r="C4508" i="55"/>
  <c r="C4381" i="55"/>
  <c r="C6870" i="55"/>
  <c r="C6115" i="55"/>
  <c r="C4879" i="55"/>
  <c r="C4781" i="55"/>
  <c r="C4193" i="55"/>
  <c r="C3826" i="55"/>
  <c r="C7003" i="55"/>
  <c r="C5994" i="55"/>
  <c r="C5102" i="55"/>
  <c r="C4810" i="55"/>
  <c r="AV40" i="13"/>
  <c r="AX40" i="13" s="1"/>
  <c r="AL40" i="13"/>
  <c r="AP40" i="13" s="1"/>
  <c r="CJ30" i="13"/>
  <c r="DD30" i="13"/>
  <c r="DF30" i="13" s="1"/>
  <c r="CT30" i="13"/>
  <c r="CX30" i="13" s="1"/>
  <c r="BP30" i="13"/>
  <c r="AV30" i="13"/>
  <c r="AZ30" i="13" s="1"/>
  <c r="C98" i="55"/>
  <c r="C114" i="55"/>
  <c r="C43" i="55"/>
  <c r="C237" i="55"/>
  <c r="C212" i="55"/>
  <c r="C22" i="55"/>
  <c r="C54" i="55"/>
  <c r="C218" i="55"/>
  <c r="C213" i="55"/>
  <c r="C118" i="55"/>
  <c r="C136" i="55"/>
  <c r="C5885" i="55"/>
  <c r="C4537" i="55"/>
  <c r="C3725" i="55"/>
  <c r="C5743" i="55"/>
  <c r="C4533" i="55"/>
  <c r="C4583" i="55"/>
  <c r="C6301" i="55"/>
  <c r="C4395" i="55"/>
  <c r="C4575" i="55"/>
  <c r="C3648" i="55"/>
  <c r="C3873" i="55"/>
  <c r="C5052" i="55"/>
  <c r="C5964" i="55"/>
  <c r="C6465" i="55"/>
  <c r="C3676" i="55"/>
  <c r="C4230" i="55"/>
  <c r="C4926" i="55"/>
  <c r="C5453" i="55"/>
  <c r="C6542" i="55"/>
  <c r="C4053" i="55"/>
  <c r="C5650" i="55"/>
  <c r="C6350" i="55"/>
  <c r="C3687" i="55"/>
  <c r="C4430" i="55"/>
  <c r="C5341" i="55"/>
  <c r="C5527" i="55"/>
  <c r="C5950" i="55"/>
  <c r="C3791" i="55"/>
  <c r="C4803" i="55"/>
  <c r="C4820" i="55"/>
  <c r="C5679" i="55"/>
  <c r="C7231" i="55"/>
  <c r="C4002" i="55"/>
  <c r="C4653" i="55"/>
  <c r="C5717" i="55"/>
  <c r="C5862" i="55"/>
  <c r="C3677" i="55"/>
  <c r="C4540" i="55"/>
  <c r="C5844" i="55"/>
  <c r="C4382" i="55"/>
  <c r="C6122" i="55"/>
  <c r="C5197" i="55"/>
  <c r="C4794" i="55"/>
  <c r="C4999" i="55"/>
  <c r="C3799" i="55"/>
  <c r="C4636" i="55"/>
  <c r="C3897" i="55"/>
  <c r="C4708" i="55"/>
  <c r="C5488" i="55"/>
  <c r="C5165" i="55"/>
  <c r="C6548" i="55"/>
  <c r="H1842" i="55"/>
  <c r="T35" i="47"/>
  <c r="AP56" i="13"/>
  <c r="CX62" i="13"/>
  <c r="C101" i="55"/>
  <c r="C230" i="55"/>
  <c r="C209" i="55"/>
  <c r="C38" i="55"/>
  <c r="C220" i="55"/>
  <c r="C251" i="55"/>
  <c r="D1618" i="55"/>
  <c r="C82" i="55"/>
  <c r="C156" i="55"/>
  <c r="C14" i="55"/>
  <c r="C57" i="55"/>
  <c r="C18" i="55"/>
  <c r="C5588" i="55"/>
  <c r="C4427" i="55"/>
  <c r="C3824" i="55"/>
  <c r="C5719" i="55"/>
  <c r="C5074" i="55"/>
  <c r="C4172" i="55"/>
  <c r="C6527" i="55"/>
  <c r="C5047" i="55"/>
  <c r="C4083" i="55"/>
  <c r="C3779" i="55"/>
  <c r="C4198" i="55"/>
  <c r="C4918" i="55"/>
  <c r="C5445" i="55"/>
  <c r="C6995" i="55"/>
  <c r="C3985" i="55"/>
  <c r="C4544" i="55"/>
  <c r="C4943" i="55"/>
  <c r="C5320" i="55"/>
  <c r="C6500" i="55"/>
  <c r="C6241" i="55"/>
  <c r="C5079" i="55"/>
  <c r="C6039" i="55"/>
  <c r="C3682" i="55"/>
  <c r="C4030" i="55"/>
  <c r="C4720" i="55"/>
  <c r="C5830" i="55"/>
  <c r="C6390" i="55"/>
  <c r="C3712" i="55"/>
  <c r="C4076" i="55"/>
  <c r="C4756" i="55"/>
  <c r="C5580" i="55"/>
  <c r="C7215" i="55"/>
  <c r="C4522" i="55"/>
  <c r="C4268" i="55"/>
  <c r="C4776" i="55"/>
  <c r="C6063" i="55"/>
  <c r="C3943" i="55"/>
  <c r="C5174" i="55"/>
  <c r="C5711" i="55"/>
  <c r="C4847" i="55"/>
  <c r="C5962" i="55"/>
  <c r="C5332" i="55"/>
  <c r="C4232" i="55"/>
  <c r="C4767" i="55"/>
  <c r="C4065" i="55"/>
  <c r="C4709" i="55"/>
  <c r="C4043" i="55"/>
  <c r="C5296" i="55"/>
  <c r="C5648" i="55"/>
  <c r="C5377" i="55"/>
  <c r="C6246" i="55"/>
  <c r="M34" i="13"/>
  <c r="C589" i="55"/>
  <c r="C626" i="55"/>
  <c r="C387" i="55"/>
  <c r="C259" i="55"/>
  <c r="C382" i="55"/>
  <c r="C656" i="55"/>
  <c r="C348" i="55"/>
  <c r="C380" i="55"/>
  <c r="C683" i="55"/>
  <c r="C323" i="55"/>
  <c r="C356" i="55"/>
  <c r="C805" i="55"/>
  <c r="C506" i="55"/>
  <c r="C509" i="55"/>
  <c r="C541" i="55"/>
  <c r="C651" i="55"/>
  <c r="C412" i="55"/>
  <c r="C601" i="55"/>
  <c r="C483" i="55"/>
  <c r="C266" i="55"/>
  <c r="C313" i="55"/>
  <c r="C267" i="55"/>
  <c r="C746" i="55"/>
  <c r="C640" i="55"/>
  <c r="C288" i="55"/>
  <c r="C625" i="55"/>
  <c r="C700" i="55"/>
  <c r="C708" i="55"/>
  <c r="C508" i="55"/>
  <c r="C637" i="55"/>
  <c r="C306" i="55"/>
  <c r="C583" i="55"/>
  <c r="R58" i="13"/>
  <c r="V58" i="13" s="1"/>
  <c r="AL58" i="13"/>
  <c r="AP58" i="13" s="1"/>
  <c r="F1854" i="55"/>
  <c r="C236" i="55"/>
  <c r="C86" i="55"/>
  <c r="C90" i="55"/>
  <c r="C249" i="55"/>
  <c r="C177" i="55"/>
  <c r="C12" i="4"/>
  <c r="C176" i="55"/>
  <c r="C165" i="55"/>
  <c r="C146" i="55"/>
  <c r="C97" i="55"/>
  <c r="C5396" i="55"/>
  <c r="C3972" i="55"/>
  <c r="C3906" i="55"/>
  <c r="C5853" i="55"/>
  <c r="C4513" i="55"/>
  <c r="C3701" i="55"/>
  <c r="C5836" i="55"/>
  <c r="C5300" i="55"/>
  <c r="C3684" i="55"/>
  <c r="C3937" i="55"/>
  <c r="C4523" i="55"/>
  <c r="C4894" i="55"/>
  <c r="C5214" i="55"/>
  <c r="C6847" i="55"/>
  <c r="C4303" i="55"/>
  <c r="C4722" i="55"/>
  <c r="C5240" i="55"/>
  <c r="C5884" i="55"/>
  <c r="C7104" i="55"/>
  <c r="C4045" i="55"/>
  <c r="C5067" i="55"/>
  <c r="C6190" i="55"/>
  <c r="C3742" i="55"/>
  <c r="C4425" i="55"/>
  <c r="C4806" i="55"/>
  <c r="C5989" i="55"/>
  <c r="C6834" i="55"/>
  <c r="C3855" i="55"/>
  <c r="C4466" i="55"/>
  <c r="C5120" i="55"/>
  <c r="C5582" i="55"/>
  <c r="C3548" i="55"/>
  <c r="C4677" i="55"/>
  <c r="C4265" i="55"/>
  <c r="C5017" i="55"/>
  <c r="C6091" i="55"/>
  <c r="C3880" i="55"/>
  <c r="C4668" i="55"/>
  <c r="C7072" i="55"/>
  <c r="C4889" i="55"/>
  <c r="C6438" i="55"/>
  <c r="C5641" i="55"/>
  <c r="C4717" i="55"/>
  <c r="C4777" i="55"/>
  <c r="C3796" i="55"/>
  <c r="C4194" i="55"/>
  <c r="C4572" i="55"/>
  <c r="C4371" i="55"/>
  <c r="C5009" i="55"/>
  <c r="C5905" i="55"/>
  <c r="C6837" i="55"/>
  <c r="Y33" i="10"/>
  <c r="C199" i="55"/>
  <c r="C35" i="55"/>
  <c r="C210" i="55"/>
  <c r="C147" i="55"/>
  <c r="C160" i="55"/>
  <c r="C13" i="55"/>
  <c r="CX27" i="13"/>
  <c r="H52" i="13"/>
  <c r="Y42" i="10"/>
  <c r="AC42" i="10" s="1"/>
  <c r="I26" i="51"/>
  <c r="G24" i="51"/>
  <c r="D2000" i="55"/>
  <c r="D2006" i="55"/>
  <c r="I24" i="51"/>
  <c r="G54" i="13"/>
  <c r="X44" i="10"/>
  <c r="AX30" i="13"/>
  <c r="F62" i="8"/>
  <c r="DR27" i="13"/>
  <c r="CL66" i="13"/>
  <c r="CP66" i="13" s="1"/>
  <c r="AP46" i="13"/>
  <c r="AB46" i="13"/>
  <c r="DX63" i="13"/>
  <c r="EB63" i="13" s="1"/>
  <c r="AI116" i="63"/>
  <c r="CN30" i="13"/>
  <c r="C195" i="24"/>
  <c r="E27" i="25" s="1"/>
  <c r="H1059" i="55" s="1"/>
  <c r="H1698" i="55"/>
  <c r="N57" i="52"/>
  <c r="N67" i="52" s="1"/>
  <c r="N43" i="52"/>
  <c r="BZ46" i="13"/>
  <c r="CJ46" i="13"/>
  <c r="CL46" i="13" s="1"/>
  <c r="DN55" i="13"/>
  <c r="DR55" i="13" s="1"/>
  <c r="BE116" i="63"/>
  <c r="DH167" i="63"/>
  <c r="DJ167" i="63"/>
  <c r="CF42" i="63" s="1"/>
  <c r="DI42" i="63" s="1"/>
  <c r="A98" i="57"/>
  <c r="C139" i="24"/>
  <c r="C120" i="24"/>
  <c r="E21" i="25" s="1"/>
  <c r="H1055" i="55" s="1"/>
  <c r="BR31" i="13"/>
  <c r="BV31" i="13" s="1"/>
  <c r="EH46" i="13"/>
  <c r="EJ46" i="13" s="1"/>
  <c r="BF55" i="13"/>
  <c r="A72" i="57"/>
  <c r="M61" i="13"/>
  <c r="CL53" i="13"/>
  <c r="N28" i="13"/>
  <c r="X33" i="10"/>
  <c r="AV55" i="13"/>
  <c r="M50" i="13"/>
  <c r="AO116" i="63"/>
  <c r="DR48" i="13"/>
  <c r="EL48" i="13"/>
  <c r="CD48" i="13"/>
  <c r="V48" i="13"/>
  <c r="CX48" i="13"/>
  <c r="EB48" i="13"/>
  <c r="AZ48" i="13"/>
  <c r="BJ48" i="13"/>
  <c r="DZ48" i="13"/>
  <c r="T48" i="13"/>
  <c r="DF48" i="13"/>
  <c r="M48" i="13"/>
  <c r="EJ48" i="13"/>
  <c r="BH48" i="13"/>
  <c r="DP48" i="13"/>
  <c r="DT48" i="13" s="1"/>
  <c r="CV48" i="13"/>
  <c r="CB48" i="13"/>
  <c r="AX48" i="13"/>
  <c r="K128" i="8"/>
  <c r="E1073" i="55"/>
  <c r="F1250" i="55"/>
  <c r="F1247" i="55"/>
  <c r="DH66" i="13"/>
  <c r="DF66" i="13"/>
  <c r="AP66" i="13"/>
  <c r="AN66" i="13"/>
  <c r="AR66" i="13" s="1"/>
  <c r="AF48" i="13"/>
  <c r="AD48" i="13"/>
  <c r="AH48" i="13" s="1"/>
  <c r="CD66" i="13"/>
  <c r="CB66" i="13"/>
  <c r="CF66" i="13" s="1"/>
  <c r="CV27" i="13"/>
  <c r="CZ27" i="13" s="1"/>
  <c r="F1406" i="55"/>
  <c r="F1408" i="55"/>
  <c r="F1404" i="55"/>
  <c r="F1405" i="55"/>
  <c r="F1402" i="55"/>
  <c r="F1148" i="55"/>
  <c r="F1149" i="55"/>
  <c r="F1147" i="55"/>
  <c r="F1150" i="55"/>
  <c r="F1146" i="55"/>
  <c r="F1145" i="55"/>
  <c r="BS16" i="63"/>
  <c r="CV16" i="63" s="1"/>
  <c r="BS88" i="63"/>
  <c r="CV88" i="63" s="1"/>
  <c r="BS54" i="63"/>
  <c r="CV54" i="63" s="1"/>
  <c r="BS20" i="63"/>
  <c r="CV20" i="63" s="1"/>
  <c r="BS82" i="63"/>
  <c r="CV82" i="63" s="1"/>
  <c r="BS38" i="63"/>
  <c r="CV38" i="63" s="1"/>
  <c r="BS91" i="63"/>
  <c r="CV91" i="63" s="1"/>
  <c r="BS17" i="63"/>
  <c r="CV17" i="63" s="1"/>
  <c r="BS95" i="63"/>
  <c r="CV95" i="63" s="1"/>
  <c r="BS62" i="63"/>
  <c r="CV62" i="63" s="1"/>
  <c r="BS21" i="63"/>
  <c r="CV21" i="63" s="1"/>
  <c r="BS13" i="63"/>
  <c r="CV13" i="63" s="1"/>
  <c r="BS39" i="63"/>
  <c r="CV39" i="63" s="1"/>
  <c r="BS70" i="63"/>
  <c r="CV70" i="63" s="1"/>
  <c r="BS112" i="63"/>
  <c r="CV112" i="63" s="1"/>
  <c r="BS84" i="63"/>
  <c r="CV84" i="63" s="1"/>
  <c r="BS114" i="63"/>
  <c r="CV114" i="63" s="1"/>
  <c r="BS29" i="63"/>
  <c r="CV29" i="63" s="1"/>
  <c r="BS103" i="63"/>
  <c r="CV103" i="63" s="1"/>
  <c r="BS94" i="63"/>
  <c r="CV94" i="63" s="1"/>
  <c r="D3440" i="55"/>
  <c r="D3441" i="55"/>
  <c r="D3442" i="55"/>
  <c r="G49" i="13"/>
  <c r="AD49" i="13" s="1"/>
  <c r="AH49" i="13" s="1"/>
  <c r="X39" i="10"/>
  <c r="E1071" i="55"/>
  <c r="E1089" i="55"/>
  <c r="E1095" i="55"/>
  <c r="E1077" i="55"/>
  <c r="E1101" i="55"/>
  <c r="F1361" i="55"/>
  <c r="F1363" i="55"/>
  <c r="F1485" i="55"/>
  <c r="F1483" i="55"/>
  <c r="F1484" i="55"/>
  <c r="F1486" i="55"/>
  <c r="EB36" i="13"/>
  <c r="DZ36" i="13"/>
  <c r="ED36" i="13" s="1"/>
  <c r="DH48" i="13"/>
  <c r="C30" i="48"/>
  <c r="F7756" i="55" s="1"/>
  <c r="C26" i="48"/>
  <c r="F7758" i="55" s="1"/>
  <c r="E2145" i="55"/>
  <c r="E2730" i="55"/>
  <c r="E2608" i="55"/>
  <c r="E2389" i="55"/>
  <c r="DH53" i="13"/>
  <c r="DF65" i="13"/>
  <c r="DH65" i="13"/>
  <c r="BR44" i="13"/>
  <c r="BV44" i="13" s="1"/>
  <c r="BT44" i="13"/>
  <c r="G23" i="12"/>
  <c r="J45" i="49" s="1"/>
  <c r="H2068" i="55" s="1"/>
  <c r="F23" i="12"/>
  <c r="E2267" i="55"/>
  <c r="E2852" i="55"/>
  <c r="AR32" i="13"/>
  <c r="CE36" i="63"/>
  <c r="DH36" i="63" s="1"/>
  <c r="CE100" i="63"/>
  <c r="DH100" i="63" s="1"/>
  <c r="CE102" i="63"/>
  <c r="DH102" i="63" s="1"/>
  <c r="CE84" i="63"/>
  <c r="DH84" i="63" s="1"/>
  <c r="CE70" i="63"/>
  <c r="DH70" i="63" s="1"/>
  <c r="CE43" i="63"/>
  <c r="DH43" i="63" s="1"/>
  <c r="CE101" i="63"/>
  <c r="DH101" i="63" s="1"/>
  <c r="CE44" i="63"/>
  <c r="DH44" i="63" s="1"/>
  <c r="CE17" i="63"/>
  <c r="DH17" i="63" s="1"/>
  <c r="CE69" i="63"/>
  <c r="DH69" i="63" s="1"/>
  <c r="CE105" i="63"/>
  <c r="DH105" i="63" s="1"/>
  <c r="CE23" i="63"/>
  <c r="DH23" i="63" s="1"/>
  <c r="CE63" i="63"/>
  <c r="DH63" i="63" s="1"/>
  <c r="CE19" i="63"/>
  <c r="DH19" i="63" s="1"/>
  <c r="CE25" i="63"/>
  <c r="DH25" i="63" s="1"/>
  <c r="CE104" i="63"/>
  <c r="DH104" i="63" s="1"/>
  <c r="CE42" i="63"/>
  <c r="DH42" i="63" s="1"/>
  <c r="CE15" i="63"/>
  <c r="DH15" i="63" s="1"/>
  <c r="CE66" i="63"/>
  <c r="DH66" i="63" s="1"/>
  <c r="CE57" i="63"/>
  <c r="DH57" i="63" s="1"/>
  <c r="CE53" i="63"/>
  <c r="DH53" i="63" s="1"/>
  <c r="CE98" i="63"/>
  <c r="DH98" i="63" s="1"/>
  <c r="CE68" i="63"/>
  <c r="DH68" i="63" s="1"/>
  <c r="CE49" i="63"/>
  <c r="DH49" i="63" s="1"/>
  <c r="CE40" i="63"/>
  <c r="DH40" i="63" s="1"/>
  <c r="CE30" i="63"/>
  <c r="DH30" i="63" s="1"/>
  <c r="CE16" i="63"/>
  <c r="DH16" i="63" s="1"/>
  <c r="CE35" i="63"/>
  <c r="DH35" i="63" s="1"/>
  <c r="CE28" i="63"/>
  <c r="DH28" i="63" s="1"/>
  <c r="CE87" i="63"/>
  <c r="DH87" i="63" s="1"/>
  <c r="CE26" i="63"/>
  <c r="DH26" i="63" s="1"/>
  <c r="CE34" i="63"/>
  <c r="DH34" i="63" s="1"/>
  <c r="CE29" i="63"/>
  <c r="DH29" i="63" s="1"/>
  <c r="CE107" i="63"/>
  <c r="DH107" i="63" s="1"/>
  <c r="CE58" i="63"/>
  <c r="DH58" i="63" s="1"/>
  <c r="CE95" i="63"/>
  <c r="DH95" i="63" s="1"/>
  <c r="CE46" i="63"/>
  <c r="DH46" i="63" s="1"/>
  <c r="CE112" i="63"/>
  <c r="DH112" i="63" s="1"/>
  <c r="CE39" i="63"/>
  <c r="DH39" i="63" s="1"/>
  <c r="CE51" i="63"/>
  <c r="DH51" i="63" s="1"/>
  <c r="CE54" i="63"/>
  <c r="DH54" i="63" s="1"/>
  <c r="CE90" i="63"/>
  <c r="DH90" i="63" s="1"/>
  <c r="CE24" i="63"/>
  <c r="DH24" i="63" s="1"/>
  <c r="CE62" i="63"/>
  <c r="DH62" i="63" s="1"/>
  <c r="E2779" i="55"/>
  <c r="AB57" i="10"/>
  <c r="AB24" i="10"/>
  <c r="Z24" i="10"/>
  <c r="D3012" i="55"/>
  <c r="D1205" i="55"/>
  <c r="D1222" i="55"/>
  <c r="D1218" i="55"/>
  <c r="D1207" i="55"/>
  <c r="D1216" i="55"/>
  <c r="D1212" i="55"/>
  <c r="D1226" i="55"/>
  <c r="D1231" i="55"/>
  <c r="D1208" i="55"/>
  <c r="D1215" i="55"/>
  <c r="D1227" i="55"/>
  <c r="D1219" i="55"/>
  <c r="D1210" i="55"/>
  <c r="D1229" i="55"/>
  <c r="D1214" i="55"/>
  <c r="D1213" i="55"/>
  <c r="D1233" i="55"/>
  <c r="D1206" i="55"/>
  <c r="D1223" i="55"/>
  <c r="D3008" i="55"/>
  <c r="D3007" i="55"/>
  <c r="D3009" i="55"/>
  <c r="D1209" i="55"/>
  <c r="D3010" i="55"/>
  <c r="D1232" i="55"/>
  <c r="D1234" i="55"/>
  <c r="D1230" i="55"/>
  <c r="D1220" i="55"/>
  <c r="D3011" i="55"/>
  <c r="D1225" i="55"/>
  <c r="D1228" i="55"/>
  <c r="DF19" i="13"/>
  <c r="AX19" i="13"/>
  <c r="AN19" i="13"/>
  <c r="EJ19" i="13"/>
  <c r="G19" i="13"/>
  <c r="BH19" i="13"/>
  <c r="T19" i="13"/>
  <c r="DP19" i="13"/>
  <c r="BR19" i="13"/>
  <c r="CL19" i="13"/>
  <c r="CV19" i="13"/>
  <c r="CB19" i="13"/>
  <c r="DZ19" i="13"/>
  <c r="AD19" i="13"/>
  <c r="F69" i="55"/>
  <c r="F73" i="55"/>
  <c r="F32" i="55"/>
  <c r="F60" i="55"/>
  <c r="F72" i="55"/>
  <c r="F59" i="55"/>
  <c r="F105" i="55"/>
  <c r="F39" i="55"/>
  <c r="F88" i="55"/>
  <c r="F14" i="55"/>
  <c r="F49" i="55"/>
  <c r="F57" i="55"/>
  <c r="F83" i="55"/>
  <c r="F89" i="55"/>
  <c r="F114" i="55"/>
  <c r="F116" i="55"/>
  <c r="F48" i="55"/>
  <c r="F64" i="55"/>
  <c r="F71" i="55"/>
  <c r="F55" i="55"/>
  <c r="BR46" i="13"/>
  <c r="BV46" i="13" s="1"/>
  <c r="N46" i="13"/>
  <c r="AN46" i="13"/>
  <c r="AR46" i="13" s="1"/>
  <c r="DF35" i="13"/>
  <c r="DH35" i="13"/>
  <c r="T47" i="13"/>
  <c r="BJ33" i="13"/>
  <c r="BT45" i="13"/>
  <c r="BR45" i="13"/>
  <c r="BT39" i="13"/>
  <c r="N65" i="13"/>
  <c r="CN65" i="13"/>
  <c r="CP65" i="13" s="1"/>
  <c r="CD65" i="13"/>
  <c r="CF65" i="13" s="1"/>
  <c r="BT65" i="13"/>
  <c r="BV65" i="13" s="1"/>
  <c r="AF65" i="13"/>
  <c r="AH65" i="13" s="1"/>
  <c r="AP65" i="13"/>
  <c r="AR65" i="13" s="1"/>
  <c r="EL65" i="13"/>
  <c r="EN65" i="13" s="1"/>
  <c r="BB32" i="13"/>
  <c r="D17" i="12" a="1"/>
  <c r="D17" i="12" s="1"/>
  <c r="AB30" i="10"/>
  <c r="T63" i="47"/>
  <c r="E1847" i="55"/>
  <c r="E1834" i="55"/>
  <c r="E1831" i="55"/>
  <c r="E1865" i="55"/>
  <c r="E1833" i="55"/>
  <c r="E1830" i="55"/>
  <c r="E1835" i="55"/>
  <c r="E1862" i="55"/>
  <c r="E1868" i="55"/>
  <c r="E1828" i="55"/>
  <c r="E1870" i="55"/>
  <c r="E1827" i="55"/>
  <c r="E1864" i="55"/>
  <c r="E1863" i="55"/>
  <c r="E1821" i="55"/>
  <c r="E1842" i="55"/>
  <c r="T97" i="47"/>
  <c r="E1859" i="55"/>
  <c r="E1832" i="55"/>
  <c r="D2363" i="55"/>
  <c r="D2241" i="55"/>
  <c r="D2580" i="55"/>
  <c r="D2705" i="55"/>
  <c r="D2824" i="55"/>
  <c r="D2703" i="55"/>
  <c r="D2582" i="55"/>
  <c r="D2704" i="55"/>
  <c r="D2118" i="55"/>
  <c r="D2361" i="55"/>
  <c r="D2581" i="55"/>
  <c r="D2362" i="55"/>
  <c r="D2583" i="55"/>
  <c r="D2119" i="55"/>
  <c r="D2240" i="55"/>
  <c r="D2827" i="55"/>
  <c r="D2364" i="55"/>
  <c r="D2242" i="55"/>
  <c r="D2453" i="55"/>
  <c r="D2916" i="55"/>
  <c r="D1989" i="55"/>
  <c r="D1979" i="55"/>
  <c r="D1988" i="55"/>
  <c r="D1985" i="55"/>
  <c r="D1995" i="55"/>
  <c r="D1996" i="55"/>
  <c r="D1997" i="55"/>
  <c r="D1990" i="55"/>
  <c r="D1984" i="55"/>
  <c r="D1991" i="55"/>
  <c r="D1977" i="55"/>
  <c r="D1992" i="55"/>
  <c r="D1986" i="55"/>
  <c r="D1978" i="55"/>
  <c r="D1983" i="55"/>
  <c r="E1920" i="55"/>
  <c r="E1909" i="55"/>
  <c r="E1503" i="55"/>
  <c r="E1892" i="55"/>
  <c r="E1500" i="55"/>
  <c r="E1916" i="55"/>
  <c r="E1888" i="55"/>
  <c r="E1875" i="55"/>
  <c r="E1895" i="55"/>
  <c r="E1887" i="55"/>
  <c r="E1890" i="55"/>
  <c r="E1910" i="55"/>
  <c r="E1899" i="55"/>
  <c r="E1912" i="55"/>
  <c r="E1914" i="55"/>
  <c r="E1902" i="55"/>
  <c r="E1502" i="55"/>
  <c r="E1919" i="55"/>
  <c r="E1873" i="55"/>
  <c r="E1880" i="55"/>
  <c r="E1915" i="55"/>
  <c r="E1897" i="55"/>
  <c r="E1906" i="55"/>
  <c r="E1904" i="55"/>
  <c r="E1893" i="55"/>
  <c r="E1501" i="55"/>
  <c r="E1922" i="55"/>
  <c r="E1879" i="55"/>
  <c r="E1911" i="55"/>
  <c r="E1876" i="55"/>
  <c r="E1891" i="55"/>
  <c r="E1917" i="55"/>
  <c r="E1874" i="55"/>
  <c r="E1885" i="55"/>
  <c r="E1905" i="55"/>
  <c r="E1877" i="55"/>
  <c r="E1883" i="55"/>
  <c r="E1889" i="55"/>
  <c r="E2927" i="55"/>
  <c r="E1886" i="55"/>
  <c r="E1882" i="55"/>
  <c r="E1894" i="55"/>
  <c r="CF54" i="13"/>
  <c r="BZ28" i="63"/>
  <c r="DC28" i="63" s="1"/>
  <c r="BZ112" i="63"/>
  <c r="DC112" i="63" s="1"/>
  <c r="BZ69" i="63"/>
  <c r="DC69" i="63" s="1"/>
  <c r="E2753" i="55"/>
  <c r="H40" i="13"/>
  <c r="Y30" i="10"/>
  <c r="AC30" i="10" s="1"/>
  <c r="E1931" i="55"/>
  <c r="E1930" i="55"/>
  <c r="E1505" i="55"/>
  <c r="E1954" i="55"/>
  <c r="E1926" i="55"/>
  <c r="E1966" i="55"/>
  <c r="E1939" i="55"/>
  <c r="E1972" i="55"/>
  <c r="E1936" i="55"/>
  <c r="E1943" i="55"/>
  <c r="E1962" i="55"/>
  <c r="E1959" i="55"/>
  <c r="E1934" i="55"/>
  <c r="E1925" i="55"/>
  <c r="E1937" i="55"/>
  <c r="E1956" i="55"/>
  <c r="E1506" i="55"/>
  <c r="E1974" i="55"/>
  <c r="E1971" i="55"/>
  <c r="E1945" i="55"/>
  <c r="E1968" i="55"/>
  <c r="E1947" i="55"/>
  <c r="E1964" i="55"/>
  <c r="E1949" i="55"/>
  <c r="E1958" i="55"/>
  <c r="E1938" i="55"/>
  <c r="E1951" i="55"/>
  <c r="E1944" i="55"/>
  <c r="E1940" i="55"/>
  <c r="E1942" i="55"/>
  <c r="E1504" i="55"/>
  <c r="E1957" i="55"/>
  <c r="E1963" i="55"/>
  <c r="E1929" i="55"/>
  <c r="E1969" i="55"/>
  <c r="E1507" i="55"/>
  <c r="E1961" i="55"/>
  <c r="E1941" i="55"/>
  <c r="E1927" i="55"/>
  <c r="D1401" i="55"/>
  <c r="D1427" i="55"/>
  <c r="D1397" i="55"/>
  <c r="D1402" i="55"/>
  <c r="D1400" i="55"/>
  <c r="D1428" i="55"/>
  <c r="D3055" i="55"/>
  <c r="D1388" i="55"/>
  <c r="D1390" i="55"/>
  <c r="D1415" i="55"/>
  <c r="D1432" i="55"/>
  <c r="D1392" i="55"/>
  <c r="D1421" i="55"/>
  <c r="D1425" i="55"/>
  <c r="D1409" i="55"/>
  <c r="D1429" i="55"/>
  <c r="D1426" i="55"/>
  <c r="D1410" i="55"/>
  <c r="D3051" i="55"/>
  <c r="D1389" i="55"/>
  <c r="D3058" i="55"/>
  <c r="D3053" i="55"/>
  <c r="D1395" i="55"/>
  <c r="D1424" i="55"/>
  <c r="D3056" i="55"/>
  <c r="D1399" i="55"/>
  <c r="D1422" i="55"/>
  <c r="D1403" i="55"/>
  <c r="D1413" i="55"/>
  <c r="D1391" i="55"/>
  <c r="D1418" i="55"/>
  <c r="D1394" i="55"/>
  <c r="D1405" i="55"/>
  <c r="D1386" i="55"/>
  <c r="D1423" i="55"/>
  <c r="D3060" i="55"/>
  <c r="D1420" i="55"/>
  <c r="D1412" i="55"/>
  <c r="D3059" i="55"/>
  <c r="D1431" i="55"/>
  <c r="D1396" i="55"/>
  <c r="D1408" i="55"/>
  <c r="D3057" i="55"/>
  <c r="D1406" i="55"/>
  <c r="C1267" i="55"/>
  <c r="C1277" i="55"/>
  <c r="C1071" i="55"/>
  <c r="C1369" i="55"/>
  <c r="C1371" i="55"/>
  <c r="C1119" i="55"/>
  <c r="C1468" i="55"/>
  <c r="C1305" i="55"/>
  <c r="C1257" i="55"/>
  <c r="C1328" i="55"/>
  <c r="C1310" i="55"/>
  <c r="C1401" i="55"/>
  <c r="C1497" i="55"/>
  <c r="C1080" i="55"/>
  <c r="C1370" i="55"/>
  <c r="C1136" i="55"/>
  <c r="C1285" i="55"/>
  <c r="C1252" i="55"/>
  <c r="C2984" i="55"/>
  <c r="C1408" i="55"/>
  <c r="C1284" i="55"/>
  <c r="C1146" i="55"/>
  <c r="C1478" i="55"/>
  <c r="C1466" i="55"/>
  <c r="C1467" i="55"/>
  <c r="C1459" i="55"/>
  <c r="C1291" i="55"/>
  <c r="C1200" i="55"/>
  <c r="C1176" i="55"/>
  <c r="C1072" i="55"/>
  <c r="C2991" i="55"/>
  <c r="C1318" i="55"/>
  <c r="C1193" i="55"/>
  <c r="C1331" i="55"/>
  <c r="C1195" i="55"/>
  <c r="C3055" i="55"/>
  <c r="C3033" i="55"/>
  <c r="C1171" i="55"/>
  <c r="C1248" i="55"/>
  <c r="C1123" i="55"/>
  <c r="C1162" i="55"/>
  <c r="C3028" i="55"/>
  <c r="C1270" i="55"/>
  <c r="C1166" i="55"/>
  <c r="C1357" i="55"/>
  <c r="C1404" i="55"/>
  <c r="C1317" i="55"/>
  <c r="C1306" i="55"/>
  <c r="C1315" i="55"/>
  <c r="C1236" i="55"/>
  <c r="C1230" i="55"/>
  <c r="C1133" i="55"/>
  <c r="C1319" i="55"/>
  <c r="C3045" i="55"/>
  <c r="C1320" i="55"/>
  <c r="C1312" i="55"/>
  <c r="C3046" i="55"/>
  <c r="C1079" i="55"/>
  <c r="C1099" i="55"/>
  <c r="C3040" i="55"/>
  <c r="C1272" i="55"/>
  <c r="C1113" i="55"/>
  <c r="C1229" i="55"/>
  <c r="C1246" i="55"/>
  <c r="C1374" i="55"/>
  <c r="C2996" i="55"/>
  <c r="C1338" i="55"/>
  <c r="C1206" i="55"/>
  <c r="C1238" i="55"/>
  <c r="C1154" i="55"/>
  <c r="C1406" i="55"/>
  <c r="C1365" i="55"/>
  <c r="C1147" i="55"/>
  <c r="C1068" i="55"/>
  <c r="C1149" i="55"/>
  <c r="C1429" i="55"/>
  <c r="C1496" i="55"/>
  <c r="C1362" i="55"/>
  <c r="C1469" i="55"/>
  <c r="C1303" i="55"/>
  <c r="C1325" i="55"/>
  <c r="C1445" i="55"/>
  <c r="C1231" i="55"/>
  <c r="C1400" i="55"/>
  <c r="C1292" i="55"/>
  <c r="C1078" i="55"/>
  <c r="C1260" i="55"/>
  <c r="C1145" i="55"/>
  <c r="C1430" i="55"/>
  <c r="C1114" i="55"/>
  <c r="C1255" i="55"/>
  <c r="C1241" i="55"/>
  <c r="C1302" i="55"/>
  <c r="C1290" i="55"/>
  <c r="C1342" i="55"/>
  <c r="C1249" i="55"/>
  <c r="C1276" i="55"/>
  <c r="C1288" i="55"/>
  <c r="C2989" i="55"/>
  <c r="C1378" i="55"/>
  <c r="C3051" i="55"/>
  <c r="C1337" i="55"/>
  <c r="C1489" i="55"/>
  <c r="C1088" i="55"/>
  <c r="C1070" i="55"/>
  <c r="C1247" i="55"/>
  <c r="C1226" i="55"/>
  <c r="C1232" i="55"/>
  <c r="C3008" i="55"/>
  <c r="C1349" i="55"/>
  <c r="C1316" i="55"/>
  <c r="C1465" i="55"/>
  <c r="C1214" i="55"/>
  <c r="C3060" i="55"/>
  <c r="C1442" i="55"/>
  <c r="C1423" i="55"/>
  <c r="C1105" i="55"/>
  <c r="C1163" i="55"/>
  <c r="C1186" i="55"/>
  <c r="C3012" i="55"/>
  <c r="C1311" i="55"/>
  <c r="C1097" i="55"/>
  <c r="C1161" i="55"/>
  <c r="C1295" i="55"/>
  <c r="C1439" i="55"/>
  <c r="C1209" i="55"/>
  <c r="C1215" i="55"/>
  <c r="C1479" i="55"/>
  <c r="C1419" i="55"/>
  <c r="C1175" i="55"/>
  <c r="C1330" i="55"/>
  <c r="C1169" i="55"/>
  <c r="C1075" i="55"/>
  <c r="C3003" i="55"/>
  <c r="C1410" i="55"/>
  <c r="C1490" i="55"/>
  <c r="C1421" i="55"/>
  <c r="C1160" i="55"/>
  <c r="C2983" i="55"/>
  <c r="C1274" i="55"/>
  <c r="C1156" i="55"/>
  <c r="C1148" i="55"/>
  <c r="C1484" i="55"/>
  <c r="C1433" i="55"/>
  <c r="C1450" i="55"/>
  <c r="C1122" i="55"/>
  <c r="C1125" i="55"/>
  <c r="C1237" i="55"/>
  <c r="C3009" i="55"/>
  <c r="C3054" i="55"/>
  <c r="C1253" i="55"/>
  <c r="C1447" i="55"/>
  <c r="C1422" i="55"/>
  <c r="C1109" i="55"/>
  <c r="C1278" i="55"/>
  <c r="C3052" i="55"/>
  <c r="C1412" i="55"/>
  <c r="C1158" i="55"/>
  <c r="C1359" i="55"/>
  <c r="C3041" i="55"/>
  <c r="C1385" i="55"/>
  <c r="C1326" i="55"/>
  <c r="C1434" i="55"/>
  <c r="C1258" i="55"/>
  <c r="C1368" i="55"/>
  <c r="C1449" i="55"/>
  <c r="C1494" i="55"/>
  <c r="C1137" i="55"/>
  <c r="C1204" i="55"/>
  <c r="C1222" i="55"/>
  <c r="C1067" i="55"/>
  <c r="C1165" i="55"/>
  <c r="C1208" i="55"/>
  <c r="C1474" i="55"/>
  <c r="C1348" i="55"/>
  <c r="C1313" i="55"/>
  <c r="C22" i="4"/>
  <c r="C1323" i="55"/>
  <c r="C3042" i="55"/>
  <c r="C1069" i="55"/>
  <c r="C1087" i="55"/>
  <c r="C2986" i="55"/>
  <c r="C1376" i="55"/>
  <c r="C1170" i="55"/>
  <c r="C1167" i="55"/>
  <c r="C1464" i="55"/>
  <c r="C1415" i="55"/>
  <c r="C1364" i="55"/>
  <c r="C1275" i="55"/>
  <c r="C1261" i="55"/>
  <c r="C1182" i="55"/>
  <c r="C1402" i="55"/>
  <c r="C3030" i="55"/>
  <c r="C1301" i="55"/>
  <c r="C3047" i="55"/>
  <c r="C1076" i="55"/>
  <c r="C1243" i="55"/>
  <c r="C1457" i="55"/>
  <c r="C1380" i="55"/>
  <c r="C1217" i="55"/>
  <c r="C1111" i="55"/>
  <c r="C1354" i="55"/>
  <c r="C1153" i="55"/>
  <c r="C1309" i="55"/>
  <c r="C1094" i="55"/>
  <c r="C3044" i="55"/>
  <c r="C1224" i="55"/>
  <c r="C1382" i="55"/>
  <c r="C3034" i="55"/>
  <c r="C1332" i="55"/>
  <c r="C3038" i="55"/>
  <c r="C3004" i="55"/>
  <c r="C1394" i="55"/>
  <c r="C1409" i="55"/>
  <c r="C1281" i="55"/>
  <c r="C2999" i="55"/>
  <c r="C3056" i="55"/>
  <c r="C1282" i="55"/>
  <c r="C3027" i="55"/>
  <c r="C1073" i="55"/>
  <c r="C1417" i="55"/>
  <c r="C1477" i="55"/>
  <c r="C1240" i="55"/>
  <c r="C1095" i="55"/>
  <c r="C1077" i="55"/>
  <c r="C1491" i="55"/>
  <c r="C1435" i="55"/>
  <c r="C1144" i="55"/>
  <c r="C1269" i="55"/>
  <c r="C1399" i="55"/>
  <c r="C1173" i="55"/>
  <c r="C1367" i="55"/>
  <c r="C1157" i="55"/>
  <c r="C1107" i="55"/>
  <c r="C3016" i="55"/>
  <c r="C1308" i="55"/>
  <c r="C1403" i="55"/>
  <c r="C2987" i="55"/>
  <c r="C1333" i="55"/>
  <c r="C1299" i="55"/>
  <c r="C1462" i="55"/>
  <c r="C1366" i="55"/>
  <c r="C1296" i="55"/>
  <c r="C1143" i="55"/>
  <c r="C1129" i="55"/>
  <c r="C1293" i="55"/>
  <c r="C1138" i="55"/>
  <c r="C1092" i="55"/>
  <c r="C1194" i="55"/>
  <c r="C1456" i="55"/>
  <c r="C1106" i="55"/>
  <c r="C1218" i="55"/>
  <c r="C3010" i="55"/>
  <c r="C1199" i="55"/>
  <c r="C1225" i="55"/>
  <c r="C1084" i="55"/>
  <c r="C1327" i="55"/>
  <c r="C1074" i="55"/>
  <c r="C1411" i="55"/>
  <c r="C1334" i="55"/>
  <c r="C3007" i="55"/>
  <c r="C1191" i="55"/>
  <c r="C1090" i="55"/>
  <c r="C1390" i="55"/>
  <c r="C1189" i="55"/>
  <c r="C1120" i="55"/>
  <c r="C1388" i="55"/>
  <c r="C1082" i="55"/>
  <c r="C1345" i="55"/>
  <c r="C3036" i="55"/>
  <c r="C1168" i="55"/>
  <c r="C1358" i="55"/>
  <c r="C1112" i="55"/>
  <c r="C1151" i="55"/>
  <c r="C1245" i="55"/>
  <c r="C1280" i="55"/>
  <c r="C1375" i="55"/>
  <c r="C3023" i="55"/>
  <c r="C1250" i="55"/>
  <c r="C1188" i="55"/>
  <c r="C1324" i="55"/>
  <c r="C1428" i="55"/>
  <c r="C3000" i="55"/>
  <c r="C1268" i="55"/>
  <c r="C1373" i="55"/>
  <c r="C1476" i="55"/>
  <c r="C2993" i="55"/>
  <c r="C1227" i="55"/>
  <c r="C1256" i="55"/>
  <c r="C1424" i="55"/>
  <c r="C3006" i="55"/>
  <c r="C1298" i="55"/>
  <c r="C1480" i="55"/>
  <c r="C2990" i="55"/>
  <c r="C1259" i="55"/>
  <c r="C1207" i="55"/>
  <c r="C1239" i="55"/>
  <c r="C1392" i="55"/>
  <c r="C1379" i="55"/>
  <c r="C1083" i="55"/>
  <c r="C1140" i="55"/>
  <c r="C1437" i="55"/>
  <c r="C1242" i="55"/>
  <c r="C1091" i="55"/>
  <c r="C1283" i="55"/>
  <c r="C1314" i="55"/>
  <c r="C2992" i="55"/>
  <c r="C1485" i="55"/>
  <c r="C1336" i="55"/>
  <c r="C1265" i="55"/>
  <c r="C1432" i="55"/>
  <c r="C1179" i="55"/>
  <c r="C3039" i="55"/>
  <c r="C1425" i="55"/>
  <c r="C3037" i="55"/>
  <c r="C1121" i="55"/>
  <c r="C1264" i="55"/>
  <c r="C1100" i="55"/>
  <c r="C1244" i="55"/>
  <c r="C1089" i="55"/>
  <c r="C1416" i="55"/>
  <c r="C1098" i="55"/>
  <c r="C1081" i="55"/>
  <c r="C1475" i="55"/>
  <c r="C1202" i="55"/>
  <c r="C1395" i="55"/>
  <c r="C2995" i="55"/>
  <c r="C1234" i="55"/>
  <c r="C1110" i="55"/>
  <c r="C1220" i="55"/>
  <c r="C1453" i="55"/>
  <c r="C1174" i="55"/>
  <c r="C1104" i="55"/>
  <c r="C1407" i="55"/>
  <c r="C1103" i="55"/>
  <c r="C1396" i="55"/>
  <c r="C1377" i="55"/>
  <c r="C1139" i="55"/>
  <c r="C1266" i="55"/>
  <c r="C1102" i="55"/>
  <c r="C1273" i="55"/>
  <c r="C3002" i="55"/>
  <c r="C3015" i="55"/>
  <c r="C1493" i="55"/>
  <c r="C1108" i="55"/>
  <c r="C3048" i="55"/>
  <c r="C3011" i="55"/>
  <c r="C3020" i="55"/>
  <c r="C1211" i="55"/>
  <c r="C1101" i="55"/>
  <c r="C1135" i="55"/>
  <c r="C1427" i="55"/>
  <c r="C3014" i="55"/>
  <c r="C1361" i="55"/>
  <c r="C1340" i="55"/>
  <c r="C2998" i="55"/>
  <c r="C2988" i="55"/>
  <c r="C1142" i="55"/>
  <c r="C1297" i="55"/>
  <c r="C3013" i="55"/>
  <c r="C1343" i="55"/>
  <c r="CP68" i="13"/>
  <c r="F3029" i="55"/>
  <c r="AH51" i="13"/>
  <c r="BO11" i="63"/>
  <c r="CR11" i="63" s="1"/>
  <c r="BO21" i="63"/>
  <c r="CR21" i="63" s="1"/>
  <c r="BO20" i="63"/>
  <c r="CR20" i="63" s="1"/>
  <c r="BO82" i="63"/>
  <c r="CR82" i="63" s="1"/>
  <c r="BO63" i="63"/>
  <c r="CR63" i="63" s="1"/>
  <c r="BO13" i="63"/>
  <c r="CR13" i="63" s="1"/>
  <c r="BO43" i="63"/>
  <c r="CR43" i="63" s="1"/>
  <c r="BO56" i="63"/>
  <c r="CR56" i="63" s="1"/>
  <c r="CA31" i="63"/>
  <c r="DD31" i="63" s="1"/>
  <c r="CA64" i="63"/>
  <c r="DD64" i="63" s="1"/>
  <c r="CA62" i="63"/>
  <c r="DD62" i="63" s="1"/>
  <c r="CA23" i="63"/>
  <c r="DD23" i="63" s="1"/>
  <c r="CA107" i="63"/>
  <c r="DD107" i="63" s="1"/>
  <c r="CA85" i="63"/>
  <c r="DD85" i="63" s="1"/>
  <c r="CA90" i="63"/>
  <c r="DD90" i="63" s="1"/>
  <c r="CA105" i="63"/>
  <c r="DD105" i="63" s="1"/>
  <c r="CA109" i="63"/>
  <c r="DD109" i="63" s="1"/>
  <c r="CA61" i="63"/>
  <c r="DD61" i="63" s="1"/>
  <c r="CA91" i="63"/>
  <c r="DD91" i="63" s="1"/>
  <c r="CA100" i="63"/>
  <c r="DD100" i="63" s="1"/>
  <c r="CA67" i="63"/>
  <c r="DD67" i="63" s="1"/>
  <c r="CA41" i="63"/>
  <c r="DD41" i="63" s="1"/>
  <c r="CA59" i="63"/>
  <c r="DD59" i="63" s="1"/>
  <c r="CA17" i="63"/>
  <c r="DD17" i="63" s="1"/>
  <c r="CA34" i="63"/>
  <c r="DD34" i="63" s="1"/>
  <c r="CA52" i="63"/>
  <c r="DD52" i="63" s="1"/>
  <c r="CA26" i="63"/>
  <c r="DD26" i="63" s="1"/>
  <c r="AH31" i="13"/>
  <c r="EL30" i="13"/>
  <c r="EJ30" i="13"/>
  <c r="BB27" i="13"/>
  <c r="E3156" i="55"/>
  <c r="E3152" i="55"/>
  <c r="CC37" i="63"/>
  <c r="DF37" i="63" s="1"/>
  <c r="CC38" i="63"/>
  <c r="DF38" i="63" s="1"/>
  <c r="V30" i="13"/>
  <c r="T30" i="13"/>
  <c r="AH27" i="13"/>
  <c r="F1191" i="55"/>
  <c r="C34" i="48"/>
  <c r="D7759" i="55" s="1"/>
  <c r="B23" i="48"/>
  <c r="BW94" i="63"/>
  <c r="CZ94" i="63" s="1"/>
  <c r="BW104" i="63"/>
  <c r="CZ104" i="63" s="1"/>
  <c r="BW12" i="63"/>
  <c r="CZ12" i="63" s="1"/>
  <c r="BW106" i="63"/>
  <c r="CZ106" i="63" s="1"/>
  <c r="BW29" i="63"/>
  <c r="CZ29" i="63" s="1"/>
  <c r="BW57" i="63"/>
  <c r="CZ57" i="63" s="1"/>
  <c r="BW82" i="63"/>
  <c r="CZ82" i="63" s="1"/>
  <c r="BW50" i="63"/>
  <c r="CZ50" i="63" s="1"/>
  <c r="BW40" i="63"/>
  <c r="CZ40" i="63" s="1"/>
  <c r="BW55" i="63"/>
  <c r="CZ55" i="63" s="1"/>
  <c r="BW112" i="63"/>
  <c r="CZ112" i="63" s="1"/>
  <c r="BW41" i="63"/>
  <c r="CZ41" i="63" s="1"/>
  <c r="BW96" i="63"/>
  <c r="CZ96" i="63" s="1"/>
  <c r="N13" i="52"/>
  <c r="N139" i="52"/>
  <c r="J47" i="13"/>
  <c r="BJ47" i="13" s="1"/>
  <c r="BL47" i="13" s="1"/>
  <c r="X37" i="10"/>
  <c r="BB37" i="13"/>
  <c r="E291" i="55"/>
  <c r="E272" i="55"/>
  <c r="L30" i="47"/>
  <c r="H1668" i="55"/>
  <c r="Y43" i="10"/>
  <c r="K53" i="13"/>
  <c r="H2919" i="55"/>
  <c r="K136" i="52"/>
  <c r="H2918" i="55" s="1"/>
  <c r="CX46" i="13"/>
  <c r="CZ46" i="13" s="1"/>
  <c r="EB46" i="13"/>
  <c r="CN46" i="13"/>
  <c r="M46" i="13"/>
  <c r="EL46" i="13"/>
  <c r="E1456" i="55"/>
  <c r="E1464" i="55"/>
  <c r="E1468" i="55"/>
  <c r="E1460" i="55"/>
  <c r="C2570" i="55"/>
  <c r="C2832" i="55"/>
  <c r="C2203" i="55"/>
  <c r="G12" i="49"/>
  <c r="H2022" i="55" s="1"/>
  <c r="H1665" i="55"/>
  <c r="R17" i="13"/>
  <c r="C5" i="13"/>
  <c r="B96" i="23" s="1"/>
  <c r="P11" i="22" s="1"/>
  <c r="D64" i="49" s="1"/>
  <c r="BR42" i="13"/>
  <c r="BT42" i="13"/>
  <c r="CD47" i="13"/>
  <c r="CF47" i="13" s="1"/>
  <c r="F1893" i="55"/>
  <c r="F1581" i="55"/>
  <c r="F1789" i="55"/>
  <c r="F1945" i="55"/>
  <c r="F1685" i="55"/>
  <c r="E7653" i="55"/>
  <c r="E639" i="55"/>
  <c r="E621" i="55"/>
  <c r="E624" i="55"/>
  <c r="E596" i="55"/>
  <c r="F18" i="62"/>
  <c r="AC33" i="10"/>
  <c r="D40" i="8"/>
  <c r="D20" i="8"/>
  <c r="D123" i="8"/>
  <c r="D609" i="55"/>
  <c r="D678" i="55"/>
  <c r="D667" i="55"/>
  <c r="D705" i="55"/>
  <c r="D612" i="55"/>
  <c r="D683" i="55"/>
  <c r="D660" i="55"/>
  <c r="D684" i="55"/>
  <c r="D565" i="55"/>
  <c r="D610" i="55"/>
  <c r="D632" i="55"/>
  <c r="D637" i="55"/>
  <c r="D666" i="55"/>
  <c r="D716" i="55"/>
  <c r="D585" i="55"/>
  <c r="D665" i="55"/>
  <c r="D2968" i="55"/>
  <c r="D647" i="55"/>
  <c r="D645" i="55"/>
  <c r="D586" i="55"/>
  <c r="D649" i="55"/>
  <c r="D581" i="55"/>
  <c r="D2964" i="55"/>
  <c r="D614" i="55"/>
  <c r="D573" i="55"/>
  <c r="D584" i="55"/>
  <c r="D669" i="55"/>
  <c r="D633" i="55"/>
  <c r="D676" i="55"/>
  <c r="D597" i="55"/>
  <c r="D579" i="55"/>
  <c r="D685" i="55"/>
  <c r="D658" i="55"/>
  <c r="D682" i="55"/>
  <c r="D2959" i="55"/>
  <c r="D704" i="55"/>
  <c r="D670" i="55"/>
  <c r="D644" i="55"/>
  <c r="D595" i="55"/>
  <c r="D708" i="55"/>
  <c r="D594" i="55"/>
  <c r="D717" i="55"/>
  <c r="D703" i="55"/>
  <c r="D2966" i="55"/>
  <c r="D635" i="55"/>
  <c r="D640" i="55"/>
  <c r="D713" i="55"/>
  <c r="D2961" i="55"/>
  <c r="D583" i="55"/>
  <c r="D646" i="55"/>
  <c r="D615" i="55"/>
  <c r="D699" i="55"/>
  <c r="E629" i="55"/>
  <c r="E592" i="55"/>
  <c r="E7655" i="55"/>
  <c r="E631" i="55"/>
  <c r="E627" i="55"/>
  <c r="E589" i="55"/>
  <c r="AB51" i="10"/>
  <c r="Z51" i="10"/>
  <c r="AD51" i="10"/>
  <c r="D69" i="12" s="1"/>
  <c r="G69" i="12" s="1"/>
  <c r="D1438" i="55"/>
  <c r="D1447" i="55"/>
  <c r="D17" i="55"/>
  <c r="D142" i="55"/>
  <c r="D139" i="55"/>
  <c r="F2240" i="55"/>
  <c r="F2281" i="55"/>
  <c r="F2292" i="55"/>
  <c r="F2226" i="55"/>
  <c r="F2290" i="55"/>
  <c r="E7657" i="55"/>
  <c r="E585" i="55"/>
  <c r="E566" i="55"/>
  <c r="E590" i="55"/>
  <c r="E574" i="55"/>
  <c r="D2147" i="55"/>
  <c r="D2266" i="55"/>
  <c r="D2852" i="55"/>
  <c r="D2144" i="55"/>
  <c r="D2732" i="55"/>
  <c r="E1339" i="55"/>
  <c r="E1353" i="55"/>
  <c r="E618" i="55"/>
  <c r="E602" i="55"/>
  <c r="E2961" i="55"/>
  <c r="E569" i="55"/>
  <c r="EX21" i="63"/>
  <c r="E43" i="63"/>
  <c r="F1877" i="55"/>
  <c r="F1773" i="55"/>
  <c r="E607" i="55"/>
  <c r="E623" i="55"/>
  <c r="E601" i="55"/>
  <c r="E626" i="55"/>
  <c r="E613" i="55"/>
  <c r="E7654" i="55"/>
  <c r="E616" i="55"/>
  <c r="E2958" i="55"/>
  <c r="E7650" i="55"/>
  <c r="E630" i="55"/>
  <c r="E582" i="55"/>
  <c r="E611" i="55"/>
  <c r="E599" i="55"/>
  <c r="E583" i="55"/>
  <c r="E571" i="55"/>
  <c r="E2960" i="55"/>
  <c r="E586" i="55"/>
  <c r="E593" i="55"/>
  <c r="E597" i="55"/>
  <c r="E579" i="55"/>
  <c r="E591" i="55"/>
  <c r="E632" i="55"/>
  <c r="E610" i="55"/>
  <c r="E7656" i="55"/>
  <c r="G64" i="13"/>
  <c r="CV64" i="13" s="1"/>
  <c r="CZ64" i="13" s="1"/>
  <c r="X54" i="10"/>
  <c r="V62" i="13"/>
  <c r="EL62" i="13"/>
  <c r="E609" i="55"/>
  <c r="E7651" i="55"/>
  <c r="E577" i="55"/>
  <c r="E620" i="55"/>
  <c r="E612" i="55"/>
  <c r="E2959" i="55"/>
  <c r="E584" i="55"/>
  <c r="E3024" i="55"/>
  <c r="E2293" i="55"/>
  <c r="BP17" i="13"/>
  <c r="C10" i="13"/>
  <c r="B101" i="23" s="1"/>
  <c r="D55" i="55"/>
  <c r="D178" i="55"/>
  <c r="D179" i="55"/>
  <c r="D176" i="55"/>
  <c r="D177" i="55"/>
  <c r="D2207" i="55"/>
  <c r="D2670" i="55"/>
  <c r="D2451" i="55"/>
  <c r="CJ64" i="13"/>
  <c r="CN64" i="13" s="1"/>
  <c r="AL64" i="13"/>
  <c r="AP64" i="13" s="1"/>
  <c r="DD64" i="13"/>
  <c r="DH64" i="13" s="1"/>
  <c r="DN64" i="13"/>
  <c r="DR64" i="13" s="1"/>
  <c r="DX64" i="13"/>
  <c r="EB64" i="13" s="1"/>
  <c r="EH64" i="13"/>
  <c r="EL64" i="13" s="1"/>
  <c r="CT64" i="13"/>
  <c r="CX64" i="13" s="1"/>
  <c r="AV64" i="13"/>
  <c r="AZ64" i="13" s="1"/>
  <c r="E567" i="55"/>
  <c r="E633" i="55"/>
  <c r="E580" i="55"/>
  <c r="E608" i="55"/>
  <c r="E603" i="55"/>
  <c r="E587" i="55"/>
  <c r="E3022" i="55"/>
  <c r="E29" i="52"/>
  <c r="E2698" i="55" s="1"/>
  <c r="E112" i="52"/>
  <c r="E137" i="52"/>
  <c r="EX19" i="63"/>
  <c r="F64" i="62"/>
  <c r="EX49" i="63"/>
  <c r="F32" i="62"/>
  <c r="E51" i="63"/>
  <c r="EX17" i="63"/>
  <c r="E49" i="63"/>
  <c r="E31" i="63"/>
  <c r="EX29" i="63"/>
  <c r="E25" i="63"/>
  <c r="EX63" i="63"/>
  <c r="E65" i="63"/>
  <c r="F36" i="62"/>
  <c r="EX57" i="63"/>
  <c r="EX67" i="63"/>
  <c r="EX15" i="63"/>
  <c r="F24" i="62"/>
  <c r="E15" i="63"/>
  <c r="EX35" i="63"/>
  <c r="F30" i="62"/>
  <c r="E45" i="63"/>
  <c r="F54" i="62"/>
  <c r="E57" i="63"/>
  <c r="EX55" i="63"/>
  <c r="F19" i="62"/>
  <c r="F73" i="62"/>
  <c r="F45" i="62"/>
  <c r="E48" i="63"/>
  <c r="F33" i="62"/>
  <c r="EX24" i="63"/>
  <c r="E44" i="63"/>
  <c r="E36" i="63"/>
  <c r="E24" i="63"/>
  <c r="E18" i="63"/>
  <c r="E34" i="63"/>
  <c r="F43" i="62"/>
  <c r="E46" i="63"/>
  <c r="F71" i="62"/>
  <c r="EX56" i="63"/>
  <c r="EX32" i="63"/>
  <c r="E54" i="63"/>
  <c r="F29" i="62"/>
  <c r="EX26" i="63"/>
  <c r="EX12" i="63"/>
  <c r="EX62" i="63"/>
  <c r="F27" i="62"/>
  <c r="EX40" i="63"/>
  <c r="EX30" i="63"/>
  <c r="F75" i="62"/>
  <c r="F57" i="62"/>
  <c r="EX48" i="63"/>
  <c r="EX42" i="63"/>
  <c r="EX20" i="63"/>
  <c r="E28" i="63"/>
  <c r="AL34" i="13"/>
  <c r="AP34" i="13" s="1"/>
  <c r="AB34" i="13"/>
  <c r="R34" i="13"/>
  <c r="EH34" i="13"/>
  <c r="DN34" i="13"/>
  <c r="DR34" i="13" s="1"/>
  <c r="CJ34" i="13"/>
  <c r="CN34" i="13" s="1"/>
  <c r="DX34" i="13"/>
  <c r="EB34" i="13" s="1"/>
  <c r="BZ34" i="13"/>
  <c r="CD34" i="13" s="1"/>
  <c r="BF34" i="13"/>
  <c r="AV34" i="13"/>
  <c r="BP34" i="13"/>
  <c r="E588" i="55"/>
  <c r="E605" i="55"/>
  <c r="E628" i="55"/>
  <c r="E625" i="55"/>
  <c r="E573" i="55"/>
  <c r="E640" i="55"/>
  <c r="D237" i="55"/>
  <c r="D235" i="55"/>
  <c r="H30" i="13"/>
  <c r="CV30" i="13" s="1"/>
  <c r="CZ30" i="13" s="1"/>
  <c r="Y20" i="10"/>
  <c r="C194" i="24"/>
  <c r="C99" i="24"/>
  <c r="EH43" i="13"/>
  <c r="DX43" i="13"/>
  <c r="CT43" i="13"/>
  <c r="AL43" i="13"/>
  <c r="AB43" i="13"/>
  <c r="R43" i="13"/>
  <c r="V43" i="13" s="1"/>
  <c r="AV43" i="13"/>
  <c r="DD43" i="13"/>
  <c r="CJ43" i="13"/>
  <c r="H38" i="13"/>
  <c r="N38" i="13" s="1"/>
  <c r="Y28" i="10"/>
  <c r="I18" i="51"/>
  <c r="I16" i="51" s="1"/>
  <c r="G16" i="51"/>
  <c r="EL63" i="13"/>
  <c r="H67" i="13"/>
  <c r="CB67" i="13" s="1"/>
  <c r="CF67" i="13" s="1"/>
  <c r="Y57" i="10"/>
  <c r="AC57" i="10" s="1"/>
  <c r="P26" i="23"/>
  <c r="CT57" i="13"/>
  <c r="R57" i="13"/>
  <c r="V57" i="13" s="1"/>
  <c r="AL57" i="13"/>
  <c r="AP57" i="13" s="1"/>
  <c r="AV57" i="13"/>
  <c r="AZ57" i="13" s="1"/>
  <c r="D2921" i="55"/>
  <c r="D2918" i="55"/>
  <c r="D2797" i="55"/>
  <c r="F23" i="8"/>
  <c r="E49" i="53" s="1"/>
  <c r="H2499" i="55" s="1"/>
  <c r="AF35" i="13"/>
  <c r="AD35" i="13"/>
  <c r="AL67" i="13"/>
  <c r="AP67" i="13" s="1"/>
  <c r="DN67" i="13"/>
  <c r="DR67" i="13" s="1"/>
  <c r="T36" i="13"/>
  <c r="X36" i="13" s="1"/>
  <c r="DF36" i="13"/>
  <c r="DJ36" i="13" s="1"/>
  <c r="P68" i="23"/>
  <c r="P70" i="23"/>
  <c r="C1682" i="55"/>
  <c r="C1769" i="55"/>
  <c r="C1714" i="55"/>
  <c r="EB47" i="13"/>
  <c r="ED47" i="13" s="1"/>
  <c r="M43" i="13"/>
  <c r="P57" i="23"/>
  <c r="H251" i="55"/>
  <c r="E38" i="9"/>
  <c r="E36" i="9" s="1"/>
  <c r="N28" i="52"/>
  <c r="CT31" i="13"/>
  <c r="CX31" i="13" s="1"/>
  <c r="A61" i="57"/>
  <c r="C40" i="55"/>
  <c r="C140" i="24"/>
  <c r="E22" i="25" s="1"/>
  <c r="H1056" i="55" s="1"/>
  <c r="DN31" i="13"/>
  <c r="DR31" i="13" s="1"/>
  <c r="BF31" i="13"/>
  <c r="F33" i="8"/>
  <c r="E51" i="53" s="1"/>
  <c r="H2501" i="55" s="1"/>
  <c r="DO126" i="63"/>
  <c r="C215" i="55"/>
  <c r="F18" i="8"/>
  <c r="BF30" i="13"/>
  <c r="DD46" i="13"/>
  <c r="C194" i="55"/>
  <c r="L45" i="47"/>
  <c r="C41" i="24"/>
  <c r="M65" i="13"/>
  <c r="AW116" i="63"/>
  <c r="P17" i="47"/>
  <c r="DB167" i="63"/>
  <c r="C122" i="55"/>
  <c r="C228" i="55"/>
  <c r="N39" i="13"/>
  <c r="C60" i="24"/>
  <c r="BZ55" i="13"/>
  <c r="H3142" i="55"/>
  <c r="C113" i="55"/>
  <c r="C195" i="55"/>
  <c r="N62" i="13"/>
  <c r="N23" i="52"/>
  <c r="F3063" i="55"/>
  <c r="E3083" i="55"/>
  <c r="E3067" i="55"/>
  <c r="E3071" i="55"/>
  <c r="E3072" i="55"/>
  <c r="E3082" i="55"/>
  <c r="E3069" i="55"/>
  <c r="F3077" i="55"/>
  <c r="E3064" i="55"/>
  <c r="E3075" i="55"/>
  <c r="E3081" i="55"/>
  <c r="E3076" i="55"/>
  <c r="E3066" i="55"/>
  <c r="E3068" i="55"/>
  <c r="E3074" i="55"/>
  <c r="E3070" i="55"/>
  <c r="E3065" i="55"/>
  <c r="E3080" i="55"/>
  <c r="E3063" i="55"/>
  <c r="F3070" i="55"/>
  <c r="E3079" i="55"/>
  <c r="E3073" i="55"/>
  <c r="D79" i="57"/>
  <c r="H3147" i="55" s="1"/>
  <c r="C3076" i="55"/>
  <c r="C3106" i="55"/>
  <c r="C3103" i="55"/>
  <c r="C996" i="55"/>
  <c r="C995" i="55"/>
  <c r="C997" i="55"/>
  <c r="C994" i="55"/>
  <c r="C993" i="55"/>
  <c r="C999" i="55"/>
  <c r="C998" i="55"/>
  <c r="H13" i="22"/>
  <c r="G56" i="49" s="1"/>
  <c r="D998" i="55"/>
  <c r="D999" i="55"/>
  <c r="G64" i="49"/>
  <c r="D2023" i="55"/>
  <c r="D2029" i="55"/>
  <c r="D2022" i="55"/>
  <c r="E2029" i="55"/>
  <c r="D2025" i="55"/>
  <c r="D2032" i="55"/>
  <c r="E116" i="49"/>
  <c r="E2056" i="55"/>
  <c r="E2039" i="55"/>
  <c r="C2072" i="55"/>
  <c r="C2043" i="55"/>
  <c r="C2038" i="55"/>
  <c r="C2026" i="55"/>
  <c r="C2064" i="55"/>
  <c r="D2020" i="55"/>
  <c r="E2030" i="55"/>
  <c r="D2024" i="55"/>
  <c r="J26" i="49"/>
  <c r="H2059" i="55" s="1"/>
  <c r="D2033" i="55"/>
  <c r="D2021" i="55"/>
  <c r="D2036" i="55"/>
  <c r="D2045" i="55"/>
  <c r="C2061" i="55"/>
  <c r="C2067" i="55"/>
  <c r="C2095" i="55"/>
  <c r="D2034" i="55"/>
  <c r="D2030" i="55"/>
  <c r="D2049" i="55"/>
  <c r="D2039" i="55"/>
  <c r="C2039" i="55"/>
  <c r="C2068" i="55"/>
  <c r="C2066" i="55"/>
  <c r="C2071" i="55"/>
  <c r="C2059" i="55"/>
  <c r="D2031" i="55"/>
  <c r="D2050" i="55"/>
  <c r="D2043" i="55"/>
  <c r="C2019" i="55"/>
  <c r="C2024" i="55"/>
  <c r="C2082" i="55"/>
  <c r="C2020" i="55"/>
  <c r="C2023" i="55"/>
  <c r="D2026" i="55"/>
  <c r="D2069" i="55"/>
  <c r="D2064" i="55"/>
  <c r="D2056" i="55"/>
  <c r="D2065" i="55"/>
  <c r="E2040" i="55"/>
  <c r="D2066" i="55"/>
  <c r="D2067" i="55"/>
  <c r="D2090" i="55"/>
  <c r="D2057" i="55"/>
  <c r="D2071" i="55"/>
  <c r="D2087" i="55"/>
  <c r="D2058" i="55"/>
  <c r="D2055" i="55"/>
  <c r="D2091" i="55"/>
  <c r="D2072" i="55"/>
  <c r="D2059" i="55"/>
  <c r="D2089" i="55"/>
  <c r="D2063" i="55"/>
  <c r="E2043" i="55"/>
  <c r="D2054" i="55"/>
  <c r="D2085" i="55"/>
  <c r="D2074" i="55"/>
  <c r="D2088" i="55"/>
  <c r="D2061" i="55"/>
  <c r="R75" i="47"/>
  <c r="H1808" i="55" s="1"/>
  <c r="H90" i="57"/>
  <c r="H92" i="57" s="1"/>
  <c r="H3174" i="55" s="1"/>
  <c r="E90" i="57"/>
  <c r="E92" i="57" s="1"/>
  <c r="H3162" i="55" s="1"/>
  <c r="C92" i="57"/>
  <c r="H3154" i="55" s="1"/>
  <c r="F90" i="57"/>
  <c r="H3164" i="55" s="1"/>
  <c r="G90" i="57"/>
  <c r="G92" i="57" s="1"/>
  <c r="H3170" i="55" s="1"/>
  <c r="H3152" i="55"/>
  <c r="E2021" i="55"/>
  <c r="R140" i="47"/>
  <c r="R144" i="47" s="1"/>
  <c r="R80" i="47" s="1"/>
  <c r="H1812" i="55" s="1"/>
  <c r="P134" i="47"/>
  <c r="P135" i="47" s="1"/>
  <c r="P136" i="47" s="1"/>
  <c r="H1886" i="55"/>
  <c r="P35" i="47"/>
  <c r="H7769" i="55" s="1"/>
  <c r="H1894" i="55"/>
  <c r="C54" i="57"/>
  <c r="H3194" i="55" s="1"/>
  <c r="P45" i="47"/>
  <c r="H7775" i="55" s="1"/>
  <c r="G13" i="49"/>
  <c r="H2023" i="55" s="1"/>
  <c r="H30" i="47"/>
  <c r="DM128" i="63"/>
  <c r="DM143" i="63" s="1"/>
  <c r="CW128" i="63"/>
  <c r="CW143" i="63" s="1"/>
  <c r="DE128" i="63"/>
  <c r="DE144" i="63" s="1"/>
  <c r="DB143" i="63"/>
  <c r="CO128" i="63"/>
  <c r="CY143" i="63"/>
  <c r="DC143" i="63"/>
  <c r="DN143" i="63"/>
  <c r="DN144" i="63"/>
  <c r="CZ143" i="63"/>
  <c r="CZ144" i="63"/>
  <c r="CT144" i="63"/>
  <c r="CT143" i="63"/>
  <c r="DF143" i="63"/>
  <c r="DF144" i="63"/>
  <c r="BH116" i="63"/>
  <c r="AZ116" i="63"/>
  <c r="AR116" i="63"/>
  <c r="AJ116" i="63"/>
  <c r="BB116" i="63"/>
  <c r="AT116" i="63"/>
  <c r="AL116" i="63"/>
  <c r="AV116" i="63"/>
  <c r="AN116" i="63"/>
  <c r="AX116" i="63"/>
  <c r="AP116" i="63"/>
  <c r="BS102" i="63"/>
  <c r="CV102" i="63" s="1"/>
  <c r="BS33" i="63"/>
  <c r="CV33" i="63" s="1"/>
  <c r="BS50" i="63"/>
  <c r="CV50" i="63" s="1"/>
  <c r="BS12" i="63"/>
  <c r="CV12" i="63" s="1"/>
  <c r="BS44" i="63"/>
  <c r="CV44" i="63" s="1"/>
  <c r="BS108" i="63"/>
  <c r="CV108" i="63" s="1"/>
  <c r="BS36" i="63"/>
  <c r="CV36" i="63" s="1"/>
  <c r="BS52" i="63"/>
  <c r="CV52" i="63" s="1"/>
  <c r="BS89" i="63"/>
  <c r="CV89" i="63" s="1"/>
  <c r="BS18" i="63"/>
  <c r="CV18" i="63" s="1"/>
  <c r="BS93" i="63"/>
  <c r="CV93" i="63" s="1"/>
  <c r="BS28" i="63"/>
  <c r="CV28" i="63" s="1"/>
  <c r="BS111" i="63"/>
  <c r="CV111" i="63" s="1"/>
  <c r="BS67" i="63"/>
  <c r="CV67" i="63" s="1"/>
  <c r="BS83" i="63"/>
  <c r="CV83" i="63" s="1"/>
  <c r="BS101" i="63"/>
  <c r="CV101" i="63" s="1"/>
  <c r="BS30" i="63"/>
  <c r="CV30" i="63" s="1"/>
  <c r="BS49" i="63"/>
  <c r="CV49" i="63" s="1"/>
  <c r="BS85" i="63"/>
  <c r="CV85" i="63" s="1"/>
  <c r="BS42" i="63"/>
  <c r="CV42" i="63" s="1"/>
  <c r="BS110" i="63"/>
  <c r="CV110" i="63" s="1"/>
  <c r="BS22" i="63"/>
  <c r="CV22" i="63" s="1"/>
  <c r="BS63" i="63"/>
  <c r="CV63" i="63" s="1"/>
  <c r="BS61" i="63"/>
  <c r="CV61" i="63" s="1"/>
  <c r="BS113" i="63"/>
  <c r="CV113" i="63" s="1"/>
  <c r="BS15" i="63"/>
  <c r="CV15" i="63" s="1"/>
  <c r="BS69" i="63"/>
  <c r="CV69" i="63" s="1"/>
  <c r="BS35" i="63"/>
  <c r="CV35" i="63" s="1"/>
  <c r="BS90" i="63"/>
  <c r="CV90" i="63" s="1"/>
  <c r="BS109" i="63"/>
  <c r="CV109" i="63" s="1"/>
  <c r="BS34" i="63"/>
  <c r="CV34" i="63" s="1"/>
  <c r="BS100" i="63"/>
  <c r="CV100" i="63" s="1"/>
  <c r="BS86" i="63"/>
  <c r="CV86" i="63" s="1"/>
  <c r="BS81" i="63"/>
  <c r="CV81" i="63" s="1"/>
  <c r="BS40" i="63"/>
  <c r="CV40" i="63" s="1"/>
  <c r="BS60" i="63"/>
  <c r="CV60" i="63" s="1"/>
  <c r="BS41" i="63"/>
  <c r="CV41" i="63" s="1"/>
  <c r="BS19" i="63"/>
  <c r="CV19" i="63" s="1"/>
  <c r="BS53" i="63"/>
  <c r="CV53" i="63" s="1"/>
  <c r="BS59" i="63"/>
  <c r="CV59" i="63" s="1"/>
  <c r="BS37" i="63"/>
  <c r="CV37" i="63" s="1"/>
  <c r="BS98" i="63"/>
  <c r="CV98" i="63" s="1"/>
  <c r="BS46" i="63"/>
  <c r="CV46" i="63" s="1"/>
  <c r="BS87" i="63"/>
  <c r="CV87" i="63" s="1"/>
  <c r="BS107" i="63"/>
  <c r="CV107" i="63" s="1"/>
  <c r="BS58" i="63"/>
  <c r="CV58" i="63" s="1"/>
  <c r="BS23" i="63"/>
  <c r="CV23" i="63" s="1"/>
  <c r="BS11" i="63"/>
  <c r="CV11" i="63" s="1"/>
  <c r="BS66" i="63"/>
  <c r="CV66" i="63" s="1"/>
  <c r="BS104" i="63"/>
  <c r="CV104" i="63" s="1"/>
  <c r="BS99" i="63"/>
  <c r="CV99" i="63" s="1"/>
  <c r="BS51" i="63"/>
  <c r="CV51" i="63" s="1"/>
  <c r="BS31" i="63"/>
  <c r="CV31" i="63" s="1"/>
  <c r="BS92" i="63"/>
  <c r="CV92" i="63" s="1"/>
  <c r="BS48" i="63"/>
  <c r="CV48" i="63" s="1"/>
  <c r="BS68" i="63"/>
  <c r="CV68" i="63" s="1"/>
  <c r="BS64" i="63"/>
  <c r="CV64" i="63" s="1"/>
  <c r="BS65" i="63"/>
  <c r="CV65" i="63" s="1"/>
  <c r="BS57" i="63"/>
  <c r="CV57" i="63" s="1"/>
  <c r="BS105" i="63"/>
  <c r="CV105" i="63" s="1"/>
  <c r="BS14" i="63"/>
  <c r="CV14" i="63" s="1"/>
  <c r="BS55" i="63"/>
  <c r="CV55" i="63" s="1"/>
  <c r="BS97" i="63"/>
  <c r="CV97" i="63" s="1"/>
  <c r="BS106" i="63"/>
  <c r="CV106" i="63" s="1"/>
  <c r="BS45" i="63"/>
  <c r="CV45" i="63" s="1"/>
  <c r="BS24" i="63"/>
  <c r="CV24" i="63" s="1"/>
  <c r="BS27" i="63"/>
  <c r="CV27" i="63" s="1"/>
  <c r="BS47" i="63"/>
  <c r="CV47" i="63" s="1"/>
  <c r="BS56" i="63"/>
  <c r="CV56" i="63" s="1"/>
  <c r="H5049" i="55"/>
  <c r="CB63" i="63"/>
  <c r="DE63" i="63" s="1"/>
  <c r="CB95" i="63"/>
  <c r="DE95" i="63" s="1"/>
  <c r="CB83" i="63"/>
  <c r="DE83" i="63" s="1"/>
  <c r="H5056" i="55"/>
  <c r="CI69" i="63"/>
  <c r="DL69" i="63" s="1"/>
  <c r="CI81" i="63"/>
  <c r="DL81" i="63" s="1"/>
  <c r="CI44" i="63"/>
  <c r="DL44" i="63" s="1"/>
  <c r="CI46" i="63"/>
  <c r="DL46" i="63" s="1"/>
  <c r="CI66" i="63"/>
  <c r="DL66" i="63" s="1"/>
  <c r="CI27" i="63"/>
  <c r="DL27" i="63" s="1"/>
  <c r="CI24" i="63"/>
  <c r="DL24" i="63" s="1"/>
  <c r="DO152" i="63"/>
  <c r="CR167" i="63"/>
  <c r="CF61" i="63"/>
  <c r="DI61" i="63" s="1"/>
  <c r="CF24" i="63"/>
  <c r="DI24" i="63" s="1"/>
  <c r="CF93" i="63"/>
  <c r="DI93" i="63" s="1"/>
  <c r="BP44" i="63"/>
  <c r="CS44" i="63" s="1"/>
  <c r="BV30" i="63"/>
  <c r="CY30" i="63" s="1"/>
  <c r="BV91" i="63"/>
  <c r="CY91" i="63" s="1"/>
  <c r="BV106" i="63"/>
  <c r="CY106" i="63" s="1"/>
  <c r="BV26" i="63"/>
  <c r="CY26" i="63" s="1"/>
  <c r="BV61" i="63"/>
  <c r="CY61" i="63" s="1"/>
  <c r="BV49" i="63"/>
  <c r="CY49" i="63" s="1"/>
  <c r="BV67" i="63"/>
  <c r="CY67" i="63" s="1"/>
  <c r="BV27" i="63"/>
  <c r="CY27" i="63" s="1"/>
  <c r="BV39" i="63"/>
  <c r="CY39" i="63" s="1"/>
  <c r="BV100" i="63"/>
  <c r="CY100" i="63" s="1"/>
  <c r="BV54" i="63"/>
  <c r="CY54" i="63" s="1"/>
  <c r="BV63" i="63"/>
  <c r="CY63" i="63" s="1"/>
  <c r="BV25" i="63"/>
  <c r="CY25" i="63" s="1"/>
  <c r="BV60" i="63"/>
  <c r="CY60" i="63" s="1"/>
  <c r="BV99" i="63"/>
  <c r="CY99" i="63" s="1"/>
  <c r="BV70" i="63"/>
  <c r="CY70" i="63" s="1"/>
  <c r="BV37" i="63"/>
  <c r="CY37" i="63" s="1"/>
  <c r="BV32" i="63"/>
  <c r="CY32" i="63" s="1"/>
  <c r="BV44" i="63"/>
  <c r="CY44" i="63" s="1"/>
  <c r="BV36" i="63"/>
  <c r="CY36" i="63" s="1"/>
  <c r="BV90" i="63"/>
  <c r="CY90" i="63" s="1"/>
  <c r="BV18" i="63"/>
  <c r="CY18" i="63" s="1"/>
  <c r="BV17" i="63"/>
  <c r="CY17" i="63" s="1"/>
  <c r="BV58" i="63"/>
  <c r="CY58" i="63" s="1"/>
  <c r="BV88" i="63"/>
  <c r="CY88" i="63" s="1"/>
  <c r="BV93" i="63"/>
  <c r="CY93" i="63" s="1"/>
  <c r="BV40" i="63"/>
  <c r="CY40" i="63" s="1"/>
  <c r="BV43" i="63"/>
  <c r="CY43" i="63" s="1"/>
  <c r="BV47" i="63"/>
  <c r="CY47" i="63" s="1"/>
  <c r="BV53" i="63"/>
  <c r="CY53" i="63" s="1"/>
  <c r="BV105" i="63"/>
  <c r="CY105" i="63" s="1"/>
  <c r="BV69" i="63"/>
  <c r="CY69" i="63" s="1"/>
  <c r="BV34" i="63"/>
  <c r="CY34" i="63" s="1"/>
  <c r="BV87" i="63"/>
  <c r="CY87" i="63" s="1"/>
  <c r="BV55" i="63"/>
  <c r="CY55" i="63" s="1"/>
  <c r="BV56" i="63"/>
  <c r="CY56" i="63" s="1"/>
  <c r="BV98" i="63"/>
  <c r="CY98" i="63" s="1"/>
  <c r="BV57" i="63"/>
  <c r="CY57" i="63" s="1"/>
  <c r="BV84" i="63"/>
  <c r="CY84" i="63" s="1"/>
  <c r="BV59" i="63"/>
  <c r="CY59" i="63" s="1"/>
  <c r="BV109" i="63"/>
  <c r="CY109" i="63" s="1"/>
  <c r="BV24" i="63"/>
  <c r="CY24" i="63" s="1"/>
  <c r="BV101" i="63"/>
  <c r="CY101" i="63" s="1"/>
  <c r="BV111" i="63"/>
  <c r="CY111" i="63" s="1"/>
  <c r="BV50" i="63"/>
  <c r="CY50" i="63" s="1"/>
  <c r="BV45" i="63"/>
  <c r="CY45" i="63" s="1"/>
  <c r="BV13" i="63"/>
  <c r="CY13" i="63" s="1"/>
  <c r="BV31" i="63"/>
  <c r="CY31" i="63" s="1"/>
  <c r="BV103" i="63"/>
  <c r="CY103" i="63" s="1"/>
  <c r="BV96" i="63"/>
  <c r="CY96" i="63" s="1"/>
  <c r="BV104" i="63"/>
  <c r="CY104" i="63" s="1"/>
  <c r="BV20" i="63"/>
  <c r="CY20" i="63" s="1"/>
  <c r="BV95" i="63"/>
  <c r="CY95" i="63" s="1"/>
  <c r="BV113" i="63"/>
  <c r="CY113" i="63" s="1"/>
  <c r="BV81" i="63"/>
  <c r="CY81" i="63" s="1"/>
  <c r="BV92" i="63"/>
  <c r="CY92" i="63" s="1"/>
  <c r="BV108" i="63"/>
  <c r="CY108" i="63" s="1"/>
  <c r="BZ12" i="63"/>
  <c r="DC12" i="63" s="1"/>
  <c r="BZ20" i="63"/>
  <c r="DC20" i="63" s="1"/>
  <c r="N51" i="13"/>
  <c r="AN51" i="13"/>
  <c r="AR51" i="13" s="1"/>
  <c r="N33" i="13"/>
  <c r="CV33" i="13"/>
  <c r="CZ33" i="13" s="1"/>
  <c r="CL33" i="13"/>
  <c r="CP33" i="13" s="1"/>
  <c r="AN33" i="13"/>
  <c r="AR33" i="13" s="1"/>
  <c r="DP33" i="13"/>
  <c r="DT33" i="13" s="1"/>
  <c r="BH64" i="13"/>
  <c r="BL64" i="13" s="1"/>
  <c r="T64" i="13"/>
  <c r="X64" i="13" s="1"/>
  <c r="CL64" i="13"/>
  <c r="CP64" i="13" s="1"/>
  <c r="BH56" i="13"/>
  <c r="BL56" i="13" s="1"/>
  <c r="BR56" i="13"/>
  <c r="BV56" i="13" s="1"/>
  <c r="AX56" i="13"/>
  <c r="BB56" i="13" s="1"/>
  <c r="CL56" i="13"/>
  <c r="CP56" i="13" s="1"/>
  <c r="DZ56" i="13"/>
  <c r="ED56" i="13" s="1"/>
  <c r="DF56" i="13"/>
  <c r="DJ56" i="13" s="1"/>
  <c r="CV56" i="13"/>
  <c r="CZ56" i="13" s="1"/>
  <c r="AN56" i="13"/>
  <c r="M56" i="13"/>
  <c r="DP56" i="13"/>
  <c r="DT56" i="13" s="1"/>
  <c r="AD56" i="13"/>
  <c r="AH56" i="13" s="1"/>
  <c r="EJ56" i="13"/>
  <c r="EN56" i="13" s="1"/>
  <c r="CB56" i="13"/>
  <c r="CF56" i="13" s="1"/>
  <c r="T56" i="13"/>
  <c r="X56" i="13" s="1"/>
  <c r="EJ49" i="13"/>
  <c r="EN49" i="13" s="1"/>
  <c r="N63" i="13"/>
  <c r="DP63" i="13"/>
  <c r="DT63" i="13" s="1"/>
  <c r="DZ63" i="13"/>
  <c r="ED63" i="13" s="1"/>
  <c r="EJ63" i="13"/>
  <c r="EN63" i="13" s="1"/>
  <c r="CL63" i="13"/>
  <c r="CP63" i="13" s="1"/>
  <c r="BR63" i="13"/>
  <c r="BV63" i="13" s="1"/>
  <c r="AN63" i="13"/>
  <c r="AR63" i="13" s="1"/>
  <c r="AX63" i="13"/>
  <c r="BB63" i="13" s="1"/>
  <c r="CV55" i="13"/>
  <c r="CZ55" i="13" s="1"/>
  <c r="AD55" i="13"/>
  <c r="AH55" i="13" s="1"/>
  <c r="DP55" i="13"/>
  <c r="DT55" i="13" s="1"/>
  <c r="M55" i="13"/>
  <c r="EJ55" i="13"/>
  <c r="EN55" i="13" s="1"/>
  <c r="DZ55" i="13"/>
  <c r="ED55" i="13" s="1"/>
  <c r="DF55" i="13"/>
  <c r="DJ55" i="13" s="1"/>
  <c r="T55" i="13"/>
  <c r="X55" i="13" s="1"/>
  <c r="DF32" i="13"/>
  <c r="DJ32" i="13" s="1"/>
  <c r="M32" i="13"/>
  <c r="AN48" i="13"/>
  <c r="AR48" i="13" s="1"/>
  <c r="BR48" i="13"/>
  <c r="BV48" i="13" s="1"/>
  <c r="N48" i="13"/>
  <c r="CV60" i="13"/>
  <c r="CZ60" i="13" s="1"/>
  <c r="M60" i="13"/>
  <c r="AN47" i="13"/>
  <c r="AR47" i="13" s="1"/>
  <c r="BR47" i="13"/>
  <c r="BV47" i="13" s="1"/>
  <c r="N47" i="13"/>
  <c r="N41" i="13"/>
  <c r="AN41" i="13"/>
  <c r="AR41" i="13" s="1"/>
  <c r="DZ62" i="13"/>
  <c r="ED62" i="13" s="1"/>
  <c r="CL62" i="13"/>
  <c r="CP62" i="13" s="1"/>
  <c r="DF62" i="13"/>
  <c r="DJ62" i="13" s="1"/>
  <c r="DP62" i="13"/>
  <c r="DT62" i="13" s="1"/>
  <c r="CB62" i="13"/>
  <c r="CF62" i="13" s="1"/>
  <c r="BH62" i="13"/>
  <c r="BL62" i="13" s="1"/>
  <c r="AX62" i="13"/>
  <c r="BB62" i="13" s="1"/>
  <c r="AD62" i="13"/>
  <c r="AH62" i="13" s="1"/>
  <c r="BR62" i="13"/>
  <c r="BV62" i="13" s="1"/>
  <c r="CV62" i="13"/>
  <c r="AN62" i="13"/>
  <c r="AR62" i="13" s="1"/>
  <c r="M62" i="13"/>
  <c r="EJ62" i="13"/>
  <c r="T62" i="13"/>
  <c r="AX55" i="13"/>
  <c r="BH55" i="13"/>
  <c r="BR55" i="13"/>
  <c r="AN55" i="13"/>
  <c r="CL55" i="13"/>
  <c r="BH67" i="13"/>
  <c r="BL67" i="13" s="1"/>
  <c r="N67" i="13"/>
  <c r="CL61" i="13"/>
  <c r="CP61" i="13" s="1"/>
  <c r="N61" i="13"/>
  <c r="EJ61" i="13"/>
  <c r="EN61" i="13" s="1"/>
  <c r="BH61" i="13"/>
  <c r="BL61" i="13" s="1"/>
  <c r="BR61" i="13"/>
  <c r="BV61" i="13" s="1"/>
  <c r="DP61" i="13"/>
  <c r="DT61" i="13" s="1"/>
  <c r="AN61" i="13"/>
  <c r="AR61" i="13" s="1"/>
  <c r="DZ61" i="13"/>
  <c r="ED61" i="13" s="1"/>
  <c r="DF67" i="13"/>
  <c r="DJ67" i="13" s="1"/>
  <c r="CV67" i="13"/>
  <c r="CZ67" i="13" s="1"/>
  <c r="T67" i="13"/>
  <c r="X67" i="13" s="1"/>
  <c r="M67" i="13"/>
  <c r="AN60" i="13"/>
  <c r="AR60" i="13" s="1"/>
  <c r="EJ60" i="13"/>
  <c r="EN60" i="13" s="1"/>
  <c r="BR60" i="13"/>
  <c r="BV60" i="13" s="1"/>
  <c r="N60" i="13"/>
  <c r="BH60" i="13"/>
  <c r="BL60" i="13" s="1"/>
  <c r="DP60" i="13"/>
  <c r="DT60" i="13" s="1"/>
  <c r="DZ60" i="13"/>
  <c r="ED60" i="13" s="1"/>
  <c r="N52" i="13"/>
  <c r="BH52" i="13"/>
  <c r="BL52" i="13" s="1"/>
  <c r="DZ52" i="13"/>
  <c r="ED52" i="13" s="1"/>
  <c r="DP52" i="13"/>
  <c r="DT52" i="13" s="1"/>
  <c r="BR52" i="13"/>
  <c r="BV52" i="13" s="1"/>
  <c r="CB52" i="13"/>
  <c r="CF52" i="13" s="1"/>
  <c r="M64" i="13"/>
  <c r="AD64" i="13"/>
  <c r="AH64" i="13" s="1"/>
  <c r="DF64" i="13"/>
  <c r="DJ64" i="13" s="1"/>
  <c r="BR59" i="13"/>
  <c r="BV59" i="13" s="1"/>
  <c r="CL59" i="13"/>
  <c r="CP59" i="13" s="1"/>
  <c r="DP59" i="13"/>
  <c r="DT59" i="13" s="1"/>
  <c r="BH59" i="13"/>
  <c r="BL59" i="13" s="1"/>
  <c r="N59" i="13"/>
  <c r="AX59" i="13"/>
  <c r="BB59" i="13" s="1"/>
  <c r="EJ59" i="13"/>
  <c r="EN59" i="13" s="1"/>
  <c r="CB59" i="13"/>
  <c r="CF59" i="13" s="1"/>
  <c r="AN59" i="13"/>
  <c r="AR59" i="13" s="1"/>
  <c r="DZ59" i="13"/>
  <c r="ED59" i="13" s="1"/>
  <c r="T59" i="13"/>
  <c r="X59" i="13" s="1"/>
  <c r="DZ42" i="13"/>
  <c r="ED42" i="13" s="1"/>
  <c r="T42" i="13"/>
  <c r="X42" i="13" s="1"/>
  <c r="M42" i="13"/>
  <c r="CB42" i="13"/>
  <c r="CF42" i="13" s="1"/>
  <c r="EJ42" i="13"/>
  <c r="EN42" i="13" s="1"/>
  <c r="AD42" i="13"/>
  <c r="AH42" i="13" s="1"/>
  <c r="DF42" i="13"/>
  <c r="DJ42" i="13" s="1"/>
  <c r="CL42" i="13"/>
  <c r="CP42" i="13" s="1"/>
  <c r="CV42" i="13"/>
  <c r="CZ42" i="13" s="1"/>
  <c r="DP42" i="13"/>
  <c r="DT42" i="13" s="1"/>
  <c r="BH42" i="13"/>
  <c r="BL42" i="13" s="1"/>
  <c r="M29" i="13"/>
  <c r="N34" i="13"/>
  <c r="CV34" i="13"/>
  <c r="CZ34" i="13" s="1"/>
  <c r="DP34" i="13"/>
  <c r="DT34" i="13" s="1"/>
  <c r="CB34" i="13"/>
  <c r="CF34" i="13" s="1"/>
  <c r="CL31" i="13"/>
  <c r="DZ31" i="13"/>
  <c r="CB31" i="13"/>
  <c r="N31" i="13"/>
  <c r="AN31" i="13"/>
  <c r="N58" i="13"/>
  <c r="CL58" i="13"/>
  <c r="CP58" i="13" s="1"/>
  <c r="BR58" i="13"/>
  <c r="DZ58" i="13"/>
  <c r="ED58" i="13" s="1"/>
  <c r="AN58" i="13"/>
  <c r="EJ58" i="13"/>
  <c r="EN58" i="13" s="1"/>
  <c r="BH41" i="13"/>
  <c r="BL41" i="13" s="1"/>
  <c r="CB41" i="13"/>
  <c r="CF41" i="13" s="1"/>
  <c r="DF41" i="13"/>
  <c r="DJ41" i="13" s="1"/>
  <c r="AX41" i="13"/>
  <c r="BB41" i="13" s="1"/>
  <c r="CV41" i="13"/>
  <c r="CZ41" i="13" s="1"/>
  <c r="T41" i="13"/>
  <c r="X41" i="13" s="1"/>
  <c r="DZ41" i="13"/>
  <c r="ED41" i="13" s="1"/>
  <c r="M41" i="13"/>
  <c r="EJ41" i="13"/>
  <c r="EN41" i="13" s="1"/>
  <c r="AD41" i="13"/>
  <c r="AH41" i="13" s="1"/>
  <c r="N57" i="13"/>
  <c r="BR57" i="13"/>
  <c r="DZ57" i="13"/>
  <c r="CL57" i="13"/>
  <c r="EJ57" i="13"/>
  <c r="AB17" i="10"/>
  <c r="AD17" i="10"/>
  <c r="D35" i="12" s="1"/>
  <c r="G35" i="12" s="1"/>
  <c r="Z17" i="10"/>
  <c r="E64" i="53"/>
  <c r="H2514" i="55" s="1"/>
  <c r="F67" i="8"/>
  <c r="E57" i="53"/>
  <c r="H2507" i="55" s="1"/>
  <c r="K116" i="8"/>
  <c r="K57" i="8"/>
  <c r="K90" i="8"/>
  <c r="K74" i="8"/>
  <c r="K121" i="8"/>
  <c r="K111" i="8"/>
  <c r="F17" i="48"/>
  <c r="K130" i="8"/>
  <c r="K43" i="8"/>
  <c r="K62" i="8"/>
  <c r="K126" i="8"/>
  <c r="K33" i="8"/>
  <c r="K18" i="8"/>
  <c r="K53" i="8"/>
  <c r="K69" i="8"/>
  <c r="K13" i="8"/>
  <c r="H188" i="55"/>
  <c r="K106" i="8"/>
  <c r="E17" i="48"/>
  <c r="K67" i="8"/>
  <c r="K90" i="49"/>
  <c r="H2085" i="55" s="1"/>
  <c r="N138" i="52"/>
  <c r="F137" i="8"/>
  <c r="F136" i="8" s="1"/>
  <c r="D2470" i="55"/>
  <c r="D92" i="57"/>
  <c r="H3156" i="55"/>
  <c r="E3165" i="55"/>
  <c r="E3161" i="55"/>
  <c r="E3173" i="55"/>
  <c r="E3169" i="55"/>
  <c r="E3157" i="55"/>
  <c r="F1505" i="55"/>
  <c r="E1992" i="55"/>
  <c r="E2786" i="55"/>
  <c r="E2201" i="55"/>
  <c r="E1003" i="55"/>
  <c r="K11" i="22"/>
  <c r="D59" i="49" s="1"/>
  <c r="E1027" i="55"/>
  <c r="E1481" i="55"/>
  <c r="E1477" i="55"/>
  <c r="E1489" i="55"/>
  <c r="E1497" i="55"/>
  <c r="E1493" i="55"/>
  <c r="E1558" i="55"/>
  <c r="E1551" i="55"/>
  <c r="E1514" i="55"/>
  <c r="E1529" i="55"/>
  <c r="E1553" i="55"/>
  <c r="E1541" i="55"/>
  <c r="E1548" i="55"/>
  <c r="E1520" i="55"/>
  <c r="E1512" i="55"/>
  <c r="E1516" i="55"/>
  <c r="E1556" i="55"/>
  <c r="E1535" i="55"/>
  <c r="E1531" i="55"/>
  <c r="E1533" i="55"/>
  <c r="F97" i="47"/>
  <c r="E1510" i="55"/>
  <c r="C99" i="47"/>
  <c r="E1542" i="55"/>
  <c r="E1515" i="55"/>
  <c r="E1522" i="55"/>
  <c r="E1547" i="55"/>
  <c r="E1550" i="55"/>
  <c r="E1543" i="55"/>
  <c r="E1509" i="55"/>
  <c r="E1528" i="55"/>
  <c r="E1540" i="55"/>
  <c r="E1519" i="55"/>
  <c r="E1527" i="55"/>
  <c r="E1545" i="55"/>
  <c r="E1546" i="55"/>
  <c r="E1526" i="55"/>
  <c r="E1523" i="55"/>
  <c r="E1521" i="55"/>
  <c r="E1538" i="55"/>
  <c r="E1555" i="55"/>
  <c r="E1518" i="55"/>
  <c r="E1525" i="55"/>
  <c r="E1530" i="55"/>
  <c r="R13" i="10"/>
  <c r="I13" i="10"/>
  <c r="X13" i="10"/>
  <c r="L13" i="10"/>
  <c r="U13" i="10"/>
  <c r="AB13" i="10"/>
  <c r="D2193" i="55"/>
  <c r="D2779" i="55"/>
  <c r="D2778" i="55"/>
  <c r="D2902" i="55"/>
  <c r="D2780" i="55"/>
  <c r="D2901" i="55"/>
  <c r="D2657" i="55"/>
  <c r="D2900" i="55"/>
  <c r="D2656" i="55"/>
  <c r="D2318" i="55"/>
  <c r="D2317" i="55"/>
  <c r="D2781" i="55"/>
  <c r="D2194" i="55"/>
  <c r="D2437" i="55"/>
  <c r="D2659" i="55"/>
  <c r="D2903" i="55"/>
  <c r="D2195" i="55"/>
  <c r="D2315" i="55"/>
  <c r="D2438" i="55"/>
  <c r="D2439" i="55"/>
  <c r="D2196" i="55"/>
  <c r="D2658" i="55"/>
  <c r="D157" i="55"/>
  <c r="D33" i="55"/>
  <c r="D32" i="55"/>
  <c r="D155" i="55"/>
  <c r="D35" i="55"/>
  <c r="D154" i="55"/>
  <c r="D34" i="55"/>
  <c r="E1524" i="55"/>
  <c r="F1201" i="55"/>
  <c r="F1204" i="55"/>
  <c r="F1202" i="55"/>
  <c r="F1200" i="55"/>
  <c r="F1203" i="55"/>
  <c r="D2516" i="55"/>
  <c r="D2504" i="55"/>
  <c r="D2491" i="55"/>
  <c r="D2464" i="55"/>
  <c r="D2488" i="55"/>
  <c r="D2472" i="55"/>
  <c r="D2484" i="55"/>
  <c r="D2477" i="55"/>
  <c r="D2479" i="55"/>
  <c r="D2511" i="55"/>
  <c r="D2475" i="55"/>
  <c r="D2489" i="55"/>
  <c r="D2505" i="55"/>
  <c r="D2509" i="55"/>
  <c r="D2476" i="55"/>
  <c r="D2512" i="55"/>
  <c r="D2468" i="55"/>
  <c r="D2497" i="55"/>
  <c r="D2466" i="55"/>
  <c r="D2500" i="55"/>
  <c r="D2490" i="55"/>
  <c r="D2508" i="55"/>
  <c r="D2502" i="55"/>
  <c r="D2501" i="55"/>
  <c r="D2480" i="55"/>
  <c r="D2510" i="55"/>
  <c r="D2469" i="55"/>
  <c r="D2487" i="55"/>
  <c r="D2485" i="55"/>
  <c r="D2478" i="55"/>
  <c r="D2499" i="55"/>
  <c r="D2493" i="55"/>
  <c r="D2467" i="55"/>
  <c r="D2503" i="55"/>
  <c r="D2483" i="55"/>
  <c r="D2481" i="55"/>
  <c r="D2498" i="55"/>
  <c r="D2496" i="55"/>
  <c r="D2474" i="55"/>
  <c r="D2482" i="55"/>
  <c r="D2513" i="55"/>
  <c r="D2495" i="55"/>
  <c r="D2506" i="55"/>
  <c r="D2473" i="55"/>
  <c r="D2465" i="55"/>
  <c r="D2486" i="55"/>
  <c r="E2908" i="55"/>
  <c r="D2440" i="55"/>
  <c r="E1513" i="55"/>
  <c r="E2323" i="55"/>
  <c r="D2316" i="55"/>
  <c r="E2879" i="55"/>
  <c r="E2416" i="55"/>
  <c r="E2757" i="55"/>
  <c r="E2635" i="55"/>
  <c r="E2172" i="55"/>
  <c r="E2294" i="55"/>
  <c r="E1511" i="55"/>
  <c r="E2664" i="55"/>
  <c r="E1552" i="55"/>
  <c r="E56" i="55"/>
  <c r="E178" i="55"/>
  <c r="E2445" i="55"/>
  <c r="E5041" i="55"/>
  <c r="E5051" i="55"/>
  <c r="E5046" i="55"/>
  <c r="E5044" i="55"/>
  <c r="E5043" i="55"/>
  <c r="E5034" i="55"/>
  <c r="E5039" i="55"/>
  <c r="E5036" i="55"/>
  <c r="E5033" i="55"/>
  <c r="E5057" i="55"/>
  <c r="E5049" i="55"/>
  <c r="E5050" i="55"/>
  <c r="E5035" i="55"/>
  <c r="E5055" i="55"/>
  <c r="E5047" i="55"/>
  <c r="E5048" i="55"/>
  <c r="E5037" i="55"/>
  <c r="E5054" i="55"/>
  <c r="E5056" i="55"/>
  <c r="E5042" i="55"/>
  <c r="E5032" i="55"/>
  <c r="E5040" i="55"/>
  <c r="E5038" i="55"/>
  <c r="H1726" i="55"/>
  <c r="N57" i="47"/>
  <c r="D156" i="55"/>
  <c r="E2160" i="55"/>
  <c r="E2282" i="55"/>
  <c r="E2404" i="55"/>
  <c r="E2623" i="55"/>
  <c r="E2867" i="55"/>
  <c r="D2514" i="55"/>
  <c r="D203" i="55"/>
  <c r="D204" i="55"/>
  <c r="D77" i="55"/>
  <c r="D80" i="55"/>
  <c r="D83" i="55"/>
  <c r="D205" i="55"/>
  <c r="D78" i="55"/>
  <c r="D82" i="55"/>
  <c r="D79" i="55"/>
  <c r="D202" i="55"/>
  <c r="D199" i="55"/>
  <c r="D201" i="55"/>
  <c r="D200" i="55"/>
  <c r="D81" i="55"/>
  <c r="D2492" i="55"/>
  <c r="E1100" i="55"/>
  <c r="D91" i="8"/>
  <c r="D75" i="8"/>
  <c r="D83" i="8"/>
  <c r="C2080" i="55"/>
  <c r="C2022" i="55"/>
  <c r="C2045" i="55"/>
  <c r="C2036" i="55"/>
  <c r="C2090" i="55"/>
  <c r="C2047" i="55"/>
  <c r="C27" i="4"/>
  <c r="C2021" i="55"/>
  <c r="C2086" i="55"/>
  <c r="C2094" i="55"/>
  <c r="C2041" i="55"/>
  <c r="C2079" i="55"/>
  <c r="C2040" i="55"/>
  <c r="C2046" i="55"/>
  <c r="E1709" i="55"/>
  <c r="E1687" i="55"/>
  <c r="E1696" i="55"/>
  <c r="E1712" i="55"/>
  <c r="E1698" i="55"/>
  <c r="E1666" i="55"/>
  <c r="E1691" i="55"/>
  <c r="E1702" i="55"/>
  <c r="E1671" i="55"/>
  <c r="L97" i="47"/>
  <c r="E1676" i="55"/>
  <c r="D997" i="55"/>
  <c r="D995" i="55"/>
  <c r="E2034" i="55"/>
  <c r="E2059" i="55"/>
  <c r="E1042" i="55"/>
  <c r="E1031" i="55"/>
  <c r="E1007" i="55"/>
  <c r="D2807" i="55"/>
  <c r="D2684" i="55"/>
  <c r="D2221" i="55"/>
  <c r="D2806" i="55"/>
  <c r="C11" i="48"/>
  <c r="D2012" i="55" s="1"/>
  <c r="D31" i="49"/>
  <c r="E2046" i="55" s="1"/>
  <c r="E1582" i="55"/>
  <c r="E1568" i="55"/>
  <c r="E1575" i="55"/>
  <c r="D1118" i="55"/>
  <c r="D1110" i="55"/>
  <c r="D1132" i="55"/>
  <c r="D1120" i="55"/>
  <c r="D1104" i="55"/>
  <c r="D2989" i="55"/>
  <c r="D1107" i="55"/>
  <c r="D2993" i="55"/>
  <c r="D1103" i="55"/>
  <c r="D1111" i="55"/>
  <c r="D1116" i="55"/>
  <c r="E86" i="52"/>
  <c r="E94" i="52"/>
  <c r="E102" i="52"/>
  <c r="E78" i="52"/>
  <c r="F1875" i="55"/>
  <c r="F1563" i="55"/>
  <c r="F1615" i="55"/>
  <c r="F1511" i="55"/>
  <c r="F1667" i="55"/>
  <c r="C11" i="13"/>
  <c r="B102" i="23" s="1"/>
  <c r="V11" i="22" s="1"/>
  <c r="D70" i="49" s="1"/>
  <c r="BZ17" i="13"/>
  <c r="E2534" i="55"/>
  <c r="E2533" i="55"/>
  <c r="D2229" i="55"/>
  <c r="D2110" i="55"/>
  <c r="F2426" i="55"/>
  <c r="F2364" i="55"/>
  <c r="E1463" i="55"/>
  <c r="E1467" i="55"/>
  <c r="C1436" i="55"/>
  <c r="C1254" i="55"/>
  <c r="C1304" i="55"/>
  <c r="C1393" i="55"/>
  <c r="C1321" i="55"/>
  <c r="C1470" i="55"/>
  <c r="C1219" i="55"/>
  <c r="C1381" i="55"/>
  <c r="C1192" i="55"/>
  <c r="C1126" i="55"/>
  <c r="C1363" i="55"/>
  <c r="C1448" i="55"/>
  <c r="C1213" i="55"/>
  <c r="C3053" i="55"/>
  <c r="C1454" i="55"/>
  <c r="C1096" i="55"/>
  <c r="C1335" i="55"/>
  <c r="C1221" i="55"/>
  <c r="C1155" i="55"/>
  <c r="C1418" i="55"/>
  <c r="C1483" i="55"/>
  <c r="C1178" i="55"/>
  <c r="C1440" i="55"/>
  <c r="C1124" i="55"/>
  <c r="C3021" i="55"/>
  <c r="C1471" i="55"/>
  <c r="C1131" i="55"/>
  <c r="C1184" i="55"/>
  <c r="C1279" i="55"/>
  <c r="C1386" i="55"/>
  <c r="C1492" i="55"/>
  <c r="C1353" i="55"/>
  <c r="C1389" i="55"/>
  <c r="C3043" i="55"/>
  <c r="C1251" i="55"/>
  <c r="C1164" i="55"/>
  <c r="C1481" i="55"/>
  <c r="C3018" i="55"/>
  <c r="C1441" i="55"/>
  <c r="C1458" i="55"/>
  <c r="C1086" i="55"/>
  <c r="C1391" i="55"/>
  <c r="C1300" i="55"/>
  <c r="C3031" i="55"/>
  <c r="C1350" i="55"/>
  <c r="C1085" i="55"/>
  <c r="C1339" i="55"/>
  <c r="C1263" i="55"/>
  <c r="C1463" i="55"/>
  <c r="D1073" i="55"/>
  <c r="F2744" i="55"/>
  <c r="F2729" i="55"/>
  <c r="F2732" i="55"/>
  <c r="D1071" i="55"/>
  <c r="D6605" i="55"/>
  <c r="D5187" i="55"/>
  <c r="D5495" i="55"/>
  <c r="D1084" i="55"/>
  <c r="E1225" i="55"/>
  <c r="D1093" i="55"/>
  <c r="C25" i="48"/>
  <c r="E7758" i="55" s="1"/>
  <c r="A48" i="57"/>
  <c r="C3095" i="55"/>
  <c r="C3092" i="55"/>
  <c r="C3067" i="55"/>
  <c r="H3119" i="55"/>
  <c r="C3081" i="55"/>
  <c r="C3068" i="55"/>
  <c r="C3075" i="55"/>
  <c r="C3086" i="55"/>
  <c r="C3085" i="55"/>
  <c r="C3104" i="55"/>
  <c r="C3079" i="55"/>
  <c r="C3089" i="55"/>
  <c r="C3078" i="55"/>
  <c r="C3099" i="55"/>
  <c r="C3105" i="55"/>
  <c r="C3065" i="55"/>
  <c r="C3094" i="55"/>
  <c r="C3066" i="55"/>
  <c r="C3074" i="55"/>
  <c r="C3102" i="55"/>
  <c r="C3071" i="55"/>
  <c r="C3077" i="55"/>
  <c r="C3082" i="55"/>
  <c r="C3072" i="55"/>
  <c r="C3088" i="55"/>
  <c r="C3093" i="55"/>
  <c r="C3083" i="55"/>
  <c r="C3063" i="55"/>
  <c r="C3101" i="55"/>
  <c r="C3107" i="55"/>
  <c r="C3098" i="55"/>
  <c r="C3096" i="55"/>
  <c r="C3070" i="55"/>
  <c r="C3097" i="55"/>
  <c r="C3090" i="55"/>
  <c r="C3073" i="55"/>
  <c r="C3100" i="55"/>
  <c r="C3084" i="55"/>
  <c r="C3064" i="55"/>
  <c r="C3069" i="55"/>
  <c r="C3091" i="55"/>
  <c r="C3080" i="55"/>
  <c r="C3087" i="55"/>
  <c r="C30" i="57"/>
  <c r="H3120" i="55"/>
  <c r="I138" i="52"/>
  <c r="I137" i="52"/>
  <c r="I139" i="52"/>
  <c r="E1094" i="55" l="1"/>
  <c r="E1163" i="55"/>
  <c r="E1995" i="55"/>
  <c r="F1978" i="55"/>
  <c r="E2827" i="55"/>
  <c r="E1151" i="55"/>
  <c r="E2120" i="55"/>
  <c r="E1990" i="55"/>
  <c r="E1139" i="55"/>
  <c r="E1988" i="55"/>
  <c r="E1145" i="55"/>
  <c r="E1082" i="55"/>
  <c r="E1133" i="55"/>
  <c r="F1384" i="55"/>
  <c r="E2583" i="55"/>
  <c r="E1076" i="55"/>
  <c r="E1991" i="55"/>
  <c r="E1070" i="55"/>
  <c r="E3226" i="55"/>
  <c r="E3223" i="55"/>
  <c r="E3224" i="55"/>
  <c r="E3225" i="55"/>
  <c r="P97" i="47"/>
  <c r="E7798" i="55"/>
  <c r="E7800" i="55"/>
  <c r="E7799" i="55"/>
  <c r="E7801" i="55"/>
  <c r="E2005" i="55"/>
  <c r="E2006" i="55"/>
  <c r="E2007" i="55"/>
  <c r="E2004" i="55"/>
  <c r="E2003" i="55"/>
  <c r="E2002" i="55"/>
  <c r="E2000" i="55"/>
  <c r="E2001" i="55"/>
  <c r="F1252" i="55"/>
  <c r="F1251" i="55"/>
  <c r="F1249" i="55"/>
  <c r="F1441" i="55"/>
  <c r="F1440" i="55"/>
  <c r="F1288" i="55"/>
  <c r="F1291" i="55"/>
  <c r="F1378" i="55"/>
  <c r="F1377" i="55"/>
  <c r="CR144" i="63"/>
  <c r="CU116" i="63"/>
  <c r="BW19" i="63"/>
  <c r="CZ19" i="63" s="1"/>
  <c r="BP97" i="63"/>
  <c r="CS97" i="63" s="1"/>
  <c r="BP89" i="63"/>
  <c r="CS89" i="63" s="1"/>
  <c r="BO114" i="63"/>
  <c r="CR114" i="63" s="1"/>
  <c r="BO102" i="63"/>
  <c r="CR102" i="63" s="1"/>
  <c r="BO29" i="63"/>
  <c r="CR29" i="63" s="1"/>
  <c r="BO95" i="63"/>
  <c r="CR95" i="63" s="1"/>
  <c r="BO57" i="63"/>
  <c r="CR57" i="63" s="1"/>
  <c r="BO14" i="63"/>
  <c r="CR14" i="63" s="1"/>
  <c r="BO86" i="63"/>
  <c r="CR86" i="63" s="1"/>
  <c r="BO67" i="63"/>
  <c r="CR67" i="63" s="1"/>
  <c r="BO91" i="63"/>
  <c r="CR91" i="63" s="1"/>
  <c r="BO50" i="63"/>
  <c r="CR50" i="63" s="1"/>
  <c r="BO92" i="63"/>
  <c r="CR92" i="63" s="1"/>
  <c r="BO89" i="63"/>
  <c r="CR89" i="63" s="1"/>
  <c r="BP102" i="63"/>
  <c r="CS102" i="63" s="1"/>
  <c r="BP59" i="63"/>
  <c r="CS59" i="63" s="1"/>
  <c r="BP101" i="63"/>
  <c r="CS101" i="63" s="1"/>
  <c r="BP92" i="63"/>
  <c r="CS92" i="63" s="1"/>
  <c r="BP60" i="63"/>
  <c r="CS60" i="63" s="1"/>
  <c r="BP64" i="63"/>
  <c r="CS64" i="63" s="1"/>
  <c r="BP49" i="63"/>
  <c r="CS49" i="63" s="1"/>
  <c r="BP57" i="63"/>
  <c r="CS57" i="63" s="1"/>
  <c r="BP110" i="63"/>
  <c r="CS110" i="63" s="1"/>
  <c r="BW22" i="63"/>
  <c r="CZ22" i="63" s="1"/>
  <c r="BW69" i="63"/>
  <c r="CZ69" i="63" s="1"/>
  <c r="BW56" i="63"/>
  <c r="CZ56" i="63" s="1"/>
  <c r="BP53" i="63"/>
  <c r="CS53" i="63" s="1"/>
  <c r="BO81" i="63"/>
  <c r="CR81" i="63" s="1"/>
  <c r="BO51" i="63"/>
  <c r="CR51" i="63" s="1"/>
  <c r="BO101" i="63"/>
  <c r="CR101" i="63" s="1"/>
  <c r="BO53" i="63"/>
  <c r="CR53" i="63" s="1"/>
  <c r="BO96" i="63"/>
  <c r="CR96" i="63" s="1"/>
  <c r="BO90" i="63"/>
  <c r="CR90" i="63" s="1"/>
  <c r="BO88" i="63"/>
  <c r="CR88" i="63" s="1"/>
  <c r="BO55" i="63"/>
  <c r="CR55" i="63" s="1"/>
  <c r="BO54" i="63"/>
  <c r="CR54" i="63" s="1"/>
  <c r="BO44" i="63"/>
  <c r="CR44" i="63" s="1"/>
  <c r="BO60" i="63"/>
  <c r="CR60" i="63" s="1"/>
  <c r="BO18" i="63"/>
  <c r="CR18" i="63" s="1"/>
  <c r="BP40" i="63"/>
  <c r="CS40" i="63" s="1"/>
  <c r="BP86" i="63"/>
  <c r="CS86" i="63" s="1"/>
  <c r="BP88" i="63"/>
  <c r="CS88" i="63" s="1"/>
  <c r="BP106" i="63"/>
  <c r="CS106" i="63" s="1"/>
  <c r="BP112" i="63"/>
  <c r="CS112" i="63" s="1"/>
  <c r="BP55" i="63"/>
  <c r="CS55" i="63" s="1"/>
  <c r="BP81" i="63"/>
  <c r="CS81" i="63" s="1"/>
  <c r="BP30" i="63"/>
  <c r="CS30" i="63" s="1"/>
  <c r="CI67" i="63"/>
  <c r="DL67" i="63" s="1"/>
  <c r="BW95" i="63"/>
  <c r="CZ95" i="63" s="1"/>
  <c r="BW47" i="63"/>
  <c r="CZ47" i="63" s="1"/>
  <c r="BW28" i="63"/>
  <c r="CZ28" i="63" s="1"/>
  <c r="CA65" i="63"/>
  <c r="DD65" i="63" s="1"/>
  <c r="BP83" i="63"/>
  <c r="CS83" i="63" s="1"/>
  <c r="BO64" i="63"/>
  <c r="CR64" i="63" s="1"/>
  <c r="BO83" i="63"/>
  <c r="CR83" i="63" s="1"/>
  <c r="BO111" i="63"/>
  <c r="CR111" i="63" s="1"/>
  <c r="BO26" i="63"/>
  <c r="CR26" i="63" s="1"/>
  <c r="BO109" i="63"/>
  <c r="CR109" i="63" s="1"/>
  <c r="BO17" i="63"/>
  <c r="CR17" i="63" s="1"/>
  <c r="BO24" i="63"/>
  <c r="CR24" i="63" s="1"/>
  <c r="BO97" i="63"/>
  <c r="CR97" i="63" s="1"/>
  <c r="BO38" i="63"/>
  <c r="CR38" i="63" s="1"/>
  <c r="BO27" i="63"/>
  <c r="CR27" i="63" s="1"/>
  <c r="BO22" i="63"/>
  <c r="CR22" i="63" s="1"/>
  <c r="BP63" i="63"/>
  <c r="CS63" i="63" s="1"/>
  <c r="BP58" i="63"/>
  <c r="CS58" i="63" s="1"/>
  <c r="BP42" i="63"/>
  <c r="CS42" i="63" s="1"/>
  <c r="BP19" i="63"/>
  <c r="CS19" i="63" s="1"/>
  <c r="BP51" i="63"/>
  <c r="CS51" i="63" s="1"/>
  <c r="BP98" i="63"/>
  <c r="CS98" i="63" s="1"/>
  <c r="BP67" i="63"/>
  <c r="CS67" i="63" s="1"/>
  <c r="BP48" i="63"/>
  <c r="CS48" i="63" s="1"/>
  <c r="BW81" i="63"/>
  <c r="CZ81" i="63" s="1"/>
  <c r="BW113" i="63"/>
  <c r="CZ113" i="63" s="1"/>
  <c r="BW98" i="63"/>
  <c r="CZ98" i="63" s="1"/>
  <c r="BW60" i="63"/>
  <c r="CZ60" i="63" s="1"/>
  <c r="BP87" i="63"/>
  <c r="CS87" i="63" s="1"/>
  <c r="BO49" i="63"/>
  <c r="CR49" i="63" s="1"/>
  <c r="BO30" i="63"/>
  <c r="CR30" i="63" s="1"/>
  <c r="BO36" i="63"/>
  <c r="CR36" i="63" s="1"/>
  <c r="BO46" i="63"/>
  <c r="CR46" i="63" s="1"/>
  <c r="BO69" i="63"/>
  <c r="CR69" i="63" s="1"/>
  <c r="BO66" i="63"/>
  <c r="CR66" i="63" s="1"/>
  <c r="BO94" i="63"/>
  <c r="CR94" i="63" s="1"/>
  <c r="BO35" i="63"/>
  <c r="CR35" i="63" s="1"/>
  <c r="BO106" i="63"/>
  <c r="CR106" i="63" s="1"/>
  <c r="BO100" i="63"/>
  <c r="CR100" i="63" s="1"/>
  <c r="BO52" i="63"/>
  <c r="CR52" i="63" s="1"/>
  <c r="BP108" i="63"/>
  <c r="CS108" i="63" s="1"/>
  <c r="BP38" i="63"/>
  <c r="CS38" i="63" s="1"/>
  <c r="BP17" i="63"/>
  <c r="CS17" i="63" s="1"/>
  <c r="BP20" i="63"/>
  <c r="CS20" i="63" s="1"/>
  <c r="BP69" i="63"/>
  <c r="CS69" i="63" s="1"/>
  <c r="BP99" i="63"/>
  <c r="CS99" i="63" s="1"/>
  <c r="BP45" i="63"/>
  <c r="CS45" i="63" s="1"/>
  <c r="BP103" i="63"/>
  <c r="CS103" i="63" s="1"/>
  <c r="BP105" i="63"/>
  <c r="CS105" i="63" s="1"/>
  <c r="BO61" i="63"/>
  <c r="CR61" i="63" s="1"/>
  <c r="BO65" i="63"/>
  <c r="CR65" i="63" s="1"/>
  <c r="BO19" i="63"/>
  <c r="CR19" i="63" s="1"/>
  <c r="BO108" i="63"/>
  <c r="CR108" i="63" s="1"/>
  <c r="BO41" i="63"/>
  <c r="CR41" i="63" s="1"/>
  <c r="BO107" i="63"/>
  <c r="CR107" i="63" s="1"/>
  <c r="BO39" i="63"/>
  <c r="CR39" i="63" s="1"/>
  <c r="BO42" i="63"/>
  <c r="CR42" i="63" s="1"/>
  <c r="BO37" i="63"/>
  <c r="CR37" i="63" s="1"/>
  <c r="BO47" i="63"/>
  <c r="CR47" i="63" s="1"/>
  <c r="BO85" i="63"/>
  <c r="CR85" i="63" s="1"/>
  <c r="BP16" i="63"/>
  <c r="CS16" i="63" s="1"/>
  <c r="BP62" i="63"/>
  <c r="CS62" i="63" s="1"/>
  <c r="BP27" i="63"/>
  <c r="CS27" i="63" s="1"/>
  <c r="BP90" i="63"/>
  <c r="CS90" i="63" s="1"/>
  <c r="BP114" i="63"/>
  <c r="CS114" i="63" s="1"/>
  <c r="BP25" i="63"/>
  <c r="CS25" i="63" s="1"/>
  <c r="BP93" i="63"/>
  <c r="CS93" i="63" s="1"/>
  <c r="BP14" i="63"/>
  <c r="CS14" i="63" s="1"/>
  <c r="BP33" i="63"/>
  <c r="CS33" i="63" s="1"/>
  <c r="BO23" i="63"/>
  <c r="CR23" i="63" s="1"/>
  <c r="BO34" i="63"/>
  <c r="CR34" i="63" s="1"/>
  <c r="BO110" i="63"/>
  <c r="CR110" i="63" s="1"/>
  <c r="BO48" i="63"/>
  <c r="CR48" i="63" s="1"/>
  <c r="BO12" i="63"/>
  <c r="CR12" i="63" s="1"/>
  <c r="BO103" i="63"/>
  <c r="CR103" i="63" s="1"/>
  <c r="BO84" i="63"/>
  <c r="CR84" i="63" s="1"/>
  <c r="BO112" i="63"/>
  <c r="CR112" i="63" s="1"/>
  <c r="BO113" i="63"/>
  <c r="CR113" i="63" s="1"/>
  <c r="BO31" i="63"/>
  <c r="CR31" i="63" s="1"/>
  <c r="BO99" i="63"/>
  <c r="CR99" i="63" s="1"/>
  <c r="BO104" i="63"/>
  <c r="CR104" i="63" s="1"/>
  <c r="BP56" i="63"/>
  <c r="CS56" i="63" s="1"/>
  <c r="BP12" i="63"/>
  <c r="CS12" i="63" s="1"/>
  <c r="BP95" i="63"/>
  <c r="CS95" i="63" s="1"/>
  <c r="BP29" i="63"/>
  <c r="CS29" i="63" s="1"/>
  <c r="BP111" i="63"/>
  <c r="CS111" i="63" s="1"/>
  <c r="BP65" i="63"/>
  <c r="CS65" i="63" s="1"/>
  <c r="BP41" i="63"/>
  <c r="CS41" i="63" s="1"/>
  <c r="BP104" i="63"/>
  <c r="CS104" i="63" s="1"/>
  <c r="BP54" i="63"/>
  <c r="CS54" i="63" s="1"/>
  <c r="BW11" i="63"/>
  <c r="CZ11" i="63" s="1"/>
  <c r="BW31" i="63"/>
  <c r="CZ31" i="63" s="1"/>
  <c r="BW107" i="63"/>
  <c r="CZ107" i="63" s="1"/>
  <c r="BP94" i="63"/>
  <c r="CS94" i="63" s="1"/>
  <c r="BO33" i="63"/>
  <c r="CR33" i="63" s="1"/>
  <c r="BO70" i="63"/>
  <c r="CR70" i="63" s="1"/>
  <c r="BO28" i="63"/>
  <c r="CR28" i="63" s="1"/>
  <c r="BO62" i="63"/>
  <c r="CR62" i="63" s="1"/>
  <c r="BO32" i="63"/>
  <c r="CR32" i="63" s="1"/>
  <c r="BO15" i="63"/>
  <c r="CR15" i="63" s="1"/>
  <c r="BO87" i="63"/>
  <c r="CR87" i="63" s="1"/>
  <c r="BO93" i="63"/>
  <c r="CR93" i="63" s="1"/>
  <c r="BO45" i="63"/>
  <c r="CR45" i="63" s="1"/>
  <c r="BO68" i="63"/>
  <c r="CR68" i="63" s="1"/>
  <c r="BO98" i="63"/>
  <c r="CR98" i="63" s="1"/>
  <c r="BO59" i="63"/>
  <c r="CR59" i="63" s="1"/>
  <c r="BP28" i="63"/>
  <c r="CS28" i="63" s="1"/>
  <c r="BP36" i="63"/>
  <c r="CS36" i="63" s="1"/>
  <c r="BP107" i="63"/>
  <c r="CS107" i="63" s="1"/>
  <c r="BP109" i="63"/>
  <c r="CS109" i="63" s="1"/>
  <c r="BP68" i="63"/>
  <c r="CS68" i="63" s="1"/>
  <c r="BP32" i="63"/>
  <c r="CS32" i="63" s="1"/>
  <c r="BP70" i="63"/>
  <c r="CS70" i="63" s="1"/>
  <c r="BP35" i="63"/>
  <c r="CS35" i="63" s="1"/>
  <c r="BP84" i="63"/>
  <c r="CS84" i="63" s="1"/>
  <c r="BP96" i="63"/>
  <c r="CS96" i="63" s="1"/>
  <c r="BW97" i="63"/>
  <c r="CZ97" i="63" s="1"/>
  <c r="BW24" i="63"/>
  <c r="CZ24" i="63" s="1"/>
  <c r="BW26" i="63"/>
  <c r="CZ26" i="63" s="1"/>
  <c r="CI113" i="63"/>
  <c r="DL113" i="63" s="1"/>
  <c r="CI101" i="63"/>
  <c r="DL101" i="63" s="1"/>
  <c r="CI31" i="63"/>
  <c r="DL31" i="63" s="1"/>
  <c r="CI98" i="63"/>
  <c r="DL98" i="63" s="1"/>
  <c r="CI95" i="63"/>
  <c r="DL95" i="63" s="1"/>
  <c r="CI60" i="63"/>
  <c r="DL60" i="63" s="1"/>
  <c r="CI58" i="63"/>
  <c r="DL58" i="63" s="1"/>
  <c r="CI55" i="63"/>
  <c r="DL55" i="63" s="1"/>
  <c r="CI30" i="63"/>
  <c r="DL30" i="63" s="1"/>
  <c r="CI70" i="63"/>
  <c r="DL70" i="63" s="1"/>
  <c r="CI14" i="63"/>
  <c r="DL14" i="63" s="1"/>
  <c r="BW83" i="63"/>
  <c r="CZ83" i="63" s="1"/>
  <c r="BW99" i="63"/>
  <c r="CZ99" i="63" s="1"/>
  <c r="BW109" i="63"/>
  <c r="CZ109" i="63" s="1"/>
  <c r="BW20" i="63"/>
  <c r="CZ20" i="63" s="1"/>
  <c r="BW102" i="63"/>
  <c r="CZ102" i="63" s="1"/>
  <c r="BW64" i="63"/>
  <c r="CZ64" i="63" s="1"/>
  <c r="BW111" i="63"/>
  <c r="CZ111" i="63" s="1"/>
  <c r="BW51" i="63"/>
  <c r="CZ51" i="63" s="1"/>
  <c r="CI49" i="63"/>
  <c r="DL49" i="63" s="1"/>
  <c r="CI33" i="63"/>
  <c r="DL33" i="63" s="1"/>
  <c r="CI48" i="63"/>
  <c r="DL48" i="63" s="1"/>
  <c r="CI104" i="63"/>
  <c r="DL104" i="63" s="1"/>
  <c r="CI20" i="63"/>
  <c r="DL20" i="63" s="1"/>
  <c r="CI85" i="63"/>
  <c r="DL85" i="63" s="1"/>
  <c r="CI16" i="63"/>
  <c r="DL16" i="63" s="1"/>
  <c r="CI45" i="63"/>
  <c r="DL45" i="63" s="1"/>
  <c r="CI15" i="63"/>
  <c r="DL15" i="63" s="1"/>
  <c r="CI102" i="63"/>
  <c r="DL102" i="63" s="1"/>
  <c r="CI111" i="63"/>
  <c r="DL111" i="63" s="1"/>
  <c r="CI29" i="63"/>
  <c r="DL29" i="63" s="1"/>
  <c r="BW45" i="63"/>
  <c r="CZ45" i="63" s="1"/>
  <c r="BW67" i="63"/>
  <c r="CZ67" i="63" s="1"/>
  <c r="BW93" i="63"/>
  <c r="CZ93" i="63" s="1"/>
  <c r="BW108" i="63"/>
  <c r="CZ108" i="63" s="1"/>
  <c r="BW43" i="63"/>
  <c r="CZ43" i="63" s="1"/>
  <c r="BW39" i="63"/>
  <c r="CZ39" i="63" s="1"/>
  <c r="BW62" i="63"/>
  <c r="CZ62" i="63" s="1"/>
  <c r="BW34" i="63"/>
  <c r="CZ34" i="63" s="1"/>
  <c r="CI94" i="63"/>
  <c r="DL94" i="63" s="1"/>
  <c r="CI87" i="63"/>
  <c r="DL87" i="63" s="1"/>
  <c r="CI13" i="63"/>
  <c r="DL13" i="63" s="1"/>
  <c r="CI19" i="63"/>
  <c r="DL19" i="63" s="1"/>
  <c r="CI62" i="63"/>
  <c r="DL62" i="63" s="1"/>
  <c r="CI68" i="63"/>
  <c r="DL68" i="63" s="1"/>
  <c r="CI105" i="63"/>
  <c r="DL105" i="63" s="1"/>
  <c r="CI99" i="63"/>
  <c r="DL99" i="63" s="1"/>
  <c r="CI90" i="63"/>
  <c r="DL90" i="63" s="1"/>
  <c r="CI40" i="63"/>
  <c r="DL40" i="63" s="1"/>
  <c r="CI61" i="63"/>
  <c r="DL61" i="63" s="1"/>
  <c r="CI51" i="63"/>
  <c r="DL51" i="63" s="1"/>
  <c r="CI50" i="63"/>
  <c r="DL50" i="63" s="1"/>
  <c r="CI37" i="63"/>
  <c r="DL37" i="63" s="1"/>
  <c r="CI107" i="63"/>
  <c r="DL107" i="63" s="1"/>
  <c r="CI114" i="63"/>
  <c r="DL114" i="63" s="1"/>
  <c r="CI64" i="63"/>
  <c r="DL64" i="63" s="1"/>
  <c r="CI17" i="63"/>
  <c r="DL17" i="63" s="1"/>
  <c r="BU32" i="63"/>
  <c r="CX32" i="63" s="1"/>
  <c r="CI110" i="63"/>
  <c r="DL110" i="63" s="1"/>
  <c r="CI38" i="63"/>
  <c r="DL38" i="63" s="1"/>
  <c r="CI32" i="63"/>
  <c r="DL32" i="63" s="1"/>
  <c r="BW90" i="63"/>
  <c r="CZ90" i="63" s="1"/>
  <c r="BW18" i="63"/>
  <c r="CZ18" i="63" s="1"/>
  <c r="BW87" i="63"/>
  <c r="CZ87" i="63" s="1"/>
  <c r="BW66" i="63"/>
  <c r="CZ66" i="63" s="1"/>
  <c r="BW70" i="63"/>
  <c r="CZ70" i="63" s="1"/>
  <c r="BW37" i="63"/>
  <c r="CZ37" i="63" s="1"/>
  <c r="BW38" i="63"/>
  <c r="CZ38" i="63" s="1"/>
  <c r="BW54" i="63"/>
  <c r="CZ54" i="63" s="1"/>
  <c r="BW16" i="63"/>
  <c r="CZ16" i="63" s="1"/>
  <c r="CI106" i="63"/>
  <c r="DL106" i="63" s="1"/>
  <c r="CI91" i="63"/>
  <c r="DL91" i="63" s="1"/>
  <c r="CI100" i="63"/>
  <c r="DL100" i="63" s="1"/>
  <c r="CI92" i="63"/>
  <c r="DL92" i="63" s="1"/>
  <c r="CI52" i="63"/>
  <c r="DL52" i="63" s="1"/>
  <c r="CI88" i="63"/>
  <c r="DL88" i="63" s="1"/>
  <c r="CI54" i="63"/>
  <c r="DL54" i="63" s="1"/>
  <c r="CI89" i="63"/>
  <c r="DL89" i="63" s="1"/>
  <c r="BU22" i="63"/>
  <c r="CX22" i="63" s="1"/>
  <c r="CI57" i="63"/>
  <c r="DL57" i="63" s="1"/>
  <c r="CI97" i="63"/>
  <c r="DL97" i="63" s="1"/>
  <c r="CI109" i="63"/>
  <c r="DL109" i="63" s="1"/>
  <c r="CI41" i="63"/>
  <c r="DL41" i="63" s="1"/>
  <c r="BW59" i="63"/>
  <c r="CZ59" i="63" s="1"/>
  <c r="BW30" i="63"/>
  <c r="CZ30" i="63" s="1"/>
  <c r="BW14" i="63"/>
  <c r="CZ14" i="63" s="1"/>
  <c r="BW110" i="63"/>
  <c r="CZ110" i="63" s="1"/>
  <c r="BW21" i="63"/>
  <c r="CZ21" i="63" s="1"/>
  <c r="BW42" i="63"/>
  <c r="CZ42" i="63" s="1"/>
  <c r="BW114" i="63"/>
  <c r="CZ114" i="63" s="1"/>
  <c r="BW32" i="63"/>
  <c r="CZ32" i="63" s="1"/>
  <c r="BW33" i="63"/>
  <c r="CZ33" i="63" s="1"/>
  <c r="CI47" i="63"/>
  <c r="DL47" i="63" s="1"/>
  <c r="CI93" i="63"/>
  <c r="DL93" i="63" s="1"/>
  <c r="CI23" i="63"/>
  <c r="DL23" i="63" s="1"/>
  <c r="CI21" i="63"/>
  <c r="DL21" i="63" s="1"/>
  <c r="CI35" i="63"/>
  <c r="DL35" i="63" s="1"/>
  <c r="CI53" i="63"/>
  <c r="DL53" i="63" s="1"/>
  <c r="CI59" i="63"/>
  <c r="DL59" i="63" s="1"/>
  <c r="CI22" i="63"/>
  <c r="DL22" i="63" s="1"/>
  <c r="CV143" i="63"/>
  <c r="CI86" i="63"/>
  <c r="DL86" i="63" s="1"/>
  <c r="CI112" i="63"/>
  <c r="DL112" i="63" s="1"/>
  <c r="CI108" i="63"/>
  <c r="DL108" i="63" s="1"/>
  <c r="CI11" i="63"/>
  <c r="DL11" i="63" s="1"/>
  <c r="BW35" i="63"/>
  <c r="CZ35" i="63" s="1"/>
  <c r="BW91" i="63"/>
  <c r="CZ91" i="63" s="1"/>
  <c r="BW103" i="63"/>
  <c r="CZ103" i="63" s="1"/>
  <c r="BW100" i="63"/>
  <c r="CZ100" i="63" s="1"/>
  <c r="BW44" i="63"/>
  <c r="CZ44" i="63" s="1"/>
  <c r="BW23" i="63"/>
  <c r="CZ23" i="63" s="1"/>
  <c r="BW85" i="63"/>
  <c r="CZ85" i="63" s="1"/>
  <c r="BW86" i="63"/>
  <c r="CZ86" i="63" s="1"/>
  <c r="BW89" i="63"/>
  <c r="CZ89" i="63" s="1"/>
  <c r="CI96" i="63"/>
  <c r="DL96" i="63" s="1"/>
  <c r="CI83" i="63"/>
  <c r="DL83" i="63" s="1"/>
  <c r="CI12" i="63"/>
  <c r="DL12" i="63" s="1"/>
  <c r="CI42" i="63"/>
  <c r="DL42" i="63" s="1"/>
  <c r="CI36" i="63"/>
  <c r="DL36" i="63" s="1"/>
  <c r="CI43" i="63"/>
  <c r="DL43" i="63" s="1"/>
  <c r="CI34" i="63"/>
  <c r="DL34" i="63" s="1"/>
  <c r="CI39" i="63"/>
  <c r="DL39" i="63" s="1"/>
  <c r="CI25" i="63"/>
  <c r="DL25" i="63" s="1"/>
  <c r="CI26" i="63"/>
  <c r="DL26" i="63" s="1"/>
  <c r="CI18" i="63"/>
  <c r="DL18" i="63" s="1"/>
  <c r="CI65" i="63"/>
  <c r="DL65" i="63" s="1"/>
  <c r="DL143" i="63"/>
  <c r="CP144" i="63"/>
  <c r="AJ51" i="63" s="1"/>
  <c r="CU143" i="63"/>
  <c r="AO41" i="63" s="1"/>
  <c r="DI144" i="63"/>
  <c r="D7696" i="55"/>
  <c r="D7684" i="55"/>
  <c r="D3070" i="55"/>
  <c r="D3073" i="55"/>
  <c r="D7693" i="55"/>
  <c r="D7692" i="55"/>
  <c r="D7695" i="55"/>
  <c r="D3075" i="55"/>
  <c r="D7689" i="55"/>
  <c r="D3072" i="55"/>
  <c r="D7686" i="55"/>
  <c r="D7685" i="55"/>
  <c r="D7688" i="55"/>
  <c r="D7687" i="55"/>
  <c r="D7694" i="55"/>
  <c r="D3071" i="55"/>
  <c r="D7697" i="55"/>
  <c r="D3074" i="55"/>
  <c r="D7691" i="55"/>
  <c r="D7690" i="55"/>
  <c r="F1937" i="55"/>
  <c r="F1521" i="55"/>
  <c r="F1788" i="55"/>
  <c r="F1528" i="55"/>
  <c r="F1684" i="55"/>
  <c r="F1580" i="55"/>
  <c r="F1840" i="55"/>
  <c r="F1892" i="55"/>
  <c r="F1632" i="55"/>
  <c r="F1736" i="55"/>
  <c r="F1944" i="55"/>
  <c r="D1503" i="55"/>
  <c r="D1506" i="55"/>
  <c r="D1502" i="55"/>
  <c r="D1505" i="55"/>
  <c r="D1507" i="55"/>
  <c r="D1501" i="55"/>
  <c r="D1504" i="55"/>
  <c r="D1500" i="55"/>
  <c r="D3068" i="55"/>
  <c r="D3067" i="55"/>
  <c r="D3066" i="55"/>
  <c r="D3065" i="55"/>
  <c r="D3063" i="55"/>
  <c r="D3064" i="55"/>
  <c r="D3069" i="55"/>
  <c r="CX143" i="63"/>
  <c r="AR12" i="63" s="1"/>
  <c r="DD144" i="63"/>
  <c r="DJ144" i="63"/>
  <c r="CS143" i="63"/>
  <c r="DA143" i="63"/>
  <c r="CF36" i="63"/>
  <c r="DI36" i="63" s="1"/>
  <c r="CU72" i="63"/>
  <c r="CF62" i="63"/>
  <c r="DI62" i="63" s="1"/>
  <c r="BP50" i="63"/>
  <c r="CS50" i="63" s="1"/>
  <c r="BP85" i="63"/>
  <c r="CS85" i="63" s="1"/>
  <c r="BP39" i="63"/>
  <c r="CS39" i="63" s="1"/>
  <c r="BP31" i="63"/>
  <c r="CS31" i="63" s="1"/>
  <c r="BP91" i="63"/>
  <c r="CS91" i="63" s="1"/>
  <c r="BP34" i="63"/>
  <c r="CS34" i="63" s="1"/>
  <c r="BP26" i="63"/>
  <c r="CS26" i="63" s="1"/>
  <c r="BZ30" i="63"/>
  <c r="DC30" i="63" s="1"/>
  <c r="BZ25" i="63"/>
  <c r="DC25" i="63" s="1"/>
  <c r="BZ57" i="63"/>
  <c r="DC57" i="63" s="1"/>
  <c r="BZ114" i="63"/>
  <c r="DC114" i="63" s="1"/>
  <c r="BZ38" i="63"/>
  <c r="DC38" i="63" s="1"/>
  <c r="BZ97" i="63"/>
  <c r="DC97" i="63" s="1"/>
  <c r="BZ32" i="63"/>
  <c r="DC32" i="63" s="1"/>
  <c r="BW92" i="63"/>
  <c r="CZ92" i="63" s="1"/>
  <c r="BW63" i="63"/>
  <c r="CZ63" i="63" s="1"/>
  <c r="BW13" i="63"/>
  <c r="CZ13" i="63" s="1"/>
  <c r="BW25" i="63"/>
  <c r="CZ25" i="63" s="1"/>
  <c r="BW53" i="63"/>
  <c r="CZ53" i="63" s="1"/>
  <c r="BW15" i="63"/>
  <c r="CZ15" i="63" s="1"/>
  <c r="BU61" i="63"/>
  <c r="CX61" i="63" s="1"/>
  <c r="BU53" i="63"/>
  <c r="CX53" i="63" s="1"/>
  <c r="BU21" i="63"/>
  <c r="CX21" i="63" s="1"/>
  <c r="BP37" i="63"/>
  <c r="CS37" i="63" s="1"/>
  <c r="BP11" i="63"/>
  <c r="CS11" i="63" s="1"/>
  <c r="BP52" i="63"/>
  <c r="CS52" i="63" s="1"/>
  <c r="BP23" i="63"/>
  <c r="CS23" i="63" s="1"/>
  <c r="BP47" i="63"/>
  <c r="CS47" i="63" s="1"/>
  <c r="BP24" i="63"/>
  <c r="CS24" i="63" s="1"/>
  <c r="CB67" i="63"/>
  <c r="DE67" i="63" s="1"/>
  <c r="CB93" i="63"/>
  <c r="DE93" i="63" s="1"/>
  <c r="CB61" i="63"/>
  <c r="DE61" i="63" s="1"/>
  <c r="CB19" i="63"/>
  <c r="DE19" i="63" s="1"/>
  <c r="CB109" i="63"/>
  <c r="DE109" i="63" s="1"/>
  <c r="CB55" i="63"/>
  <c r="DE55" i="63" s="1"/>
  <c r="CB12" i="63"/>
  <c r="DE12" i="63" s="1"/>
  <c r="CB34" i="63"/>
  <c r="DE34" i="63" s="1"/>
  <c r="CI63" i="63"/>
  <c r="DL63" i="63" s="1"/>
  <c r="CI82" i="63"/>
  <c r="DL82" i="63" s="1"/>
  <c r="BZ92" i="63"/>
  <c r="DC92" i="63" s="1"/>
  <c r="BZ50" i="63"/>
  <c r="DC50" i="63" s="1"/>
  <c r="BZ44" i="63"/>
  <c r="DC44" i="63" s="1"/>
  <c r="BZ14" i="63"/>
  <c r="DC14" i="63" s="1"/>
  <c r="BZ61" i="63"/>
  <c r="DC61" i="63" s="1"/>
  <c r="BZ64" i="63"/>
  <c r="DC64" i="63" s="1"/>
  <c r="BW49" i="63"/>
  <c r="CZ49" i="63" s="1"/>
  <c r="BW88" i="63"/>
  <c r="CZ88" i="63" s="1"/>
  <c r="BW17" i="63"/>
  <c r="CZ17" i="63" s="1"/>
  <c r="BW58" i="63"/>
  <c r="CZ58" i="63" s="1"/>
  <c r="BW65" i="63"/>
  <c r="CZ65" i="63" s="1"/>
  <c r="BW105" i="63"/>
  <c r="CZ105" i="63" s="1"/>
  <c r="BR67" i="13"/>
  <c r="BV67" i="13" s="1"/>
  <c r="AX67" i="13"/>
  <c r="BB67" i="13" s="1"/>
  <c r="M66" i="13"/>
  <c r="BR64" i="13"/>
  <c r="BV64" i="13" s="1"/>
  <c r="AD52" i="10"/>
  <c r="D70" i="12" s="1"/>
  <c r="G70" i="12" s="1"/>
  <c r="DZ67" i="13"/>
  <c r="ED67" i="13" s="1"/>
  <c r="CV66" i="13"/>
  <c r="CZ66" i="13" s="1"/>
  <c r="N64" i="13"/>
  <c r="AB52" i="10"/>
  <c r="EJ67" i="13"/>
  <c r="EN67" i="13" s="1"/>
  <c r="EJ64" i="13"/>
  <c r="EN64" i="13" s="1"/>
  <c r="ED46" i="13"/>
  <c r="AD67" i="13"/>
  <c r="AH67" i="13" s="1"/>
  <c r="EN46" i="13"/>
  <c r="H223" i="55"/>
  <c r="G128" i="8"/>
  <c r="N136" i="52"/>
  <c r="H1778" i="55"/>
  <c r="E498" i="55"/>
  <c r="E547" i="55"/>
  <c r="E2956" i="55"/>
  <c r="E171" i="55"/>
  <c r="F1436" i="55"/>
  <c r="E520" i="55"/>
  <c r="L75" i="47"/>
  <c r="H1704" i="55" s="1"/>
  <c r="E492" i="55"/>
  <c r="F1234" i="55"/>
  <c r="E166" i="55"/>
  <c r="F1127" i="55"/>
  <c r="E529" i="55"/>
  <c r="E561" i="55"/>
  <c r="E545" i="55"/>
  <c r="F1123" i="55"/>
  <c r="F1124" i="55"/>
  <c r="E205" i="55"/>
  <c r="F1125" i="55"/>
  <c r="E136" i="55"/>
  <c r="F1308" i="55"/>
  <c r="T11" i="22"/>
  <c r="D68" i="49" s="1"/>
  <c r="J21" i="47"/>
  <c r="J57" i="47" s="1"/>
  <c r="H11" i="49" s="1"/>
  <c r="H2038" i="55" s="1"/>
  <c r="E1036" i="55"/>
  <c r="F1437" i="55"/>
  <c r="E82" i="55"/>
  <c r="E204" i="55"/>
  <c r="E2901" i="55"/>
  <c r="E1085" i="55"/>
  <c r="E197" i="55"/>
  <c r="E2438" i="55"/>
  <c r="E2194" i="55"/>
  <c r="F1471" i="55"/>
  <c r="E2657" i="55"/>
  <c r="E1097" i="55"/>
  <c r="F1473" i="55"/>
  <c r="E1079" i="55"/>
  <c r="F1982" i="55"/>
  <c r="E2428" i="55"/>
  <c r="E2306" i="55"/>
  <c r="E2891" i="55"/>
  <c r="F1472" i="55"/>
  <c r="E1067" i="55"/>
  <c r="F1989" i="55"/>
  <c r="F1980" i="55"/>
  <c r="E1996" i="55"/>
  <c r="F1985" i="55"/>
  <c r="E2890" i="55"/>
  <c r="E2646" i="55"/>
  <c r="E2183" i="55"/>
  <c r="E146" i="55"/>
  <c r="E24" i="55"/>
  <c r="E220" i="55"/>
  <c r="E98" i="55"/>
  <c r="E2159" i="55"/>
  <c r="E2403" i="55"/>
  <c r="E61" i="55"/>
  <c r="E183" i="55"/>
  <c r="E128" i="55"/>
  <c r="E250" i="55"/>
  <c r="E99" i="55"/>
  <c r="E221" i="55"/>
  <c r="E34" i="55"/>
  <c r="E156" i="55"/>
  <c r="E212" i="55"/>
  <c r="E90" i="55"/>
  <c r="D853" i="55"/>
  <c r="D872" i="55"/>
  <c r="D772" i="55"/>
  <c r="D871" i="55"/>
  <c r="D733" i="55"/>
  <c r="D796" i="55"/>
  <c r="D7671" i="55"/>
  <c r="D801" i="55"/>
  <c r="D7679" i="55"/>
  <c r="D754" i="55"/>
  <c r="D806" i="55"/>
  <c r="D723" i="55"/>
  <c r="D2976" i="55"/>
  <c r="D741" i="55"/>
  <c r="D837" i="55"/>
  <c r="D840" i="55"/>
  <c r="D827" i="55"/>
  <c r="D820" i="55"/>
  <c r="D768" i="55"/>
  <c r="D822" i="55"/>
  <c r="D745" i="55"/>
  <c r="E2175" i="55"/>
  <c r="E2760" i="55"/>
  <c r="E2419" i="55"/>
  <c r="E2297" i="55"/>
  <c r="E2882" i="55"/>
  <c r="E2638" i="55"/>
  <c r="E271" i="55"/>
  <c r="E313" i="55"/>
  <c r="E305" i="55"/>
  <c r="E303" i="55"/>
  <c r="E315" i="55"/>
  <c r="E274" i="55"/>
  <c r="E264" i="55"/>
  <c r="E294" i="55"/>
  <c r="E307" i="55"/>
  <c r="E276" i="55"/>
  <c r="E324" i="55"/>
  <c r="E297" i="55"/>
  <c r="E298" i="55"/>
  <c r="E306" i="55"/>
  <c r="E285" i="55"/>
  <c r="E314" i="55"/>
  <c r="E322" i="55"/>
  <c r="E268" i="55"/>
  <c r="E300" i="55"/>
  <c r="E2936" i="55"/>
  <c r="E7624" i="55"/>
  <c r="E270" i="55"/>
  <c r="E7625" i="55"/>
  <c r="E2938" i="55"/>
  <c r="E284" i="55"/>
  <c r="E2937" i="55"/>
  <c r="E267" i="55"/>
  <c r="E266" i="55"/>
  <c r="E329" i="55"/>
  <c r="E261" i="55"/>
  <c r="E321" i="55"/>
  <c r="E7619" i="55"/>
  <c r="E304" i="55"/>
  <c r="E253" i="55"/>
  <c r="E328" i="55"/>
  <c r="E308" i="55"/>
  <c r="E258" i="55"/>
  <c r="E316" i="55"/>
  <c r="E7621" i="55"/>
  <c r="E279" i="55"/>
  <c r="E318" i="55"/>
  <c r="E290" i="55"/>
  <c r="E269" i="55"/>
  <c r="E273" i="55"/>
  <c r="E260" i="55"/>
  <c r="E327" i="55"/>
  <c r="E289" i="55"/>
  <c r="E309" i="55"/>
  <c r="E310" i="55"/>
  <c r="E278" i="55"/>
  <c r="E312" i="55"/>
  <c r="E320" i="55"/>
  <c r="E2935" i="55"/>
  <c r="E256" i="55"/>
  <c r="E277" i="55"/>
  <c r="E302" i="55"/>
  <c r="E7618" i="55"/>
  <c r="E275" i="55"/>
  <c r="E286" i="55"/>
  <c r="E262" i="55"/>
  <c r="E2934" i="55"/>
  <c r="E288" i="55"/>
  <c r="E263" i="55"/>
  <c r="E257" i="55"/>
  <c r="E283" i="55"/>
  <c r="E301" i="55"/>
  <c r="E299" i="55"/>
  <c r="E7620" i="55"/>
  <c r="E281" i="55"/>
  <c r="E326" i="55"/>
  <c r="E254" i="55"/>
  <c r="E259" i="55"/>
  <c r="E317" i="55"/>
  <c r="E325" i="55"/>
  <c r="E311" i="55"/>
  <c r="E280" i="55"/>
  <c r="E319" i="55"/>
  <c r="E293" i="55"/>
  <c r="E287" i="55"/>
  <c r="E265" i="55"/>
  <c r="E255" i="55"/>
  <c r="E7622" i="55"/>
  <c r="F1372" i="55"/>
  <c r="F1984" i="55"/>
  <c r="F1988" i="55"/>
  <c r="E1994" i="55"/>
  <c r="F1979" i="55"/>
  <c r="E19" i="9"/>
  <c r="E145" i="55"/>
  <c r="E23" i="55"/>
  <c r="E2572" i="55"/>
  <c r="E60" i="55"/>
  <c r="E182" i="55"/>
  <c r="E114" i="55"/>
  <c r="E236" i="55"/>
  <c r="E2231" i="55"/>
  <c r="E231" i="55"/>
  <c r="E109" i="55"/>
  <c r="E2694" i="55"/>
  <c r="E165" i="55"/>
  <c r="E43" i="55"/>
  <c r="E155" i="55"/>
  <c r="E33" i="55"/>
  <c r="F1450" i="55"/>
  <c r="E18" i="55"/>
  <c r="E140" i="55"/>
  <c r="E55" i="55"/>
  <c r="E177" i="55"/>
  <c r="E135" i="55"/>
  <c r="E13" i="55"/>
  <c r="E28" i="55"/>
  <c r="E150" i="55"/>
  <c r="E2353" i="55"/>
  <c r="E226" i="55"/>
  <c r="E104" i="55"/>
  <c r="E2816" i="55"/>
  <c r="E48" i="55"/>
  <c r="E170" i="55"/>
  <c r="E2815" i="55"/>
  <c r="F1456" i="55"/>
  <c r="F1225" i="55"/>
  <c r="F1227" i="55"/>
  <c r="F1455" i="55"/>
  <c r="F1457" i="55"/>
  <c r="E1008" i="55"/>
  <c r="P139" i="47"/>
  <c r="E2604" i="55"/>
  <c r="E2726" i="55"/>
  <c r="E87" i="55"/>
  <c r="E209" i="55"/>
  <c r="E7573" i="55"/>
  <c r="N140" i="47"/>
  <c r="F3018" i="55"/>
  <c r="F1097" i="55"/>
  <c r="F1194" i="55"/>
  <c r="E7563" i="55"/>
  <c r="F2994" i="55"/>
  <c r="F1193" i="55"/>
  <c r="E7574" i="55"/>
  <c r="F3000" i="55"/>
  <c r="F1129" i="55"/>
  <c r="E2262" i="55"/>
  <c r="E7560" i="55"/>
  <c r="R11" i="22"/>
  <c r="D66" i="49" s="1"/>
  <c r="F1101" i="55"/>
  <c r="E1011" i="55"/>
  <c r="Z11" i="22"/>
  <c r="D74" i="49" s="1"/>
  <c r="E1010" i="55"/>
  <c r="T135" i="47"/>
  <c r="F1246" i="55"/>
  <c r="F1098" i="55"/>
  <c r="E2357" i="55"/>
  <c r="F1244" i="55"/>
  <c r="F3048" i="55"/>
  <c r="F3030" i="55"/>
  <c r="F1132" i="55"/>
  <c r="F1128" i="55"/>
  <c r="F1100" i="55"/>
  <c r="F3036" i="55"/>
  <c r="F1195" i="55"/>
  <c r="F3006" i="55"/>
  <c r="E2140" i="55"/>
  <c r="F2988" i="55"/>
  <c r="F1192" i="55"/>
  <c r="F1190" i="55"/>
  <c r="F1189" i="55"/>
  <c r="F1254" i="55"/>
  <c r="F1257" i="55"/>
  <c r="F1256" i="55"/>
  <c r="F1258" i="55"/>
  <c r="F1255" i="55"/>
  <c r="F1253" i="55"/>
  <c r="E2627" i="55"/>
  <c r="E2871" i="55"/>
  <c r="E2749" i="55"/>
  <c r="E2164" i="55"/>
  <c r="E2286" i="55"/>
  <c r="E2408" i="55"/>
  <c r="E2163" i="55"/>
  <c r="E2285" i="55"/>
  <c r="E2748" i="55"/>
  <c r="E2407" i="55"/>
  <c r="E2870" i="55"/>
  <c r="E2626" i="55"/>
  <c r="F3011" i="55"/>
  <c r="F1092" i="55"/>
  <c r="F1212" i="55"/>
  <c r="F1213" i="55"/>
  <c r="F1370" i="55"/>
  <c r="X11" i="22"/>
  <c r="D72" i="49" s="1"/>
  <c r="F1187" i="55"/>
  <c r="F1093" i="55"/>
  <c r="E539" i="55"/>
  <c r="E497" i="55"/>
  <c r="E551" i="55"/>
  <c r="E527" i="55"/>
  <c r="E491" i="55"/>
  <c r="E524" i="55"/>
  <c r="E493" i="55"/>
  <c r="E542" i="55"/>
  <c r="F1442" i="55"/>
  <c r="F1444" i="55"/>
  <c r="F1443" i="55"/>
  <c r="J85" i="47"/>
  <c r="H1659" i="55"/>
  <c r="E2415" i="55"/>
  <c r="E2171" i="55"/>
  <c r="E2756" i="55"/>
  <c r="E2878" i="55"/>
  <c r="F1161" i="55"/>
  <c r="F1162" i="55"/>
  <c r="F1160" i="55"/>
  <c r="F1157" i="55"/>
  <c r="F1158" i="55"/>
  <c r="F1159" i="55"/>
  <c r="F1280" i="55"/>
  <c r="F1279" i="55"/>
  <c r="F1281" i="55"/>
  <c r="F1284" i="55"/>
  <c r="F1282" i="55"/>
  <c r="F1283" i="55"/>
  <c r="E1040" i="55"/>
  <c r="E516" i="55"/>
  <c r="E2952" i="55"/>
  <c r="E548" i="55"/>
  <c r="E487" i="55"/>
  <c r="E549" i="55"/>
  <c r="E7647" i="55"/>
  <c r="E504" i="55"/>
  <c r="E560" i="55"/>
  <c r="F1091" i="55"/>
  <c r="F1379" i="55"/>
  <c r="F1380" i="55"/>
  <c r="F1997" i="55"/>
  <c r="F1996" i="55"/>
  <c r="F1994" i="55"/>
  <c r="F1987" i="55"/>
  <c r="E2184" i="55"/>
  <c r="E2647" i="55"/>
  <c r="E1130" i="55"/>
  <c r="E1115" i="55"/>
  <c r="E1105" i="55"/>
  <c r="E1120" i="55"/>
  <c r="E1125" i="55"/>
  <c r="E1110" i="55"/>
  <c r="F1397" i="55"/>
  <c r="F1399" i="55"/>
  <c r="F1398" i="55"/>
  <c r="F1394" i="55"/>
  <c r="F1395" i="55"/>
  <c r="F1396" i="55"/>
  <c r="F3051" i="55"/>
  <c r="F1400" i="55"/>
  <c r="F1393" i="55"/>
  <c r="F2999" i="55"/>
  <c r="E518" i="55"/>
  <c r="E512" i="55"/>
  <c r="E556" i="55"/>
  <c r="E502" i="55"/>
  <c r="E546" i="55"/>
  <c r="E557" i="55"/>
  <c r="E526" i="55"/>
  <c r="E513" i="55"/>
  <c r="E521" i="55"/>
  <c r="F1096" i="55"/>
  <c r="F1221" i="55"/>
  <c r="F1220" i="55"/>
  <c r="F1222" i="55"/>
  <c r="F1223" i="55"/>
  <c r="F1224" i="55"/>
  <c r="E2639" i="55"/>
  <c r="E2761" i="55"/>
  <c r="E2883" i="55"/>
  <c r="E2420" i="55"/>
  <c r="E2176" i="55"/>
  <c r="E2298" i="55"/>
  <c r="F1139" i="55"/>
  <c r="F1140" i="55"/>
  <c r="F1144" i="55"/>
  <c r="F3023" i="55"/>
  <c r="E553" i="55"/>
  <c r="E522" i="55"/>
  <c r="E490" i="55"/>
  <c r="E506" i="55"/>
  <c r="E500" i="55"/>
  <c r="E517" i="55"/>
  <c r="E501" i="55"/>
  <c r="F2993" i="55"/>
  <c r="F1366" i="55"/>
  <c r="F1365" i="55"/>
  <c r="F1364" i="55"/>
  <c r="F3058" i="55"/>
  <c r="F1424" i="55"/>
  <c r="F1422" i="55"/>
  <c r="F1418" i="55"/>
  <c r="F1423" i="55"/>
  <c r="F1320" i="55"/>
  <c r="F1323" i="55"/>
  <c r="F1322" i="55"/>
  <c r="F1325" i="55"/>
  <c r="F1321" i="55"/>
  <c r="F1326" i="55"/>
  <c r="F1324" i="55"/>
  <c r="F3041" i="55"/>
  <c r="E536" i="55"/>
  <c r="E511" i="55"/>
  <c r="E7644" i="55"/>
  <c r="E541" i="55"/>
  <c r="E523" i="55"/>
  <c r="E562" i="55"/>
  <c r="F1411" i="55"/>
  <c r="F3055" i="55"/>
  <c r="F1409" i="55"/>
  <c r="F3056" i="55"/>
  <c r="F1415" i="55"/>
  <c r="F1414" i="55"/>
  <c r="F1413" i="55"/>
  <c r="F1410" i="55"/>
  <c r="F1412" i="55"/>
  <c r="F1416" i="55"/>
  <c r="F1381" i="55"/>
  <c r="F1382" i="55"/>
  <c r="F1375" i="55"/>
  <c r="F1376" i="55"/>
  <c r="F1479" i="55"/>
  <c r="F1481" i="55"/>
  <c r="F1480" i="55"/>
  <c r="F1482" i="55"/>
  <c r="F1095" i="55"/>
  <c r="E2954" i="55"/>
  <c r="E508" i="55"/>
  <c r="E519" i="55"/>
  <c r="E530" i="55"/>
  <c r="E535" i="55"/>
  <c r="F1210" i="55"/>
  <c r="F3034" i="55"/>
  <c r="F3022" i="55"/>
  <c r="F1086" i="55"/>
  <c r="F1089" i="55"/>
  <c r="F3028" i="55"/>
  <c r="F2992" i="55"/>
  <c r="F3046" i="55"/>
  <c r="F1088" i="55"/>
  <c r="F1090" i="55"/>
  <c r="F1087" i="55"/>
  <c r="F2998" i="55"/>
  <c r="F1085" i="55"/>
  <c r="F3040" i="55"/>
  <c r="F3010" i="55"/>
  <c r="F3004" i="55"/>
  <c r="F2986" i="55"/>
  <c r="F3016" i="55"/>
  <c r="E5045" i="55"/>
  <c r="E5052" i="55"/>
  <c r="E5053" i="55"/>
  <c r="F1176" i="55"/>
  <c r="F1177" i="55"/>
  <c r="F1175" i="55"/>
  <c r="F1179" i="55"/>
  <c r="F1178" i="55"/>
  <c r="F1180" i="55"/>
  <c r="F1358" i="55"/>
  <c r="F1360" i="55"/>
  <c r="F1359" i="55"/>
  <c r="F3005" i="55"/>
  <c r="E558" i="55"/>
  <c r="E509" i="55"/>
  <c r="E503" i="55"/>
  <c r="E507" i="55"/>
  <c r="E7649" i="55"/>
  <c r="F1214" i="55"/>
  <c r="F1295" i="55"/>
  <c r="F1292" i="55"/>
  <c r="F1296" i="55"/>
  <c r="F1297" i="55"/>
  <c r="F1298" i="55"/>
  <c r="F1294" i="55"/>
  <c r="F1293" i="55"/>
  <c r="F1198" i="55"/>
  <c r="F1197" i="55"/>
  <c r="F1262" i="55"/>
  <c r="F1263" i="55"/>
  <c r="F1260" i="55"/>
  <c r="F1259" i="55"/>
  <c r="F1261" i="55"/>
  <c r="F1264" i="55"/>
  <c r="F1243" i="55"/>
  <c r="F1245" i="55"/>
  <c r="F1242" i="55"/>
  <c r="F2987" i="55"/>
  <c r="E540" i="55"/>
  <c r="E7646" i="55"/>
  <c r="E495" i="55"/>
  <c r="F1211" i="55"/>
  <c r="E7558" i="55"/>
  <c r="E7572" i="55"/>
  <c r="E7576" i="55"/>
  <c r="E7568" i="55"/>
  <c r="E7565" i="55"/>
  <c r="E7577" i="55"/>
  <c r="E7580" i="55"/>
  <c r="E7561" i="55"/>
  <c r="E7557" i="55"/>
  <c r="E7578" i="55"/>
  <c r="E7564" i="55"/>
  <c r="E7556" i="55"/>
  <c r="E7579" i="55"/>
  <c r="E7570" i="55"/>
  <c r="E7571" i="55"/>
  <c r="E7555" i="55"/>
  <c r="E7575" i="55"/>
  <c r="E7562" i="55"/>
  <c r="E7566" i="55"/>
  <c r="E7567" i="55"/>
  <c r="E7559" i="55"/>
  <c r="F1447" i="55"/>
  <c r="F1446" i="55"/>
  <c r="F1445" i="55"/>
  <c r="F3017" i="55"/>
  <c r="E531" i="55"/>
  <c r="E7643" i="55"/>
  <c r="E550" i="55"/>
  <c r="E537" i="55"/>
  <c r="E7645" i="55"/>
  <c r="F1228" i="55"/>
  <c r="F1229" i="55"/>
  <c r="F3047" i="55"/>
  <c r="E559" i="55"/>
  <c r="E7648" i="55"/>
  <c r="E544" i="55"/>
  <c r="E554" i="55"/>
  <c r="E496" i="55"/>
  <c r="E2955" i="55"/>
  <c r="E543" i="55"/>
  <c r="E2886" i="55"/>
  <c r="E2179" i="55"/>
  <c r="E2764" i="55"/>
  <c r="E2423" i="55"/>
  <c r="E2301" i="55"/>
  <c r="E2642" i="55"/>
  <c r="F1367" i="55"/>
  <c r="F1369" i="55"/>
  <c r="F1368" i="55"/>
  <c r="F3044" i="55"/>
  <c r="F3032" i="55"/>
  <c r="F1108" i="55"/>
  <c r="F1074" i="55"/>
  <c r="F1077" i="55"/>
  <c r="F1073" i="55"/>
  <c r="F1076" i="55"/>
  <c r="F3014" i="55"/>
  <c r="F1078" i="55"/>
  <c r="F3026" i="55"/>
  <c r="F1075" i="55"/>
  <c r="F3038" i="55"/>
  <c r="F1109" i="55"/>
  <c r="F3020" i="55"/>
  <c r="F1110" i="55"/>
  <c r="F2996" i="55"/>
  <c r="F2990" i="55"/>
  <c r="F3002" i="55"/>
  <c r="F2984" i="55"/>
  <c r="F1111" i="55"/>
  <c r="F1188" i="55"/>
  <c r="F3035" i="55"/>
  <c r="E534" i="55"/>
  <c r="E488" i="55"/>
  <c r="E7642" i="55"/>
  <c r="E2953" i="55"/>
  <c r="E552" i="55"/>
  <c r="E532" i="55"/>
  <c r="F1152" i="55"/>
  <c r="F1156" i="55"/>
  <c r="F1155" i="55"/>
  <c r="F1154" i="55"/>
  <c r="F1153" i="55"/>
  <c r="F1151" i="55"/>
  <c r="F1336" i="55"/>
  <c r="F1335" i="55"/>
  <c r="F1337" i="55"/>
  <c r="F1338" i="55"/>
  <c r="F1334" i="55"/>
  <c r="F1339" i="55"/>
  <c r="F1340" i="55"/>
  <c r="E2862" i="55"/>
  <c r="E2740" i="55"/>
  <c r="E2155" i="55"/>
  <c r="E2618" i="55"/>
  <c r="E2399" i="55"/>
  <c r="E2277" i="55"/>
  <c r="H1548" i="55"/>
  <c r="F84" i="47"/>
  <c r="E2596" i="55"/>
  <c r="E2377" i="55"/>
  <c r="E2133" i="55"/>
  <c r="E2255" i="55"/>
  <c r="E2718" i="55"/>
  <c r="E184" i="55"/>
  <c r="E62" i="55"/>
  <c r="F1496" i="55"/>
  <c r="F1495" i="55"/>
  <c r="F1497" i="55"/>
  <c r="F1498" i="55"/>
  <c r="E3016" i="55"/>
  <c r="E3003" i="55"/>
  <c r="E3014" i="55"/>
  <c r="E3006" i="55"/>
  <c r="E3004" i="55"/>
  <c r="E3017" i="55"/>
  <c r="E3008" i="55"/>
  <c r="E3013" i="55"/>
  <c r="E3009" i="55"/>
  <c r="E3002" i="55"/>
  <c r="E3001" i="55"/>
  <c r="E3011" i="55"/>
  <c r="E3007" i="55"/>
  <c r="E3015" i="55"/>
  <c r="E3012" i="55"/>
  <c r="E3018" i="55"/>
  <c r="E3010" i="55"/>
  <c r="E3005" i="55"/>
  <c r="E2725" i="55"/>
  <c r="E2603" i="55"/>
  <c r="E238" i="55"/>
  <c r="E116" i="55"/>
  <c r="F1426" i="55"/>
  <c r="F1429" i="55"/>
  <c r="F1430" i="55"/>
  <c r="F1432" i="55"/>
  <c r="F1427" i="55"/>
  <c r="F1428" i="55"/>
  <c r="F1425" i="55"/>
  <c r="E2990" i="55"/>
  <c r="E2988" i="55"/>
  <c r="E2993" i="55"/>
  <c r="E2992" i="55"/>
  <c r="E2986" i="55"/>
  <c r="E2983" i="55"/>
  <c r="E2984" i="55"/>
  <c r="E2989" i="55"/>
  <c r="E2987" i="55"/>
  <c r="E2994" i="55"/>
  <c r="E2985" i="55"/>
  <c r="E2693" i="55"/>
  <c r="E2108" i="55"/>
  <c r="E2352" i="55"/>
  <c r="E2571" i="55"/>
  <c r="E30" i="55"/>
  <c r="E152" i="55"/>
  <c r="F1166" i="55"/>
  <c r="F1164" i="55"/>
  <c r="F1165" i="55"/>
  <c r="F1168" i="55"/>
  <c r="F1167" i="55"/>
  <c r="F1163" i="55"/>
  <c r="D426" i="55"/>
  <c r="D515" i="55"/>
  <c r="D2950" i="55"/>
  <c r="D509" i="55"/>
  <c r="D7636" i="55"/>
  <c r="D559" i="55"/>
  <c r="D469" i="55"/>
  <c r="D549" i="55"/>
  <c r="D554" i="55"/>
  <c r="D434" i="55"/>
  <c r="D552" i="55"/>
  <c r="D7647" i="55"/>
  <c r="D474" i="55"/>
  <c r="D462" i="55"/>
  <c r="D516" i="55"/>
  <c r="D510" i="55"/>
  <c r="D7646" i="55"/>
  <c r="D492" i="55"/>
  <c r="D432" i="55"/>
  <c r="D455" i="55"/>
  <c r="D543" i="55"/>
  <c r="D563" i="55"/>
  <c r="D512" i="55"/>
  <c r="D494" i="55"/>
  <c r="D528" i="55"/>
  <c r="D501" i="55"/>
  <c r="D490" i="55"/>
  <c r="D537" i="55"/>
  <c r="D478" i="55"/>
  <c r="D427" i="55"/>
  <c r="D417" i="55"/>
  <c r="D561" i="55"/>
  <c r="D522" i="55"/>
  <c r="D538" i="55"/>
  <c r="D500" i="55"/>
  <c r="D452" i="55"/>
  <c r="D439" i="55"/>
  <c r="D502" i="55"/>
  <c r="D493" i="55"/>
  <c r="D507" i="55"/>
  <c r="D473" i="55"/>
  <c r="D7639" i="55"/>
  <c r="D449" i="55"/>
  <c r="D420" i="55"/>
  <c r="D458" i="55"/>
  <c r="D2946" i="55"/>
  <c r="D553" i="55"/>
  <c r="D562" i="55"/>
  <c r="D534" i="55"/>
  <c r="D508" i="55"/>
  <c r="D431" i="55"/>
  <c r="D423" i="55"/>
  <c r="D485" i="55"/>
  <c r="D539" i="55"/>
  <c r="D7643" i="55"/>
  <c r="D496" i="55"/>
  <c r="D2952" i="55"/>
  <c r="D409" i="55"/>
  <c r="D536" i="55"/>
  <c r="D456" i="55"/>
  <c r="D457" i="55"/>
  <c r="D487" i="55"/>
  <c r="D2953" i="55"/>
  <c r="D471" i="55"/>
  <c r="D555" i="55"/>
  <c r="D410" i="55"/>
  <c r="D414" i="55"/>
  <c r="D476" i="55"/>
  <c r="D418" i="55"/>
  <c r="D517" i="55"/>
  <c r="D415" i="55"/>
  <c r="D465" i="55"/>
  <c r="D479" i="55"/>
  <c r="D532" i="55"/>
  <c r="D545" i="55"/>
  <c r="D428" i="55"/>
  <c r="D533" i="55"/>
  <c r="D7648" i="55"/>
  <c r="D444" i="55"/>
  <c r="D544" i="55"/>
  <c r="D535" i="55"/>
  <c r="D498" i="55"/>
  <c r="D468" i="55"/>
  <c r="D484" i="55"/>
  <c r="D475" i="55"/>
  <c r="D7640" i="55"/>
  <c r="D525" i="55"/>
  <c r="D437" i="55"/>
  <c r="D7642" i="55"/>
  <c r="D526" i="55"/>
  <c r="D430" i="55"/>
  <c r="D547" i="55"/>
  <c r="D7645" i="55"/>
  <c r="D443" i="55"/>
  <c r="D413" i="55"/>
  <c r="D412" i="55"/>
  <c r="D7634" i="55"/>
  <c r="D558" i="55"/>
  <c r="D419" i="55"/>
  <c r="D504" i="55"/>
  <c r="D433" i="55"/>
  <c r="D466" i="55"/>
  <c r="D527" i="55"/>
  <c r="D481" i="55"/>
  <c r="D560" i="55"/>
  <c r="D425" i="55"/>
  <c r="D416" i="55"/>
  <c r="D520" i="55"/>
  <c r="D524" i="55"/>
  <c r="D488" i="55"/>
  <c r="D2954" i="55"/>
  <c r="D435" i="55"/>
  <c r="D505" i="55"/>
  <c r="D460" i="55"/>
  <c r="D514" i="55"/>
  <c r="D519" i="55"/>
  <c r="D450" i="55"/>
  <c r="D521" i="55"/>
  <c r="D472" i="55"/>
  <c r="D7635" i="55"/>
  <c r="D503" i="55"/>
  <c r="D499" i="55"/>
  <c r="D513" i="55"/>
  <c r="D2956" i="55"/>
  <c r="D442" i="55"/>
  <c r="D506" i="55"/>
  <c r="D556" i="55"/>
  <c r="D445" i="55"/>
  <c r="D540" i="55"/>
  <c r="D2949" i="55"/>
  <c r="D523" i="55"/>
  <c r="D477" i="55"/>
  <c r="D497" i="55"/>
  <c r="D438" i="55"/>
  <c r="D7644" i="55"/>
  <c r="D551" i="55"/>
  <c r="D424" i="55"/>
  <c r="D530" i="55"/>
  <c r="D459" i="55"/>
  <c r="D463" i="55"/>
  <c r="D546" i="55"/>
  <c r="D436" i="55"/>
  <c r="D495" i="55"/>
  <c r="D451" i="55"/>
  <c r="D454" i="55"/>
  <c r="D7638" i="55"/>
  <c r="D541" i="55"/>
  <c r="D446" i="55"/>
  <c r="D470" i="55"/>
  <c r="D7637" i="55"/>
  <c r="D511" i="55"/>
  <c r="D489" i="55"/>
  <c r="D440" i="55"/>
  <c r="D422" i="55"/>
  <c r="D531" i="55"/>
  <c r="D7641" i="55"/>
  <c r="D550" i="55"/>
  <c r="D447" i="55"/>
  <c r="D2948" i="55"/>
  <c r="D2955" i="55"/>
  <c r="D461" i="55"/>
  <c r="D7649" i="55"/>
  <c r="D483" i="55"/>
  <c r="D548" i="55"/>
  <c r="D518" i="55"/>
  <c r="D557" i="55"/>
  <c r="D464" i="55"/>
  <c r="D411" i="55"/>
  <c r="D448" i="55"/>
  <c r="D480" i="55"/>
  <c r="D467" i="55"/>
  <c r="D429" i="55"/>
  <c r="D529" i="55"/>
  <c r="D421" i="55"/>
  <c r="D453" i="55"/>
  <c r="D542" i="55"/>
  <c r="D2947" i="55"/>
  <c r="D441" i="55"/>
  <c r="D491" i="55"/>
  <c r="D482" i="55"/>
  <c r="E142" i="55"/>
  <c r="E20" i="55"/>
  <c r="E147" i="55"/>
  <c r="E25" i="55"/>
  <c r="E179" i="55"/>
  <c r="E57" i="55"/>
  <c r="E528" i="55"/>
  <c r="E515" i="55"/>
  <c r="E514" i="55"/>
  <c r="E505" i="55"/>
  <c r="E533" i="55"/>
  <c r="E538" i="55"/>
  <c r="E563" i="55"/>
  <c r="E510" i="55"/>
  <c r="E494" i="55"/>
  <c r="E525" i="55"/>
  <c r="E137" i="55"/>
  <c r="E15" i="55"/>
  <c r="F3024" i="55"/>
  <c r="F3012" i="55"/>
  <c r="F1131" i="55"/>
  <c r="E801" i="55"/>
  <c r="E7678" i="55"/>
  <c r="E839" i="55"/>
  <c r="E838" i="55"/>
  <c r="E806" i="55"/>
  <c r="E825" i="55"/>
  <c r="E832" i="55"/>
  <c r="E7680" i="55"/>
  <c r="E804" i="55"/>
  <c r="E852" i="55"/>
  <c r="E874" i="55"/>
  <c r="E2977" i="55"/>
  <c r="E7676" i="55"/>
  <c r="E800" i="55"/>
  <c r="E7675" i="55"/>
  <c r="E863" i="55"/>
  <c r="E835" i="55"/>
  <c r="E821" i="55"/>
  <c r="E808" i="55"/>
  <c r="E831" i="55"/>
  <c r="E815" i="55"/>
  <c r="E846" i="55"/>
  <c r="E865" i="55"/>
  <c r="E853" i="55"/>
  <c r="E812" i="55"/>
  <c r="E844" i="55"/>
  <c r="E855" i="55"/>
  <c r="E837" i="55"/>
  <c r="E836" i="55"/>
  <c r="E869" i="55"/>
  <c r="E803" i="55"/>
  <c r="E809" i="55"/>
  <c r="E813" i="55"/>
  <c r="E862" i="55"/>
  <c r="E799" i="55"/>
  <c r="E820" i="55"/>
  <c r="E875" i="55"/>
  <c r="E2979" i="55"/>
  <c r="E840" i="55"/>
  <c r="E851" i="55"/>
  <c r="E817" i="55"/>
  <c r="E7679" i="55"/>
  <c r="E2980" i="55"/>
  <c r="E861" i="55"/>
  <c r="E7677" i="55"/>
  <c r="E824" i="55"/>
  <c r="E834" i="55"/>
  <c r="E842" i="55"/>
  <c r="E811" i="55"/>
  <c r="E814" i="55"/>
  <c r="E823" i="55"/>
  <c r="E7681" i="55"/>
  <c r="E850" i="55"/>
  <c r="E857" i="55"/>
  <c r="E859" i="55"/>
  <c r="E2976" i="55"/>
  <c r="E833" i="55"/>
  <c r="E847" i="55"/>
  <c r="E826" i="55"/>
  <c r="E816" i="55"/>
  <c r="E2978" i="55"/>
  <c r="E871" i="55"/>
  <c r="E828" i="55"/>
  <c r="E854" i="55"/>
  <c r="E866" i="55"/>
  <c r="E827" i="55"/>
  <c r="E841" i="55"/>
  <c r="E822" i="55"/>
  <c r="E7674" i="55"/>
  <c r="E810" i="55"/>
  <c r="E807" i="55"/>
  <c r="E848" i="55"/>
  <c r="E858" i="55"/>
  <c r="E830" i="55"/>
  <c r="E829" i="55"/>
  <c r="E845" i="55"/>
  <c r="E868" i="55"/>
  <c r="E860" i="55"/>
  <c r="E864" i="55"/>
  <c r="E843" i="55"/>
  <c r="E867" i="55"/>
  <c r="E849" i="55"/>
  <c r="E802" i="55"/>
  <c r="E819" i="55"/>
  <c r="E805" i="55"/>
  <c r="E872" i="55"/>
  <c r="E870" i="55"/>
  <c r="E873" i="55"/>
  <c r="E856" i="55"/>
  <c r="E818" i="55"/>
  <c r="F1310" i="55"/>
  <c r="F1311" i="55"/>
  <c r="F1306" i="55"/>
  <c r="F1312" i="55"/>
  <c r="F1307" i="55"/>
  <c r="E167" i="55"/>
  <c r="E45" i="55"/>
  <c r="F1233" i="55"/>
  <c r="F1230" i="55"/>
  <c r="F1231" i="55"/>
  <c r="E2825" i="55"/>
  <c r="E2581" i="55"/>
  <c r="E2118" i="55"/>
  <c r="E2240" i="55"/>
  <c r="E2362" i="55"/>
  <c r="E2703" i="55"/>
  <c r="E162" i="55"/>
  <c r="E40" i="55"/>
  <c r="E228" i="55"/>
  <c r="E106" i="55"/>
  <c r="E2810" i="55"/>
  <c r="E2225" i="55"/>
  <c r="E2347" i="55"/>
  <c r="E2688" i="55"/>
  <c r="E2566" i="55"/>
  <c r="E2103" i="55"/>
  <c r="E2199" i="55"/>
  <c r="E2784" i="55"/>
  <c r="E2443" i="55"/>
  <c r="E2321" i="55"/>
  <c r="E2662" i="55"/>
  <c r="E2906" i="55"/>
  <c r="E50" i="55"/>
  <c r="E172" i="55"/>
  <c r="F1265" i="55"/>
  <c r="F1266" i="55"/>
  <c r="F1267" i="55"/>
  <c r="F1270" i="55"/>
  <c r="F1269" i="55"/>
  <c r="F1268" i="55"/>
  <c r="E3026" i="55"/>
  <c r="E3025" i="55"/>
  <c r="E1015" i="55"/>
  <c r="E1039" i="55"/>
  <c r="E2250" i="55"/>
  <c r="E2835" i="55"/>
  <c r="E2372" i="55"/>
  <c r="E2128" i="55"/>
  <c r="E2591" i="55"/>
  <c r="E2713" i="55"/>
  <c r="E129" i="55"/>
  <c r="E251" i="55"/>
  <c r="F223" i="55"/>
  <c r="F240" i="55"/>
  <c r="F135" i="55"/>
  <c r="F155" i="55"/>
  <c r="F191" i="55"/>
  <c r="F154" i="55"/>
  <c r="F235" i="55"/>
  <c r="F248" i="55"/>
  <c r="F136" i="55"/>
  <c r="F142" i="55"/>
  <c r="F209" i="55"/>
  <c r="F201" i="55"/>
  <c r="F217" i="55"/>
  <c r="F140" i="55"/>
  <c r="F176" i="55"/>
  <c r="F215" i="55"/>
  <c r="F170" i="55"/>
  <c r="F152" i="55"/>
  <c r="F233" i="55"/>
  <c r="F156" i="55"/>
  <c r="F220" i="55"/>
  <c r="F149" i="55"/>
  <c r="F195" i="55"/>
  <c r="F188" i="55"/>
  <c r="F199" i="55"/>
  <c r="F184" i="55"/>
  <c r="F146" i="55"/>
  <c r="F181" i="55"/>
  <c r="F137" i="55"/>
  <c r="F157" i="55"/>
  <c r="F162" i="55"/>
  <c r="F165" i="55"/>
  <c r="F159" i="55"/>
  <c r="F197" i="55"/>
  <c r="F178" i="55"/>
  <c r="F212" i="55"/>
  <c r="F242" i="55"/>
  <c r="F141" i="55"/>
  <c r="F166" i="55"/>
  <c r="F219" i="55"/>
  <c r="F244" i="55"/>
  <c r="F250" i="55"/>
  <c r="F194" i="55"/>
  <c r="F171" i="55"/>
  <c r="F200" i="55"/>
  <c r="F210" i="55"/>
  <c r="F237" i="55"/>
  <c r="F150" i="55"/>
  <c r="F218" i="55"/>
  <c r="F167" i="55"/>
  <c r="F144" i="55"/>
  <c r="F225" i="55"/>
  <c r="F226" i="55"/>
  <c r="F172" i="55"/>
  <c r="F169" i="55"/>
  <c r="F196" i="55"/>
  <c r="F221" i="55"/>
  <c r="F134" i="55"/>
  <c r="F236" i="55"/>
  <c r="F193" i="55"/>
  <c r="F145" i="55"/>
  <c r="F183" i="55"/>
  <c r="F147" i="55"/>
  <c r="F230" i="55"/>
  <c r="F211" i="55"/>
  <c r="F203" i="55"/>
  <c r="F179" i="55"/>
  <c r="F231" i="55"/>
  <c r="F208" i="55"/>
  <c r="F182" i="55"/>
  <c r="F160" i="55"/>
  <c r="F228" i="55"/>
  <c r="F227" i="55"/>
  <c r="F204" i="55"/>
  <c r="F213" i="55"/>
  <c r="F207" i="55"/>
  <c r="F192" i="55"/>
  <c r="F251" i="55"/>
  <c r="F238" i="55"/>
  <c r="F164" i="55"/>
  <c r="F202" i="55"/>
  <c r="F151" i="55"/>
  <c r="F174" i="55"/>
  <c r="F139" i="55"/>
  <c r="F186" i="55"/>
  <c r="F205" i="55"/>
  <c r="F232" i="55"/>
  <c r="F249" i="55"/>
  <c r="F177" i="55"/>
  <c r="F216" i="55"/>
  <c r="F214" i="55"/>
  <c r="F161" i="55"/>
  <c r="E2235" i="55"/>
  <c r="N144" i="47"/>
  <c r="N80" i="47" s="1"/>
  <c r="F1301" i="55"/>
  <c r="F1304" i="55"/>
  <c r="F1300" i="55"/>
  <c r="F1303" i="55"/>
  <c r="F1302" i="55"/>
  <c r="F1299" i="55"/>
  <c r="F1305" i="55"/>
  <c r="F1468" i="55"/>
  <c r="F1469" i="55"/>
  <c r="F1470" i="55"/>
  <c r="F1467" i="55"/>
  <c r="AB45" i="47"/>
  <c r="H1940" i="55" s="1"/>
  <c r="C104" i="47"/>
  <c r="L135" i="47"/>
  <c r="L139" i="47"/>
  <c r="H1680" i="55"/>
  <c r="W45" i="47"/>
  <c r="F53" i="47"/>
  <c r="AB53" i="47" s="1"/>
  <c r="H1946" i="55" s="1"/>
  <c r="H1670" i="55"/>
  <c r="G11" i="49"/>
  <c r="H2021" i="55" s="1"/>
  <c r="H1524" i="55"/>
  <c r="H1613" i="55"/>
  <c r="H1637" i="55"/>
  <c r="W35" i="47"/>
  <c r="H1882" i="55" s="1"/>
  <c r="D7756" i="55"/>
  <c r="D7758" i="55"/>
  <c r="D7757" i="55"/>
  <c r="D17" i="48"/>
  <c r="G36" i="49" s="1"/>
  <c r="H1674" i="55"/>
  <c r="L57" i="47"/>
  <c r="E1032" i="55"/>
  <c r="P63" i="47"/>
  <c r="E7787" i="55"/>
  <c r="E7764" i="55"/>
  <c r="E7797" i="55"/>
  <c r="E7786" i="55"/>
  <c r="E7775" i="55"/>
  <c r="E7763" i="55"/>
  <c r="E7796" i="55"/>
  <c r="E7785" i="55"/>
  <c r="E7774" i="55"/>
  <c r="E7762" i="55"/>
  <c r="E7795" i="55"/>
  <c r="E7784" i="55"/>
  <c r="E7773" i="55"/>
  <c r="E7761" i="55"/>
  <c r="E7779" i="55"/>
  <c r="E7794" i="55"/>
  <c r="E7783" i="55"/>
  <c r="E7772" i="55"/>
  <c r="E7793" i="55"/>
  <c r="E7782" i="55"/>
  <c r="E7771" i="55"/>
  <c r="E7769" i="55"/>
  <c r="E7792" i="55"/>
  <c r="E7781" i="55"/>
  <c r="E7770" i="55"/>
  <c r="E7768" i="55"/>
  <c r="E7791" i="55"/>
  <c r="E7780" i="55"/>
  <c r="E7790" i="55"/>
  <c r="E7789" i="55"/>
  <c r="E7778" i="55"/>
  <c r="E7767" i="55"/>
  <c r="E7777" i="55"/>
  <c r="E7766" i="55"/>
  <c r="E7788" i="55"/>
  <c r="E7776" i="55"/>
  <c r="E7765" i="55"/>
  <c r="CT72" i="63"/>
  <c r="H2256" i="55"/>
  <c r="M36" i="52"/>
  <c r="H2364" i="55" s="1"/>
  <c r="M30" i="52"/>
  <c r="H2358" i="55" s="1"/>
  <c r="H2257" i="55"/>
  <c r="H2321" i="55"/>
  <c r="BT103" i="63"/>
  <c r="CW103" i="63" s="1"/>
  <c r="BT96" i="63"/>
  <c r="CW96" i="63" s="1"/>
  <c r="BT105" i="63"/>
  <c r="CW105" i="63" s="1"/>
  <c r="CN45" i="13"/>
  <c r="CL45" i="13"/>
  <c r="DF60" i="13"/>
  <c r="DJ60" i="13" s="1"/>
  <c r="AD60" i="13"/>
  <c r="AH60" i="13" s="1"/>
  <c r="F2989" i="55"/>
  <c r="F1067" i="55"/>
  <c r="F1072" i="55"/>
  <c r="F3031" i="55"/>
  <c r="F1070" i="55"/>
  <c r="F1069" i="55"/>
  <c r="F3019" i="55"/>
  <c r="F2995" i="55"/>
  <c r="F2983" i="55"/>
  <c r="F3013" i="55"/>
  <c r="F3037" i="55"/>
  <c r="F1071" i="55"/>
  <c r="F3001" i="55"/>
  <c r="F3025" i="55"/>
  <c r="F3043" i="55"/>
  <c r="F1068" i="55"/>
  <c r="F3007" i="55"/>
  <c r="H2893" i="55"/>
  <c r="K128" i="52"/>
  <c r="CF82" i="63"/>
  <c r="DI82" i="63" s="1"/>
  <c r="BL33" i="13"/>
  <c r="BT19" i="63"/>
  <c r="CW19" i="63" s="1"/>
  <c r="BT110" i="63"/>
  <c r="CW110" i="63" s="1"/>
  <c r="BT52" i="63"/>
  <c r="CW52" i="63" s="1"/>
  <c r="BT37" i="63"/>
  <c r="CW37" i="63" s="1"/>
  <c r="AB35" i="10"/>
  <c r="Z35" i="10"/>
  <c r="AD35" i="10"/>
  <c r="D53" i="12" s="1"/>
  <c r="G53" i="12" s="1"/>
  <c r="F1465" i="55"/>
  <c r="F1463" i="55"/>
  <c r="F1464" i="55"/>
  <c r="F1466" i="55"/>
  <c r="AN30" i="13"/>
  <c r="AR30" i="13" s="1"/>
  <c r="CX47" i="13"/>
  <c r="CZ47" i="13" s="1"/>
  <c r="AD30" i="10"/>
  <c r="D48" i="12" s="1"/>
  <c r="G48" i="12" s="1"/>
  <c r="CF104" i="63"/>
  <c r="DI104" i="63" s="1"/>
  <c r="BT99" i="63"/>
  <c r="CW99" i="63" s="1"/>
  <c r="BT15" i="63"/>
  <c r="CW15" i="63" s="1"/>
  <c r="BT58" i="63"/>
  <c r="CW58" i="63" s="1"/>
  <c r="BZ43" i="63"/>
  <c r="DC43" i="63" s="1"/>
  <c r="F1490" i="55"/>
  <c r="F1489" i="55"/>
  <c r="F1488" i="55"/>
  <c r="F1487" i="55"/>
  <c r="CL38" i="13"/>
  <c r="CP38" i="13" s="1"/>
  <c r="DZ64" i="13"/>
  <c r="ED64" i="13" s="1"/>
  <c r="N53" i="52"/>
  <c r="N69" i="52" s="1"/>
  <c r="N130" i="52" s="1"/>
  <c r="F53" i="8"/>
  <c r="F69" i="8" s="1"/>
  <c r="CF68" i="63"/>
  <c r="DI68" i="63" s="1"/>
  <c r="BT106" i="63"/>
  <c r="CW106" i="63" s="1"/>
  <c r="BT32" i="63"/>
  <c r="CW32" i="63" s="1"/>
  <c r="BZ53" i="63"/>
  <c r="DC53" i="63" s="1"/>
  <c r="BZ49" i="63"/>
  <c r="DC49" i="63" s="1"/>
  <c r="CV58" i="13"/>
  <c r="CZ58" i="13" s="1"/>
  <c r="CL67" i="13"/>
  <c r="CP67" i="13" s="1"/>
  <c r="DP38" i="13"/>
  <c r="DT38" i="13" s="1"/>
  <c r="J20" i="49"/>
  <c r="H2054" i="55" s="1"/>
  <c r="CF48" i="13"/>
  <c r="Z33" i="10"/>
  <c r="CF23" i="63"/>
  <c r="DI23" i="63" s="1"/>
  <c r="BT70" i="63"/>
  <c r="CW70" i="63" s="1"/>
  <c r="BT67" i="63"/>
  <c r="CW67" i="63" s="1"/>
  <c r="BZ98" i="63"/>
  <c r="DC98" i="63" s="1"/>
  <c r="BZ81" i="63"/>
  <c r="DC81" i="63" s="1"/>
  <c r="CB32" i="63"/>
  <c r="DE32" i="63" s="1"/>
  <c r="H2203" i="55"/>
  <c r="F128" i="52"/>
  <c r="AX68" i="13"/>
  <c r="BB68" i="13" s="1"/>
  <c r="AN68" i="13"/>
  <c r="AR68" i="13" s="1"/>
  <c r="T68" i="13"/>
  <c r="X68" i="13" s="1"/>
  <c r="CB68" i="13"/>
  <c r="CF68" i="13" s="1"/>
  <c r="BH68" i="13"/>
  <c r="BL68" i="13" s="1"/>
  <c r="N68" i="13"/>
  <c r="DZ68" i="13"/>
  <c r="ED68" i="13" s="1"/>
  <c r="DP68" i="13"/>
  <c r="DT68" i="13" s="1"/>
  <c r="AF47" i="13"/>
  <c r="AH47" i="13" s="1"/>
  <c r="CZ48" i="13"/>
  <c r="CF96" i="63"/>
  <c r="DI96" i="63" s="1"/>
  <c r="BT12" i="63"/>
  <c r="CW12" i="63" s="1"/>
  <c r="BT64" i="63"/>
  <c r="CW64" i="63" s="1"/>
  <c r="EL51" i="13"/>
  <c r="EN51" i="13" s="1"/>
  <c r="EJ51" i="13"/>
  <c r="BL58" i="63"/>
  <c r="CO58" i="63" s="1"/>
  <c r="BL93" i="63"/>
  <c r="CO93" i="63" s="1"/>
  <c r="BL91" i="63"/>
  <c r="CO91" i="63" s="1"/>
  <c r="BL54" i="63"/>
  <c r="CO54" i="63" s="1"/>
  <c r="BL89" i="63"/>
  <c r="CO89" i="63" s="1"/>
  <c r="BL86" i="63"/>
  <c r="CO86" i="63" s="1"/>
  <c r="BL87" i="63"/>
  <c r="CO87" i="63" s="1"/>
  <c r="AC58" i="10"/>
  <c r="AD58" i="10"/>
  <c r="D76" i="12" s="1"/>
  <c r="G76" i="12" s="1"/>
  <c r="D25" i="12" s="1"/>
  <c r="Z58" i="10"/>
  <c r="BT47" i="63"/>
  <c r="CW47" i="63" s="1"/>
  <c r="BT81" i="63"/>
  <c r="CW81" i="63" s="1"/>
  <c r="CJ22" i="63"/>
  <c r="DM22" i="63" s="1"/>
  <c r="CJ113" i="63"/>
  <c r="DM113" i="63" s="1"/>
  <c r="DM116" i="63" s="1"/>
  <c r="CJ63" i="63"/>
  <c r="DM63" i="63" s="1"/>
  <c r="CJ66" i="63"/>
  <c r="DM66" i="63" s="1"/>
  <c r="CJ15" i="63"/>
  <c r="DM15" i="63" s="1"/>
  <c r="CJ17" i="63"/>
  <c r="DM17" i="63" s="1"/>
  <c r="CJ42" i="63"/>
  <c r="DM42" i="63" s="1"/>
  <c r="M36" i="13"/>
  <c r="EJ36" i="13"/>
  <c r="EN36" i="13" s="1"/>
  <c r="BR36" i="13"/>
  <c r="BV36" i="13" s="1"/>
  <c r="AX36" i="13"/>
  <c r="BB36" i="13" s="1"/>
  <c r="AD36" i="13"/>
  <c r="AH36" i="13" s="1"/>
  <c r="CL30" i="13"/>
  <c r="CP30" i="13" s="1"/>
  <c r="BT63" i="63"/>
  <c r="CW63" i="63" s="1"/>
  <c r="BT41" i="63"/>
  <c r="CW41" i="63" s="1"/>
  <c r="BT23" i="63"/>
  <c r="CW23" i="63" s="1"/>
  <c r="E232" i="55"/>
  <c r="E110" i="55"/>
  <c r="DJ65" i="13"/>
  <c r="BT54" i="63"/>
  <c r="CW54" i="63" s="1"/>
  <c r="BT39" i="63"/>
  <c r="CW39" i="63" s="1"/>
  <c r="BT45" i="63"/>
  <c r="CW45" i="63" s="1"/>
  <c r="E29" i="55"/>
  <c r="E151" i="55"/>
  <c r="CT116" i="63"/>
  <c r="BT83" i="63"/>
  <c r="CW83" i="63" s="1"/>
  <c r="BT97" i="63"/>
  <c r="CW97" i="63" s="1"/>
  <c r="BT86" i="63"/>
  <c r="CW86" i="63" s="1"/>
  <c r="DB116" i="63"/>
  <c r="CP72" i="63"/>
  <c r="CP116" i="63"/>
  <c r="BP46" i="63"/>
  <c r="CS46" i="63" s="1"/>
  <c r="BP21" i="63"/>
  <c r="CS21" i="63" s="1"/>
  <c r="BT112" i="63"/>
  <c r="CW112" i="63" s="1"/>
  <c r="BT16" i="63"/>
  <c r="CW16" i="63" s="1"/>
  <c r="BT44" i="63"/>
  <c r="CW44" i="63" s="1"/>
  <c r="DB72" i="63"/>
  <c r="DP45" i="13"/>
  <c r="DT45" i="13" s="1"/>
  <c r="DR45" i="13"/>
  <c r="N45" i="13"/>
  <c r="AP45" i="13"/>
  <c r="AR45" i="13" s="1"/>
  <c r="AB48" i="10"/>
  <c r="Z48" i="10"/>
  <c r="AD48" i="10"/>
  <c r="D66" i="12" s="1"/>
  <c r="G66" i="12" s="1"/>
  <c r="DF116" i="63"/>
  <c r="DF72" i="63"/>
  <c r="BT46" i="63"/>
  <c r="CW46" i="63" s="1"/>
  <c r="BT21" i="63"/>
  <c r="CW21" i="63" s="1"/>
  <c r="BT85" i="63"/>
  <c r="CW85" i="63" s="1"/>
  <c r="DF53" i="13"/>
  <c r="CX45" i="13"/>
  <c r="CV45" i="13"/>
  <c r="AB50" i="10"/>
  <c r="Z50" i="10"/>
  <c r="AD50" i="10"/>
  <c r="D68" i="12" s="1"/>
  <c r="G68" i="12" s="1"/>
  <c r="M58" i="13"/>
  <c r="DF58" i="13"/>
  <c r="DJ58" i="13" s="1"/>
  <c r="M16" i="52"/>
  <c r="H2344" i="55" s="1"/>
  <c r="M104" i="52"/>
  <c r="H2428" i="55" s="1"/>
  <c r="H2290" i="55"/>
  <c r="H2269" i="55"/>
  <c r="H2220" i="55"/>
  <c r="M58" i="52"/>
  <c r="H2384" i="55" s="1"/>
  <c r="M49" i="52"/>
  <c r="M48" i="52" s="1"/>
  <c r="M21" i="52"/>
  <c r="H2349" i="55" s="1"/>
  <c r="L48" i="52"/>
  <c r="H2254" i="55" s="1"/>
  <c r="J48" i="52"/>
  <c r="M85" i="52"/>
  <c r="H2409" i="55" s="1"/>
  <c r="M87" i="52"/>
  <c r="H2411" i="55" s="1"/>
  <c r="M99" i="52"/>
  <c r="H2423" i="55" s="1"/>
  <c r="M35" i="52"/>
  <c r="H2363" i="55" s="1"/>
  <c r="H2235" i="55"/>
  <c r="M94" i="52"/>
  <c r="H2418" i="55" s="1"/>
  <c r="M75" i="52"/>
  <c r="H2399" i="55" s="1"/>
  <c r="M41" i="52"/>
  <c r="H2369" i="55" s="1"/>
  <c r="H2251" i="55"/>
  <c r="M95" i="52"/>
  <c r="H2419" i="55" s="1"/>
  <c r="M103" i="52"/>
  <c r="H2427" i="55" s="1"/>
  <c r="H2303" i="55"/>
  <c r="M92" i="52"/>
  <c r="H2416" i="55" s="1"/>
  <c r="M44" i="52"/>
  <c r="H2372" i="55" s="1"/>
  <c r="H2226" i="55"/>
  <c r="H2281" i="55"/>
  <c r="L111" i="52"/>
  <c r="H2310" i="55" s="1"/>
  <c r="M86" i="52"/>
  <c r="H2410" i="55" s="1"/>
  <c r="H2232" i="55"/>
  <c r="H2323" i="55"/>
  <c r="M77" i="52"/>
  <c r="H2401" i="55" s="1"/>
  <c r="H2286" i="55"/>
  <c r="M117" i="52"/>
  <c r="H2438" i="55" s="1"/>
  <c r="J139" i="52"/>
  <c r="H139" i="52" s="1"/>
  <c r="H2302" i="55"/>
  <c r="J43" i="52"/>
  <c r="H2298" i="55"/>
  <c r="H2311" i="55"/>
  <c r="J111" i="52"/>
  <c r="M112" i="52"/>
  <c r="H2433" i="55" s="1"/>
  <c r="J74" i="52"/>
  <c r="L57" i="52"/>
  <c r="H2261" i="55" s="1"/>
  <c r="J28" i="52"/>
  <c r="H2312" i="55"/>
  <c r="H2268" i="55"/>
  <c r="J62" i="52"/>
  <c r="H2295" i="55"/>
  <c r="M114" i="52"/>
  <c r="H2435" i="55" s="1"/>
  <c r="L28" i="52"/>
  <c r="H2234" i="55" s="1"/>
  <c r="L116" i="52"/>
  <c r="H2315" i="55" s="1"/>
  <c r="L18" i="52"/>
  <c r="H2224" i="55" s="1"/>
  <c r="M76" i="52"/>
  <c r="H2400" i="55" s="1"/>
  <c r="L43" i="52"/>
  <c r="H2249" i="55" s="1"/>
  <c r="M46" i="52"/>
  <c r="H2374" i="55" s="1"/>
  <c r="J33" i="52"/>
  <c r="CV72" i="63"/>
  <c r="BU104" i="63"/>
  <c r="CX104" i="63" s="1"/>
  <c r="E1158" i="55"/>
  <c r="E1140" i="55"/>
  <c r="E1152" i="55"/>
  <c r="E1146" i="55"/>
  <c r="BU19" i="63"/>
  <c r="CX19" i="63" s="1"/>
  <c r="CH21" i="63"/>
  <c r="DK21" i="63" s="1"/>
  <c r="CH22" i="63"/>
  <c r="DK22" i="63" s="1"/>
  <c r="CH111" i="63"/>
  <c r="DK111" i="63" s="1"/>
  <c r="CH110" i="63"/>
  <c r="DK110" i="63" s="1"/>
  <c r="CH88" i="63"/>
  <c r="DK88" i="63" s="1"/>
  <c r="CH47" i="63"/>
  <c r="DK47" i="63" s="1"/>
  <c r="CH98" i="63"/>
  <c r="DK98" i="63" s="1"/>
  <c r="CH46" i="63"/>
  <c r="DK46" i="63" s="1"/>
  <c r="CH59" i="63"/>
  <c r="DK59" i="63" s="1"/>
  <c r="CH85" i="63"/>
  <c r="DK85" i="63" s="1"/>
  <c r="CH28" i="63"/>
  <c r="DK28" i="63" s="1"/>
  <c r="CH34" i="63"/>
  <c r="DK34" i="63" s="1"/>
  <c r="CH105" i="63"/>
  <c r="DK105" i="63" s="1"/>
  <c r="CH94" i="63"/>
  <c r="DK94" i="63" s="1"/>
  <c r="CH60" i="63"/>
  <c r="DK60" i="63" s="1"/>
  <c r="CH97" i="63"/>
  <c r="DK97" i="63" s="1"/>
  <c r="CH38" i="63"/>
  <c r="DK38" i="63" s="1"/>
  <c r="CH42" i="63"/>
  <c r="DK42" i="63" s="1"/>
  <c r="CH107" i="63"/>
  <c r="DK107" i="63" s="1"/>
  <c r="CH13" i="63"/>
  <c r="DK13" i="63" s="1"/>
  <c r="CH61" i="63"/>
  <c r="DK61" i="63" s="1"/>
  <c r="CH12" i="63"/>
  <c r="DK12" i="63" s="1"/>
  <c r="CH109" i="63"/>
  <c r="DK109" i="63" s="1"/>
  <c r="CH91" i="63"/>
  <c r="DK91" i="63" s="1"/>
  <c r="CH19" i="63"/>
  <c r="DK19" i="63" s="1"/>
  <c r="CH93" i="63"/>
  <c r="DK93" i="63" s="1"/>
  <c r="CH63" i="63"/>
  <c r="DK63" i="63" s="1"/>
  <c r="CH81" i="63"/>
  <c r="DK81" i="63" s="1"/>
  <c r="CH52" i="63"/>
  <c r="DK52" i="63" s="1"/>
  <c r="CH67" i="63"/>
  <c r="DK67" i="63" s="1"/>
  <c r="CH30" i="63"/>
  <c r="DK30" i="63" s="1"/>
  <c r="CH92" i="63"/>
  <c r="DK92" i="63" s="1"/>
  <c r="CH83" i="63"/>
  <c r="DK83" i="63" s="1"/>
  <c r="CH65" i="63"/>
  <c r="DK65" i="63" s="1"/>
  <c r="CH25" i="63"/>
  <c r="DK25" i="63" s="1"/>
  <c r="CH20" i="63"/>
  <c r="DK20" i="63" s="1"/>
  <c r="CH32" i="63"/>
  <c r="DK32" i="63" s="1"/>
  <c r="CH86" i="63"/>
  <c r="DK86" i="63" s="1"/>
  <c r="CH112" i="63"/>
  <c r="DK112" i="63" s="1"/>
  <c r="CH49" i="63"/>
  <c r="DK49" i="63" s="1"/>
  <c r="CH87" i="63"/>
  <c r="DK87" i="63" s="1"/>
  <c r="CH39" i="63"/>
  <c r="DK39" i="63" s="1"/>
  <c r="CH113" i="63"/>
  <c r="DK113" i="63" s="1"/>
  <c r="CH41" i="63"/>
  <c r="DK41" i="63" s="1"/>
  <c r="CH37" i="63"/>
  <c r="DK37" i="63" s="1"/>
  <c r="CH68" i="63"/>
  <c r="DK68" i="63" s="1"/>
  <c r="CH27" i="63"/>
  <c r="DK27" i="63" s="1"/>
  <c r="CH43" i="63"/>
  <c r="DK43" i="63" s="1"/>
  <c r="CH45" i="63"/>
  <c r="DK45" i="63" s="1"/>
  <c r="CH11" i="63"/>
  <c r="DK11" i="63" s="1"/>
  <c r="CH101" i="63"/>
  <c r="DK101" i="63" s="1"/>
  <c r="CH48" i="63"/>
  <c r="DK48" i="63" s="1"/>
  <c r="CH29" i="63"/>
  <c r="DK29" i="63" s="1"/>
  <c r="CH23" i="63"/>
  <c r="DK23" i="63" s="1"/>
  <c r="CH89" i="63"/>
  <c r="DK89" i="63" s="1"/>
  <c r="CH55" i="63"/>
  <c r="DK55" i="63" s="1"/>
  <c r="CH108" i="63"/>
  <c r="DK108" i="63" s="1"/>
  <c r="CH84" i="63"/>
  <c r="DK84" i="63" s="1"/>
  <c r="CH16" i="63"/>
  <c r="DK16" i="63" s="1"/>
  <c r="CH90" i="63"/>
  <c r="DK90" i="63" s="1"/>
  <c r="CH40" i="63"/>
  <c r="DK40" i="63" s="1"/>
  <c r="CH114" i="63"/>
  <c r="DK114" i="63" s="1"/>
  <c r="CH99" i="63"/>
  <c r="DK99" i="63" s="1"/>
  <c r="CH51" i="63"/>
  <c r="DK51" i="63" s="1"/>
  <c r="CH33" i="63"/>
  <c r="DK33" i="63" s="1"/>
  <c r="CH58" i="63"/>
  <c r="DK58" i="63" s="1"/>
  <c r="CH18" i="63"/>
  <c r="DK18" i="63" s="1"/>
  <c r="CH70" i="63"/>
  <c r="DK70" i="63" s="1"/>
  <c r="CH64" i="63"/>
  <c r="DK64" i="63" s="1"/>
  <c r="CH31" i="63"/>
  <c r="DK31" i="63" s="1"/>
  <c r="CH82" i="63"/>
  <c r="DK82" i="63" s="1"/>
  <c r="CH15" i="63"/>
  <c r="DK15" i="63" s="1"/>
  <c r="CH17" i="63"/>
  <c r="DK17" i="63" s="1"/>
  <c r="CH14" i="63"/>
  <c r="DK14" i="63" s="1"/>
  <c r="CH50" i="63"/>
  <c r="DK50" i="63" s="1"/>
  <c r="CH69" i="63"/>
  <c r="DK69" i="63" s="1"/>
  <c r="CH54" i="63"/>
  <c r="DK54" i="63" s="1"/>
  <c r="CH102" i="63"/>
  <c r="DK102" i="63" s="1"/>
  <c r="CH57" i="63"/>
  <c r="DK57" i="63" s="1"/>
  <c r="CH66" i="63"/>
  <c r="DK66" i="63" s="1"/>
  <c r="CH106" i="63"/>
  <c r="DK106" i="63" s="1"/>
  <c r="CH24" i="63"/>
  <c r="DK24" i="63" s="1"/>
  <c r="CH96" i="63"/>
  <c r="DK96" i="63" s="1"/>
  <c r="CH53" i="63"/>
  <c r="DK53" i="63" s="1"/>
  <c r="CH103" i="63"/>
  <c r="DK103" i="63" s="1"/>
  <c r="CH62" i="63"/>
  <c r="DK62" i="63" s="1"/>
  <c r="CH95" i="63"/>
  <c r="DK95" i="63" s="1"/>
  <c r="CH26" i="63"/>
  <c r="DK26" i="63" s="1"/>
  <c r="CH36" i="63"/>
  <c r="DK36" i="63" s="1"/>
  <c r="CH56" i="63"/>
  <c r="DK56" i="63" s="1"/>
  <c r="CH104" i="63"/>
  <c r="DK104" i="63" s="1"/>
  <c r="DZ30" i="13"/>
  <c r="ED30" i="13" s="1"/>
  <c r="CF99" i="63"/>
  <c r="DI99" i="63" s="1"/>
  <c r="BU31" i="63"/>
  <c r="CX31" i="63" s="1"/>
  <c r="J121" i="52"/>
  <c r="L82" i="52"/>
  <c r="H2284" i="55" s="1"/>
  <c r="L13" i="52"/>
  <c r="H2219" i="55" s="1"/>
  <c r="L98" i="52"/>
  <c r="H2300" i="55" s="1"/>
  <c r="J18" i="52"/>
  <c r="E1134" i="55"/>
  <c r="X62" i="13"/>
  <c r="CB30" i="13"/>
  <c r="CF30" i="13" s="1"/>
  <c r="DP64" i="13"/>
  <c r="DT64" i="13" s="1"/>
  <c r="CF25" i="63"/>
  <c r="DI25" i="63" s="1"/>
  <c r="CF17" i="63"/>
  <c r="DI17" i="63" s="1"/>
  <c r="CF100" i="63"/>
  <c r="DI100" i="63" s="1"/>
  <c r="CV116" i="63"/>
  <c r="DE143" i="63"/>
  <c r="AY11" i="63" s="1"/>
  <c r="X30" i="13"/>
  <c r="DD72" i="63"/>
  <c r="V47" i="13"/>
  <c r="EL52" i="13"/>
  <c r="EL57" i="13"/>
  <c r="CN57" i="13"/>
  <c r="EB57" i="13"/>
  <c r="ED57" i="13" s="1"/>
  <c r="CD57" i="13"/>
  <c r="CF57" i="13" s="1"/>
  <c r="BT57" i="13"/>
  <c r="BJ57" i="13"/>
  <c r="BL57" i="13" s="1"/>
  <c r="DR57" i="13"/>
  <c r="DT57" i="13" s="1"/>
  <c r="E203" i="55"/>
  <c r="E81" i="55"/>
  <c r="E2902" i="55"/>
  <c r="E2780" i="55"/>
  <c r="E2317" i="55"/>
  <c r="E2195" i="55"/>
  <c r="E2658" i="55"/>
  <c r="E2439" i="55"/>
  <c r="BU105" i="63"/>
  <c r="CX105" i="63" s="1"/>
  <c r="BU89" i="63"/>
  <c r="CX89" i="63" s="1"/>
  <c r="CF105" i="63"/>
  <c r="DI105" i="63" s="1"/>
  <c r="CF66" i="63"/>
  <c r="DI66" i="63" s="1"/>
  <c r="CF20" i="63"/>
  <c r="DI20" i="63" s="1"/>
  <c r="CF15" i="63"/>
  <c r="DI15" i="63" s="1"/>
  <c r="BU33" i="63"/>
  <c r="CX33" i="63" s="1"/>
  <c r="BU17" i="63"/>
  <c r="CX17" i="63" s="1"/>
  <c r="BU14" i="63"/>
  <c r="CX14" i="63" s="1"/>
  <c r="BU52" i="63"/>
  <c r="CX52" i="63" s="1"/>
  <c r="BU91" i="63"/>
  <c r="CX91" i="63" s="1"/>
  <c r="BU54" i="63"/>
  <c r="CX54" i="63" s="1"/>
  <c r="AD42" i="10"/>
  <c r="D60" i="12" s="1"/>
  <c r="G60" i="12" s="1"/>
  <c r="AB42" i="10"/>
  <c r="Z42" i="10"/>
  <c r="BT82" i="63"/>
  <c r="CW82" i="63" s="1"/>
  <c r="BT17" i="63"/>
  <c r="CW17" i="63" s="1"/>
  <c r="BT14" i="63"/>
  <c r="CW14" i="63" s="1"/>
  <c r="BT91" i="63"/>
  <c r="CW91" i="63" s="1"/>
  <c r="BT30" i="63"/>
  <c r="CW30" i="63" s="1"/>
  <c r="BT53" i="63"/>
  <c r="CW53" i="63" s="1"/>
  <c r="BT36" i="63"/>
  <c r="CW36" i="63" s="1"/>
  <c r="AD53" i="13"/>
  <c r="AF53" i="13"/>
  <c r="DR43" i="13"/>
  <c r="DP43" i="13"/>
  <c r="DT43" i="13" s="1"/>
  <c r="AR58" i="13"/>
  <c r="BU100" i="63"/>
  <c r="CX100" i="63" s="1"/>
  <c r="M102" i="52"/>
  <c r="H2426" i="55" s="1"/>
  <c r="BU37" i="63"/>
  <c r="CX37" i="63" s="1"/>
  <c r="F126" i="8"/>
  <c r="F128" i="8" s="1"/>
  <c r="J91" i="49" s="1"/>
  <c r="CF98" i="63"/>
  <c r="DI98" i="63" s="1"/>
  <c r="CF14" i="63"/>
  <c r="DI14" i="63" s="1"/>
  <c r="E211" i="55"/>
  <c r="E89" i="55"/>
  <c r="F2001" i="55"/>
  <c r="F3224" i="55"/>
  <c r="F2005" i="55"/>
  <c r="BU113" i="63"/>
  <c r="CX113" i="63" s="1"/>
  <c r="CF22" i="63"/>
  <c r="DI22" i="63" s="1"/>
  <c r="BU49" i="63"/>
  <c r="CX49" i="63" s="1"/>
  <c r="BU64" i="63"/>
  <c r="CX64" i="63" s="1"/>
  <c r="AD33" i="13"/>
  <c r="AH33" i="13" s="1"/>
  <c r="AF33" i="13"/>
  <c r="M39" i="13"/>
  <c r="DZ39" i="13"/>
  <c r="ED39" i="13" s="1"/>
  <c r="DP39" i="13"/>
  <c r="DT39" i="13" s="1"/>
  <c r="CB39" i="13"/>
  <c r="CF39" i="13" s="1"/>
  <c r="BH39" i="13"/>
  <c r="BL39" i="13" s="1"/>
  <c r="CV39" i="13"/>
  <c r="CZ39" i="13" s="1"/>
  <c r="EJ39" i="13"/>
  <c r="EN39" i="13" s="1"/>
  <c r="AN39" i="13"/>
  <c r="AR39" i="13" s="1"/>
  <c r="T39" i="13"/>
  <c r="X39" i="13" s="1"/>
  <c r="DF39" i="13"/>
  <c r="DJ39" i="13" s="1"/>
  <c r="AX39" i="13"/>
  <c r="BB39" i="13" s="1"/>
  <c r="E1164" i="55"/>
  <c r="DZ34" i="13"/>
  <c r="ED34" i="13" s="1"/>
  <c r="AX52" i="13"/>
  <c r="BB52" i="13" s="1"/>
  <c r="AN67" i="13"/>
  <c r="AR67" i="13" s="1"/>
  <c r="EN62" i="13"/>
  <c r="DP30" i="13"/>
  <c r="DT30" i="13" s="1"/>
  <c r="CB33" i="13"/>
  <c r="CF33" i="13" s="1"/>
  <c r="CF30" i="63"/>
  <c r="DI30" i="63" s="1"/>
  <c r="CF19" i="63"/>
  <c r="DI19" i="63" s="1"/>
  <c r="CF109" i="63"/>
  <c r="DI109" i="63" s="1"/>
  <c r="M53" i="13"/>
  <c r="DD116" i="63"/>
  <c r="BR39" i="13"/>
  <c r="BJ55" i="13"/>
  <c r="H1830" i="55"/>
  <c r="T57" i="47"/>
  <c r="BB40" i="13"/>
  <c r="E97" i="55"/>
  <c r="E219" i="55"/>
  <c r="E2592" i="55"/>
  <c r="E2251" i="55"/>
  <c r="E2714" i="55"/>
  <c r="E2129" i="55"/>
  <c r="E2373" i="55"/>
  <c r="E2836" i="55"/>
  <c r="E2379" i="55"/>
  <c r="E2842" i="55"/>
  <c r="E2257" i="55"/>
  <c r="E2135" i="55"/>
  <c r="E2598" i="55"/>
  <c r="E2720" i="55"/>
  <c r="CF43" i="63"/>
  <c r="DI43" i="63" s="1"/>
  <c r="CF29" i="63"/>
  <c r="DI29" i="63" s="1"/>
  <c r="CF60" i="63"/>
  <c r="DI60" i="63" s="1"/>
  <c r="CF64" i="63"/>
  <c r="DI64" i="63" s="1"/>
  <c r="BU98" i="63"/>
  <c r="CX98" i="63" s="1"/>
  <c r="BU16" i="63"/>
  <c r="CX16" i="63" s="1"/>
  <c r="BU26" i="63"/>
  <c r="CX26" i="63" s="1"/>
  <c r="BU82" i="63"/>
  <c r="CX82" i="63" s="1"/>
  <c r="BU107" i="63"/>
  <c r="CX107" i="63" s="1"/>
  <c r="BU83" i="63"/>
  <c r="CX83" i="63" s="1"/>
  <c r="AX33" i="13"/>
  <c r="AZ33" i="13"/>
  <c r="BT34" i="63"/>
  <c r="CW34" i="63" s="1"/>
  <c r="BT49" i="63"/>
  <c r="CW49" i="63" s="1"/>
  <c r="BT89" i="63"/>
  <c r="CW89" i="63" s="1"/>
  <c r="BT62" i="63"/>
  <c r="CW62" i="63" s="1"/>
  <c r="BT56" i="63"/>
  <c r="CW56" i="63" s="1"/>
  <c r="BT31" i="63"/>
  <c r="CW31" i="63" s="1"/>
  <c r="BT60" i="63"/>
  <c r="CW60" i="63" s="1"/>
  <c r="CV53" i="13"/>
  <c r="CX53" i="13"/>
  <c r="H2858" i="55"/>
  <c r="H90" i="49"/>
  <c r="K130" i="52"/>
  <c r="H2914" i="55" s="1"/>
  <c r="CB43" i="13"/>
  <c r="CD43" i="13"/>
  <c r="N50" i="13"/>
  <c r="BR50" i="13"/>
  <c r="BV50" i="13" s="1"/>
  <c r="AN50" i="13"/>
  <c r="AR50" i="13" s="1"/>
  <c r="J137" i="52"/>
  <c r="E1183" i="55"/>
  <c r="E1189" i="55"/>
  <c r="E1177" i="55"/>
  <c r="E1195" i="55"/>
  <c r="E1201" i="55"/>
  <c r="E1171" i="55"/>
  <c r="N30" i="13"/>
  <c r="CF51" i="63"/>
  <c r="DI51" i="63" s="1"/>
  <c r="CF27" i="63"/>
  <c r="DI27" i="63" s="1"/>
  <c r="X47" i="13"/>
  <c r="M24" i="52"/>
  <c r="H2352" i="55" s="1"/>
  <c r="H2245" i="55"/>
  <c r="H2282" i="55"/>
  <c r="AN52" i="13"/>
  <c r="AR52" i="13" s="1"/>
  <c r="CF38" i="63"/>
  <c r="DI38" i="63" s="1"/>
  <c r="CF35" i="63"/>
  <c r="DI35" i="63" s="1"/>
  <c r="CF12" i="63"/>
  <c r="DI12" i="63" s="1"/>
  <c r="DH30" i="13"/>
  <c r="DJ30" i="13" s="1"/>
  <c r="T43" i="13"/>
  <c r="X43" i="13" s="1"/>
  <c r="CP46" i="13"/>
  <c r="AF46" i="13"/>
  <c r="AD46" i="13"/>
  <c r="AZ40" i="13"/>
  <c r="CX36" i="13"/>
  <c r="CZ36" i="13" s="1"/>
  <c r="DR36" i="13"/>
  <c r="DT36" i="13" s="1"/>
  <c r="N36" i="13"/>
  <c r="BJ36" i="13"/>
  <c r="BL36" i="13" s="1"/>
  <c r="AP36" i="13"/>
  <c r="AR36" i="13" s="1"/>
  <c r="CN36" i="13"/>
  <c r="CP36" i="13" s="1"/>
  <c r="E195" i="55"/>
  <c r="E73" i="55"/>
  <c r="E2335" i="55"/>
  <c r="E2798" i="55"/>
  <c r="E2920" i="55"/>
  <c r="E2457" i="55"/>
  <c r="E2676" i="55"/>
  <c r="E2213" i="55"/>
  <c r="E2100" i="55"/>
  <c r="E2685" i="55"/>
  <c r="E2344" i="55"/>
  <c r="E2563" i="55"/>
  <c r="E2807" i="55"/>
  <c r="E2222" i="55"/>
  <c r="H66" i="55"/>
  <c r="E130" i="8"/>
  <c r="H122" i="55" s="1"/>
  <c r="AH30" i="13"/>
  <c r="CF108" i="63"/>
  <c r="DI108" i="63" s="1"/>
  <c r="CF110" i="63"/>
  <c r="DI110" i="63" s="1"/>
  <c r="CF58" i="63"/>
  <c r="DI58" i="63" s="1"/>
  <c r="BU30" i="63"/>
  <c r="CX30" i="63" s="1"/>
  <c r="BU28" i="63"/>
  <c r="CX28" i="63" s="1"/>
  <c r="BU103" i="63"/>
  <c r="CX103" i="63" s="1"/>
  <c r="BU109" i="63"/>
  <c r="CX109" i="63" s="1"/>
  <c r="BU114" i="63"/>
  <c r="CX114" i="63" s="1"/>
  <c r="BU95" i="63"/>
  <c r="CX95" i="63" s="1"/>
  <c r="BT33" i="13"/>
  <c r="BR33" i="13"/>
  <c r="BT51" i="63"/>
  <c r="CW51" i="63" s="1"/>
  <c r="BT48" i="63"/>
  <c r="CW48" i="63" s="1"/>
  <c r="BT57" i="63"/>
  <c r="CW57" i="63" s="1"/>
  <c r="BT90" i="63"/>
  <c r="CW90" i="63" s="1"/>
  <c r="BT68" i="63"/>
  <c r="CW68" i="63" s="1"/>
  <c r="BT43" i="63"/>
  <c r="CW43" i="63" s="1"/>
  <c r="BT20" i="63"/>
  <c r="CW20" i="63" s="1"/>
  <c r="AC40" i="10"/>
  <c r="AD40" i="10"/>
  <c r="D58" i="12" s="1"/>
  <c r="G58" i="12" s="1"/>
  <c r="Z40" i="10"/>
  <c r="BL55" i="13"/>
  <c r="N37" i="13"/>
  <c r="DP37" i="13"/>
  <c r="DT37" i="13" s="1"/>
  <c r="CV37" i="13"/>
  <c r="CZ37" i="13" s="1"/>
  <c r="AN37" i="13"/>
  <c r="AR37" i="13" s="1"/>
  <c r="DZ37" i="13"/>
  <c r="ED37" i="13" s="1"/>
  <c r="CL37" i="13"/>
  <c r="CP37" i="13" s="1"/>
  <c r="CB37" i="13"/>
  <c r="CF37" i="13" s="1"/>
  <c r="BH37" i="13"/>
  <c r="BL37" i="13" s="1"/>
  <c r="DF29" i="13"/>
  <c r="DJ29" i="13" s="1"/>
  <c r="CF69" i="63"/>
  <c r="DI69" i="63" s="1"/>
  <c r="CF33" i="63"/>
  <c r="DI33" i="63" s="1"/>
  <c r="CF84" i="63"/>
  <c r="DI84" i="63" s="1"/>
  <c r="CF53" i="63"/>
  <c r="DI53" i="63" s="1"/>
  <c r="CF34" i="63"/>
  <c r="DI34" i="63" s="1"/>
  <c r="BU69" i="63"/>
  <c r="CX69" i="63" s="1"/>
  <c r="CD37" i="63"/>
  <c r="DG37" i="63" s="1"/>
  <c r="CD69" i="63"/>
  <c r="DG69" i="63" s="1"/>
  <c r="CD28" i="63"/>
  <c r="DG28" i="63" s="1"/>
  <c r="CD26" i="63"/>
  <c r="DG26" i="63" s="1"/>
  <c r="CD91" i="63"/>
  <c r="DG91" i="63" s="1"/>
  <c r="CD94" i="63"/>
  <c r="DG94" i="63" s="1"/>
  <c r="CD58" i="63"/>
  <c r="DG58" i="63" s="1"/>
  <c r="CD65" i="63"/>
  <c r="DG65" i="63" s="1"/>
  <c r="CD111" i="63"/>
  <c r="DG111" i="63" s="1"/>
  <c r="CD88" i="63"/>
  <c r="DG88" i="63" s="1"/>
  <c r="CD60" i="63"/>
  <c r="DG60" i="63" s="1"/>
  <c r="CD62" i="63"/>
  <c r="DG62" i="63" s="1"/>
  <c r="CD87" i="63"/>
  <c r="DG87" i="63" s="1"/>
  <c r="CD30" i="63"/>
  <c r="DG30" i="63" s="1"/>
  <c r="CD36" i="63"/>
  <c r="DG36" i="63" s="1"/>
  <c r="CD55" i="63"/>
  <c r="DG55" i="63" s="1"/>
  <c r="CD31" i="63"/>
  <c r="DG31" i="63" s="1"/>
  <c r="CD53" i="63"/>
  <c r="DG53" i="63" s="1"/>
  <c r="CD90" i="63"/>
  <c r="DG90" i="63" s="1"/>
  <c r="CD95" i="63"/>
  <c r="DG95" i="63" s="1"/>
  <c r="CD114" i="63"/>
  <c r="DG114" i="63" s="1"/>
  <c r="CD85" i="63"/>
  <c r="DG85" i="63" s="1"/>
  <c r="CD52" i="63"/>
  <c r="DG52" i="63" s="1"/>
  <c r="CD44" i="63"/>
  <c r="DG44" i="63" s="1"/>
  <c r="CD106" i="63"/>
  <c r="DG106" i="63" s="1"/>
  <c r="CD19" i="63"/>
  <c r="DG19" i="63" s="1"/>
  <c r="CD38" i="63"/>
  <c r="DG38" i="63" s="1"/>
  <c r="CD84" i="63"/>
  <c r="DG84" i="63" s="1"/>
  <c r="CD13" i="63"/>
  <c r="DG13" i="63" s="1"/>
  <c r="CD50" i="63"/>
  <c r="DG50" i="63" s="1"/>
  <c r="CD103" i="63"/>
  <c r="DG103" i="63" s="1"/>
  <c r="CD57" i="63"/>
  <c r="DG57" i="63" s="1"/>
  <c r="CD21" i="63"/>
  <c r="DG21" i="63" s="1"/>
  <c r="CD83" i="63"/>
  <c r="DG83" i="63" s="1"/>
  <c r="CD15" i="63"/>
  <c r="DG15" i="63" s="1"/>
  <c r="CD49" i="63"/>
  <c r="DG49" i="63" s="1"/>
  <c r="CD20" i="63"/>
  <c r="DG20" i="63" s="1"/>
  <c r="CD86" i="63"/>
  <c r="DG86" i="63" s="1"/>
  <c r="CD16" i="63"/>
  <c r="DG16" i="63" s="1"/>
  <c r="CD98" i="63"/>
  <c r="DG98" i="63" s="1"/>
  <c r="CD68" i="63"/>
  <c r="DG68" i="63" s="1"/>
  <c r="CD51" i="63"/>
  <c r="DG51" i="63" s="1"/>
  <c r="CD102" i="63"/>
  <c r="DG102" i="63" s="1"/>
  <c r="CD105" i="63"/>
  <c r="DG105" i="63" s="1"/>
  <c r="CD61" i="63"/>
  <c r="DG61" i="63" s="1"/>
  <c r="CD18" i="63"/>
  <c r="DG18" i="63" s="1"/>
  <c r="CD14" i="63"/>
  <c r="DG14" i="63" s="1"/>
  <c r="CD99" i="63"/>
  <c r="DG99" i="63" s="1"/>
  <c r="CD23" i="63"/>
  <c r="DG23" i="63" s="1"/>
  <c r="CD112" i="63"/>
  <c r="DG112" i="63" s="1"/>
  <c r="CD97" i="63"/>
  <c r="DG97" i="63" s="1"/>
  <c r="CD42" i="63"/>
  <c r="DG42" i="63" s="1"/>
  <c r="CD11" i="63"/>
  <c r="DG11" i="63" s="1"/>
  <c r="CD45" i="63"/>
  <c r="DG45" i="63" s="1"/>
  <c r="CD12" i="63"/>
  <c r="DG12" i="63" s="1"/>
  <c r="CD32" i="63"/>
  <c r="DG32" i="63" s="1"/>
  <c r="CD67" i="63"/>
  <c r="DG67" i="63" s="1"/>
  <c r="CD27" i="63"/>
  <c r="DG27" i="63" s="1"/>
  <c r="CD96" i="63"/>
  <c r="DG96" i="63" s="1"/>
  <c r="CD22" i="63"/>
  <c r="DG22" i="63" s="1"/>
  <c r="CD92" i="63"/>
  <c r="DG92" i="63" s="1"/>
  <c r="CD48" i="63"/>
  <c r="DG48" i="63" s="1"/>
  <c r="CD39" i="63"/>
  <c r="DG39" i="63" s="1"/>
  <c r="CD64" i="63"/>
  <c r="DG64" i="63" s="1"/>
  <c r="CD41" i="63"/>
  <c r="DG41" i="63" s="1"/>
  <c r="CD29" i="63"/>
  <c r="DG29" i="63" s="1"/>
  <c r="CD66" i="63"/>
  <c r="DG66" i="63" s="1"/>
  <c r="CD35" i="63"/>
  <c r="DG35" i="63" s="1"/>
  <c r="CD59" i="63"/>
  <c r="DG59" i="63" s="1"/>
  <c r="CD33" i="63"/>
  <c r="DG33" i="63" s="1"/>
  <c r="CD70" i="63"/>
  <c r="DG70" i="63" s="1"/>
  <c r="CD107" i="63"/>
  <c r="DG107" i="63" s="1"/>
  <c r="CD25" i="63"/>
  <c r="DG25" i="63" s="1"/>
  <c r="CD82" i="63"/>
  <c r="DG82" i="63" s="1"/>
  <c r="CD56" i="63"/>
  <c r="DG56" i="63" s="1"/>
  <c r="CD43" i="63"/>
  <c r="DG43" i="63" s="1"/>
  <c r="CD113" i="63"/>
  <c r="DG113" i="63" s="1"/>
  <c r="CD109" i="63"/>
  <c r="DG109" i="63" s="1"/>
  <c r="CD108" i="63"/>
  <c r="DG108" i="63" s="1"/>
  <c r="CD54" i="63"/>
  <c r="DG54" i="63" s="1"/>
  <c r="CD104" i="63"/>
  <c r="DG104" i="63" s="1"/>
  <c r="CD24" i="63"/>
  <c r="DG24" i="63" s="1"/>
  <c r="CD46" i="63"/>
  <c r="DG46" i="63" s="1"/>
  <c r="CD34" i="63"/>
  <c r="DG34" i="63" s="1"/>
  <c r="CD17" i="63"/>
  <c r="DG17" i="63" s="1"/>
  <c r="CD101" i="63"/>
  <c r="DG101" i="63" s="1"/>
  <c r="CD110" i="63"/>
  <c r="DG110" i="63" s="1"/>
  <c r="CD93" i="63"/>
  <c r="DG93" i="63" s="1"/>
  <c r="CD63" i="63"/>
  <c r="DG63" i="63" s="1"/>
  <c r="CD47" i="63"/>
  <c r="DG47" i="63" s="1"/>
  <c r="CD40" i="63"/>
  <c r="DG40" i="63" s="1"/>
  <c r="CD100" i="63"/>
  <c r="DG100" i="63" s="1"/>
  <c r="CD89" i="63"/>
  <c r="DG89" i="63" s="1"/>
  <c r="CD81" i="63"/>
  <c r="DG81" i="63" s="1"/>
  <c r="CF97" i="63"/>
  <c r="DI97" i="63" s="1"/>
  <c r="BU93" i="63"/>
  <c r="CX93" i="63" s="1"/>
  <c r="BK101" i="63"/>
  <c r="CN101" i="63" s="1"/>
  <c r="BK25" i="63"/>
  <c r="CN25" i="63" s="1"/>
  <c r="BK91" i="63"/>
  <c r="CN91" i="63" s="1"/>
  <c r="BK31" i="63"/>
  <c r="CN31" i="63" s="1"/>
  <c r="BK14" i="63"/>
  <c r="CN14" i="63" s="1"/>
  <c r="BK63" i="63"/>
  <c r="CN63" i="63" s="1"/>
  <c r="BK18" i="63"/>
  <c r="CN18" i="63" s="1"/>
  <c r="BK24" i="63"/>
  <c r="CN24" i="63" s="1"/>
  <c r="BK48" i="63"/>
  <c r="CN48" i="63" s="1"/>
  <c r="BK108" i="63"/>
  <c r="CN108" i="63" s="1"/>
  <c r="BK35" i="63"/>
  <c r="CN35" i="63" s="1"/>
  <c r="BK83" i="63"/>
  <c r="CN83" i="63" s="1"/>
  <c r="BK95" i="63"/>
  <c r="CN95" i="63" s="1"/>
  <c r="BK103" i="63"/>
  <c r="CN103" i="63" s="1"/>
  <c r="BK82" i="63"/>
  <c r="CN82" i="63" s="1"/>
  <c r="BK81" i="63"/>
  <c r="CN81" i="63" s="1"/>
  <c r="BK55" i="63"/>
  <c r="CN55" i="63" s="1"/>
  <c r="BK38" i="63"/>
  <c r="CN38" i="63" s="1"/>
  <c r="BK90" i="63"/>
  <c r="CN90" i="63" s="1"/>
  <c r="BK111" i="63"/>
  <c r="CN111" i="63" s="1"/>
  <c r="BK19" i="63"/>
  <c r="CN19" i="63" s="1"/>
  <c r="BK105" i="63"/>
  <c r="CN105" i="63" s="1"/>
  <c r="BK27" i="63"/>
  <c r="CN27" i="63" s="1"/>
  <c r="BK106" i="63"/>
  <c r="CN106" i="63" s="1"/>
  <c r="BK51" i="63"/>
  <c r="CN51" i="63" s="1"/>
  <c r="BK65" i="63"/>
  <c r="CN65" i="63" s="1"/>
  <c r="BK54" i="63"/>
  <c r="CN54" i="63" s="1"/>
  <c r="BK85" i="63"/>
  <c r="CN85" i="63" s="1"/>
  <c r="BK107" i="63"/>
  <c r="CN107" i="63" s="1"/>
  <c r="BK30" i="63"/>
  <c r="CN30" i="63" s="1"/>
  <c r="BK43" i="63"/>
  <c r="CN43" i="63" s="1"/>
  <c r="BK33" i="63"/>
  <c r="CN33" i="63" s="1"/>
  <c r="BK39" i="63"/>
  <c r="CN39" i="63" s="1"/>
  <c r="BK57" i="63"/>
  <c r="CN57" i="63" s="1"/>
  <c r="BK68" i="63"/>
  <c r="CN68" i="63" s="1"/>
  <c r="BK67" i="63"/>
  <c r="CN67" i="63" s="1"/>
  <c r="BK11" i="63"/>
  <c r="CN11" i="63" s="1"/>
  <c r="BK45" i="63"/>
  <c r="CN45" i="63" s="1"/>
  <c r="BK61" i="63"/>
  <c r="CN61" i="63" s="1"/>
  <c r="BK60" i="63"/>
  <c r="CN60" i="63" s="1"/>
  <c r="BK59" i="63"/>
  <c r="CN59" i="63" s="1"/>
  <c r="BK92" i="63"/>
  <c r="CN92" i="63" s="1"/>
  <c r="BK22" i="63"/>
  <c r="CN22" i="63" s="1"/>
  <c r="BK87" i="63"/>
  <c r="CN87" i="63" s="1"/>
  <c r="BK26" i="63"/>
  <c r="CN26" i="63" s="1"/>
  <c r="BK50" i="63"/>
  <c r="CN50" i="63" s="1"/>
  <c r="BK16" i="63"/>
  <c r="CN16" i="63" s="1"/>
  <c r="BK88" i="63"/>
  <c r="CN88" i="63" s="1"/>
  <c r="BK102" i="63"/>
  <c r="CN102" i="63" s="1"/>
  <c r="BK70" i="63"/>
  <c r="CN70" i="63" s="1"/>
  <c r="BK110" i="63"/>
  <c r="CN110" i="63" s="1"/>
  <c r="BK36" i="63"/>
  <c r="CN36" i="63" s="1"/>
  <c r="BK28" i="63"/>
  <c r="CN28" i="63" s="1"/>
  <c r="BK20" i="63"/>
  <c r="CN20" i="63" s="1"/>
  <c r="BK98" i="63"/>
  <c r="CN98" i="63" s="1"/>
  <c r="BK94" i="63"/>
  <c r="CN94" i="63" s="1"/>
  <c r="BK96" i="63"/>
  <c r="CN96" i="63" s="1"/>
  <c r="BK15" i="63"/>
  <c r="CN15" i="63" s="1"/>
  <c r="BK84" i="63"/>
  <c r="CN84" i="63" s="1"/>
  <c r="BK53" i="63"/>
  <c r="CN53" i="63" s="1"/>
  <c r="BK40" i="63"/>
  <c r="CN40" i="63" s="1"/>
  <c r="BK64" i="63"/>
  <c r="CN64" i="63" s="1"/>
  <c r="BK113" i="63"/>
  <c r="CN113" i="63" s="1"/>
  <c r="BK34" i="63"/>
  <c r="CN34" i="63" s="1"/>
  <c r="BK56" i="63"/>
  <c r="CN56" i="63" s="1"/>
  <c r="BK114" i="63"/>
  <c r="CN114" i="63" s="1"/>
  <c r="BK13" i="63"/>
  <c r="CN13" i="63" s="1"/>
  <c r="BK41" i="63"/>
  <c r="CN41" i="63" s="1"/>
  <c r="BK32" i="63"/>
  <c r="CN32" i="63" s="1"/>
  <c r="BK99" i="63"/>
  <c r="CN99" i="63" s="1"/>
  <c r="BK37" i="63"/>
  <c r="CN37" i="63" s="1"/>
  <c r="BK47" i="63"/>
  <c r="CN47" i="63" s="1"/>
  <c r="BK86" i="63"/>
  <c r="CN86" i="63" s="1"/>
  <c r="BK109" i="63"/>
  <c r="CN109" i="63" s="1"/>
  <c r="BK42" i="63"/>
  <c r="CN42" i="63" s="1"/>
  <c r="BK69" i="63"/>
  <c r="CN69" i="63" s="1"/>
  <c r="BK97" i="63"/>
  <c r="CN97" i="63" s="1"/>
  <c r="BK49" i="63"/>
  <c r="CN49" i="63" s="1"/>
  <c r="BK89" i="63"/>
  <c r="CN89" i="63" s="1"/>
  <c r="BK100" i="63"/>
  <c r="CN100" i="63" s="1"/>
  <c r="BK58" i="63"/>
  <c r="CN58" i="63" s="1"/>
  <c r="BK93" i="63"/>
  <c r="CN93" i="63" s="1"/>
  <c r="BK23" i="63"/>
  <c r="CN23" i="63" s="1"/>
  <c r="BK17" i="63"/>
  <c r="CN17" i="63" s="1"/>
  <c r="BK21" i="63"/>
  <c r="CN21" i="63" s="1"/>
  <c r="BK112" i="63"/>
  <c r="CN112" i="63" s="1"/>
  <c r="BK62" i="63"/>
  <c r="CN62" i="63" s="1"/>
  <c r="BK52" i="63"/>
  <c r="CN52" i="63" s="1"/>
  <c r="BK29" i="63"/>
  <c r="CN29" i="63" s="1"/>
  <c r="BK46" i="63"/>
  <c r="CN46" i="63" s="1"/>
  <c r="BK104" i="63"/>
  <c r="CN104" i="63" s="1"/>
  <c r="BK44" i="63"/>
  <c r="CN44" i="63" s="1"/>
  <c r="BK12" i="63"/>
  <c r="CN12" i="63" s="1"/>
  <c r="BK66" i="63"/>
  <c r="CN66" i="63" s="1"/>
  <c r="BT43" i="13"/>
  <c r="BR43" i="13"/>
  <c r="BV43" i="13" s="1"/>
  <c r="H2285" i="55"/>
  <c r="J38" i="52"/>
  <c r="DP67" i="13"/>
  <c r="DT67" i="13" s="1"/>
  <c r="CF26" i="63"/>
  <c r="DI26" i="63" s="1"/>
  <c r="G36" i="6"/>
  <c r="BU90" i="63"/>
  <c r="CX90" i="63" s="1"/>
  <c r="J138" i="52"/>
  <c r="H138" i="52" s="1"/>
  <c r="H95" i="49" s="1"/>
  <c r="M91" i="52"/>
  <c r="H2415" i="55" s="1"/>
  <c r="J116" i="52"/>
  <c r="EN57" i="13"/>
  <c r="CV31" i="13"/>
  <c r="CZ31" i="13" s="1"/>
  <c r="AX29" i="13"/>
  <c r="BB29" i="13" s="1"/>
  <c r="CL52" i="13"/>
  <c r="CP52" i="13" s="1"/>
  <c r="AR56" i="13"/>
  <c r="AN64" i="13"/>
  <c r="AR64" i="13" s="1"/>
  <c r="CF87" i="63"/>
  <c r="DI87" i="63" s="1"/>
  <c r="CF89" i="63"/>
  <c r="DI89" i="63" s="1"/>
  <c r="CF91" i="63"/>
  <c r="DI91" i="63" s="1"/>
  <c r="CQ144" i="63"/>
  <c r="AK33" i="63" s="1"/>
  <c r="X48" i="13"/>
  <c r="AC41" i="10"/>
  <c r="AD41" i="10"/>
  <c r="D59" i="12" s="1"/>
  <c r="G59" i="12" s="1"/>
  <c r="Z41" i="10"/>
  <c r="AC26" i="10"/>
  <c r="AD26" i="10"/>
  <c r="D44" i="12" s="1"/>
  <c r="G44" i="12" s="1"/>
  <c r="Z26" i="10"/>
  <c r="E2105" i="55"/>
  <c r="E2690" i="55"/>
  <c r="E2227" i="55"/>
  <c r="E2568" i="55"/>
  <c r="E2349" i="55"/>
  <c r="E2812" i="55"/>
  <c r="F132" i="52"/>
  <c r="H2209" i="55" s="1"/>
  <c r="F130" i="52"/>
  <c r="H2207" i="55" s="1"/>
  <c r="G90" i="49"/>
  <c r="H2151" i="55"/>
  <c r="CF13" i="63"/>
  <c r="DI13" i="63" s="1"/>
  <c r="BV37" i="13"/>
  <c r="CF88" i="63"/>
  <c r="DI88" i="63" s="1"/>
  <c r="CF44" i="63"/>
  <c r="DI44" i="63" s="1"/>
  <c r="CF18" i="63"/>
  <c r="DI18" i="63" s="1"/>
  <c r="CF21" i="63"/>
  <c r="DI21" i="63" s="1"/>
  <c r="BU57" i="63"/>
  <c r="CX57" i="63" s="1"/>
  <c r="BU29" i="63"/>
  <c r="CX29" i="63" s="1"/>
  <c r="BU97" i="63"/>
  <c r="CX97" i="63" s="1"/>
  <c r="BU35" i="63"/>
  <c r="CX35" i="63" s="1"/>
  <c r="BU88" i="63"/>
  <c r="CX88" i="63" s="1"/>
  <c r="BU46" i="63"/>
  <c r="CX46" i="63" s="1"/>
  <c r="T33" i="13"/>
  <c r="V33" i="13"/>
  <c r="AD52" i="13"/>
  <c r="AF52" i="13"/>
  <c r="BT25" i="63"/>
  <c r="CW25" i="63" s="1"/>
  <c r="BT13" i="63"/>
  <c r="CW13" i="63" s="1"/>
  <c r="BT66" i="63"/>
  <c r="CW66" i="63" s="1"/>
  <c r="BT24" i="63"/>
  <c r="CW24" i="63" s="1"/>
  <c r="BT27" i="63"/>
  <c r="CW27" i="63" s="1"/>
  <c r="BT38" i="63"/>
  <c r="CW38" i="63" s="1"/>
  <c r="BT92" i="63"/>
  <c r="CW92" i="63" s="1"/>
  <c r="V53" i="13"/>
  <c r="T53" i="13"/>
  <c r="X53" i="13" s="1"/>
  <c r="M40" i="13"/>
  <c r="CV40" i="13"/>
  <c r="CZ40" i="13" s="1"/>
  <c r="CB40" i="13"/>
  <c r="CF40" i="13" s="1"/>
  <c r="AD40" i="13"/>
  <c r="AH40" i="13" s="1"/>
  <c r="DZ40" i="13"/>
  <c r="ED40" i="13" s="1"/>
  <c r="DP40" i="13"/>
  <c r="DT40" i="13" s="1"/>
  <c r="BH40" i="13"/>
  <c r="BL40" i="13" s="1"/>
  <c r="T40" i="13"/>
  <c r="X40" i="13" s="1"/>
  <c r="EJ40" i="13"/>
  <c r="EN40" i="13" s="1"/>
  <c r="N66" i="13"/>
  <c r="DZ66" i="13"/>
  <c r="ED66" i="13" s="1"/>
  <c r="EJ66" i="13"/>
  <c r="EN66" i="13" s="1"/>
  <c r="DP66" i="13"/>
  <c r="DT66" i="13" s="1"/>
  <c r="BR66" i="13"/>
  <c r="BV66" i="13" s="1"/>
  <c r="AX66" i="13"/>
  <c r="BB66" i="13" s="1"/>
  <c r="AD66" i="13"/>
  <c r="AH66" i="13" s="1"/>
  <c r="BH66" i="13"/>
  <c r="BL66" i="13" s="1"/>
  <c r="M59" i="52"/>
  <c r="H2385" i="55" s="1"/>
  <c r="CF102" i="63"/>
  <c r="DI102" i="63" s="1"/>
  <c r="BV58" i="13"/>
  <c r="E1329" i="55"/>
  <c r="E1350" i="55"/>
  <c r="E1343" i="55"/>
  <c r="E1336" i="55"/>
  <c r="E1322" i="55"/>
  <c r="E1315" i="55"/>
  <c r="BU50" i="63"/>
  <c r="CX50" i="63" s="1"/>
  <c r="DH144" i="63"/>
  <c r="BB56" i="63" s="1"/>
  <c r="L121" i="52"/>
  <c r="H2320" i="55" s="1"/>
  <c r="L90" i="52"/>
  <c r="H2292" i="55" s="1"/>
  <c r="E48" i="53"/>
  <c r="H2498" i="55" s="1"/>
  <c r="T57" i="13"/>
  <c r="X57" i="13" s="1"/>
  <c r="BR29" i="13"/>
  <c r="BV29" i="13" s="1"/>
  <c r="CP55" i="13"/>
  <c r="CZ62" i="13"/>
  <c r="CF57" i="63"/>
  <c r="DI57" i="63" s="1"/>
  <c r="CF59" i="63"/>
  <c r="DI59" i="63" s="1"/>
  <c r="CF39" i="63"/>
  <c r="DI39" i="63" s="1"/>
  <c r="ED48" i="13"/>
  <c r="E2663" i="55"/>
  <c r="E2444" i="55"/>
  <c r="E2785" i="55"/>
  <c r="E2322" i="55"/>
  <c r="E2200" i="55"/>
  <c r="E2907" i="55"/>
  <c r="E2799" i="55"/>
  <c r="E2921" i="55"/>
  <c r="E2458" i="55"/>
  <c r="E2677" i="55"/>
  <c r="E2336" i="55"/>
  <c r="E2214" i="55"/>
  <c r="AH45" i="13"/>
  <c r="BU39" i="63"/>
  <c r="CX39" i="63" s="1"/>
  <c r="CF63" i="63"/>
  <c r="DI63" i="63" s="1"/>
  <c r="BU110" i="63"/>
  <c r="CX110" i="63" s="1"/>
  <c r="CF32" i="63"/>
  <c r="DI32" i="63" s="1"/>
  <c r="CF92" i="63"/>
  <c r="DI92" i="63" s="1"/>
  <c r="CF83" i="63"/>
  <c r="DI83" i="63" s="1"/>
  <c r="BU84" i="63"/>
  <c r="CX84" i="63" s="1"/>
  <c r="BU65" i="63"/>
  <c r="CX65" i="63" s="1"/>
  <c r="BU101" i="63"/>
  <c r="CX101" i="63" s="1"/>
  <c r="BU55" i="63"/>
  <c r="CX55" i="63" s="1"/>
  <c r="BU47" i="63"/>
  <c r="CX47" i="63" s="1"/>
  <c r="BU43" i="63"/>
  <c r="CX43" i="63" s="1"/>
  <c r="E2766" i="55"/>
  <c r="E2303" i="55"/>
  <c r="E2181" i="55"/>
  <c r="E2644" i="55"/>
  <c r="E2425" i="55"/>
  <c r="E2888" i="55"/>
  <c r="BT94" i="63"/>
  <c r="CW94" i="63" s="1"/>
  <c r="BT65" i="63"/>
  <c r="CW65" i="63" s="1"/>
  <c r="BT59" i="63"/>
  <c r="CW59" i="63" s="1"/>
  <c r="BT101" i="63"/>
  <c r="CW101" i="63" s="1"/>
  <c r="BT111" i="63"/>
  <c r="CW111" i="63" s="1"/>
  <c r="BT55" i="63"/>
  <c r="CW55" i="63" s="1"/>
  <c r="BT102" i="63"/>
  <c r="CW102" i="63" s="1"/>
  <c r="BT33" i="63"/>
  <c r="CW33" i="63" s="1"/>
  <c r="EL53" i="13"/>
  <c r="EJ53" i="13"/>
  <c r="EN53" i="13" s="1"/>
  <c r="AN42" i="13"/>
  <c r="AR42" i="13" s="1"/>
  <c r="AP42" i="13"/>
  <c r="T54" i="13"/>
  <c r="X54" i="13" s="1"/>
  <c r="DF54" i="13"/>
  <c r="DJ54" i="13" s="1"/>
  <c r="AD54" i="13"/>
  <c r="AH54" i="13" s="1"/>
  <c r="EJ54" i="13"/>
  <c r="EN54" i="13" s="1"/>
  <c r="DZ54" i="13"/>
  <c r="ED54" i="13" s="1"/>
  <c r="E1086" i="55"/>
  <c r="E1092" i="55"/>
  <c r="E1074" i="55"/>
  <c r="E1080" i="55"/>
  <c r="E1098" i="55"/>
  <c r="E1068" i="55"/>
  <c r="CF37" i="63"/>
  <c r="DI37" i="63" s="1"/>
  <c r="BU34" i="63"/>
  <c r="CX34" i="63" s="1"/>
  <c r="AX42" i="13"/>
  <c r="BB42" i="13" s="1"/>
  <c r="CV54" i="13"/>
  <c r="CZ54" i="13" s="1"/>
  <c r="CF45" i="63"/>
  <c r="DI45" i="63" s="1"/>
  <c r="AC45" i="10"/>
  <c r="AD45" i="10"/>
  <c r="D63" i="12" s="1"/>
  <c r="G63" i="12" s="1"/>
  <c r="Z45" i="10"/>
  <c r="CF67" i="63"/>
  <c r="DI67" i="63" s="1"/>
  <c r="BU99" i="63"/>
  <c r="CX99" i="63" s="1"/>
  <c r="V52" i="13"/>
  <c r="T52" i="13"/>
  <c r="X52" i="13" s="1"/>
  <c r="T58" i="13"/>
  <c r="X58" i="13" s="1"/>
  <c r="L33" i="52"/>
  <c r="H2239" i="55" s="1"/>
  <c r="J98" i="52"/>
  <c r="E1041" i="55"/>
  <c r="CP57" i="13"/>
  <c r="EJ29" i="13"/>
  <c r="CV49" i="13"/>
  <c r="CZ49" i="13" s="1"/>
  <c r="CF70" i="63"/>
  <c r="DI70" i="63" s="1"/>
  <c r="CF40" i="63"/>
  <c r="DI40" i="63" s="1"/>
  <c r="CF113" i="63"/>
  <c r="DI113" i="63" s="1"/>
  <c r="DK144" i="63"/>
  <c r="BE36" i="63" s="1"/>
  <c r="CH35" i="63"/>
  <c r="DK35" i="63" s="1"/>
  <c r="E2567" i="55"/>
  <c r="E2226" i="55"/>
  <c r="E2348" i="55"/>
  <c r="E2811" i="55"/>
  <c r="E2689" i="55"/>
  <c r="E2104" i="55"/>
  <c r="E2247" i="55"/>
  <c r="E2710" i="55"/>
  <c r="E2588" i="55"/>
  <c r="E2369" i="55"/>
  <c r="E2832" i="55"/>
  <c r="E2125" i="55"/>
  <c r="AC21" i="10"/>
  <c r="Z21" i="10"/>
  <c r="AD21" i="10"/>
  <c r="D39" i="12" s="1"/>
  <c r="G39" i="12" s="1"/>
  <c r="BU40" i="63"/>
  <c r="CX40" i="63" s="1"/>
  <c r="CF95" i="63"/>
  <c r="DI95" i="63" s="1"/>
  <c r="CF106" i="63"/>
  <c r="DI106" i="63" s="1"/>
  <c r="CF11" i="63"/>
  <c r="DI11" i="63" s="1"/>
  <c r="CF31" i="63"/>
  <c r="DI31" i="63" s="1"/>
  <c r="CF101" i="63"/>
  <c r="DI101" i="63" s="1"/>
  <c r="CF52" i="63"/>
  <c r="DI52" i="63" s="1"/>
  <c r="BU68" i="63"/>
  <c r="CX68" i="63" s="1"/>
  <c r="BU51" i="63"/>
  <c r="CX51" i="63" s="1"/>
  <c r="BU67" i="63"/>
  <c r="CX67" i="63" s="1"/>
  <c r="BU94" i="63"/>
  <c r="CX94" i="63" s="1"/>
  <c r="BU56" i="63"/>
  <c r="CX56" i="63" s="1"/>
  <c r="E2628" i="55"/>
  <c r="E2409" i="55"/>
  <c r="E2165" i="55"/>
  <c r="E2872" i="55"/>
  <c r="E2287" i="55"/>
  <c r="E2750" i="55"/>
  <c r="BT93" i="63"/>
  <c r="CW93" i="63" s="1"/>
  <c r="BT18" i="63"/>
  <c r="CW18" i="63" s="1"/>
  <c r="BT114" i="63"/>
  <c r="CW114" i="63" s="1"/>
  <c r="BT98" i="63"/>
  <c r="CW98" i="63" s="1"/>
  <c r="BT104" i="63"/>
  <c r="CW104" i="63" s="1"/>
  <c r="BT22" i="63"/>
  <c r="CW22" i="63" s="1"/>
  <c r="BT40" i="63"/>
  <c r="CW40" i="63" s="1"/>
  <c r="BT100" i="63"/>
  <c r="CW100" i="63" s="1"/>
  <c r="AB44" i="10"/>
  <c r="Z44" i="10"/>
  <c r="AD44" i="10"/>
  <c r="D62" i="12" s="1"/>
  <c r="G62" i="12" s="1"/>
  <c r="BT30" i="13"/>
  <c r="BR30" i="13"/>
  <c r="E2190" i="55"/>
  <c r="E2312" i="55"/>
  <c r="E2897" i="55"/>
  <c r="E2434" i="55"/>
  <c r="E2653" i="55"/>
  <c r="E2775" i="55"/>
  <c r="BU27" i="63"/>
  <c r="CX27" i="63" s="1"/>
  <c r="BU66" i="63"/>
  <c r="CX66" i="63" s="1"/>
  <c r="BU108" i="63"/>
  <c r="CX108" i="63" s="1"/>
  <c r="BU18" i="63"/>
  <c r="CX18" i="63" s="1"/>
  <c r="BU58" i="63"/>
  <c r="CX58" i="63" s="1"/>
  <c r="CF103" i="63"/>
  <c r="DI103" i="63" s="1"/>
  <c r="BU102" i="63"/>
  <c r="CX102" i="63" s="1"/>
  <c r="G33" i="6"/>
  <c r="H23" i="6"/>
  <c r="G34" i="6"/>
  <c r="DH72" i="63"/>
  <c r="CG88" i="63"/>
  <c r="DJ88" i="63" s="1"/>
  <c r="CG85" i="63"/>
  <c r="DJ85" i="63" s="1"/>
  <c r="CG95" i="63"/>
  <c r="DJ95" i="63" s="1"/>
  <c r="CG111" i="63"/>
  <c r="DJ111" i="63" s="1"/>
  <c r="CG82" i="63"/>
  <c r="DJ82" i="63" s="1"/>
  <c r="CG69" i="63"/>
  <c r="DJ69" i="63" s="1"/>
  <c r="CG58" i="63"/>
  <c r="DJ58" i="63" s="1"/>
  <c r="CG66" i="63"/>
  <c r="DJ66" i="63" s="1"/>
  <c r="CG67" i="63"/>
  <c r="DJ67" i="63" s="1"/>
  <c r="CG16" i="63"/>
  <c r="DJ16" i="63" s="1"/>
  <c r="CG103" i="63"/>
  <c r="DJ103" i="63" s="1"/>
  <c r="CG32" i="63"/>
  <c r="DJ32" i="63" s="1"/>
  <c r="CG38" i="63"/>
  <c r="DJ38" i="63" s="1"/>
  <c r="CG108" i="63"/>
  <c r="DJ108" i="63" s="1"/>
  <c r="CG33" i="63"/>
  <c r="DJ33" i="63" s="1"/>
  <c r="CG62" i="63"/>
  <c r="DJ62" i="63" s="1"/>
  <c r="CG86" i="63"/>
  <c r="DJ86" i="63" s="1"/>
  <c r="CG39" i="63"/>
  <c r="DJ39" i="63" s="1"/>
  <c r="CG44" i="63"/>
  <c r="DJ44" i="63" s="1"/>
  <c r="CG17" i="63"/>
  <c r="DJ17" i="63" s="1"/>
  <c r="CG21" i="63"/>
  <c r="DJ21" i="63" s="1"/>
  <c r="CG12" i="63"/>
  <c r="DJ12" i="63" s="1"/>
  <c r="CG113" i="63"/>
  <c r="DJ113" i="63" s="1"/>
  <c r="CG43" i="63"/>
  <c r="DJ43" i="63" s="1"/>
  <c r="CG45" i="63"/>
  <c r="DJ45" i="63" s="1"/>
  <c r="CG93" i="63"/>
  <c r="DJ93" i="63" s="1"/>
  <c r="CG60" i="63"/>
  <c r="DJ60" i="63" s="1"/>
  <c r="CG101" i="63"/>
  <c r="DJ101" i="63" s="1"/>
  <c r="CG110" i="63"/>
  <c r="DJ110" i="63" s="1"/>
  <c r="CG65" i="63"/>
  <c r="DJ65" i="63" s="1"/>
  <c r="CG109" i="63"/>
  <c r="DJ109" i="63" s="1"/>
  <c r="CG70" i="63"/>
  <c r="DJ70" i="63" s="1"/>
  <c r="CG94" i="63"/>
  <c r="DJ94" i="63" s="1"/>
  <c r="CG13" i="63"/>
  <c r="DJ13" i="63" s="1"/>
  <c r="CG23" i="63"/>
  <c r="DJ23" i="63" s="1"/>
  <c r="CG53" i="63"/>
  <c r="DJ53" i="63" s="1"/>
  <c r="CG87" i="63"/>
  <c r="DJ87" i="63" s="1"/>
  <c r="CG11" i="63"/>
  <c r="DJ11" i="63" s="1"/>
  <c r="CG14" i="63"/>
  <c r="DJ14" i="63" s="1"/>
  <c r="CG102" i="63"/>
  <c r="DJ102" i="63" s="1"/>
  <c r="CG59" i="63"/>
  <c r="DJ59" i="63" s="1"/>
  <c r="CG18" i="63"/>
  <c r="DJ18" i="63" s="1"/>
  <c r="CG105" i="63"/>
  <c r="DJ105" i="63" s="1"/>
  <c r="CG34" i="63"/>
  <c r="DJ34" i="63" s="1"/>
  <c r="CG37" i="63"/>
  <c r="DJ37" i="63" s="1"/>
  <c r="CG15" i="63"/>
  <c r="DJ15" i="63" s="1"/>
  <c r="CG22" i="63"/>
  <c r="DJ22" i="63" s="1"/>
  <c r="CG30" i="63"/>
  <c r="DJ30" i="63" s="1"/>
  <c r="CG63" i="63"/>
  <c r="DJ63" i="63" s="1"/>
  <c r="CG104" i="63"/>
  <c r="DJ104" i="63" s="1"/>
  <c r="CG47" i="63"/>
  <c r="DJ47" i="63" s="1"/>
  <c r="CG64" i="63"/>
  <c r="DJ64" i="63" s="1"/>
  <c r="CG52" i="63"/>
  <c r="DJ52" i="63" s="1"/>
  <c r="CG89" i="63"/>
  <c r="DJ89" i="63" s="1"/>
  <c r="CG19" i="63"/>
  <c r="DJ19" i="63" s="1"/>
  <c r="CG25" i="63"/>
  <c r="DJ25" i="63" s="1"/>
  <c r="CG97" i="63"/>
  <c r="DJ97" i="63" s="1"/>
  <c r="CG61" i="63"/>
  <c r="DJ61" i="63" s="1"/>
  <c r="CG91" i="63"/>
  <c r="DJ91" i="63" s="1"/>
  <c r="CG81" i="63"/>
  <c r="DJ81" i="63" s="1"/>
  <c r="CG90" i="63"/>
  <c r="DJ90" i="63" s="1"/>
  <c r="CG40" i="63"/>
  <c r="DJ40" i="63" s="1"/>
  <c r="CG107" i="63"/>
  <c r="DJ107" i="63" s="1"/>
  <c r="CG42" i="63"/>
  <c r="DJ42" i="63" s="1"/>
  <c r="CG27" i="63"/>
  <c r="DJ27" i="63" s="1"/>
  <c r="CG100" i="63"/>
  <c r="DJ100" i="63" s="1"/>
  <c r="CG35" i="63"/>
  <c r="DJ35" i="63" s="1"/>
  <c r="CG48" i="63"/>
  <c r="DJ48" i="63" s="1"/>
  <c r="CG28" i="63"/>
  <c r="DJ28" i="63" s="1"/>
  <c r="CG57" i="63"/>
  <c r="DJ57" i="63" s="1"/>
  <c r="CG55" i="63"/>
  <c r="DJ55" i="63" s="1"/>
  <c r="CG68" i="63"/>
  <c r="DJ68" i="63" s="1"/>
  <c r="CG114" i="63"/>
  <c r="DJ114" i="63" s="1"/>
  <c r="CG56" i="63"/>
  <c r="DJ56" i="63" s="1"/>
  <c r="CG51" i="63"/>
  <c r="DJ51" i="63" s="1"/>
  <c r="CG31" i="63"/>
  <c r="DJ31" i="63" s="1"/>
  <c r="CG92" i="63"/>
  <c r="DJ92" i="63" s="1"/>
  <c r="CG36" i="63"/>
  <c r="DJ36" i="63" s="1"/>
  <c r="CG29" i="63"/>
  <c r="DJ29" i="63" s="1"/>
  <c r="CG50" i="63"/>
  <c r="DJ50" i="63" s="1"/>
  <c r="CG84" i="63"/>
  <c r="DJ84" i="63" s="1"/>
  <c r="CG98" i="63"/>
  <c r="DJ98" i="63" s="1"/>
  <c r="CG49" i="63"/>
  <c r="DJ49" i="63" s="1"/>
  <c r="CG106" i="63"/>
  <c r="DJ106" i="63" s="1"/>
  <c r="CG83" i="63"/>
  <c r="DJ83" i="63" s="1"/>
  <c r="CG112" i="63"/>
  <c r="DJ112" i="63" s="1"/>
  <c r="CG99" i="63"/>
  <c r="DJ99" i="63" s="1"/>
  <c r="CG54" i="63"/>
  <c r="DJ54" i="63" s="1"/>
  <c r="CG96" i="63"/>
  <c r="DJ96" i="63" s="1"/>
  <c r="CG24" i="63"/>
  <c r="DJ24" i="63" s="1"/>
  <c r="CG26" i="63"/>
  <c r="DJ26" i="63" s="1"/>
  <c r="CG41" i="63"/>
  <c r="DJ41" i="63" s="1"/>
  <c r="CG20" i="63"/>
  <c r="DJ20" i="63" s="1"/>
  <c r="CG46" i="63"/>
  <c r="DJ46" i="63" s="1"/>
  <c r="DF33" i="13"/>
  <c r="DH33" i="13"/>
  <c r="CL34" i="13"/>
  <c r="CP34" i="13" s="1"/>
  <c r="CF55" i="63"/>
  <c r="DI55" i="63" s="1"/>
  <c r="BU42" i="63"/>
  <c r="CX42" i="63" s="1"/>
  <c r="BU62" i="63"/>
  <c r="CX62" i="63" s="1"/>
  <c r="M119" i="52"/>
  <c r="H2440" i="55" s="1"/>
  <c r="M15" i="52"/>
  <c r="M19" i="52"/>
  <c r="J23" i="52"/>
  <c r="J90" i="52"/>
  <c r="H2225" i="55"/>
  <c r="M118" i="52"/>
  <c r="H2439" i="55" s="1"/>
  <c r="M60" i="52"/>
  <c r="H2386" i="55" s="1"/>
  <c r="H2322" i="55"/>
  <c r="J82" i="52"/>
  <c r="H2317" i="55"/>
  <c r="T29" i="13"/>
  <c r="X29" i="13" s="1"/>
  <c r="M49" i="13"/>
  <c r="CF107" i="63"/>
  <c r="DI107" i="63" s="1"/>
  <c r="CF41" i="63"/>
  <c r="DI41" i="63" s="1"/>
  <c r="CF85" i="63"/>
  <c r="DI85" i="63" s="1"/>
  <c r="DG143" i="63"/>
  <c r="BA42" i="63" s="1"/>
  <c r="CD55" i="13"/>
  <c r="BV42" i="13"/>
  <c r="CH44" i="63"/>
  <c r="DK44" i="63" s="1"/>
  <c r="CB46" i="13"/>
  <c r="CD46" i="13"/>
  <c r="AB56" i="10"/>
  <c r="Z56" i="10"/>
  <c r="AD56" i="10"/>
  <c r="D74" i="12" s="1"/>
  <c r="G74" i="12" s="1"/>
  <c r="AC46" i="10"/>
  <c r="AD46" i="10"/>
  <c r="D64" i="12" s="1"/>
  <c r="G64" i="12" s="1"/>
  <c r="E2731" i="55"/>
  <c r="E2390" i="55"/>
  <c r="E2268" i="55"/>
  <c r="E2146" i="55"/>
  <c r="E2853" i="55"/>
  <c r="E2609" i="55"/>
  <c r="CD31" i="13"/>
  <c r="CF31" i="13" s="1"/>
  <c r="EB31" i="13"/>
  <c r="ED31" i="13" s="1"/>
  <c r="CN31" i="13"/>
  <c r="CP31" i="13" s="1"/>
  <c r="AP31" i="13"/>
  <c r="AR31" i="13" s="1"/>
  <c r="BU15" i="63"/>
  <c r="CX15" i="63" s="1"/>
  <c r="CF46" i="63"/>
  <c r="DI46" i="63" s="1"/>
  <c r="CF54" i="63"/>
  <c r="DI54" i="63" s="1"/>
  <c r="CF114" i="63"/>
  <c r="DI114" i="63" s="1"/>
  <c r="CF86" i="63"/>
  <c r="DI86" i="63" s="1"/>
  <c r="CF56" i="63"/>
  <c r="DI56" i="63" s="1"/>
  <c r="BU96" i="63"/>
  <c r="CX96" i="63" s="1"/>
  <c r="BU44" i="63"/>
  <c r="CX44" i="63" s="1"/>
  <c r="BU60" i="63"/>
  <c r="CX60" i="63" s="1"/>
  <c r="BU41" i="63"/>
  <c r="CX41" i="63" s="1"/>
  <c r="BU111" i="63"/>
  <c r="CX111" i="63" s="1"/>
  <c r="BU70" i="63"/>
  <c r="CX70" i="63" s="1"/>
  <c r="BU106" i="63"/>
  <c r="CX106" i="63" s="1"/>
  <c r="DH52" i="13"/>
  <c r="DF52" i="13"/>
  <c r="DJ52" i="13" s="1"/>
  <c r="AB34" i="10"/>
  <c r="Z34" i="10"/>
  <c r="AD34" i="10"/>
  <c r="D52" i="12" s="1"/>
  <c r="G52" i="12" s="1"/>
  <c r="E2401" i="55"/>
  <c r="E2157" i="55"/>
  <c r="E2864" i="55"/>
  <c r="E2620" i="55"/>
  <c r="E2279" i="55"/>
  <c r="E2742" i="55"/>
  <c r="BT28" i="63"/>
  <c r="CW28" i="63" s="1"/>
  <c r="BT35" i="63"/>
  <c r="CW35" i="63" s="1"/>
  <c r="BT69" i="63"/>
  <c r="CW69" i="63" s="1"/>
  <c r="BT11" i="63"/>
  <c r="CW11" i="63" s="1"/>
  <c r="BT107" i="63"/>
  <c r="CW107" i="63" s="1"/>
  <c r="BT26" i="63"/>
  <c r="CW26" i="63" s="1"/>
  <c r="BT87" i="63"/>
  <c r="CW87" i="63" s="1"/>
  <c r="BT109" i="63"/>
  <c r="CW109" i="63" s="1"/>
  <c r="EB53" i="13"/>
  <c r="DZ53" i="13"/>
  <c r="ED53" i="13" s="1"/>
  <c r="BV38" i="63"/>
  <c r="CY38" i="63" s="1"/>
  <c r="BV110" i="63"/>
  <c r="CY110" i="63" s="1"/>
  <c r="BV86" i="63"/>
  <c r="CY86" i="63" s="1"/>
  <c r="BV89" i="63"/>
  <c r="CY89" i="63" s="1"/>
  <c r="BV82" i="63"/>
  <c r="CY82" i="63" s="1"/>
  <c r="BV41" i="63"/>
  <c r="CY41" i="63" s="1"/>
  <c r="BV29" i="63"/>
  <c r="CY29" i="63" s="1"/>
  <c r="BV94" i="63"/>
  <c r="CY94" i="63" s="1"/>
  <c r="BV83" i="63"/>
  <c r="CY83" i="63" s="1"/>
  <c r="BV19" i="63"/>
  <c r="CY19" i="63" s="1"/>
  <c r="BV68" i="63"/>
  <c r="CY68" i="63" s="1"/>
  <c r="BV33" i="63"/>
  <c r="CY33" i="63" s="1"/>
  <c r="BV46" i="63"/>
  <c r="CY46" i="63" s="1"/>
  <c r="BV42" i="63"/>
  <c r="CY42" i="63" s="1"/>
  <c r="BV114" i="63"/>
  <c r="CY114" i="63" s="1"/>
  <c r="BV107" i="63"/>
  <c r="CY107" i="63" s="1"/>
  <c r="BV97" i="63"/>
  <c r="CY97" i="63" s="1"/>
  <c r="BV64" i="63"/>
  <c r="CY64" i="63" s="1"/>
  <c r="BV65" i="63"/>
  <c r="CY65" i="63" s="1"/>
  <c r="BV16" i="63"/>
  <c r="CY16" i="63" s="1"/>
  <c r="BV52" i="63"/>
  <c r="CY52" i="63" s="1"/>
  <c r="BV48" i="63"/>
  <c r="CY48" i="63" s="1"/>
  <c r="BV23" i="63"/>
  <c r="CY23" i="63" s="1"/>
  <c r="BV51" i="63"/>
  <c r="CY51" i="63" s="1"/>
  <c r="BV112" i="63"/>
  <c r="CY112" i="63" s="1"/>
  <c r="BV14" i="63"/>
  <c r="CY14" i="63" s="1"/>
  <c r="BV35" i="63"/>
  <c r="CY35" i="63" s="1"/>
  <c r="BV28" i="63"/>
  <c r="CY28" i="63" s="1"/>
  <c r="BV22" i="63"/>
  <c r="CY22" i="63" s="1"/>
  <c r="BV102" i="63"/>
  <c r="CY102" i="63" s="1"/>
  <c r="BV62" i="63"/>
  <c r="CY62" i="63" s="1"/>
  <c r="BV11" i="63"/>
  <c r="CY11" i="63" s="1"/>
  <c r="BV12" i="63"/>
  <c r="CY12" i="63" s="1"/>
  <c r="BV66" i="63"/>
  <c r="CY66" i="63" s="1"/>
  <c r="BV15" i="63"/>
  <c r="CY15" i="63" s="1"/>
  <c r="BV85" i="63"/>
  <c r="CY85" i="63" s="1"/>
  <c r="BV21" i="63"/>
  <c r="CY21" i="63" s="1"/>
  <c r="AB33" i="10"/>
  <c r="AD33" i="10"/>
  <c r="D51" i="12" s="1"/>
  <c r="G51" i="12" s="1"/>
  <c r="AD32" i="10"/>
  <c r="D50" i="12" s="1"/>
  <c r="G50" i="12" s="1"/>
  <c r="Z32" i="10"/>
  <c r="AB32" i="10"/>
  <c r="BU48" i="63"/>
  <c r="CX48" i="63" s="1"/>
  <c r="CF49" i="63"/>
  <c r="DI49" i="63" s="1"/>
  <c r="DH116" i="63"/>
  <c r="CF28" i="63"/>
  <c r="DI28" i="63" s="1"/>
  <c r="BU86" i="63"/>
  <c r="CX86" i="63" s="1"/>
  <c r="AB29" i="10"/>
  <c r="AD29" i="10"/>
  <c r="D47" i="12" s="1"/>
  <c r="G47" i="12" s="1"/>
  <c r="Z29" i="10"/>
  <c r="M54" i="13"/>
  <c r="DO127" i="63"/>
  <c r="BT55" i="13"/>
  <c r="BV55" i="13" s="1"/>
  <c r="AP55" i="13"/>
  <c r="AR55" i="13" s="1"/>
  <c r="CN55" i="13"/>
  <c r="AC47" i="10"/>
  <c r="AD47" i="10"/>
  <c r="D65" i="12" s="1"/>
  <c r="G65" i="12" s="1"/>
  <c r="Z47" i="10"/>
  <c r="E2831" i="55"/>
  <c r="E2709" i="55"/>
  <c r="E2587" i="55"/>
  <c r="E2368" i="55"/>
  <c r="E2246" i="55"/>
  <c r="E2124" i="55"/>
  <c r="CF65" i="63"/>
  <c r="DI65" i="63" s="1"/>
  <c r="BU20" i="63"/>
  <c r="CX20" i="63" s="1"/>
  <c r="BH43" i="13"/>
  <c r="BJ43" i="13"/>
  <c r="H2240" i="55"/>
  <c r="J13" i="52"/>
  <c r="J57" i="52"/>
  <c r="E1017" i="55"/>
  <c r="BV57" i="13"/>
  <c r="CB49" i="13"/>
  <c r="CF49" i="13" s="1"/>
  <c r="CF94" i="63"/>
  <c r="DI94" i="63" s="1"/>
  <c r="CF112" i="63"/>
  <c r="DI112" i="63" s="1"/>
  <c r="CH100" i="63"/>
  <c r="DK100" i="63" s="1"/>
  <c r="BB48" i="13"/>
  <c r="AZ55" i="13"/>
  <c r="BB55" i="13" s="1"/>
  <c r="BB30" i="13"/>
  <c r="AB22" i="10"/>
  <c r="AD22" i="10"/>
  <c r="D40" i="12" s="1"/>
  <c r="G40" i="12" s="1"/>
  <c r="Z22" i="10"/>
  <c r="E2241" i="55"/>
  <c r="E2704" i="55"/>
  <c r="E2582" i="55"/>
  <c r="E2826" i="55"/>
  <c r="E2363" i="55"/>
  <c r="E2119" i="55"/>
  <c r="T140" i="47"/>
  <c r="T143" i="47"/>
  <c r="AC27" i="10"/>
  <c r="Z27" i="10"/>
  <c r="AD27" i="10"/>
  <c r="D45" i="12" s="1"/>
  <c r="G45" i="12" s="1"/>
  <c r="BU12" i="63"/>
  <c r="CX12" i="63" s="1"/>
  <c r="BU11" i="63"/>
  <c r="CX11" i="63" s="1"/>
  <c r="CF50" i="63"/>
  <c r="DI50" i="63" s="1"/>
  <c r="CF90" i="63"/>
  <c r="DI90" i="63" s="1"/>
  <c r="CF48" i="63"/>
  <c r="DI48" i="63" s="1"/>
  <c r="CF81" i="63"/>
  <c r="DI81" i="63" s="1"/>
  <c r="CF47" i="63"/>
  <c r="DI47" i="63" s="1"/>
  <c r="CF16" i="63"/>
  <c r="DI16" i="63" s="1"/>
  <c r="BU112" i="63"/>
  <c r="CX112" i="63" s="1"/>
  <c r="BU25" i="63"/>
  <c r="CX25" i="63" s="1"/>
  <c r="BU59" i="63"/>
  <c r="CX59" i="63" s="1"/>
  <c r="BU13" i="63"/>
  <c r="CX13" i="63" s="1"/>
  <c r="BU23" i="63"/>
  <c r="CX23" i="63" s="1"/>
  <c r="BU85" i="63"/>
  <c r="CX85" i="63" s="1"/>
  <c r="BU81" i="63"/>
  <c r="CX81" i="63" s="1"/>
  <c r="DZ33" i="13"/>
  <c r="EB33" i="13"/>
  <c r="CV52" i="13"/>
  <c r="CX52" i="13"/>
  <c r="M44" i="13"/>
  <c r="CX44" i="13"/>
  <c r="CZ44" i="13" s="1"/>
  <c r="DR44" i="13"/>
  <c r="DT44" i="13" s="1"/>
  <c r="EB44" i="13"/>
  <c r="ED44" i="13" s="1"/>
  <c r="CN44" i="13"/>
  <c r="CP44" i="13" s="1"/>
  <c r="EL44" i="13"/>
  <c r="EN44" i="13" s="1"/>
  <c r="AF44" i="13"/>
  <c r="AH44" i="13" s="1"/>
  <c r="DH44" i="13"/>
  <c r="DJ44" i="13" s="1"/>
  <c r="V44" i="13"/>
  <c r="X44" i="13" s="1"/>
  <c r="CD44" i="13"/>
  <c r="CF44" i="13" s="1"/>
  <c r="BJ44" i="13"/>
  <c r="BL44" i="13" s="1"/>
  <c r="AZ44" i="13"/>
  <c r="BB44" i="13" s="1"/>
  <c r="DP27" i="13"/>
  <c r="DT27" i="13" s="1"/>
  <c r="CB27" i="13"/>
  <c r="CF27" i="13" s="1"/>
  <c r="CL27" i="13"/>
  <c r="CP27" i="13" s="1"/>
  <c r="BH27" i="13"/>
  <c r="BL27" i="13" s="1"/>
  <c r="N27" i="13"/>
  <c r="AN27" i="13"/>
  <c r="AR27" i="13" s="1"/>
  <c r="E2295" i="55"/>
  <c r="E2417" i="55"/>
  <c r="E2636" i="55"/>
  <c r="E2880" i="55"/>
  <c r="E2173" i="55"/>
  <c r="E2758" i="55"/>
  <c r="BT84" i="63"/>
  <c r="CW84" i="63" s="1"/>
  <c r="BT88" i="63"/>
  <c r="CW88" i="63" s="1"/>
  <c r="BT61" i="63"/>
  <c r="CW61" i="63" s="1"/>
  <c r="BT42" i="63"/>
  <c r="CW42" i="63" s="1"/>
  <c r="BT50" i="63"/>
  <c r="CW50" i="63" s="1"/>
  <c r="BT113" i="63"/>
  <c r="CW113" i="63" s="1"/>
  <c r="BT29" i="63"/>
  <c r="CW29" i="63" s="1"/>
  <c r="BT108" i="63"/>
  <c r="CW108" i="63" s="1"/>
  <c r="AB19" i="10"/>
  <c r="Z19" i="10"/>
  <c r="AD19" i="10"/>
  <c r="D37" i="12" s="1"/>
  <c r="G37" i="12" s="1"/>
  <c r="DZ27" i="13"/>
  <c r="ED27" i="13" s="1"/>
  <c r="DP31" i="13"/>
  <c r="DT31" i="13" s="1"/>
  <c r="CB38" i="13"/>
  <c r="CF38" i="13" s="1"/>
  <c r="DP49" i="13"/>
  <c r="DT49" i="13" s="1"/>
  <c r="AZ34" i="13"/>
  <c r="AX34" i="13"/>
  <c r="BB34" i="13" s="1"/>
  <c r="E2058" i="55"/>
  <c r="E2033" i="55"/>
  <c r="Z37" i="10"/>
  <c r="AB37" i="10"/>
  <c r="AD37" i="10"/>
  <c r="D55" i="12" s="1"/>
  <c r="G55" i="12" s="1"/>
  <c r="EN52" i="13"/>
  <c r="BL48" i="13"/>
  <c r="BH31" i="13"/>
  <c r="BJ31" i="13"/>
  <c r="EB43" i="13"/>
  <c r="DZ43" i="13"/>
  <c r="ED43" i="13" s="1"/>
  <c r="BV39" i="13"/>
  <c r="DJ35" i="13"/>
  <c r="CB55" i="13"/>
  <c r="DZ49" i="13"/>
  <c r="ED49" i="13" s="1"/>
  <c r="DF46" i="13"/>
  <c r="DH46" i="13"/>
  <c r="CX57" i="13"/>
  <c r="CV57" i="13"/>
  <c r="AC20" i="10"/>
  <c r="Z20" i="10"/>
  <c r="AD20" i="10"/>
  <c r="D38" i="12" s="1"/>
  <c r="G38" i="12" s="1"/>
  <c r="BH34" i="13"/>
  <c r="BJ34" i="13"/>
  <c r="E1812" i="55"/>
  <c r="R63" i="47"/>
  <c r="E1785" i="55"/>
  <c r="E1807" i="55"/>
  <c r="E1772" i="55"/>
  <c r="E1779" i="55"/>
  <c r="E2926" i="55"/>
  <c r="E1816" i="55"/>
  <c r="E1790" i="55"/>
  <c r="C105" i="47"/>
  <c r="E1789" i="55"/>
  <c r="E1778" i="55"/>
  <c r="E1776" i="55"/>
  <c r="R97" i="47"/>
  <c r="E1811" i="55"/>
  <c r="E1788" i="55"/>
  <c r="E1775" i="55"/>
  <c r="E1795" i="55"/>
  <c r="E1803" i="55"/>
  <c r="E1787" i="55"/>
  <c r="E1769" i="55"/>
  <c r="E2925" i="55"/>
  <c r="E1783" i="55"/>
  <c r="E1802" i="55"/>
  <c r="E1771" i="55"/>
  <c r="E1818" i="55"/>
  <c r="E1786" i="55"/>
  <c r="E1780" i="55"/>
  <c r="E1805" i="55"/>
  <c r="E1784" i="55"/>
  <c r="E1798" i="55"/>
  <c r="E1815" i="55"/>
  <c r="E1774" i="55"/>
  <c r="E1773" i="55"/>
  <c r="E1770" i="55"/>
  <c r="E1801" i="55"/>
  <c r="E2924" i="55"/>
  <c r="E1782" i="55"/>
  <c r="E1808" i="55"/>
  <c r="E1800" i="55"/>
  <c r="E1781" i="55"/>
  <c r="E1806" i="55"/>
  <c r="E1813" i="55"/>
  <c r="E1793" i="55"/>
  <c r="E1810" i="55"/>
  <c r="E1791" i="55"/>
  <c r="DH47" i="13"/>
  <c r="DJ47" i="13" s="1"/>
  <c r="CN47" i="13"/>
  <c r="CP47" i="13" s="1"/>
  <c r="AZ47" i="13"/>
  <c r="BB47" i="13" s="1"/>
  <c r="DR47" i="13"/>
  <c r="DT47" i="13" s="1"/>
  <c r="M47" i="13"/>
  <c r="EL47" i="13"/>
  <c r="EN47" i="13" s="1"/>
  <c r="Z57" i="10"/>
  <c r="EN48" i="13"/>
  <c r="CV43" i="13"/>
  <c r="CX43" i="13"/>
  <c r="E2652" i="55"/>
  <c r="E2433" i="55"/>
  <c r="E2896" i="55"/>
  <c r="E2774" i="55"/>
  <c r="E2311" i="55"/>
  <c r="E2189" i="55"/>
  <c r="AN38" i="13"/>
  <c r="AR38" i="13" s="1"/>
  <c r="DZ38" i="13"/>
  <c r="ED38" i="13" s="1"/>
  <c r="AN34" i="13"/>
  <c r="AR34" i="13" s="1"/>
  <c r="CV38" i="13"/>
  <c r="CZ38" i="13" s="1"/>
  <c r="BJ30" i="13"/>
  <c r="BH30" i="13"/>
  <c r="BL30" i="13" s="1"/>
  <c r="CN43" i="13"/>
  <c r="CL43" i="13"/>
  <c r="AD57" i="10"/>
  <c r="D75" i="12" s="1"/>
  <c r="G75" i="12" s="1"/>
  <c r="D68" i="57"/>
  <c r="AB39" i="10"/>
  <c r="AD39" i="10"/>
  <c r="D57" i="12" s="1"/>
  <c r="G57" i="12" s="1"/>
  <c r="Z39" i="10"/>
  <c r="H3172" i="55"/>
  <c r="H3160" i="55"/>
  <c r="BX82" i="63"/>
  <c r="DA82" i="63" s="1"/>
  <c r="BX20" i="63"/>
  <c r="DA20" i="63" s="1"/>
  <c r="BX81" i="63"/>
  <c r="DA81" i="63" s="1"/>
  <c r="BX66" i="63"/>
  <c r="DA66" i="63" s="1"/>
  <c r="BX16" i="63"/>
  <c r="DA16" i="63" s="1"/>
  <c r="BX51" i="63"/>
  <c r="DA51" i="63" s="1"/>
  <c r="BX100" i="63"/>
  <c r="DA100" i="63" s="1"/>
  <c r="BX69" i="63"/>
  <c r="DA69" i="63" s="1"/>
  <c r="BX107" i="63"/>
  <c r="DA107" i="63" s="1"/>
  <c r="BX54" i="63"/>
  <c r="DA54" i="63" s="1"/>
  <c r="BX112" i="63"/>
  <c r="DA112" i="63" s="1"/>
  <c r="BX32" i="63"/>
  <c r="DA32" i="63" s="1"/>
  <c r="BX39" i="63"/>
  <c r="DA39" i="63" s="1"/>
  <c r="BX90" i="63"/>
  <c r="DA90" i="63" s="1"/>
  <c r="BX47" i="63"/>
  <c r="DA47" i="63" s="1"/>
  <c r="BX23" i="63"/>
  <c r="DA23" i="63" s="1"/>
  <c r="BX45" i="63"/>
  <c r="DA45" i="63" s="1"/>
  <c r="BX95" i="63"/>
  <c r="DA95" i="63" s="1"/>
  <c r="BX104" i="63"/>
  <c r="DA104" i="63" s="1"/>
  <c r="BX37" i="63"/>
  <c r="DA37" i="63" s="1"/>
  <c r="BX48" i="63"/>
  <c r="DA48" i="63" s="1"/>
  <c r="BX114" i="63"/>
  <c r="DA114" i="63" s="1"/>
  <c r="BX46" i="63"/>
  <c r="DA46" i="63" s="1"/>
  <c r="BX70" i="63"/>
  <c r="DA70" i="63" s="1"/>
  <c r="BX53" i="63"/>
  <c r="DA53" i="63" s="1"/>
  <c r="BX18" i="63"/>
  <c r="DA18" i="63" s="1"/>
  <c r="BX19" i="63"/>
  <c r="DA19" i="63" s="1"/>
  <c r="BX15" i="63"/>
  <c r="DA15" i="63" s="1"/>
  <c r="BX50" i="63"/>
  <c r="DA50" i="63" s="1"/>
  <c r="BX44" i="63"/>
  <c r="DA44" i="63" s="1"/>
  <c r="BX31" i="63"/>
  <c r="DA31" i="63" s="1"/>
  <c r="BX102" i="63"/>
  <c r="DA102" i="63" s="1"/>
  <c r="BX92" i="63"/>
  <c r="DA92" i="63" s="1"/>
  <c r="BX103" i="63"/>
  <c r="DA103" i="63" s="1"/>
  <c r="BX63" i="63"/>
  <c r="DA63" i="63" s="1"/>
  <c r="BX42" i="63"/>
  <c r="DA42" i="63" s="1"/>
  <c r="BX57" i="63"/>
  <c r="DA57" i="63" s="1"/>
  <c r="BX60" i="63"/>
  <c r="DA60" i="63" s="1"/>
  <c r="BX13" i="63"/>
  <c r="DA13" i="63" s="1"/>
  <c r="BX25" i="63"/>
  <c r="DA25" i="63" s="1"/>
  <c r="BX87" i="63"/>
  <c r="DA87" i="63" s="1"/>
  <c r="BX59" i="63"/>
  <c r="DA59" i="63" s="1"/>
  <c r="BX41" i="63"/>
  <c r="DA41" i="63" s="1"/>
  <c r="BX83" i="63"/>
  <c r="DA83" i="63" s="1"/>
  <c r="BX97" i="63"/>
  <c r="DA97" i="63" s="1"/>
  <c r="BX89" i="63"/>
  <c r="DA89" i="63" s="1"/>
  <c r="BX27" i="63"/>
  <c r="DA27" i="63" s="1"/>
  <c r="BX40" i="63"/>
  <c r="DA40" i="63" s="1"/>
  <c r="BX58" i="63"/>
  <c r="DA58" i="63" s="1"/>
  <c r="BX110" i="63"/>
  <c r="DA110" i="63" s="1"/>
  <c r="BX22" i="63"/>
  <c r="DA22" i="63" s="1"/>
  <c r="BX12" i="63"/>
  <c r="DA12" i="63" s="1"/>
  <c r="BX38" i="63"/>
  <c r="DA38" i="63" s="1"/>
  <c r="BX30" i="63"/>
  <c r="DA30" i="63" s="1"/>
  <c r="BX36" i="63"/>
  <c r="DA36" i="63" s="1"/>
  <c r="BX67" i="63"/>
  <c r="DA67" i="63" s="1"/>
  <c r="BX28" i="63"/>
  <c r="DA28" i="63" s="1"/>
  <c r="BX21" i="63"/>
  <c r="DA21" i="63" s="1"/>
  <c r="BX17" i="63"/>
  <c r="DA17" i="63" s="1"/>
  <c r="BX109" i="63"/>
  <c r="DA109" i="63" s="1"/>
  <c r="BX101" i="63"/>
  <c r="DA101" i="63" s="1"/>
  <c r="BX94" i="63"/>
  <c r="DA94" i="63" s="1"/>
  <c r="BX26" i="63"/>
  <c r="DA26" i="63" s="1"/>
  <c r="BX105" i="63"/>
  <c r="DA105" i="63" s="1"/>
  <c r="BX93" i="63"/>
  <c r="DA93" i="63" s="1"/>
  <c r="BX68" i="63"/>
  <c r="DA68" i="63" s="1"/>
  <c r="BX49" i="63"/>
  <c r="DA49" i="63" s="1"/>
  <c r="BX86" i="63"/>
  <c r="DA86" i="63" s="1"/>
  <c r="BX55" i="63"/>
  <c r="DA55" i="63" s="1"/>
  <c r="BX91" i="63"/>
  <c r="DA91" i="63" s="1"/>
  <c r="BX64" i="63"/>
  <c r="DA64" i="63" s="1"/>
  <c r="BX43" i="63"/>
  <c r="DA43" i="63" s="1"/>
  <c r="BX62" i="63"/>
  <c r="DA62" i="63" s="1"/>
  <c r="BX65" i="63"/>
  <c r="DA65" i="63" s="1"/>
  <c r="BX61" i="63"/>
  <c r="DA61" i="63" s="1"/>
  <c r="BX35" i="63"/>
  <c r="DA35" i="63" s="1"/>
  <c r="BX29" i="63"/>
  <c r="DA29" i="63" s="1"/>
  <c r="BX106" i="63"/>
  <c r="DA106" i="63" s="1"/>
  <c r="BX85" i="63"/>
  <c r="DA85" i="63" s="1"/>
  <c r="BX33" i="63"/>
  <c r="DA33" i="63" s="1"/>
  <c r="BX99" i="63"/>
  <c r="DA99" i="63" s="1"/>
  <c r="BX14" i="63"/>
  <c r="DA14" i="63" s="1"/>
  <c r="BX88" i="63"/>
  <c r="DA88" i="63" s="1"/>
  <c r="BX56" i="63"/>
  <c r="DA56" i="63" s="1"/>
  <c r="BX52" i="63"/>
  <c r="DA52" i="63" s="1"/>
  <c r="BX96" i="63"/>
  <c r="DA96" i="63" s="1"/>
  <c r="BX11" i="63"/>
  <c r="DA11" i="63" s="1"/>
  <c r="BX24" i="63"/>
  <c r="DA24" i="63" s="1"/>
  <c r="BX98" i="63"/>
  <c r="DA98" i="63" s="1"/>
  <c r="BX113" i="63"/>
  <c r="DA113" i="63" s="1"/>
  <c r="BX34" i="63"/>
  <c r="DA34" i="63" s="1"/>
  <c r="BX84" i="63"/>
  <c r="DA84" i="63" s="1"/>
  <c r="BX108" i="63"/>
  <c r="DA108" i="63" s="1"/>
  <c r="DF43" i="13"/>
  <c r="DH43" i="13"/>
  <c r="E1013" i="55"/>
  <c r="U11" i="22"/>
  <c r="D69" i="49" s="1"/>
  <c r="E1037" i="55"/>
  <c r="Z30" i="10"/>
  <c r="BV45" i="13"/>
  <c r="DJ48" i="13"/>
  <c r="AF34" i="13"/>
  <c r="AD34" i="13"/>
  <c r="E2797" i="55"/>
  <c r="E2456" i="55"/>
  <c r="E2334" i="55"/>
  <c r="E2675" i="55"/>
  <c r="E2919" i="55"/>
  <c r="E2212" i="55"/>
  <c r="F2003" i="55"/>
  <c r="F2007" i="55"/>
  <c r="F3226" i="55"/>
  <c r="AC28" i="10"/>
  <c r="AD28" i="10"/>
  <c r="D46" i="12" s="1"/>
  <c r="G46" i="12" s="1"/>
  <c r="D18" i="12" s="1" a="1"/>
  <c r="D18" i="12" s="1"/>
  <c r="Z28" i="10"/>
  <c r="E2820" i="55"/>
  <c r="E2113" i="55"/>
  <c r="T49" i="13"/>
  <c r="X49" i="13" s="1"/>
  <c r="AH35" i="13"/>
  <c r="AZ43" i="13"/>
  <c r="AX43" i="13"/>
  <c r="CD53" i="13"/>
  <c r="CF53" i="13" s="1"/>
  <c r="AP53" i="13"/>
  <c r="AR53" i="13" s="1"/>
  <c r="N53" i="13"/>
  <c r="BJ53" i="13"/>
  <c r="BL53" i="13" s="1"/>
  <c r="BT53" i="13"/>
  <c r="BV53" i="13" s="1"/>
  <c r="CN53" i="13"/>
  <c r="CP53" i="13" s="1"/>
  <c r="DR53" i="13"/>
  <c r="DT53" i="13" s="1"/>
  <c r="AZ53" i="13"/>
  <c r="BB53" i="13" s="1"/>
  <c r="AN40" i="13"/>
  <c r="AR40" i="13" s="1"/>
  <c r="N40" i="13"/>
  <c r="CL40" i="13"/>
  <c r="CP40" i="13" s="1"/>
  <c r="BR40" i="13"/>
  <c r="BV40" i="13" s="1"/>
  <c r="E39" i="55"/>
  <c r="E161" i="55"/>
  <c r="BR34" i="13"/>
  <c r="BT34" i="13"/>
  <c r="AN57" i="13"/>
  <c r="AR57" i="13" s="1"/>
  <c r="AX49" i="13"/>
  <c r="BB49" i="13" s="1"/>
  <c r="AX64" i="13"/>
  <c r="BB64" i="13" s="1"/>
  <c r="AC43" i="10"/>
  <c r="Z43" i="10"/>
  <c r="AD43" i="10"/>
  <c r="D61" i="12" s="1"/>
  <c r="G61" i="12" s="1"/>
  <c r="DJ53" i="13"/>
  <c r="EL43" i="13"/>
  <c r="EJ43" i="13"/>
  <c r="AX57" i="13"/>
  <c r="BB57" i="13" s="1"/>
  <c r="DF49" i="13"/>
  <c r="DJ49" i="13" s="1"/>
  <c r="H5" i="62"/>
  <c r="H3441" i="55" s="1"/>
  <c r="H1888" i="55"/>
  <c r="AD43" i="13"/>
  <c r="AH43" i="13" s="1"/>
  <c r="AF43" i="13"/>
  <c r="EL34" i="13"/>
  <c r="EJ34" i="13"/>
  <c r="EN34" i="13" s="1"/>
  <c r="AB54" i="10"/>
  <c r="Z54" i="10"/>
  <c r="AD54" i="10"/>
  <c r="D72" i="12" s="1"/>
  <c r="G72" i="12" s="1"/>
  <c r="D24" i="12" s="1"/>
  <c r="EN30" i="13"/>
  <c r="E19" i="55"/>
  <c r="E141" i="55"/>
  <c r="E2041" i="55"/>
  <c r="E2024" i="55"/>
  <c r="E2576" i="55"/>
  <c r="BH49" i="13"/>
  <c r="BL49" i="13" s="1"/>
  <c r="E34" i="25"/>
  <c r="AP43" i="13"/>
  <c r="AN43" i="13"/>
  <c r="V34" i="13"/>
  <c r="T34" i="13"/>
  <c r="X34" i="13" s="1"/>
  <c r="E115" i="55"/>
  <c r="E237" i="55"/>
  <c r="F17" i="12"/>
  <c r="G17" i="12"/>
  <c r="DJ66" i="13"/>
  <c r="H3168" i="55"/>
  <c r="F92" i="57"/>
  <c r="H3166" i="55" s="1"/>
  <c r="F82" i="57"/>
  <c r="N43" i="23" s="1"/>
  <c r="P43" i="23" s="1"/>
  <c r="R81" i="47"/>
  <c r="H1813" i="55" s="1"/>
  <c r="E57" i="57"/>
  <c r="E60" i="57" s="1"/>
  <c r="H1566" i="55"/>
  <c r="H21" i="47"/>
  <c r="DM144" i="63"/>
  <c r="BG67" i="63" s="1"/>
  <c r="CW144" i="63"/>
  <c r="AQ28" i="63" s="1"/>
  <c r="AM41" i="63"/>
  <c r="CS161" i="63"/>
  <c r="AM11" i="63"/>
  <c r="AM42" i="63"/>
  <c r="AM12" i="63"/>
  <c r="BC27" i="63"/>
  <c r="BC50" i="63"/>
  <c r="BC66" i="63"/>
  <c r="BC52" i="63"/>
  <c r="BC23" i="63"/>
  <c r="BC31" i="63"/>
  <c r="BC48" i="63"/>
  <c r="BC62" i="63"/>
  <c r="BC14" i="63"/>
  <c r="BC19" i="63"/>
  <c r="BC22" i="63"/>
  <c r="BC34" i="63"/>
  <c r="BC69" i="63"/>
  <c r="BC26" i="63"/>
  <c r="BC56" i="63"/>
  <c r="BC68" i="63"/>
  <c r="BC16" i="63"/>
  <c r="BC20" i="63"/>
  <c r="BC47" i="63"/>
  <c r="BC51" i="63"/>
  <c r="BC32" i="63"/>
  <c r="BC29" i="63"/>
  <c r="BC36" i="63"/>
  <c r="BC40" i="63"/>
  <c r="BC39" i="63"/>
  <c r="BC57" i="63"/>
  <c r="BC61" i="63"/>
  <c r="DI162" i="63"/>
  <c r="BC58" i="63"/>
  <c r="BC64" i="63"/>
  <c r="BC44" i="63"/>
  <c r="BC46" i="63"/>
  <c r="BC25" i="63"/>
  <c r="BC33" i="63"/>
  <c r="BC53" i="63"/>
  <c r="BC67" i="63"/>
  <c r="BC15" i="63"/>
  <c r="BC17" i="63"/>
  <c r="BC21" i="63"/>
  <c r="BC24" i="63"/>
  <c r="BC28" i="63"/>
  <c r="BC63" i="63"/>
  <c r="BC37" i="63"/>
  <c r="BC18" i="63"/>
  <c r="BC45" i="63"/>
  <c r="BC55" i="63"/>
  <c r="BC35" i="63"/>
  <c r="BC60" i="63"/>
  <c r="BC70" i="63"/>
  <c r="BC49" i="63"/>
  <c r="BC65" i="63"/>
  <c r="BC30" i="63"/>
  <c r="BC38" i="63"/>
  <c r="BC13" i="63"/>
  <c r="BC54" i="63"/>
  <c r="BC59" i="63"/>
  <c r="BC43" i="63"/>
  <c r="BF42" i="63"/>
  <c r="BF41" i="63"/>
  <c r="BF11" i="63"/>
  <c r="BF12" i="63"/>
  <c r="DL161" i="63"/>
  <c r="BH54" i="63"/>
  <c r="BH34" i="63"/>
  <c r="BH15" i="63"/>
  <c r="BH60" i="63"/>
  <c r="BH19" i="63"/>
  <c r="BH26" i="63"/>
  <c r="BH38" i="63"/>
  <c r="BH27" i="63"/>
  <c r="BH52" i="63"/>
  <c r="BH49" i="63"/>
  <c r="BH16" i="63"/>
  <c r="BH20" i="63"/>
  <c r="BH21" i="63"/>
  <c r="BH48" i="63"/>
  <c r="BH22" i="63"/>
  <c r="BH70" i="63"/>
  <c r="BH43" i="63"/>
  <c r="BH17" i="63"/>
  <c r="BH64" i="63"/>
  <c r="BH23" i="63"/>
  <c r="BH45" i="63"/>
  <c r="BH68" i="63"/>
  <c r="BH31" i="63"/>
  <c r="BH65" i="63"/>
  <c r="BH40" i="63"/>
  <c r="BH28" i="63"/>
  <c r="BH36" i="63"/>
  <c r="BH30" i="63"/>
  <c r="BH56" i="63"/>
  <c r="BH18" i="63"/>
  <c r="BH13" i="63"/>
  <c r="BH53" i="63"/>
  <c r="BH59" i="63"/>
  <c r="BH51" i="63"/>
  <c r="BH46" i="63"/>
  <c r="DN162" i="63"/>
  <c r="BH47" i="63"/>
  <c r="BH62" i="63"/>
  <c r="BH25" i="63"/>
  <c r="BH66" i="63"/>
  <c r="BH39" i="63"/>
  <c r="BH58" i="63"/>
  <c r="BH63" i="63"/>
  <c r="BH61" i="63"/>
  <c r="BH29" i="63"/>
  <c r="BH55" i="63"/>
  <c r="BH14" i="63"/>
  <c r="BH24" i="63"/>
  <c r="BH67" i="63"/>
  <c r="BH33" i="63"/>
  <c r="BH57" i="63"/>
  <c r="BH50" i="63"/>
  <c r="BH37" i="63"/>
  <c r="BH69" i="63"/>
  <c r="BH32" i="63"/>
  <c r="BH35" i="63"/>
  <c r="BH44" i="63"/>
  <c r="AM49" i="63"/>
  <c r="AM24" i="63"/>
  <c r="AM47" i="63"/>
  <c r="AM27" i="63"/>
  <c r="AM51" i="63"/>
  <c r="AM22" i="63"/>
  <c r="CS162" i="63"/>
  <c r="AM38" i="63"/>
  <c r="AM46" i="63"/>
  <c r="AM52" i="63"/>
  <c r="AM57" i="63"/>
  <c r="AM36" i="63"/>
  <c r="AM65" i="63"/>
  <c r="AM58" i="63"/>
  <c r="AM62" i="63"/>
  <c r="AM56" i="63"/>
  <c r="AM17" i="63"/>
  <c r="AM21" i="63"/>
  <c r="AM61" i="63"/>
  <c r="AM39" i="63"/>
  <c r="AM48" i="63"/>
  <c r="AM59" i="63"/>
  <c r="AM37" i="63"/>
  <c r="AM70" i="63"/>
  <c r="AM20" i="63"/>
  <c r="AM33" i="63"/>
  <c r="AM55" i="63"/>
  <c r="AM26" i="63"/>
  <c r="AM43" i="63"/>
  <c r="AM32" i="63"/>
  <c r="AM45" i="63"/>
  <c r="AM66" i="63"/>
  <c r="AM40" i="63"/>
  <c r="AM69" i="63"/>
  <c r="AM60" i="63"/>
  <c r="AM23" i="63"/>
  <c r="AM64" i="63"/>
  <c r="AM54" i="63"/>
  <c r="AM25" i="63"/>
  <c r="AM63" i="63"/>
  <c r="AM16" i="63"/>
  <c r="AM14" i="63"/>
  <c r="AM31" i="63"/>
  <c r="AM67" i="63"/>
  <c r="AM19" i="63"/>
  <c r="AM34" i="63"/>
  <c r="AM35" i="63"/>
  <c r="AM50" i="63"/>
  <c r="AM28" i="63"/>
  <c r="AM68" i="63"/>
  <c r="AM29" i="63"/>
  <c r="AM18" i="63"/>
  <c r="AM44" i="63"/>
  <c r="AM13" i="63"/>
  <c r="AM15" i="63"/>
  <c r="AM53" i="63"/>
  <c r="AM30" i="63"/>
  <c r="BA63" i="63"/>
  <c r="BA47" i="63"/>
  <c r="BA59" i="63"/>
  <c r="BA26" i="63"/>
  <c r="BA62" i="63"/>
  <c r="BA45" i="63"/>
  <c r="BA57" i="63"/>
  <c r="BA16" i="63"/>
  <c r="BA68" i="63"/>
  <c r="BA43" i="63"/>
  <c r="BA39" i="63"/>
  <c r="BA15" i="63"/>
  <c r="BA21" i="63"/>
  <c r="BA53" i="63"/>
  <c r="BA32" i="63"/>
  <c r="BA34" i="63"/>
  <c r="BA67" i="63"/>
  <c r="BA51" i="63"/>
  <c r="BA64" i="63"/>
  <c r="BA52" i="63"/>
  <c r="BA56" i="63"/>
  <c r="BA61" i="63"/>
  <c r="BA29" i="63"/>
  <c r="BA35" i="63"/>
  <c r="BA13" i="63"/>
  <c r="BA28" i="63"/>
  <c r="BA17" i="63"/>
  <c r="BA18" i="63"/>
  <c r="BA33" i="63"/>
  <c r="BA14" i="63"/>
  <c r="BA50" i="63"/>
  <c r="BA55" i="63"/>
  <c r="BA65" i="63"/>
  <c r="BA40" i="63"/>
  <c r="BA46" i="63"/>
  <c r="BA25" i="63"/>
  <c r="BA30" i="63"/>
  <c r="BA60" i="63"/>
  <c r="BA70" i="63"/>
  <c r="BA24" i="63"/>
  <c r="DG162" i="63"/>
  <c r="BA66" i="63"/>
  <c r="BA54" i="63"/>
  <c r="BA27" i="63"/>
  <c r="BA22" i="63"/>
  <c r="BA36" i="63"/>
  <c r="BA69" i="63"/>
  <c r="BA58" i="63"/>
  <c r="BA19" i="63"/>
  <c r="BA20" i="63"/>
  <c r="BA44" i="63"/>
  <c r="BA23" i="63"/>
  <c r="BA37" i="63"/>
  <c r="BA49" i="63"/>
  <c r="BA38" i="63"/>
  <c r="BA48" i="63"/>
  <c r="BA31" i="63"/>
  <c r="BC41" i="63"/>
  <c r="BC12" i="63"/>
  <c r="BC42" i="63"/>
  <c r="BC11" i="63"/>
  <c r="DI161" i="63"/>
  <c r="BF59" i="63"/>
  <c r="BF29" i="63"/>
  <c r="BF43" i="63"/>
  <c r="BF64" i="63"/>
  <c r="BF18" i="63"/>
  <c r="BF50" i="63"/>
  <c r="BF19" i="63"/>
  <c r="BF14" i="63"/>
  <c r="BF48" i="63"/>
  <c r="BF40" i="63"/>
  <c r="BF28" i="63"/>
  <c r="BF53" i="63"/>
  <c r="BF25" i="63"/>
  <c r="BF13" i="63"/>
  <c r="BF45" i="63"/>
  <c r="BF34" i="63"/>
  <c r="BF60" i="63"/>
  <c r="BF57" i="63"/>
  <c r="BF31" i="63"/>
  <c r="BF20" i="63"/>
  <c r="BF52" i="63"/>
  <c r="BF37" i="63"/>
  <c r="BF56" i="63"/>
  <c r="BF21" i="63"/>
  <c r="BF62" i="63"/>
  <c r="BF24" i="63"/>
  <c r="BF67" i="63"/>
  <c r="BF55" i="63"/>
  <c r="BF33" i="63"/>
  <c r="BF68" i="63"/>
  <c r="BF51" i="63"/>
  <c r="BF65" i="63"/>
  <c r="BF39" i="63"/>
  <c r="BF32" i="63"/>
  <c r="BF38" i="63"/>
  <c r="BF69" i="63"/>
  <c r="BF30" i="63"/>
  <c r="BF61" i="63"/>
  <c r="BF22" i="63"/>
  <c r="BF63" i="63"/>
  <c r="BF70" i="63"/>
  <c r="DL162" i="63"/>
  <c r="BF15" i="63"/>
  <c r="BF35" i="63"/>
  <c r="BF66" i="63"/>
  <c r="BF27" i="63"/>
  <c r="BF26" i="63"/>
  <c r="BF16" i="63"/>
  <c r="BF44" i="63"/>
  <c r="BF58" i="63"/>
  <c r="BF49" i="63"/>
  <c r="BF36" i="63"/>
  <c r="BF46" i="63"/>
  <c r="BF23" i="63"/>
  <c r="BF47" i="63"/>
  <c r="BF17" i="63"/>
  <c r="BF54" i="63"/>
  <c r="BH42" i="63"/>
  <c r="BH41" i="63"/>
  <c r="BH12" i="63"/>
  <c r="BH11" i="63"/>
  <c r="DN161" i="63"/>
  <c r="CO143" i="63"/>
  <c r="CO144" i="63"/>
  <c r="DO128" i="63"/>
  <c r="AU12" i="63"/>
  <c r="DA161" i="63"/>
  <c r="AU41" i="63"/>
  <c r="AU42" i="63"/>
  <c r="AU11" i="63"/>
  <c r="BD36" i="63"/>
  <c r="BD33" i="63"/>
  <c r="BD31" i="63"/>
  <c r="BD13" i="63"/>
  <c r="BD44" i="63"/>
  <c r="BD48" i="63"/>
  <c r="BD49" i="63"/>
  <c r="BD53" i="63"/>
  <c r="BD54" i="63"/>
  <c r="BD62" i="63"/>
  <c r="BD70" i="63"/>
  <c r="BD27" i="63"/>
  <c r="BD52" i="63"/>
  <c r="BD34" i="63"/>
  <c r="BD67" i="63"/>
  <c r="BD59" i="63"/>
  <c r="BD37" i="63"/>
  <c r="BD43" i="63"/>
  <c r="BD47" i="63"/>
  <c r="BD14" i="63"/>
  <c r="BD29" i="63"/>
  <c r="BD22" i="63"/>
  <c r="BD26" i="63"/>
  <c r="BD64" i="63"/>
  <c r="BD65" i="63"/>
  <c r="BD32" i="63"/>
  <c r="BD16" i="63"/>
  <c r="BD63" i="63"/>
  <c r="BD56" i="63"/>
  <c r="BD55" i="63"/>
  <c r="BD50" i="63"/>
  <c r="BD38" i="63"/>
  <c r="BD15" i="63"/>
  <c r="BD18" i="63"/>
  <c r="BD51" i="63"/>
  <c r="BD23" i="63"/>
  <c r="BD45" i="63"/>
  <c r="BD69" i="63"/>
  <c r="BD17" i="63"/>
  <c r="BD68" i="63"/>
  <c r="BD19" i="63"/>
  <c r="BD40" i="63"/>
  <c r="BD66" i="63"/>
  <c r="BD57" i="63"/>
  <c r="BD30" i="63"/>
  <c r="BD28" i="63"/>
  <c r="BD39" i="63"/>
  <c r="DJ162" i="63"/>
  <c r="BD20" i="63"/>
  <c r="BD25" i="63"/>
  <c r="BD35" i="63"/>
  <c r="BD61" i="63"/>
  <c r="BD60" i="63"/>
  <c r="BD58" i="63"/>
  <c r="BD21" i="63"/>
  <c r="BD46" i="63"/>
  <c r="BD24" i="63"/>
  <c r="AR14" i="63"/>
  <c r="AR43" i="63"/>
  <c r="AR28" i="63"/>
  <c r="AR63" i="63"/>
  <c r="AR23" i="63"/>
  <c r="AR18" i="63"/>
  <c r="AR34" i="63"/>
  <c r="AR27" i="63"/>
  <c r="AR33" i="63"/>
  <c r="AR60" i="63"/>
  <c r="AR22" i="63"/>
  <c r="AR29" i="63"/>
  <c r="AR58" i="63"/>
  <c r="AR45" i="63"/>
  <c r="AR38" i="63"/>
  <c r="AR40" i="63"/>
  <c r="AR35" i="63"/>
  <c r="AR48" i="63"/>
  <c r="AR37" i="63"/>
  <c r="AR64" i="63"/>
  <c r="AR19" i="63"/>
  <c r="AR49" i="63"/>
  <c r="AR62" i="63"/>
  <c r="CX162" i="63"/>
  <c r="AR69" i="63"/>
  <c r="AR56" i="63"/>
  <c r="AR59" i="63"/>
  <c r="AR26" i="63"/>
  <c r="AR61" i="63"/>
  <c r="AR25" i="63"/>
  <c r="AR44" i="63"/>
  <c r="AR30" i="63"/>
  <c r="AR39" i="63"/>
  <c r="AR57" i="63"/>
  <c r="AR68" i="63"/>
  <c r="AR31" i="63"/>
  <c r="AR13" i="63"/>
  <c r="AR16" i="63"/>
  <c r="AR50" i="63"/>
  <c r="AR53" i="63"/>
  <c r="AR17" i="63"/>
  <c r="AR20" i="63"/>
  <c r="AR32" i="63"/>
  <c r="AR52" i="63"/>
  <c r="AR36" i="63"/>
  <c r="AR15" i="63"/>
  <c r="AR65" i="63"/>
  <c r="AR66" i="63"/>
  <c r="AR47" i="63"/>
  <c r="AR54" i="63"/>
  <c r="AR51" i="63"/>
  <c r="AR67" i="63"/>
  <c r="AR46" i="63"/>
  <c r="AR24" i="63"/>
  <c r="AR55" i="63"/>
  <c r="AR21" i="63"/>
  <c r="AR70" i="63"/>
  <c r="DH161" i="63"/>
  <c r="BB42" i="63"/>
  <c r="BB11" i="63"/>
  <c r="BB41" i="63"/>
  <c r="BB12" i="63"/>
  <c r="AV12" i="63"/>
  <c r="AV11" i="63"/>
  <c r="AV41" i="63"/>
  <c r="DB161" i="63"/>
  <c r="AV42" i="63"/>
  <c r="AU62" i="63"/>
  <c r="AU22" i="63"/>
  <c r="AU24" i="63"/>
  <c r="AU60" i="63"/>
  <c r="AU39" i="63"/>
  <c r="AU51" i="63"/>
  <c r="AU28" i="63"/>
  <c r="AU68" i="63"/>
  <c r="AU43" i="63"/>
  <c r="AU13" i="63"/>
  <c r="AU47" i="63"/>
  <c r="AU23" i="63"/>
  <c r="AU59" i="63"/>
  <c r="AU44" i="63"/>
  <c r="AU54" i="63"/>
  <c r="AU29" i="63"/>
  <c r="AU48" i="63"/>
  <c r="AU50" i="63"/>
  <c r="AU36" i="63"/>
  <c r="AU33" i="63"/>
  <c r="AU14" i="63"/>
  <c r="AU64" i="63"/>
  <c r="AU30" i="63"/>
  <c r="AU70" i="63"/>
  <c r="AU19" i="63"/>
  <c r="AU66" i="63"/>
  <c r="AU40" i="63"/>
  <c r="AU53" i="63"/>
  <c r="AU69" i="63"/>
  <c r="DA162" i="63"/>
  <c r="AU20" i="63"/>
  <c r="AU26" i="63"/>
  <c r="AU27" i="63"/>
  <c r="AU63" i="63"/>
  <c r="AU52" i="63"/>
  <c r="AU25" i="63"/>
  <c r="AU46" i="63"/>
  <c r="AU45" i="63"/>
  <c r="AU58" i="63"/>
  <c r="AU16" i="63"/>
  <c r="AU49" i="63"/>
  <c r="AU18" i="63"/>
  <c r="AU35" i="63"/>
  <c r="AU61" i="63"/>
  <c r="AU56" i="63"/>
  <c r="AU15" i="63"/>
  <c r="AU57" i="63"/>
  <c r="AU65" i="63"/>
  <c r="AU55" i="63"/>
  <c r="AU32" i="63"/>
  <c r="AU21" i="63"/>
  <c r="AU17" i="63"/>
  <c r="AU34" i="63"/>
  <c r="AU31" i="63"/>
  <c r="AU37" i="63"/>
  <c r="AU67" i="63"/>
  <c r="AU38" i="63"/>
  <c r="BD42" i="63"/>
  <c r="BD41" i="63"/>
  <c r="DJ161" i="63"/>
  <c r="BD11" i="63"/>
  <c r="BD12" i="63"/>
  <c r="BE41" i="63"/>
  <c r="BE11" i="63"/>
  <c r="BE12" i="63"/>
  <c r="DK161" i="63"/>
  <c r="BE42" i="63"/>
  <c r="AV24" i="63"/>
  <c r="AV22" i="63"/>
  <c r="AV33" i="63"/>
  <c r="AV19" i="63"/>
  <c r="AV57" i="63"/>
  <c r="AV70" i="63"/>
  <c r="AV21" i="63"/>
  <c r="AV64" i="63"/>
  <c r="AV51" i="63"/>
  <c r="AV32" i="63"/>
  <c r="AV67" i="63"/>
  <c r="AV39" i="63"/>
  <c r="AV25" i="63"/>
  <c r="AV18" i="63"/>
  <c r="AV44" i="63"/>
  <c r="AV38" i="63"/>
  <c r="AV53" i="63"/>
  <c r="AV63" i="63"/>
  <c r="AV62" i="63"/>
  <c r="AV28" i="63"/>
  <c r="AV65" i="63"/>
  <c r="AV68" i="63"/>
  <c r="AV35" i="63"/>
  <c r="AV55" i="63"/>
  <c r="AV13" i="63"/>
  <c r="AV58" i="63"/>
  <c r="DB162" i="63"/>
  <c r="AV31" i="63"/>
  <c r="AV56" i="63"/>
  <c r="AV30" i="63"/>
  <c r="AV15" i="63"/>
  <c r="AV60" i="63"/>
  <c r="AV50" i="63"/>
  <c r="AV52" i="63"/>
  <c r="AV36" i="63"/>
  <c r="AV49" i="63"/>
  <c r="AV61" i="63"/>
  <c r="AV37" i="63"/>
  <c r="AV14" i="63"/>
  <c r="AV66" i="63"/>
  <c r="AV47" i="63"/>
  <c r="AV54" i="63"/>
  <c r="AV16" i="63"/>
  <c r="AV40" i="63"/>
  <c r="AV26" i="63"/>
  <c r="AV17" i="63"/>
  <c r="AV34" i="63"/>
  <c r="AV29" i="63"/>
  <c r="AV59" i="63"/>
  <c r="AV23" i="63"/>
  <c r="AV69" i="63"/>
  <c r="AV45" i="63"/>
  <c r="AV27" i="63"/>
  <c r="AV46" i="63"/>
  <c r="AV43" i="63"/>
  <c r="AV48" i="63"/>
  <c r="AV20" i="63"/>
  <c r="AX49" i="63"/>
  <c r="AX13" i="63"/>
  <c r="AX27" i="63"/>
  <c r="AX65" i="63"/>
  <c r="AX31" i="63"/>
  <c r="AX20" i="63"/>
  <c r="AX30" i="63"/>
  <c r="AX59" i="63"/>
  <c r="AX52" i="63"/>
  <c r="AX56" i="63"/>
  <c r="AX37" i="63"/>
  <c r="AX47" i="63"/>
  <c r="AX39" i="63"/>
  <c r="AX32" i="63"/>
  <c r="AX14" i="63"/>
  <c r="AX68" i="63"/>
  <c r="AX16" i="63"/>
  <c r="AX60" i="63"/>
  <c r="AX64" i="63"/>
  <c r="AX44" i="63"/>
  <c r="AX34" i="63"/>
  <c r="AX36" i="63"/>
  <c r="AX38" i="63"/>
  <c r="AX21" i="63"/>
  <c r="AX58" i="63"/>
  <c r="AX17" i="63"/>
  <c r="AX22" i="63"/>
  <c r="AX26" i="63"/>
  <c r="AX48" i="63"/>
  <c r="AX25" i="63"/>
  <c r="AX19" i="63"/>
  <c r="AX35" i="63"/>
  <c r="AX15" i="63"/>
  <c r="AX51" i="63"/>
  <c r="AX46" i="63"/>
  <c r="DD162" i="63"/>
  <c r="AX69" i="63"/>
  <c r="AX55" i="63"/>
  <c r="AX54" i="63"/>
  <c r="AX57" i="63"/>
  <c r="AX23" i="63"/>
  <c r="AX18" i="63"/>
  <c r="AX50" i="63"/>
  <c r="AX24" i="63"/>
  <c r="AX67" i="63"/>
  <c r="AX70" i="63"/>
  <c r="AX66" i="63"/>
  <c r="AX45" i="63"/>
  <c r="AX33" i="63"/>
  <c r="AX61" i="63"/>
  <c r="AX40" i="63"/>
  <c r="AX28" i="63"/>
  <c r="AX43" i="63"/>
  <c r="AX29" i="63"/>
  <c r="AX62" i="63"/>
  <c r="AX53" i="63"/>
  <c r="AX63" i="63"/>
  <c r="AJ11" i="63"/>
  <c r="AJ42" i="63"/>
  <c r="CP161" i="63"/>
  <c r="AJ41" i="63"/>
  <c r="AJ12" i="63"/>
  <c r="AL37" i="63"/>
  <c r="AL26" i="63"/>
  <c r="AL38" i="63"/>
  <c r="AL49" i="63"/>
  <c r="AL17" i="63"/>
  <c r="AL32" i="63"/>
  <c r="AL21" i="63"/>
  <c r="AL44" i="63"/>
  <c r="AL23" i="63"/>
  <c r="AL59" i="63"/>
  <c r="AL68" i="63"/>
  <c r="AL48" i="63"/>
  <c r="AL65" i="63"/>
  <c r="AL29" i="63"/>
  <c r="AL58" i="63"/>
  <c r="AL54" i="63"/>
  <c r="AL16" i="63"/>
  <c r="AL31" i="63"/>
  <c r="AL22" i="63"/>
  <c r="AL34" i="63"/>
  <c r="AL13" i="63"/>
  <c r="AL43" i="63"/>
  <c r="AL70" i="63"/>
  <c r="AL27" i="63"/>
  <c r="AL53" i="63"/>
  <c r="AL50" i="63"/>
  <c r="AL47" i="63"/>
  <c r="AL40" i="63"/>
  <c r="AL51" i="63"/>
  <c r="AL19" i="63"/>
  <c r="AL36" i="63"/>
  <c r="AL45" i="63"/>
  <c r="AL18" i="63"/>
  <c r="AL24" i="63"/>
  <c r="AL66" i="63"/>
  <c r="CR162" i="63"/>
  <c r="AL56" i="63"/>
  <c r="AL25" i="63"/>
  <c r="AL33" i="63"/>
  <c r="AL61" i="63"/>
  <c r="AL39" i="63"/>
  <c r="AL52" i="63"/>
  <c r="AL67" i="63"/>
  <c r="AL62" i="63"/>
  <c r="AL46" i="63"/>
  <c r="AL57" i="63"/>
  <c r="AL64" i="63"/>
  <c r="AL55" i="63"/>
  <c r="AL30" i="63"/>
  <c r="AL15" i="63"/>
  <c r="AL28" i="63"/>
  <c r="AL69" i="63"/>
  <c r="AL14" i="63"/>
  <c r="AL35" i="63"/>
  <c r="AL20" i="63"/>
  <c r="AL63" i="63"/>
  <c r="AL60" i="63"/>
  <c r="AT16" i="63"/>
  <c r="AT38" i="63"/>
  <c r="AT20" i="63"/>
  <c r="AT21" i="63"/>
  <c r="AT30" i="63"/>
  <c r="CZ162" i="63"/>
  <c r="AT64" i="63"/>
  <c r="AT31" i="63"/>
  <c r="AT46" i="63"/>
  <c r="AT13" i="63"/>
  <c r="AT15" i="63"/>
  <c r="AT51" i="63"/>
  <c r="AT44" i="63"/>
  <c r="AT40" i="63"/>
  <c r="AT53" i="63"/>
  <c r="AT70" i="63"/>
  <c r="AT59" i="63"/>
  <c r="AT37" i="63"/>
  <c r="AT34" i="63"/>
  <c r="AT61" i="63"/>
  <c r="AT52" i="63"/>
  <c r="AT67" i="63"/>
  <c r="AT25" i="63"/>
  <c r="AT22" i="63"/>
  <c r="AT66" i="63"/>
  <c r="AT63" i="63"/>
  <c r="AT55" i="63"/>
  <c r="AT26" i="63"/>
  <c r="AT32" i="63"/>
  <c r="AT48" i="63"/>
  <c r="AT19" i="63"/>
  <c r="AT68" i="63"/>
  <c r="AT36" i="63"/>
  <c r="AT28" i="63"/>
  <c r="AT54" i="63"/>
  <c r="AT27" i="63"/>
  <c r="AT18" i="63"/>
  <c r="AT65" i="63"/>
  <c r="AT45" i="63"/>
  <c r="AT43" i="63"/>
  <c r="AT17" i="63"/>
  <c r="AT58" i="63"/>
  <c r="AT57" i="63"/>
  <c r="AT49" i="63"/>
  <c r="AT33" i="63"/>
  <c r="AT35" i="63"/>
  <c r="AT24" i="63"/>
  <c r="AT23" i="63"/>
  <c r="AT29" i="63"/>
  <c r="AT14" i="63"/>
  <c r="AT56" i="63"/>
  <c r="AT69" i="63"/>
  <c r="AT50" i="63"/>
  <c r="AT62" i="63"/>
  <c r="AT47" i="63"/>
  <c r="AT39" i="63"/>
  <c r="AT60" i="63"/>
  <c r="AW26" i="63"/>
  <c r="AW30" i="63"/>
  <c r="AW34" i="63"/>
  <c r="AW45" i="63"/>
  <c r="AW39" i="63"/>
  <c r="AW17" i="63"/>
  <c r="AW19" i="63"/>
  <c r="AW52" i="63"/>
  <c r="AW23" i="63"/>
  <c r="AW27" i="63"/>
  <c r="AW31" i="63"/>
  <c r="AW43" i="63"/>
  <c r="AW50" i="63"/>
  <c r="AW40" i="63"/>
  <c r="AW56" i="63"/>
  <c r="AW58" i="63"/>
  <c r="AW59" i="63"/>
  <c r="AW63" i="63"/>
  <c r="AW44" i="63"/>
  <c r="AW67" i="63"/>
  <c r="AW60" i="63"/>
  <c r="AW49" i="63"/>
  <c r="AW18" i="63"/>
  <c r="AW68" i="63"/>
  <c r="AW14" i="63"/>
  <c r="AW51" i="63"/>
  <c r="AW37" i="63"/>
  <c r="AW69" i="63"/>
  <c r="AW66" i="63"/>
  <c r="AW38" i="63"/>
  <c r="AW28" i="63"/>
  <c r="AW32" i="63"/>
  <c r="AW55" i="63"/>
  <c r="AW48" i="63"/>
  <c r="AW13" i="63"/>
  <c r="AW24" i="63"/>
  <c r="AW33" i="63"/>
  <c r="AW25" i="63"/>
  <c r="AW29" i="63"/>
  <c r="AW36" i="63"/>
  <c r="AW53" i="63"/>
  <c r="DC162" i="63"/>
  <c r="AW21" i="63"/>
  <c r="AW57" i="63"/>
  <c r="AW61" i="63"/>
  <c r="AW65" i="63"/>
  <c r="AW35" i="63"/>
  <c r="AW20" i="63"/>
  <c r="AW54" i="63"/>
  <c r="AW64" i="63"/>
  <c r="AW47" i="63"/>
  <c r="AW70" i="63"/>
  <c r="AW16" i="63"/>
  <c r="AW46" i="63"/>
  <c r="AW15" i="63"/>
  <c r="AW62" i="63"/>
  <c r="AW22" i="63"/>
  <c r="DD161" i="63"/>
  <c r="AX42" i="63"/>
  <c r="AX41" i="63"/>
  <c r="AX12" i="63"/>
  <c r="AX11" i="63"/>
  <c r="AJ38" i="63"/>
  <c r="AL41" i="63"/>
  <c r="AL12" i="63"/>
  <c r="AL11" i="63"/>
  <c r="CR161" i="63"/>
  <c r="AL42" i="63"/>
  <c r="AT12" i="63"/>
  <c r="AT41" i="63"/>
  <c r="AT42" i="63"/>
  <c r="AT11" i="63"/>
  <c r="CZ161" i="63"/>
  <c r="AY13" i="63"/>
  <c r="AY18" i="63"/>
  <c r="AY45" i="63"/>
  <c r="AY52" i="63"/>
  <c r="AY60" i="63"/>
  <c r="DE162" i="63"/>
  <c r="AY48" i="63"/>
  <c r="AY61" i="63"/>
  <c r="AY65" i="63"/>
  <c r="AY66" i="63"/>
  <c r="AY19" i="63"/>
  <c r="AY21" i="63"/>
  <c r="AY25" i="63"/>
  <c r="AY68" i="63"/>
  <c r="AY26" i="63"/>
  <c r="AY40" i="63"/>
  <c r="AY22" i="63"/>
  <c r="AY20" i="63"/>
  <c r="AY47" i="63"/>
  <c r="AY58" i="63"/>
  <c r="AY39" i="63"/>
  <c r="AY54" i="63"/>
  <c r="AY56" i="63"/>
  <c r="AY63" i="63"/>
  <c r="AY64" i="63"/>
  <c r="AY17" i="63"/>
  <c r="AY23" i="63"/>
  <c r="AY50" i="63"/>
  <c r="AY24" i="63"/>
  <c r="AY28" i="63"/>
  <c r="AY33" i="63"/>
  <c r="AY37" i="63"/>
  <c r="AY46" i="63"/>
  <c r="AY27" i="63"/>
  <c r="AY34" i="63"/>
  <c r="AY38" i="63"/>
  <c r="AY57" i="63"/>
  <c r="AY51" i="63"/>
  <c r="AY55" i="63"/>
  <c r="AY29" i="63"/>
  <c r="AY16" i="63"/>
  <c r="AY59" i="63"/>
  <c r="AY67" i="63"/>
  <c r="AY70" i="63"/>
  <c r="AY15" i="63"/>
  <c r="AY31" i="63"/>
  <c r="AY35" i="63"/>
  <c r="AY30" i="63"/>
  <c r="AY32" i="63"/>
  <c r="AY36" i="63"/>
  <c r="AY14" i="63"/>
  <c r="AY53" i="63"/>
  <c r="AY44" i="63"/>
  <c r="AY49" i="63"/>
  <c r="AY43" i="63"/>
  <c r="AY69" i="63"/>
  <c r="AY62" i="63"/>
  <c r="AW41" i="63"/>
  <c r="AW42" i="63"/>
  <c r="DC161" i="63"/>
  <c r="AW11" i="63"/>
  <c r="AW12" i="63"/>
  <c r="CQ161" i="63"/>
  <c r="AK42" i="63"/>
  <c r="AK41" i="63"/>
  <c r="AK12" i="63"/>
  <c r="AK11" i="63"/>
  <c r="AZ30" i="63"/>
  <c r="AZ37" i="63"/>
  <c r="AZ43" i="63"/>
  <c r="AZ34" i="63"/>
  <c r="AZ40" i="63"/>
  <c r="AZ17" i="63"/>
  <c r="AZ26" i="63"/>
  <c r="AZ62" i="63"/>
  <c r="AZ15" i="63"/>
  <c r="AZ35" i="63"/>
  <c r="AZ21" i="63"/>
  <c r="AZ14" i="63"/>
  <c r="AZ64" i="63"/>
  <c r="AZ65" i="63"/>
  <c r="AZ50" i="63"/>
  <c r="AZ28" i="63"/>
  <c r="AZ46" i="63"/>
  <c r="AZ44" i="63"/>
  <c r="DF162" i="63"/>
  <c r="AZ29" i="63"/>
  <c r="AZ67" i="63"/>
  <c r="AZ48" i="63"/>
  <c r="AZ13" i="63"/>
  <c r="AZ70" i="63"/>
  <c r="AZ60" i="63"/>
  <c r="AZ33" i="63"/>
  <c r="AZ19" i="63"/>
  <c r="AZ57" i="63"/>
  <c r="AZ45" i="63"/>
  <c r="AZ58" i="63"/>
  <c r="AZ63" i="63"/>
  <c r="AZ69" i="63"/>
  <c r="AZ16" i="63"/>
  <c r="AZ68" i="63"/>
  <c r="AZ52" i="63"/>
  <c r="AZ20" i="63"/>
  <c r="AZ27" i="63"/>
  <c r="AZ22" i="63"/>
  <c r="AZ23" i="63"/>
  <c r="AZ39" i="63"/>
  <c r="AZ51" i="63"/>
  <c r="AZ54" i="63"/>
  <c r="AZ61" i="63"/>
  <c r="AZ49" i="63"/>
  <c r="AZ47" i="63"/>
  <c r="AZ59" i="63"/>
  <c r="AZ18" i="63"/>
  <c r="AZ36" i="63"/>
  <c r="AZ32" i="63"/>
  <c r="AZ66" i="63"/>
  <c r="AZ25" i="63"/>
  <c r="AZ55" i="63"/>
  <c r="AZ53" i="63"/>
  <c r="AZ38" i="63"/>
  <c r="AZ24" i="63"/>
  <c r="AZ31" i="63"/>
  <c r="AZ56" i="63"/>
  <c r="AN42" i="63"/>
  <c r="CT161" i="63"/>
  <c r="AN12" i="63"/>
  <c r="AN11" i="63"/>
  <c r="AN41" i="63"/>
  <c r="BG43" i="63"/>
  <c r="AP41" i="63"/>
  <c r="AP42" i="63"/>
  <c r="AP11" i="63"/>
  <c r="CV161" i="63"/>
  <c r="AP12" i="63"/>
  <c r="AS12" i="63"/>
  <c r="CY161" i="63"/>
  <c r="AS11" i="63"/>
  <c r="AS42" i="63"/>
  <c r="AS41" i="63"/>
  <c r="AQ25" i="63"/>
  <c r="DF161" i="63"/>
  <c r="AZ42" i="63"/>
  <c r="AZ11" i="63"/>
  <c r="AZ41" i="63"/>
  <c r="AZ12" i="63"/>
  <c r="AN26" i="63"/>
  <c r="AN33" i="63"/>
  <c r="AN69" i="63"/>
  <c r="AN52" i="63"/>
  <c r="AN30" i="63"/>
  <c r="AN24" i="63"/>
  <c r="AN34" i="63"/>
  <c r="CT162" i="63"/>
  <c r="AN20" i="63"/>
  <c r="AN37" i="63"/>
  <c r="AN66" i="63"/>
  <c r="AN56" i="63"/>
  <c r="AN47" i="63"/>
  <c r="AN18" i="63"/>
  <c r="AN53" i="63"/>
  <c r="AN44" i="63"/>
  <c r="AN28" i="63"/>
  <c r="AN59" i="63"/>
  <c r="AN68" i="63"/>
  <c r="AN14" i="63"/>
  <c r="AN49" i="63"/>
  <c r="AN43" i="63"/>
  <c r="AN60" i="63"/>
  <c r="AN50" i="63"/>
  <c r="AN22" i="63"/>
  <c r="AN19" i="63"/>
  <c r="AN23" i="63"/>
  <c r="AN16" i="63"/>
  <c r="AN46" i="63"/>
  <c r="AN31" i="63"/>
  <c r="AN67" i="63"/>
  <c r="AN64" i="63"/>
  <c r="AN13" i="63"/>
  <c r="AN38" i="63"/>
  <c r="AN32" i="63"/>
  <c r="AN25" i="63"/>
  <c r="AN58" i="63"/>
  <c r="AN40" i="63"/>
  <c r="AN35" i="63"/>
  <c r="AN15" i="63"/>
  <c r="AN54" i="63"/>
  <c r="AN45" i="63"/>
  <c r="AN51" i="63"/>
  <c r="AN57" i="63"/>
  <c r="AN55" i="63"/>
  <c r="AN48" i="63"/>
  <c r="AN39" i="63"/>
  <c r="AN61" i="63"/>
  <c r="AN70" i="63"/>
  <c r="AN63" i="63"/>
  <c r="AN29" i="63"/>
  <c r="AN65" i="63"/>
  <c r="AN62" i="63"/>
  <c r="AN36" i="63"/>
  <c r="AN17" i="63"/>
  <c r="AN21" i="63"/>
  <c r="AN27" i="63"/>
  <c r="AO14" i="63"/>
  <c r="AO53" i="63"/>
  <c r="AO39" i="63"/>
  <c r="AO67" i="63"/>
  <c r="AO40" i="63"/>
  <c r="AO25" i="63"/>
  <c r="AO48" i="63"/>
  <c r="AO45" i="63"/>
  <c r="CU162" i="63"/>
  <c r="AO30" i="63"/>
  <c r="AO68" i="63"/>
  <c r="AO54" i="63"/>
  <c r="AO59" i="63"/>
  <c r="AO62" i="63"/>
  <c r="AO29" i="63"/>
  <c r="AO50" i="63"/>
  <c r="AO66" i="63"/>
  <c r="AO43" i="63"/>
  <c r="AO18" i="63"/>
  <c r="AO55" i="63"/>
  <c r="AO28" i="63"/>
  <c r="AO46" i="63"/>
  <c r="AO58" i="63"/>
  <c r="AO36" i="63"/>
  <c r="AO51" i="63"/>
  <c r="AO19" i="63"/>
  <c r="AO22" i="63"/>
  <c r="AO37" i="63"/>
  <c r="AO65" i="63"/>
  <c r="AO23" i="63"/>
  <c r="AO13" i="63"/>
  <c r="AO15" i="63"/>
  <c r="AO61" i="63"/>
  <c r="AO27" i="63"/>
  <c r="AO60" i="63"/>
  <c r="AO16" i="63"/>
  <c r="AO52" i="63"/>
  <c r="AO56" i="63"/>
  <c r="AO57" i="63"/>
  <c r="AO20" i="63"/>
  <c r="AO49" i="63"/>
  <c r="AO26" i="63"/>
  <c r="AO70" i="63"/>
  <c r="AO21" i="63"/>
  <c r="AO35" i="63"/>
  <c r="AO44" i="63"/>
  <c r="AO32" i="63"/>
  <c r="AO64" i="63"/>
  <c r="AO69" i="63"/>
  <c r="AO24" i="63"/>
  <c r="AO63" i="63"/>
  <c r="AO31" i="63"/>
  <c r="AO34" i="63"/>
  <c r="AO38" i="63"/>
  <c r="AO17" i="63"/>
  <c r="AO47" i="63"/>
  <c r="AO33" i="63"/>
  <c r="BG12" i="63"/>
  <c r="BG11" i="63"/>
  <c r="DM161" i="63"/>
  <c r="BG42" i="63"/>
  <c r="BG41" i="63"/>
  <c r="AP67" i="63"/>
  <c r="AP13" i="63"/>
  <c r="AP40" i="63"/>
  <c r="AP27" i="63"/>
  <c r="AP14" i="63"/>
  <c r="AP26" i="63"/>
  <c r="AP38" i="63"/>
  <c r="AP18" i="63"/>
  <c r="AP54" i="63"/>
  <c r="AP51" i="63"/>
  <c r="AP55" i="63"/>
  <c r="AP37" i="63"/>
  <c r="AP52" i="63"/>
  <c r="AP17" i="63"/>
  <c r="AP25" i="63"/>
  <c r="AP70" i="63"/>
  <c r="AP65" i="63"/>
  <c r="AP69" i="63"/>
  <c r="AP44" i="63"/>
  <c r="AP28" i="63"/>
  <c r="AP33" i="63"/>
  <c r="AP39" i="63"/>
  <c r="AP36" i="63"/>
  <c r="AP20" i="63"/>
  <c r="AP24" i="63"/>
  <c r="AP16" i="63"/>
  <c r="AP56" i="63"/>
  <c r="AP21" i="63"/>
  <c r="AP47" i="63"/>
  <c r="AP31" i="63"/>
  <c r="AP19" i="63"/>
  <c r="AP35" i="63"/>
  <c r="AP23" i="63"/>
  <c r="AP32" i="63"/>
  <c r="AP61" i="63"/>
  <c r="AP57" i="63"/>
  <c r="AP49" i="63"/>
  <c r="AP53" i="63"/>
  <c r="AP60" i="63"/>
  <c r="AP48" i="63"/>
  <c r="AP59" i="63"/>
  <c r="AP15" i="63"/>
  <c r="AP68" i="63"/>
  <c r="AP63" i="63"/>
  <c r="AP64" i="63"/>
  <c r="AP29" i="63"/>
  <c r="AP62" i="63"/>
  <c r="AP34" i="63"/>
  <c r="AP58" i="63"/>
  <c r="AP46" i="63"/>
  <c r="AP30" i="63"/>
  <c r="AP43" i="63"/>
  <c r="AP22" i="63"/>
  <c r="AP45" i="63"/>
  <c r="AP50" i="63"/>
  <c r="AP66" i="63"/>
  <c r="CV162" i="63"/>
  <c r="AS17" i="63"/>
  <c r="AS36" i="63"/>
  <c r="AS18" i="63"/>
  <c r="AS47" i="63"/>
  <c r="AS46" i="63"/>
  <c r="AS25" i="63"/>
  <c r="AS29" i="63"/>
  <c r="AS51" i="63"/>
  <c r="AS13" i="63"/>
  <c r="AS21" i="63"/>
  <c r="AS26" i="63"/>
  <c r="AS49" i="63"/>
  <c r="AS54" i="63"/>
  <c r="AS40" i="63"/>
  <c r="CY162" i="63"/>
  <c r="AS62" i="63"/>
  <c r="AS59" i="63"/>
  <c r="AS44" i="63"/>
  <c r="AS63" i="63"/>
  <c r="AS58" i="63"/>
  <c r="AS19" i="63"/>
  <c r="AS16" i="63"/>
  <c r="AS20" i="63"/>
  <c r="AS68" i="63"/>
  <c r="AS53" i="63"/>
  <c r="AS22" i="63"/>
  <c r="AS30" i="63"/>
  <c r="AS50" i="63"/>
  <c r="AS27" i="63"/>
  <c r="AS69" i="63"/>
  <c r="AS28" i="63"/>
  <c r="AS67" i="63"/>
  <c r="AS35" i="63"/>
  <c r="AS60" i="63"/>
  <c r="AS70" i="63"/>
  <c r="AS61" i="63"/>
  <c r="AS39" i="63"/>
  <c r="AS31" i="63"/>
  <c r="AS38" i="63"/>
  <c r="AS65" i="63"/>
  <c r="AS32" i="63"/>
  <c r="AS23" i="63"/>
  <c r="AS33" i="63"/>
  <c r="AS57" i="63"/>
  <c r="AS48" i="63"/>
  <c r="AS24" i="63"/>
  <c r="AS66" i="63"/>
  <c r="AS52" i="63"/>
  <c r="AS45" i="63"/>
  <c r="AS56" i="63"/>
  <c r="AS64" i="63"/>
  <c r="AS43" i="63"/>
  <c r="AS55" i="63"/>
  <c r="AS37" i="63"/>
  <c r="AS34" i="63"/>
  <c r="AS14" i="63"/>
  <c r="AS15" i="63"/>
  <c r="AQ12" i="63"/>
  <c r="AQ11" i="63"/>
  <c r="AQ41" i="63"/>
  <c r="CW161" i="63"/>
  <c r="AQ42" i="63"/>
  <c r="BN43" i="63"/>
  <c r="CQ43" i="63" s="1"/>
  <c r="BN81" i="63"/>
  <c r="CQ81" i="63" s="1"/>
  <c r="BN22" i="63"/>
  <c r="CQ22" i="63" s="1"/>
  <c r="BN24" i="63"/>
  <c r="CQ24" i="63" s="1"/>
  <c r="BN65" i="63"/>
  <c r="CQ65" i="63" s="1"/>
  <c r="BN26" i="63"/>
  <c r="CQ26" i="63" s="1"/>
  <c r="BN49" i="63"/>
  <c r="CQ49" i="63" s="1"/>
  <c r="BN21" i="63"/>
  <c r="CQ21" i="63" s="1"/>
  <c r="BN23" i="63"/>
  <c r="CQ23" i="63" s="1"/>
  <c r="BN110" i="63"/>
  <c r="CQ110" i="63" s="1"/>
  <c r="BN38" i="63"/>
  <c r="CQ38" i="63" s="1"/>
  <c r="BN82" i="63"/>
  <c r="CQ82" i="63" s="1"/>
  <c r="BN104" i="63"/>
  <c r="CQ104" i="63" s="1"/>
  <c r="BN52" i="63"/>
  <c r="CQ52" i="63" s="1"/>
  <c r="BN14" i="63"/>
  <c r="CQ14" i="63" s="1"/>
  <c r="BN67" i="63"/>
  <c r="CQ67" i="63" s="1"/>
  <c r="BN94" i="63"/>
  <c r="CQ94" i="63" s="1"/>
  <c r="BN44" i="63"/>
  <c r="CQ44" i="63" s="1"/>
  <c r="BN61" i="63"/>
  <c r="CQ61" i="63" s="1"/>
  <c r="BN69" i="63"/>
  <c r="CQ69" i="63" s="1"/>
  <c r="BN84" i="63"/>
  <c r="CQ84" i="63" s="1"/>
  <c r="BN20" i="63"/>
  <c r="CQ20" i="63" s="1"/>
  <c r="BN51" i="63"/>
  <c r="CQ51" i="63" s="1"/>
  <c r="BN96" i="63"/>
  <c r="CQ96" i="63" s="1"/>
  <c r="BN35" i="63"/>
  <c r="CQ35" i="63" s="1"/>
  <c r="BN30" i="63"/>
  <c r="CQ30" i="63" s="1"/>
  <c r="BN28" i="63"/>
  <c r="CQ28" i="63" s="1"/>
  <c r="BN15" i="63"/>
  <c r="CQ15" i="63" s="1"/>
  <c r="BN95" i="63"/>
  <c r="CQ95" i="63" s="1"/>
  <c r="BN83" i="63"/>
  <c r="CQ83" i="63" s="1"/>
  <c r="BN68" i="63"/>
  <c r="CQ68" i="63" s="1"/>
  <c r="BN107" i="63"/>
  <c r="CQ107" i="63" s="1"/>
  <c r="BN39" i="63"/>
  <c r="CQ39" i="63" s="1"/>
  <c r="BN45" i="63"/>
  <c r="CQ45" i="63" s="1"/>
  <c r="BN97" i="63"/>
  <c r="CQ97" i="63" s="1"/>
  <c r="BN48" i="63"/>
  <c r="CQ48" i="63" s="1"/>
  <c r="BN105" i="63"/>
  <c r="CQ105" i="63" s="1"/>
  <c r="BN37" i="63"/>
  <c r="CQ37" i="63" s="1"/>
  <c r="BN40" i="63"/>
  <c r="CQ40" i="63" s="1"/>
  <c r="BN103" i="63"/>
  <c r="CQ103" i="63" s="1"/>
  <c r="BN112" i="63"/>
  <c r="CQ112" i="63" s="1"/>
  <c r="BN108" i="63"/>
  <c r="CQ108" i="63" s="1"/>
  <c r="BN90" i="63"/>
  <c r="CQ90" i="63" s="1"/>
  <c r="BN89" i="63"/>
  <c r="CQ89" i="63" s="1"/>
  <c r="BN17" i="63"/>
  <c r="CQ17" i="63" s="1"/>
  <c r="BN59" i="63"/>
  <c r="CQ59" i="63" s="1"/>
  <c r="BN18" i="63"/>
  <c r="CQ18" i="63" s="1"/>
  <c r="BN99" i="63"/>
  <c r="CQ99" i="63" s="1"/>
  <c r="BN58" i="63"/>
  <c r="CQ58" i="63" s="1"/>
  <c r="BN100" i="63"/>
  <c r="CQ100" i="63" s="1"/>
  <c r="BN109" i="63"/>
  <c r="CQ109" i="63" s="1"/>
  <c r="BN111" i="63"/>
  <c r="CQ111" i="63" s="1"/>
  <c r="BN36" i="63"/>
  <c r="CQ36" i="63" s="1"/>
  <c r="BN16" i="63"/>
  <c r="CQ16" i="63" s="1"/>
  <c r="BN27" i="63"/>
  <c r="CQ27" i="63" s="1"/>
  <c r="BN93" i="63"/>
  <c r="CQ93" i="63" s="1"/>
  <c r="BN53" i="63"/>
  <c r="CQ53" i="63" s="1"/>
  <c r="BN56" i="63"/>
  <c r="CQ56" i="63" s="1"/>
  <c r="BN57" i="63"/>
  <c r="CQ57" i="63" s="1"/>
  <c r="BN31" i="63"/>
  <c r="CQ31" i="63" s="1"/>
  <c r="BN87" i="63"/>
  <c r="CQ87" i="63" s="1"/>
  <c r="BN98" i="63"/>
  <c r="CQ98" i="63" s="1"/>
  <c r="BN64" i="63"/>
  <c r="CQ64" i="63" s="1"/>
  <c r="BN54" i="63"/>
  <c r="CQ54" i="63" s="1"/>
  <c r="BN50" i="63"/>
  <c r="CQ50" i="63" s="1"/>
  <c r="BN41" i="63"/>
  <c r="CQ41" i="63" s="1"/>
  <c r="BN106" i="63"/>
  <c r="CQ106" i="63" s="1"/>
  <c r="BN12" i="63"/>
  <c r="CQ12" i="63" s="1"/>
  <c r="BN70" i="63"/>
  <c r="CQ70" i="63" s="1"/>
  <c r="BN46" i="63"/>
  <c r="CQ46" i="63" s="1"/>
  <c r="BN92" i="63"/>
  <c r="CQ92" i="63" s="1"/>
  <c r="BN47" i="63"/>
  <c r="CQ47" i="63" s="1"/>
  <c r="BN91" i="63"/>
  <c r="CQ91" i="63" s="1"/>
  <c r="BN33" i="63"/>
  <c r="CQ33" i="63" s="1"/>
  <c r="BN42" i="63"/>
  <c r="CQ42" i="63" s="1"/>
  <c r="BN13" i="63"/>
  <c r="CQ13" i="63" s="1"/>
  <c r="BN34" i="63"/>
  <c r="CQ34" i="63" s="1"/>
  <c r="BN66" i="63"/>
  <c r="CQ66" i="63" s="1"/>
  <c r="BN114" i="63"/>
  <c r="CQ114" i="63" s="1"/>
  <c r="BN60" i="63"/>
  <c r="CQ60" i="63" s="1"/>
  <c r="BN25" i="63"/>
  <c r="CQ25" i="63" s="1"/>
  <c r="BN32" i="63"/>
  <c r="CQ32" i="63" s="1"/>
  <c r="BN55" i="63"/>
  <c r="CQ55" i="63" s="1"/>
  <c r="BN11" i="63"/>
  <c r="CQ11" i="63" s="1"/>
  <c r="BN88" i="63"/>
  <c r="CQ88" i="63" s="1"/>
  <c r="BN85" i="63"/>
  <c r="CQ85" i="63" s="1"/>
  <c r="BN102" i="63"/>
  <c r="CQ102" i="63" s="1"/>
  <c r="BN62" i="63"/>
  <c r="CQ62" i="63" s="1"/>
  <c r="BN113" i="63"/>
  <c r="CQ113" i="63" s="1"/>
  <c r="BN19" i="63"/>
  <c r="CQ19" i="63" s="1"/>
  <c r="BN86" i="63"/>
  <c r="CQ86" i="63" s="1"/>
  <c r="BN63" i="63"/>
  <c r="CQ63" i="63" s="1"/>
  <c r="BN29" i="63"/>
  <c r="CQ29" i="63" s="1"/>
  <c r="BN101" i="63"/>
  <c r="CQ101" i="63" s="1"/>
  <c r="D15" i="12" a="1"/>
  <c r="D15" i="12" s="1"/>
  <c r="EN29" i="13"/>
  <c r="H36" i="49"/>
  <c r="H2017" i="55"/>
  <c r="E1038" i="55"/>
  <c r="E1014" i="55"/>
  <c r="E192" i="55"/>
  <c r="E70" i="55"/>
  <c r="E86" i="55"/>
  <c r="E208" i="55"/>
  <c r="E1977" i="55"/>
  <c r="E1982" i="55"/>
  <c r="E1981" i="55"/>
  <c r="E1980" i="55"/>
  <c r="E1978" i="55"/>
  <c r="E1979" i="55"/>
  <c r="E460" i="55"/>
  <c r="E452" i="55"/>
  <c r="E7641" i="55"/>
  <c r="E428" i="55"/>
  <c r="E434" i="55"/>
  <c r="E409" i="55"/>
  <c r="E477" i="55"/>
  <c r="E2949" i="55"/>
  <c r="E7640" i="55"/>
  <c r="E421" i="55"/>
  <c r="E469" i="55"/>
  <c r="E2948" i="55"/>
  <c r="E438" i="55"/>
  <c r="E456" i="55"/>
  <c r="E7634" i="55"/>
  <c r="E412" i="55"/>
  <c r="E466" i="55"/>
  <c r="E426" i="55"/>
  <c r="E447" i="55"/>
  <c r="E457" i="55"/>
  <c r="E481" i="55"/>
  <c r="E439" i="55"/>
  <c r="E417" i="55"/>
  <c r="E441" i="55"/>
  <c r="E436" i="55"/>
  <c r="E429" i="55"/>
  <c r="E444" i="55"/>
  <c r="E443" i="55"/>
  <c r="E471" i="55"/>
  <c r="E2950" i="55"/>
  <c r="E482" i="55"/>
  <c r="E420" i="55"/>
  <c r="E449" i="55"/>
  <c r="E462" i="55"/>
  <c r="E414" i="55"/>
  <c r="E475" i="55"/>
  <c r="E454" i="55"/>
  <c r="E485" i="55"/>
  <c r="E430" i="55"/>
  <c r="E459" i="55"/>
  <c r="E450" i="55"/>
  <c r="E453" i="55"/>
  <c r="E432" i="55"/>
  <c r="E480" i="55"/>
  <c r="E476" i="55"/>
  <c r="E423" i="55"/>
  <c r="E7638" i="55"/>
  <c r="E416" i="55"/>
  <c r="E455" i="55"/>
  <c r="E478" i="55"/>
  <c r="E472" i="55"/>
  <c r="E440" i="55"/>
  <c r="E461" i="55"/>
  <c r="E415" i="55"/>
  <c r="E427" i="55"/>
  <c r="E446" i="55"/>
  <c r="E445" i="55"/>
  <c r="E413" i="55"/>
  <c r="E7639" i="55"/>
  <c r="E479" i="55"/>
  <c r="E473" i="55"/>
  <c r="E422" i="55"/>
  <c r="E464" i="55"/>
  <c r="E431" i="55"/>
  <c r="E2947" i="55"/>
  <c r="E470" i="55"/>
  <c r="E458" i="55"/>
  <c r="E437" i="55"/>
  <c r="E7635" i="55"/>
  <c r="E451" i="55"/>
  <c r="E483" i="55"/>
  <c r="E418" i="55"/>
  <c r="E468" i="55"/>
  <c r="E442" i="55"/>
  <c r="E2946" i="55"/>
  <c r="E411" i="55"/>
  <c r="E467" i="55"/>
  <c r="E433" i="55"/>
  <c r="E484" i="55"/>
  <c r="E7636" i="55"/>
  <c r="E474" i="55"/>
  <c r="E425" i="55"/>
  <c r="E448" i="55"/>
  <c r="E7637" i="55"/>
  <c r="E410" i="55"/>
  <c r="E463" i="55"/>
  <c r="E419" i="55"/>
  <c r="E435" i="55"/>
  <c r="E465" i="55"/>
  <c r="E424" i="55"/>
  <c r="E737" i="55"/>
  <c r="E789" i="55"/>
  <c r="E722" i="55"/>
  <c r="E769" i="55"/>
  <c r="E784" i="55"/>
  <c r="E7667" i="55"/>
  <c r="E754" i="55"/>
  <c r="E724" i="55"/>
  <c r="E785" i="55"/>
  <c r="E751" i="55"/>
  <c r="E7668" i="55"/>
  <c r="E7666" i="55"/>
  <c r="E7671" i="55"/>
  <c r="E775" i="55"/>
  <c r="E731" i="55"/>
  <c r="E794" i="55"/>
  <c r="E732" i="55"/>
  <c r="E760" i="55"/>
  <c r="E742" i="55"/>
  <c r="E736" i="55"/>
  <c r="E735" i="55"/>
  <c r="E780" i="55"/>
  <c r="E788" i="55"/>
  <c r="E768" i="55"/>
  <c r="E776" i="55"/>
  <c r="E793" i="55"/>
  <c r="E771" i="55"/>
  <c r="E782" i="55"/>
  <c r="E726" i="55"/>
  <c r="E7670" i="55"/>
  <c r="E764" i="55"/>
  <c r="E765" i="55"/>
  <c r="E738" i="55"/>
  <c r="E786" i="55"/>
  <c r="E723" i="55"/>
  <c r="E721" i="55"/>
  <c r="E749" i="55"/>
  <c r="E790" i="55"/>
  <c r="E730" i="55"/>
  <c r="E777" i="55"/>
  <c r="E734" i="55"/>
  <c r="E728" i="55"/>
  <c r="E739" i="55"/>
  <c r="E729" i="55"/>
  <c r="E7673" i="55"/>
  <c r="E778" i="55"/>
  <c r="E770" i="55"/>
  <c r="E2973" i="55"/>
  <c r="E758" i="55"/>
  <c r="E757" i="55"/>
  <c r="E752" i="55"/>
  <c r="E2972" i="55"/>
  <c r="E753" i="55"/>
  <c r="E747" i="55"/>
  <c r="E759" i="55"/>
  <c r="E7669" i="55"/>
  <c r="E2970" i="55"/>
  <c r="E2974" i="55"/>
  <c r="E740" i="55"/>
  <c r="E779" i="55"/>
  <c r="E787" i="55"/>
  <c r="E733" i="55"/>
  <c r="E791" i="55"/>
  <c r="E781" i="55"/>
  <c r="E773" i="55"/>
  <c r="E762" i="55"/>
  <c r="E741" i="55"/>
  <c r="E763" i="55"/>
  <c r="E750" i="55"/>
  <c r="E745" i="55"/>
  <c r="E744" i="55"/>
  <c r="E743" i="55"/>
  <c r="E797" i="55"/>
  <c r="E725" i="55"/>
  <c r="E761" i="55"/>
  <c r="E746" i="55"/>
  <c r="E796" i="55"/>
  <c r="E766" i="55"/>
  <c r="E795" i="55"/>
  <c r="E7672" i="55"/>
  <c r="E755" i="55"/>
  <c r="E792" i="55"/>
  <c r="E756" i="55"/>
  <c r="E748" i="55"/>
  <c r="E727" i="55"/>
  <c r="E774" i="55"/>
  <c r="E783" i="55"/>
  <c r="E767" i="55"/>
  <c r="E2971" i="55"/>
  <c r="E772" i="55"/>
  <c r="E2158" i="55"/>
  <c r="E2865" i="55"/>
  <c r="E2402" i="55"/>
  <c r="E2280" i="55"/>
  <c r="E2621" i="55"/>
  <c r="E2743" i="55"/>
  <c r="E2637" i="55"/>
  <c r="E2296" i="55"/>
  <c r="E2881" i="55"/>
  <c r="E2174" i="55"/>
  <c r="E2418" i="55"/>
  <c r="E2759" i="55"/>
  <c r="F2000" i="55"/>
  <c r="F2004" i="55"/>
  <c r="F3223" i="55"/>
  <c r="H3158" i="55"/>
  <c r="E2288" i="55"/>
  <c r="E2410" i="55"/>
  <c r="E2873" i="55"/>
  <c r="E2166" i="55"/>
  <c r="E2629" i="55"/>
  <c r="E2751" i="55"/>
  <c r="H13" i="49"/>
  <c r="H1741" i="55"/>
  <c r="E2767" i="55"/>
  <c r="E2645" i="55"/>
  <c r="E2304" i="55"/>
  <c r="E2426" i="55"/>
  <c r="E2889" i="55"/>
  <c r="E2182" i="55"/>
  <c r="E78" i="55"/>
  <c r="E200" i="55"/>
  <c r="L38" i="52"/>
  <c r="H2244" i="55" s="1"/>
  <c r="H3121" i="55"/>
  <c r="C33" i="57"/>
  <c r="H3124" i="55" s="1"/>
  <c r="H2246" i="55"/>
  <c r="L137" i="52"/>
  <c r="H2334" i="55" s="1"/>
  <c r="L138" i="52"/>
  <c r="H2335" i="55" s="1"/>
  <c r="L23" i="52"/>
  <c r="H2229" i="55" s="1"/>
  <c r="M78" i="52"/>
  <c r="H2402" i="55" s="1"/>
  <c r="I136" i="52"/>
  <c r="L74" i="52"/>
  <c r="H2276" i="55" s="1"/>
  <c r="M63" i="52"/>
  <c r="M62" i="52" s="1"/>
  <c r="L62" i="52"/>
  <c r="H2266" i="55" s="1"/>
  <c r="H2237" i="55"/>
  <c r="L139" i="52"/>
  <c r="H2336" i="55" s="1"/>
  <c r="M31" i="52"/>
  <c r="H2359" i="55" s="1"/>
  <c r="M25" i="52"/>
  <c r="H2353" i="55" s="1"/>
  <c r="H2231" i="55"/>
  <c r="H2362" i="55"/>
  <c r="H2342" i="55"/>
  <c r="H2443" i="55"/>
  <c r="M121" i="52"/>
  <c r="H2407" i="55"/>
  <c r="DE116" i="63" l="1"/>
  <c r="DL72" i="63"/>
  <c r="CS116" i="63"/>
  <c r="CR72" i="63"/>
  <c r="CR116" i="63"/>
  <c r="AQ63" i="63"/>
  <c r="BG28" i="63"/>
  <c r="AO12" i="63"/>
  <c r="AJ24" i="63"/>
  <c r="AQ34" i="63"/>
  <c r="BG39" i="63"/>
  <c r="AO11" i="63"/>
  <c r="AJ17" i="63"/>
  <c r="AQ60" i="63"/>
  <c r="DC72" i="63"/>
  <c r="CZ116" i="63"/>
  <c r="AQ39" i="63"/>
  <c r="BG57" i="63"/>
  <c r="CU161" i="63"/>
  <c r="AJ37" i="63"/>
  <c r="AR42" i="63"/>
  <c r="DL116" i="63"/>
  <c r="AQ67" i="63"/>
  <c r="AQ16" i="63"/>
  <c r="BG22" i="63"/>
  <c r="AO42" i="63"/>
  <c r="AJ34" i="63"/>
  <c r="AQ43" i="63"/>
  <c r="AQ59" i="63"/>
  <c r="BG14" i="63"/>
  <c r="AJ59" i="63"/>
  <c r="AQ62" i="63"/>
  <c r="AQ19" i="63"/>
  <c r="BG23" i="63"/>
  <c r="AJ31" i="63"/>
  <c r="AJ66" i="63"/>
  <c r="AJ52" i="63"/>
  <c r="AJ22" i="63"/>
  <c r="AJ28" i="63"/>
  <c r="AJ18" i="63"/>
  <c r="AJ13" i="63"/>
  <c r="AJ27" i="63"/>
  <c r="CZ72" i="63"/>
  <c r="AJ53" i="63"/>
  <c r="AJ50" i="63"/>
  <c r="AJ45" i="63"/>
  <c r="AJ55" i="63"/>
  <c r="AJ47" i="63"/>
  <c r="AJ36" i="63"/>
  <c r="AJ60" i="63"/>
  <c r="AK57" i="63"/>
  <c r="AJ58" i="63"/>
  <c r="AJ68" i="63"/>
  <c r="AJ67" i="63"/>
  <c r="AJ65" i="63"/>
  <c r="AJ46" i="63"/>
  <c r="AJ21" i="63"/>
  <c r="AJ15" i="63"/>
  <c r="AJ19" i="63"/>
  <c r="AJ57" i="63"/>
  <c r="AJ26" i="63"/>
  <c r="AJ35" i="63"/>
  <c r="AJ14" i="63"/>
  <c r="AJ61" i="63"/>
  <c r="AJ39" i="63"/>
  <c r="CP162" i="63"/>
  <c r="AJ32" i="63"/>
  <c r="AJ43" i="63"/>
  <c r="AJ49" i="63"/>
  <c r="AJ29" i="63"/>
  <c r="AJ62" i="63"/>
  <c r="AJ30" i="63"/>
  <c r="AJ48" i="63"/>
  <c r="AJ16" i="63"/>
  <c r="AJ56" i="63"/>
  <c r="AJ40" i="63"/>
  <c r="AJ23" i="63"/>
  <c r="AJ54" i="63"/>
  <c r="AJ64" i="63"/>
  <c r="AJ25" i="63"/>
  <c r="AJ70" i="63"/>
  <c r="AJ44" i="63"/>
  <c r="AJ20" i="63"/>
  <c r="AJ63" i="63"/>
  <c r="AJ69" i="63"/>
  <c r="AJ33" i="63"/>
  <c r="BB25" i="63"/>
  <c r="BB57" i="63"/>
  <c r="BE66" i="63"/>
  <c r="BB53" i="63"/>
  <c r="BB45" i="63"/>
  <c r="BB61" i="63"/>
  <c r="BB31" i="63"/>
  <c r="BB64" i="63"/>
  <c r="BB39" i="63"/>
  <c r="BB36" i="63"/>
  <c r="BB54" i="63"/>
  <c r="BE31" i="63"/>
  <c r="BB20" i="63"/>
  <c r="BB29" i="63"/>
  <c r="BB27" i="63"/>
  <c r="BB30" i="63"/>
  <c r="BB50" i="63"/>
  <c r="BE37" i="63"/>
  <c r="BB63" i="63"/>
  <c r="BB15" i="63"/>
  <c r="BB24" i="63"/>
  <c r="BB16" i="63"/>
  <c r="BB14" i="63"/>
  <c r="BE55" i="63"/>
  <c r="BE24" i="63"/>
  <c r="BB37" i="63"/>
  <c r="BB62" i="63"/>
  <c r="BB44" i="63"/>
  <c r="BB43" i="63"/>
  <c r="BB68" i="63"/>
  <c r="BB48" i="63"/>
  <c r="BE20" i="63"/>
  <c r="BE30" i="63"/>
  <c r="BB65" i="63"/>
  <c r="BB32" i="63"/>
  <c r="BB35" i="63"/>
  <c r="BB17" i="63"/>
  <c r="BB38" i="63"/>
  <c r="BB55" i="63"/>
  <c r="BE40" i="63"/>
  <c r="BB18" i="63"/>
  <c r="BB66" i="63"/>
  <c r="BB47" i="63"/>
  <c r="BB34" i="63"/>
  <c r="BB23" i="63"/>
  <c r="BB40" i="63"/>
  <c r="BE13" i="63"/>
  <c r="BB13" i="63"/>
  <c r="BB70" i="63"/>
  <c r="BB46" i="63"/>
  <c r="BB19" i="63"/>
  <c r="BB69" i="63"/>
  <c r="BE21" i="63"/>
  <c r="AK68" i="63"/>
  <c r="DL163" i="63"/>
  <c r="AK65" i="63"/>
  <c r="AK58" i="63"/>
  <c r="AK53" i="63"/>
  <c r="AK25" i="63"/>
  <c r="AK19" i="63"/>
  <c r="AK49" i="63"/>
  <c r="H9" i="62"/>
  <c r="AK23" i="63"/>
  <c r="AK40" i="63"/>
  <c r="BG50" i="63"/>
  <c r="DM162" i="63"/>
  <c r="BG49" i="63"/>
  <c r="BG65" i="63"/>
  <c r="BG30" i="63"/>
  <c r="BG47" i="63"/>
  <c r="BG38" i="63"/>
  <c r="AR41" i="63"/>
  <c r="BG58" i="63"/>
  <c r="BG19" i="63"/>
  <c r="BG68" i="63"/>
  <c r="BG13" i="63"/>
  <c r="BG52" i="63"/>
  <c r="BG35" i="63"/>
  <c r="BG16" i="63"/>
  <c r="BG33" i="63"/>
  <c r="BG44" i="63"/>
  <c r="BG60" i="63"/>
  <c r="BG34" i="63"/>
  <c r="BG55" i="63"/>
  <c r="AY12" i="63"/>
  <c r="BG46" i="63"/>
  <c r="BG32" i="63"/>
  <c r="BG27" i="63"/>
  <c r="BG25" i="63"/>
  <c r="BG59" i="63"/>
  <c r="BG37" i="63"/>
  <c r="BG70" i="63"/>
  <c r="BG48" i="63"/>
  <c r="BG24" i="63"/>
  <c r="BG66" i="63"/>
  <c r="BG26" i="63"/>
  <c r="BG36" i="63"/>
  <c r="AR11" i="63"/>
  <c r="BG51" i="63"/>
  <c r="BG62" i="63"/>
  <c r="BG20" i="63"/>
  <c r="BG18" i="63"/>
  <c r="BG21" i="63"/>
  <c r="BG63" i="63"/>
  <c r="BG56" i="63"/>
  <c r="CX161" i="63"/>
  <c r="BG61" i="63"/>
  <c r="BG69" i="63"/>
  <c r="BG40" i="63"/>
  <c r="BG53" i="63"/>
  <c r="BG54" i="63"/>
  <c r="BG64" i="63"/>
  <c r="BG17" i="63"/>
  <c r="P143" i="47"/>
  <c r="P140" i="47"/>
  <c r="CS72" i="63"/>
  <c r="DC116" i="63"/>
  <c r="AK70" i="63"/>
  <c r="AK35" i="63"/>
  <c r="AK39" i="63"/>
  <c r="AK27" i="63"/>
  <c r="AK67" i="63"/>
  <c r="AK32" i="63"/>
  <c r="AK66" i="63"/>
  <c r="AK61" i="63"/>
  <c r="AK51" i="63"/>
  <c r="AK54" i="63"/>
  <c r="AK56" i="63"/>
  <c r="AK62" i="63"/>
  <c r="AK13" i="63"/>
  <c r="AK47" i="63"/>
  <c r="AK36" i="63"/>
  <c r="AK43" i="63"/>
  <c r="AK59" i="63"/>
  <c r="AK34" i="63"/>
  <c r="CQ162" i="63"/>
  <c r="CQ163" i="63" s="1"/>
  <c r="AK46" i="63"/>
  <c r="AK18" i="63"/>
  <c r="AK20" i="63"/>
  <c r="AK28" i="63"/>
  <c r="AK63" i="63"/>
  <c r="AK24" i="63"/>
  <c r="AK37" i="63"/>
  <c r="AK69" i="63"/>
  <c r="AK48" i="63"/>
  <c r="AK22" i="63"/>
  <c r="AK14" i="63"/>
  <c r="AK50" i="63"/>
  <c r="AK52" i="63"/>
  <c r="AK26" i="63"/>
  <c r="AK60" i="63"/>
  <c r="AK15" i="63"/>
  <c r="AK30" i="63"/>
  <c r="AK21" i="63"/>
  <c r="AK16" i="63"/>
  <c r="AK64" i="63"/>
  <c r="AK38" i="63"/>
  <c r="AK29" i="63"/>
  <c r="AK45" i="63"/>
  <c r="AK44" i="63"/>
  <c r="AK31" i="63"/>
  <c r="AK55" i="63"/>
  <c r="AK17" i="63"/>
  <c r="CP163" i="63"/>
  <c r="BE68" i="63"/>
  <c r="BE50" i="63"/>
  <c r="BE43" i="63"/>
  <c r="BE29" i="63"/>
  <c r="BE32" i="63"/>
  <c r="BE22" i="63"/>
  <c r="BE65" i="63"/>
  <c r="BE34" i="63"/>
  <c r="CY116" i="63"/>
  <c r="BE33" i="63"/>
  <c r="BE63" i="63"/>
  <c r="BE28" i="63"/>
  <c r="BE39" i="63"/>
  <c r="BE67" i="63"/>
  <c r="BE60" i="63"/>
  <c r="BE54" i="63"/>
  <c r="BE56" i="63"/>
  <c r="BE47" i="63"/>
  <c r="BE52" i="63"/>
  <c r="BE25" i="63"/>
  <c r="BE46" i="63"/>
  <c r="BE57" i="63"/>
  <c r="BE38" i="63"/>
  <c r="BE48" i="63"/>
  <c r="BE53" i="63"/>
  <c r="BE69" i="63"/>
  <c r="BE61" i="63"/>
  <c r="BE26" i="63"/>
  <c r="BE16" i="63"/>
  <c r="BE70" i="63"/>
  <c r="BE14" i="63"/>
  <c r="BE35" i="63"/>
  <c r="BE23" i="63"/>
  <c r="BE45" i="63"/>
  <c r="BE17" i="63"/>
  <c r="BE51" i="63"/>
  <c r="BE18" i="63"/>
  <c r="BE44" i="63"/>
  <c r="BE59" i="63"/>
  <c r="BE49" i="63"/>
  <c r="BE15" i="63"/>
  <c r="BE62" i="63"/>
  <c r="BE64" i="63"/>
  <c r="BE19" i="63"/>
  <c r="BE27" i="63"/>
  <c r="BE58" i="63"/>
  <c r="DK162" i="63"/>
  <c r="DK163" i="63" s="1"/>
  <c r="CO72" i="63"/>
  <c r="CO116" i="63"/>
  <c r="DE72" i="63"/>
  <c r="D21" i="12" a="1"/>
  <c r="D21" i="12" s="1"/>
  <c r="D20" i="12" a="1"/>
  <c r="D20" i="12" s="1"/>
  <c r="F20" i="12" s="1"/>
  <c r="H242" i="55"/>
  <c r="K91" i="49"/>
  <c r="G130" i="8"/>
  <c r="P144" i="47"/>
  <c r="P80" i="47" s="1"/>
  <c r="T144" i="47"/>
  <c r="F35" i="47"/>
  <c r="AB35" i="47" s="1"/>
  <c r="H1934" i="55" s="1"/>
  <c r="H1530" i="55"/>
  <c r="F85" i="47"/>
  <c r="H1555" i="55"/>
  <c r="H1660" i="55"/>
  <c r="J92" i="47"/>
  <c r="G21" i="49"/>
  <c r="H2030" i="55" s="1"/>
  <c r="N81" i="47"/>
  <c r="H1760" i="55"/>
  <c r="L143" i="47"/>
  <c r="L140" i="47"/>
  <c r="L144" i="47" s="1"/>
  <c r="L80" i="47" s="1"/>
  <c r="H1689" i="55"/>
  <c r="H12" i="49"/>
  <c r="H2039" i="55" s="1"/>
  <c r="DM72" i="63"/>
  <c r="M13" i="52"/>
  <c r="H2341" i="55" s="1"/>
  <c r="AQ48" i="63"/>
  <c r="BB59" i="63"/>
  <c r="BB67" i="63"/>
  <c r="BB33" i="63"/>
  <c r="BB22" i="63"/>
  <c r="DH162" i="63"/>
  <c r="DH163" i="63" s="1"/>
  <c r="AQ64" i="63"/>
  <c r="CW162" i="63"/>
  <c r="CW163" i="63" s="1"/>
  <c r="BB51" i="63"/>
  <c r="BB28" i="63"/>
  <c r="BB21" i="63"/>
  <c r="BB60" i="63"/>
  <c r="CZ52" i="13"/>
  <c r="DI116" i="63"/>
  <c r="AQ51" i="63"/>
  <c r="AQ53" i="63"/>
  <c r="D88" i="12" a="1"/>
  <c r="D88" i="12" s="1"/>
  <c r="BV30" i="13"/>
  <c r="G96" i="49"/>
  <c r="AH46" i="13"/>
  <c r="AQ65" i="63"/>
  <c r="AQ56" i="63"/>
  <c r="BB49" i="63"/>
  <c r="BB26" i="63"/>
  <c r="BB58" i="63"/>
  <c r="BB52" i="63"/>
  <c r="BA12" i="63"/>
  <c r="CY72" i="63"/>
  <c r="BV33" i="13"/>
  <c r="CZ45" i="13"/>
  <c r="G25" i="12"/>
  <c r="J47" i="49" s="1"/>
  <c r="H2070" i="55" s="1"/>
  <c r="F25" i="12"/>
  <c r="CW116" i="63"/>
  <c r="DK72" i="63"/>
  <c r="CP45" i="13"/>
  <c r="G91" i="49"/>
  <c r="H2205" i="55"/>
  <c r="D16" i="12" a="1"/>
  <c r="D16" i="12" s="1"/>
  <c r="F16" i="12" s="1"/>
  <c r="DI72" i="63"/>
  <c r="H2912" i="55"/>
  <c r="H91" i="49"/>
  <c r="H96" i="49" s="1"/>
  <c r="CS163" i="63"/>
  <c r="DJ33" i="13"/>
  <c r="H2377" i="55"/>
  <c r="M18" i="52"/>
  <c r="E25" i="53" s="1"/>
  <c r="H2475" i="55" s="1"/>
  <c r="M82" i="52"/>
  <c r="E37" i="53" s="1"/>
  <c r="H2487" i="55" s="1"/>
  <c r="M33" i="52"/>
  <c r="H2361" i="55" s="1"/>
  <c r="H2343" i="55"/>
  <c r="M111" i="52"/>
  <c r="E41" i="53" s="1"/>
  <c r="H2491" i="55" s="1"/>
  <c r="M38" i="52"/>
  <c r="E29" i="53" s="1"/>
  <c r="H2479" i="55" s="1"/>
  <c r="M98" i="52"/>
  <c r="E39" i="53" s="1"/>
  <c r="H2489" i="55" s="1"/>
  <c r="M90" i="52"/>
  <c r="H2414" i="55" s="1"/>
  <c r="M57" i="52"/>
  <c r="E33" i="53" s="1"/>
  <c r="H2483" i="55" s="1"/>
  <c r="M43" i="52"/>
  <c r="E30" i="53" s="1"/>
  <c r="H2480" i="55" s="1"/>
  <c r="J67" i="52"/>
  <c r="J136" i="52"/>
  <c r="L126" i="52"/>
  <c r="H2325" i="55" s="1"/>
  <c r="J126" i="52"/>
  <c r="H137" i="52"/>
  <c r="H136" i="52" s="1"/>
  <c r="H2347" i="55"/>
  <c r="J53" i="52"/>
  <c r="J106" i="52"/>
  <c r="DG72" i="63"/>
  <c r="DT24" i="13"/>
  <c r="DT23" i="13" s="1"/>
  <c r="G15" i="13" s="1"/>
  <c r="CX116" i="63"/>
  <c r="CN116" i="63"/>
  <c r="D13" i="12" a="1"/>
  <c r="D13" i="12" s="1"/>
  <c r="F13" i="12" s="1"/>
  <c r="BA41" i="63"/>
  <c r="CF55" i="13"/>
  <c r="CX72" i="63"/>
  <c r="AH52" i="13"/>
  <c r="BB33" i="13"/>
  <c r="ED33" i="13"/>
  <c r="ED24" i="13" s="1"/>
  <c r="ED23" i="13" s="1"/>
  <c r="H36" i="6"/>
  <c r="H33" i="6"/>
  <c r="I23" i="6"/>
  <c r="H35" i="6"/>
  <c r="H34" i="6"/>
  <c r="CF43" i="13"/>
  <c r="D44" i="57"/>
  <c r="D47" i="57" s="1"/>
  <c r="N31" i="23" s="1"/>
  <c r="P31" i="23" s="1"/>
  <c r="D89" i="12"/>
  <c r="X33" i="13"/>
  <c r="X24" i="13" s="1"/>
  <c r="X23" i="13" s="1"/>
  <c r="N96" i="23" s="1"/>
  <c r="P96" i="23" s="1"/>
  <c r="CN72" i="63"/>
  <c r="H16" i="49"/>
  <c r="H2042" i="55" s="1"/>
  <c r="H1845" i="55"/>
  <c r="AH53" i="13"/>
  <c r="M116" i="52"/>
  <c r="H2437" i="55" s="1"/>
  <c r="DG161" i="63"/>
  <c r="DG163" i="63" s="1"/>
  <c r="CZ53" i="13"/>
  <c r="I94" i="57"/>
  <c r="I92" i="57"/>
  <c r="H3175" i="55" s="1"/>
  <c r="DE161" i="63"/>
  <c r="DE163" i="63" s="1"/>
  <c r="H3208" i="55"/>
  <c r="CF46" i="13"/>
  <c r="DG116" i="63"/>
  <c r="BA11" i="63"/>
  <c r="AY42" i="63"/>
  <c r="DJ72" i="63"/>
  <c r="AY41" i="63"/>
  <c r="EN43" i="13"/>
  <c r="EN24" i="13" s="1"/>
  <c r="EN23" i="13" s="1"/>
  <c r="CZ57" i="13"/>
  <c r="BL43" i="13"/>
  <c r="DK116" i="63"/>
  <c r="CW72" i="63"/>
  <c r="DJ116" i="63"/>
  <c r="D19" i="12" a="1"/>
  <c r="D19" i="12" s="1"/>
  <c r="CU163" i="63"/>
  <c r="AQ27" i="63"/>
  <c r="AQ18" i="63"/>
  <c r="AQ32" i="63"/>
  <c r="AQ29" i="63"/>
  <c r="AQ44" i="63"/>
  <c r="DA163" i="63"/>
  <c r="G18" i="12"/>
  <c r="F18" i="12"/>
  <c r="AH34" i="13"/>
  <c r="DJ46" i="13"/>
  <c r="AQ69" i="63"/>
  <c r="AQ38" i="63"/>
  <c r="AQ61" i="63"/>
  <c r="AQ15" i="63"/>
  <c r="AQ40" i="63"/>
  <c r="D71" i="57"/>
  <c r="H3143" i="55"/>
  <c r="F2002" i="55"/>
  <c r="F3225" i="55"/>
  <c r="F2006" i="55"/>
  <c r="AQ35" i="63"/>
  <c r="AQ17" i="63"/>
  <c r="AQ26" i="63"/>
  <c r="AQ14" i="63"/>
  <c r="AQ21" i="63"/>
  <c r="R84" i="47"/>
  <c r="R85" i="47" s="1"/>
  <c r="D22" i="12" a="1"/>
  <c r="D22" i="12" s="1"/>
  <c r="D91" i="12"/>
  <c r="H1064" i="55"/>
  <c r="E37" i="25"/>
  <c r="AQ31" i="63"/>
  <c r="AQ68" i="63"/>
  <c r="AQ13" i="63"/>
  <c r="AQ54" i="63"/>
  <c r="AQ20" i="63"/>
  <c r="D14" i="12" a="1"/>
  <c r="D14" i="12" s="1"/>
  <c r="CP43" i="13"/>
  <c r="CP24" i="13" s="1"/>
  <c r="CP23" i="13" s="1"/>
  <c r="D43" i="57"/>
  <c r="D46" i="57" s="1"/>
  <c r="D48" i="57" s="1"/>
  <c r="N32" i="23" s="1"/>
  <c r="P32" i="23" s="1"/>
  <c r="AQ70" i="63"/>
  <c r="AQ58" i="63"/>
  <c r="AQ66" i="63"/>
  <c r="AQ46" i="63"/>
  <c r="AQ36" i="63"/>
  <c r="BB43" i="13"/>
  <c r="DA72" i="63"/>
  <c r="DA116" i="63"/>
  <c r="BL34" i="13"/>
  <c r="DJ43" i="13"/>
  <c r="AQ57" i="63"/>
  <c r="AQ55" i="63"/>
  <c r="AQ22" i="63"/>
  <c r="AQ37" i="63"/>
  <c r="AQ30" i="63"/>
  <c r="J90" i="49"/>
  <c r="J96" i="49" s="1"/>
  <c r="F130" i="8"/>
  <c r="F1995" i="55"/>
  <c r="F1990" i="55"/>
  <c r="F1986" i="55"/>
  <c r="F1981" i="55"/>
  <c r="E1997" i="55"/>
  <c r="F1993" i="55"/>
  <c r="I93" i="57"/>
  <c r="I96" i="57" s="1"/>
  <c r="N46" i="23" s="1"/>
  <c r="P46" i="23" s="1"/>
  <c r="CY163" i="63"/>
  <c r="AQ50" i="63"/>
  <c r="AQ23" i="63"/>
  <c r="AQ45" i="63"/>
  <c r="AQ52" i="63"/>
  <c r="AQ49" i="63"/>
  <c r="G24" i="12"/>
  <c r="J46" i="49" s="1"/>
  <c r="H2069" i="55" s="1"/>
  <c r="F24" i="12"/>
  <c r="BV34" i="13"/>
  <c r="D90" i="12"/>
  <c r="AQ24" i="63"/>
  <c r="AQ47" i="63"/>
  <c r="AQ33" i="63"/>
  <c r="BG29" i="63"/>
  <c r="BG45" i="63"/>
  <c r="BG15" i="63"/>
  <c r="BG31" i="63"/>
  <c r="AR43" i="13"/>
  <c r="AR24" i="13" s="1"/>
  <c r="AR23" i="13" s="1"/>
  <c r="CZ43" i="13"/>
  <c r="BL31" i="13"/>
  <c r="F83" i="57"/>
  <c r="N44" i="23" s="1"/>
  <c r="P44" i="23" s="1"/>
  <c r="N35" i="23"/>
  <c r="P35" i="23" s="1"/>
  <c r="E61" i="57"/>
  <c r="N36" i="23" s="1"/>
  <c r="P36" i="23" s="1"/>
  <c r="F57" i="47"/>
  <c r="H1518" i="55"/>
  <c r="H57" i="47"/>
  <c r="G10" i="49"/>
  <c r="H2020" i="55" s="1"/>
  <c r="H1561" i="55"/>
  <c r="BD72" i="63"/>
  <c r="DI163" i="63"/>
  <c r="DB163" i="63"/>
  <c r="AI29" i="63"/>
  <c r="CO162" i="63"/>
  <c r="AI61" i="63"/>
  <c r="AI17" i="63"/>
  <c r="AI63" i="63"/>
  <c r="AI59" i="63"/>
  <c r="AI37" i="63"/>
  <c r="AI40" i="63"/>
  <c r="AI22" i="63"/>
  <c r="AI35" i="63"/>
  <c r="AI66" i="63"/>
  <c r="AI49" i="63"/>
  <c r="AI27" i="63"/>
  <c r="AI26" i="63"/>
  <c r="AI16" i="63"/>
  <c r="AI55" i="63"/>
  <c r="AI30" i="63"/>
  <c r="AI33" i="63"/>
  <c r="AI13" i="63"/>
  <c r="AI69" i="63"/>
  <c r="AI70" i="63"/>
  <c r="AI53" i="63"/>
  <c r="AI39" i="63"/>
  <c r="AI57" i="63"/>
  <c r="AI47" i="63"/>
  <c r="AI28" i="63"/>
  <c r="AI31" i="63"/>
  <c r="AI68" i="63"/>
  <c r="AI38" i="63"/>
  <c r="AI24" i="63"/>
  <c r="AI62" i="63"/>
  <c r="AI56" i="63"/>
  <c r="AI51" i="63"/>
  <c r="AI14" i="63"/>
  <c r="AI46" i="63"/>
  <c r="AI18" i="63"/>
  <c r="AI67" i="63"/>
  <c r="AI50" i="63"/>
  <c r="AI45" i="63"/>
  <c r="AI19" i="63"/>
  <c r="AI64" i="63"/>
  <c r="AI20" i="63"/>
  <c r="AI25" i="63"/>
  <c r="AI32" i="63"/>
  <c r="AI58" i="63"/>
  <c r="AI21" i="63"/>
  <c r="AI52" i="63"/>
  <c r="AI36" i="63"/>
  <c r="AI23" i="63"/>
  <c r="AI34" i="63"/>
  <c r="AI65" i="63"/>
  <c r="AI60" i="63"/>
  <c r="AI48" i="63"/>
  <c r="AI43" i="63"/>
  <c r="AI54" i="63"/>
  <c r="AI15" i="63"/>
  <c r="AI44" i="63"/>
  <c r="BF72" i="63"/>
  <c r="DM163" i="63"/>
  <c r="CR163" i="63"/>
  <c r="CX163" i="63"/>
  <c r="AI12" i="63"/>
  <c r="AI11" i="63"/>
  <c r="CO161" i="63"/>
  <c r="AI42" i="63"/>
  <c r="AI41" i="63"/>
  <c r="AO72" i="63"/>
  <c r="AZ72" i="63"/>
  <c r="AT72" i="63"/>
  <c r="DJ163" i="63"/>
  <c r="BC72" i="63"/>
  <c r="AM72" i="63"/>
  <c r="AP72" i="63"/>
  <c r="AN72" i="63"/>
  <c r="AL72" i="63"/>
  <c r="DC163" i="63"/>
  <c r="DN163" i="63"/>
  <c r="CV163" i="63"/>
  <c r="CT163" i="63"/>
  <c r="AW72" i="63"/>
  <c r="AX72" i="63"/>
  <c r="BH72" i="63"/>
  <c r="DF163" i="63"/>
  <c r="CZ163" i="63"/>
  <c r="AV72" i="63"/>
  <c r="AU72" i="63"/>
  <c r="AS72" i="63"/>
  <c r="DD163" i="63"/>
  <c r="CQ72" i="63"/>
  <c r="CQ116" i="63"/>
  <c r="G15" i="12"/>
  <c r="F15" i="12"/>
  <c r="H2051" i="55"/>
  <c r="K36" i="49"/>
  <c r="H2040" i="55"/>
  <c r="L106" i="52"/>
  <c r="M137" i="52"/>
  <c r="H2456" i="55" s="1"/>
  <c r="M74" i="52"/>
  <c r="L67" i="52"/>
  <c r="H2271" i="55" s="1"/>
  <c r="C34" i="57"/>
  <c r="H3125" i="55" s="1"/>
  <c r="H2389" i="55"/>
  <c r="L53" i="52"/>
  <c r="M23" i="52"/>
  <c r="L136" i="52"/>
  <c r="H2333" i="55" s="1"/>
  <c r="M139" i="52"/>
  <c r="H2458" i="55" s="1"/>
  <c r="M28" i="52"/>
  <c r="M138" i="52"/>
  <c r="H2457" i="55" s="1"/>
  <c r="H2442" i="55"/>
  <c r="E43" i="53"/>
  <c r="H2493" i="55" s="1"/>
  <c r="E31" i="53"/>
  <c r="H2481" i="55" s="1"/>
  <c r="H2376" i="55"/>
  <c r="E34" i="53"/>
  <c r="H2484" i="55" s="1"/>
  <c r="H2388" i="55"/>
  <c r="P81" i="47" l="1"/>
  <c r="H7795" i="55" s="1"/>
  <c r="H7794" i="55"/>
  <c r="AJ72" i="63"/>
  <c r="AR72" i="63"/>
  <c r="AK72" i="63"/>
  <c r="G25" i="49"/>
  <c r="BB72" i="63"/>
  <c r="G20" i="12"/>
  <c r="J42" i="49" s="1"/>
  <c r="H2065" i="55" s="1"/>
  <c r="BE72" i="63"/>
  <c r="BA72" i="63"/>
  <c r="BG72" i="63"/>
  <c r="CF24" i="13"/>
  <c r="CF23" i="13" s="1"/>
  <c r="G13" i="12"/>
  <c r="J40" i="49" s="1"/>
  <c r="H2063" i="55" s="1"/>
  <c r="F21" i="12"/>
  <c r="G21" i="12"/>
  <c r="J43" i="49" s="1"/>
  <c r="H2066" i="55" s="1"/>
  <c r="H244" i="55"/>
  <c r="E8" i="9"/>
  <c r="E17" i="9" s="1"/>
  <c r="E8" i="53"/>
  <c r="H2086" i="55"/>
  <c r="K96" i="49"/>
  <c r="K98" i="49" s="1"/>
  <c r="H2091" i="55" s="1"/>
  <c r="G5" i="13"/>
  <c r="H1662" i="55"/>
  <c r="J21" i="49"/>
  <c r="H2055" i="55" s="1"/>
  <c r="F92" i="47"/>
  <c r="H1556" i="55"/>
  <c r="G19" i="49"/>
  <c r="H2028" i="55" s="1"/>
  <c r="H1761" i="55"/>
  <c r="N84" i="47"/>
  <c r="H1708" i="55"/>
  <c r="L81" i="47"/>
  <c r="N30" i="23"/>
  <c r="P30" i="23" s="1"/>
  <c r="P84" i="47"/>
  <c r="H7796" i="55" s="1"/>
  <c r="I97" i="57"/>
  <c r="N47" i="23" s="1"/>
  <c r="P47" i="23" s="1"/>
  <c r="E24" i="53"/>
  <c r="H2474" i="55" s="1"/>
  <c r="N106" i="23"/>
  <c r="P106" i="23" s="1"/>
  <c r="H1042" i="55" s="1"/>
  <c r="BV24" i="13"/>
  <c r="BV23" i="13" s="1"/>
  <c r="G16" i="12"/>
  <c r="AY72" i="63"/>
  <c r="AH24" i="13"/>
  <c r="AH23" i="13" s="1"/>
  <c r="N97" i="23" s="1"/>
  <c r="P97" i="23" s="1"/>
  <c r="Q12" i="22" s="1"/>
  <c r="I65" i="49" s="1"/>
  <c r="H2346" i="55"/>
  <c r="H2422" i="55"/>
  <c r="H2406" i="55"/>
  <c r="M106" i="52"/>
  <c r="H2430" i="55" s="1"/>
  <c r="E28" i="53"/>
  <c r="H2478" i="55" s="1"/>
  <c r="H2432" i="55"/>
  <c r="H2366" i="55"/>
  <c r="J69" i="52"/>
  <c r="E38" i="53"/>
  <c r="H2488" i="55" s="1"/>
  <c r="L128" i="52"/>
  <c r="H2327" i="55" s="1"/>
  <c r="J128" i="52"/>
  <c r="M67" i="52"/>
  <c r="H2393" i="55" s="1"/>
  <c r="H2383" i="55"/>
  <c r="H2371" i="55"/>
  <c r="E42" i="53"/>
  <c r="H2492" i="55" s="1"/>
  <c r="M126" i="52"/>
  <c r="H2447" i="55" s="1"/>
  <c r="N102" i="23"/>
  <c r="P102" i="23" s="1"/>
  <c r="V12" i="22" s="1"/>
  <c r="I70" i="49" s="1"/>
  <c r="G11" i="13"/>
  <c r="H1815" i="55"/>
  <c r="AQ72" i="63"/>
  <c r="G80" i="12"/>
  <c r="G82" i="12" s="1"/>
  <c r="D12" i="12" s="1"/>
  <c r="F12" i="12" s="1"/>
  <c r="J121" i="49" s="1"/>
  <c r="BB24" i="13"/>
  <c r="BB23" i="13" s="1"/>
  <c r="N99" i="23" s="1"/>
  <c r="P99" i="23" s="1"/>
  <c r="H1035" i="55" s="1"/>
  <c r="J23" i="6"/>
  <c r="I34" i="6"/>
  <c r="I33" i="6"/>
  <c r="I36" i="6"/>
  <c r="I35" i="6"/>
  <c r="DJ24" i="13"/>
  <c r="DJ23" i="13" s="1"/>
  <c r="N105" i="23" s="1"/>
  <c r="P105" i="23" s="1"/>
  <c r="DO161" i="63"/>
  <c r="CZ24" i="13"/>
  <c r="CZ23" i="13" s="1"/>
  <c r="G13" i="13" s="1"/>
  <c r="N98" i="23"/>
  <c r="P98" i="23" s="1"/>
  <c r="R12" i="22" s="1"/>
  <c r="I66" i="49" s="1"/>
  <c r="G7" i="13"/>
  <c r="H2926" i="55"/>
  <c r="BL24" i="13"/>
  <c r="BL23" i="13" s="1"/>
  <c r="H1065" i="55"/>
  <c r="E6" i="25"/>
  <c r="K78" i="49" s="1"/>
  <c r="H2080" i="55" s="1"/>
  <c r="R87" i="47"/>
  <c r="H2924" i="55" s="1"/>
  <c r="H1816" i="55"/>
  <c r="G22" i="12"/>
  <c r="J44" i="49" s="1"/>
  <c r="H2067" i="55" s="1"/>
  <c r="F22" i="12"/>
  <c r="G19" i="12"/>
  <c r="J41" i="49" s="1"/>
  <c r="H2064" i="55" s="1"/>
  <c r="F19" i="12"/>
  <c r="D72" i="57"/>
  <c r="N40" i="23" s="1"/>
  <c r="P40" i="23" s="1"/>
  <c r="N39" i="23"/>
  <c r="P39" i="23" s="1"/>
  <c r="N103" i="23"/>
  <c r="P103" i="23" s="1"/>
  <c r="G12" i="13"/>
  <c r="G14" i="12"/>
  <c r="F14" i="12"/>
  <c r="H8" i="62"/>
  <c r="H7" i="62" s="1"/>
  <c r="F8" i="62"/>
  <c r="H1028" i="55"/>
  <c r="L12" i="22"/>
  <c r="I60" i="49" s="1"/>
  <c r="H3219" i="55"/>
  <c r="H1533" i="55"/>
  <c r="H9" i="49"/>
  <c r="H2036" i="55" s="1"/>
  <c r="H10" i="49"/>
  <c r="H2037" i="55" s="1"/>
  <c r="H1585" i="55"/>
  <c r="DO162" i="63"/>
  <c r="CO163" i="63"/>
  <c r="DO163" i="63" s="1"/>
  <c r="AI72" i="63"/>
  <c r="H1031" i="55"/>
  <c r="N12" i="22"/>
  <c r="I62" i="49" s="1"/>
  <c r="H1032" i="55"/>
  <c r="P12" i="22"/>
  <c r="I64" i="49" s="1"/>
  <c r="L69" i="52"/>
  <c r="H2308" i="55"/>
  <c r="E36" i="53"/>
  <c r="H2486" i="55" s="1"/>
  <c r="H2398" i="55"/>
  <c r="H2259" i="55"/>
  <c r="C37" i="57"/>
  <c r="C38" i="57" s="1"/>
  <c r="N28" i="23" s="1"/>
  <c r="P28" i="23" s="1"/>
  <c r="M53" i="52"/>
  <c r="H2351" i="55"/>
  <c r="E26" i="53"/>
  <c r="H2476" i="55" s="1"/>
  <c r="I95" i="49"/>
  <c r="M136" i="52"/>
  <c r="H2455" i="55" s="1"/>
  <c r="E27" i="53"/>
  <c r="H2477" i="55" s="1"/>
  <c r="H2356" i="55"/>
  <c r="E10" i="53" l="1"/>
  <c r="H2461" i="55" s="1"/>
  <c r="H2460" i="55"/>
  <c r="M33" i="8"/>
  <c r="M82" i="8"/>
  <c r="M38" i="8"/>
  <c r="M111" i="8"/>
  <c r="M43" i="8"/>
  <c r="M139" i="8"/>
  <c r="M18" i="8"/>
  <c r="M53" i="8"/>
  <c r="M130" i="8"/>
  <c r="M67" i="8"/>
  <c r="M23" i="8"/>
  <c r="M136" i="8"/>
  <c r="M126" i="8"/>
  <c r="M128" i="8"/>
  <c r="M74" i="8"/>
  <c r="M98" i="8"/>
  <c r="M13" i="8"/>
  <c r="M69" i="8"/>
  <c r="M90" i="8"/>
  <c r="M121" i="8"/>
  <c r="M106" i="8"/>
  <c r="M28" i="8"/>
  <c r="E34" i="9"/>
  <c r="E40" i="9" s="1"/>
  <c r="M62" i="8"/>
  <c r="M48" i="8"/>
  <c r="M138" i="8"/>
  <c r="M57" i="8"/>
  <c r="M137" i="8"/>
  <c r="M116" i="8"/>
  <c r="G14" i="13"/>
  <c r="H1558" i="55"/>
  <c r="J19" i="49"/>
  <c r="H2053" i="55" s="1"/>
  <c r="I98" i="57"/>
  <c r="N48" i="23" s="1"/>
  <c r="P48" i="23" s="1"/>
  <c r="O12" i="22" s="1"/>
  <c r="I63" i="49" s="1"/>
  <c r="H1763" i="55"/>
  <c r="N85" i="47"/>
  <c r="H1709" i="55"/>
  <c r="L84" i="47"/>
  <c r="N104" i="23"/>
  <c r="P104" i="23" s="1"/>
  <c r="X12" i="22" s="1"/>
  <c r="I72" i="49" s="1"/>
  <c r="I121" i="49"/>
  <c r="P85" i="47"/>
  <c r="J8" i="62"/>
  <c r="H3444" i="55" s="1"/>
  <c r="Z12" i="22"/>
  <c r="I74" i="49" s="1"/>
  <c r="G8" i="13"/>
  <c r="H1033" i="55"/>
  <c r="G12" i="12"/>
  <c r="G6" i="13"/>
  <c r="F5" i="62"/>
  <c r="N101" i="23"/>
  <c r="P101" i="23" s="1"/>
  <c r="G10" i="13"/>
  <c r="J132" i="52"/>
  <c r="L132" i="52"/>
  <c r="H2331" i="55" s="1"/>
  <c r="J130" i="52"/>
  <c r="M128" i="52"/>
  <c r="I91" i="49" s="1"/>
  <c r="M69" i="52"/>
  <c r="S12" i="22"/>
  <c r="I67" i="49" s="1"/>
  <c r="H1034" i="55"/>
  <c r="H1038" i="55"/>
  <c r="J33" i="6"/>
  <c r="J34" i="6"/>
  <c r="J36" i="6"/>
  <c r="J35" i="6"/>
  <c r="K23" i="6"/>
  <c r="H1039" i="55"/>
  <c r="W12" i="22"/>
  <c r="I71" i="49" s="1"/>
  <c r="G9" i="13"/>
  <c r="N100" i="23"/>
  <c r="P100" i="23" s="1"/>
  <c r="K12" i="22"/>
  <c r="I59" i="49" s="1"/>
  <c r="H1027" i="55"/>
  <c r="Y12" i="22"/>
  <c r="I73" i="49" s="1"/>
  <c r="H1041" i="55"/>
  <c r="N27" i="23"/>
  <c r="P27" i="23" s="1"/>
  <c r="L130" i="52"/>
  <c r="H2329" i="55" s="1"/>
  <c r="H2273" i="55"/>
  <c r="H2381" i="55"/>
  <c r="M12" i="22"/>
  <c r="E14" i="53"/>
  <c r="H3216" i="55"/>
  <c r="J12" i="22"/>
  <c r="G24" i="49" l="1"/>
  <c r="H2033" i="55" s="1"/>
  <c r="H7797" i="55"/>
  <c r="F14" i="53"/>
  <c r="H1029" i="55"/>
  <c r="H1040" i="55"/>
  <c r="N92" i="47"/>
  <c r="G23" i="49"/>
  <c r="H2032" i="55" s="1"/>
  <c r="H1764" i="55"/>
  <c r="H1711" i="55"/>
  <c r="L85" i="47"/>
  <c r="J5" i="62"/>
  <c r="H3442" i="55" s="1"/>
  <c r="H3440" i="55"/>
  <c r="P92" i="47"/>
  <c r="P87" i="47"/>
  <c r="F9" i="62"/>
  <c r="H1037" i="55"/>
  <c r="U12" i="22"/>
  <c r="I69" i="49" s="1"/>
  <c r="J49" i="49"/>
  <c r="K121" i="49"/>
  <c r="M130" i="52"/>
  <c r="H2451" i="55" s="1"/>
  <c r="I90" i="49"/>
  <c r="I96" i="49" s="1"/>
  <c r="H2449" i="55"/>
  <c r="H2395" i="55"/>
  <c r="K35" i="6"/>
  <c r="K36" i="6"/>
  <c r="K33" i="6"/>
  <c r="L23" i="6"/>
  <c r="K34" i="6"/>
  <c r="T12" i="22"/>
  <c r="I68" i="49" s="1"/>
  <c r="H1036" i="55"/>
  <c r="H2464" i="55"/>
  <c r="E12" i="53"/>
  <c r="H2462" i="55" s="1"/>
  <c r="E91" i="53"/>
  <c r="E93" i="53" s="1"/>
  <c r="I61" i="49"/>
  <c r="I58" i="49"/>
  <c r="J24" i="49" l="1"/>
  <c r="H7798" i="55"/>
  <c r="F7" i="62"/>
  <c r="J9" i="62"/>
  <c r="H1766" i="55"/>
  <c r="J23" i="49"/>
  <c r="H2057" i="55" s="1"/>
  <c r="L92" i="47"/>
  <c r="H1712" i="55"/>
  <c r="G22" i="49"/>
  <c r="H2031" i="55" s="1"/>
  <c r="J48" i="49"/>
  <c r="H2071" i="55" s="1"/>
  <c r="H2072" i="55"/>
  <c r="L35" i="6"/>
  <c r="M23" i="6"/>
  <c r="L36" i="6"/>
  <c r="L34" i="6"/>
  <c r="L33" i="6"/>
  <c r="H2541" i="55"/>
  <c r="E99" i="53"/>
  <c r="H2543" i="55"/>
  <c r="J7" i="62" l="1"/>
  <c r="H3445" i="55"/>
  <c r="H2927" i="55"/>
  <c r="J22" i="49"/>
  <c r="H2056" i="55" s="1"/>
  <c r="H1714" i="55"/>
  <c r="M35" i="6"/>
  <c r="M33" i="6"/>
  <c r="M36" i="6"/>
  <c r="M34" i="6"/>
  <c r="N23" i="6"/>
  <c r="E105" i="53"/>
  <c r="H2555" i="55" s="1"/>
  <c r="H2549" i="55"/>
  <c r="H3443" i="55" l="1"/>
  <c r="R89" i="47"/>
  <c r="R92" i="47" s="1"/>
  <c r="J25" i="49" s="1"/>
  <c r="N34" i="6"/>
  <c r="N35" i="6"/>
  <c r="N33" i="6"/>
  <c r="O23" i="6"/>
  <c r="N36" i="6"/>
  <c r="H2925" i="55"/>
  <c r="W92" i="47" l="1"/>
  <c r="AB92" i="47"/>
  <c r="AB11" i="47" s="1"/>
  <c r="P23" i="6"/>
  <c r="O34" i="6"/>
  <c r="O33" i="6"/>
  <c r="O36" i="6"/>
  <c r="O35" i="6"/>
  <c r="H2058" i="55"/>
  <c r="H1818" i="55"/>
  <c r="P34" i="6" l="1"/>
  <c r="Q23" i="6"/>
  <c r="P35" i="6"/>
  <c r="P36" i="6"/>
  <c r="P33" i="6"/>
  <c r="H1922" i="55"/>
  <c r="J28" i="49"/>
  <c r="W11" i="47"/>
  <c r="H1974" i="55"/>
  <c r="W12" i="47" l="1"/>
  <c r="W13" i="47" s="1"/>
  <c r="R23" i="6"/>
  <c r="Q33" i="6"/>
  <c r="Q34" i="6"/>
  <c r="Q36" i="6"/>
  <c r="Q35" i="6"/>
  <c r="I120" i="49"/>
  <c r="H1501" i="55"/>
  <c r="H1505" i="55"/>
  <c r="AB12" i="47"/>
  <c r="H1506" i="55" s="1"/>
  <c r="J27" i="49"/>
  <c r="H2060" i="55" s="1"/>
  <c r="H2061" i="55"/>
  <c r="H1502" i="55" l="1"/>
  <c r="R35" i="6"/>
  <c r="R34" i="6"/>
  <c r="R36" i="6"/>
  <c r="S23" i="6"/>
  <c r="R33" i="6"/>
  <c r="H1503" i="55"/>
  <c r="AB13" i="47"/>
  <c r="H1507" i="55" s="1"/>
  <c r="J120" i="49"/>
  <c r="I122" i="49"/>
  <c r="K120" i="49"/>
  <c r="S35" i="6" l="1"/>
  <c r="S33" i="6"/>
  <c r="S36" i="6"/>
  <c r="S34" i="6"/>
  <c r="T23" i="6"/>
  <c r="K122" i="49"/>
  <c r="J53" i="49" s="1"/>
  <c r="J122" i="49"/>
  <c r="H5" i="22"/>
  <c r="T34" i="6" l="1"/>
  <c r="T36" i="6"/>
  <c r="U23" i="6"/>
  <c r="T35" i="6"/>
  <c r="T33" i="6"/>
  <c r="R17" i="22"/>
  <c r="R18" i="22"/>
  <c r="T17" i="22"/>
  <c r="T18" i="22"/>
  <c r="V17" i="22"/>
  <c r="V18" i="22"/>
  <c r="X17" i="22"/>
  <c r="X18" i="22"/>
  <c r="Q18" i="22"/>
  <c r="Q17" i="22"/>
  <c r="U17" i="22"/>
  <c r="P17" i="22"/>
  <c r="M17" i="22"/>
  <c r="Z18" i="22"/>
  <c r="S17" i="22"/>
  <c r="W17" i="22"/>
  <c r="L17" i="22"/>
  <c r="Z17" i="22"/>
  <c r="S18" i="22"/>
  <c r="J18" i="22"/>
  <c r="H7" i="22"/>
  <c r="H994" i="55" s="1"/>
  <c r="M18" i="22"/>
  <c r="L18" i="22"/>
  <c r="H17" i="22"/>
  <c r="N18" i="22"/>
  <c r="K18" i="22"/>
  <c r="H992" i="55"/>
  <c r="H6" i="22"/>
  <c r="H993" i="55" s="1"/>
  <c r="Y17" i="22"/>
  <c r="K17" i="22"/>
  <c r="O18" i="22"/>
  <c r="O17" i="22"/>
  <c r="J17" i="22"/>
  <c r="H18" i="22"/>
  <c r="Y18" i="22"/>
  <c r="N17" i="22"/>
  <c r="U18" i="22"/>
  <c r="W18" i="22"/>
  <c r="P18" i="22"/>
  <c r="H2076" i="55"/>
  <c r="K53" i="49"/>
  <c r="H2078" i="55" s="1"/>
  <c r="J51" i="49"/>
  <c r="H2074" i="55" s="1"/>
  <c r="U36" i="6" l="1"/>
  <c r="V23" i="6"/>
  <c r="U34" i="6"/>
  <c r="U33" i="6"/>
  <c r="U35" i="6"/>
  <c r="E18" i="22"/>
  <c r="E17" i="22"/>
  <c r="V34" i="6" l="1"/>
  <c r="W23" i="6"/>
  <c r="V33" i="6"/>
  <c r="V36" i="6"/>
  <c r="V35" i="6"/>
  <c r="C19" i="22"/>
  <c r="R19" i="22" s="1"/>
  <c r="X23" i="6" l="1"/>
  <c r="W33" i="6"/>
  <c r="W36" i="6"/>
  <c r="W35" i="6"/>
  <c r="W34" i="6"/>
  <c r="V19" i="22"/>
  <c r="T19" i="22"/>
  <c r="C20" i="22"/>
  <c r="X19" i="22"/>
  <c r="M19" i="22"/>
  <c r="D19" i="22"/>
  <c r="Z19" i="22"/>
  <c r="Q19" i="22"/>
  <c r="N19" i="22"/>
  <c r="U19" i="22"/>
  <c r="H19" i="22"/>
  <c r="K19" i="22"/>
  <c r="P19" i="22"/>
  <c r="J19" i="22"/>
  <c r="L19" i="22"/>
  <c r="W19" i="22"/>
  <c r="S19" i="22"/>
  <c r="O19" i="22"/>
  <c r="Y19" i="22"/>
  <c r="X34" i="6" l="1"/>
  <c r="X36" i="6"/>
  <c r="Y23" i="6"/>
  <c r="X33" i="6"/>
  <c r="X35" i="6"/>
  <c r="T20" i="22"/>
  <c r="R20" i="22"/>
  <c r="X20" i="22"/>
  <c r="V20" i="22"/>
  <c r="L20" i="22"/>
  <c r="Y20" i="22"/>
  <c r="N20" i="22"/>
  <c r="Q20" i="22"/>
  <c r="K20" i="22"/>
  <c r="P20" i="22"/>
  <c r="W20" i="22"/>
  <c r="S20" i="22"/>
  <c r="Z20" i="22"/>
  <c r="U20" i="22"/>
  <c r="J20" i="22"/>
  <c r="M20" i="22"/>
  <c r="H20" i="22"/>
  <c r="O20" i="22"/>
  <c r="E19" i="22"/>
  <c r="Y34" i="6" l="1"/>
  <c r="Y35" i="6"/>
  <c r="Y36" i="6"/>
  <c r="Z23" i="6"/>
  <c r="Y33" i="6"/>
  <c r="E20" i="22"/>
  <c r="C21" i="22" s="1"/>
  <c r="R21" i="22" s="1"/>
  <c r="Z33" i="6" l="1"/>
  <c r="Z36" i="6"/>
  <c r="Z35" i="6"/>
  <c r="Z34" i="6"/>
  <c r="AA23" i="6"/>
  <c r="V21" i="22"/>
  <c r="T21" i="22"/>
  <c r="U21" i="22"/>
  <c r="X21" i="22"/>
  <c r="P21" i="22"/>
  <c r="D21" i="22"/>
  <c r="W21" i="22"/>
  <c r="J21" i="22"/>
  <c r="Q21" i="22"/>
  <c r="Z21" i="22"/>
  <c r="N21" i="22"/>
  <c r="Y21" i="22"/>
  <c r="L21" i="22"/>
  <c r="C22" i="22"/>
  <c r="R22" i="22" s="1"/>
  <c r="M21" i="22"/>
  <c r="O21" i="22"/>
  <c r="S21" i="22"/>
  <c r="H21" i="22"/>
  <c r="K21" i="22"/>
  <c r="AA36" i="6" l="1"/>
  <c r="AB23" i="6"/>
  <c r="AA34" i="6"/>
  <c r="AA35" i="6"/>
  <c r="AA33" i="6"/>
  <c r="V22" i="22"/>
  <c r="T22" i="22"/>
  <c r="U22" i="22"/>
  <c r="X22" i="22"/>
  <c r="P22" i="22"/>
  <c r="Q22" i="22"/>
  <c r="O22" i="22"/>
  <c r="H22" i="22"/>
  <c r="L22" i="22"/>
  <c r="M22" i="22"/>
  <c r="Y22" i="22"/>
  <c r="J22" i="22"/>
  <c r="N22" i="22"/>
  <c r="W22" i="22"/>
  <c r="Z22" i="22"/>
  <c r="K22" i="22"/>
  <c r="E21" i="22"/>
  <c r="S22" i="22"/>
  <c r="AC23" i="6" l="1"/>
  <c r="AB33" i="6"/>
  <c r="AB35" i="6"/>
  <c r="AB36" i="6"/>
  <c r="AB34" i="6"/>
  <c r="E22" i="22"/>
  <c r="C23" i="22" s="1"/>
  <c r="R23" i="22" s="1"/>
  <c r="AC35" i="6" l="1"/>
  <c r="AD23" i="6"/>
  <c r="AC33" i="6"/>
  <c r="AC36" i="6"/>
  <c r="AC34" i="6"/>
  <c r="L23" i="22"/>
  <c r="C24" i="22"/>
  <c r="M23" i="22"/>
  <c r="N23" i="22"/>
  <c r="H23" i="22"/>
  <c r="S23" i="22"/>
  <c r="U23" i="22"/>
  <c r="O23" i="22"/>
  <c r="K23" i="22"/>
  <c r="P23" i="22"/>
  <c r="D23" i="22"/>
  <c r="Z23" i="22"/>
  <c r="Y23" i="22"/>
  <c r="J23" i="22"/>
  <c r="V23" i="22"/>
  <c r="T23" i="22"/>
  <c r="Q23" i="22"/>
  <c r="X23" i="22"/>
  <c r="W23" i="22"/>
  <c r="R24" i="22" l="1"/>
  <c r="T24" i="22"/>
  <c r="O24" i="22"/>
  <c r="Y24" i="22"/>
  <c r="K24" i="22"/>
  <c r="AD34" i="6"/>
  <c r="AD33" i="6"/>
  <c r="AD35" i="6"/>
  <c r="AD36" i="6"/>
  <c r="AE23" i="6"/>
  <c r="M24" i="22"/>
  <c r="U24" i="22"/>
  <c r="V24" i="22"/>
  <c r="X24" i="22"/>
  <c r="P24" i="22"/>
  <c r="J24" i="22"/>
  <c r="L24" i="22"/>
  <c r="Q24" i="22"/>
  <c r="W24" i="22"/>
  <c r="N24" i="22"/>
  <c r="H24" i="22"/>
  <c r="Z24" i="22"/>
  <c r="S24" i="22"/>
  <c r="E23" i="22"/>
  <c r="AE36" i="6" l="1"/>
  <c r="AE35" i="6"/>
  <c r="AE34" i="6"/>
  <c r="AE33" i="6"/>
  <c r="AF23" i="6"/>
  <c r="E24" i="22"/>
  <c r="C25" i="22" s="1"/>
  <c r="Z25" i="22" l="1"/>
  <c r="T25" i="22"/>
  <c r="X25" i="22"/>
  <c r="V25" i="22"/>
  <c r="P25" i="22"/>
  <c r="R25" i="22"/>
  <c r="S25" i="22"/>
  <c r="C26" i="22"/>
  <c r="V26" i="22" s="1"/>
  <c r="N25" i="22"/>
  <c r="AF36" i="6"/>
  <c r="AG23" i="6"/>
  <c r="AF33" i="6"/>
  <c r="AF35" i="6"/>
  <c r="AF34" i="6"/>
  <c r="O25" i="22"/>
  <c r="W25" i="22"/>
  <c r="H25" i="22"/>
  <c r="U25" i="22"/>
  <c r="L25" i="22"/>
  <c r="M25" i="22"/>
  <c r="Q25" i="22"/>
  <c r="D25" i="22"/>
  <c r="Y25" i="22"/>
  <c r="J25" i="22"/>
  <c r="K25" i="22"/>
  <c r="W26" i="22" l="1"/>
  <c r="M26" i="22"/>
  <c r="N26" i="22"/>
  <c r="T26" i="22"/>
  <c r="X26" i="22"/>
  <c r="R26" i="22"/>
  <c r="U26" i="22"/>
  <c r="L26" i="22"/>
  <c r="J26" i="22"/>
  <c r="P26" i="22"/>
  <c r="AH23" i="6"/>
  <c r="AG36" i="6"/>
  <c r="AG35" i="6"/>
  <c r="AG34" i="6"/>
  <c r="AG33" i="6"/>
  <c r="Q26" i="22"/>
  <c r="H26" i="22"/>
  <c r="O26" i="22"/>
  <c r="S26" i="22"/>
  <c r="E25" i="22"/>
  <c r="Z26" i="22"/>
  <c r="Y26" i="22"/>
  <c r="K26" i="22"/>
  <c r="E26" i="22" l="1"/>
  <c r="C27" i="22" s="1"/>
  <c r="Q27" i="22" s="1"/>
  <c r="AH36" i="6"/>
  <c r="AH33" i="6"/>
  <c r="AI23" i="6"/>
  <c r="AH35" i="6"/>
  <c r="AH34" i="6"/>
  <c r="N27" i="22" l="1"/>
  <c r="D27" i="22"/>
  <c r="U27" i="22"/>
  <c r="X27" i="22"/>
  <c r="T27" i="22"/>
  <c r="J27" i="22"/>
  <c r="Y27" i="22"/>
  <c r="H27" i="22"/>
  <c r="V27" i="22"/>
  <c r="R27" i="22"/>
  <c r="M27" i="22"/>
  <c r="C28" i="22"/>
  <c r="Q28" i="22" s="1"/>
  <c r="O27" i="22"/>
  <c r="K27" i="22"/>
  <c r="S27" i="22"/>
  <c r="W27" i="22"/>
  <c r="L27" i="22"/>
  <c r="Z27" i="22"/>
  <c r="P27" i="22"/>
  <c r="AI36" i="6"/>
  <c r="AI33" i="6"/>
  <c r="AJ23" i="6"/>
  <c r="AI35" i="6"/>
  <c r="AI34" i="6"/>
  <c r="L28" i="22" l="1"/>
  <c r="J28" i="22"/>
  <c r="Z28" i="22"/>
  <c r="O28" i="22"/>
  <c r="Y28" i="22"/>
  <c r="U28" i="22"/>
  <c r="E27" i="22"/>
  <c r="M28" i="22"/>
  <c r="X28" i="22"/>
  <c r="H28" i="22"/>
  <c r="R28" i="22"/>
  <c r="W28" i="22"/>
  <c r="P28" i="22"/>
  <c r="K28" i="22"/>
  <c r="V28" i="22"/>
  <c r="S28" i="22"/>
  <c r="T28" i="22"/>
  <c r="N28" i="22"/>
  <c r="AJ33" i="6"/>
  <c r="AJ35" i="6"/>
  <c r="AJ34" i="6"/>
  <c r="AJ36" i="6"/>
  <c r="AK23" i="6"/>
  <c r="E28" i="22" l="1"/>
  <c r="C29" i="22" s="1"/>
  <c r="C30" i="22" s="1"/>
  <c r="AK34" i="6"/>
  <c r="AK35" i="6"/>
  <c r="AK33" i="6"/>
  <c r="AK36" i="6"/>
  <c r="AL23" i="6"/>
  <c r="N29" i="22" l="1"/>
  <c r="H29" i="22"/>
  <c r="R29" i="22"/>
  <c r="T29" i="22"/>
  <c r="M29" i="22"/>
  <c r="Z29" i="22"/>
  <c r="J29" i="22"/>
  <c r="V29" i="22"/>
  <c r="Q29" i="22"/>
  <c r="W29" i="22"/>
  <c r="X29" i="22"/>
  <c r="K29" i="22"/>
  <c r="S29" i="22"/>
  <c r="Y29" i="22"/>
  <c r="P29" i="22"/>
  <c r="O29" i="22"/>
  <c r="D29" i="22"/>
  <c r="L29" i="22"/>
  <c r="U29" i="22"/>
  <c r="AL35" i="6"/>
  <c r="AM23" i="6"/>
  <c r="AL33" i="6"/>
  <c r="AL36" i="6"/>
  <c r="AL34" i="6"/>
  <c r="T30" i="22"/>
  <c r="R30" i="22"/>
  <c r="X30" i="22"/>
  <c r="V30" i="22"/>
  <c r="Z30" i="22"/>
  <c r="W30" i="22"/>
  <c r="N30" i="22"/>
  <c r="U30" i="22"/>
  <c r="M30" i="22"/>
  <c r="Y30" i="22"/>
  <c r="J30" i="22"/>
  <c r="L30" i="22"/>
  <c r="K30" i="22"/>
  <c r="H30" i="22"/>
  <c r="Q30" i="22"/>
  <c r="O30" i="22"/>
  <c r="S30" i="22"/>
  <c r="P30" i="22"/>
  <c r="E29" i="22" l="1"/>
  <c r="AN23" i="6"/>
  <c r="AM36" i="6"/>
  <c r="AM34" i="6"/>
  <c r="AM35" i="6"/>
  <c r="AM33" i="6"/>
  <c r="E30" i="22"/>
  <c r="C31" i="22" l="1"/>
  <c r="Q31" i="22" s="1"/>
  <c r="AN36" i="6"/>
  <c r="AN33" i="6"/>
  <c r="AN34" i="6"/>
  <c r="AO23" i="6"/>
  <c r="AN35" i="6"/>
  <c r="J31" i="22" l="1"/>
  <c r="R31" i="22"/>
  <c r="S31" i="22"/>
  <c r="H31" i="22"/>
  <c r="M31" i="22"/>
  <c r="L31" i="22"/>
  <c r="O31" i="22"/>
  <c r="V31" i="22"/>
  <c r="T31" i="22"/>
  <c r="U31" i="22"/>
  <c r="K31" i="22"/>
  <c r="C32" i="22"/>
  <c r="R32" i="22" s="1"/>
  <c r="P31" i="22"/>
  <c r="X31" i="22"/>
  <c r="Y31" i="22"/>
  <c r="W31" i="22"/>
  <c r="N31" i="22"/>
  <c r="D31" i="22"/>
  <c r="Z31" i="22"/>
  <c r="AP23" i="6"/>
  <c r="AO34" i="6"/>
  <c r="AO36" i="6"/>
  <c r="AO35" i="6"/>
  <c r="AO33" i="6"/>
  <c r="T32" i="22" l="1"/>
  <c r="U32" i="22"/>
  <c r="M32" i="22"/>
  <c r="S32" i="22"/>
  <c r="L32" i="22"/>
  <c r="Y32" i="22"/>
  <c r="N32" i="22"/>
  <c r="P32" i="22"/>
  <c r="E31" i="22"/>
  <c r="W32" i="22"/>
  <c r="Q32" i="22"/>
  <c r="H32" i="22"/>
  <c r="J32" i="22"/>
  <c r="V32" i="22"/>
  <c r="Z32" i="22"/>
  <c r="X32" i="22"/>
  <c r="K32" i="22"/>
  <c r="O32" i="22"/>
  <c r="AP34" i="6"/>
  <c r="AQ23" i="6"/>
  <c r="AP35" i="6"/>
  <c r="AP36" i="6"/>
  <c r="AP33" i="6"/>
  <c r="E32" i="22" l="1"/>
  <c r="C33" i="22" s="1"/>
  <c r="J33" i="22" s="1"/>
  <c r="AQ36" i="6"/>
  <c r="AR23" i="6"/>
  <c r="AQ35" i="6"/>
  <c r="AQ34" i="6"/>
  <c r="AQ33" i="6"/>
  <c r="N33" i="22" l="1"/>
  <c r="O33" i="22"/>
  <c r="H33" i="22"/>
  <c r="Z33" i="22"/>
  <c r="R33" i="22"/>
  <c r="V33" i="22"/>
  <c r="X33" i="22"/>
  <c r="Y33" i="22"/>
  <c r="P33" i="22"/>
  <c r="T33" i="22"/>
  <c r="U33" i="22"/>
  <c r="Q33" i="22"/>
  <c r="W33" i="22"/>
  <c r="M33" i="22"/>
  <c r="L33" i="22"/>
  <c r="K33" i="22"/>
  <c r="S33" i="22"/>
  <c r="D33" i="22"/>
  <c r="C34" i="22"/>
  <c r="R34" i="22" s="1"/>
  <c r="AS23" i="6"/>
  <c r="AR33" i="6"/>
  <c r="AR34" i="6"/>
  <c r="AR35" i="6"/>
  <c r="AR36" i="6"/>
  <c r="P34" i="22" l="1"/>
  <c r="E33" i="22"/>
  <c r="W34" i="22"/>
  <c r="Q34" i="22"/>
  <c r="U34" i="22"/>
  <c r="H34" i="22"/>
  <c r="L34" i="22"/>
  <c r="V34" i="22"/>
  <c r="K34" i="22"/>
  <c r="X34" i="22"/>
  <c r="Z34" i="22"/>
  <c r="O34" i="22"/>
  <c r="M34" i="22"/>
  <c r="T34" i="22"/>
  <c r="Y34" i="22"/>
  <c r="S34" i="22"/>
  <c r="J34" i="22"/>
  <c r="N34" i="22"/>
  <c r="AS36" i="6"/>
  <c r="AS33" i="6"/>
  <c r="AS35" i="6"/>
  <c r="AT23" i="6"/>
  <c r="AS34" i="6"/>
  <c r="E34" i="22" l="1"/>
  <c r="C35" i="22" s="1"/>
  <c r="J35" i="22" s="1"/>
  <c r="AT36" i="6"/>
  <c r="AT35" i="6"/>
  <c r="AT34" i="6"/>
  <c r="AU23" i="6"/>
  <c r="AT33" i="6"/>
  <c r="O35" i="22" l="1"/>
  <c r="X35" i="22"/>
  <c r="C36" i="22"/>
  <c r="M36" i="22" s="1"/>
  <c r="K35" i="22"/>
  <c r="Y35" i="22"/>
  <c r="P35" i="22"/>
  <c r="H35" i="22"/>
  <c r="N35" i="22"/>
  <c r="Q35" i="22"/>
  <c r="Z35" i="22"/>
  <c r="D35" i="22"/>
  <c r="L35" i="22"/>
  <c r="M35" i="22"/>
  <c r="S35" i="22"/>
  <c r="V35" i="22"/>
  <c r="R35" i="22"/>
  <c r="T35" i="22"/>
  <c r="W35" i="22"/>
  <c r="U35" i="22"/>
  <c r="AV23" i="6"/>
  <c r="AU36" i="6"/>
  <c r="AU35" i="6"/>
  <c r="AU33" i="6"/>
  <c r="AU34" i="6"/>
  <c r="U36" i="22" l="1"/>
  <c r="J36" i="22"/>
  <c r="Y36" i="22"/>
  <c r="K36" i="22"/>
  <c r="L36" i="22"/>
  <c r="W36" i="22"/>
  <c r="Q36" i="22"/>
  <c r="Z36" i="22"/>
  <c r="V36" i="22"/>
  <c r="X36" i="22"/>
  <c r="N36" i="22"/>
  <c r="O36" i="22"/>
  <c r="E35" i="22"/>
  <c r="P36" i="22"/>
  <c r="R36" i="22"/>
  <c r="H36" i="22"/>
  <c r="S36" i="22"/>
  <c r="T36" i="22"/>
  <c r="AW23" i="6"/>
  <c r="AV36" i="6"/>
  <c r="AV35" i="6"/>
  <c r="AV33" i="6"/>
  <c r="AV34" i="6"/>
  <c r="E36" i="22" l="1"/>
  <c r="C37" i="22" s="1"/>
  <c r="Q37" i="22" s="1"/>
  <c r="AW33" i="6"/>
  <c r="AW36" i="6"/>
  <c r="AW34" i="6"/>
  <c r="AX23" i="6"/>
  <c r="AW35" i="6"/>
  <c r="P37" i="22" l="1"/>
  <c r="M37" i="22"/>
  <c r="C38" i="22"/>
  <c r="H37" i="22"/>
  <c r="V37" i="22"/>
  <c r="X37" i="22"/>
  <c r="W37" i="22"/>
  <c r="N37" i="22"/>
  <c r="S37" i="22"/>
  <c r="Y37" i="22"/>
  <c r="J37" i="22"/>
  <c r="Z37" i="22"/>
  <c r="R37" i="22"/>
  <c r="T37" i="22"/>
  <c r="O37" i="22"/>
  <c r="K37" i="22"/>
  <c r="U37" i="22"/>
  <c r="D37" i="22"/>
  <c r="H998" i="55" s="1"/>
  <c r="L37" i="22"/>
  <c r="AX36" i="6"/>
  <c r="AX35" i="6"/>
  <c r="AX34" i="6"/>
  <c r="AX33" i="6"/>
  <c r="AY23" i="6"/>
  <c r="J38" i="22" l="1"/>
  <c r="J40" i="22" s="1"/>
  <c r="H38" i="22"/>
  <c r="H40" i="22" s="1"/>
  <c r="U38" i="22"/>
  <c r="U40" i="22" s="1"/>
  <c r="K38" i="22"/>
  <c r="K40" i="22" s="1"/>
  <c r="Z38" i="22"/>
  <c r="Z40" i="22" s="1"/>
  <c r="N38" i="22"/>
  <c r="N40" i="22" s="1"/>
  <c r="W38" i="22"/>
  <c r="W40" i="22" s="1"/>
  <c r="M38" i="22"/>
  <c r="M40" i="22" s="1"/>
  <c r="Y38" i="22"/>
  <c r="Y40" i="22" s="1"/>
  <c r="O38" i="22"/>
  <c r="O40" i="22" s="1"/>
  <c r="E6" i="22"/>
  <c r="H995" i="55" s="1"/>
  <c r="V38" i="22"/>
  <c r="V40" i="22" s="1"/>
  <c r="Q38" i="22"/>
  <c r="Q40" i="22" s="1"/>
  <c r="X38" i="22"/>
  <c r="X40" i="22" s="1"/>
  <c r="L38" i="22"/>
  <c r="L40" i="22" s="1"/>
  <c r="P38" i="22"/>
  <c r="P40" i="22" s="1"/>
  <c r="R38" i="22"/>
  <c r="R40" i="22" s="1"/>
  <c r="T38" i="22"/>
  <c r="T40" i="22" s="1"/>
  <c r="S38" i="22"/>
  <c r="S40" i="22" s="1"/>
  <c r="E37" i="22"/>
  <c r="H999" i="55" s="1"/>
  <c r="AY34" i="6"/>
  <c r="AY36" i="6"/>
  <c r="AY35" i="6"/>
  <c r="AZ23" i="6"/>
  <c r="AY33" i="6"/>
  <c r="E38" i="22" l="1"/>
  <c r="J123" i="49"/>
  <c r="E40" i="22"/>
  <c r="E7" i="22" s="1"/>
  <c r="K123" i="49" s="1"/>
  <c r="J76" i="49" s="1"/>
  <c r="K76" i="49" s="1"/>
  <c r="AZ36" i="6"/>
  <c r="AZ33" i="6"/>
  <c r="AZ34" i="6"/>
  <c r="AZ35" i="6"/>
  <c r="H996" i="55" l="1"/>
  <c r="E8" i="22"/>
  <c r="H997" i="55" s="1"/>
  <c r="H2079" i="55"/>
  <c r="R30" i="47"/>
  <c r="H1772" i="55"/>
  <c r="P27" i="47"/>
  <c r="H7764" i="55" s="1"/>
  <c r="R21" i="47"/>
  <c r="G15" i="49" s="1"/>
  <c r="H1770" i="55"/>
  <c r="H1926" i="55"/>
  <c r="W27" i="47" l="1"/>
  <c r="H1876" i="55" s="1"/>
  <c r="AB27" i="47"/>
  <c r="H1928" i="55" s="1"/>
  <c r="F32" i="48"/>
  <c r="P30" i="47"/>
  <c r="H7766" i="55" s="1"/>
  <c r="H1774" i="55"/>
  <c r="H1769" i="55"/>
  <c r="H1874" i="55"/>
  <c r="P21" i="47"/>
  <c r="R57" i="47"/>
  <c r="H15" i="49" s="1"/>
  <c r="G14" i="49" l="1"/>
  <c r="H2024" i="55" s="1"/>
  <c r="H7761" i="55"/>
  <c r="AB30" i="47"/>
  <c r="W30" i="47"/>
  <c r="W21" i="47"/>
  <c r="H1873" i="55" s="1"/>
  <c r="AB21" i="47"/>
  <c r="H1925" i="55" s="1"/>
  <c r="H1878" i="55"/>
  <c r="H1930" i="55"/>
  <c r="F27" i="48"/>
  <c r="H1793" i="55"/>
  <c r="H2026" i="55"/>
  <c r="P57" i="47"/>
  <c r="AB57" i="47" l="1"/>
  <c r="AB10" i="47" s="1"/>
  <c r="H7782" i="55"/>
  <c r="H14" i="49"/>
  <c r="W57" i="47"/>
  <c r="H1897" i="55" s="1"/>
  <c r="H1504" i="55"/>
  <c r="F34" i="48"/>
  <c r="H7759" i="55" s="1"/>
  <c r="W10" i="47" l="1"/>
  <c r="H1500" i="55" s="1"/>
  <c r="H1949" i="55"/>
  <c r="H17" i="49"/>
  <c r="K17" i="49" s="1"/>
  <c r="K82" i="49" s="1"/>
  <c r="H2041" i="55"/>
  <c r="H2043" i="55" l="1"/>
  <c r="K105" i="49"/>
  <c r="H2094" i="55" s="1"/>
  <c r="K106" i="49"/>
  <c r="H2095" i="55" s="1"/>
  <c r="H2082" i="55"/>
  <c r="X13" i="57" l="1"/>
  <c r="AB13" i="57"/>
  <c r="U13" i="57"/>
  <c r="E13" i="57"/>
  <c r="V13" i="57"/>
  <c r="S13" i="57"/>
  <c r="Y13" i="57"/>
  <c r="W13" i="57"/>
  <c r="AD13" i="57"/>
  <c r="R13" i="57"/>
  <c r="Z13" i="57"/>
  <c r="M13" i="57"/>
  <c r="J13" i="57"/>
  <c r="AA13" i="57"/>
  <c r="I13" i="57"/>
  <c r="H13" i="57"/>
  <c r="L13" i="57"/>
  <c r="G13" i="57"/>
  <c r="T13" i="57"/>
  <c r="K13" i="57"/>
  <c r="O13" i="57"/>
  <c r="AC13" i="57"/>
  <c r="Q13" i="57"/>
  <c r="F13" i="57"/>
  <c r="N13" i="57"/>
  <c r="G15" i="57"/>
  <c r="C14" i="57" s="1"/>
  <c r="C15" i="57" s="1"/>
  <c r="C16" i="57" s="1"/>
  <c r="P13" i="57"/>
  <c r="C20" i="57" l="1"/>
  <c r="H3112" i="55"/>
  <c r="N23" i="23" l="1"/>
  <c r="P23" i="23" s="1"/>
  <c r="C21" i="57"/>
  <c r="N24" i="23" s="1"/>
  <c r="P24" i="23" s="1"/>
  <c r="H3215" i="55" l="1"/>
  <c r="I12" i="22"/>
  <c r="I37" i="22" l="1"/>
  <c r="I36" i="22"/>
  <c r="I28" i="22"/>
  <c r="I20" i="22"/>
  <c r="I35" i="22"/>
  <c r="I27" i="22"/>
  <c r="I19" i="22"/>
  <c r="I34" i="22"/>
  <c r="I26" i="22"/>
  <c r="I17" i="22"/>
  <c r="I33" i="22"/>
  <c r="I25" i="22"/>
  <c r="I18" i="22"/>
  <c r="I21" i="22"/>
  <c r="I32" i="22"/>
  <c r="I24" i="22"/>
  <c r="I31" i="22"/>
  <c r="I23" i="22"/>
  <c r="I57" i="49"/>
  <c r="I30" i="22"/>
  <c r="I38" i="22"/>
  <c r="I29" i="22"/>
  <c r="I22" i="22"/>
  <c r="I40"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F9" authorId="0" shapeId="0" xr:uid="{00000000-0006-0000-0800-000001000000}">
      <text>
        <r>
          <rPr>
            <sz val="9"/>
            <color indexed="81"/>
            <rFont val="Tahoma"/>
            <family val="2"/>
          </rPr>
          <t>hier sind Mehrfachzählungen möglich; die Summe der Spalte entspricht NICHT dem gesamten marktnahen Wert!</t>
        </r>
      </text>
    </comment>
    <comment ref="I9" authorId="0" shapeId="0" xr:uid="{00000000-0006-0000-0800-000002000000}">
      <text>
        <r>
          <rPr>
            <sz val="9"/>
            <color indexed="81"/>
            <rFont val="Tahoma"/>
            <family val="2"/>
          </rPr>
          <t>OHNE Änderungen der dem VVG zugeordneten Geschäft!</t>
        </r>
      </text>
    </comment>
    <comment ref="O9" authorId="0" shapeId="0" xr:uid="{00000000-0006-0000-0800-000003000000}">
      <text>
        <r>
          <rPr>
            <sz val="9"/>
            <color indexed="81"/>
            <rFont val="Tahoma"/>
            <family val="2"/>
          </rPr>
          <t>hier sind Mehrfachzählungen möglich; die Summe der Spalte entspricht NICHT dem gesamten marktnahen Wert!</t>
        </r>
      </text>
    </comment>
    <comment ref="R9" authorId="0" shapeId="0" xr:uid="{00000000-0006-0000-0800-000004000000}">
      <text>
        <r>
          <rPr>
            <sz val="9"/>
            <color indexed="81"/>
            <rFont val="Tahoma"/>
            <family val="2"/>
          </rPr>
          <t>OHNE Änderungen der dem VVG zugeordneten Geschäft!</t>
        </r>
      </text>
    </comment>
    <comment ref="X9" authorId="0" shapeId="0" xr:uid="{00000000-0006-0000-0800-000005000000}">
      <text>
        <r>
          <rPr>
            <sz val="9"/>
            <color indexed="81"/>
            <rFont val="Tahoma"/>
            <family val="2"/>
          </rPr>
          <t>OHNE Änderungen der dem VVG zugeordneten Geschäft!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Perler Fabrice BAG</author>
  </authors>
  <commentList>
    <comment ref="C74" authorId="0" shapeId="0" xr:uid="{00000000-0006-0000-0900-000001000000}">
      <text>
        <r>
          <rPr>
            <b/>
            <sz val="9"/>
            <color indexed="81"/>
            <rFont val="Segoe UI"/>
            <family val="2"/>
          </rPr>
          <t>Perler Fabrice BAG:</t>
        </r>
        <r>
          <rPr>
            <sz val="9"/>
            <color indexed="81"/>
            <rFont val="Segoe UI"/>
            <family val="2"/>
          </rPr>
          <t xml:space="preserve">
Volatilität von Rüd Blass wird auf diejenige des IAZI-Indexes runter skaliert</t>
        </r>
      </text>
    </comment>
    <comment ref="F74" authorId="0" shapeId="0" xr:uid="{0BF11AE2-C5D6-43B3-9B5B-F3734A9DB8ED}">
      <text>
        <r>
          <rPr>
            <sz val="9"/>
            <color indexed="81"/>
            <rFont val="Segoe UI"/>
            <family val="2"/>
          </rPr>
          <t>Skalierungsfaktor: 0.3524 aus SST Template.xlsx, Blatt Market(Static), Spalte "scale factor"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A16" authorId="0" shapeId="0" xr:uid="{00000000-0006-0000-0B00-000001000000}">
      <text>
        <r>
          <rPr>
            <sz val="9"/>
            <color indexed="81"/>
            <rFont val="Segoe UI"/>
            <family val="2"/>
          </rPr>
          <t xml:space="preserve">Anzahl Versicherter, die ab 01.01 neu dazugekommen sind (ohne die Abgänge und </t>
        </r>
        <r>
          <rPr>
            <b/>
            <sz val="9"/>
            <color indexed="81"/>
            <rFont val="Segoe UI"/>
            <family val="2"/>
          </rPr>
          <t>die bei einer allfälligen Fusion übernommen Versicherte</t>
        </r>
        <r>
          <rPr>
            <sz val="9"/>
            <color indexed="81"/>
            <rFont val="Segoe UI"/>
            <family val="2"/>
          </rPr>
          <t xml:space="preserve"> zu berücksichtigen)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evobod</author>
    <author>Reding Abril Isabel BAG</author>
  </authors>
  <commentList>
    <comment ref="B20" authorId="0" shapeId="0" xr:uid="{00000000-0006-0000-1200-000001000000}">
      <text>
        <r>
          <rPr>
            <sz val="9"/>
            <color indexed="81"/>
            <rFont val="Tahoma"/>
            <family val="2"/>
          </rPr>
          <t xml:space="preserve">Diese Zeile bitte benutzen, wenn in Absprache mit der Aufsicht ein anderes als die oben angewandten Risikogewichte verwendet werden soll. </t>
        </r>
      </text>
    </comment>
    <comment ref="B38" authorId="0" shapeId="0" xr:uid="{00000000-0006-0000-1200-000002000000}">
      <text>
        <r>
          <rPr>
            <sz val="9"/>
            <color indexed="81"/>
            <rFont val="Tahoma"/>
            <family val="2"/>
          </rPr>
          <t>Diese Zeile bitte benutzen, wenn in Absprache mit der Aufsicht ein anderes als die oben angewandten Risikogewichte verwendet werden soll.</t>
        </r>
      </text>
    </comment>
    <comment ref="B57" authorId="0" shapeId="0" xr:uid="{00000000-0006-0000-1200-000003000000}">
      <text>
        <r>
          <rPr>
            <sz val="9"/>
            <color indexed="81"/>
            <rFont val="Tahoma"/>
            <family val="2"/>
          </rPr>
          <t>Diese Zeile bitte benutzen, wenn in Absprache mit der Aufsicht ein anderes als die oben angewandten Risikogewichte verwendet werden soll.</t>
        </r>
      </text>
    </comment>
    <comment ref="B78" authorId="0" shapeId="0" xr:uid="{00000000-0006-0000-1200-000004000000}">
      <text>
        <r>
          <rPr>
            <sz val="9"/>
            <color indexed="81"/>
            <rFont val="Tahoma"/>
            <family val="2"/>
          </rPr>
          <t>Diese Zeile bitte benutzen, wenn in Absprache mit der Aufsicht ein anderes als die oben angewandten Risikogewichte verwendet werden soll.</t>
        </r>
      </text>
    </comment>
    <comment ref="B96" authorId="0" shapeId="0" xr:uid="{00000000-0006-0000-1200-000005000000}">
      <text>
        <r>
          <rPr>
            <sz val="9"/>
            <color indexed="81"/>
            <rFont val="Tahoma"/>
            <family val="2"/>
          </rPr>
          <t>Diese Zeile bitte benutzen, wenn in Absprache mit der Aufsicht ein anderes als die oben angewandten Risikogewichte verwendet werden soll.</t>
        </r>
      </text>
    </comment>
    <comment ref="B116" authorId="0" shapeId="0" xr:uid="{00000000-0006-0000-1200-000006000000}">
      <text>
        <r>
          <rPr>
            <sz val="9"/>
            <color indexed="81"/>
            <rFont val="Tahoma"/>
            <family val="2"/>
          </rPr>
          <t>Diese Zeile bitte benutzen, wenn in Absprache mit der Aufsicht ein anderes als die oben angewandten Risikogewichte verwendet werden soll.</t>
        </r>
      </text>
    </comment>
    <comment ref="B136" authorId="0" shapeId="0" xr:uid="{00000000-0006-0000-1200-000007000000}">
      <text>
        <r>
          <rPr>
            <sz val="9"/>
            <color indexed="81"/>
            <rFont val="Tahoma"/>
            <family val="2"/>
          </rPr>
          <t>Diese Zeile bitte benutzen, wenn in Absprache mit der Aufsicht ein anderes als die oben angewandten Risikogewichte verwendet werden soll.</t>
        </r>
      </text>
    </comment>
    <comment ref="B158" authorId="0" shapeId="0" xr:uid="{00000000-0006-0000-1200-000008000000}">
      <text>
        <r>
          <rPr>
            <sz val="9"/>
            <color indexed="81"/>
            <rFont val="Tahoma"/>
            <family val="2"/>
          </rPr>
          <t>Diese Zeile bitte benutzen, wenn in Absprache mit der Aufsicht ein anderes als die oben angewandten Risikogewichte verwendet werden soll.</t>
        </r>
      </text>
    </comment>
    <comment ref="B177" authorId="0" shapeId="0" xr:uid="{00000000-0006-0000-1200-000009000000}">
      <text>
        <r>
          <rPr>
            <sz val="9"/>
            <color indexed="81"/>
            <rFont val="Tahoma"/>
            <family val="2"/>
          </rPr>
          <t>Diese Zeile bitte benutzen, wenn in Absprache mit der Aufsicht ein anderes als die oben angewandten Risikogewichte verwendet werden soll.</t>
        </r>
      </text>
    </comment>
    <comment ref="B192" authorId="0" shapeId="0" xr:uid="{00000000-0006-0000-1200-00000A000000}">
      <text>
        <r>
          <rPr>
            <sz val="9"/>
            <color indexed="81"/>
            <rFont val="Tahoma"/>
            <family val="2"/>
          </rPr>
          <t>Diese Zeile bitte benutzen, wenn in Absprache mit der Aufsicht ein anderes als die oben angewandten Risikogewichte verwendet werden soll.</t>
        </r>
      </text>
    </comment>
    <comment ref="B205" authorId="0" shapeId="0" xr:uid="{00000000-0006-0000-1200-00000B000000}">
      <text>
        <r>
          <rPr>
            <sz val="9"/>
            <color indexed="81"/>
            <rFont val="Tahoma"/>
            <family val="2"/>
          </rPr>
          <t>Diese Zeile bitte benutzen, wenn in Absprache mit der Aufsicht ein anderes als die oben angewandten Risikogewichte verwendet werden soll.</t>
        </r>
      </text>
    </comment>
    <comment ref="B220" authorId="0" shapeId="0" xr:uid="{00000000-0006-0000-1200-00000C000000}">
      <text>
        <r>
          <rPr>
            <sz val="9"/>
            <color indexed="81"/>
            <rFont val="Tahoma"/>
            <family val="2"/>
          </rPr>
          <t>Diese Zeile bitte benutzen, wenn in Absprache mit der Aufsicht ein anderes als die oben angewandten Risikogewichte verwendet werden soll.</t>
        </r>
      </text>
    </comment>
    <comment ref="B238" authorId="0" shapeId="0" xr:uid="{00000000-0006-0000-1200-00000D000000}">
      <text>
        <r>
          <rPr>
            <sz val="9"/>
            <color indexed="81"/>
            <rFont val="Tahoma"/>
            <family val="2"/>
          </rPr>
          <t>Diese Zeile bitte benutzen, wenn in Absprache mit der Aufsicht ein anderes als die oben angewandten Risikogewichte verwendet werden soll.</t>
        </r>
      </text>
    </comment>
    <comment ref="B250" authorId="1" shapeId="0" xr:uid="{00000000-0006-0000-1200-00000E000000}">
      <text>
        <r>
          <rPr>
            <sz val="9"/>
            <color indexed="81"/>
            <rFont val="Segoe UI"/>
            <family val="2"/>
          </rPr>
          <t>Achtung: damit sind nicht kurzfristig verfügbare Guthaben auf Bankkonten (wie z.B. Kontokorrentkonten) gemeint, sondern Bargeld</t>
        </r>
        <r>
          <rPr>
            <sz val="9"/>
            <color indexed="81"/>
            <rFont val="Segoe UI"/>
            <family val="2"/>
          </rPr>
          <t xml:space="preserve">
</t>
        </r>
      </text>
    </comment>
    <comment ref="B253" authorId="0" shapeId="0" xr:uid="{00000000-0006-0000-1200-00000F000000}">
      <text>
        <r>
          <rPr>
            <sz val="9"/>
            <color indexed="81"/>
            <rFont val="Tahoma"/>
            <family val="2"/>
          </rPr>
          <t>Diese Zeile bitte benutzen, wenn in Absprache mit der Aufsicht ein anderes als die oben angewandten Risikogewichte verwendet werden soll.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Luder Thomas BPV</author>
    <author>Marcel Wüthrich</author>
  </authors>
  <commentList>
    <comment ref="F85" authorId="0" shapeId="0" xr:uid="{00000000-0006-0000-1600-000001000000}">
      <text>
        <r>
          <rPr>
            <b/>
            <sz val="9"/>
            <color indexed="81"/>
            <rFont val="Tahoma"/>
            <family val="2"/>
          </rPr>
          <t>FINMA:</t>
        </r>
        <r>
          <rPr>
            <sz val="9"/>
            <color indexed="81"/>
            <rFont val="Tahoma"/>
            <family val="2"/>
          </rPr>
          <t xml:space="preserve">
Falls die zweite Methode (siehe technisches Dokument) benutzt wird, muss hier das Resultat für die Berechnung des Variationskoeffizienten eingegeben werden.</t>
        </r>
      </text>
    </comment>
    <comment ref="L114" authorId="1" shapeId="0" xr:uid="{00000000-0006-0000-1600-000002000000}">
      <text>
        <r>
          <rPr>
            <sz val="9"/>
            <color indexed="81"/>
            <rFont val="Tahoma"/>
            <family val="2"/>
          </rPr>
          <t>leer lassen, falls keine reine Grossrisiko-Rückversicherung existiert</t>
        </r>
      </text>
    </comment>
    <comment ref="N114" authorId="1" shapeId="0" xr:uid="{00000000-0006-0000-1600-000003000000}">
      <text>
        <r>
          <rPr>
            <sz val="9"/>
            <color indexed="81"/>
            <rFont val="Tahoma"/>
            <family val="2"/>
          </rPr>
          <t>leer lassen, falls keine reine Grossrisiko-Rückversicherung existiert</t>
        </r>
      </text>
    </comment>
    <comment ref="P114" authorId="1" shapeId="0" xr:uid="{EBD0FEB3-67E4-43BC-8161-84BDB9332861}">
      <text>
        <r>
          <rPr>
            <sz val="9"/>
            <color indexed="81"/>
            <rFont val="Tahoma"/>
            <family val="2"/>
          </rPr>
          <t>leer lassen, falls keine reine Grossrisiko-Rückversicherung existiert</t>
        </r>
      </text>
    </comment>
    <comment ref="R114" authorId="1" shapeId="0" xr:uid="{00000000-0006-0000-1600-000004000000}">
      <text>
        <r>
          <rPr>
            <sz val="9"/>
            <color indexed="81"/>
            <rFont val="Tahoma"/>
            <family val="2"/>
          </rPr>
          <t>leer lassen, falls keine reine Grossrisiko-Rückversicherung existiert</t>
        </r>
      </text>
    </comment>
    <comment ref="T114" authorId="1" shapeId="0" xr:uid="{00000000-0006-0000-1600-000005000000}">
      <text>
        <r>
          <rPr>
            <sz val="9"/>
            <color indexed="81"/>
            <rFont val="Tahoma"/>
            <family val="2"/>
          </rPr>
          <t>leer lassen, falls keine reine Grossrisiko-Rückversicherung existiert</t>
        </r>
      </text>
    </comment>
    <comment ref="L123" authorId="1" shapeId="0" xr:uid="{00000000-0006-0000-1600-000006000000}">
      <text>
        <r>
          <rPr>
            <sz val="9"/>
            <color indexed="81"/>
            <rFont val="Tahoma"/>
            <family val="2"/>
          </rPr>
          <t>leer lassen, falls keine reine Stopp-Loss-Rückversicherung existiert</t>
        </r>
      </text>
    </comment>
    <comment ref="N123" authorId="1" shapeId="0" xr:uid="{00000000-0006-0000-1600-000007000000}">
      <text>
        <r>
          <rPr>
            <sz val="9"/>
            <color indexed="81"/>
            <rFont val="Tahoma"/>
            <family val="2"/>
          </rPr>
          <t>leer lassen, falls keine reine Stopp-Loss-Rückversicherung existiert</t>
        </r>
      </text>
    </comment>
    <comment ref="P123" authorId="1" shapeId="0" xr:uid="{ED9420A9-1120-4EB7-A93E-DB02040EC663}">
      <text>
        <r>
          <rPr>
            <sz val="9"/>
            <color indexed="81"/>
            <rFont val="Tahoma"/>
            <family val="2"/>
          </rPr>
          <t>leer lassen, falls keine reine Stopp-Loss-Rückversicherung existiert</t>
        </r>
      </text>
    </comment>
    <comment ref="R123" authorId="1" shapeId="0" xr:uid="{00000000-0006-0000-1600-000008000000}">
      <text>
        <r>
          <rPr>
            <sz val="9"/>
            <color indexed="81"/>
            <rFont val="Tahoma"/>
            <family val="2"/>
          </rPr>
          <t>leer lassen, falls keine reine Stopp-Loss-Rückversicherung existiert</t>
        </r>
      </text>
    </comment>
    <comment ref="T123" authorId="1" shapeId="0" xr:uid="{00000000-0006-0000-1600-000009000000}">
      <text>
        <r>
          <rPr>
            <sz val="9"/>
            <color indexed="81"/>
            <rFont val="Tahoma"/>
            <family val="2"/>
          </rPr>
          <t>leer lassen, falls keine reine Stopp-Loss-Rückversicherung existiert</t>
        </r>
      </text>
    </comment>
    <comment ref="L124" authorId="1" shapeId="0" xr:uid="{00000000-0006-0000-1600-00000A000000}">
      <text>
        <r>
          <rPr>
            <sz val="9"/>
            <color indexed="81"/>
            <rFont val="Tahoma"/>
            <family val="2"/>
          </rPr>
          <t>leer lassen, falls keine reine Stopp-Loss-Rückversicherung existiert</t>
        </r>
      </text>
    </comment>
    <comment ref="N124" authorId="1" shapeId="0" xr:uid="{00000000-0006-0000-1600-00000B000000}">
      <text>
        <r>
          <rPr>
            <sz val="9"/>
            <color indexed="81"/>
            <rFont val="Tahoma"/>
            <family val="2"/>
          </rPr>
          <t>leer lassen, falls keine reine Stopp-Loss-Rückversicherung existiert</t>
        </r>
      </text>
    </comment>
    <comment ref="P124" authorId="1" shapeId="0" xr:uid="{2A2BD569-4D15-4951-BE6B-A5159E1D192E}">
      <text>
        <r>
          <rPr>
            <sz val="9"/>
            <color indexed="81"/>
            <rFont val="Tahoma"/>
            <family val="2"/>
          </rPr>
          <t>leer lassen, falls keine reine Stopp-Loss-Rückversicherung existiert</t>
        </r>
      </text>
    </comment>
    <comment ref="R124" authorId="1" shapeId="0" xr:uid="{00000000-0006-0000-1600-00000C000000}">
      <text>
        <r>
          <rPr>
            <sz val="9"/>
            <color indexed="81"/>
            <rFont val="Tahoma"/>
            <family val="2"/>
          </rPr>
          <t>leer lassen, falls keine reine Stopp-Loss-Rückversicherung existiert</t>
        </r>
      </text>
    </comment>
    <comment ref="T124" authorId="1" shapeId="0" xr:uid="{00000000-0006-0000-1600-00000D000000}">
      <text>
        <r>
          <rPr>
            <sz val="9"/>
            <color indexed="81"/>
            <rFont val="Tahoma"/>
            <family val="2"/>
          </rPr>
          <t>leer lassen, falls keine reine Stopp-Loss-Rückversicherung existiert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Marcel Wüthrich</author>
    <author>Burkhalter David BAG</author>
  </authors>
  <commentList>
    <comment ref="G9" authorId="0" shapeId="0" xr:uid="{00000000-0006-0000-1800-000001000000}">
      <text>
        <r>
          <rPr>
            <sz val="9"/>
            <color indexed="81"/>
            <rFont val="Tahoma"/>
            <family val="2"/>
          </rPr>
          <t>Expected Combined Ratio</t>
        </r>
      </text>
    </comment>
    <comment ref="G10" authorId="0" shapeId="0" xr:uid="{00000000-0006-0000-1800-000002000000}">
      <text>
        <r>
          <rPr>
            <sz val="9"/>
            <color indexed="81"/>
            <rFont val="Tahoma"/>
            <family val="2"/>
          </rPr>
          <t>Expected Combined Ratio</t>
        </r>
      </text>
    </comment>
    <comment ref="G11" authorId="0" shapeId="0" xr:uid="{00000000-0006-0000-1800-000003000000}">
      <text>
        <r>
          <rPr>
            <sz val="9"/>
            <color indexed="81"/>
            <rFont val="Tahoma"/>
            <family val="2"/>
          </rPr>
          <t>Expected Combined Ratio</t>
        </r>
      </text>
    </comment>
    <comment ref="G12" authorId="0" shapeId="0" xr:uid="{00000000-0006-0000-1800-000004000000}">
      <text>
        <r>
          <rPr>
            <sz val="9"/>
            <color indexed="81"/>
            <rFont val="Tahoma"/>
            <family val="2"/>
          </rPr>
          <t>Expected Combined Ratio</t>
        </r>
      </text>
    </comment>
    <comment ref="G13" authorId="0" shapeId="0" xr:uid="{00000000-0006-0000-1800-000005000000}">
      <text>
        <r>
          <rPr>
            <sz val="9"/>
            <color indexed="81"/>
            <rFont val="Tahoma"/>
            <family val="2"/>
          </rPr>
          <t>Expected Combined Ratio</t>
        </r>
      </text>
    </comment>
    <comment ref="G14" authorId="0" shapeId="0" xr:uid="{5B1CA492-3854-49BF-AF43-5A3A1F6BAFDD}">
      <text>
        <r>
          <rPr>
            <sz val="9"/>
            <color indexed="81"/>
            <rFont val="Tahoma"/>
            <family val="2"/>
          </rPr>
          <t>Expected Combined Ratio
Expectation Insurance</t>
        </r>
      </text>
    </comment>
    <comment ref="G15" authorId="0" shapeId="0" xr:uid="{47656547-344A-4160-9D9D-E927183F50D7}">
      <text>
        <r>
          <rPr>
            <sz val="9"/>
            <color indexed="81"/>
            <rFont val="Tahoma"/>
            <family val="2"/>
          </rPr>
          <t>Expected Combined Ratio
Expectation Insurance</t>
        </r>
      </text>
    </comment>
    <comment ref="G16" authorId="0" shapeId="0" xr:uid="{00000000-0006-0000-1800-000007000000}">
      <text>
        <r>
          <rPr>
            <sz val="9"/>
            <color indexed="81"/>
            <rFont val="Tahoma"/>
            <family val="2"/>
          </rPr>
          <t>Expected Combined Ratio</t>
        </r>
      </text>
    </comment>
    <comment ref="G19" authorId="0" shapeId="0" xr:uid="{00000000-0006-0000-1800-000009000000}">
      <text>
        <r>
          <rPr>
            <sz val="9"/>
            <color indexed="81"/>
            <rFont val="Tahoma"/>
            <family val="2"/>
          </rPr>
          <t>coefficient of variation</t>
        </r>
      </text>
    </comment>
    <comment ref="G20" authorId="0" shapeId="0" xr:uid="{00000000-0006-0000-1800-00000A000000}">
      <text>
        <r>
          <rPr>
            <sz val="9"/>
            <color indexed="81"/>
            <rFont val="Tahoma"/>
            <family val="2"/>
          </rPr>
          <t>coefficient of variation</t>
        </r>
      </text>
    </comment>
    <comment ref="G21" authorId="0" shapeId="0" xr:uid="{00000000-0006-0000-1800-00000B000000}">
      <text>
        <r>
          <rPr>
            <sz val="9"/>
            <color indexed="81"/>
            <rFont val="Tahoma"/>
            <family val="2"/>
          </rPr>
          <t>coefficient of variation</t>
        </r>
      </text>
    </comment>
    <comment ref="G22" authorId="0" shapeId="0" xr:uid="{00000000-0006-0000-1800-00000C000000}">
      <text>
        <r>
          <rPr>
            <sz val="9"/>
            <color indexed="81"/>
            <rFont val="Tahoma"/>
            <family val="2"/>
          </rPr>
          <t>coefficient of variation</t>
        </r>
      </text>
    </comment>
    <comment ref="G23" authorId="0" shapeId="0" xr:uid="{00000000-0006-0000-1800-00000D000000}">
      <text>
        <r>
          <rPr>
            <sz val="9"/>
            <color indexed="81"/>
            <rFont val="Tahoma"/>
            <family val="2"/>
          </rPr>
          <t>coefficient of variation</t>
        </r>
      </text>
    </comment>
    <comment ref="G24" authorId="0" shapeId="0" xr:uid="{00000000-0006-0000-1800-00000E000000}">
      <text>
        <r>
          <rPr>
            <sz val="9"/>
            <color indexed="81"/>
            <rFont val="Tahoma"/>
            <family val="2"/>
          </rPr>
          <t>coefficient of variation</t>
        </r>
      </text>
    </comment>
    <comment ref="G25" authorId="0" shapeId="0" xr:uid="{C7D4CB09-C06C-415E-865D-FBF4A0C80D36}">
      <text>
        <r>
          <rPr>
            <sz val="9"/>
            <color indexed="81"/>
            <rFont val="Tahoma"/>
            <family val="2"/>
          </rPr>
          <t>coefficient of variation</t>
        </r>
      </text>
    </comment>
    <comment ref="G26" authorId="0" shapeId="0" xr:uid="{00000000-0006-0000-1800-00000F000000}">
      <text>
        <r>
          <rPr>
            <sz val="9"/>
            <color indexed="81"/>
            <rFont val="Tahoma"/>
            <family val="2"/>
          </rPr>
          <t>coefficient of variation</t>
        </r>
      </text>
    </comment>
    <comment ref="G30" authorId="0" shapeId="0" xr:uid="{00000000-0006-0000-1800-000010000000}">
      <text>
        <r>
          <rPr>
            <sz val="9"/>
            <color indexed="81"/>
            <rFont val="Tahoma"/>
            <family val="2"/>
          </rPr>
          <t>expected rate of return</t>
        </r>
      </text>
    </comment>
    <comment ref="G31" authorId="0" shapeId="0" xr:uid="{00000000-0006-0000-1800-000011000000}">
      <text>
        <r>
          <rPr>
            <sz val="9"/>
            <color indexed="81"/>
            <rFont val="Tahoma"/>
            <family val="2"/>
          </rPr>
          <t>expected rate of return</t>
        </r>
      </text>
    </comment>
    <comment ref="G32" authorId="0" shapeId="0" xr:uid="{00000000-0006-0000-1800-000012000000}">
      <text>
        <r>
          <rPr>
            <sz val="9"/>
            <color indexed="81"/>
            <rFont val="Tahoma"/>
            <family val="2"/>
          </rPr>
          <t>expected rate of return</t>
        </r>
      </text>
    </comment>
    <comment ref="G33" authorId="0" shapeId="0" xr:uid="{00000000-0006-0000-1800-000013000000}">
      <text>
        <r>
          <rPr>
            <sz val="9"/>
            <color indexed="81"/>
            <rFont val="Tahoma"/>
            <family val="2"/>
          </rPr>
          <t>expected rate of return</t>
        </r>
      </text>
    </comment>
    <comment ref="G34" authorId="0" shapeId="0" xr:uid="{00000000-0006-0000-1800-000014000000}">
      <text>
        <r>
          <rPr>
            <sz val="9"/>
            <color indexed="81"/>
            <rFont val="Tahoma"/>
            <family val="2"/>
          </rPr>
          <t>expected rate of return</t>
        </r>
      </text>
    </comment>
    <comment ref="G35" authorId="0" shapeId="0" xr:uid="{00000000-0006-0000-1800-000015000000}">
      <text>
        <r>
          <rPr>
            <sz val="9"/>
            <color indexed="81"/>
            <rFont val="Tahoma"/>
            <family val="2"/>
          </rPr>
          <t>expected rate of return</t>
        </r>
      </text>
    </comment>
    <comment ref="G56" authorId="0" shapeId="0" xr:uid="{00000000-0006-0000-1800-000016000000}">
      <text>
        <r>
          <rPr>
            <sz val="9"/>
            <color indexed="81"/>
            <rFont val="Tahoma"/>
            <family val="2"/>
          </rPr>
          <t>probability of occurrence</t>
        </r>
      </text>
    </comment>
    <comment ref="G57" authorId="0" shapeId="0" xr:uid="{00000000-0006-0000-1800-000017000000}">
      <text>
        <r>
          <rPr>
            <sz val="9"/>
            <color indexed="81"/>
            <rFont val="Tahoma"/>
            <family val="2"/>
          </rPr>
          <t>probability of occurrence</t>
        </r>
      </text>
    </comment>
    <comment ref="G58" authorId="0" shapeId="0" xr:uid="{00000000-0006-0000-1800-000018000000}">
      <text>
        <r>
          <rPr>
            <sz val="9"/>
            <color indexed="81"/>
            <rFont val="Tahoma"/>
            <family val="2"/>
          </rPr>
          <t>probability of occurrence</t>
        </r>
      </text>
    </comment>
    <comment ref="G59" authorId="0" shapeId="0" xr:uid="{00000000-0006-0000-1800-00001B000000}">
      <text>
        <r>
          <rPr>
            <sz val="9"/>
            <color indexed="81"/>
            <rFont val="Tahoma"/>
            <family val="2"/>
          </rPr>
          <t>probability of occurrence</t>
        </r>
      </text>
    </comment>
    <comment ref="G60" authorId="0" shapeId="0" xr:uid="{00000000-0006-0000-1800-00001C000000}">
      <text>
        <r>
          <rPr>
            <sz val="9"/>
            <color indexed="81"/>
            <rFont val="Tahoma"/>
            <family val="2"/>
          </rPr>
          <t>probability of occurrence</t>
        </r>
      </text>
    </comment>
    <comment ref="G61" authorId="0" shapeId="0" xr:uid="{00000000-0006-0000-1800-00001D000000}">
      <text>
        <r>
          <rPr>
            <sz val="9"/>
            <color indexed="81"/>
            <rFont val="Tahoma"/>
            <family val="2"/>
          </rPr>
          <t>probability of occurrence</t>
        </r>
      </text>
    </comment>
    <comment ref="G62" authorId="0" shapeId="0" xr:uid="{00000000-0006-0000-1800-00001F000000}">
      <text>
        <r>
          <rPr>
            <sz val="9"/>
            <color indexed="81"/>
            <rFont val="Tahoma"/>
            <family val="2"/>
          </rPr>
          <t>probability of occurrence</t>
        </r>
      </text>
    </comment>
    <comment ref="G63" authorId="0" shapeId="0" xr:uid="{00000000-0006-0000-1800-000021000000}">
      <text>
        <r>
          <rPr>
            <sz val="9"/>
            <color indexed="81"/>
            <rFont val="Tahoma"/>
            <family val="2"/>
          </rPr>
          <t>probability of occurrence</t>
        </r>
      </text>
    </comment>
    <comment ref="G64" authorId="0" shapeId="0" xr:uid="{00000000-0006-0000-1800-00002C000000}">
      <text>
        <r>
          <rPr>
            <sz val="9"/>
            <color indexed="81"/>
            <rFont val="Tahoma"/>
            <family val="2"/>
          </rPr>
          <t>probability of occurrence</t>
        </r>
      </text>
    </comment>
    <comment ref="G65" authorId="0" shapeId="0" xr:uid="{00000000-0006-0000-1800-00002D000000}">
      <text>
        <r>
          <rPr>
            <sz val="9"/>
            <color indexed="81"/>
            <rFont val="Tahoma"/>
            <family val="2"/>
          </rPr>
          <t>probability of occurrence</t>
        </r>
      </text>
    </comment>
    <comment ref="G66" authorId="0" shapeId="0" xr:uid="{96833F2F-07B8-438F-A3F9-64A87037CE57}">
      <text>
        <r>
          <rPr>
            <sz val="9"/>
            <color indexed="81"/>
            <rFont val="Tahoma"/>
            <family val="2"/>
          </rPr>
          <t>probability of occurrence</t>
        </r>
      </text>
    </comment>
    <comment ref="G67" authorId="0" shapeId="0" xr:uid="{00000000-0006-0000-1800-00002F000000}">
      <text>
        <r>
          <rPr>
            <sz val="9"/>
            <color indexed="81"/>
            <rFont val="Tahoma"/>
            <family val="2"/>
          </rPr>
          <t>probability of occurrence</t>
        </r>
      </text>
    </comment>
    <comment ref="G68" authorId="0" shapeId="0" xr:uid="{904E03F3-7124-411F-8551-7E3953827C53}">
      <text>
        <r>
          <rPr>
            <sz val="9"/>
            <color indexed="81"/>
            <rFont val="Tahoma"/>
            <family val="2"/>
          </rPr>
          <t>probability of occurrence</t>
        </r>
      </text>
    </comment>
    <comment ref="G69" authorId="0" shapeId="0" xr:uid="{00000000-0006-0000-1800-000031000000}">
      <text>
        <r>
          <rPr>
            <sz val="9"/>
            <color indexed="81"/>
            <rFont val="Tahoma"/>
            <family val="2"/>
          </rPr>
          <t>probability of occurrence</t>
        </r>
      </text>
    </comment>
    <comment ref="G70" authorId="0" shapeId="0" xr:uid="{B61AAB70-631A-4522-A69E-247C2F97E319}">
      <text>
        <r>
          <rPr>
            <sz val="9"/>
            <color indexed="81"/>
            <rFont val="Tahoma"/>
            <family val="2"/>
          </rPr>
          <t>probability of occurrence</t>
        </r>
      </text>
    </comment>
    <comment ref="G71" authorId="1" shapeId="0" xr:uid="{7575F80A-AAFE-4D1F-B377-324F3DC94901}">
      <text>
        <r>
          <rPr>
            <sz val="9"/>
            <color indexed="81"/>
            <rFont val="Tahoma"/>
            <family val="2"/>
          </rPr>
          <t>probability of occurrence</t>
        </r>
      </text>
    </comment>
    <comment ref="G72" authorId="0" shapeId="0" xr:uid="{8C6BDB41-6403-490F-A1FD-95492684089A}">
      <text>
        <r>
          <rPr>
            <sz val="9"/>
            <color indexed="81"/>
            <rFont val="Tahoma"/>
            <family val="2"/>
          </rPr>
          <t>probability of occurrence</t>
        </r>
      </text>
    </comment>
    <comment ref="G73" authorId="1" shapeId="0" xr:uid="{A41F96C4-3A59-4BF3-8E39-13AFB2C45A06}">
      <text>
        <r>
          <rPr>
            <sz val="9"/>
            <color indexed="81"/>
            <rFont val="Tahoma"/>
            <family val="2"/>
          </rPr>
          <t>probability of occurrence</t>
        </r>
      </text>
    </comment>
    <comment ref="G74" authorId="1" shapeId="0" xr:uid="{D38F6579-37DE-46A1-BCB6-9A7BAFC47370}">
      <text>
        <r>
          <rPr>
            <sz val="9"/>
            <color indexed="81"/>
            <rFont val="Tahoma"/>
            <family val="2"/>
          </rPr>
          <t>probability of occurrence</t>
        </r>
      </text>
    </comment>
  </commentList>
</comments>
</file>

<file path=xl/sharedStrings.xml><?xml version="1.0" encoding="utf-8"?>
<sst xmlns="http://schemas.openxmlformats.org/spreadsheetml/2006/main" count="9636" uniqueCount="2700">
  <si>
    <t>Nr</t>
  </si>
  <si>
    <t>Titel</t>
  </si>
  <si>
    <t>Intro</t>
  </si>
  <si>
    <t>list_of_sheets</t>
  </si>
  <si>
    <t>Szenarien_RiskFactors</t>
  </si>
  <si>
    <t>All risk factors</t>
  </si>
  <si>
    <t>Interest rates CHF</t>
  </si>
  <si>
    <t>Interest rates EUR</t>
  </si>
  <si>
    <t>Interest rates USD</t>
  </si>
  <si>
    <t>Interest rates GBP</t>
  </si>
  <si>
    <t>Spreads</t>
  </si>
  <si>
    <t>Foreign exchange</t>
  </si>
  <si>
    <t>Shares</t>
  </si>
  <si>
    <t>Participations</t>
  </si>
  <si>
    <t>All interest rates</t>
  </si>
  <si>
    <t>All without interest rates</t>
  </si>
  <si>
    <t>Standard deviation</t>
  </si>
  <si>
    <t>Results</t>
  </si>
  <si>
    <t>Standardabweichung aufgrund der Variabilität der mulitvariat normalverteilten Risikofaktoren</t>
  </si>
  <si>
    <t>Correlation matrix</t>
  </si>
  <si>
    <t>Annual volatility</t>
  </si>
  <si>
    <t>(interest rates in basis points</t>
  </si>
  <si>
    <t>otherwise in %)</t>
  </si>
  <si>
    <t>Update</t>
  </si>
  <si>
    <t>Achtung: in Prozent</t>
  </si>
  <si>
    <t>Update list</t>
  </si>
  <si>
    <t>Erwartungswert und Standardabweichung</t>
  </si>
  <si>
    <t>Name of Sheet</t>
  </si>
  <si>
    <t>Discountfactors</t>
  </si>
  <si>
    <t>List of Worksheets</t>
  </si>
  <si>
    <t>Equity drop -60%</t>
  </si>
  <si>
    <t>Korrekturwerte:</t>
  </si>
  <si>
    <t>Risk reduction due to diversification</t>
  </si>
  <si>
    <t>REF</t>
  </si>
  <si>
    <t>VORZEICHEN</t>
  </si>
  <si>
    <t>Statutarischer Bilanzwert</t>
  </si>
  <si>
    <t>BewDifferenzen_Statut-Marktnah</t>
  </si>
  <si>
    <t>Credit_Risk</t>
  </si>
  <si>
    <t>HE_Insurance_Risk</t>
  </si>
  <si>
    <t>HE_ExpctdRes</t>
  </si>
  <si>
    <t>HE_TargetCapital</t>
  </si>
  <si>
    <t>Berechnung
WERT für Umlegung
unter Berücksichtigung unterschiedlichen Vorzeichens</t>
  </si>
  <si>
    <t>Statutarischer Bilanzwert nach Umlegungen</t>
  </si>
  <si>
    <t>Parameters</t>
  </si>
  <si>
    <t>Cost of capital (above one year risk free rate) for the calculation of the risk margin</t>
  </si>
  <si>
    <t>Type of Insurer</t>
  </si>
  <si>
    <t>CoC</t>
  </si>
  <si>
    <t>security level</t>
  </si>
  <si>
    <t>Security level</t>
  </si>
  <si>
    <t>Input fields are coloured by:</t>
  </si>
  <si>
    <t>Convention of signs:</t>
  </si>
  <si>
    <t>Profits are positive quantities, losses are negative.</t>
  </si>
  <si>
    <t>Introduction</t>
  </si>
  <si>
    <t>Input</t>
  </si>
  <si>
    <t>Aktien</t>
  </si>
  <si>
    <t>Total</t>
  </si>
  <si>
    <t>EUR/CHF</t>
  </si>
  <si>
    <t>GBP/CHF</t>
  </si>
  <si>
    <t>USD/CHF</t>
  </si>
  <si>
    <t>JPY/CHF</t>
  </si>
  <si>
    <t>Pandemie</t>
  </si>
  <si>
    <t>VaR</t>
  </si>
  <si>
    <t>alpha</t>
  </si>
  <si>
    <t>Expected Shortfall</t>
  </si>
  <si>
    <t>Standardabweichung</t>
  </si>
  <si>
    <t>Value at Risk</t>
  </si>
  <si>
    <t>Parameter</t>
  </si>
  <si>
    <t>Korrelationsmatrix</t>
  </si>
  <si>
    <t>Industrie</t>
  </si>
  <si>
    <t>UVG</t>
  </si>
  <si>
    <t>Hagel</t>
  </si>
  <si>
    <t>Ausfall der Rückversicherer</t>
  </si>
  <si>
    <t>Financial Distress</t>
  </si>
  <si>
    <t>Terrorismus</t>
  </si>
  <si>
    <t>Unterreservierung</t>
  </si>
  <si>
    <t>Maturity [years]</t>
  </si>
  <si>
    <t>EUR</t>
  </si>
  <si>
    <t>USD</t>
  </si>
  <si>
    <t>JPY</t>
  </si>
  <si>
    <t>CHF</t>
  </si>
  <si>
    <t>Selber definiertes Szenario</t>
  </si>
  <si>
    <t>Kreditrisiko</t>
  </si>
  <si>
    <t>[Mio. CHF]</t>
  </si>
  <si>
    <t>Market Risk</t>
  </si>
  <si>
    <t>Szenarien</t>
  </si>
  <si>
    <t>Erwartungswert</t>
  </si>
  <si>
    <t>Änderungen</t>
  </si>
  <si>
    <t>Versicherungstechnische Erträge</t>
  </si>
  <si>
    <t>Verdiente Prämien vor Rückversicherung</t>
  </si>
  <si>
    <t>Verdiente Prämien nach Rückversicherung</t>
  </si>
  <si>
    <t>Sonstige versicherungstechnische Erträge</t>
  </si>
  <si>
    <t>Versicherungstechnische Aufwendungen</t>
  </si>
  <si>
    <t>Aufwendungen für den Betrieb, Verwaltungsaufwand</t>
  </si>
  <si>
    <t>Andere Aufwendungen</t>
  </si>
  <si>
    <t>(Erträge: positives Vorzeichen)</t>
  </si>
  <si>
    <t>(Aufwendungen: positives Vorzeichen)</t>
  </si>
  <si>
    <t>Variabilität</t>
  </si>
  <si>
    <t>Equity Drop -60%</t>
  </si>
  <si>
    <t>Mio. CHF</t>
  </si>
  <si>
    <t>Beispiel</t>
  </si>
  <si>
    <t>benutzter Wert</t>
  </si>
  <si>
    <t>Szenario ist relevant für:</t>
  </si>
  <si>
    <t>Szenario</t>
  </si>
  <si>
    <t>Variationskoeffizient des Einzelschadens</t>
  </si>
  <si>
    <t>Variationskoeffizient des Parameterrisikos</t>
  </si>
  <si>
    <t>2) Parameterrisiko</t>
  </si>
  <si>
    <t>Insurance Risk</t>
  </si>
  <si>
    <t>Risk Margin</t>
  </si>
  <si>
    <t>Credit Risk</t>
  </si>
  <si>
    <t>Safety level</t>
  </si>
  <si>
    <t>Standardabweichung mit Matrix in Mio CHF</t>
  </si>
  <si>
    <t>Gesamtstandardabweichung in Mio CHF</t>
  </si>
  <si>
    <t>Inputparam</t>
  </si>
  <si>
    <t>Scenarios</t>
  </si>
  <si>
    <t>Type of Insurer:</t>
  </si>
  <si>
    <t>Discount function P(t) = (1+z(t)/100)^(-t)</t>
  </si>
  <si>
    <t>benutzter Wert (Abweichung vom Standard: begründen)</t>
  </si>
  <si>
    <t>Expected Shortfall (ES)</t>
  </si>
  <si>
    <t>Totale Kontengruppen/Zusammenfassungen (geschützt)</t>
  </si>
  <si>
    <t>Totale Klassen (geschützt)</t>
  </si>
  <si>
    <t>Gerechnet (geschützt)</t>
  </si>
  <si>
    <t>Aktiven</t>
  </si>
  <si>
    <t>Kapitalanlagen</t>
  </si>
  <si>
    <t>Grundstücke und Bauten</t>
  </si>
  <si>
    <t>Änderungen der Passiven</t>
  </si>
  <si>
    <t>Differenzen zwischen statutarischer und marktnaher Bewertung</t>
  </si>
  <si>
    <t>Obligationen</t>
  </si>
  <si>
    <t>Aktien und ähnliche Anlagen</t>
  </si>
  <si>
    <t>Anteile an Anlagefonds</t>
  </si>
  <si>
    <t>AF Liegenschaften</t>
  </si>
  <si>
    <t>AF Aktien</t>
  </si>
  <si>
    <t>AF Obligationen</t>
  </si>
  <si>
    <t>AF Geldmarktfonds</t>
  </si>
  <si>
    <t>AF Übrige</t>
  </si>
  <si>
    <t>Hedge Funds</t>
  </si>
  <si>
    <t>Private Equity</t>
  </si>
  <si>
    <t>total</t>
  </si>
  <si>
    <t>Determination of VaR using Newton/Raphson</t>
  </si>
  <si>
    <t>Kapitalanlagen für Rechnung und Risiko von Inhabern von Lebensversicherungen (ohne «separate accounts»)</t>
  </si>
  <si>
    <t>Market_Risk</t>
  </si>
  <si>
    <t>Total Kapitalanlagen</t>
  </si>
  <si>
    <t>Werte in Mio. CHF</t>
  </si>
  <si>
    <t>benutzter Wert (Abweichung vom Standard begründen)</t>
  </si>
  <si>
    <t>Übrige Aktiven</t>
  </si>
  <si>
    <t>Flüssige Mittel</t>
  </si>
  <si>
    <t>Rechnungsabgrenzung</t>
  </si>
  <si>
    <t>Abgegrenzte Zinsen und Mieten</t>
  </si>
  <si>
    <t>Aktivierte Abschlusskosten</t>
  </si>
  <si>
    <t>Latente Steuerforderungen</t>
  </si>
  <si>
    <t>Sonstige Rechnungsabgrenzungsposten</t>
  </si>
  <si>
    <t>Total übrige Aktiven</t>
  </si>
  <si>
    <t>Total Aktiven</t>
  </si>
  <si>
    <t>GBP</t>
  </si>
  <si>
    <t>Fremdkapital</t>
  </si>
  <si>
    <t>Versicherungstechnische Rückstellungen (netto)</t>
  </si>
  <si>
    <t>Prämienübertraege (brutto)</t>
  </si>
  <si>
    <t>Es erlaubt die Verifizierung der Konsistenz zwischen statutarischer und marktnaher Bilanz und gibt Auskunft über stille Reserven.</t>
  </si>
  <si>
    <t>Die Spalten A, B, G, H und K wurden neu eingeführt und dienen der besseren Übersicht bei Umlegungen (Zusammenfassen oder Aufgliedern von Bilanzpositionen).</t>
  </si>
  <si>
    <t>In der Spalte N dürfen nur noch effektive Bewertungsdifferenzen aufgeführt sein. Diese werden mittels der im Blatt 5 „Marktnahe_Bilanz“ eingegebenen marktnahen Werte automatisch berechnet.</t>
  </si>
  <si>
    <t>Es gibt zwei mögliche Varianten von Umlegungen:</t>
  </si>
  <si>
    <r>
      <t xml:space="preserve">Beispiel für </t>
    </r>
    <r>
      <rPr>
        <b/>
        <sz val="11"/>
        <rFont val="Arial"/>
        <family val="2"/>
      </rPr>
      <t>Variante 1</t>
    </r>
    <r>
      <rPr>
        <sz val="11"/>
        <rFont val="Arial"/>
        <family val="2"/>
      </rPr>
      <t xml:space="preserve">: Umlegung einer Bilanzposition auf </t>
    </r>
    <r>
      <rPr>
        <u/>
        <sz val="11"/>
        <rFont val="Arial"/>
        <family val="2"/>
      </rPr>
      <t>eine</t>
    </r>
    <r>
      <rPr>
        <sz val="11"/>
        <rFont val="Arial"/>
        <family val="2"/>
      </rPr>
      <t xml:space="preserve"> andere Bilanzposition (automatisiert und daher gegenüber Variante 2 zu bevorzugen)</t>
    </r>
  </si>
  <si>
    <t>"Ein Teil der aktivierten Abschlusskosten soll ins Deckungskapital übernommen werden."</t>
  </si>
  <si>
    <t>F</t>
  </si>
  <si>
    <t>G</t>
  </si>
  <si>
    <t>H</t>
  </si>
  <si>
    <t>J</t>
  </si>
  <si>
    <t>K</t>
  </si>
  <si>
    <t>L</t>
  </si>
  <si>
    <r>
      <t xml:space="preserve">Beispiel für </t>
    </r>
    <r>
      <rPr>
        <b/>
        <sz val="11"/>
        <rFont val="Arial"/>
        <family val="2"/>
      </rPr>
      <t>Variante 2</t>
    </r>
    <r>
      <rPr>
        <sz val="11"/>
        <rFont val="Arial"/>
        <family val="2"/>
      </rPr>
      <t xml:space="preserve">: Umlegung einer Bilanzposition auf </t>
    </r>
    <r>
      <rPr>
        <u/>
        <sz val="11"/>
        <rFont val="Arial"/>
        <family val="2"/>
      </rPr>
      <t>mehrere</t>
    </r>
    <r>
      <rPr>
        <sz val="11"/>
        <rFont val="Arial"/>
        <family val="2"/>
      </rPr>
      <t xml:space="preserve"> andere Bilanzpositionen (nur für komplexe Umlegungen!)</t>
    </r>
  </si>
  <si>
    <t>"In der Bilanz wurden sämtliche Anlagefonds unter AF Liegenschaften erfasst. Effektiv sind aber nur 35'000 in Immobilienfonds investiert."</t>
  </si>
  <si>
    <t>Spalte A</t>
  </si>
  <si>
    <t>Referenzierung der Zellen mittels Zeilennummer. Es wurden nur Zeilen benannt, in welche Umlegungen erfolgen können und welche in der Aggregation berücksichtigt werden.</t>
  </si>
  <si>
    <t>Spalte B</t>
  </si>
  <si>
    <t>Berücksichtigung des Vorzeichens: + für Aktiven und - für Passiven</t>
  </si>
  <si>
    <t>Spalte G</t>
  </si>
  <si>
    <t>In der Spalte G wird die Zeilennummer der Zelle angegeben, in welche eine Bilanzposition ganz oder teilweise umgelegt werden soll.</t>
  </si>
  <si>
    <t>Spalte H</t>
  </si>
  <si>
    <t>In der Spalte H wird der Betrag angegeben, der auf die in der Spalte G genannte Zeile umgelegt werden soll.</t>
  </si>
  <si>
    <t>Spalte K</t>
  </si>
  <si>
    <r>
      <t xml:space="preserve">Die Spalte K darf nur benützt werden, wenn eine Bilanzposition auf </t>
    </r>
    <r>
      <rPr>
        <u/>
        <sz val="11"/>
        <rFont val="Arial"/>
        <family val="2"/>
      </rPr>
      <t>mehrere</t>
    </r>
    <r>
      <rPr>
        <sz val="11"/>
        <rFont val="Arial"/>
        <family val="2"/>
      </rPr>
      <t xml:space="preserve"> neue statutarische Positionen aufgegliedert werden soll. In diesem Fall muss im SST-Bericht zusätzlich detailliert beschrieben werden, wie die Aufgliederung erfolgte.</t>
    </r>
  </si>
  <si>
    <t>Spalten H und K</t>
  </si>
  <si>
    <t xml:space="preserve">In den Spalten H und K dürfen nur Umlegungen vorgenommen werden. </t>
  </si>
  <si>
    <t>Auslenkung des RF</t>
  </si>
  <si>
    <t>Betrag</t>
  </si>
  <si>
    <t>Kernkapital</t>
  </si>
  <si>
    <t>Nikkei crash (1989/90)</t>
  </si>
  <si>
    <t>Partizipationsscheinkapital</t>
  </si>
  <si>
    <t>Kapitalreserven</t>
  </si>
  <si>
    <t>Gewinnreserven</t>
  </si>
  <si>
    <t>Ergebnisvortrag aus dem Vorjahr</t>
  </si>
  <si>
    <t>Ergebnis des Geschäftsjahres</t>
  </si>
  <si>
    <t xml:space="preserve">     Grundstücke und Bauten</t>
  </si>
  <si>
    <t xml:space="preserve">     Obligationen</t>
  </si>
  <si>
    <t xml:space="preserve">     Aktien und ähnliche Anlagen</t>
  </si>
  <si>
    <t xml:space="preserve">     Anteile an Anlagefonds</t>
  </si>
  <si>
    <t>please enter</t>
  </si>
  <si>
    <t>or</t>
  </si>
  <si>
    <t>Total Fremdkapital</t>
  </si>
  <si>
    <t>- auf übrigen Aktiven</t>
  </si>
  <si>
    <t>Abzüge</t>
  </si>
  <si>
    <t>- Bilanzwert eigene Aktien (-)</t>
  </si>
  <si>
    <t>- Bilanzwert immaterielle Aktiven (-)</t>
  </si>
  <si>
    <t>Ergänzendes Kapital</t>
  </si>
  <si>
    <t>Oberes ergänzendes Kapital</t>
  </si>
  <si>
    <t>Nachrangige Darlehen ohne Befristung</t>
  </si>
  <si>
    <t>Nachrangige Anleihen ohne Befristung</t>
  </si>
  <si>
    <t>Sonstige hybride Instrumente ohne Befristung</t>
  </si>
  <si>
    <t>Unteres ergänzendes Kapital</t>
  </si>
  <si>
    <t>Nachrangige Darlehen mit Befristung</t>
  </si>
  <si>
    <t>Nachrangige Anleihen mit Befristung</t>
  </si>
  <si>
    <t>Sonstige hybride Instrumente mit Befristung</t>
  </si>
  <si>
    <t>Zusätzliches Kernkapital (keine Differenzgrösse)</t>
  </si>
  <si>
    <t>Fremdkapital, das nur in Eigenkapital konvertiert werden kann (Mandatory Convertible)</t>
  </si>
  <si>
    <t>Konfidenzniveau (%)</t>
  </si>
  <si>
    <t>Quantil der Standardnormalverteilung</t>
  </si>
  <si>
    <t>Effect of Scenario [MCHF]</t>
  </si>
  <si>
    <t>Weight of Scenario</t>
  </si>
  <si>
    <t>Name of Scenario</t>
  </si>
  <si>
    <t>after scenario aggregation</t>
  </si>
  <si>
    <t>CHF Zeros</t>
  </si>
  <si>
    <t>EUR Zeros</t>
  </si>
  <si>
    <t>USD Zeros</t>
  </si>
  <si>
    <t>GBP Zeros</t>
  </si>
  <si>
    <t>Real Estate</t>
  </si>
  <si>
    <t>Beteiligungen</t>
  </si>
  <si>
    <t>hist. volatilities of risk factors (RF)</t>
  </si>
  <si>
    <t>additive contribution to Expected Shortfall of overall distribution [MCHF]</t>
  </si>
  <si>
    <t>MSCI CHF</t>
  </si>
  <si>
    <t>MSCI EMU</t>
  </si>
  <si>
    <t>MSCI US</t>
  </si>
  <si>
    <t>MSCI UK</t>
  </si>
  <si>
    <t>MSCI JP</t>
  </si>
  <si>
    <t>VIX</t>
  </si>
  <si>
    <t>Rüd Blass</t>
  </si>
  <si>
    <t>Werte für die zweite mögliche Methode (siehe technisches Dokument zum SST)</t>
  </si>
  <si>
    <t>Korrelationen zwischen den betrachteten Branchen</t>
  </si>
  <si>
    <t>- vorgesehene Dividenden und Kapitalrückzahlungen (-)</t>
  </si>
  <si>
    <t>Nachweise</t>
  </si>
  <si>
    <t>Zusätzliches Kernkapital</t>
  </si>
  <si>
    <t>TOTAL ANRECHENBARES KERNKAPITAL</t>
  </si>
  <si>
    <t>TOTAL OBERES ERGÄNZENDES KAPITAL</t>
  </si>
  <si>
    <t>TOTAL UNTERES ERGÄNZENDES KAPITAL</t>
  </si>
  <si>
    <t>Sensitivities</t>
  </si>
  <si>
    <t xml:space="preserve">Hinweise: </t>
  </si>
  <si>
    <t>Versicherungsverpflichtungen (brutto)</t>
  </si>
  <si>
    <t>Anleitung_Statut-Marktnah</t>
  </si>
  <si>
    <t>Änderungen der Aktiven</t>
  </si>
  <si>
    <t>bei Auslenkung des RF</t>
  </si>
  <si>
    <t>nach oben</t>
  </si>
  <si>
    <t>nach unten</t>
  </si>
  <si>
    <t>bp</t>
  </si>
  <si>
    <t>2 Y</t>
  </si>
  <si>
    <t>Scenarios on Risk Factors</t>
  </si>
  <si>
    <t>Result</t>
  </si>
  <si>
    <t>Sz1</t>
  </si>
  <si>
    <t>Sz2</t>
  </si>
  <si>
    <t>Sz3</t>
  </si>
  <si>
    <t>Aktienmarkt crash (1987)</t>
  </si>
  <si>
    <t>Sz4</t>
  </si>
  <si>
    <t>Nikkei crash (1990)</t>
  </si>
  <si>
    <t>Sz5</t>
  </si>
  <si>
    <t>Europäische Währungskrise (1992)</t>
  </si>
  <si>
    <t>Sz6</t>
  </si>
  <si>
    <t>US Zinskrise (1994)</t>
  </si>
  <si>
    <t>Sz7</t>
  </si>
  <si>
    <t>Russland Krise / LTCM (1998)</t>
  </si>
  <si>
    <t>Sz8</t>
  </si>
  <si>
    <t>Aktienmarkt crash (2000/2001)</t>
  </si>
  <si>
    <t>Sz9</t>
  </si>
  <si>
    <t xml:space="preserve">Basisauslenkung </t>
  </si>
  <si>
    <t>Code</t>
  </si>
  <si>
    <t>RF1</t>
  </si>
  <si>
    <t>RF2</t>
  </si>
  <si>
    <t>RF3</t>
  </si>
  <si>
    <t>RF4</t>
  </si>
  <si>
    <t>RF5</t>
  </si>
  <si>
    <t>RF6</t>
  </si>
  <si>
    <t>RF7</t>
  </si>
  <si>
    <t>RF8</t>
  </si>
  <si>
    <t>RF9</t>
  </si>
  <si>
    <t>RF10</t>
  </si>
  <si>
    <t>RF11</t>
  </si>
  <si>
    <t>RF12</t>
  </si>
  <si>
    <t>RF13</t>
  </si>
  <si>
    <t>RF14</t>
  </si>
  <si>
    <t>RF15</t>
  </si>
  <si>
    <t>RF16</t>
  </si>
  <si>
    <t>Passiven</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</si>
  <si>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</si>
  <si>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</si>
  <si>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</si>
  <si>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</si>
  <si>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</si>
  <si>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</si>
  <si>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</si>
  <si>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</si>
  <si>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</si>
  <si>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</si>
  <si>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</si>
  <si>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</si>
  <si>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</si>
  <si>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</si>
  <si>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</si>
  <si>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</si>
  <si>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</si>
  <si>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</si>
  <si>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</si>
  <si>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</si>
  <si>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</si>
  <si>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</si>
  <si>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</si>
  <si>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</si>
  <si>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</si>
  <si>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</si>
  <si>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Sz10</t>
  </si>
  <si>
    <t>Nr.</t>
  </si>
  <si>
    <t>Sheet</t>
  </si>
  <si>
    <t>Bemerkung</t>
  </si>
  <si>
    <t>Globale Deflation</t>
  </si>
  <si>
    <t>Marktnaher Wert resp. 
Best Estimate</t>
  </si>
  <si>
    <t>Differenzen aufgrund des veränderten Stichtages</t>
  </si>
  <si>
    <t>Scenarios basing on risk factors</t>
  </si>
  <si>
    <t>Real estate crash combined with increase in interest rates</t>
  </si>
  <si>
    <t>Resultat</t>
  </si>
  <si>
    <t>Analytisches Modell 
= Kein Szenario tritt ein.</t>
  </si>
  <si>
    <t>VaR [MCHF]</t>
  </si>
  <si>
    <t>Expected Shortfall [MCHF]</t>
  </si>
  <si>
    <t>Verhältnis (ES total / ES ohne Szenarien)</t>
  </si>
  <si>
    <t>F(x)
f(x)</t>
  </si>
  <si>
    <t>Eintritts-wahrscheinlichkeit</t>
  </si>
  <si>
    <t>S8</t>
  </si>
  <si>
    <t>S10</t>
  </si>
  <si>
    <t>S11</t>
  </si>
  <si>
    <t>S12</t>
  </si>
  <si>
    <t>eS1</t>
  </si>
  <si>
    <t>eS2</t>
  </si>
  <si>
    <t>eS3</t>
  </si>
  <si>
    <t>eS4</t>
  </si>
  <si>
    <t>Marktnahe_Bilanz</t>
  </si>
  <si>
    <t>Marktrisiko</t>
  </si>
  <si>
    <t>Stock market crash (1987)</t>
  </si>
  <si>
    <t>LTCM (1998)</t>
  </si>
  <si>
    <t>Stock market crash (2000/2001)</t>
  </si>
  <si>
    <t>Global deflation</t>
  </si>
  <si>
    <t>US interest rate crisis (1994)</t>
  </si>
  <si>
    <t>European currency crisis (1992)</t>
  </si>
  <si>
    <t>Variationskoeffizient der jährlichen Leistungen</t>
  </si>
  <si>
    <t>benutzter Variationskoeffizient</t>
  </si>
  <si>
    <t xml:space="preserve"> AAA </t>
  </si>
  <si>
    <t xml:space="preserve"> AA </t>
  </si>
  <si>
    <t xml:space="preserve"> A </t>
  </si>
  <si>
    <t xml:space="preserve"> BBB</t>
  </si>
  <si>
    <t>LIFE</t>
  </si>
  <si>
    <t>NONLIFE</t>
  </si>
  <si>
    <t>HEALTH</t>
  </si>
  <si>
    <t>Komposit</t>
  </si>
  <si>
    <t>FX drop</t>
  </si>
  <si>
    <t>FX rise</t>
  </si>
  <si>
    <t>Fundamental_Data</t>
  </si>
  <si>
    <t>Nachweis Kernkapital</t>
  </si>
  <si>
    <t xml:space="preserve">Kernkapital </t>
  </si>
  <si>
    <t>Reporting Date</t>
  </si>
  <si>
    <t>Änderung Assets</t>
  </si>
  <si>
    <t>Änderung Liabilities</t>
  </si>
  <si>
    <t>Änderung RTK</t>
  </si>
  <si>
    <t>Nichtversicherungstechnische Rückstellungen</t>
  </si>
  <si>
    <t>- Auswirkungen auf eingebettete Optionen sind unter "Passiven" zu erfassen.</t>
  </si>
  <si>
    <t>- Auswirkungen auf Derivatpositionen sind unter "Aktiven" zu erfassen.</t>
  </si>
  <si>
    <t>Fundamentaldaten</t>
  </si>
  <si>
    <t>Données fondamentales</t>
  </si>
  <si>
    <t>Différences dues à la modification de la date de référence</t>
  </si>
  <si>
    <t>Differences due to changed reporting date</t>
  </si>
  <si>
    <t>Valeur en % de l'ensemble des actifs</t>
  </si>
  <si>
    <t>Wert in % des Kernkapitals</t>
  </si>
  <si>
    <t>Valeur en % du capital de base</t>
  </si>
  <si>
    <t>Placements de capitaux</t>
  </si>
  <si>
    <t>Investments</t>
  </si>
  <si>
    <t>Terrains et constructions</t>
  </si>
  <si>
    <t>Obligations</t>
  </si>
  <si>
    <t>Bonds</t>
  </si>
  <si>
    <t>Equities and similar investments</t>
  </si>
  <si>
    <t>Parts de fonds de placement</t>
  </si>
  <si>
    <t>Investment fund units</t>
  </si>
  <si>
    <t>Autres actifs</t>
  </si>
  <si>
    <t>Other assets</t>
  </si>
  <si>
    <t>Liquidités</t>
  </si>
  <si>
    <t>Insurance provisions (net)</t>
  </si>
  <si>
    <t>Prêts subordonnés sans limitation de durée</t>
  </si>
  <si>
    <t>Emprunts subordonnés sans limitation de durée</t>
  </si>
  <si>
    <t>Autres instruments hybrides sans limitation de durée</t>
  </si>
  <si>
    <t>Prêts subordonnés avec limitation de durée</t>
  </si>
  <si>
    <t>Time-limited subordinated loans</t>
  </si>
  <si>
    <t>Emprunts subordonnés avec limitation de durée</t>
  </si>
  <si>
    <t>Time-limited subordinated bonds</t>
  </si>
  <si>
    <t>Autres instruments hybrides avec limitation de durée</t>
  </si>
  <si>
    <t>Other time-limited hybrid instruments</t>
  </si>
  <si>
    <t>Déductions</t>
  </si>
  <si>
    <t>Deductions</t>
  </si>
  <si>
    <t>Bilanzwert eigene Aktien (-)</t>
  </si>
  <si>
    <t>Valeur au bilan des actions propres (-)</t>
  </si>
  <si>
    <t>Carrying value of own shares (-)</t>
  </si>
  <si>
    <t>Bilanzwert immaterielle Aktiven (-)</t>
  </si>
  <si>
    <t>Valeur au bilan des actifs incorporels (-)</t>
  </si>
  <si>
    <t>Carrying value of intangible assets (-)</t>
  </si>
  <si>
    <t>Grundstückgewinn-/Handänderungssteuern auf Bewertungsreserven Grundstücke und Bauten (-)</t>
  </si>
  <si>
    <t>Dividendes et remboursements de capital prévus (-)</t>
  </si>
  <si>
    <t>Anticipated dividends and repayments of capital (-)</t>
  </si>
  <si>
    <t>Capital complémentaire</t>
  </si>
  <si>
    <t>Supplementary capital</t>
  </si>
  <si>
    <t>Capital complémentaire supérieur</t>
  </si>
  <si>
    <t>Upper supplementary capital</t>
  </si>
  <si>
    <t>Capital complémentaire inférieur</t>
  </si>
  <si>
    <t>Lower supplementary capital</t>
  </si>
  <si>
    <t>Capital de base complémentaire (pas de différence)</t>
  </si>
  <si>
    <t>Additional core capital (no differential)</t>
  </si>
  <si>
    <t>Capital étranger qui ne peut être converti qu'en capital propre (Mandatory Convertible)</t>
  </si>
  <si>
    <t>Debt that can only be converted to equity (mandatory convertible debt)</t>
  </si>
  <si>
    <t>Sensitivitäten</t>
  </si>
  <si>
    <t>Sensibilités</t>
  </si>
  <si>
    <t>Risque de marché</t>
  </si>
  <si>
    <t>Risque de crédit</t>
  </si>
  <si>
    <t>Risk factor (RF)</t>
  </si>
  <si>
    <t>Ecart type sur la base de la variabilité des facteurs de risque selon une distribution multinormale</t>
  </si>
  <si>
    <t>Standard deviation due to variability of the multivariate normally distributed risk factors</t>
  </si>
  <si>
    <t>Niveau de confiance (%)</t>
  </si>
  <si>
    <t>Confidence level (%)</t>
  </si>
  <si>
    <t>Quantile de la distribution normale standard</t>
  </si>
  <si>
    <t>Quantile of standard normal distribution</t>
  </si>
  <si>
    <t>CHF Zeros 1 Y</t>
  </si>
  <si>
    <t>EUR Zeros 1 Y</t>
  </si>
  <si>
    <t>USD Zeros 1 Y</t>
  </si>
  <si>
    <t>GBP Zeros 1 Y</t>
  </si>
  <si>
    <t>Szenarien für Risikofaktoren</t>
  </si>
  <si>
    <t>Scénarios pour facteurs de risque</t>
  </si>
  <si>
    <t>Basic move</t>
  </si>
  <si>
    <t xml:space="preserve">Krach immobilier lié à la hausse de l'intérêt </t>
  </si>
  <si>
    <t>Krach boursier (1987)</t>
  </si>
  <si>
    <t>Effondrement du Nikkei (1989/90)</t>
  </si>
  <si>
    <t>Crise des taux d'intérêt américains (1994)</t>
  </si>
  <si>
    <t>Crise russe et déconfiture LTCM (1998)</t>
  </si>
  <si>
    <t>Déflation globale</t>
  </si>
  <si>
    <t>Composite</t>
  </si>
  <si>
    <t>Interest drop</t>
  </si>
  <si>
    <t>Interest rise</t>
  </si>
  <si>
    <t>Positionen ohne Kreditrisikominderung (CRM)</t>
  </si>
  <si>
    <t>Positions sans diminution du risque de crédit (CRM)</t>
  </si>
  <si>
    <t>Positions without credit risk mitigation (CRM)</t>
  </si>
  <si>
    <t>Besicherte Positionen</t>
  </si>
  <si>
    <t>Positions adossées à des sûretés</t>
  </si>
  <si>
    <t>Collateralised positions</t>
  </si>
  <si>
    <t>Risikogewicht</t>
  </si>
  <si>
    <t>Pondération du risque</t>
  </si>
  <si>
    <t>Position categories (SA-BIS) not applying external ratings and their risk weighting</t>
  </si>
  <si>
    <t>Autres positions sur la clientèle de détail</t>
  </si>
  <si>
    <t>Inländische Pfandbriefe</t>
  </si>
  <si>
    <t>Lettres de gage suisses</t>
  </si>
  <si>
    <t>Swiss mortgage bonds</t>
  </si>
  <si>
    <t>Autres positions subordonnées</t>
  </si>
  <si>
    <t>Parts de positions non couvertes, ajustées à concurrence des correctifs de valeurs individuels, dans la mesure où ceux-ci représentent au moins 20% de l'encours</t>
  </si>
  <si>
    <t>Parts de positions non couvertes, ajustées à concurrence des correctifs de valeurs individuels, dans la mesure où ceux-ci représentent moins de 20% de l'encours</t>
  </si>
  <si>
    <t>Kreditäquivalente aus Einzahlungs- und Nachschussverpflichtungen</t>
  </si>
  <si>
    <t>Equivalents-crédit résultant des engagements de libérer et de faire des versements 
supplémentaires</t>
  </si>
  <si>
    <t>Credit equivalent from calls on shares and other equities</t>
  </si>
  <si>
    <t>Übrige Positionen (inkl. Rechnungsbegrenzungsposten)</t>
  </si>
  <si>
    <t>Other positions (incl. accrued and deferred items)</t>
  </si>
  <si>
    <t>Valeur utilisée</t>
  </si>
  <si>
    <t>LAA</t>
  </si>
  <si>
    <t>Revenus actuariels</t>
  </si>
  <si>
    <t>Dépenses actuarielles</t>
  </si>
  <si>
    <t>Coefficient de variation du sinistre individuel</t>
  </si>
  <si>
    <t>Variation coefficient of individual claim</t>
  </si>
  <si>
    <t>Coefficient de variation du risque de paramètre</t>
  </si>
  <si>
    <t>Variation coefficient of parameter risk</t>
  </si>
  <si>
    <t>Risk factors</t>
  </si>
  <si>
    <t>Probabilité de survenance</t>
  </si>
  <si>
    <t>Probability of occurrence</t>
  </si>
  <si>
    <t>Scénarios</t>
  </si>
  <si>
    <t>Pandémie</t>
  </si>
  <si>
    <t>Pandemic</t>
  </si>
  <si>
    <t>Défaillance des réassureurs</t>
  </si>
  <si>
    <t>Default of reinsurers</t>
  </si>
  <si>
    <t>Terrorisme</t>
  </si>
  <si>
    <t>Terrorism</t>
  </si>
  <si>
    <t>Provisionnement insuffisant</t>
  </si>
  <si>
    <t>Under-provisioning</t>
  </si>
  <si>
    <t>Grêle</t>
  </si>
  <si>
    <t>Hail storm</t>
  </si>
  <si>
    <t>Industrial</t>
  </si>
  <si>
    <t xml:space="preserve">AAA </t>
  </si>
  <si>
    <t xml:space="preserve">AA </t>
  </si>
  <si>
    <t>BBB</t>
  </si>
  <si>
    <t>Immobilien Crash</t>
  </si>
  <si>
    <t>Sz11</t>
  </si>
  <si>
    <t>Globale Inflation</t>
  </si>
  <si>
    <t>Finanzkrise 2008</t>
  </si>
  <si>
    <t>Delta Sensitivities</t>
  </si>
  <si>
    <t>Assurance-maladie: Evaluation des engagements viagers dans le SST</t>
  </si>
  <si>
    <t>Résultat</t>
  </si>
  <si>
    <t>TOTAL</t>
  </si>
  <si>
    <t>Sensitivitaeten Delta_Market</t>
  </si>
  <si>
    <t>HE_Engagements_viagers</t>
  </si>
  <si>
    <t>Health_Scen_Aggregation</t>
  </si>
  <si>
    <t>Delta-Wert des Szenarios</t>
  </si>
  <si>
    <t>S13</t>
  </si>
  <si>
    <r>
      <t xml:space="preserve">Das </t>
    </r>
    <r>
      <rPr>
        <b/>
        <sz val="11"/>
        <rFont val="Arial"/>
        <family val="2"/>
      </rPr>
      <t>Tabellenblatt „BewDifferenzen_Statut-Marktnah“</t>
    </r>
    <r>
      <rPr>
        <sz val="11"/>
        <rFont val="Arial"/>
        <family val="2"/>
      </rPr>
      <t xml:space="preserve"> dient dazu, Bewertungsdifferenzen zwischen statutarischer und marktnaher Bilanz aufzuzeigen. </t>
    </r>
  </si>
  <si>
    <r>
      <t xml:space="preserve">Das </t>
    </r>
    <r>
      <rPr>
        <b/>
        <sz val="11"/>
        <rFont val="Arial"/>
        <family val="2"/>
      </rPr>
      <t>Tabellenblatt „Gliederung_RTK_Stat_Marktnah“</t>
    </r>
    <r>
      <rPr>
        <sz val="11"/>
        <rFont val="Arial"/>
        <family val="2"/>
      </rPr>
      <t xml:space="preserve"> unterteilt das RTK in einen statutarisch sichtbaren und einen statutarisch unsichtbaren Teil. Der unsichtbare Teil besteht aus den stillen Reserven und Lasten.</t>
    </r>
  </si>
  <si>
    <t>Datum</t>
  </si>
  <si>
    <t>Zelle</t>
  </si>
  <si>
    <t>KVG-Taggeld Einzel</t>
  </si>
  <si>
    <t>KVG-Taggeld Kollektiv</t>
  </si>
  <si>
    <t>OKP</t>
  </si>
  <si>
    <t>Aktive Rückversicherung KVG</t>
  </si>
  <si>
    <t>Versicherungstechnisches Resultat</t>
  </si>
  <si>
    <t>1) Zufallsrisiko</t>
  </si>
  <si>
    <t>Δ Liabilities aufgrund Finanzmarkt-Veränderungen</t>
  </si>
  <si>
    <t>Δ Assets aufgrund Finanzmarkt-Veränderungen</t>
  </si>
  <si>
    <t>Finanzielle Auswirkungen:</t>
  </si>
  <si>
    <t>Kosten pro Fall</t>
  </si>
  <si>
    <t>Wahrscheinlichkeiten gemäss BAG</t>
  </si>
  <si>
    <t>Verstorbene</t>
  </si>
  <si>
    <t>Intensivpflegefälle</t>
  </si>
  <si>
    <t>Hospitalisierungen</t>
  </si>
  <si>
    <t>Arztbesuche</t>
  </si>
  <si>
    <t>Erkrankte</t>
  </si>
  <si>
    <t>Versichertengruppe</t>
  </si>
  <si>
    <t>OKP-Versicherte</t>
  </si>
  <si>
    <t>Gesamtwert des Szenarios:</t>
  </si>
  <si>
    <t>Δ Risikoausgleich</t>
  </si>
  <si>
    <t>Δ Bruttoprämien</t>
  </si>
  <si>
    <t>Effekte der Wechselnden:</t>
  </si>
  <si>
    <t>Effekte der Franchisenoptimierenden:</t>
  </si>
  <si>
    <t>es verlassen</t>
  </si>
  <si>
    <t>es optimieren die Jahresfranchise</t>
  </si>
  <si>
    <t>es bleiben</t>
  </si>
  <si>
    <t>Ø Risikoausgleich</t>
  </si>
  <si>
    <t>Ø Bruttoprämien</t>
  </si>
  <si>
    <t>Erkrankungswahrscheinlichkeit</t>
  </si>
  <si>
    <t>Anzahl Versicherte ohne Nettoleistungen</t>
  </si>
  <si>
    <t>Jugendliche und Erwachsene mit wählbarer Jahresfranchise von ...</t>
  </si>
  <si>
    <t>Kinder</t>
  </si>
  <si>
    <t>Antiselektion</t>
  </si>
  <si>
    <t>Kapitalbedarf für Kreditrisiko</t>
  </si>
  <si>
    <t xml:space="preserve">Summe der risikogewichteten Positionen </t>
  </si>
  <si>
    <t>6 Übrige Positionen</t>
  </si>
  <si>
    <t>5 Überfällige Positionen</t>
  </si>
  <si>
    <t>4 Nachrangige Positionen</t>
  </si>
  <si>
    <t>3 Direkt und indirekt grundpandgesicherte Positionen</t>
  </si>
  <si>
    <t>2 Pfandbriefe</t>
  </si>
  <si>
    <t>1 Natürliche Personen und Kleinnunternehmen (Retail)</t>
  </si>
  <si>
    <t>Positionen ohne Verwendung externer Ratings (ausser nachrangigen Positionen)</t>
  </si>
  <si>
    <t xml:space="preserve">8 Verbriefungen </t>
  </si>
  <si>
    <t xml:space="preserve">7 Unternehmen </t>
  </si>
  <si>
    <t>6 Börsen und Clearinghäuser</t>
  </si>
  <si>
    <t>5 Gemeinschaftseinrichtungen</t>
  </si>
  <si>
    <t>4 Banken und Effektenhändler</t>
  </si>
  <si>
    <t>3 BIZ, IWF und multilaterale Entwicklungsbanken</t>
  </si>
  <si>
    <t>2 Öffentlichrechtliche Körperschaften</t>
  </si>
  <si>
    <t>1 Zentralregierungen und Zentralbanken</t>
  </si>
  <si>
    <t>Positionen, bei denen externe Ratings verwendet werden können (sofern vorhanden)</t>
  </si>
  <si>
    <t>Risikogewichtete Aktiva</t>
  </si>
  <si>
    <t>Nach Garantien und Kred.-.Der.</t>
  </si>
  <si>
    <t>Vor Garantien und Kreditderivate</t>
  </si>
  <si>
    <t>Nach Besicherung</t>
  </si>
  <si>
    <t>Risikogew. Positionen nach CRM</t>
  </si>
  <si>
    <t>Risikogew. Positionen vor CRM</t>
  </si>
  <si>
    <t>Mit Garantien oder Kred.-Der. besicherte Positionen</t>
  </si>
  <si>
    <t>All exposures</t>
  </si>
  <si>
    <t>Kategorie</t>
  </si>
  <si>
    <t>Total committed Retail (other) exposures (after CCF):</t>
  </si>
  <si>
    <t>Total committed Retail (other) exposures (before CCF):</t>
  </si>
  <si>
    <t>Die um die Einzelwertberichtigungen korrigierten unbesicherten Positionsanteile, sofern die Einzelwertberichtigungen weniger als 20 % des ausstehenden Betrags ausmachen</t>
  </si>
  <si>
    <t>Die um die Einzelwertberichtigungen korrigierten unbesicherten Positionsanteile, sofern die Einzelwertberichtigungen mindestens 20 % des ausstehenden Betrags ausmachen</t>
  </si>
  <si>
    <t>Total Retail (other) exposures</t>
  </si>
  <si>
    <t>Off-balance sheet Retail (other) exposures (after CCF):</t>
  </si>
  <si>
    <t>Off-balance sheet exposures (before CCF):</t>
  </si>
  <si>
    <t>Drawn exposures:</t>
  </si>
  <si>
    <t>Übrige nachrangige Positionen</t>
  </si>
  <si>
    <t>Nachrangige Positionen gegenüber öffentlichrechtlichen Körperschaften, deren Risikogewicht nach Anhang 2 (SA-CH) oder Anhang 3 (SA-BIZ) höchstens 50 % beträgt</t>
  </si>
  <si>
    <t>Total committed Retail exposures (after CCF):</t>
  </si>
  <si>
    <t>Total committed Retail exposures (before CCF):</t>
  </si>
  <si>
    <t xml:space="preserve">Direkt und indirekt grundpfandgesicherte Positionen: Übrige Liegenschaften </t>
  </si>
  <si>
    <t>Direkt und indirekt grundpfandgesicherte Positionen: Grossgewerbliche und industrielle Objekte, bis ein Drittel des Verkehrswertes</t>
  </si>
  <si>
    <t xml:space="preserve">Direkt und indirekt grundpfandgesicherte Positionen: Büro-, Geschäftshäuser und multifunktionale Gewerbeobjekte, bis zur Hälfte des Verkehrswertes </t>
  </si>
  <si>
    <t>Direkt und indirekt grundpfandgesicherte Positionen: Landwirtschaftsliegenschaften in der Schweiz, über zwei Drittel des Verkehswertes</t>
  </si>
  <si>
    <t>OTC derivatives (credit equivalent amount)</t>
  </si>
  <si>
    <t>Repo / Securities lending exposures: gross exposure (E)</t>
  </si>
  <si>
    <t>Übrige Retailpositionen</t>
  </si>
  <si>
    <t>Retailpositionen, wenn der Gesamtwert der Positionen nach Art 37 Abs. 1, ohne grundpfandrechtliche Sicherung, gegenüber einer Gegenpartei 1,5 Mio Franken und 1% aller Retailpositionen nicht übersteigt</t>
  </si>
  <si>
    <t>Total committed Bank exposures (after CCF):</t>
  </si>
  <si>
    <t>Total committed Bank exposures (before CCF):</t>
  </si>
  <si>
    <t>Positionsklassen SA-BIZ ohne die Möglichkeit der Verwendung externer Ratings und deren Risikogewichtung</t>
  </si>
  <si>
    <t>nicht geratet 1250%</t>
  </si>
  <si>
    <t>Risikogewicht 350%</t>
  </si>
  <si>
    <t>Risikogewicht 100% (ohne ungeratete Positionen)</t>
  </si>
  <si>
    <t>Risikogewicht 50%</t>
  </si>
  <si>
    <t>Risikogewicht 20%</t>
  </si>
  <si>
    <t>nicht geratet 150%</t>
  </si>
  <si>
    <t>Risikogewicht 150% (ohne ungeratete Positionen)</t>
  </si>
  <si>
    <t>nicht geratet 100%</t>
  </si>
  <si>
    <t>Total Bank exposures</t>
  </si>
  <si>
    <t>Off-balance sheet Bank exposures (after CCF):</t>
  </si>
  <si>
    <t>Off-balance sheet Bank exposures (before CCF):</t>
  </si>
  <si>
    <t>Drawn Bank exposures:</t>
  </si>
  <si>
    <t>Risikogewicht 0%</t>
  </si>
  <si>
    <t>Total committed Sovereign exposures (after CCF):</t>
  </si>
  <si>
    <t>Total committed Sovereign exposures (before CCF):</t>
  </si>
  <si>
    <t>nicht geratet 50%</t>
  </si>
  <si>
    <t>nicht geratet 20%</t>
  </si>
  <si>
    <t>Risikogewicht 100%</t>
  </si>
  <si>
    <t>Risikogewicht 50% (ohne ungeratete Positionen)</t>
  </si>
  <si>
    <t>Risikogewicht 20% (ohne ungeratete Positionen)</t>
  </si>
  <si>
    <t>Total Sovereign exposures</t>
  </si>
  <si>
    <t>Off-balance sheet Sovereign exposures (after CCF):</t>
  </si>
  <si>
    <t>Off-balance sheet Sovereign exposures (before CCF):</t>
  </si>
  <si>
    <t>Drawn Sovereign exposures:</t>
  </si>
  <si>
    <t>Total committed corporate exposures (after CCF):</t>
  </si>
  <si>
    <t>Total committed corporate exposures (before CCF):</t>
  </si>
  <si>
    <t>Nicht geratet 100%</t>
  </si>
  <si>
    <t xml:space="preserve">Vor Besicherung </t>
  </si>
  <si>
    <t>Total corporate exposures</t>
  </si>
  <si>
    <t>Off-balance sheet corporate exposures (after CCF):</t>
  </si>
  <si>
    <t>Off-balance sheet corporate exposures (before CCF):</t>
  </si>
  <si>
    <t>Drawn corporate exposures:</t>
  </si>
  <si>
    <t>Selbstbehalt Einzelschaden (CHF)</t>
  </si>
  <si>
    <t>F(x) =</t>
  </si>
  <si>
    <t>1 - exp(-a*x**b)</t>
  </si>
  <si>
    <t>a=</t>
  </si>
  <si>
    <t>b=</t>
  </si>
  <si>
    <t>E(S)</t>
  </si>
  <si>
    <r>
      <t>s(</t>
    </r>
    <r>
      <rPr>
        <sz val="12"/>
        <color indexed="8"/>
        <rFont val="Arial"/>
        <family val="2"/>
      </rPr>
      <t>S</t>
    </r>
    <r>
      <rPr>
        <sz val="12"/>
        <color indexed="8"/>
        <rFont val="Symbol"/>
        <family val="1"/>
        <charset val="2"/>
      </rPr>
      <t>)</t>
    </r>
  </si>
  <si>
    <t>Hilfswerte</t>
  </si>
  <si>
    <t>a) Einzelschadenexzedenten-Rückversicherung (Grossrisiko-Rückversicherung)</t>
  </si>
  <si>
    <t>errechneter Wert nach Rückversicherung</t>
  </si>
  <si>
    <t>b) Summenschadenexzedenten-Rückversicherung (Stopp-Loss-Rückversicherung)</t>
  </si>
  <si>
    <t>Selbstbehalt Schadenvolumen (Mio. CHF)</t>
  </si>
  <si>
    <t>Berechnung via Weibull-Fit</t>
  </si>
  <si>
    <t xml:space="preserve">   vor Rückversicherung</t>
  </si>
  <si>
    <t xml:space="preserve">   nach Stopp-Loss-Rückversicherung</t>
  </si>
  <si>
    <t>Berechnung via gestutzte Normalverteilung und Massenpunkt</t>
  </si>
  <si>
    <t>dem Geschäft nach KVG zugeordnet</t>
  </si>
  <si>
    <t>dem Geschäft nach VVG zugeordnet</t>
  </si>
  <si>
    <t>dem Geschäft nach UVG zugeordnet</t>
  </si>
  <si>
    <t>Liquide Mittel</t>
  </si>
  <si>
    <t>Anlagen in Institutionen, die der Durchführung der sozialen Krankenversicherung dienen</t>
  </si>
  <si>
    <t>Derivative Finanzinstrumente (Guthaben)</t>
  </si>
  <si>
    <t>Übrige Kapitalanlagen (Latente Steuern, Aktiven aus Vorsorgeplänen)</t>
  </si>
  <si>
    <t>Umlaufvermögen</t>
  </si>
  <si>
    <t>Übriges Anlagevermögen (Immaterielle Anlagen, Sachanlagen)</t>
  </si>
  <si>
    <t>Leistungsrückstellungen</t>
  </si>
  <si>
    <t>Alterungsrückstellungen und Deckungskapitalien</t>
  </si>
  <si>
    <t>Obligatorische Krankenpflegeversicherung</t>
  </si>
  <si>
    <t>Einzel-Taggeldversicherung nach KVG</t>
  </si>
  <si>
    <t>Kollektiv-Taggeldversicherung nach KVG</t>
  </si>
  <si>
    <t>Aktive Rückversicherung nach KVG</t>
  </si>
  <si>
    <t>Schwankungs- und Sicherheitsrückstellungen</t>
  </si>
  <si>
    <t>Übriges Fremdkapital</t>
  </si>
  <si>
    <t>Rückstellungen für Risiken in den Kapitalanlagen</t>
  </si>
  <si>
    <t>Total übrige Passiven</t>
  </si>
  <si>
    <t>Übrige Verbindlichkeiten (inkl. Rechnungsabgrenzungen)</t>
  </si>
  <si>
    <t>Total versicherungstechnische Rückstellungen</t>
  </si>
  <si>
    <t>Differenz zwischen Aktiven und Fremdkapital</t>
  </si>
  <si>
    <t>Pandemic Influenza</t>
  </si>
  <si>
    <t xml:space="preserve">     Derivative Finanzinstrumente (Guthaben)</t>
  </si>
  <si>
    <t xml:space="preserve">     Liquide Mittel</t>
  </si>
  <si>
    <t xml:space="preserve">     Anlagen in Institutionen, die der Durchführung der sozialen Krankenversicherung dienen</t>
  </si>
  <si>
    <t xml:space="preserve">     Übrige Kapitalanlagen (Latente Steuern, Aktiven aus Vorsorgeplänen)</t>
  </si>
  <si>
    <t>- auf Kapitalanlagen</t>
  </si>
  <si>
    <t xml:space="preserve">     übriges Anlagevermögen (Immaterielle Anlagen, Sachanlagen)</t>
  </si>
  <si>
    <t xml:space="preserve">     Umlaufvermögen</t>
  </si>
  <si>
    <t>- auf versicherungstechnischen Rückstellungen</t>
  </si>
  <si>
    <t xml:space="preserve">     Leistungsrückstellungen</t>
  </si>
  <si>
    <t xml:space="preserve">     Prämienüberträge sowie Rückstellungen für künftige Überschussbeteiligungen</t>
  </si>
  <si>
    <t xml:space="preserve">     Schwankungs- und Sicherheitsrückstellungen</t>
  </si>
  <si>
    <t xml:space="preserve">     Alterungsrückstellungen und Deckungskapitalien</t>
  </si>
  <si>
    <t>- auf übrigem Fremdkapital</t>
  </si>
  <si>
    <t xml:space="preserve">     Nichtversicherungstechnische Rückstellungen</t>
  </si>
  <si>
    <t xml:space="preserve">     Rückstellungen für Risiken in den Kapitalanlagen</t>
  </si>
  <si>
    <t xml:space="preserve">     Übrige Verbindlichkeiten (inkl. Rechnungsabgrenzungen)</t>
  </si>
  <si>
    <t>Jahreswechseleffekt (Marktwert Anfang Jahr - Marktwert Ende Vorjahr)</t>
  </si>
  <si>
    <t>- Grundstückgewinn-/Handänderungssteuern auf Bewertungsreserven Grundstücke und Bauten (-)</t>
  </si>
  <si>
    <t>Expected Shortfall for Insurance Risk</t>
  </si>
  <si>
    <t>Expected Shortfall for Market Risk</t>
  </si>
  <si>
    <t>Expected Shortfall for Insurance &amp; Market Risk</t>
  </si>
  <si>
    <t>Null</t>
  </si>
  <si>
    <t>Analytical Model</t>
  </si>
  <si>
    <t>S9</t>
  </si>
  <si>
    <t>Aggregation of Scenarios</t>
  </si>
  <si>
    <t>statutarisch</t>
  </si>
  <si>
    <t>Umlegungen</t>
  </si>
  <si>
    <t>Bewertungs-differenzen</t>
  </si>
  <si>
    <t>marktnah
Best Estimate</t>
  </si>
  <si>
    <t>Ratio</t>
  </si>
  <si>
    <t>Total (in excess of risk free rate)</t>
  </si>
  <si>
    <t>insurance risk</t>
  </si>
  <si>
    <t>analytical model</t>
  </si>
  <si>
    <t>aggregation with scenarios</t>
  </si>
  <si>
    <t>veränderter Stichtag</t>
  </si>
  <si>
    <t>Expected Return</t>
  </si>
  <si>
    <t>Expected Financial Market Return</t>
  </si>
  <si>
    <t>Investment Funds</t>
  </si>
  <si>
    <t>Assets Class</t>
  </si>
  <si>
    <t>other assets</t>
  </si>
  <si>
    <t>other investment assets</t>
  </si>
  <si>
    <t>Rate of Return</t>
  </si>
  <si>
    <t>Return</t>
  </si>
  <si>
    <t>Market Value</t>
  </si>
  <si>
    <t>Leistungen nach Rückversicherung</t>
  </si>
  <si>
    <t>Leistungen vor Rückversicherung</t>
  </si>
  <si>
    <t>Überschussbeteiligungen</t>
  </si>
  <si>
    <t>3 Direkt und indirekt grundpfandgesicherte Positionen</t>
  </si>
  <si>
    <t>Marktanteil der Krankenkasse</t>
  </si>
  <si>
    <t>Anstieg der Anzahl der Bezüger</t>
  </si>
  <si>
    <t>Erhöhung der Taggeldbezugsdauer (unter Berücksichtigung der Wartefrist)</t>
  </si>
  <si>
    <t>Konjunkturbaisse</t>
  </si>
  <si>
    <t>Aufteilung des Eigenkapitals</t>
  </si>
  <si>
    <t>davon KVG-fremde Anteile</t>
  </si>
  <si>
    <t>market risk</t>
  </si>
  <si>
    <t>Summary of analytical model and aggregation with scenarios</t>
  </si>
  <si>
    <t>Addendum: analytical model and scenarios</t>
  </si>
  <si>
    <t>Zuschlag von 10%</t>
  </si>
  <si>
    <t>Medizinische Zusatzkosten</t>
  </si>
  <si>
    <t>Notwendige Nachfinanzierung aller Krankenkassen gemäss Szenario</t>
  </si>
  <si>
    <t>BAG 1</t>
  </si>
  <si>
    <t>BAG 2</t>
  </si>
  <si>
    <t>BAG 3</t>
  </si>
  <si>
    <t>BAG 4</t>
  </si>
  <si>
    <t>BAG 5</t>
  </si>
  <si>
    <t>BAG 6</t>
  </si>
  <si>
    <t>BAG 7</t>
  </si>
  <si>
    <t>Hagel / hail</t>
  </si>
  <si>
    <t>BAG1</t>
  </si>
  <si>
    <t>BAG2</t>
  </si>
  <si>
    <t>BAG5</t>
  </si>
  <si>
    <t>BAG6</t>
  </si>
  <si>
    <t>BAG7</t>
  </si>
  <si>
    <t>Difference</t>
  </si>
  <si>
    <t>(Mio. CHF)</t>
  </si>
  <si>
    <t>(%)</t>
  </si>
  <si>
    <t>-</t>
  </si>
  <si>
    <t>3) Zufalls- und Parameterrisiko</t>
  </si>
  <si>
    <t>Aktive Rück-versicherung KVG</t>
  </si>
  <si>
    <t>Passive Rückversicherung KVG</t>
  </si>
  <si>
    <t>Veränderung der sonstigen technischen Rückstellungen</t>
  </si>
  <si>
    <t xml:space="preserve">Veränderung der Leistungsrückstellungen </t>
  </si>
  <si>
    <t>Veränderung der Alterungsrückstellungen und Deckungskapitalien</t>
  </si>
  <si>
    <t>Sonstige technische Rückstellungen</t>
  </si>
  <si>
    <t>Marktnaher Wert der Aktiven mit entsprechendem Risikofaktor</t>
  </si>
  <si>
    <t>Marktnaher Wert der Passiven mit entsprechendem Risikofaktor</t>
  </si>
  <si>
    <t>Änderungsliste gegenüber dem Template SST 2011</t>
  </si>
  <si>
    <t>ganzes Template</t>
  </si>
  <si>
    <t>BAG-Nummer:</t>
  </si>
  <si>
    <t>Name des Versicherers:</t>
  </si>
  <si>
    <t>List of Fundamental Data</t>
  </si>
  <si>
    <t>Blätter 16-36 ausgeblendet</t>
  </si>
  <si>
    <t>die Blätter für Leben- und Nichtleben-Gesellschaften sind für den KVG-Solvenztest nicht relevant</t>
  </si>
  <si>
    <t>Blätter 10 und 40 ausgeblendet</t>
  </si>
  <si>
    <t>die Blätter für Gamma-Sensitivitäten und Alterungsrückstellungen sind für den KVG-Solvenztest nicht relevant</t>
  </si>
  <si>
    <t>diese Blätter enthalten die Inputs sowie die Berechnungen der BAG-Szenarien</t>
  </si>
  <si>
    <t>Blatt 15 (Credit Risk) ergänzt</t>
  </si>
  <si>
    <t xml:space="preserve">Basis: Template SST 2011 der FINMA (http://www.finma.ch/d/beaufsichtigte/versicherungen/schweizer-solvenztest/Documents/sst-template-1Q-2011.xls) </t>
  </si>
  <si>
    <t>aus Blatt 'Output' des SST-Templates zu Basel II (http://www.finma.ch/d/beaufsichtigte/versicherungen/schweizer-solvenztest/Documents/template-basel-II.xls)</t>
  </si>
  <si>
    <t>aus Blatt 'Input' des SST-Templates zu Basel II (http://www.finma.ch/d/beaufsichtigte/versicherungen/schweizer-solvenztest/Documents/template-basel-II.xls)</t>
  </si>
  <si>
    <t>Anpassungen an BAG-Kontenrahmen 2012 sowie Berücksichtigung der Trennung KVG/VVG/UVG</t>
  </si>
  <si>
    <t>Blätter 7, 8, 42, 43 (Bilanz)</t>
  </si>
  <si>
    <t>Definition von 4 KVG-Sparten (Einzel-Taggeld, Kollektiv-Taggeld, OKP, Aktive Rückversicherung)</t>
  </si>
  <si>
    <t>Einbezug des Risikoausgleichs (mit diversen Formelanpassungen)</t>
  </si>
  <si>
    <t>Definition von Parameterwerten (Variationskoeffizienten, Korrelationskoeffizienten, etc.)</t>
  </si>
  <si>
    <t>Definition von zwei Standard-Rückversicherungsverträgen (Grossrisiko, Stopp-Loss) inkl. Auswirkung auf Variabilität des versicherungstechnischen Risikos</t>
  </si>
  <si>
    <t>Blatt 38 (Expected Financial Market Return)</t>
  </si>
  <si>
    <t>Blatt 37 (Insurance Risk)</t>
  </si>
  <si>
    <t>Definiton der Standard-Renditen pro Anlageklasse (inkl. direkte Verknüpfung zu deren Marktwerten)</t>
  </si>
  <si>
    <t>Blatt 39 (Target Capital)</t>
  </si>
  <si>
    <t>vollständige Überarbeitung (die Berechnungen bleiben identisch mit denjenigen des SST)</t>
  </si>
  <si>
    <t>Blatt 9 (Delta Sensitivities)</t>
  </si>
  <si>
    <t>Einbezug der zugrunde liegenden marktnahen Werte pro entsprechenden Risikofaktor (getrennt nach KVG-Geschäft und übrigem Geschäft)</t>
  </si>
  <si>
    <t>Blatt 11 (Market Risk [Delta Normal])</t>
  </si>
  <si>
    <t>Ausblendung der nicht notwendigen Spalten I bis AB</t>
  </si>
  <si>
    <t>Blatt 12 (Scenarios on Risk Factors)</t>
  </si>
  <si>
    <t>Ergänzung der Berechnungen für Szenarien BAG5 und BAG7</t>
  </si>
  <si>
    <t>Blatt 6 (Fundamental Data)</t>
  </si>
  <si>
    <t>neue Zusammenstellung aller relevanten Fundamentaldaten</t>
  </si>
  <si>
    <t>Blätter 1, 2, 3</t>
  </si>
  <si>
    <t>-faches Versichertenwachstum gegenüber Planung</t>
  </si>
  <si>
    <t>Erwartetes gesamtes OKP-Prämienvolumen der Branche</t>
  </si>
  <si>
    <t>Erwartete Ø Anzahl Versicherte OKP der Branche</t>
  </si>
  <si>
    <t>Erwartete Anzahl Schadenfälle bzw. Erkrankte</t>
  </si>
  <si>
    <t>Anzahl Schadenfälle bzw. Erkrankte</t>
  </si>
  <si>
    <t>Tabellennr</t>
  </si>
  <si>
    <t>Tabellenblatt</t>
  </si>
  <si>
    <t>Variablenname 1</t>
  </si>
  <si>
    <t>Variablenname 2</t>
  </si>
  <si>
    <t>Variablenname 3</t>
  </si>
  <si>
    <t>Variablenname 4</t>
  </si>
  <si>
    <t>Standardwert (vor Rückversicherung)</t>
  </si>
  <si>
    <t>errechneter Wert vor Rückversicherung</t>
  </si>
  <si>
    <t>Preuves</t>
  </si>
  <si>
    <t>Montant</t>
  </si>
  <si>
    <t>attribué à l'activité d'après la LAA</t>
  </si>
  <si>
    <t>attribué à l'activité d'après la LCA</t>
  </si>
  <si>
    <t>dont parts étrangères à la LAMal</t>
  </si>
  <si>
    <t>TOTAL DU CAPITAL DE BASE INFERIEUR</t>
  </si>
  <si>
    <t>TOTAL DU CAPITAL COMPLEMENTAIRE SUPERIEUR</t>
  </si>
  <si>
    <t>TOTAL DU CAPITAL DE BASE IMPUTABLE</t>
  </si>
  <si>
    <t>Capital de base complémentaire</t>
  </si>
  <si>
    <t>Capital de base</t>
  </si>
  <si>
    <t>- Autres déductions (p. ex., prêts intragroupes non imputables) (-)</t>
  </si>
  <si>
    <t>- Dividendes et remboursements de capital prévus (-)</t>
  </si>
  <si>
    <t>- Valeur au bilan des actifs incorporels (-)</t>
  </si>
  <si>
    <t>- Valeur au bilan des actions propres (-)</t>
  </si>
  <si>
    <t xml:space="preserve">     Provisions pour risques dans les placements de capitaux</t>
  </si>
  <si>
    <t xml:space="preserve">     Provisions non actuarielles</t>
  </si>
  <si>
    <t>- sur les autres capitaux étrangers</t>
  </si>
  <si>
    <t xml:space="preserve">     Provisions pour prestations</t>
  </si>
  <si>
    <t>- sur les provisions actuarielles</t>
  </si>
  <si>
    <t xml:space="preserve">    Fonds de roulement</t>
  </si>
  <si>
    <t xml:space="preserve">     Autres actifs immobilisés (immobilisations incorporelles, immobilisations corporelles)</t>
  </si>
  <si>
    <t>- sur les autres actifs</t>
  </si>
  <si>
    <t xml:space="preserve">     Autres placements de capitaux (impôts latents, actifs des plans de prévoyance)</t>
  </si>
  <si>
    <t xml:space="preserve">     Placements dans des institutions servant au fonctionnement de l'assurance-maladie sociale </t>
  </si>
  <si>
    <t xml:space="preserve">     Liquidités</t>
  </si>
  <si>
    <t xml:space="preserve">     Instruments financiers dérivatifs (avoirs)</t>
  </si>
  <si>
    <t xml:space="preserve">     Parts dans des fonds de placement</t>
  </si>
  <si>
    <t xml:space="preserve">     Actions et placements analogues  </t>
  </si>
  <si>
    <t xml:space="preserve">     Obligations</t>
  </si>
  <si>
    <t xml:space="preserve">     Terrains et constructions</t>
  </si>
  <si>
    <t>- sur les placements de capitaux</t>
  </si>
  <si>
    <t>Effet du changement d'exercice (valeur du marché en début d'exercice - valeur du marché en fin d'exercice)</t>
  </si>
  <si>
    <t xml:space="preserve">     Fonds de roulement</t>
  </si>
  <si>
    <t>Résultat de l'exercice</t>
  </si>
  <si>
    <t>Résultat reporté de l'exercice précédent</t>
  </si>
  <si>
    <t>Réserves sur bénéfices</t>
  </si>
  <si>
    <t>Fonds de réserve</t>
  </si>
  <si>
    <t>Capital-bons de participation</t>
  </si>
  <si>
    <t>Capital-actions / Capital de la société coopérative demandé</t>
  </si>
  <si>
    <t>Preuve du capital de base</t>
  </si>
  <si>
    <t>Différence entre Actifs et Capital étranger</t>
  </si>
  <si>
    <t>Calculé (protégé)</t>
  </si>
  <si>
    <t>Totaux des catégories (protégé)</t>
  </si>
  <si>
    <t>Totaux des groupes de comptes / résumés (protégé)</t>
  </si>
  <si>
    <t>Répartition du capital propre</t>
  </si>
  <si>
    <t>attribués à l'activité d'après la LAA</t>
  </si>
  <si>
    <t>attribués à l'activité d'après la LCA</t>
  </si>
  <si>
    <t>Réassurance active d'après la LAMal</t>
  </si>
  <si>
    <t>Assurance collective d'indemnités journalières d'après la LAMal</t>
  </si>
  <si>
    <t>Assurance individuelle d'indemnités journalières d'après la LAMal</t>
  </si>
  <si>
    <t>Assurance obligatoire des soins</t>
  </si>
  <si>
    <t>Différence entre Actif et Capital étranger</t>
  </si>
  <si>
    <t>Total du capital étranger</t>
  </si>
  <si>
    <t>Total des autres passifs</t>
  </si>
  <si>
    <t>Provisions pour risques dans les placements de capitaux</t>
  </si>
  <si>
    <t>Provisions non actuarielles</t>
  </si>
  <si>
    <t>Autre capital étranger</t>
  </si>
  <si>
    <t>Total des provisions actuarielles</t>
  </si>
  <si>
    <t>Autres provisions techniques</t>
  </si>
  <si>
    <t>Provisions pour prestations</t>
  </si>
  <si>
    <t>Provisions actuarielles (nettes)</t>
  </si>
  <si>
    <t>attribué à l'activité d'après la LAMal</t>
  </si>
  <si>
    <t>Total des actifs</t>
  </si>
  <si>
    <t>Total des autres actifs</t>
  </si>
  <si>
    <t>Fonds de roulement</t>
  </si>
  <si>
    <t>Autres actifs immobilisés (immobilisations incorporelles, immobilisations corporelles)</t>
  </si>
  <si>
    <t>Total des placements de capitaux</t>
  </si>
  <si>
    <t>Autres placements de capitaux (impôts latents, actifs des plans de prévoyance)</t>
  </si>
  <si>
    <t>Instruments financiers dérivatifs (avoirs)</t>
  </si>
  <si>
    <t>Parts dans des fonds de placement</t>
  </si>
  <si>
    <t xml:space="preserve">Placements de capitaux </t>
  </si>
  <si>
    <t>Valeur proche du marché ou Best Estimate</t>
  </si>
  <si>
    <t>Valeur statutaire au bilan après transferts</t>
  </si>
  <si>
    <t>Valeur statutaire au bilan</t>
  </si>
  <si>
    <t>Différences entre l'évaluation statutaire et celle proche du marché</t>
  </si>
  <si>
    <t>Agrégation des scénarios</t>
  </si>
  <si>
    <t>Aggregation mit Szenarien</t>
  </si>
  <si>
    <t xml:space="preserve">Analytisches Modell </t>
  </si>
  <si>
    <t>Risque d'assurance</t>
  </si>
  <si>
    <t>Versicherungsrisiko</t>
  </si>
  <si>
    <t>Ecart type</t>
  </si>
  <si>
    <t>Type d'assureur</t>
  </si>
  <si>
    <t>Art des Versicherers:</t>
  </si>
  <si>
    <t>Niveau de sûreté</t>
  </si>
  <si>
    <t>Sicherheitsstufe</t>
  </si>
  <si>
    <t>Résumé du modèle analytique et agrégation des scénarios</t>
  </si>
  <si>
    <t>Zusammenfassung des analytischen Modells und Aggregation mit Szenarien</t>
  </si>
  <si>
    <t xml:space="preserve">Différence </t>
  </si>
  <si>
    <t>Differenz</t>
  </si>
  <si>
    <t>Réserves disponibles / montant minimal des réserves</t>
  </si>
  <si>
    <t>Réserves disponibles - montant minimal des réserves</t>
  </si>
  <si>
    <t>Réserves disponibles</t>
  </si>
  <si>
    <t>Date de référence modifiée</t>
  </si>
  <si>
    <t>Transferts</t>
  </si>
  <si>
    <t>statutaire</t>
  </si>
  <si>
    <t xml:space="preserve">Calcul des réserves disponibles </t>
  </si>
  <si>
    <t>Marge de risque</t>
  </si>
  <si>
    <t>Risikomarge</t>
  </si>
  <si>
    <t>Aggregation der Szenarien</t>
  </si>
  <si>
    <t>Analytisches Modell</t>
  </si>
  <si>
    <t>Expected Shortfall für Versicherung- und Marktrisiko</t>
  </si>
  <si>
    <t>Réduction du risque grâce à la diversification</t>
  </si>
  <si>
    <t>Risikosenkung durch Diversifikation</t>
  </si>
  <si>
    <t>Expected Shortfall für das Marktrisiko</t>
  </si>
  <si>
    <t>Tous taux d'intérêt</t>
  </si>
  <si>
    <t>Alle Zinssätze</t>
  </si>
  <si>
    <t>Rendement attendu du marché financier</t>
  </si>
  <si>
    <t>Erwartete Finanzmarktrendite</t>
  </si>
  <si>
    <t>Réassurance active LAMal</t>
  </si>
  <si>
    <t>AOS</t>
  </si>
  <si>
    <t>Indemnités journalières collectives LAMal</t>
  </si>
  <si>
    <t>Indemnités journalières individuelles LAMal</t>
  </si>
  <si>
    <t>Erwartete Versicherungsrendite</t>
  </si>
  <si>
    <t>Rendement escompté</t>
  </si>
  <si>
    <t>Erwartete Rendite</t>
  </si>
  <si>
    <t>Informations complémentaires</t>
  </si>
  <si>
    <t>zusätzliche Information</t>
  </si>
  <si>
    <t>Valeurs en millions de CHF</t>
  </si>
  <si>
    <t>Calcul du montant minimal des réserves</t>
  </si>
  <si>
    <t>Berechnung der Mindesthöhe der Reserven</t>
  </si>
  <si>
    <t>Total (en plus du rendement sans risque)</t>
  </si>
  <si>
    <t>Total (den risikolosen Zinssatz übersteigend)</t>
  </si>
  <si>
    <t>autres actifs</t>
  </si>
  <si>
    <t>autres actifs d'investissement</t>
  </si>
  <si>
    <t>Fonds d'investissement</t>
  </si>
  <si>
    <t>Actions</t>
  </si>
  <si>
    <t xml:space="preserve">Rendite </t>
  </si>
  <si>
    <t>Valeur du marché</t>
  </si>
  <si>
    <t>Marktwert</t>
  </si>
  <si>
    <t>Taux de rendement</t>
  </si>
  <si>
    <t>Renditesatz</t>
  </si>
  <si>
    <t>Catégorie d'actifs</t>
  </si>
  <si>
    <t>Calcul via la distribution normale tronquée et le point de concentration</t>
  </si>
  <si>
    <t xml:space="preserve">   après réassurance Stop-Loss</t>
  </si>
  <si>
    <t xml:space="preserve">   avant réassurance</t>
  </si>
  <si>
    <t>après réassurance Stop-Loss</t>
  </si>
  <si>
    <t>Valeurs auxiliaires</t>
  </si>
  <si>
    <t>Calcul via Weibull-Fit</t>
  </si>
  <si>
    <t>Franchise sinistre individuel (CHF)</t>
  </si>
  <si>
    <t>a) Réassurance des excédents de sinistres individuels (réassurance des gros risques)</t>
  </si>
  <si>
    <t>Réassurance passive LAMal</t>
  </si>
  <si>
    <t>Corrélations entre les branches observées</t>
  </si>
  <si>
    <t>Coefficient de variation utilisé</t>
  </si>
  <si>
    <t>Coefficient de variation des prestations annuelles</t>
  </si>
  <si>
    <t>3) Risque aléatoire et risque de paramètre</t>
  </si>
  <si>
    <t>Valeur utilisée (justifier l'écart par rapport à la valeur standard)</t>
  </si>
  <si>
    <t>Valeur calculée après réassurance</t>
  </si>
  <si>
    <t>2) Risque de paramètre</t>
  </si>
  <si>
    <t>Nombre attendu de sinistres ou de malades</t>
  </si>
  <si>
    <t>Nombre de sinistres ou de malades</t>
  </si>
  <si>
    <t>1) Risque aléatoire</t>
  </si>
  <si>
    <t>Variabilité</t>
  </si>
  <si>
    <t>Résultat actuariel</t>
  </si>
  <si>
    <t>Dépenses pour l'entreprise, dépense administrative</t>
  </si>
  <si>
    <t>Autres dépenses</t>
  </si>
  <si>
    <t>Modification des autres provisions techniques</t>
  </si>
  <si>
    <t>Modification des provisions pour prestations</t>
  </si>
  <si>
    <t>Prestations après réassurance</t>
  </si>
  <si>
    <t>Prestations avant réassurance</t>
  </si>
  <si>
    <t>(Dépenses: signe positif)</t>
  </si>
  <si>
    <t>Autres produits actuariels</t>
  </si>
  <si>
    <t>Primes après réassurance</t>
  </si>
  <si>
    <t>Primes avant réassurance</t>
  </si>
  <si>
    <t>(Revenus: signe positif)</t>
  </si>
  <si>
    <t>Espérance mathématique</t>
  </si>
  <si>
    <t>Espérance mathématique et écart type</t>
  </si>
  <si>
    <t>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t>
  </si>
  <si>
    <t>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t>
  </si>
  <si>
    <t>Besoin de capital pour le risque de crédit</t>
  </si>
  <si>
    <t>Total des positions pondérées du point de vue du risque</t>
  </si>
  <si>
    <t xml:space="preserve">6 Other positions </t>
  </si>
  <si>
    <t>6 Autres positions</t>
  </si>
  <si>
    <t xml:space="preserve">5 Past-due positions </t>
  </si>
  <si>
    <t>5 Positions en souffrance</t>
  </si>
  <si>
    <t xml:space="preserve">Positions subordonnées sur des corporations de droit public, dont la pondération du risque selon l'annexe 2 
(AS-CH) ou l'annexe 3 (AS-BRI) ne dépasse pas 50% </t>
  </si>
  <si>
    <t>4 Subordinated positions</t>
  </si>
  <si>
    <t>4 Positions subordonnées</t>
  </si>
  <si>
    <t>3 Positions secured directly or indirectly by charges on real estate</t>
  </si>
  <si>
    <t>3 Positions garanties directement et indirectement par des gages immobiliers</t>
  </si>
  <si>
    <t>2 Mortgage bonds</t>
  </si>
  <si>
    <t>2 Lettres de gage</t>
  </si>
  <si>
    <t xml:space="preserve">1 Natural persons and small businesses (retail positions) </t>
  </si>
  <si>
    <t>1 Personnes physiques et petites entreprises ("retail")</t>
  </si>
  <si>
    <t>Positions sans recours à des notations externes (positions subordonnées externes)</t>
  </si>
  <si>
    <t>8 Securitisations</t>
  </si>
  <si>
    <t>8 Titrisations</t>
  </si>
  <si>
    <t>7 Corporate positions</t>
  </si>
  <si>
    <t>7 Entreprises</t>
  </si>
  <si>
    <t>6 Stock exchanges and clearing houses</t>
  </si>
  <si>
    <t>5 Joint institutions of banks</t>
  </si>
  <si>
    <t>4 Banks and securities dealers</t>
  </si>
  <si>
    <t>4 Banques et négociants en valeurs mobilières</t>
  </si>
  <si>
    <t>3 BIS, IMF and multilateral development banks</t>
  </si>
  <si>
    <t>3 BRI, FMI et banques multilatérales de développement</t>
  </si>
  <si>
    <t>2 Public-sector entities</t>
  </si>
  <si>
    <t>2 Corporations de droit public</t>
  </si>
  <si>
    <t>1 Central governments and central banks</t>
  </si>
  <si>
    <t>1 Gouvernements centraux et banques centrales</t>
  </si>
  <si>
    <t>Positions pour lesquelles il est possible de recourir à des notations externes (si disponibles)</t>
  </si>
  <si>
    <t>Actifs pondérés du point du vue du risque</t>
  </si>
  <si>
    <t>Charge de capital pour risque de crédit (en millions de CHF)</t>
  </si>
  <si>
    <t xml:space="preserve">Kapitalkosten für das Kreditrisiko (Mio. CHF) </t>
  </si>
  <si>
    <t>Total des positions pondérées du point de vue du risque après CRM</t>
  </si>
  <si>
    <t>Total des positions pondérées du point de vue du risque avant CRM</t>
  </si>
  <si>
    <t>Positions garanties directement et indirectement par des gages immobiliers: autres immeubles</t>
  </si>
  <si>
    <t>Positions garanties directement et indirectement par des gages immobiliers: grands objets artisanaux et industriels, jusqu'à un tiers de la valeur vénale</t>
  </si>
  <si>
    <t>Positions garanties directement et indirectement par des gages immobiliers: immeubles pour bureaux et commerciaux et objets artisanaux polyvalents, jusqu'à la moitié de la valeur vénale</t>
  </si>
  <si>
    <t>Positions garanties directement et indirectement par des gages immobiliers: immeubles agricoles situés en Suisse, au-delà de 2/3 de la valeur vénale</t>
  </si>
  <si>
    <t>Positions sur la clientèle de détail pour autant que la valeur totale des positions sur une contrepartie selon l'art. 37, al. 1, non couvertes par des gages immobiliers, n'excède pas 1,5 million CHF et 1% de toutes les 
positions sur cette clientèle</t>
  </si>
  <si>
    <t>Classes de position AS-BRI sans possibilité d'appliquer les notations externes et leur pondération du risque</t>
  </si>
  <si>
    <t>Positions avec risque pondéré après CRM</t>
  </si>
  <si>
    <t>Positions avec risque pondéré avant CRM</t>
  </si>
  <si>
    <t>Postgaranties et dérivés de crédit</t>
  </si>
  <si>
    <t>Positions adossées à des sûretés avec garanties ou dérivés de crédit</t>
  </si>
  <si>
    <t>Prégaranties et dérivés de crédit</t>
  </si>
  <si>
    <t>Après constitution de garanties</t>
  </si>
  <si>
    <t>Avant constitution de garanties</t>
  </si>
  <si>
    <t>Catégorie</t>
  </si>
  <si>
    <t>Sans notation 1250%</t>
  </si>
  <si>
    <t>Pondération du risque 1250% (sans positions non notées)</t>
  </si>
  <si>
    <t>Pondération du risque 350%</t>
  </si>
  <si>
    <t>Pondération du risque 100% (sans positions non notées)</t>
  </si>
  <si>
    <t>Pondération du risque 50%</t>
  </si>
  <si>
    <t>Pondération du risque 20%</t>
  </si>
  <si>
    <t>Sans notation 150%</t>
  </si>
  <si>
    <t>Pondération du risque 150% (sans positions non notées)</t>
  </si>
  <si>
    <t>Sans notation 100%</t>
  </si>
  <si>
    <t>Pondération du risque 0%</t>
  </si>
  <si>
    <t>Sans notation 50%</t>
  </si>
  <si>
    <t>Sans notation 20%</t>
  </si>
  <si>
    <t>Pondération du risque 100%</t>
  </si>
  <si>
    <t>Pondération du risque 50% (sans positions non notées)</t>
  </si>
  <si>
    <t>Pondération du risque 20% (sans positions non notées)</t>
  </si>
  <si>
    <t>Nicht gerated 50%</t>
  </si>
  <si>
    <t>Scénarios fondés sur les facteurs de risque</t>
  </si>
  <si>
    <t>Szenarien basierend auf Risikofaktoren</t>
  </si>
  <si>
    <t>Modification des passifs</t>
  </si>
  <si>
    <t>Détresse financière</t>
  </si>
  <si>
    <t>Hausse des intérêts</t>
  </si>
  <si>
    <t>Scénario auto-défini</t>
  </si>
  <si>
    <t>Baisse de la conjoncture</t>
  </si>
  <si>
    <t>Anti-selection</t>
  </si>
  <si>
    <t>Antisélection</t>
  </si>
  <si>
    <t>Exemple</t>
  </si>
  <si>
    <t>Modifications</t>
  </si>
  <si>
    <t>Scénario pertinent pour:</t>
  </si>
  <si>
    <t>Scenario</t>
  </si>
  <si>
    <t>Scénario</t>
  </si>
  <si>
    <t>Remarques:</t>
  </si>
  <si>
    <t xml:space="preserve">Bemerkungen: </t>
  </si>
  <si>
    <t>Dieses Blatt enthält die Eingabe der Auswirkungen der Szenarien und einige der Eintrittswahrscheinlichkeiten.</t>
  </si>
  <si>
    <t>Poids du scénario</t>
  </si>
  <si>
    <t>Szenariogewicht</t>
  </si>
  <si>
    <t>Effet du scénario [MCHF]</t>
  </si>
  <si>
    <t>Szenariowirkung [MCHF]</t>
  </si>
  <si>
    <t>Nom du scénario</t>
  </si>
  <si>
    <t>Szenarioname</t>
  </si>
  <si>
    <t xml:space="preserve">Iteration i </t>
  </si>
  <si>
    <t>Détermination de VaR en utilisant Newton/Raphson</t>
  </si>
  <si>
    <t>Bestimmung des VaR unter Verwendung von Newton/Raphson</t>
  </si>
  <si>
    <t>Rapport (total ES / ES sans scénarios)</t>
  </si>
  <si>
    <t>Adolescents et adultes avec franchise annuelle à option de…</t>
  </si>
  <si>
    <t>Enfants</t>
  </si>
  <si>
    <t>Groupe d'assurés</t>
  </si>
  <si>
    <t>Δ passifs compte tenu des changements sur le marché financier</t>
  </si>
  <si>
    <t>Δ actifs compte tenu des changements sur le marché financier</t>
  </si>
  <si>
    <t xml:space="preserve">Modification des passifs </t>
  </si>
  <si>
    <t xml:space="preserve">Modification des actifs </t>
  </si>
  <si>
    <t>Valeur totale du scénario:</t>
  </si>
  <si>
    <t>Surcoût médical</t>
  </si>
  <si>
    <t>Coûts par sinistre</t>
  </si>
  <si>
    <t>Probabilités conformément à l'OFSP</t>
  </si>
  <si>
    <t>Décédés</t>
  </si>
  <si>
    <t>Malades en soins intensifs</t>
  </si>
  <si>
    <t>Hospitalisations</t>
  </si>
  <si>
    <t>Consultations médicales</t>
  </si>
  <si>
    <t>Malades</t>
  </si>
  <si>
    <t>Assurés AOS</t>
  </si>
  <si>
    <t>Hausse du nombre de bénéficiaires</t>
  </si>
  <si>
    <t>Hausse multipliée par … du nombre d'assurés par rapport aux prévisions</t>
  </si>
  <si>
    <t>Δ compensation des risques</t>
  </si>
  <si>
    <t>Δ primes brutes</t>
  </si>
  <si>
    <t>Répercussions financières:</t>
  </si>
  <si>
    <t>Changent d'assurance</t>
  </si>
  <si>
    <t>Optimisent la franchise annuelle</t>
  </si>
  <si>
    <t>Gardent la même assurance</t>
  </si>
  <si>
    <t>Probabilité de tomber malade</t>
  </si>
  <si>
    <t>Nombre d'assurés sans prestations nettes</t>
  </si>
  <si>
    <t>Ø compensation des risques</t>
  </si>
  <si>
    <t>Ø primes brutes</t>
  </si>
  <si>
    <t>Valeur delta du scénario</t>
  </si>
  <si>
    <t>Changes in liabilities</t>
  </si>
  <si>
    <t>Änderung der Liabilities</t>
  </si>
  <si>
    <t>en millions de CHF</t>
  </si>
  <si>
    <t>par la modification du FR</t>
  </si>
  <si>
    <t>en cas de modification du FR</t>
  </si>
  <si>
    <t xml:space="preserve">Changes in assets </t>
  </si>
  <si>
    <t>Pandémie de grippe</t>
  </si>
  <si>
    <t>Grippepandemie</t>
  </si>
  <si>
    <t>Crise financière de 2008</t>
  </si>
  <si>
    <t>Inflation globale</t>
  </si>
  <si>
    <t>Krach boursier (2000/2001)</t>
  </si>
  <si>
    <t>Crise monétaire européenne (1992)</t>
  </si>
  <si>
    <t>Ecart type total en millions de CHF</t>
  </si>
  <si>
    <t>Ecart type avec matrice en millions de CHF</t>
  </si>
  <si>
    <t>la matrice de corrélation</t>
  </si>
  <si>
    <t>reste en %)</t>
  </si>
  <si>
    <t>Rest in %)</t>
  </si>
  <si>
    <t>(taux d'intérêt en points de base,</t>
  </si>
  <si>
    <t xml:space="preserve">(Zinssätze in Basispunkten, </t>
  </si>
  <si>
    <t>Modification de RES en cas de modification d'1 sigma du FR</t>
  </si>
  <si>
    <t>Änderung der RES bei 1-sigma-Auslenkung des RFs</t>
  </si>
  <si>
    <t xml:space="preserve">facteur de risque </t>
  </si>
  <si>
    <t xml:space="preserve">Risikofaktor </t>
  </si>
  <si>
    <t>Sensibilité = dRES/d(facteur de risque)</t>
  </si>
  <si>
    <t>Sensitivität = dRES/d(Risikofaktor)</t>
  </si>
  <si>
    <t>Taux d'intérêt GBP</t>
  </si>
  <si>
    <t>Zinssätze GBP</t>
  </si>
  <si>
    <t>Taux d'intérêt USD</t>
  </si>
  <si>
    <t>Zinssätze USD</t>
  </si>
  <si>
    <t>Taux d'intérêt EUR</t>
  </si>
  <si>
    <t>Zinssätze EUR</t>
  </si>
  <si>
    <t>Taux d'intérêt CHF</t>
  </si>
  <si>
    <t>Zinssätze CHF</t>
  </si>
  <si>
    <t>Tous sans les taux d'intérêt</t>
  </si>
  <si>
    <t>Tous facteurs de risque</t>
  </si>
  <si>
    <t>Alle Risikofaktoren</t>
  </si>
  <si>
    <t>Résultats</t>
  </si>
  <si>
    <t>Resultate</t>
  </si>
  <si>
    <t>Paramètres</t>
  </si>
  <si>
    <t>Risque de marché (delta normal)</t>
  </si>
  <si>
    <t>Marktrisiko (Delta Normal)</t>
  </si>
  <si>
    <t>Valeur moyenne</t>
  </si>
  <si>
    <t>Mittelwert</t>
  </si>
  <si>
    <t>vers le bas</t>
  </si>
  <si>
    <t xml:space="preserve">due to RF move </t>
  </si>
  <si>
    <t xml:space="preserve">Changes in liabilities </t>
  </si>
  <si>
    <t>Valeur proche du marché des passifs avec facteur de risque correspondant</t>
  </si>
  <si>
    <t>Valeur proche du marché des actifs avec facteur de risque correspondant</t>
  </si>
  <si>
    <t>Passifs</t>
  </si>
  <si>
    <t>Actifs</t>
  </si>
  <si>
    <t>Sensibilités delta</t>
  </si>
  <si>
    <t>Delta-Sensitivitäten</t>
  </si>
  <si>
    <t xml:space="preserve">Core capital </t>
  </si>
  <si>
    <t xml:space="preserve">Berechnung der vorhandenen Reserven </t>
  </si>
  <si>
    <t>Répartition des capitaux propres</t>
  </si>
  <si>
    <t>Capital étranger restant</t>
  </si>
  <si>
    <t>Total de l'actif</t>
  </si>
  <si>
    <t>attribués à l'activité d'après la LAMal</t>
  </si>
  <si>
    <t xml:space="preserve">Value as % of core capital </t>
  </si>
  <si>
    <t xml:space="preserve">Value as % of all assets </t>
  </si>
  <si>
    <t>niveau de sécurité</t>
  </si>
  <si>
    <t>Niveau de sécurité</t>
  </si>
  <si>
    <t>ou</t>
  </si>
  <si>
    <t>oder</t>
  </si>
  <si>
    <t>bitte eingeben</t>
  </si>
  <si>
    <t>Type d'assureur:</t>
  </si>
  <si>
    <t>Art des Versicherers</t>
  </si>
  <si>
    <t>Nom de l'assureur:</t>
  </si>
  <si>
    <t>Numéro OFSP:</t>
  </si>
  <si>
    <t xml:space="preserve">Name of Insurer </t>
  </si>
  <si>
    <t>Nom de l'assureur</t>
  </si>
  <si>
    <t>Name des Versicherers</t>
  </si>
  <si>
    <t>Jour de référence</t>
  </si>
  <si>
    <t>Stichtag</t>
  </si>
  <si>
    <t>Titre</t>
  </si>
  <si>
    <t>Nom de la feuille</t>
  </si>
  <si>
    <t>Liste des feuilles de calcul</t>
  </si>
  <si>
    <t>Liste der Arbeitsblätter</t>
  </si>
  <si>
    <t>Liste des mises à jour</t>
  </si>
  <si>
    <t>Liste der Aktualisierungen</t>
  </si>
  <si>
    <t>Les bénéfices sont des quantités positives, les pertes sont des quantités négatives.</t>
  </si>
  <si>
    <t>Convention de signes:</t>
  </si>
  <si>
    <t>Les champs "Input" sont mis en couleur par:</t>
  </si>
  <si>
    <t>Input-Felder sind mit folgenden Farben gekennzeichnet:</t>
  </si>
  <si>
    <t>Modèle pour le test de solvabilité LAMal</t>
  </si>
  <si>
    <t>Einleitung</t>
  </si>
  <si>
    <t>english</t>
  </si>
  <si>
    <t>français</t>
  </si>
  <si>
    <t>deutsch</t>
  </si>
  <si>
    <t>4b</t>
  </si>
  <si>
    <t>partielle Ableitungen der Risikofaktoren</t>
  </si>
  <si>
    <t>transferts</t>
  </si>
  <si>
    <t xml:space="preserve">Zwischenspalte
</t>
  </si>
  <si>
    <t xml:space="preserve">Entre deux colonnes
</t>
  </si>
  <si>
    <t>language</t>
  </si>
  <si>
    <t>selected language</t>
  </si>
  <si>
    <t>Bitte wählen Sie Ihre bevorzugte Sprache:</t>
  </si>
  <si>
    <t>Please select your preferred language:</t>
  </si>
  <si>
    <t>Choisissez votre langue préférée s.v.p.:</t>
  </si>
  <si>
    <t>Template für den KVG-Solvenztest</t>
  </si>
  <si>
    <t>The minimum level of reserves is defined as -ES.</t>
  </si>
  <si>
    <t>Name des Blattes</t>
  </si>
  <si>
    <t>Title</t>
  </si>
  <si>
    <t>Total account groups/amalgamations (protected)</t>
  </si>
  <si>
    <t>Total classes (protected)</t>
  </si>
  <si>
    <t>Calculated (protected)</t>
  </si>
  <si>
    <t>Market-consistent value or best estimate</t>
  </si>
  <si>
    <t>Derivative financial instruments (positive replacement value)</t>
  </si>
  <si>
    <t>Liquid funds</t>
  </si>
  <si>
    <t>Investments in institutions involved in the implementation of social health insurance</t>
  </si>
  <si>
    <t>Other investments deferred tax assets, assets from pension plans)</t>
  </si>
  <si>
    <t>Total investments</t>
  </si>
  <si>
    <t>Other investment assets (intangible assets, tangible assets)</t>
  </si>
  <si>
    <t>Current assets</t>
  </si>
  <si>
    <t>Total other assets</t>
  </si>
  <si>
    <t>Total assets</t>
  </si>
  <si>
    <t>Provisions for benefits</t>
  </si>
  <si>
    <t>Other technical provisions</t>
  </si>
  <si>
    <t>Equalisation and guarantee provisions</t>
  </si>
  <si>
    <t>Total insurance provisions</t>
  </si>
  <si>
    <t>Compulsory health insurance</t>
  </si>
  <si>
    <t>Other debt</t>
  </si>
  <si>
    <t>Non-insurance-related provisions</t>
  </si>
  <si>
    <t>Provisions for risks in investments</t>
  </si>
  <si>
    <t>Other liabilities (including accruals and deferrals)</t>
  </si>
  <si>
    <t>Total other liabilities</t>
  </si>
  <si>
    <t>Total debt</t>
  </si>
  <si>
    <t>Difference between assets and debt</t>
  </si>
  <si>
    <t>Breakdown of equity</t>
  </si>
  <si>
    <t>Calculation of existing reserves</t>
  </si>
  <si>
    <t>Amount</t>
  </si>
  <si>
    <t>Subordinated loans without time limitation</t>
  </si>
  <si>
    <t>Subordinated bonds without time limitation</t>
  </si>
  <si>
    <t>Other hybrid instruments without time limitation</t>
  </si>
  <si>
    <t>Notes:</t>
  </si>
  <si>
    <t>Move of RF</t>
  </si>
  <si>
    <t>Assets</t>
  </si>
  <si>
    <t>Liabilities</t>
  </si>
  <si>
    <t>Existing reserves</t>
  </si>
  <si>
    <t>Market-consistent value of assets with corresponding risk factor</t>
  </si>
  <si>
    <t>Market-consistent value of liabilities with corresponding risk factor</t>
  </si>
  <si>
    <t>vers le haut</t>
  </si>
  <si>
    <t>upwards</t>
  </si>
  <si>
    <t>downwards</t>
  </si>
  <si>
    <t>Average</t>
  </si>
  <si>
    <t>Market risk (delta normal)</t>
  </si>
  <si>
    <t>Sensitivity = dRES/d(risk factor)</t>
  </si>
  <si>
    <t>Change to RES with 1-sigma move of RF</t>
  </si>
  <si>
    <t>Standard deviation with matrix in CHF m</t>
  </si>
  <si>
    <t>Total standard deviation in CHF m</t>
  </si>
  <si>
    <t>dérivées partielles des facteurs de risque</t>
  </si>
  <si>
    <t>2008 financial crisis</t>
  </si>
  <si>
    <t>with move in RF</t>
  </si>
  <si>
    <t>CHF m</t>
  </si>
  <si>
    <t>Delta value of scenario</t>
  </si>
  <si>
    <t>Total value of scenario:</t>
  </si>
  <si>
    <t>Change in assets</t>
  </si>
  <si>
    <t>Change in liabilities</t>
  </si>
  <si>
    <t>Change in reserves</t>
  </si>
  <si>
    <t>Group of insured</t>
  </si>
  <si>
    <t>Children</t>
  </si>
  <si>
    <t>Number of insured without net benefits</t>
  </si>
  <si>
    <t>Probability of falling sick</t>
  </si>
  <si>
    <t>Remaining</t>
  </si>
  <si>
    <t>Optimising the annual excess</t>
  </si>
  <si>
    <t>Leaving</t>
  </si>
  <si>
    <t>Financial repercussions:</t>
  </si>
  <si>
    <t>Effects of excess optimisers:</t>
  </si>
  <si>
    <t>Δ gross premiums</t>
  </si>
  <si>
    <t>Effects of switchers:</t>
  </si>
  <si>
    <t>-fold growth in insured compared to plan</t>
  </si>
  <si>
    <t>Rise in number of benefits recipients</t>
  </si>
  <si>
    <t>Increase in duration of daily benefits (taking into account waiting period)</t>
  </si>
  <si>
    <t>Total volume expansion according to scenario</t>
  </si>
  <si>
    <t>Insured under statutory health insurance</t>
  </si>
  <si>
    <t>Persons falling sick</t>
  </si>
  <si>
    <t>Doctor visits</t>
  </si>
  <si>
    <t>Intensive care cases</t>
  </si>
  <si>
    <t>Deceased</t>
  </si>
  <si>
    <t>Costs per case</t>
  </si>
  <si>
    <t>Additional medical costs</t>
  </si>
  <si>
    <t>Δ assets due to financial market changes</t>
  </si>
  <si>
    <t>Δ liabilities due to financial market changes</t>
  </si>
  <si>
    <t>Anticipated total statutory health insurance premium volumes in sector</t>
  </si>
  <si>
    <t>Young people and adults with selectable annual excess of ...</t>
  </si>
  <si>
    <t>Ratio (ES total / ES without scenarios)</t>
  </si>
  <si>
    <t>iteration i</t>
  </si>
  <si>
    <t>This sheet contains the input of repercussions of scenarios and some of the probabilities of occurrence.</t>
  </si>
  <si>
    <t>Selected insurer type</t>
  </si>
  <si>
    <t>Szenario ist relevant für die Mindesthöhe der Reserven</t>
  </si>
  <si>
    <t>Scénario pertinent pour le montant minimal des réserves</t>
  </si>
  <si>
    <t>Scenario is relevant for the minimum level of reserves</t>
  </si>
  <si>
    <t>Scenario is relevant for:</t>
  </si>
  <si>
    <t>Changes</t>
  </si>
  <si>
    <t>Relevanter Wert für die Mindesthöhe der Reserven</t>
  </si>
  <si>
    <t>Valeur pertinente pour le montant minimal des réserves</t>
  </si>
  <si>
    <t>Relevant value for the minimum level of reserves</t>
  </si>
  <si>
    <t>Example</t>
  </si>
  <si>
    <t>Economic slump</t>
  </si>
  <si>
    <t>Self-defined scenario</t>
  </si>
  <si>
    <t>Risk weighting 0%</t>
  </si>
  <si>
    <t>Risk weighting 20%</t>
  </si>
  <si>
    <t>Risk weighting 50%</t>
  </si>
  <si>
    <t>Risk weighting 100% (without unrated positions)</t>
  </si>
  <si>
    <t>Not rated 100%</t>
  </si>
  <si>
    <t>Risk weighting 100%</t>
  </si>
  <si>
    <t>Risk weighting 50% (without unrated positions)</t>
  </si>
  <si>
    <t>Not rated 50%</t>
  </si>
  <si>
    <t>Risk weighting 20% (without unrated positions)</t>
  </si>
  <si>
    <t>Risk weighting 50% percent (without unrated positions)</t>
  </si>
  <si>
    <t>Not rated 20%</t>
  </si>
  <si>
    <t>Risk weighting 150% (without unrated positions)</t>
  </si>
  <si>
    <t>Not rated 150%</t>
  </si>
  <si>
    <t>Risk weighting 350%</t>
  </si>
  <si>
    <t>Risk weighting 1250% (without unrated positions)</t>
  </si>
  <si>
    <t>Not rated 1250%</t>
  </si>
  <si>
    <t>Sum of risk-weighted positions before CRM</t>
  </si>
  <si>
    <t>Sum of risk-weighted positions after CRM</t>
  </si>
  <si>
    <t>Category</t>
  </si>
  <si>
    <t>Risk weighting</t>
  </si>
  <si>
    <t>Before collateral</t>
  </si>
  <si>
    <t>After collateral</t>
  </si>
  <si>
    <t>Before guarantees and credit derivatives</t>
  </si>
  <si>
    <t>Positions collateralised with guarantees or credit derivatives</t>
  </si>
  <si>
    <t>After guarantees and credit derivatives</t>
  </si>
  <si>
    <t>Risk-weighted positions before CRM</t>
  </si>
  <si>
    <t>Risk-weighted positions after CRM</t>
  </si>
  <si>
    <t xml:space="preserve">Retail positions, if the total value of positions under Art. 37, Para. 1, without mortgage backing, does not exceed CHF 1.5 m and 1% of all retail positions vis-à-vis a counterparty </t>
  </si>
  <si>
    <t>Other retail positions</t>
  </si>
  <si>
    <t>Directly and indirectly mortgage-backed positions: properties in Switzerland and abroad, up to two thirds of market value</t>
  </si>
  <si>
    <t>Directly and indirectly mortgage-backed positions: agricultural properties in Switzerland, more than two thirds of market value</t>
  </si>
  <si>
    <t>Directly and indirectly mortgage-backed positions: office buildings, business premises and multifunctional commercial properties, up to half of market value</t>
  </si>
  <si>
    <t>Directly and indirectly mortgage-backed positions: industrial and large-scale properties, up to a third of market value</t>
  </si>
  <si>
    <t>Directly and indirectly mortgage-backed positions: other properties</t>
  </si>
  <si>
    <t>Subordinated positions vis-à-vis public sector entities where the risk weighting according to Appendix 2 (SA-CH) or Appendix 3 (SA-BIS) amounts to a maximum of 50%</t>
  </si>
  <si>
    <t>Other subordinated positions</t>
  </si>
  <si>
    <t>Uncollateralised position components corrected for individual value adjustments, as long as the individual value adjustments account for at least 20% of the outstanding amount.</t>
  </si>
  <si>
    <t>Uncollateralised position components corrected for individual value adjustments, as long as the individual value adjustments account for less than 20% of the outstanding amount.</t>
  </si>
  <si>
    <t>Risk-weighted assets</t>
  </si>
  <si>
    <t>Positions for which external ratings may be used (insofar as these are available)</t>
  </si>
  <si>
    <t>Positions without use of external ratings (except subordinated positions)</t>
  </si>
  <si>
    <t>Credit equivalents from calls on shares and other equities</t>
  </si>
  <si>
    <t>Sum of risk-weighted positions</t>
  </si>
  <si>
    <t>Capital requirement for credit risk</t>
  </si>
  <si>
    <t>On this sheet, the anticipated technical result together with its standard deviation is ascertained. This is not based on the statutory income statement, but is the result of a market-consistent form of evaluation. In other words, the provisions are calculated on the basis of what is required from an actuarial perspective, rather than from the provisions of the statutory balance sheet.</t>
  </si>
  <si>
    <t>Expected value</t>
  </si>
  <si>
    <t>Expected value and standard deviation</t>
  </si>
  <si>
    <t>Values in CHF m</t>
  </si>
  <si>
    <t>Statutory health insurance</t>
  </si>
  <si>
    <t>Insurance income</t>
  </si>
  <si>
    <t>(income: positive sign)</t>
  </si>
  <si>
    <t>Premiums earned before reinsurance</t>
  </si>
  <si>
    <t>Other insurance income</t>
  </si>
  <si>
    <t>Surplus participations</t>
  </si>
  <si>
    <t>Insurance-related expenses</t>
  </si>
  <si>
    <t>(expenses: positive sign)</t>
  </si>
  <si>
    <t>Benefits before reinsurance</t>
  </si>
  <si>
    <t>Benefits after reinsurance</t>
  </si>
  <si>
    <t>Change in benefits provisions</t>
  </si>
  <si>
    <t>Change in other technical reserves</t>
  </si>
  <si>
    <t>Other expenses</t>
  </si>
  <si>
    <t>Costs for operations and administration</t>
  </si>
  <si>
    <t>Insurance result</t>
  </si>
  <si>
    <t>Variability</t>
  </si>
  <si>
    <t>1) Risk of random fluctuation</t>
  </si>
  <si>
    <t>Number of claims cases or persons falling sick</t>
  </si>
  <si>
    <t>Expected number of claims cases or persons falling sick</t>
  </si>
  <si>
    <t>Valeur standard avant réassurance</t>
  </si>
  <si>
    <t>Standard value before reinsurance</t>
  </si>
  <si>
    <t>Applied value (deviation from standard: justify)</t>
  </si>
  <si>
    <t>Valeur calculée avant réassurance</t>
  </si>
  <si>
    <t>Calculated value before reinsurance</t>
  </si>
  <si>
    <t>Calculated value after reinsurance</t>
  </si>
  <si>
    <t>Applied value</t>
  </si>
  <si>
    <t>2) Parameter risk</t>
  </si>
  <si>
    <t>Applied value (justify any deviation from standard)</t>
  </si>
  <si>
    <t>3) Risk of random fluctuation and parameter risk</t>
  </si>
  <si>
    <t>Variation coefficient of annual benefits</t>
  </si>
  <si>
    <t>Applied variation coefficient</t>
  </si>
  <si>
    <t>Values for the second possible method (see technical document on SST)</t>
  </si>
  <si>
    <t>Correlations between the observed sectors</t>
  </si>
  <si>
    <t>a) Individual claims excess reinsurance (bulk risk reinsurance)</t>
  </si>
  <si>
    <t>Individual claim deductible (CHF)</t>
  </si>
  <si>
    <t>Calculation under Weibull fit</t>
  </si>
  <si>
    <t>b) Réassurance des excédents de sinistres collectifs (réassurance Stop-Loss)</t>
  </si>
  <si>
    <t>b) Aggregated claims excess reinsurance (stop-loss reinsurance)</t>
  </si>
  <si>
    <t>Claims volume deductible (CHF m)</t>
  </si>
  <si>
    <t>Auxiliary coefficients</t>
  </si>
  <si>
    <t xml:space="preserve">   after stop-loss reinsurance</t>
  </si>
  <si>
    <t>Calculation via truncated normal distribution and mass point</t>
  </si>
  <si>
    <t>Calculation of minimum level of reserves</t>
  </si>
  <si>
    <t>Additional information</t>
  </si>
  <si>
    <t>Mindesthöhe der Reserven</t>
  </si>
  <si>
    <t>Montant minimal des réserves</t>
  </si>
  <si>
    <t>Minimum level of reserves</t>
  </si>
  <si>
    <t>Expected insurance return</t>
  </si>
  <si>
    <t>Statutory</t>
  </si>
  <si>
    <t>Switches</t>
  </si>
  <si>
    <t>Valuation differences</t>
  </si>
  <si>
    <t>Change in reference date</t>
  </si>
  <si>
    <t>Market-consistent
Best estimate</t>
  </si>
  <si>
    <t>Additional core capital</t>
  </si>
  <si>
    <t>Total (equity capital or reserves)</t>
  </si>
  <si>
    <t>Existing reserves - minimum level of reserves</t>
  </si>
  <si>
    <t xml:space="preserve">statutory </t>
  </si>
  <si>
    <t>switches</t>
  </si>
  <si>
    <t>modification de la date de référence</t>
  </si>
  <si>
    <t>changed reporting date</t>
  </si>
  <si>
    <t>Existing reserves / minimum level of reserves</t>
  </si>
  <si>
    <t>Difference between statutory and market-consistent valuation</t>
  </si>
  <si>
    <t>Statutory balance sheet value</t>
  </si>
  <si>
    <t>Interim column</t>
  </si>
  <si>
    <t>Statutory balance sheet value after switches</t>
  </si>
  <si>
    <t>Valuation differences between statutory and market-consistent value</t>
  </si>
  <si>
    <t>Land and buildings</t>
  </si>
  <si>
    <t>Holdings in investment funds</t>
  </si>
  <si>
    <t>Investments in institutions tasked with executing social health insurance</t>
  </si>
  <si>
    <t>Other investments (deferred tax assets, assets from pension plans)</t>
  </si>
  <si>
    <t>Benefits provisions</t>
  </si>
  <si>
    <t>Other liabilities (incl. accruals and deferrals)</t>
  </si>
  <si>
    <t>Breakdown of equity capital</t>
  </si>
  <si>
    <t>Core capital</t>
  </si>
  <si>
    <t>Statement of core capital</t>
  </si>
  <si>
    <t>Additional core capital (no significant difference)</t>
  </si>
  <si>
    <t>Added share capital/cooperative capital</t>
  </si>
  <si>
    <t>Participation certificate capital</t>
  </si>
  <si>
    <t>Capital reserves</t>
  </si>
  <si>
    <t>Retained earnings</t>
  </si>
  <si>
    <t>Result carried forward from prior year</t>
  </si>
  <si>
    <t>Result for financial year</t>
  </si>
  <si>
    <t>Valuation reserves: (market value end of prior year - statutory value end of prior year)</t>
  </si>
  <si>
    <t>-  for investments</t>
  </si>
  <si>
    <t xml:space="preserve">     Land and buildings</t>
  </si>
  <si>
    <t xml:space="preserve">     Bonds</t>
  </si>
  <si>
    <t xml:space="preserve">     Equities and similar investments</t>
  </si>
  <si>
    <t xml:space="preserve">     Holdings in investment funds</t>
  </si>
  <si>
    <t xml:space="preserve">     Derivative financial instruments (positive replacement value)</t>
  </si>
  <si>
    <t xml:space="preserve">     Liquid funds</t>
  </si>
  <si>
    <t xml:space="preserve">     Investments in institutions tasked with executing social health insurance</t>
  </si>
  <si>
    <t xml:space="preserve">     Other investments (deferred tax assets, assets from pension plans)</t>
  </si>
  <si>
    <t>- for other assets</t>
  </si>
  <si>
    <t xml:space="preserve">     Other investment assets (intangible assets, tangible assets)</t>
  </si>
  <si>
    <t xml:space="preserve">     Current assets</t>
  </si>
  <si>
    <t>- for insurance-related provisions</t>
  </si>
  <si>
    <t xml:space="preserve">     Benefits provisions</t>
  </si>
  <si>
    <t xml:space="preserve">     Unearned premiums and provisions for future surplus participations</t>
  </si>
  <si>
    <t xml:space="preserve">    Equalisation and guarantee provisions</t>
  </si>
  <si>
    <t>- for other debt</t>
  </si>
  <si>
    <t xml:space="preserve">    Non-insurance-related provisions</t>
  </si>
  <si>
    <t xml:space="preserve">     Provisions for risks in capital investments</t>
  </si>
  <si>
    <t xml:space="preserve">     Other liabilities (incl. accruals and deferrals)</t>
  </si>
  <si>
    <t>Year changeover effect (market value at the start of year - market value at end of prior year)</t>
  </si>
  <si>
    <t>- for investments</t>
  </si>
  <si>
    <t xml:space="preserve">     Non-insurance-related provisions</t>
  </si>
  <si>
    <t xml:space="preserve">     Provisions for risks in capital investment</t>
  </si>
  <si>
    <t xml:space="preserve">     Other liabilities (including accruals and deferrals)</t>
  </si>
  <si>
    <t>- Balance sheet value of own shares (-)</t>
  </si>
  <si>
    <t>- Balance sheet value of intangible assets (-)</t>
  </si>
  <si>
    <t>- Tax on real estate gains/real estate transfer taxes associated with valuation reserves for lands and buildings (-)</t>
  </si>
  <si>
    <t>- Anticipated dividends and capital repayments (-)</t>
  </si>
  <si>
    <t>- Other deductions (e.g. non-eligible intra-group loans) (-)</t>
  </si>
  <si>
    <t>Debt that can only be converted into equity (mandatory convertible debt)</t>
  </si>
  <si>
    <t>Statements</t>
  </si>
  <si>
    <t>TOTAL ELIGIBLE CORE CAPITAL</t>
  </si>
  <si>
    <t>TOTAL UPPER SUPPLEMENTARY CAPITAL</t>
  </si>
  <si>
    <t>TOTAL LOWER SUPPLEMENTARY CAPITAL</t>
  </si>
  <si>
    <t>Eingefordertes Aktienkapital/Genossenschaftskapital</t>
  </si>
  <si>
    <t>Template for the KVG/LAMal Solvency Test</t>
  </si>
  <si>
    <t>Parameter-Input BAG</t>
  </si>
  <si>
    <t>Input de paramètre OFSP</t>
  </si>
  <si>
    <t>Parameter Input FOPH</t>
  </si>
  <si>
    <t>Daher sind VaR (Value at Risk) und ES (Expected Shortfall) negativ.</t>
  </si>
  <si>
    <t>Therefore, VaR (Value at Risk) and ES (Expected Shortfall) are negative quantities.</t>
  </si>
  <si>
    <t>Vorzeichenvereinbarung:</t>
  </si>
  <si>
    <t>Die Mindesthöhe der Reserven ist definiert als -ES.</t>
  </si>
  <si>
    <t>(must not be changed)</t>
  </si>
  <si>
    <t>(dürfen nicht geändert werden)</t>
  </si>
  <si>
    <t>(ne peuvent pas être changés)</t>
  </si>
  <si>
    <t>Die Mindesthöhe der Reserven setzt sich zusammen aus folgender Aggregation:</t>
  </si>
  <si>
    <t>Expected Shortfall du modèle fondé sur la distribution incl. les scénarios</t>
  </si>
  <si>
    <t>Le montant minimal des réserves se compose de l'ensemble de:</t>
  </si>
  <si>
    <t>The minimum level of reserves consists of the aggregate of:</t>
  </si>
  <si>
    <t>Gewinne sind positive, Verluste negative Grössen.</t>
  </si>
  <si>
    <t>Expected Shortfall des verteilungsbasierten Modells inkl. Szenarien</t>
  </si>
  <si>
    <t xml:space="preserve">  - für die Marktrisiken</t>
  </si>
  <si>
    <t xml:space="preserve">  - für die versicherungstechnischen Risiken</t>
  </si>
  <si>
    <t xml:space="preserve">  - pour les risques actuariels</t>
  </si>
  <si>
    <t xml:space="preserve">  - pour les risques de marché</t>
  </si>
  <si>
    <t>Expected Shortfall from distribution-based model incl. scenarios</t>
  </si>
  <si>
    <t xml:space="preserve">  - for the actuarial risks</t>
  </si>
  <si>
    <t xml:space="preserve">  - for the market risks</t>
  </si>
  <si>
    <t>Name of insurer:</t>
  </si>
  <si>
    <t>Marktnahe Gliederung der Aktiven und Passiven</t>
  </si>
  <si>
    <t>Division des actifs et des passifs proche du marché</t>
  </si>
  <si>
    <t>Market-consistent breakdown of assets and liabilities</t>
  </si>
  <si>
    <t>Wert in % aller Aktiven</t>
  </si>
  <si>
    <t>Assigned to business under KVG/LAMal</t>
  </si>
  <si>
    <t>Assigned to business under VVG/LCA</t>
  </si>
  <si>
    <t>Assigned to business under UVG/LAA</t>
  </si>
  <si>
    <t>Individual daily benefits insurance under KVG/LAMal</t>
  </si>
  <si>
    <t>Group daily benefits insurance under KVG/LAMal</t>
  </si>
  <si>
    <t>Active reinsurance under KVG/LAMal</t>
  </si>
  <si>
    <t>assigned to business under VVG/LCA</t>
  </si>
  <si>
    <t>assigned to business under UVG/LAA</t>
  </si>
  <si>
    <t>vorgesehene Dividenden und Kapitalrückzahlungen (-)</t>
  </si>
  <si>
    <t>Tax on real estate gains / real estate transfer tax associated with valuation reserves for real estate property (-)</t>
  </si>
  <si>
    <t>sonstige Abzüge (z.B. nicht anrechenbare konzerninterne Darlehen) (-)</t>
  </si>
  <si>
    <t>Other deductions (e.g. non-eligible intra-group loans) (-)</t>
  </si>
  <si>
    <t>Vorhandene Reserven</t>
  </si>
  <si>
    <t>of which non-KVG/LAMal components</t>
  </si>
  <si>
    <t>Vorhandene Reserven nach KVG</t>
  </si>
  <si>
    <t>Réserves disponibles d'après la LAMal</t>
  </si>
  <si>
    <t>Existing reserves under KVG/LAMal</t>
  </si>
  <si>
    <t>Facteur de risque (FR)</t>
  </si>
  <si>
    <t>Risikofaktor (RF)</t>
  </si>
  <si>
    <t>Änderungen der Reserven</t>
  </si>
  <si>
    <t>Modifications des réserves</t>
  </si>
  <si>
    <t>Changes to reserves</t>
  </si>
  <si>
    <t>Delta-äquivalente Änderung der Reserven = partielle Ableitung der Reserven nach den Risikofaktoren</t>
  </si>
  <si>
    <t>Modification équivalente à Delta des réserves = dérivation partielle des réserves en fonction des facteurs de risque</t>
  </si>
  <si>
    <t>Delta-equivalent change of reserves = partial derivation of reserves according to risk factors</t>
  </si>
  <si>
    <t>dem übrigen Geschäft zugeordnet</t>
  </si>
  <si>
    <t>attribué au reste de l'activité</t>
  </si>
  <si>
    <t>assigned to other business</t>
  </si>
  <si>
    <t>due to RF move</t>
  </si>
  <si>
    <t>Fremdwährungen</t>
  </si>
  <si>
    <t>Immobilien</t>
  </si>
  <si>
    <t>Monnaies étrangères</t>
  </si>
  <si>
    <t>Alle, ohne Zinssätze</t>
  </si>
  <si>
    <t>partial derivations of risk factors</t>
  </si>
  <si>
    <t>- Die Szenarienzeiträume beziehen sich auf Tagesendwerte.</t>
  </si>
  <si>
    <t>- Les effets sur les positions de dérivés doivent être saisis sous les "Actifs".</t>
  </si>
  <si>
    <t>- Les périodes des scénarios se réfèrent aux valeurs en fin de journée.</t>
  </si>
  <si>
    <t>- The scenario timeframes relate to end-of-day values.</t>
  </si>
  <si>
    <t>- Effects on embedded options are to be recognised under "Liabilities".</t>
  </si>
  <si>
    <t>- Effects on derivative positions are to be recognised under "Assets".</t>
  </si>
  <si>
    <t>- Les effets sur les options incorporées doivent être saisis sous les "Passifs".</t>
  </si>
  <si>
    <t>Änderung der Passiven</t>
  </si>
  <si>
    <t>Änderung der Aktiven</t>
  </si>
  <si>
    <t>Baisse des intérêts</t>
  </si>
  <si>
    <t>Zinsanstieg</t>
  </si>
  <si>
    <t>Zinssenkung</t>
  </si>
  <si>
    <t>Basisauslenkung</t>
  </si>
  <si>
    <t>Auslenkung / Basisauslenkung</t>
  </si>
  <si>
    <t>Auslenkung</t>
  </si>
  <si>
    <t>Änderung der Reserven</t>
  </si>
  <si>
    <t>Modification des réserves</t>
  </si>
  <si>
    <t>Delta-Gamma-Wert</t>
  </si>
  <si>
    <t>Valeur delta-gamma</t>
  </si>
  <si>
    <t>Delta-gamma value</t>
  </si>
  <si>
    <t>exakter Wert (inkl. sämtlicher nichtlinearer Effekte)</t>
  </si>
  <si>
    <t>Valeur exacte (tous les effets non linéaires compris)</t>
  </si>
  <si>
    <t>Exact value (including all non-linear effects)</t>
  </si>
  <si>
    <t xml:space="preserve">Change in assets </t>
  </si>
  <si>
    <t>Wert aus Sensitivität</t>
  </si>
  <si>
    <t>Valeur issue de sensibilité</t>
  </si>
  <si>
    <t>value from sensitivity</t>
  </si>
  <si>
    <t>BAG 0</t>
  </si>
  <si>
    <t>Szenario 1: Antiselektion</t>
  </si>
  <si>
    <t>Szenario 2: Proselektion</t>
  </si>
  <si>
    <t>Scénario 2: Prosélection</t>
  </si>
  <si>
    <t>Scenario 2: Pro-Selection</t>
  </si>
  <si>
    <t>Szenario 3: Unterreservierung</t>
  </si>
  <si>
    <t>Szenario 4: Konjunkturbaisse</t>
  </si>
  <si>
    <t>Szenario 5: Grippe-Pandemie</t>
  </si>
  <si>
    <t>Szenario 6: Systemstörung</t>
  </si>
  <si>
    <t>Veränderung der Aktiven</t>
  </si>
  <si>
    <t>Veränderung der Passiven</t>
  </si>
  <si>
    <t>Veränderung der Reserven</t>
  </si>
  <si>
    <t>Adolescents et adultes avec franchise annuelle à option de …</t>
  </si>
  <si>
    <t>Young people and adults with selectable annual excess of …</t>
  </si>
  <si>
    <t>Änderung der Reserven [Mio. CHF]</t>
  </si>
  <si>
    <t>Modification des réserves [Mio. CHF]</t>
  </si>
  <si>
    <t>Inputs für BAG-Szenarien</t>
  </si>
  <si>
    <t>Inputs pour les scénarios OFSP</t>
  </si>
  <si>
    <t>Inputs for FOPH Scenarios</t>
  </si>
  <si>
    <t>nicht kalkulierte Zusatzkosten pro proselektierte versicherte Person</t>
  </si>
  <si>
    <t>Les effets des scénarios ont en général un signe négatif.</t>
  </si>
  <si>
    <t>Auswirkungen der Szenarien haben in der Regel ein negatives Vorzeichen.</t>
  </si>
  <si>
    <t>As a rule, the effects of scenarios are shown as negative signs before the amount.</t>
  </si>
  <si>
    <t>Modèle analytique</t>
  </si>
  <si>
    <t>Analytical model</t>
  </si>
  <si>
    <t>Aggregation of scenarios</t>
  </si>
  <si>
    <t>Total après scénarios</t>
  </si>
  <si>
    <t>Aggregation nach Szenarien</t>
  </si>
  <si>
    <t>Modèle analytique 
= absence de scénario</t>
  </si>
  <si>
    <t>Analytical model 
= no scenario applies</t>
  </si>
  <si>
    <t>Negative signs with respect to changes: value declines; positive signs: value increases.</t>
  </si>
  <si>
    <t>Signe négatif devant les modifications: la valeur baisse; signe positif: la valeur augmente.</t>
  </si>
  <si>
    <t>negatives Vorzeichen der Änderungen: Wert nimmt ab; positives Vorzeichen: Wert nimmt zu.</t>
  </si>
  <si>
    <t>Cette feuille répertorie les effets des scénarios et certaines probabilités de survenance.</t>
  </si>
  <si>
    <t>Modifications des actifs</t>
  </si>
  <si>
    <t>Type d'assureur choisi</t>
  </si>
  <si>
    <t>"Änderung der Aktiven" = Wertveränderung der Aktiven aufgrund des Szenarios.</t>
  </si>
  <si>
    <t>"Modification des actifs" = modification de la valeur des actifs due au scénario.</t>
  </si>
  <si>
    <t>"Change in assets" = change in value of assets as a result of scenario.</t>
  </si>
  <si>
    <t>"Änderung der Passiven" = Wertveränderung der Passiven aufgrund des Szenarios.</t>
  </si>
  <si>
    <t>"Modification des passifs" = modification des passifs due au scénario.</t>
  </si>
  <si>
    <t>"Change in liabilities" = change in value of liabilities as a result of scenario.</t>
  </si>
  <si>
    <t>"Änderung der Reserven" = "Änderung der Aktiven" - "Änderung der Passiven"</t>
  </si>
  <si>
    <t>"Modification des réserves" = "Modification des actifs" - "Modification des passifs"</t>
  </si>
  <si>
    <t>"Change in reserves" = "Change in assets" - "Change in liabilities"</t>
  </si>
  <si>
    <t>gewählte Art des Versicherers</t>
  </si>
  <si>
    <t>Summe der risikogewichteten Positionen vor CRM</t>
  </si>
  <si>
    <t>Summe der risikogewichteten Positionen nach CRM</t>
  </si>
  <si>
    <t>Anlagenklasse</t>
  </si>
  <si>
    <t>Bewertungsreserven: (Marktwert Ende Vorjahr - Statutarischer Wert Ende Vorjahr)</t>
  </si>
  <si>
    <t>Bruttoprämien</t>
  </si>
  <si>
    <t>Primes brutes</t>
  </si>
  <si>
    <t>Gross premiums</t>
  </si>
  <si>
    <t>Revenue reductions</t>
  </si>
  <si>
    <t>Erlösminderungen</t>
  </si>
  <si>
    <t>Prämienanteile der passiven Rückversicherung</t>
  </si>
  <si>
    <t>Parts des primes dans la réassurance passive</t>
  </si>
  <si>
    <t>Premium components of passive reinsurance</t>
  </si>
  <si>
    <t>Benefits components of passive reinsurance</t>
  </si>
  <si>
    <t>Parts des prestations de la réassurance passive</t>
  </si>
  <si>
    <t>Leistungsanteile der passiven Rückversicherung</t>
  </si>
  <si>
    <t>Claim and benefits costs for own account</t>
  </si>
  <si>
    <t>Sinistres et prestations pour compte propre</t>
  </si>
  <si>
    <t>Schaden- und Leistungsaufwand für eigene Rechnung</t>
  </si>
  <si>
    <t xml:space="preserve">Volatilité annuelle </t>
  </si>
  <si>
    <t>Effets de l'optimisation des franchises:</t>
  </si>
  <si>
    <t>Risque actuariel</t>
  </si>
  <si>
    <t>Autres déductions (par ex. prêts au sein du groupe) (-)</t>
  </si>
  <si>
    <t>Volatilité historique des facteurs de risques (RF)</t>
  </si>
  <si>
    <t>historische Volatilität der Risikofaktoren (RF)</t>
  </si>
  <si>
    <t>Jährliche Volatilität</t>
  </si>
  <si>
    <t>6 Bourses et chambres de clearing</t>
  </si>
  <si>
    <t>Valeurs pour la seconde méthode possible (voir document technique du SST)</t>
  </si>
  <si>
    <t>Quote-part de tous les sinistres (en millions de CHF)</t>
  </si>
  <si>
    <t>Rendement actuariel attendu</t>
  </si>
  <si>
    <t>Expected Shortfall pour le risque d'assurance</t>
  </si>
  <si>
    <t>Expected Shortfall pour le risque de marché</t>
  </si>
  <si>
    <t>Expected Shortfall pour le risque de marché et d'assurance</t>
  </si>
  <si>
    <t>Addendum: Analytisches Modell und Szenarien</t>
  </si>
  <si>
    <t>Addenda: modèle analytique et scénarios</t>
  </si>
  <si>
    <t>Placements dans des institutions qui servent à la pratique de l'assurance-maladie sociale</t>
  </si>
  <si>
    <t>Autres engagements (comptes de régularisation compris)</t>
  </si>
  <si>
    <t xml:space="preserve">     Placements dans des institutions qui servent à la pratique de l'assurance-maladie sociale</t>
  </si>
  <si>
    <t>Le montant minimal des réserves est défini comme -ES.</t>
  </si>
  <si>
    <t>Δ Reserven</t>
  </si>
  <si>
    <t>Δ Réserves</t>
  </si>
  <si>
    <t>Δ Reserves</t>
  </si>
  <si>
    <t>Par conséquent la VaR (Value at Risk) et l'ES (Expected Shortfall) sont des quantités négatives.</t>
  </si>
  <si>
    <t>Anlagefonds</t>
  </si>
  <si>
    <t>andere Anlagen</t>
  </si>
  <si>
    <t>andere Aktiven</t>
  </si>
  <si>
    <t>Diminution des recettes</t>
  </si>
  <si>
    <t>saisir s.v.p.</t>
  </si>
  <si>
    <t>Volume total attendu des primes AOS de la branche</t>
  </si>
  <si>
    <t>Différences de réévaluation</t>
  </si>
  <si>
    <t xml:space="preserve">     Provisions de fluctuation et provisions de sécurité</t>
  </si>
  <si>
    <t>Provisions de vieillissement et capitaux de couverture</t>
  </si>
  <si>
    <t>Provisions de fluctuation et provisions de sécurité</t>
  </si>
  <si>
    <t>Modification des provisions de vieillissement et des capitaux de couverture</t>
  </si>
  <si>
    <t>Total (Eigenkapital bzw. Reserven)</t>
  </si>
  <si>
    <t>Total (capitaux propres ou réserves)</t>
  </si>
  <si>
    <t xml:space="preserve">     Provisions de vieillissement et capitaux de couverture</t>
  </si>
  <si>
    <t>Resultat: Variationskoeffizient des Zufallsrisikos</t>
  </si>
  <si>
    <t>Résultat: coefficient de variation du risque aléatoire</t>
  </si>
  <si>
    <t>Result: variation coefficient of random fluctuation risk</t>
  </si>
  <si>
    <r>
      <rPr>
        <sz val="12"/>
        <color indexed="8"/>
        <rFont val="Arial"/>
        <family val="2"/>
      </rPr>
      <t xml:space="preserve">Vko(S) = </t>
    </r>
    <r>
      <rPr>
        <sz val="12"/>
        <color indexed="8"/>
        <rFont val="Symbol"/>
        <family val="1"/>
        <charset val="2"/>
      </rPr>
      <t>s</t>
    </r>
    <r>
      <rPr>
        <sz val="12"/>
        <color indexed="8"/>
        <rFont val="Arial"/>
        <family val="2"/>
      </rPr>
      <t>(S)/E(S)</t>
    </r>
  </si>
  <si>
    <t xml:space="preserve">Rendement attendu du marché financier </t>
  </si>
  <si>
    <t>Immeubles</t>
  </si>
  <si>
    <t>Variation de base</t>
  </si>
  <si>
    <t>Baisse des monnaies étrangères</t>
  </si>
  <si>
    <t>Hausse des monnaies étrangères</t>
  </si>
  <si>
    <t>Verlustpotenzial durch Franchisenoptimierende</t>
  </si>
  <si>
    <t>Verlustpotenzial durch Wechselnde</t>
  </si>
  <si>
    <t xml:space="preserve">Potentiel de perte relative à l'optimisation des franchises </t>
  </si>
  <si>
    <t>Impôts sur les gains immobiliers et les mutations sur les réserves de réévaluation des terrains et constructions (-)</t>
  </si>
  <si>
    <t>Réserves de réévaluation: (valeur du marché à la fin de l'exercice précédent - valeur statutaire à la fin de l'exercice précédent)</t>
  </si>
  <si>
    <t>- Impôts sur les gains immobiliers et les mutations sur les réserves de réévaluation des terrains et constructions (-)</t>
  </si>
  <si>
    <t>Différences de réévaluation entre la valeur statutaire et celle proche du marché</t>
  </si>
  <si>
    <t>Autres positions (comptes de régularisation compris)</t>
  </si>
  <si>
    <t xml:space="preserve">     Autres engagements (comptes de régularisation compris)</t>
  </si>
  <si>
    <t>Variation du FR</t>
  </si>
  <si>
    <t>Variation</t>
  </si>
  <si>
    <t>Move</t>
  </si>
  <si>
    <t>Variation / Variation de la base</t>
  </si>
  <si>
    <t>FOPH number:</t>
  </si>
  <si>
    <t>Change in reserves [CHF m]</t>
  </si>
  <si>
    <t>Schwächung der Fremdwährungen</t>
  </si>
  <si>
    <t>Stärkung der Fremdwährungen</t>
  </si>
  <si>
    <t>Loss potential caused by excess optimisers</t>
  </si>
  <si>
    <t>Loss potential caused by switchers</t>
  </si>
  <si>
    <t>Probabilities according to FOPH</t>
  </si>
  <si>
    <t>Group daily benefits VVG/LCA</t>
  </si>
  <si>
    <t>KVG/LAMal daily benefits individual</t>
  </si>
  <si>
    <t>KVG/LAMal daily benefits group</t>
  </si>
  <si>
    <t>Active reinsurance KVG/LAMal</t>
  </si>
  <si>
    <t>Passive reinsurance KVG/LAMal</t>
  </si>
  <si>
    <t xml:space="preserve">   before reinsurance</t>
  </si>
  <si>
    <t>Aufgliederung der vorhandenen Reserven</t>
  </si>
  <si>
    <t>Répartition des réserves disponibles</t>
  </si>
  <si>
    <t>Categorisation of existing reserves</t>
  </si>
  <si>
    <t>TOTAL VORHANDENE RESERVEN</t>
  </si>
  <si>
    <t>TOTAL DES RÉSERVES DISPONIBLES</t>
  </si>
  <si>
    <t>TOTAL EXISTING RESERVES</t>
  </si>
  <si>
    <t>Umlegungen
REF</t>
  </si>
  <si>
    <t>Transferts
REF</t>
  </si>
  <si>
    <t>(indiquer ici le numéro de la ligne vers laquelle le transfert doit se faire.)</t>
  </si>
  <si>
    <t>Switches
REF</t>
  </si>
  <si>
    <t>(Provide the line reference to which the switch is due to take place.)</t>
  </si>
  <si>
    <t>Umlegungen
WERT</t>
  </si>
  <si>
    <t>Transferts
VALEUR</t>
  </si>
  <si>
    <t>(part de la colonne F à transférer)</t>
  </si>
  <si>
    <t>Switches
VALUE</t>
  </si>
  <si>
    <t>(proportion of column F to be switched)</t>
  </si>
  <si>
    <t>Weitere Umlegungen</t>
  </si>
  <si>
    <t>Autres transferts</t>
  </si>
  <si>
    <t>Other switches</t>
  </si>
  <si>
    <t>(Müssen sich gegenseitig kompensieren.)</t>
  </si>
  <si>
    <t>(Doivent se compenser.)</t>
  </si>
  <si>
    <t>(Must offset one another.)</t>
  </si>
  <si>
    <t>Kontrollzeile</t>
  </si>
  <si>
    <t>Ligne de contrôle</t>
  </si>
  <si>
    <t>Control Line</t>
  </si>
  <si>
    <t>Total des actifs - total des passifs = capital propre</t>
  </si>
  <si>
    <t>Aktiventotal - Passiventotal = Eigenkapital</t>
  </si>
  <si>
    <t>Assets total - liabilities total = equity capital</t>
  </si>
  <si>
    <t>(Hier Zeilenreferenz angeben, auf die umgelegt werden soll.)</t>
  </si>
  <si>
    <t>(umzulegender Anteil von Spalte F)</t>
  </si>
  <si>
    <t>Bewertungs-differenzen zwischen statutarischem und marktnahem Wert</t>
  </si>
  <si>
    <t>selected translation</t>
  </si>
  <si>
    <t>Additiver Beitrag zum Expected Shortfall der Gesamtverteilung [MCHF]</t>
  </si>
  <si>
    <t>Contribution additive pour Expected Shortfall de la distribution générale [MCHF]</t>
  </si>
  <si>
    <t>itération i</t>
  </si>
  <si>
    <t>Expected Shortfall für das Versicherungsrisiko</t>
  </si>
  <si>
    <t>Effets des personnes qui changent d'assureur:</t>
  </si>
  <si>
    <t>Instruments financiers dérivés (avoirs)</t>
  </si>
  <si>
    <t>Participations aux excédents</t>
  </si>
  <si>
    <t xml:space="preserve">     Report de primes, provisions pour participations futures aux excédents</t>
  </si>
  <si>
    <t>en cas de variation du FR</t>
  </si>
  <si>
    <t>Translation</t>
  </si>
  <si>
    <t>Die folgenden Farben werden den verschiedenen Bereichen des Solvenztests zugeordnet:</t>
  </si>
  <si>
    <t>Les couleurs suivantes sont affectées à:</t>
  </si>
  <si>
    <t>The following colors are assigned to:</t>
  </si>
  <si>
    <t>15b</t>
  </si>
  <si>
    <t>Best Estimate
proche du marché</t>
  </si>
  <si>
    <t>Translation data</t>
  </si>
  <si>
    <t>Übersetzungsdaten</t>
  </si>
  <si>
    <t>Données de traduction</t>
  </si>
  <si>
    <t>Sprache</t>
  </si>
  <si>
    <t>gewählte Sprache</t>
  </si>
  <si>
    <t>langue choisie</t>
  </si>
  <si>
    <t>langue</t>
  </si>
  <si>
    <t>gewählte Übersetzung</t>
  </si>
  <si>
    <t>traduction choisie</t>
  </si>
  <si>
    <t>feuille de calcul</t>
  </si>
  <si>
    <t>Arbeits-blatt</t>
  </si>
  <si>
    <t>work sheet</t>
  </si>
  <si>
    <t>Ageing provisions and cover capital</t>
  </si>
  <si>
    <t>Change in ageing provisions and cover capital</t>
  </si>
  <si>
    <t xml:space="preserve">     Ageing provisions and cover capital</t>
  </si>
  <si>
    <t xml:space="preserve">     Equalisation and guarantee provisions</t>
  </si>
  <si>
    <t>Vorhandene Reserven - Mindesthöhe der Reserven</t>
  </si>
  <si>
    <t>Vorhandene Reserven / Mindesthöhe der Reserven</t>
  </si>
  <si>
    <t>neue Blätter BAG0 bis BAG7 eingefügt</t>
  </si>
  <si>
    <t>neues Blatt 15b (Input Basel II) eingefügt</t>
  </si>
  <si>
    <t>Daten zur Übersetzung des Templates und sich darauf beziehende Verknüpfungen in die einzelnen Blätter</t>
  </si>
  <si>
    <t>diverse Blätter</t>
  </si>
  <si>
    <t>Anpassungen des Layouts</t>
  </si>
  <si>
    <t>Move / basic move</t>
  </si>
  <si>
    <t>Potentiel de perte relatif aux changements des assurés</t>
  </si>
  <si>
    <t>Premiums earned after reinsurance</t>
  </si>
  <si>
    <t>avg. gross premiums</t>
  </si>
  <si>
    <t>Anpassungen der Dokumentation und Umstellung auf das Berichtsjahr 2012</t>
  </si>
  <si>
    <t>neues Blatt 4b (Translation) eingefügt</t>
  </si>
  <si>
    <t>Standardabweichung [MCHF]</t>
  </si>
  <si>
    <t>Ecart type [MCHF]</t>
  </si>
  <si>
    <t>Standard deviation [MCHF]</t>
  </si>
  <si>
    <t>Allgemeine Arbeitsblätter</t>
  </si>
  <si>
    <t>Feuilles de calcul générales</t>
  </si>
  <si>
    <t>general worksheets</t>
  </si>
  <si>
    <t>Actions et placements analogues</t>
  </si>
  <si>
    <t xml:space="preserve">5 Communautés d'institutions </t>
  </si>
  <si>
    <t>5 Communautés d'institutions</t>
  </si>
  <si>
    <t>Risikogewicht 1250% (ohne ungeratete Positionen)</t>
  </si>
  <si>
    <t>Rendement</t>
  </si>
  <si>
    <t>Capital Charge for Credit Risk (CHF m)</t>
  </si>
  <si>
    <t>Blätter 16-36 und 40 gelöscht</t>
  </si>
  <si>
    <t>diese Blätter sind für den KVG-Solvenztest nicht relevant</t>
  </si>
  <si>
    <t>Wiederherstellung der Kompatibilität mit Excel 2003</t>
  </si>
  <si>
    <t>Umstellung auf das Berichtsjahr 2013</t>
  </si>
  <si>
    <t>Korrektur minimer Fehler: Berechnung der Combined Ratio (Zellen G9 bis G16); Einfügung der Abzüge (Zelle I100)</t>
  </si>
  <si>
    <t>Korrektur minimer Fehler: Summierung der Umlegungen (Zellen H137 bis H139)</t>
  </si>
  <si>
    <t>Korrektur minimer Fehler: Berechnung des Kernkapitals (Zelle E12)</t>
  </si>
  <si>
    <t>Source: calculations by FINMA (for CHF: based on SNB data; for all other currencies: based on Bloomberg data).</t>
  </si>
  <si>
    <t>Aktualisierung der Werte per 31.12.2012 für Zero-Coupon-Raten, Wechselkurse, Volatilitäten (ausser WUPIX A) und Korrelationsmatrix (ausser WUPIX A)</t>
  </si>
  <si>
    <t>Blatt 42 (Balance Sheets)</t>
  </si>
  <si>
    <t>Blatt 43 (Existing Reserves)</t>
  </si>
  <si>
    <t>Blätter 5 (Parameters) und 11 (Market Risk [Delta Normal])</t>
  </si>
  <si>
    <t>Blatt 1 (Introduction)</t>
  </si>
  <si>
    <t>Fundamentaldaten ergänzt (Umlegungen aus Blatt 42)</t>
  </si>
  <si>
    <t>Nachtrag vom 11.02.2013:</t>
  </si>
  <si>
    <t>Ecart type de la compensation des risques</t>
  </si>
  <si>
    <t>Standard deviation of the risk compensation</t>
  </si>
  <si>
    <t>Korrelation zwischen Risikoausgleich und Schaden- und Leistungsaufwand ohne Risikoausgleich</t>
  </si>
  <si>
    <t>Corrélations entre la compensation des risques et les sinistres et prestations (sans compensation des risques)</t>
  </si>
  <si>
    <t>Correlations between the risk compensation and the claim and benefits costs (excl. risk compensation)</t>
  </si>
  <si>
    <t>Standardabweichung des versicherungstechnischen Risikos</t>
  </si>
  <si>
    <t>Ecart type du risque actuariel</t>
  </si>
  <si>
    <t>Standard deviation of the insurance-related risk</t>
  </si>
  <si>
    <t>Standardabweichung des Schaden- und Leistungsaufwands (ohne Risikoausgleich)</t>
  </si>
  <si>
    <t>Ecart type des sinistres et prestations (sans compensation des risques)</t>
  </si>
  <si>
    <t>Standard deviation of the claim and benefits costs (excl. risk compensation)</t>
  </si>
  <si>
    <t>avg. risk compensation</t>
  </si>
  <si>
    <t>Δ risk compensation</t>
  </si>
  <si>
    <t>Umstellung auf das Berichtsjahr 2014;  neue Version</t>
  </si>
  <si>
    <t>Beifügung Zeile mit Datum, Ort und Unterschrift</t>
  </si>
  <si>
    <t>Ort und Datum:</t>
  </si>
  <si>
    <t>Unterschrift:</t>
  </si>
  <si>
    <t>Lieu et date:</t>
  </si>
  <si>
    <t>Signature:</t>
  </si>
  <si>
    <t>Place and date:</t>
  </si>
  <si>
    <t>Nachtrag vom 1.12.2013:</t>
  </si>
  <si>
    <t>Anpassung der Fundamentaldaten</t>
  </si>
  <si>
    <t>Blatt 4b(Translation)</t>
  </si>
  <si>
    <t>Anpassung Übersetzung</t>
  </si>
  <si>
    <t>Methode bis und mit 2012</t>
  </si>
  <si>
    <t>aktuelle Methode</t>
  </si>
  <si>
    <t xml:space="preserve">Standardabweichung des Risikoausgleichs </t>
  </si>
  <si>
    <t>ab 2014 nicht mehr</t>
  </si>
  <si>
    <t>Entfernung Zeile Rückstellungsveränderung Leistungen (da sowieso = 0)</t>
  </si>
  <si>
    <t>Anpassung Formel  Szenario Konjunkturbaisse an Änderung 35</t>
  </si>
  <si>
    <t>CHF Zeros  2 Y</t>
  </si>
  <si>
    <t>EUR Zeros  2 Y</t>
  </si>
  <si>
    <t>USD Zeros  3 Y</t>
  </si>
  <si>
    <t>GBP Zeros  2 Y</t>
  </si>
  <si>
    <t>Implizite Zinsvolatilität</t>
  </si>
  <si>
    <t>Credit Spread USA   AAA</t>
  </si>
  <si>
    <t>Credit Spread USA   AA</t>
  </si>
  <si>
    <t>Credit Spread USA   A</t>
  </si>
  <si>
    <t>Credit Spread USA   BBB</t>
  </si>
  <si>
    <t>Credit Spread   BB</t>
  </si>
  <si>
    <t>Credit Spread Europa   AA</t>
  </si>
  <si>
    <t>Credit Spread Europa   A</t>
  </si>
  <si>
    <t>Credit Spread Europa   BBB</t>
  </si>
  <si>
    <t>Swap-Government Spread</t>
  </si>
  <si>
    <t>Wechselkurs   EUR/CHF</t>
  </si>
  <si>
    <t>Wechselkurs   USD/CHF</t>
  </si>
  <si>
    <t>Wechselkurs   GBP/CHF</t>
  </si>
  <si>
    <t>Wechselkurs   JPY/CHF</t>
  </si>
  <si>
    <t xml:space="preserve">Implizite FX-Volatilität </t>
  </si>
  <si>
    <t>Aktien Schweiz</t>
  </si>
  <si>
    <t>Aktien EMU</t>
  </si>
  <si>
    <t>Aktien USA</t>
  </si>
  <si>
    <t>Aktien Grossbritannien</t>
  </si>
  <si>
    <t>Aktien Japan</t>
  </si>
  <si>
    <t>Implizite Aktienvolatilität</t>
  </si>
  <si>
    <t>Hedgefonds</t>
  </si>
  <si>
    <t>direkte Wohnimmobilien Schweiz</t>
  </si>
  <si>
    <t>Immobilienfonds Schweiz</t>
  </si>
  <si>
    <t>direkte Geschäftsimmobilien Schweiz</t>
  </si>
  <si>
    <t>10 Y</t>
  </si>
  <si>
    <t>30 Y</t>
  </si>
  <si>
    <t>Moody's USD Credit Spread</t>
  </si>
  <si>
    <t>Bloomberg USD Credit Spread</t>
  </si>
  <si>
    <t>beruhend auf CHF-Markt</t>
  </si>
  <si>
    <t>beruhend auf USD/CHF 3M ATM-Optionen</t>
  </si>
  <si>
    <t>Default: HFRIFOF</t>
  </si>
  <si>
    <t>Default: LPXIDITR</t>
  </si>
  <si>
    <t>Default: Rüd Blass</t>
  </si>
  <si>
    <t>Gesamtstandardabweichung ohne Beteiligung in Mio CHF</t>
  </si>
  <si>
    <t>Gesamtstandardabweichung mit Beteiligung in Mio CHF</t>
  </si>
  <si>
    <t>Credit Spreads USA</t>
  </si>
  <si>
    <t>Credit Spread</t>
  </si>
  <si>
    <t>Wechselkurs</t>
  </si>
  <si>
    <t>A</t>
  </si>
  <si>
    <t xml:space="preserve"> BB</t>
  </si>
  <si>
    <t>Schweiz</t>
  </si>
  <si>
    <t>EMU</t>
  </si>
  <si>
    <t>USA</t>
  </si>
  <si>
    <t>Grossbritannien</t>
  </si>
  <si>
    <t>Japan</t>
  </si>
  <si>
    <t>BB</t>
  </si>
  <si>
    <t>Swap-Govt-Spread</t>
  </si>
  <si>
    <t>Wechsel-kurs</t>
  </si>
  <si>
    <t>Implizite FX-Volatilität</t>
  </si>
  <si>
    <t>Implementation neues Modells (neu: Zeilennr: 87,89, 92)</t>
  </si>
  <si>
    <t>Blatt 9 (Sensitivitäten Delta Market)</t>
  </si>
  <si>
    <t>Anpassung  Risikofaktoren an SST Finma</t>
  </si>
  <si>
    <t>Blatt 11 (Market Risk)</t>
  </si>
  <si>
    <t xml:space="preserve">Anpassung Risikofaktoren an SST Finma </t>
  </si>
  <si>
    <t>Risikoausgleich</t>
  </si>
  <si>
    <t>Risk compensation</t>
  </si>
  <si>
    <t>Compensation des risques</t>
  </si>
  <si>
    <t>Risk_Compensation</t>
  </si>
  <si>
    <t xml:space="preserve">Risikoausgleich </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</si>
  <si>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</si>
  <si>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</si>
  <si>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</si>
  <si>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</si>
  <si>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</si>
  <si>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</si>
  <si>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</si>
  <si>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</si>
  <si>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</si>
  <si>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</si>
  <si>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</si>
  <si>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</si>
  <si>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</si>
  <si>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</si>
  <si>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</si>
  <si>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</si>
  <si>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</si>
  <si>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</si>
  <si>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</si>
  <si>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</si>
  <si>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</si>
  <si>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</si>
  <si>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</si>
  <si>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</si>
  <si>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</si>
  <si>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</si>
  <si>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M</t>
  </si>
  <si>
    <t>19 - 25</t>
  </si>
  <si>
    <t>26 - 30</t>
  </si>
  <si>
    <t>31 - 35</t>
  </si>
  <si>
    <t>36 - 40</t>
  </si>
  <si>
    <t>41 - 45</t>
  </si>
  <si>
    <t>46 - 50</t>
  </si>
  <si>
    <t>51 - 55</t>
  </si>
  <si>
    <t>56 - 60</t>
  </si>
  <si>
    <t>61 - 65</t>
  </si>
  <si>
    <t>66 - 70</t>
  </si>
  <si>
    <t>71 - 75</t>
  </si>
  <si>
    <t>76 - 80</t>
  </si>
  <si>
    <t>81 - 85</t>
  </si>
  <si>
    <t>86 - 90</t>
  </si>
  <si>
    <t xml:space="preserve">91 - </t>
  </si>
  <si>
    <t>Legende</t>
  </si>
  <si>
    <t>Légende</t>
  </si>
  <si>
    <t>Legend</t>
  </si>
  <si>
    <t>Risikogruppe</t>
  </si>
  <si>
    <t>Groupe de risques</t>
  </si>
  <si>
    <t>Risk group</t>
  </si>
  <si>
    <t>Geschlecht</t>
  </si>
  <si>
    <t>Sexe</t>
  </si>
  <si>
    <t>Sex</t>
  </si>
  <si>
    <t>Alter</t>
  </si>
  <si>
    <t>Age</t>
  </si>
  <si>
    <t>Hospitalisation</t>
  </si>
  <si>
    <t>Ja</t>
  </si>
  <si>
    <t>Oui</t>
  </si>
  <si>
    <t>Yes</t>
  </si>
  <si>
    <t>Nein</t>
  </si>
  <si>
    <t>Non</t>
  </si>
  <si>
    <t>No</t>
  </si>
  <si>
    <t>Risiko-gruppe</t>
  </si>
  <si>
    <t>Summe</t>
  </si>
  <si>
    <t>Somme</t>
  </si>
  <si>
    <t>Sum</t>
  </si>
  <si>
    <t xml:space="preserve">Kanton </t>
  </si>
  <si>
    <t>Canton</t>
  </si>
  <si>
    <t xml:space="preserve">Canton </t>
  </si>
  <si>
    <t xml:space="preserve">Dieser Input muss zwingenderweise ebenfalls im Blatt Übersicht des Templates Risikoausgleich eingetragen werden. </t>
  </si>
  <si>
    <t>This input has to be filled in the sheet "Übersicht" from the Template risk compensation for the KVG/LAMal Solvency Test.</t>
  </si>
  <si>
    <t>In the Template risk compensation the standard deviation from the risk compensation is calculated. This number has to be filled then in the sheet HE_Insurance_Risk.</t>
  </si>
  <si>
    <t>Cet input doit être introduit aussi dans la feuille "Übersicht" du modèle compensation des risques pour le test de solvabilité LAMal.</t>
  </si>
  <si>
    <t>Blatt 36 (Risk_Compensation)</t>
  </si>
  <si>
    <t>Erstellung Blatt Risikoausgleich</t>
  </si>
  <si>
    <t>Dans le modèle compensation des risques est calculé l'écart-type de la compensation des risques. Ce nombre doit être introduit dans la feuille HE_Insurance_Risk.</t>
  </si>
  <si>
    <t>Im Template Risikoausgleich wird die Standardabweichung des Risikoausgleichs berechnet. Diese muss dann im Blatt HE_Insurance_Risk im entsprechenden Feld eingetragen werden.</t>
  </si>
  <si>
    <t>Anpassen der Szenarien an Risikofaktoren SST Finma</t>
  </si>
  <si>
    <t>Blatt 12(Szenarien_RiskFactors)</t>
  </si>
  <si>
    <t>Values in CHF million</t>
  </si>
  <si>
    <t>Umstellung auf das Berichtsjahr 2015</t>
  </si>
  <si>
    <t>Nachtrag vom 1.12.2014:</t>
  </si>
  <si>
    <t>Bestand</t>
  </si>
  <si>
    <t>Blatt 37(Insurance Risk)</t>
  </si>
  <si>
    <t>minimale Anpassung Formel Zufallsrisiko Einzeltaggeld</t>
  </si>
  <si>
    <t>Input Basel III</t>
  </si>
  <si>
    <t>Input Bâle III</t>
  </si>
  <si>
    <t>Standardansatz Basel III SA-BIZ - Vereinfachter Ansatz</t>
  </si>
  <si>
    <t>Approche standard Bâle III AS-BRI - approche simplifiée</t>
  </si>
  <si>
    <t>Standardised approach Basel III SA-BIS - simplified approach</t>
  </si>
  <si>
    <t>Risikogewicht 150%</t>
  </si>
  <si>
    <t>Pondération du risque 150%</t>
  </si>
  <si>
    <t>Risk weighting 150%</t>
  </si>
  <si>
    <t>Risikogewicht 2%</t>
  </si>
  <si>
    <t>Pondération du risque 2%</t>
  </si>
  <si>
    <t>Risk weighting 2%</t>
  </si>
  <si>
    <t>Achtung: Wiederverbriefungen sind mit anderen Risikogewichten zu berücksichtigen als einfache Verbriefungen!</t>
  </si>
  <si>
    <t>Risikogewicht 40%</t>
  </si>
  <si>
    <t>Pondération du risque 40%</t>
  </si>
  <si>
    <t>Risk weighting 40%</t>
  </si>
  <si>
    <t>Risikogewicht 225%</t>
  </si>
  <si>
    <t>Pondération du risque 225%</t>
  </si>
  <si>
    <t>Risk weighting 225%</t>
  </si>
  <si>
    <t>Risikogewicht 650%</t>
  </si>
  <si>
    <t>Pondération du risque 650%</t>
  </si>
  <si>
    <t>Risk weighting 650%</t>
  </si>
  <si>
    <t>Direkt und indirekt grundpfandgesicherte Positionen: Wohnliegenschaften in der Schweiz und im Ausland, über 80% des Verkehrswertes</t>
  </si>
  <si>
    <t xml:space="preserve">Positions garanties directement et indirectement par des gages immobiliers: objets d'habitation en Suisse et à l'étranger, au-delà de 80% de la valeur vénale </t>
  </si>
  <si>
    <t xml:space="preserve">Directly and indirectly mortgage-backed positions: properties in Switzerland and abroad, more than 80% of market value </t>
  </si>
  <si>
    <t>Directly and indirectly mortgage-backed positions: properties in Switzerland and abroad, more than two thirds of market value up to 80% of market value</t>
  </si>
  <si>
    <t>Nachrangige Positionen gegenüber öffentlichrechtlichen Körperschaften, deren Risikogewicht nach Anhang 2  (SA-BIZ) höchstens 50 % beträgt</t>
  </si>
  <si>
    <t xml:space="preserve">Positions subordonnées sur des corporations de droit public, dont la pondération du risque selon l'annexe 2 
 (AS-BRI) ne dépasse pas 50% </t>
  </si>
  <si>
    <t>Subordinated positions vis-à-vis public sector entities where the risk weighting according to Appendix 2 (SA-BIS) amounts to a maximum of 50%</t>
  </si>
  <si>
    <t>Die um die Einzelwertberichtigungen korrigierten Positionen nach Ziffer 3.1, wobei grundpfandgesicherte Positionen nach den Ziffern 3.2-3.4 als unbesichert gelten</t>
  </si>
  <si>
    <t>Positions selon chiffre 3.1, ajustées à concurrence des correctifs de valeurs individuels. Les positions garanties par des gages immobiliers selon chiffres 3.2 à 3.4 sont réputées non couvertes</t>
  </si>
  <si>
    <t>Positions corrected for individual value adjustments according to Point 3.1, where mortgage-backed positions according to Points 3.2 - 3.4 are considered uncollateralised</t>
  </si>
  <si>
    <t>Nachtrag vom 1.01.2016:</t>
  </si>
  <si>
    <t>ab 2016 nicht mehr</t>
  </si>
  <si>
    <t>Aktualisierung mit Basel III</t>
  </si>
  <si>
    <t>Blatt 15, 15b (Kreditrisiko)</t>
  </si>
  <si>
    <t>Umstellung auf das Berichtsjahr 2016</t>
  </si>
  <si>
    <t>Aktualisierung der Auslenkung der Szenarien: Finanzkrise 2008, Aktienmarktcrash und LTCM</t>
  </si>
  <si>
    <t>Blatt 12 (Szenarien Risk_Faktors)</t>
  </si>
  <si>
    <t>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t>
  </si>
  <si>
    <t>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t>
  </si>
  <si>
    <t>Liquidités, sans position sous dans la feuille "classe de positions", A) 6.2</t>
  </si>
  <si>
    <t>Liquid assets, without positions from the sheet "position classes" A) 6.2.</t>
  </si>
  <si>
    <t>Blatt 8 (Berechnung der vorhandenen Reserven)</t>
  </si>
  <si>
    <t>B40</t>
  </si>
  <si>
    <t>Umbenennung Vorhandene Reserven nach KVG auf Vorhandene Reserven nach KVG und UVG</t>
  </si>
  <si>
    <t>E40</t>
  </si>
  <si>
    <t>Formel anpassen, UVG Reserven werden neu auch zu den Vorhandenen Reserven gezählt</t>
  </si>
  <si>
    <t>Blatt 9 (Delta-Sensitivitäten)</t>
  </si>
  <si>
    <t>A7:AD13</t>
  </si>
  <si>
    <t>Beschriftung anpassen: UVG Aktiven und Passiven werden neu wie KVG berücksichtigt</t>
  </si>
  <si>
    <t>Zeile 9</t>
  </si>
  <si>
    <t>Kommentare anpassen</t>
  </si>
  <si>
    <t>BAG3 (Szenario 3: Unterreservierung)</t>
  </si>
  <si>
    <t>I19</t>
  </si>
  <si>
    <t>Formel anpassen aus der marktnahen Bilanz fliessen neu auch die UVG Rückstellungen in dieses Szenario.</t>
  </si>
  <si>
    <t xml:space="preserve">Blatt 43 </t>
  </si>
  <si>
    <t>E105</t>
  </si>
  <si>
    <t>Formel anpassen, UVG bleiben in den vorhandenen Reserven.</t>
  </si>
  <si>
    <t>Blatt 38</t>
  </si>
  <si>
    <t>E10:E15</t>
  </si>
  <si>
    <t>Formel anpassen, UVG Marktwerte gehören auch dazu</t>
  </si>
  <si>
    <t>Blatt 37</t>
  </si>
  <si>
    <t>J17</t>
  </si>
  <si>
    <t>Umbennen in UVG</t>
  </si>
  <si>
    <t>J65:85</t>
  </si>
  <si>
    <t>Varibilität Formatierungen, Formeln einfügen</t>
  </si>
  <si>
    <t>J92;U92;U21:U57</t>
  </si>
  <si>
    <t>UVG ebenfalls summieren</t>
  </si>
  <si>
    <t>Z17</t>
  </si>
  <si>
    <t>Name anpassen in Total KVG inkl. UVG und VVG</t>
  </si>
  <si>
    <t>A19</t>
  </si>
  <si>
    <t>Umbenennung versicherungstechnische Rückstellungen KVG und  UVG</t>
  </si>
  <si>
    <t>U17</t>
  </si>
  <si>
    <t>Umbennenung Total KVG inkl. UVG</t>
  </si>
  <si>
    <t>Blatt 39</t>
  </si>
  <si>
    <t>D 103</t>
  </si>
  <si>
    <t>Umbennung in VVG (KVG-fremde Anteile)</t>
  </si>
  <si>
    <t>D103:K103</t>
  </si>
  <si>
    <t>Herausnahme von UVG (Zeile 139 in Funktion)</t>
  </si>
  <si>
    <t>Ergänzung Korrelationsmatrix</t>
  </si>
  <si>
    <t>Vorhandene Reserven nach KVG und UVG ohne VVG</t>
  </si>
  <si>
    <t>Réserves disponibles d'après la LAMal et LAA sans LCA</t>
  </si>
  <si>
    <t>Existing reserves under KVG/LAMal and UVG/LAA without VVG/LCA</t>
  </si>
  <si>
    <t>Reserven nach KVG und UVG</t>
  </si>
  <si>
    <t>Réserves d'après la LAMal et LAA</t>
  </si>
  <si>
    <t>Reserves under KVG/LAMal et UVG/LAA</t>
  </si>
  <si>
    <t>Änderungen der dem KVG- und UVG-Geschäft zugeordneten Aktiven</t>
  </si>
  <si>
    <t>Modifications des actifs attribués à l'activité LAMal et LAA</t>
  </si>
  <si>
    <t>Changes to assets assigned to KVG/LAMal and UVG/LAA business</t>
  </si>
  <si>
    <t>Änderungen der dem KVG- und UVG Geschäft zugeordneten Passiven</t>
  </si>
  <si>
    <t>Modifications des passifs attribués à l'activité LAMal et LAA</t>
  </si>
  <si>
    <t>Changes to liabilities assigned to KVG/LAMal and UVG/LAA business</t>
  </si>
  <si>
    <t>Änderungen der dem KVG- und UVG Geschäft zugeordneten Reserven</t>
  </si>
  <si>
    <t>Modifications des réserves attribuées à l'activité LAMal et LAA</t>
  </si>
  <si>
    <t>Changes to reserves assigned to KVG/LAMal et UVG/LAA business</t>
  </si>
  <si>
    <t>dem KVG- und UVG Geschäft zugeordnet</t>
  </si>
  <si>
    <t>attribué à l'activité LAMal et UVG</t>
  </si>
  <si>
    <t>assigned to KVG/LAMal and UVG/LAA business</t>
  </si>
  <si>
    <t>Direkt und indirekt grundpfandgesicherte Positionen: Wohnliegenschaften in der Schweiz und im Ausland, bis zwei Drittel des Verkehrswertes, welche die „Richtlinie betreffend Mindestanforderungen bei Hypothekarfinanzierung“ der Schweizerischen Bankiervereinigung einhalten.</t>
  </si>
  <si>
    <t>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t>
  </si>
  <si>
    <t xml:space="preserve">Flüssige Mittel, jedoch ohne Positionen unter Blatt "Positionsklassen",  A.) 6.2  </t>
  </si>
  <si>
    <t>UVG/LAA</t>
  </si>
  <si>
    <t>Total KVG inkl. UVG</t>
  </si>
  <si>
    <t>Total LAMal et LAA</t>
  </si>
  <si>
    <t>Total KVG/LAMal and UVG/LAA</t>
  </si>
  <si>
    <t>Total KVG inkl. UVG und VVG</t>
  </si>
  <si>
    <t>Total LAMal (LAA et LCA compris)</t>
  </si>
  <si>
    <t>Total KVG/LAMal incl. UVG/LAA and VVG/LCA</t>
  </si>
  <si>
    <t>VVG Anteile</t>
  </si>
  <si>
    <t>Parts LCA</t>
  </si>
  <si>
    <t>VVG/LCA components</t>
  </si>
  <si>
    <t>- sonstige Abzüge (z.B. nicht anrechenbare konzerninterne Darlehen) (-)</t>
  </si>
  <si>
    <t>F99:R105</t>
  </si>
  <si>
    <t>Blatt 43</t>
  </si>
  <si>
    <t xml:space="preserve">Blatt 8 </t>
  </si>
  <si>
    <t>E10:E32</t>
  </si>
  <si>
    <t>Kollektiv VVG</t>
  </si>
  <si>
    <t xml:space="preserve"> collectives LCA</t>
  </si>
  <si>
    <t>Group  VVG/LCA</t>
  </si>
  <si>
    <t>E68:E89</t>
  </si>
  <si>
    <t>ausblenden, Formeln anpassen: Kernkapital entspricht neu Diff. Aktiven und Passiven; Vorhandene Reserven entspricht neu Kernkapital</t>
  </si>
  <si>
    <t>Einzel VVG</t>
  </si>
  <si>
    <t xml:space="preserve"> individuelle LCA</t>
  </si>
  <si>
    <t>Individual  VVG/LCA</t>
  </si>
  <si>
    <t>Anzahl Versicherte 2017</t>
  </si>
  <si>
    <t>Bruttoprämien 2017</t>
  </si>
  <si>
    <t>Kreditrisiko (festgelegt im Basel-III-Ansatz)</t>
  </si>
  <si>
    <t>Risque de crédit (déterminé par l'approche Bâle III)</t>
  </si>
  <si>
    <t>Credit Risk (determined by Basel III approach)</t>
  </si>
  <si>
    <t xml:space="preserve"> individuelles LCA</t>
  </si>
  <si>
    <t xml:space="preserve"> LAA</t>
  </si>
  <si>
    <t xml:space="preserve"> UVG/LAA</t>
  </si>
  <si>
    <t>Umstellung auf Berichtsjahr 2017</t>
  </si>
  <si>
    <t>collectives LAA</t>
  </si>
  <si>
    <t>Group VVG/LCA</t>
  </si>
  <si>
    <t xml:space="preserve"> individuelles LAA</t>
  </si>
  <si>
    <t>Individual VVG/LCA</t>
  </si>
  <si>
    <t>Risikofaktor Spread EU AAA gelöscht in den entsprechenden Blätter</t>
  </si>
  <si>
    <t>Blatt 9, 11, 12</t>
  </si>
  <si>
    <t>Entsprechende Zeile/Spalte</t>
  </si>
  <si>
    <t>Credit Spread AAA</t>
  </si>
  <si>
    <t>nicht mehr ab 2017</t>
  </si>
  <si>
    <t>Umstellung auf das Berichtsjahr 2018</t>
  </si>
  <si>
    <t>INSGESAMT</t>
  </si>
  <si>
    <t>Einzelschadenrückversicherung (GR Rückversicherung)</t>
  </si>
  <si>
    <t xml:space="preserve">Selbstbehalt Einzelschaden </t>
  </si>
  <si>
    <t>(Aus Blatt BAG 37)</t>
  </si>
  <si>
    <t>Gesamtleistungslimite</t>
  </si>
  <si>
    <t>Geplante Ø Anzahl Versicherte 2018 gemäss Strategie der Krankenkasse (ohne Zusammenschlüsse/Fusionen)</t>
  </si>
  <si>
    <t>Bruttoneueintritte</t>
  </si>
  <si>
    <t>nicht kalkulierte Zusatzkosten in Prozent</t>
  </si>
  <si>
    <t>nicht kalkulierte Zusatzkosten Total</t>
  </si>
  <si>
    <t>unterjährige Neueintritte</t>
  </si>
  <si>
    <t>Anzahl unterjährige Neueintritte in Prozent</t>
  </si>
  <si>
    <t>Anzahl unterjährige Neueintritte</t>
  </si>
  <si>
    <t>Hochkostenfälle</t>
  </si>
  <si>
    <t>GR Versicherung</t>
  </si>
  <si>
    <t>Selbstbehalt</t>
  </si>
  <si>
    <t>davon Anteil Hochkostenfälle in Prozent</t>
  </si>
  <si>
    <t>davon Anteil Hochkostenfälle absolut</t>
  </si>
  <si>
    <t>Zusatzkosten pro Hochkostenfall</t>
  </si>
  <si>
    <t>Zusatzkosten pro Hochkostenfall nach Rückversicherung</t>
  </si>
  <si>
    <t>Gesamtleistung der Rückversicherung</t>
  </si>
  <si>
    <t>Eintrittswahrscheinlichkeit 0%</t>
  </si>
  <si>
    <t>TOTAL Mengenausweitung</t>
  </si>
  <si>
    <t>Mengenausweitung gemäss Szenario</t>
  </si>
  <si>
    <t>Erhöhung Taggeldbezugsdauer</t>
  </si>
  <si>
    <t>BAG 9</t>
  </si>
  <si>
    <t>Bezahlt von UV</t>
  </si>
  <si>
    <t>Anzahl Betroffene</t>
  </si>
  <si>
    <t>Erwarteter Schadenaufwand</t>
  </si>
  <si>
    <t>Zusatzkosten TOTAL</t>
  </si>
  <si>
    <t>xi 
[MCHF]</t>
  </si>
  <si>
    <t>xi -xi-1
[MCHF]</t>
  </si>
  <si>
    <t>Zunahme Hochkostenfälle</t>
  </si>
  <si>
    <t>Proselektierte Versicherte 2018</t>
  </si>
  <si>
    <t>Anzahl Versicherte 2016</t>
  </si>
  <si>
    <t>Bruttoprämien 2016</t>
  </si>
  <si>
    <t>Risikoausgleich 2016</t>
  </si>
  <si>
    <t>Anzahl Erkrankte 2016</t>
  </si>
  <si>
    <t>nicht mehr mit neuen Szenarien</t>
  </si>
  <si>
    <t>Nachtrag vom 20.11.2017</t>
  </si>
  <si>
    <t>erwarteter Schadenaufwand  (Blatt 37)</t>
  </si>
  <si>
    <t>nicht mehr seit 2017</t>
  </si>
  <si>
    <t>Abgaben negativ/Beiträge positiv</t>
  </si>
  <si>
    <t>Nettoleistungen sind negativ</t>
  </si>
  <si>
    <t>1.20*durchschnittliche Nettoleistung Branche</t>
  </si>
  <si>
    <t>K Kapazität (Mio. CHF)</t>
  </si>
  <si>
    <t>P Priorität   (Mio. CHF)</t>
  </si>
  <si>
    <t>phi(P+K)</t>
  </si>
  <si>
    <t>PHI(P+K)</t>
  </si>
  <si>
    <t xml:space="preserve">    D</t>
  </si>
  <si>
    <t>phi(P)</t>
  </si>
  <si>
    <t>PHI(P)</t>
  </si>
  <si>
    <t>durchschn. NL inkl. RA pro Versicherten</t>
  </si>
  <si>
    <t xml:space="preserve">BAG 1: ungünstige Risikostruktur des Neugeschäfts </t>
  </si>
  <si>
    <t>BAG 2: unerwartete Zunahme Hochkostenfälle</t>
  </si>
  <si>
    <t>BAG 5: Unterreservierung</t>
  </si>
  <si>
    <t>BAG 6: Konjunkturbaisse</t>
  </si>
  <si>
    <t>BAG 7: Grippe-Pandemie</t>
  </si>
  <si>
    <t>BAG 8-11</t>
  </si>
  <si>
    <t>Nachtrag vom 16.10.2018</t>
  </si>
  <si>
    <t>Zufallsrisiko</t>
  </si>
  <si>
    <t>Zufallsrisiko des Risikoausgleichs</t>
  </si>
  <si>
    <t>Variationskoeffizient Parameterrisiko</t>
  </si>
  <si>
    <t>Standardabweichung Parameterrisiko</t>
  </si>
  <si>
    <t>Standardabweichung Zufallsrisiko</t>
  </si>
  <si>
    <t>Erwartungswert Risikoausgleich</t>
  </si>
  <si>
    <t xml:space="preserve">Anzahl Versicherte, Bruttoneueintritte und deren Risikoausgleich und Leistungen </t>
  </si>
  <si>
    <t>OKP EU</t>
  </si>
  <si>
    <t>Risikoausgleich pro Risikoklasse in Mio. CHF</t>
  </si>
  <si>
    <t>Nombre d'assurés, nombre brut de nouveaux assurés, compensation des risques et prestations</t>
  </si>
  <si>
    <t>AU TOTAL</t>
  </si>
  <si>
    <t>Redevances négatives/contributions positives</t>
  </si>
  <si>
    <t>Les prestations nettes sont négatives</t>
  </si>
  <si>
    <t>Réassurance pour le sinistre individuel (réassurance pour les gros risques)</t>
  </si>
  <si>
    <t xml:space="preserve">Franchise sinistre individuel </t>
  </si>
  <si>
    <t>(Feuille 37)</t>
  </si>
  <si>
    <t>Niveau du risque couvert</t>
  </si>
  <si>
    <t>BAG 1: Structure de risque défavorable</t>
  </si>
  <si>
    <t>Montant brut des nouveaux assurés</t>
  </si>
  <si>
    <t>Montant moyen des prestations nettes (CdR inclus) par assuré</t>
  </si>
  <si>
    <t>1.20*moyenne des prestations nettes de la branche</t>
  </si>
  <si>
    <t>Coûts supplémentaires non calculés au total</t>
  </si>
  <si>
    <t>Dieses Szenario wird berücksichtigt</t>
  </si>
  <si>
    <t>Dieses Szenario wird nicht berücksichtigt</t>
  </si>
  <si>
    <t>Ce scénario est pris en compte</t>
  </si>
  <si>
    <t>Ce scénario n'est pas pris en compte</t>
  </si>
  <si>
    <t>Nouveaux assurés en cours d'année</t>
  </si>
  <si>
    <t>Hausse des nouveaux assurés en cours d'année en pourcent</t>
  </si>
  <si>
    <t>Nombre de nouveaux assurés</t>
  </si>
  <si>
    <t>Coûts supplémentaires non calculés en pourcent</t>
  </si>
  <si>
    <t>BAG 2: augmentation inattendue de cas très coûteux</t>
  </si>
  <si>
    <t>Cas très coûteux</t>
  </si>
  <si>
    <t>Part des cas très coûteux en pourcent</t>
  </si>
  <si>
    <t>Nombre de cas très coûteux</t>
  </si>
  <si>
    <t>Coûts supplémentaires par cas très coûteux</t>
  </si>
  <si>
    <t>Coûts supplémentaires par cas très coûteux après réassurance</t>
  </si>
  <si>
    <t>Niveau de risque couvert par la réassurance</t>
  </si>
  <si>
    <t>Franchise</t>
  </si>
  <si>
    <t>Assurance gros risques</t>
  </si>
  <si>
    <t>RA geschätzt aus Anzahl Nettoleistungsfreier Versicherten und RA für Franchise 2500</t>
  </si>
  <si>
    <t>CdR estimée à partir du nombre d'assurés sans prestations nettes et CdR des assurés avec une franchise de 2500 francs</t>
  </si>
  <si>
    <t>Probabilité 0%</t>
  </si>
  <si>
    <t>BAG 5: Provisionnement insuffisant</t>
  </si>
  <si>
    <t>BAG 5: Underestimation of actuarial provisions</t>
  </si>
  <si>
    <t>(aus Blatt 7)</t>
  </si>
  <si>
    <t>BAG 6: Baisse de la conjoncture</t>
  </si>
  <si>
    <t>BAG 6: Economic downturn</t>
  </si>
  <si>
    <t>(Feuille 7)</t>
  </si>
  <si>
    <t>Einzel-Taggeld</t>
  </si>
  <si>
    <t>Indemnités journalières individuelles</t>
  </si>
  <si>
    <t>Individual daily benefits</t>
  </si>
  <si>
    <t>Kollektiv-Taggeld</t>
  </si>
  <si>
    <t>Indemnités journalières collectives</t>
  </si>
  <si>
    <t>Group daily benefits</t>
  </si>
  <si>
    <t>Expansion des quantités conformément au scénario</t>
  </si>
  <si>
    <t>Volume expansion according to scenario</t>
  </si>
  <si>
    <t>Hausse de la durée de perception des indemnités</t>
  </si>
  <si>
    <t>Expansion des quantités au TOTAL</t>
  </si>
  <si>
    <t>TOTAL de l'expansion des quantités</t>
  </si>
  <si>
    <t>BAG 7: Pandemic Influenza</t>
  </si>
  <si>
    <t>Nombre de concernés</t>
  </si>
  <si>
    <t xml:space="preserve">Number of affected persons </t>
  </si>
  <si>
    <t>BAG 7: Grippe et pandémie</t>
  </si>
  <si>
    <t>Payé par l'AA</t>
  </si>
  <si>
    <t>Charge de sinistres attendue</t>
  </si>
  <si>
    <t>Coûts supplémentaires au TOTAL</t>
  </si>
  <si>
    <t>Structure de risque défavorable</t>
  </si>
  <si>
    <t>Augmentation de cas très coûteux</t>
  </si>
  <si>
    <t>Coefficient de variation des prestations individuelles</t>
  </si>
  <si>
    <t>Risque aléatoire</t>
  </si>
  <si>
    <t>Espérence mathématique de la compensation des risques</t>
  </si>
  <si>
    <t>Ecart type du risque aléatoire</t>
  </si>
  <si>
    <t>Ecart type du risque de paramètre</t>
  </si>
  <si>
    <t>Compensation des risques par groupe de risques en millions de CHF</t>
  </si>
  <si>
    <t>Risque aléatoire de la compensation des risques</t>
  </si>
  <si>
    <t>Taux attendu de la compensation des risques, par mois en CHF</t>
  </si>
  <si>
    <t xml:space="preserve">Number of insured, gross no. of new entrants and their risk compensation and benefits </t>
  </si>
  <si>
    <t>Net benefits are negative</t>
  </si>
  <si>
    <t>Levies negative/contributions positive</t>
  </si>
  <si>
    <t>Individual claims reinsurance (bulk risk reinsurance)</t>
  </si>
  <si>
    <t xml:space="preserve">Deductible individual claim </t>
  </si>
  <si>
    <t>(from sheet BAG 37)</t>
  </si>
  <si>
    <t>Level of risk covered</t>
  </si>
  <si>
    <t xml:space="preserve">BAG 1: Unfavourable risk structure of new business </t>
  </si>
  <si>
    <t>unfavourable risk structure</t>
  </si>
  <si>
    <t>Gross new entrants</t>
  </si>
  <si>
    <t>new entrants during the year</t>
  </si>
  <si>
    <t>Average net benefits (RC incl.) per insured</t>
  </si>
  <si>
    <t>New entrants during the year in percent</t>
  </si>
  <si>
    <t>1.20*average net benefits in sector</t>
  </si>
  <si>
    <t>non-calculated additional costs in total</t>
  </si>
  <si>
    <t>non-calculated additional costs in percent</t>
  </si>
  <si>
    <t>This scenario is taken into account</t>
  </si>
  <si>
    <t>This scenario is not taken into account</t>
  </si>
  <si>
    <t>BAG 2: unexpected increase in high-cost cases</t>
  </si>
  <si>
    <t>Increase in high-cost cases</t>
  </si>
  <si>
    <t>High-cost cases</t>
  </si>
  <si>
    <t>of which proportion of high-cost cases in percent</t>
  </si>
  <si>
    <t>of which proportion of high-cost cases (absolute)</t>
  </si>
  <si>
    <t>Additional costs per high-cost case</t>
  </si>
  <si>
    <t>Additional costs per high-cost case after reinsurance</t>
  </si>
  <si>
    <t>Level of risk covered by reinsurance</t>
  </si>
  <si>
    <t>Excess</t>
  </si>
  <si>
    <t>Bulk risk insurance</t>
  </si>
  <si>
    <t>RC estimated based on number of insured with no net benefits and RC for excess of 2500</t>
  </si>
  <si>
    <t>Probability 0%</t>
  </si>
  <si>
    <t>(from sheet 7)</t>
  </si>
  <si>
    <t>Paid by AI</t>
  </si>
  <si>
    <t>Expected claims expenses</t>
  </si>
  <si>
    <t>TOTAL additional costs</t>
  </si>
  <si>
    <t>Coefficient of variation of individual benefits</t>
  </si>
  <si>
    <t>Random risk</t>
  </si>
  <si>
    <t>Expected value risk compensation</t>
  </si>
  <si>
    <t>Standard deviation of random risk</t>
  </si>
  <si>
    <t>Standard deviation parameter risk</t>
  </si>
  <si>
    <t>Coefficient of variation parameter risk</t>
  </si>
  <si>
    <t>estimated risk compensation rates, per month in CHF</t>
  </si>
  <si>
    <t>Random risk of risk compensation</t>
  </si>
  <si>
    <t>estimated average inventory per risk class for previous year</t>
  </si>
  <si>
    <t>Risk compensation per risk class in CHF m</t>
  </si>
  <si>
    <t>CHF Zeros  10 Y</t>
  </si>
  <si>
    <t>CHF Zeros  30 Y</t>
  </si>
  <si>
    <t>EUR Zeros  10 Y</t>
  </si>
  <si>
    <t>EUR Zeros  30 Y</t>
  </si>
  <si>
    <t>USD Zeros  10 Y</t>
  </si>
  <si>
    <t>USD Zeros  30 Y</t>
  </si>
  <si>
    <t>GBP Zeros  10 Y</t>
  </si>
  <si>
    <t>GBP Zeros  30 Y</t>
  </si>
  <si>
    <t>Credit Spread Europa   Govi unter AAA</t>
  </si>
  <si>
    <t>direkte Wohnimmobilienimmobilien Schweiz</t>
  </si>
  <si>
    <t>EUGO Spread</t>
  </si>
  <si>
    <t>CH CANT Spread</t>
  </si>
  <si>
    <t>CH CORP Spred</t>
  </si>
  <si>
    <t>Standardabweichung für RF1 - RF39</t>
  </si>
  <si>
    <t>direkte Geschäftsimmobilien Schweiz RF41</t>
  </si>
  <si>
    <t>direkte Wohnimmobilien Schweiz RF40</t>
  </si>
  <si>
    <t>Default: Skalierter Rüd Blass</t>
  </si>
  <si>
    <t>+100% / -0%</t>
  </si>
  <si>
    <t>Default: USSN1010</t>
  </si>
  <si>
    <t>nicht mehr ab 2020</t>
  </si>
  <si>
    <t>CHF Zeros 3 Y</t>
  </si>
  <si>
    <t>CHF Zeros 4 Y</t>
  </si>
  <si>
    <t>CHF Zeros 5 Y</t>
  </si>
  <si>
    <t>CHF Zeros 6 Y</t>
  </si>
  <si>
    <t>CHF Zeros 8 Y</t>
  </si>
  <si>
    <t>CHF Zeros 7 Y</t>
  </si>
  <si>
    <t>CHF Zeros 9 Y</t>
  </si>
  <si>
    <t>CHF Zeros 13-17 Y</t>
  </si>
  <si>
    <t>CHF Zeros 18-24 Y</t>
  </si>
  <si>
    <t>EUR Zeros 3 Y</t>
  </si>
  <si>
    <t>EUR Zeros 4 Y</t>
  </si>
  <si>
    <t>EUR Zeros 5 Y</t>
  </si>
  <si>
    <t>EUR Zeros 6 Y</t>
  </si>
  <si>
    <t>EUR Zeros 7 Y</t>
  </si>
  <si>
    <t>EUR Zeros 8 Y</t>
  </si>
  <si>
    <t>EUR Zeros 9 Y</t>
  </si>
  <si>
    <t>EUR Zeros 13-17 Y</t>
  </si>
  <si>
    <t>EUR Zeros 18-24 Y</t>
  </si>
  <si>
    <t>GBP Zeros 3 Y</t>
  </si>
  <si>
    <t>GBP Zeros 4 Y</t>
  </si>
  <si>
    <t>GBP Zeros 5 Y</t>
  </si>
  <si>
    <t>GBP Zeros 6 Y</t>
  </si>
  <si>
    <t>GBP Zeros 7 Y</t>
  </si>
  <si>
    <t>GBP Zeros 8 Y</t>
  </si>
  <si>
    <t>GBP Zeros 9 Y</t>
  </si>
  <si>
    <t>GBP Zeros 13-17 Y</t>
  </si>
  <si>
    <t>GBP Zeros 18-24 Y</t>
  </si>
  <si>
    <t>USD Zeros 3 Y</t>
  </si>
  <si>
    <t>USD Zeros 4 Y</t>
  </si>
  <si>
    <t>USD Zeros 5 Y</t>
  </si>
  <si>
    <t>USD Zeros 6 Y</t>
  </si>
  <si>
    <t>USD Zeros 7 Y</t>
  </si>
  <si>
    <t>USD Zeros 8 Y</t>
  </si>
  <si>
    <t>USD Zeros 9 Y</t>
  </si>
  <si>
    <t>USD Zeros 13-17 Y</t>
  </si>
  <si>
    <t>USD Zeros 18-24 Y</t>
  </si>
  <si>
    <t>Aktien Pazifik ohne Japan</t>
  </si>
  <si>
    <t>Aktien EMU Small Cap</t>
  </si>
  <si>
    <t>Nachtrag vom 07.12.2018</t>
  </si>
  <si>
    <t>PCG</t>
  </si>
  <si>
    <t>36a</t>
  </si>
  <si>
    <t xml:space="preserve">PCG-Zuschlag pro Monat in CHF </t>
  </si>
  <si>
    <t>ABH</t>
  </si>
  <si>
    <t>Sucht ohne Nikotin</t>
  </si>
  <si>
    <t>ADH</t>
  </si>
  <si>
    <t>ADHS</t>
  </si>
  <si>
    <t>AIK</t>
  </si>
  <si>
    <t>Autoimmunkrankheiten</t>
  </si>
  <si>
    <t>ALZ</t>
  </si>
  <si>
    <t>Alzheimer</t>
  </si>
  <si>
    <t>AST</t>
  </si>
  <si>
    <t>Asthma</t>
  </si>
  <si>
    <t>BSR</t>
  </si>
  <si>
    <t>Bipolare Störung regulär</t>
  </si>
  <si>
    <t>CAR</t>
  </si>
  <si>
    <t>Herzleiden</t>
  </si>
  <si>
    <t>COP</t>
  </si>
  <si>
    <t>COPD / Schweres Asthma</t>
  </si>
  <si>
    <t>DEP</t>
  </si>
  <si>
    <t>Depression</t>
  </si>
  <si>
    <t>DM1</t>
  </si>
  <si>
    <t>Diabetes Typ-I</t>
  </si>
  <si>
    <t>DM2</t>
  </si>
  <si>
    <t>Diabetes Typ-2</t>
  </si>
  <si>
    <t>EPI</t>
  </si>
  <si>
    <t>Epilepsie</t>
  </si>
  <si>
    <t>GLA</t>
  </si>
  <si>
    <t>Glaukom</t>
  </si>
  <si>
    <t>HCH</t>
  </si>
  <si>
    <t>Hohes Cholesterin</t>
  </si>
  <si>
    <t>HIV</t>
  </si>
  <si>
    <t>HIV / AIDS</t>
  </si>
  <si>
    <t>KHO</t>
  </si>
  <si>
    <t>Hormonsensitive Tumore</t>
  </si>
  <si>
    <t>KRE</t>
  </si>
  <si>
    <t>Krebs</t>
  </si>
  <si>
    <t>KRK</t>
  </si>
  <si>
    <t>Krebs komplex</t>
  </si>
  <si>
    <t>MCR</t>
  </si>
  <si>
    <t>Morbus Crohn / Colitis ulcerosa</t>
  </si>
  <si>
    <t>MSK</t>
  </si>
  <si>
    <t>Multiple Sklerose</t>
  </si>
  <si>
    <t>NIE</t>
  </si>
  <si>
    <t>Nierenerkrankung</t>
  </si>
  <si>
    <t>PAH</t>
  </si>
  <si>
    <t>Pulmonale (arterielle) Hypertonie</t>
  </si>
  <si>
    <t>PAR</t>
  </si>
  <si>
    <t>Morbus Parkinson</t>
  </si>
  <si>
    <t>PSO</t>
  </si>
  <si>
    <t>Psoriasis</t>
  </si>
  <si>
    <t>PSY</t>
  </si>
  <si>
    <t>Psychose</t>
  </si>
  <si>
    <t>RHE</t>
  </si>
  <si>
    <t>Rheuma</t>
  </si>
  <si>
    <t>SMC</t>
  </si>
  <si>
    <t>Chronische Schmerzen ohne Opioide</t>
  </si>
  <si>
    <t>SMN</t>
  </si>
  <si>
    <t>Neuropathischer Schmerz</t>
  </si>
  <si>
    <t>THY</t>
  </si>
  <si>
    <t>Schilddrüsenerkrankungen</t>
  </si>
  <si>
    <t>TRA</t>
  </si>
  <si>
    <t>Transplantationen</t>
  </si>
  <si>
    <t>WAS</t>
  </si>
  <si>
    <t>Wachstumsstörung</t>
  </si>
  <si>
    <t>ZFP</t>
  </si>
  <si>
    <t>Zystische Fibrose / Pankreasenzyme</t>
  </si>
  <si>
    <t>ZNS</t>
  </si>
  <si>
    <t>Krankheiten des ZN ohne Multiple Sklerose</t>
  </si>
  <si>
    <t>DM2 + hyp</t>
  </si>
  <si>
    <t>Diabetes Typ-2 mit Bluthochdruck</t>
  </si>
  <si>
    <t>Standardabweichung Risikoausgleich</t>
  </si>
  <si>
    <t>Variations-koeffizienten der Einzelleistungen</t>
  </si>
  <si>
    <t>Entlastung der jungen Erwachsenen bzw. Zusatzbelastung der Erwachsenen in CHF pro Monat</t>
  </si>
  <si>
    <t>Zahlungen der jungen Erwachsenen der Gesamtbranche in den Risikoausgleich in Mio. CHF</t>
  </si>
  <si>
    <t>Bestände des Versicherers</t>
  </si>
  <si>
    <t>Entlastungen bzw. Belastungen des Versicherers in Mio. CHF</t>
  </si>
  <si>
    <t>Risk_Compensation_calc</t>
  </si>
  <si>
    <t>Risikoausgleich pro PCG in Mio. CHF</t>
  </si>
  <si>
    <t>Compensation des risques par PCG en millions de CHF</t>
  </si>
  <si>
    <t>Risk compensation per PCG in CHF m</t>
  </si>
  <si>
    <t>Risikoausgleich der jungen Erwachsenen pro PCG in Mio. CHF</t>
  </si>
  <si>
    <t>Random risk of risk classes</t>
  </si>
  <si>
    <t>Random risk of PCG</t>
  </si>
  <si>
    <t>Risque aléatoire des PCG</t>
  </si>
  <si>
    <t>Zufallsrisiko der PCG</t>
  </si>
  <si>
    <t>Zufallsrisiko der Risikoausgleichsklassen</t>
  </si>
  <si>
    <t>Risque aléatoire des groupes de risques</t>
  </si>
  <si>
    <t>Bestand der Gesamtbranche</t>
  </si>
  <si>
    <t>Ewachsene</t>
  </si>
  <si>
    <t>alpha k,r</t>
  </si>
  <si>
    <t>beta k,p</t>
  </si>
  <si>
    <t>Entlastung der jungen Erwachsenen</t>
  </si>
  <si>
    <t>Hilfsgrösse für weitere Berechnungen</t>
  </si>
  <si>
    <t>Umstellung auf das Jahr 2020</t>
  </si>
  <si>
    <t>Überarbeitung der BAG Szenarien</t>
  </si>
  <si>
    <t>BAG0- BAG 11, Senarios, Health_Scen_Aggregation, Szenarien_für RiskFactors</t>
  </si>
  <si>
    <t>Blatt 35, 36, 36a, 37</t>
  </si>
  <si>
    <t>Überarbeitung RA-Risko und Zufallsrisiko der Nettoleistungen</t>
  </si>
  <si>
    <t>Überarbeitung StoppLoss Rückversicherung</t>
  </si>
  <si>
    <t>Parametrisierung Risikoausgleich</t>
  </si>
  <si>
    <t>n*kr(JE)/n*kr</t>
  </si>
  <si>
    <t>Überarbeitung Marktrisiko</t>
  </si>
  <si>
    <t>Effectif attendu par groupe de risques pour l'exercice précèdent</t>
  </si>
  <si>
    <t>geschätzte Risikoausgleichssätze, pro Monat in CHF (ohne Entlastung junge Erwachsene)</t>
  </si>
  <si>
    <t>direkte Immobilien Schweiz RF40 &amp; RF41</t>
  </si>
  <si>
    <t>USD Zeros  2 Y</t>
  </si>
  <si>
    <t>Addiction sans nicotine</t>
  </si>
  <si>
    <t>Asthme</t>
  </si>
  <si>
    <t>BOPC/asthme aigu</t>
  </si>
  <si>
    <t>Cancer</t>
  </si>
  <si>
    <t>Maladies cardiaques</t>
  </si>
  <si>
    <t>Cancer complexe</t>
  </si>
  <si>
    <t>Tumeurs hormono-dépendantes</t>
  </si>
  <si>
    <t>Trouble de la croissance</t>
  </si>
  <si>
    <t>TDAH</t>
  </si>
  <si>
    <t>Douleurs chroniques sans opioïdes</t>
  </si>
  <si>
    <t>Dépression</t>
  </si>
  <si>
    <t>Diabète de type 1</t>
  </si>
  <si>
    <t>Diabète de type 2</t>
  </si>
  <si>
    <t>Diabète de type 2 avec hypertension</t>
  </si>
  <si>
    <t>Douleur neuropathique</t>
  </si>
  <si>
    <t>Épilepsie</t>
  </si>
  <si>
    <t>Fibrose cystique / enzymes pancréa-tiques</t>
  </si>
  <si>
    <t>Glaucome</t>
  </si>
  <si>
    <t>Cholestérol élevé</t>
  </si>
  <si>
    <t>Maladies auto-immunes</t>
  </si>
  <si>
    <t>Maladie de Crohn / colite ulcéreuse</t>
  </si>
  <si>
    <t>Néphropathie</t>
  </si>
  <si>
    <t>Hypertension (artérielle) pulmonaire</t>
  </si>
  <si>
    <t>Rhumatisme</t>
  </si>
  <si>
    <t>Maladies du système nerveux central sans sclérose en plaques</t>
  </si>
  <si>
    <t>Sclérose en plaques</t>
  </si>
  <si>
    <t>Trouble bipolaire ordinaire</t>
  </si>
  <si>
    <t>Parkinson</t>
  </si>
  <si>
    <t>Maladie thyroïdienne</t>
  </si>
  <si>
    <t>Transplantations</t>
  </si>
  <si>
    <t>VIH / sida</t>
  </si>
  <si>
    <t>Vorhandene_Reserven</t>
  </si>
  <si>
    <t>Gliederung_VorRes_Stat_Marktnah</t>
  </si>
  <si>
    <t>Parametrisation risk compensation</t>
  </si>
  <si>
    <t>Supplément pour PCG par mois en CHF</t>
  </si>
  <si>
    <t>Compensation des risques des jeunes adultes par PCG en millions de CHF</t>
  </si>
  <si>
    <t>Effectif de l'ensemble de la branche</t>
  </si>
  <si>
    <t>Paiement des jeunes adultes de l'ensemble de la branche pour la compensation des risques en millions de CHF</t>
  </si>
  <si>
    <t>Adultes</t>
  </si>
  <si>
    <t>Jeunes adultes</t>
  </si>
  <si>
    <t>Allègement de la compensation des risques pour les jeunes adultes resp. charge additionnelle des adultes par mois en millions de CHF</t>
  </si>
  <si>
    <t>Effectifs de l'assureur</t>
  </si>
  <si>
    <t>Allègement resp. charge additionnelle de l'assureur en millions de CHF</t>
  </si>
  <si>
    <t>Allègement de la compensation des risques pour les jeunes adultes</t>
  </si>
  <si>
    <t>Moyenne de groupe modifiée</t>
  </si>
  <si>
    <t>Modifizierte Gruppendurchschnitte</t>
  </si>
  <si>
    <t>Geschätzter Durchschnittsbestand pro Risikoklasse für das Vorjahr</t>
  </si>
  <si>
    <t>Paramétrisation compensation des risques</t>
  </si>
  <si>
    <t>Addiction without nicotine</t>
  </si>
  <si>
    <t xml:space="preserve">Attention deficit hyperactivity disorder </t>
  </si>
  <si>
    <t>Autoimmune diseases</t>
  </si>
  <si>
    <t>Alzheimer's disease</t>
  </si>
  <si>
    <t>Bipolar mood disorder regular</t>
  </si>
  <si>
    <t>Heart diseases</t>
  </si>
  <si>
    <t>Chronic obstructive pulmonary disease / Severe asthma</t>
  </si>
  <si>
    <t>Diabetes type 1</t>
  </si>
  <si>
    <t>Diabetes type 2</t>
  </si>
  <si>
    <t>Epilepsy</t>
  </si>
  <si>
    <t>Glaucoma  </t>
  </si>
  <si>
    <t>Hyperlipidaemia</t>
  </si>
  <si>
    <t>Hormone-sensitive cancer</t>
  </si>
  <si>
    <t>Cancer complex</t>
  </si>
  <si>
    <t>Crohn's disease / Ulcerative colitis</t>
  </si>
  <si>
    <t>Multiple sclerosis</t>
  </si>
  <si>
    <t>Chronic renal disease  </t>
  </si>
  <si>
    <t>Pulmonary arterial hypertension</t>
  </si>
  <si>
    <t>Parkinson's disease</t>
  </si>
  <si>
    <t>Psychosis</t>
  </si>
  <si>
    <t>Rheumatic disorder</t>
  </si>
  <si>
    <t>Chronic pain without opioids</t>
  </si>
  <si>
    <t>Neuropathic pain</t>
  </si>
  <si>
    <t>Thyroid disorders</t>
  </si>
  <si>
    <t>Growth disorders</t>
  </si>
  <si>
    <t>Cystic fibrosis / Pancreatic enzymes</t>
  </si>
  <si>
    <t>Central nervous system disorders without multiple sclerosis</t>
  </si>
  <si>
    <t>Diabetes type 2 and hypertension</t>
  </si>
  <si>
    <t xml:space="preserve">PCG surcharge per month in CHF </t>
  </si>
  <si>
    <t>Risk compensation of young adults per PCG in CHF m</t>
  </si>
  <si>
    <t>Payments by young adults in the sector into risk compensation in CHF m</t>
  </si>
  <si>
    <t>Junge Erwachsene</t>
  </si>
  <si>
    <t>Young adults</t>
  </si>
  <si>
    <t>Inventory of the sector</t>
  </si>
  <si>
    <t>Adults</t>
  </si>
  <si>
    <t>Modified group averages</t>
  </si>
  <si>
    <t>Relief for young adults or additional charge for adults in CHF per month</t>
  </si>
  <si>
    <t>Relief resp. additional charge of the insurer in CHF m</t>
  </si>
  <si>
    <t>Inventory of the insurer</t>
  </si>
  <si>
    <t>Relief for young adults</t>
  </si>
  <si>
    <t>durchschnittlicher Aufwand (Konto 4) pro Versicherten</t>
  </si>
  <si>
    <t>Coûts moyen des dépenses actuarielles (compte 4) par assuré</t>
  </si>
  <si>
    <t>average costs (account 4) per insured</t>
  </si>
  <si>
    <t>(Aus Blatt Risk_Compensation übertragen)</t>
  </si>
  <si>
    <t>(Intégrer de la feuille de calcul Risk_Compensation)</t>
  </si>
  <si>
    <t>(Transfer from sheet Risk_Compensation)</t>
  </si>
  <si>
    <t>P priorité (millions CHF)</t>
  </si>
  <si>
    <t>P priority (CHF m)</t>
  </si>
  <si>
    <t>K portée (millions CHF)</t>
  </si>
  <si>
    <t>K capacity (CHF m)</t>
  </si>
  <si>
    <t>Standard deviation of risk compensation</t>
  </si>
  <si>
    <t>Credit Spread CH Pfandbriefe und Govi-related</t>
  </si>
  <si>
    <t>Credit Spread CH Corporates</t>
  </si>
  <si>
    <t>nicht mehr seit 2020</t>
  </si>
  <si>
    <t>Blatt 35, 37</t>
  </si>
  <si>
    <t>Überarbeitung Zufallsrisiko (Einschluss von Grossrisiko Rückversicherung)</t>
  </si>
  <si>
    <t>Blatt 12</t>
  </si>
  <si>
    <t>Überarbeitung Auslenkung "Implizite FX-Volatilität" und "Implizite Aktienvolatilität"</t>
  </si>
  <si>
    <t>Überarbeitung Finanzmarktrendite</t>
  </si>
  <si>
    <t>Erwartete Anzahl Versicherte (Durschnittbestand)</t>
  </si>
  <si>
    <t>Nombre attendu d'assurés (effectif moyen)</t>
  </si>
  <si>
    <t>Expected number of insured (average inventory)</t>
  </si>
  <si>
    <t>Umstellung auf das Jahr 2021</t>
  </si>
  <si>
    <t>Umstellung auf das Jahr 2022</t>
  </si>
  <si>
    <t>Blatt BAG-0</t>
  </si>
  <si>
    <t xml:space="preserve">Kommentar in der Zeile A14 angepasst. </t>
  </si>
  <si>
    <t>Blatt BAG-1</t>
  </si>
  <si>
    <t xml:space="preserve">Durchschnittliche Nettoleistunge der Branche angepasst. </t>
  </si>
  <si>
    <t>Blatt 35</t>
  </si>
  <si>
    <t>Update des Vektors der Variationskoeffizienten der Einzelleistungen</t>
  </si>
  <si>
    <t>Blatt 36, 36a</t>
  </si>
  <si>
    <t>Update der relevanten RA Matrizen / RA Vektoren</t>
  </si>
  <si>
    <t>Blatt 4b</t>
  </si>
  <si>
    <t>Anpassung des Datums</t>
  </si>
  <si>
    <t>Update der Zelle A8</t>
  </si>
  <si>
    <t>Nettoleistungsfreie Versicherte T-1 mit Franchise 300 ohne Modelle</t>
  </si>
  <si>
    <t>Geschätzter Durchschnittsbestand pro Risikoklasse für das Jahr T</t>
  </si>
  <si>
    <t>Geschätzter Durchschnittsbestand pro PCG für das Jahr  T</t>
  </si>
  <si>
    <t>Geplante Ø Anzahl Versicherte T+1 gemäss Strategie der Krankenkasse (ohne Zusammenschlüsse/Fusionen)</t>
  </si>
  <si>
    <t>Ø Anzahl Versicherte T mit Unfalleinschluss</t>
  </si>
  <si>
    <t>Update der Zelle M79 (sonstige Leistungen nicht berücksichtigt)</t>
  </si>
  <si>
    <t>Blatt Intro</t>
  </si>
  <si>
    <t>Umstellung auf das Jahr 2023</t>
  </si>
  <si>
    <t>Blatt Inputparameter</t>
  </si>
  <si>
    <t>Blatt BAG 1-3</t>
  </si>
  <si>
    <t>Durchschnittliche Nettoleistung der Branche (Quelle: KV Statistik 2021 T02.3)</t>
  </si>
  <si>
    <t>Blatt BAG 8-11</t>
  </si>
  <si>
    <t>Erwartetes gesamtes OKP-Prämienvolumen der Branche (Quelle: KV Statistik T03.6) / Update der Zeile A8</t>
  </si>
  <si>
    <t>Erwartete Anzahl Versicherte OKP der Branche (KV Statistik T07.1) / Update der Zeile C8</t>
  </si>
  <si>
    <t>Blatt Inputparam</t>
  </si>
  <si>
    <t>Zinskurven und Wechselkurse wurden upgedatet</t>
  </si>
  <si>
    <t>Anpassung des Szenarios "unerwartete Zunahme Hochkostenfälle" (Zeilen C28 - C29)</t>
  </si>
  <si>
    <t>Blatt Market_Risk (Delta Normal)</t>
  </si>
  <si>
    <t>Umstellung auf das Jahr 2024</t>
  </si>
  <si>
    <t>Durchschnittliche Nettoleistung der Branche (Quelle: KV Statistik 2022 T02.3)</t>
  </si>
  <si>
    <t xml:space="preserve">Update der Korrelationsmatrix unter historischen Volatilitäten der Risikofaktoren </t>
  </si>
  <si>
    <t>Zins&amp;fx</t>
  </si>
  <si>
    <t>Blatt BAG 0</t>
  </si>
  <si>
    <t xml:space="preserve">Warnhinweis wenn Anzahl Versicherte unterschiedlich im Vergleich zu Blatt Nettoleistungen_NL </t>
  </si>
  <si>
    <t>RA Sätze</t>
  </si>
  <si>
    <t>CH</t>
  </si>
  <si>
    <t>Facteur de coûts relatif à la structure cantonale des assurés</t>
  </si>
  <si>
    <t>BAG Scenarios</t>
  </si>
  <si>
    <t>Scénarios OFSP</t>
  </si>
  <si>
    <t>Scenarios BAG</t>
  </si>
  <si>
    <t>BAG Szenarien</t>
  </si>
  <si>
    <t>BAG_Szenarien</t>
  </si>
  <si>
    <t>Montants moyens de prestations nettes et compensation des risques (NL+RA) par franchise</t>
  </si>
  <si>
    <t>Kostenfaktor in Bezug auf die kantonale Versichertenstruktur</t>
  </si>
  <si>
    <t>Montants moyens de prestations nettes et compensation des risques (NL+RA) par canton</t>
  </si>
  <si>
    <t>Durchschnittliche Nettoleistungen und Risikoausgleichsbeträge (NL+RA) pro Kanton</t>
  </si>
  <si>
    <t>Durchschnittliche Nettoleistungen und Risikoausgleichsbeträge (NL+RA) pro Franchise</t>
  </si>
  <si>
    <t>nicht kalkulierte Zusatzkosten Total - (KIN)</t>
  </si>
  <si>
    <t>nicht kalkulierte Zusatzkosten - (JUG+ERW)</t>
  </si>
  <si>
    <t>Kantonale Kostenfaktoren</t>
  </si>
  <si>
    <t>Facteurs de coûts cantonaux</t>
  </si>
  <si>
    <t>OKP CH</t>
  </si>
  <si>
    <t>AOS CH</t>
  </si>
  <si>
    <t>AOS EU</t>
  </si>
  <si>
    <t>Abweichung in Leistungen</t>
  </si>
  <si>
    <t>Zusatzkosten</t>
  </si>
  <si>
    <t>Leistungsszenario EU</t>
  </si>
  <si>
    <t>Prestations UE</t>
  </si>
  <si>
    <t>Benefits EU</t>
  </si>
  <si>
    <t>Volume de primes de l'année précédente</t>
  </si>
  <si>
    <t>Prämienvolumen des Vorjahres</t>
  </si>
  <si>
    <t>Zuschlag</t>
  </si>
  <si>
    <t>Supplément</t>
  </si>
  <si>
    <t>Supplement</t>
  </si>
  <si>
    <t>Les saisies pour les scénarios se réfèrent à l'AOS CH uniquement</t>
  </si>
  <si>
    <t>Entries for scenarios are based exclusively on statutory health insurance in Switzerland</t>
  </si>
  <si>
    <t>Die Eingaben für die Szenarien beziehen sich nur auf die OKP CH</t>
  </si>
  <si>
    <t>BAG3</t>
  </si>
  <si>
    <t>BAG4</t>
  </si>
  <si>
    <t>NL moyennes par assuré -(KIN) (caisse)</t>
  </si>
  <si>
    <t>1.2* NL moyenne par assuré - (KIN) (CH)</t>
  </si>
  <si>
    <t>Average NL per insured person - (KIN) (insurer)</t>
  </si>
  <si>
    <t>1.2* average NL per insured person - (KIN) (CH)</t>
  </si>
  <si>
    <t>NL+RA moyenne par assuré - (JUG+ERW) (caisse)</t>
  </si>
  <si>
    <t>Average NL+RA per insured person - (JUG+ERW) (insurer)</t>
  </si>
  <si>
    <t>1.2*NL+RA moyenne par assuré - (JUG+ERW) (CH)</t>
  </si>
  <si>
    <t>1.2*Average NL+RA per insured person - (JUG+ERW) (CH)</t>
  </si>
  <si>
    <t>Average et claims and risk compensation amounts (NL+RA) per franchise</t>
  </si>
  <si>
    <t>Average et claims and risk compensation amounts (NL+RA) per canton</t>
  </si>
  <si>
    <t>Cantonal cost factors</t>
  </si>
  <si>
    <t>Cost factor based on the cantonal structure of insured persons</t>
  </si>
  <si>
    <t>Premium volume of the previous year</t>
  </si>
  <si>
    <t>Compulsory health insurance CH</t>
  </si>
  <si>
    <t>Compulsory health insurance EU</t>
  </si>
  <si>
    <t>Jahr</t>
  </si>
  <si>
    <t>ab 2025 nicht mehr</t>
  </si>
  <si>
    <t>Nachtrag vom 22.02.2024</t>
  </si>
  <si>
    <t>Coûts supplémentaires non calculés Total - (KIN)</t>
  </si>
  <si>
    <t>Non-calculated additional costs Total - (KIN)</t>
  </si>
  <si>
    <t>Coûts supplémentaires non calculés Total - (JUG+ERW)</t>
  </si>
  <si>
    <t>Non-calculated additional costs Total - (JUG+ERW)</t>
  </si>
  <si>
    <t>durchsch. NL pro Versicherten - (KIN) (Kasse)</t>
  </si>
  <si>
    <t>1.20*durchschn. NL pro Versicherten - (KIN) (CH)</t>
  </si>
  <si>
    <t>durchschn. NL+RA pro Versicherten - (JUG+ERW) (Kasse)</t>
  </si>
  <si>
    <t>1.2*durchschn. NL+RA pro Versicherten - (JUG+ERW) (CH)</t>
  </si>
  <si>
    <t>Bruttoleistungen (Behandlungsjahr 2024)</t>
  </si>
  <si>
    <t>Kostenbeteiligungen (Behandlungsjahr 2024)</t>
  </si>
  <si>
    <t>Sonstige Leistungen  (Behandlungsjahr 2024)</t>
  </si>
  <si>
    <t>Risikoausgleich (2024)</t>
  </si>
  <si>
    <t>Momentan noch nicht verfügbar für OKP EU</t>
  </si>
  <si>
    <t>Blatt Zufallsrisiko_NL, Risk_Compenstation, Risk_Compensation_calc</t>
  </si>
  <si>
    <t>Zufallsrisiko_NL</t>
  </si>
  <si>
    <t>BAG 3: Financial Distress</t>
  </si>
  <si>
    <t>BAG 3: Détresse financière</t>
  </si>
  <si>
    <t>BAG 4: Leistungsszenario EU</t>
  </si>
  <si>
    <t>BAG 4: Prestations UE</t>
  </si>
  <si>
    <t>BAG 4: Benefits EU</t>
  </si>
  <si>
    <t>BAG_Scenarios</t>
  </si>
  <si>
    <t>Ungünstige Risikostruktur</t>
  </si>
  <si>
    <t>Überarbeitung RA-Risiko</t>
  </si>
  <si>
    <t>Überarbeitung Zufallsrisiko</t>
  </si>
  <si>
    <t>Überarbeitung Parameterrisiko</t>
  </si>
  <si>
    <t>Überarbeitung Versicherungsrisiko (CH vs. EU)</t>
  </si>
  <si>
    <t>Überarbeitung Erwartete Versicherungsergebnis</t>
  </si>
  <si>
    <t>Überarbeitung Szenarien</t>
  </si>
  <si>
    <t>Blatt 36</t>
  </si>
  <si>
    <t>Blatt BAG0, BAG_Scenarios, 13, 14</t>
  </si>
  <si>
    <t>Blatt 3, 4b, 6, 38</t>
  </si>
  <si>
    <t xml:space="preserve">entsprechende Aktualisierungen von Formaten und Formeln </t>
  </si>
  <si>
    <t>Anzahl Neueintritte</t>
  </si>
  <si>
    <t>Number of new entrants</t>
  </si>
  <si>
    <t>ZE</t>
  </si>
  <si>
    <t>ZR</t>
  </si>
  <si>
    <t>of which : new insured (average)</t>
  </si>
  <si>
    <t>davon : verbleibender Bestand (Durchschnitt)</t>
  </si>
  <si>
    <t>dont : effectif restant (moyenne)</t>
  </si>
  <si>
    <t>of which : insured staying (average)</t>
  </si>
  <si>
    <t>davon : neuer Bestand (Durchschnitt)</t>
  </si>
  <si>
    <t>dont : nouvel effectif (moyenne)</t>
  </si>
  <si>
    <t>durchschnittliche Nettoleistungen pro Versicherten T</t>
  </si>
  <si>
    <t>durchschnittlicher Risikoausgleich pro Versicherten T</t>
  </si>
  <si>
    <t>Version vom 17. Oktober 2024</t>
  </si>
  <si>
    <t>Version du 17 octobre 2024</t>
  </si>
  <si>
    <t>Version 17th October 2024</t>
  </si>
  <si>
    <t>Diese Datei entspricht dem elektronischen Formular gemäss Art. 8 der Verordnung des EDI über die Reserven in der sozialen Krankenversicherung (ResV-EDI, 832.102.15).</t>
  </si>
  <si>
    <t>Ce fichier correspond au formulaire électronique selon l'art. 8 de l'ordonnance du DFI sur les réserves dans l'assurance-maladie sociale (ORe-DFI, 832.102.15).</t>
  </si>
  <si>
    <t>This file relates to the electronic form according to art. 8 of the ordinance ResV-EDI/ORe-DFI (available in German and French only, 832.102.15).</t>
  </si>
  <si>
    <t xml:space="preserve">Aktualisierung Werte </t>
  </si>
  <si>
    <t>Umstellung auf das Jahr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</si>
</sst>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_);_(* \(#,##0\);_(* &quot;-&quot;_);_(@_)"/>
    <numFmt numFmtId="166" formatCode="_(* #,##0.00_);_(* \(#,##0.00\);_(* &quot;-&quot;??_);_(@_)"/>
    <numFmt numFmtId="167" formatCode="_-* #,##0.00\ _S_F_r_._-;\-* #,##0.00\ _S_F_r_._-;_-* &quot;-&quot;??\ _S_F_r_._-;_-@_-"/>
    <numFmt numFmtId="168" formatCode="0.000"/>
    <numFmt numFmtId="169" formatCode="0.0"/>
    <numFmt numFmtId="170" formatCode="0.0%"/>
    <numFmt numFmtId="171" formatCode="#,##0.0"/>
    <numFmt numFmtId="172" formatCode="#,##0.000"/>
    <numFmt numFmtId="173" formatCode="#,##0.0000"/>
    <numFmt numFmtId="174" formatCode="_-* #,##0.0\ _S_F_r_._-;\-* #,##0.0\ _S_F_r_._-;_-* &quot;-&quot;??\ _S_F_r_._-;_-@_-"/>
    <numFmt numFmtId="175" formatCode="0.000%"/>
    <numFmt numFmtId="176" formatCode="#,##0.00000"/>
    <numFmt numFmtId="177" formatCode="0.000E+00"/>
    <numFmt numFmtId="178" formatCode="0E+00"/>
    <numFmt numFmtId="179" formatCode="0.0000;\-0.0000;0"/>
    <numFmt numFmtId="180" formatCode="dd/mm/yyyy;@"/>
    <numFmt numFmtId="181" formatCode="d/mm/yy;@"/>
    <numFmt numFmtId="182" formatCode="&quot;#Z: &quot;#,##0;;"/>
    <numFmt numFmtId="183" formatCode="&quot;+&quot;;&quot;-&quot;;"/>
    <numFmt numFmtId="184" formatCode="0.00000%"/>
    <numFmt numFmtId="185" formatCode="#,##0;\(#,##0\)"/>
    <numFmt numFmtId="186" formatCode="_(* #,##0_);_(* \(#,##0\);_(* &quot;-&quot;??_);_(@_)"/>
    <numFmt numFmtId="187" formatCode="_-* #,##0.000000000000\ _S_F_r_._-;\-* #,##0.000000000000\ _S_F_r_._-;_-* &quot;-&quot;??\ _S_F_r_._-;_-@_-"/>
    <numFmt numFmtId="188" formatCode="_-* #,##0.00000\ _S_F_r_._-;\-* #,##0.00000\ _S_F_r_._-;_-* &quot;-&quot;??\ _S_F_r_._-;_-@_-"/>
    <numFmt numFmtId="189" formatCode="_ * #,##0.0000_ ;_ * \-#,##0.0000_ ;_ * &quot;-&quot;??_ ;_ @_ "/>
    <numFmt numFmtId="190" formatCode="0000"/>
    <numFmt numFmtId="191" formatCode="_-* #,##0\ _S_F_r_._-;\-* #,##0\ _S_F_r_._-;_-* &quot;-&quot;??\ _S_F_r_._-;_-@_-"/>
    <numFmt numFmtId="192" formatCode="_-* #,##0.000\ _S_F_r_._-;\-* #,##0.000\ _S_F_r_._-;_-* &quot;-&quot;??\ _S_F_r_._-;_-@_-"/>
    <numFmt numFmtId="193" formatCode="#,##0.00000000000"/>
    <numFmt numFmtId="194" formatCode="0.00000000"/>
    <numFmt numFmtId="195" formatCode="#,##0.0000000000000"/>
    <numFmt numFmtId="196" formatCode="_ * #,##0.000_ ;_ * \-#,##0.000_ ;_ * &quot;-&quot;???_ ;_ @_ "/>
  </numFmts>
  <fonts count="95" x14ac:knownFonts="1">
    <font>
      <sz val="10"/>
      <name val="Arial"/>
    </font>
    <font>
      <sz val="10"/>
      <color indexed="8"/>
      <name val="Arial"/>
      <family val="2"/>
    </font>
    <font>
      <sz val="10"/>
      <name val="Arial"/>
      <family val="2"/>
    </font>
    <font>
      <b/>
      <sz val="10"/>
      <name val="Arial"/>
      <family val="2"/>
    </font>
    <font>
      <b/>
      <sz val="16"/>
      <name val="Arial"/>
      <family val="2"/>
    </font>
    <font>
      <sz val="10"/>
      <name val="Arial"/>
      <family val="2"/>
    </font>
    <font>
      <b/>
      <sz val="14"/>
      <name val="Arial"/>
      <family val="2"/>
    </font>
    <font>
      <sz val="8"/>
      <name val="Arial"/>
      <family val="2"/>
    </font>
    <font>
      <b/>
      <sz val="10"/>
      <color indexed="10"/>
      <name val="Arial"/>
      <family val="2"/>
    </font>
    <font>
      <b/>
      <sz val="10"/>
      <color indexed="9"/>
      <name val="Arial"/>
      <family val="2"/>
    </font>
    <font>
      <sz val="10"/>
      <color indexed="9"/>
      <name val="Arial"/>
      <family val="2"/>
    </font>
    <font>
      <sz val="8"/>
      <name val="Arial"/>
      <family val="2"/>
    </font>
    <font>
      <sz val="10"/>
      <color indexed="9"/>
      <name val="Arial"/>
      <family val="2"/>
    </font>
    <font>
      <b/>
      <sz val="12"/>
      <name val="Arial"/>
      <family val="2"/>
    </font>
    <font>
      <b/>
      <sz val="16"/>
      <color indexed="9"/>
      <name val="Arial"/>
      <family val="2"/>
    </font>
    <font>
      <b/>
      <sz val="16"/>
      <color indexed="9"/>
      <name val="Arial"/>
      <family val="2"/>
    </font>
    <font>
      <b/>
      <sz val="10"/>
      <name val="Arial"/>
      <family val="2"/>
    </font>
    <font>
      <b/>
      <sz val="16"/>
      <color indexed="8"/>
      <name val="Arial"/>
      <family val="2"/>
    </font>
    <font>
      <b/>
      <sz val="16"/>
      <name val="Arial"/>
      <family val="2"/>
    </font>
    <font>
      <sz val="16"/>
      <name val="Arial"/>
      <family val="2"/>
    </font>
    <font>
      <i/>
      <sz val="10"/>
      <name val="Arial"/>
      <family val="2"/>
    </font>
    <font>
      <b/>
      <i/>
      <sz val="10"/>
      <name val="Arial"/>
      <family val="2"/>
    </font>
    <font>
      <b/>
      <sz val="18"/>
      <name val="Arial"/>
      <family val="2"/>
    </font>
    <font>
      <b/>
      <sz val="14"/>
      <color indexed="10"/>
      <name val="Arial"/>
      <family val="2"/>
    </font>
    <font>
      <sz val="12"/>
      <name val="Arial"/>
      <family val="2"/>
    </font>
    <font>
      <sz val="10"/>
      <color indexed="57"/>
      <name val="Arial"/>
      <family val="2"/>
    </font>
    <font>
      <sz val="10"/>
      <color indexed="10"/>
      <name val="Arial"/>
      <family val="2"/>
    </font>
    <font>
      <sz val="14"/>
      <name val="Arial"/>
      <family val="2"/>
    </font>
    <font>
      <sz val="14"/>
      <color indexed="9"/>
      <name val="Arial"/>
      <family val="2"/>
    </font>
    <font>
      <b/>
      <sz val="14"/>
      <name val="Arial"/>
      <family val="2"/>
    </font>
    <font>
      <sz val="12"/>
      <name val="Arial"/>
      <family val="2"/>
    </font>
    <font>
      <sz val="10"/>
      <color indexed="55"/>
      <name val="Arial"/>
      <family val="2"/>
    </font>
    <font>
      <b/>
      <sz val="12"/>
      <name val="Arial"/>
      <family val="2"/>
    </font>
    <font>
      <sz val="10"/>
      <color indexed="22"/>
      <name val="Arial"/>
      <family val="2"/>
    </font>
    <font>
      <b/>
      <sz val="8"/>
      <color indexed="10"/>
      <name val="Arial"/>
      <family val="2"/>
    </font>
    <font>
      <b/>
      <sz val="9"/>
      <name val="Arial"/>
      <family val="2"/>
    </font>
    <font>
      <b/>
      <sz val="10"/>
      <color indexed="12"/>
      <name val="Arial"/>
      <family val="2"/>
    </font>
    <font>
      <sz val="10"/>
      <color indexed="12"/>
      <name val="Arial"/>
      <family val="2"/>
    </font>
    <font>
      <sz val="7"/>
      <name val="Arial"/>
      <family val="2"/>
    </font>
    <font>
      <sz val="11"/>
      <color indexed="12"/>
      <name val="Arial"/>
      <family val="2"/>
    </font>
    <font>
      <b/>
      <sz val="11"/>
      <color indexed="12"/>
      <name val="Arial"/>
      <family val="2"/>
    </font>
    <font>
      <b/>
      <sz val="11"/>
      <name val="Arial"/>
      <family val="2"/>
    </font>
    <font>
      <sz val="11"/>
      <name val="Arial"/>
      <family val="2"/>
    </font>
    <font>
      <u/>
      <sz val="11"/>
      <name val="Arial"/>
      <family val="2"/>
    </font>
    <font>
      <b/>
      <sz val="11"/>
      <name val="Arial"/>
      <family val="2"/>
    </font>
    <font>
      <b/>
      <sz val="11"/>
      <color indexed="10"/>
      <name val="Arial"/>
      <family val="2"/>
    </font>
    <font>
      <sz val="11"/>
      <color indexed="12"/>
      <name val="Arial"/>
      <family val="2"/>
    </font>
    <font>
      <b/>
      <sz val="10"/>
      <color indexed="8"/>
      <name val="Arial"/>
      <family val="2"/>
    </font>
    <font>
      <sz val="12"/>
      <name val="Times New Roman"/>
      <family val="1"/>
    </font>
    <font>
      <b/>
      <sz val="20"/>
      <name val="Arial"/>
      <family val="2"/>
    </font>
    <font>
      <sz val="10"/>
      <name val="Times New Roman"/>
      <family val="1"/>
    </font>
    <font>
      <sz val="10"/>
      <color indexed="12"/>
      <name val="Times New Roman"/>
      <family val="1"/>
    </font>
    <font>
      <b/>
      <sz val="24"/>
      <name val="Arial"/>
      <family val="2"/>
    </font>
    <font>
      <sz val="12"/>
      <color indexed="8"/>
      <name val="Arial"/>
      <family val="2"/>
    </font>
    <font>
      <sz val="12"/>
      <color indexed="8"/>
      <name val="Symbol"/>
      <family val="1"/>
      <charset val="2"/>
    </font>
    <font>
      <sz val="9"/>
      <color indexed="81"/>
      <name val="Tahoma"/>
      <family val="2"/>
    </font>
    <font>
      <b/>
      <sz val="9"/>
      <color indexed="81"/>
      <name val="Tahoma"/>
      <family val="2"/>
    </font>
    <font>
      <sz val="9"/>
      <name val="Arial"/>
      <family val="2"/>
    </font>
    <font>
      <sz val="9"/>
      <color indexed="9"/>
      <name val="Arial"/>
      <family val="2"/>
    </font>
    <font>
      <sz val="9"/>
      <color indexed="81"/>
      <name val="Segoe UI"/>
      <family val="2"/>
    </font>
    <font>
      <b/>
      <sz val="9"/>
      <color indexed="81"/>
      <name val="Segoe UI"/>
      <family val="2"/>
    </font>
    <font>
      <sz val="10"/>
      <name val="Arial"/>
      <family val="2"/>
    </font>
    <font>
      <u/>
      <sz val="7.5"/>
      <color theme="10"/>
      <name val="Arial"/>
      <family val="2"/>
    </font>
    <font>
      <u/>
      <sz val="7"/>
      <color theme="10"/>
      <name val="Arial"/>
      <family val="2"/>
    </font>
    <font>
      <sz val="11"/>
      <color theme="1"/>
      <name val="Calibri"/>
      <family val="2"/>
      <scheme val="minor"/>
    </font>
    <font>
      <sz val="10"/>
      <color theme="1"/>
      <name val="Arial"/>
      <family val="2"/>
    </font>
    <font>
      <sz val="10"/>
      <color theme="0" tint="-0.249977111117893"/>
      <name val="Arial"/>
      <family val="2"/>
    </font>
    <font>
      <sz val="12"/>
      <color theme="1"/>
      <name val="Symbol"/>
      <family val="1"/>
      <charset val="2"/>
    </font>
    <font>
      <sz val="10"/>
      <color rgb="FFFF0000"/>
      <name val="Arial"/>
      <family val="2"/>
    </font>
    <font>
      <sz val="10"/>
      <color rgb="FFC0C0C0"/>
      <name val="Arial"/>
      <family val="2"/>
    </font>
    <font>
      <b/>
      <sz val="16"/>
      <color rgb="FFC0C0C0"/>
      <name val="Arial"/>
      <family val="2"/>
    </font>
    <font>
      <b/>
      <sz val="10"/>
      <color rgb="FFC0C0C0"/>
      <name val="Arial"/>
      <family val="2"/>
    </font>
    <font>
      <sz val="10"/>
      <color rgb="FFFFFFFF"/>
      <name val="Arial"/>
      <family val="2"/>
    </font>
    <font>
      <b/>
      <sz val="16"/>
      <color rgb="FFFFFFFF"/>
      <name val="Arial"/>
      <family val="2"/>
    </font>
    <font>
      <b/>
      <sz val="12"/>
      <color rgb="FFC0C0C0"/>
      <name val="Arial"/>
      <family val="2"/>
    </font>
    <font>
      <sz val="10"/>
      <color theme="0"/>
      <name val="Arial"/>
      <family val="2"/>
    </font>
    <font>
      <sz val="8"/>
      <color theme="1"/>
      <name val="Arial"/>
      <family val="2"/>
    </font>
    <font>
      <b/>
      <sz val="8"/>
      <color theme="1"/>
      <name val="Arial"/>
      <family val="2"/>
    </font>
    <font>
      <i/>
      <sz val="8"/>
      <color theme="2" tint="-0.249977111117893"/>
      <name val="Arial"/>
      <family val="2"/>
    </font>
    <font>
      <i/>
      <sz val="8"/>
      <color theme="1"/>
      <name val="Arial"/>
      <family val="2"/>
    </font>
    <font>
      <b/>
      <sz val="16"/>
      <color theme="0"/>
      <name val="Arial"/>
      <family val="2"/>
    </font>
    <font>
      <sz val="10"/>
      <color rgb="FFFFC000"/>
      <name val="Arial"/>
      <family val="2"/>
    </font>
    <font>
      <b/>
      <sz val="10"/>
      <color rgb="FFFF0000"/>
      <name val="Arial"/>
      <family val="2"/>
    </font>
    <font>
      <sz val="12"/>
      <color rgb="FFFF0000"/>
      <name val="Arial"/>
      <family val="2"/>
    </font>
    <font>
      <b/>
      <sz val="10"/>
      <color theme="1"/>
      <name val="Arial"/>
      <family val="2"/>
    </font>
    <font>
      <sz val="11"/>
      <color rgb="FFFF0000"/>
      <name val="Symbol"/>
      <family val="1"/>
      <charset val="2"/>
    </font>
    <font>
      <u/>
      <sz val="10"/>
      <color theme="10"/>
      <name val="Arial"/>
      <family val="2"/>
    </font>
    <font>
      <b/>
      <sz val="8"/>
      <name val="Arial"/>
      <family val="2"/>
    </font>
    <font>
      <b/>
      <sz val="8"/>
      <color rgb="FFFF0000"/>
      <name val="Arial"/>
      <family val="2"/>
    </font>
    <font>
      <u/>
      <sz val="7"/>
      <name val="Arial"/>
      <family val="2"/>
    </font>
    <font>
      <u/>
      <sz val="7"/>
      <color theme="0"/>
      <name val="Arial"/>
      <family val="2"/>
    </font>
    <font>
      <u/>
      <sz val="10"/>
      <color indexed="12"/>
      <name val="Arial"/>
      <family val="2"/>
    </font>
    <font>
      <sz val="10"/>
      <name val="MS Sans Serif"/>
      <family val="2"/>
    </font>
    <font>
      <sz val="8"/>
      <name val="Arial"/>
      <family val="2"/>
    </font>
    <font>
      <sz val="10"/>
      <color theme="0" tint="-0.499984740745262"/>
      <name val="Arial"/>
      <family val="2"/>
    </font>
  </fonts>
  <fills count="5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11"/>
        <bgColor indexed="64"/>
      </patternFill>
    </fill>
    <fill>
      <patternFill patternType="solid">
        <fgColor indexed="46"/>
        <bgColor indexed="64"/>
      </patternFill>
    </fill>
    <fill>
      <patternFill patternType="lightDown"/>
    </fill>
    <fill>
      <patternFill patternType="lightDown">
        <bgColor indexed="47"/>
      </patternFill>
    </fill>
    <fill>
      <patternFill patternType="lightDown">
        <bgColor indexed="22"/>
      </patternFill>
    </fill>
    <fill>
      <patternFill patternType="solid">
        <fgColor indexed="9"/>
        <bgColor indexed="64"/>
      </patternFill>
    </fill>
    <fill>
      <patternFill patternType="solid">
        <fgColor indexed="57"/>
        <bgColor indexed="64"/>
      </patternFill>
    </fill>
    <fill>
      <patternFill patternType="solid">
        <fgColor indexed="45"/>
        <bgColor indexed="64"/>
      </patternFill>
    </fill>
    <fill>
      <patternFill patternType="solid">
        <fgColor indexed="63"/>
        <bgColor indexed="64"/>
      </patternFill>
    </fill>
    <fill>
      <patternFill patternType="solid">
        <fgColor indexed="15"/>
        <bgColor indexed="64"/>
      </patternFill>
    </fill>
    <fill>
      <patternFill patternType="solid">
        <fgColor indexed="50"/>
        <bgColor indexed="64"/>
      </patternFill>
    </fill>
    <fill>
      <patternFill patternType="solid">
        <fgColor indexed="61"/>
        <bgColor indexed="64"/>
      </patternFill>
    </fill>
    <fill>
      <patternFill patternType="solid">
        <fgColor indexed="48"/>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24994659260841701"/>
        <bgColor indexed="64"/>
      </patternFill>
    </fill>
    <fill>
      <patternFill patternType="solid">
        <fgColor rgb="FF0000CC"/>
        <bgColor indexed="64"/>
      </patternFill>
    </fill>
    <fill>
      <patternFill patternType="solid">
        <fgColor rgb="FFFF0000"/>
        <bgColor indexed="64"/>
      </patternFill>
    </fill>
    <fill>
      <patternFill patternType="solid">
        <fgColor theme="9" tint="0.39997558519241921"/>
        <bgColor indexed="64"/>
      </patternFill>
    </fill>
    <fill>
      <patternFill patternType="solid">
        <fgColor rgb="FF99CCFF"/>
        <bgColor indexed="64"/>
      </patternFill>
    </fill>
    <fill>
      <patternFill patternType="solid">
        <fgColor rgb="FF008000"/>
        <bgColor indexed="64"/>
      </patternFill>
    </fill>
    <fill>
      <patternFill patternType="solid">
        <fgColor rgb="FF800080"/>
        <bgColor indexed="64"/>
      </patternFill>
    </fill>
    <fill>
      <patternFill patternType="solid">
        <fgColor rgb="FF0000FF"/>
        <bgColor indexed="64"/>
      </patternFill>
    </fill>
    <fill>
      <patternFill patternType="solid">
        <fgColor rgb="FFC0C0C0"/>
        <bgColor indexed="64"/>
      </patternFill>
    </fill>
    <fill>
      <patternFill patternType="solid">
        <fgColor rgb="FF92D050"/>
        <bgColor indexed="64"/>
      </patternFill>
    </fill>
    <fill>
      <patternFill patternType="solid">
        <fgColor rgb="FFFFCC00"/>
        <bgColor indexed="64"/>
      </patternFill>
    </fill>
    <fill>
      <patternFill patternType="solid">
        <fgColor rgb="FF008080"/>
        <bgColor indexed="64"/>
      </patternFill>
    </fill>
    <fill>
      <patternFill patternType="solid">
        <fgColor rgb="FFFFC000"/>
        <bgColor indexed="64"/>
      </patternFill>
    </fill>
    <fill>
      <patternFill patternType="solid">
        <fgColor rgb="FF00B05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6795556505021"/>
        <bgColor indexed="64"/>
      </patternFill>
    </fill>
    <fill>
      <patternFill patternType="solid">
        <fgColor theme="6" tint="0.39997558519241921"/>
        <bgColor indexed="64"/>
      </patternFill>
    </fill>
    <fill>
      <patternFill patternType="solid">
        <fgColor rgb="FF33CCFF"/>
        <bgColor indexed="64"/>
      </patternFill>
    </fill>
    <fill>
      <patternFill patternType="solid">
        <fgColor theme="0" tint="-4.9989318521683403E-2"/>
        <bgColor indexed="64"/>
      </patternFill>
    </fill>
    <fill>
      <patternFill patternType="solid">
        <fgColor theme="0" tint="-0.249977111117893"/>
        <bgColor indexed="64"/>
      </patternFill>
    </fill>
  </fills>
  <borders count="116">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hair">
        <color indexed="64"/>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style="thin">
        <color indexed="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double">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1" tint="0.34998626667073579"/>
      </left>
      <right style="thin">
        <color theme="1" tint="0.34998626667073579"/>
      </right>
      <top/>
      <bottom style="thin">
        <color indexed="64"/>
      </bottom>
      <diagonal/>
    </border>
    <border>
      <left style="thin">
        <color theme="1" tint="0.34998626667073579"/>
      </left>
      <right/>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top style="thin">
        <color indexed="64"/>
      </top>
      <bottom/>
      <diagonal/>
    </border>
    <border>
      <left style="thin">
        <color theme="1" tint="0.34998626667073579"/>
      </left>
      <right style="thin">
        <color indexed="64"/>
      </right>
      <top style="thin">
        <color indexed="64"/>
      </top>
      <bottom/>
      <diagonal/>
    </border>
    <border>
      <left/>
      <right style="thin">
        <color theme="1" tint="0.34998626667073579"/>
      </right>
      <top style="thin">
        <color indexed="64"/>
      </top>
      <bottom/>
      <diagonal/>
    </border>
    <border>
      <left/>
      <right style="thin">
        <color theme="1" tint="0.34998626667073579"/>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top/>
      <bottom style="thin">
        <color theme="0" tint="-0.24994659260841701"/>
      </bottom>
      <diagonal/>
    </border>
    <border>
      <left style="hair">
        <color indexed="64"/>
      </left>
      <right style="thin">
        <color indexed="64"/>
      </right>
      <top style="thin">
        <color indexed="64"/>
      </top>
      <bottom/>
      <diagonal/>
    </border>
  </borders>
  <cellStyleXfs count="51">
    <xf numFmtId="0" fontId="0" fillId="0" borderId="0"/>
    <xf numFmtId="166" fontId="48" fillId="0" borderId="0" applyFont="0" applyFill="0" applyBorder="0" applyAlignment="0" applyProtection="0"/>
    <xf numFmtId="166" fontId="48"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62" fillId="0" borderId="0" applyNumberFormat="0" applyFill="0" applyBorder="0" applyAlignment="0" applyProtection="0">
      <alignment vertical="top"/>
      <protection locked="0"/>
    </xf>
    <xf numFmtId="167" fontId="2" fillId="0" borderId="0" applyFont="0" applyFill="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0" fontId="48" fillId="0" borderId="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48" fillId="0" borderId="0"/>
    <xf numFmtId="0" fontId="2" fillId="0" borderId="0"/>
    <xf numFmtId="0" fontId="65" fillId="0" borderId="0"/>
    <xf numFmtId="0" fontId="2" fillId="0" borderId="0"/>
    <xf numFmtId="0" fontId="2" fillId="0" borderId="0"/>
    <xf numFmtId="0" fontId="48" fillId="0" borderId="0"/>
    <xf numFmtId="164" fontId="48" fillId="0" borderId="0" applyFont="0" applyFill="0" applyBorder="0" applyAlignment="0" applyProtection="0"/>
    <xf numFmtId="164" fontId="65" fillId="0" borderId="0" applyFont="0" applyFill="0" applyBorder="0" applyAlignment="0" applyProtection="0"/>
    <xf numFmtId="0" fontId="86" fillId="0" borderId="0" applyNumberFormat="0" applyFill="0" applyBorder="0" applyAlignment="0" applyProtection="0">
      <alignment vertical="top"/>
      <protection locked="0"/>
    </xf>
    <xf numFmtId="164" fontId="2" fillId="0" borderId="0" applyFont="0" applyFill="0" applyBorder="0" applyAlignment="0" applyProtection="0"/>
    <xf numFmtId="164" fontId="65" fillId="0" borderId="0" applyFont="0" applyFill="0" applyBorder="0" applyAlignment="0" applyProtection="0"/>
    <xf numFmtId="164" fontId="2" fillId="0" borderId="0" applyFont="0" applyFill="0" applyBorder="0" applyAlignment="0" applyProtection="0"/>
    <xf numFmtId="9" fontId="64" fillId="0" borderId="0" applyFont="0" applyFill="0" applyBorder="0" applyAlignment="0" applyProtection="0"/>
    <xf numFmtId="0" fontId="65" fillId="0" borderId="0"/>
    <xf numFmtId="164" fontId="65" fillId="0" borderId="0" applyFont="0" applyFill="0" applyBorder="0" applyAlignment="0" applyProtection="0"/>
    <xf numFmtId="167" fontId="2" fillId="0" borderId="0" applyFont="0" applyFill="0" applyBorder="0" applyAlignment="0" applyProtection="0"/>
    <xf numFmtId="0" fontId="91"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65" fillId="52" borderId="0" applyNumberFormat="0" applyBorder="0" applyAlignment="0" applyProtection="0"/>
    <xf numFmtId="0" fontId="65" fillId="53" borderId="0" applyNumberFormat="0" applyBorder="0" applyAlignment="0" applyProtection="0"/>
    <xf numFmtId="164" fontId="48" fillId="0" borderId="0" applyFont="0" applyFill="0" applyBorder="0" applyAlignment="0" applyProtection="0"/>
    <xf numFmtId="0" fontId="48" fillId="0" borderId="0"/>
    <xf numFmtId="0" fontId="65" fillId="0" borderId="0"/>
    <xf numFmtId="0" fontId="2" fillId="0" borderId="0"/>
    <xf numFmtId="0" fontId="48" fillId="0" borderId="0"/>
    <xf numFmtId="0" fontId="65" fillId="0" borderId="0"/>
    <xf numFmtId="9" fontId="92"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0" fontId="65" fillId="0" borderId="0"/>
    <xf numFmtId="196" fontId="2" fillId="54" borderId="50">
      <protection locked="0"/>
    </xf>
    <xf numFmtId="0" fontId="64" fillId="0" borderId="0"/>
  </cellStyleXfs>
  <cellXfs count="2631">
    <xf numFmtId="0" fontId="0" fillId="0" borderId="0" xfId="0"/>
    <xf numFmtId="0" fontId="0" fillId="0" borderId="0" xfId="0" applyFill="1" applyBorder="1"/>
    <xf numFmtId="0" fontId="3" fillId="0" borderId="0" xfId="0" applyFont="1" applyFill="1" applyBorder="1"/>
    <xf numFmtId="0" fontId="3" fillId="0" borderId="0" xfId="0" applyFont="1"/>
    <xf numFmtId="0" fontId="5" fillId="0" borderId="0" xfId="0" applyFont="1" applyFill="1" applyBorder="1"/>
    <xf numFmtId="0" fontId="0" fillId="0" borderId="1" xfId="0" applyBorder="1"/>
    <xf numFmtId="0" fontId="0" fillId="0" borderId="0" xfId="0" applyBorder="1"/>
    <xf numFmtId="0" fontId="0" fillId="0" borderId="2" xfId="0" applyBorder="1"/>
    <xf numFmtId="0" fontId="0" fillId="2" borderId="0" xfId="0" applyFill="1"/>
    <xf numFmtId="0" fontId="0" fillId="0" borderId="0" xfId="0" applyFill="1"/>
    <xf numFmtId="0" fontId="0" fillId="0" borderId="3" xfId="0" applyBorder="1"/>
    <xf numFmtId="0" fontId="0" fillId="0" borderId="4" xfId="0" applyBorder="1"/>
    <xf numFmtId="0" fontId="0" fillId="0" borderId="5" xfId="0" applyBorder="1"/>
    <xf numFmtId="0" fontId="0" fillId="0" borderId="2" xfId="0" applyFill="1" applyBorder="1"/>
    <xf numFmtId="0" fontId="0" fillId="0" borderId="0" xfId="0" quotePrefix="1" applyFill="1" applyBorder="1"/>
    <xf numFmtId="0" fontId="0" fillId="0" borderId="6" xfId="0" applyBorder="1"/>
    <xf numFmtId="0" fontId="0" fillId="0" borderId="7" xfId="0" applyBorder="1"/>
    <xf numFmtId="0" fontId="0" fillId="0" borderId="3" xfId="0" applyFill="1" applyBorder="1"/>
    <xf numFmtId="0" fontId="0" fillId="0" borderId="4" xfId="0" applyFill="1" applyBorder="1"/>
    <xf numFmtId="0" fontId="0" fillId="0" borderId="0" xfId="0" applyAlignment="1">
      <alignment horizontal="right"/>
    </xf>
    <xf numFmtId="0" fontId="0" fillId="0" borderId="0" xfId="0" applyFill="1" applyAlignment="1">
      <alignment horizontal="right"/>
    </xf>
    <xf numFmtId="0" fontId="0" fillId="0" borderId="8" xfId="0" applyBorder="1"/>
    <xf numFmtId="0" fontId="0" fillId="0" borderId="9" xfId="0" applyBorder="1"/>
    <xf numFmtId="0" fontId="2" fillId="0" borderId="0" xfId="0" applyFont="1"/>
    <xf numFmtId="0" fontId="2" fillId="0" borderId="0" xfId="0" applyFont="1" applyFill="1" applyBorder="1"/>
    <xf numFmtId="0" fontId="0" fillId="0" borderId="0" xfId="0" applyFill="1" applyBorder="1" applyAlignment="1">
      <alignment horizontal="center"/>
    </xf>
    <xf numFmtId="0" fontId="3" fillId="0" borderId="0" xfId="0" applyFont="1" applyFill="1"/>
    <xf numFmtId="0" fontId="0" fillId="0" borderId="0" xfId="0" applyAlignment="1">
      <alignment horizontal="center"/>
    </xf>
    <xf numFmtId="0" fontId="0" fillId="0" borderId="0" xfId="0" applyFill="1" applyAlignment="1">
      <alignment horizontal="center"/>
    </xf>
    <xf numFmtId="4" fontId="0" fillId="0" borderId="0" xfId="0" applyNumberFormat="1" applyBorder="1"/>
    <xf numFmtId="4" fontId="0" fillId="0" borderId="0" xfId="0" applyNumberFormat="1" applyFill="1" applyBorder="1"/>
    <xf numFmtId="4" fontId="0" fillId="0" borderId="0" xfId="0" applyNumberFormat="1"/>
    <xf numFmtId="0" fontId="0" fillId="0" borderId="0" xfId="0" applyAlignment="1">
      <alignment vertical="center"/>
    </xf>
    <xf numFmtId="0" fontId="0" fillId="0" borderId="0" xfId="0" applyFill="1" applyBorder="1" applyAlignment="1">
      <alignment vertical="center" wrapText="1"/>
    </xf>
    <xf numFmtId="0" fontId="3" fillId="0" borderId="0" xfId="0" applyFont="1" applyFill="1" applyBorder="1" applyAlignment="1">
      <alignment vertical="center" wrapText="1"/>
    </xf>
    <xf numFmtId="0" fontId="0" fillId="0" borderId="3" xfId="0" applyBorder="1" applyAlignment="1">
      <alignment vertical="center"/>
    </xf>
    <xf numFmtId="0" fontId="0" fillId="0" borderId="0" xfId="0" applyAlignment="1">
      <alignment horizontal="left"/>
    </xf>
    <xf numFmtId="0" fontId="3" fillId="0" borderId="5" xfId="0" applyFont="1" applyBorder="1"/>
    <xf numFmtId="0" fontId="3" fillId="0" borderId="0" xfId="0" applyFont="1" applyAlignment="1">
      <alignment vertical="center"/>
    </xf>
    <xf numFmtId="0" fontId="0" fillId="0" borderId="0" xfId="0" applyBorder="1" applyAlignment="1">
      <alignment horizont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10" xfId="0" applyBorder="1"/>
    <xf numFmtId="0" fontId="0" fillId="0" borderId="11" xfId="0" applyBorder="1"/>
    <xf numFmtId="0" fontId="0" fillId="0" borderId="12" xfId="0" applyBorder="1"/>
    <xf numFmtId="0" fontId="0" fillId="0" borderId="3" xfId="0" applyFill="1" applyBorder="1" applyAlignment="1">
      <alignment horizontal="center"/>
    </xf>
    <xf numFmtId="0" fontId="0" fillId="0" borderId="2" xfId="0" applyFill="1" applyBorder="1" applyAlignment="1">
      <alignment horizontal="center"/>
    </xf>
    <xf numFmtId="0" fontId="0" fillId="0" borderId="5" xfId="0" applyFill="1" applyBorder="1"/>
    <xf numFmtId="0" fontId="0" fillId="0" borderId="9" xfId="0" applyFill="1" applyBorder="1"/>
    <xf numFmtId="0" fontId="0" fillId="0" borderId="0" xfId="0" quotePrefix="1" applyBorder="1"/>
    <xf numFmtId="0" fontId="8" fillId="0" borderId="0" xfId="0" applyFont="1" applyBorder="1"/>
    <xf numFmtId="0" fontId="0" fillId="0" borderId="13" xfId="0" applyBorder="1"/>
    <xf numFmtId="0" fontId="2" fillId="0" borderId="0" xfId="0" applyFont="1" applyBorder="1"/>
    <xf numFmtId="0" fontId="3" fillId="0" borderId="0" xfId="0" applyFont="1" applyFill="1" applyBorder="1" applyAlignment="1">
      <alignment horizontal="center"/>
    </xf>
    <xf numFmtId="0" fontId="2" fillId="0" borderId="0" xfId="0" applyFont="1" applyFill="1"/>
    <xf numFmtId="0" fontId="0" fillId="0" borderId="8" xfId="0" applyFill="1" applyBorder="1"/>
    <xf numFmtId="2" fontId="3" fillId="0" borderId="0" xfId="0" applyNumberFormat="1" applyFont="1" applyBorder="1"/>
    <xf numFmtId="2" fontId="0" fillId="0" borderId="0" xfId="0" applyNumberFormat="1" applyBorder="1"/>
    <xf numFmtId="2" fontId="0" fillId="0" borderId="0" xfId="0" applyNumberFormat="1" applyFill="1" applyBorder="1"/>
    <xf numFmtId="0" fontId="3" fillId="0" borderId="0" xfId="0" applyFont="1" applyBorder="1"/>
    <xf numFmtId="0" fontId="0" fillId="0" borderId="7" xfId="0" applyFill="1" applyBorder="1"/>
    <xf numFmtId="0" fontId="3" fillId="0" borderId="2" xfId="0" applyFont="1" applyFill="1" applyBorder="1" applyAlignment="1">
      <alignment horizontal="center"/>
    </xf>
    <xf numFmtId="2" fontId="0" fillId="0" borderId="2" xfId="0" applyNumberFormat="1" applyFill="1" applyBorder="1"/>
    <xf numFmtId="0" fontId="0" fillId="0" borderId="6" xfId="0" applyFill="1" applyBorder="1"/>
    <xf numFmtId="0" fontId="3" fillId="0" borderId="3" xfId="0" applyFont="1" applyFill="1" applyBorder="1" applyAlignment="1">
      <alignment horizontal="center"/>
    </xf>
    <xf numFmtId="2" fontId="0" fillId="0" borderId="3" xfId="0" applyNumberFormat="1" applyFill="1" applyBorder="1"/>
    <xf numFmtId="2" fontId="0" fillId="0" borderId="5" xfId="0" applyNumberFormat="1" applyFill="1" applyBorder="1"/>
    <xf numFmtId="2" fontId="0" fillId="0" borderId="9" xfId="0" applyNumberFormat="1" applyFill="1" applyBorder="1"/>
    <xf numFmtId="2" fontId="0" fillId="0" borderId="4" xfId="0" applyNumberFormat="1" applyFill="1" applyBorder="1"/>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4" xfId="0" applyFont="1" applyFill="1" applyBorder="1" applyAlignment="1">
      <alignment horizontal="center"/>
    </xf>
    <xf numFmtId="0" fontId="7" fillId="0" borderId="0" xfId="0" applyFont="1" applyBorder="1"/>
    <xf numFmtId="0" fontId="0" fillId="0" borderId="0" xfId="0" applyAlignment="1">
      <alignment horizontal="center" wrapText="1"/>
    </xf>
    <xf numFmtId="4" fontId="0" fillId="0" borderId="14" xfId="0" applyNumberFormat="1" applyBorder="1"/>
    <xf numFmtId="0" fontId="6" fillId="0" borderId="0" xfId="0" applyFont="1"/>
    <xf numFmtId="4" fontId="0" fillId="0" borderId="0" xfId="0" applyNumberFormat="1" applyFill="1"/>
    <xf numFmtId="4" fontId="0" fillId="0" borderId="8" xfId="0" applyNumberFormat="1" applyBorder="1"/>
    <xf numFmtId="0" fontId="0" fillId="0" borderId="8" xfId="0" applyBorder="1" applyAlignment="1">
      <alignment horizontal="center"/>
    </xf>
    <xf numFmtId="4" fontId="0" fillId="0" borderId="5" xfId="0" applyNumberFormat="1" applyBorder="1"/>
    <xf numFmtId="0" fontId="0" fillId="0" borderId="5" xfId="0" applyBorder="1" applyAlignment="1">
      <alignment horizontal="center"/>
    </xf>
    <xf numFmtId="0" fontId="0" fillId="0" borderId="0" xfId="0" applyAlignment="1">
      <alignment horizontal="center" vertical="top"/>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9" fontId="0" fillId="0" borderId="0" xfId="11" applyFont="1" applyBorder="1" applyAlignment="1">
      <alignment horizontal="center"/>
    </xf>
    <xf numFmtId="9" fontId="0" fillId="0" borderId="0" xfId="11" applyFont="1" applyFill="1" applyBorder="1" applyAlignment="1">
      <alignment horizontal="center"/>
    </xf>
    <xf numFmtId="0" fontId="0" fillId="0" borderId="0" xfId="0" applyFill="1" applyBorder="1" applyAlignment="1">
      <alignment horizontal="left" indent="3"/>
    </xf>
    <xf numFmtId="0" fontId="0" fillId="0" borderId="0" xfId="0" applyBorder="1" applyAlignment="1">
      <alignment horizontal="left" indent="3"/>
    </xf>
    <xf numFmtId="10" fontId="0" fillId="0" borderId="0" xfId="11" applyNumberFormat="1" applyFont="1" applyFill="1" applyBorder="1"/>
    <xf numFmtId="175" fontId="3" fillId="0" borderId="0" xfId="11" applyNumberFormat="1" applyFont="1" applyFill="1" applyBorder="1"/>
    <xf numFmtId="0" fontId="0" fillId="0" borderId="0" xfId="0" applyBorder="1" applyAlignment="1">
      <alignment horizontal="right"/>
    </xf>
    <xf numFmtId="0" fontId="0" fillId="0" borderId="3" xfId="0" applyBorder="1" applyAlignment="1">
      <alignment horizontal="center" wrapText="1"/>
    </xf>
    <xf numFmtId="0" fontId="0" fillId="0" borderId="0" xfId="0" applyBorder="1" applyAlignment="1">
      <alignment horizontal="center" wrapText="1"/>
    </xf>
    <xf numFmtId="0" fontId="0" fillId="0" borderId="0" xfId="0" applyFill="1" applyBorder="1" applyAlignment="1">
      <alignment horizontal="center" wrapText="1"/>
    </xf>
    <xf numFmtId="0" fontId="0" fillId="0" borderId="2" xfId="0" applyBorder="1" applyAlignment="1">
      <alignment horizont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3" xfId="0" applyFont="1" applyFill="1" applyBorder="1"/>
    <xf numFmtId="0" fontId="3" fillId="0" borderId="2" xfId="0" applyFont="1" applyFill="1" applyBorder="1"/>
    <xf numFmtId="0" fontId="3" fillId="0" borderId="5" xfId="0" applyFont="1" applyFill="1" applyBorder="1"/>
    <xf numFmtId="0" fontId="3" fillId="0" borderId="4" xfId="0" applyFont="1" applyFill="1" applyBorder="1"/>
    <xf numFmtId="0" fontId="13" fillId="0" borderId="0" xfId="0" applyFont="1" applyBorder="1"/>
    <xf numFmtId="0" fontId="0" fillId="0" borderId="15" xfId="0" applyBorder="1" applyAlignment="1">
      <alignment vertical="center"/>
    </xf>
    <xf numFmtId="0" fontId="3" fillId="0" borderId="0" xfId="0" applyFont="1" applyFill="1" applyBorder="1" applyAlignment="1">
      <alignment horizontal="center" wrapText="1"/>
    </xf>
    <xf numFmtId="0" fontId="0" fillId="0" borderId="0" xfId="0" applyBorder="1" applyAlignment="1">
      <alignment horizontal="center" vertical="center" wrapText="1"/>
    </xf>
    <xf numFmtId="170" fontId="0" fillId="0" borderId="0" xfId="11" applyNumberFormat="1" applyFont="1" applyBorder="1" applyAlignment="1">
      <alignment horizontal="center"/>
    </xf>
    <xf numFmtId="0" fontId="0" fillId="0" borderId="15" xfId="0" applyBorder="1"/>
    <xf numFmtId="171" fontId="0" fillId="0" borderId="15" xfId="0" applyNumberFormat="1" applyBorder="1" applyAlignment="1">
      <alignment horizontal="right" indent="1"/>
    </xf>
    <xf numFmtId="0" fontId="0" fillId="0" borderId="15" xfId="0" applyBorder="1" applyAlignment="1">
      <alignment horizontal="right" indent="1"/>
    </xf>
    <xf numFmtId="0" fontId="0" fillId="0" borderId="0" xfId="0" applyBorder="1" applyAlignment="1">
      <alignment horizontal="right" vertical="center" wrapText="1"/>
    </xf>
    <xf numFmtId="0" fontId="0" fillId="2" borderId="0" xfId="0" applyFill="1" applyBorder="1" applyAlignment="1">
      <alignment vertical="center"/>
    </xf>
    <xf numFmtId="9" fontId="2" fillId="0" borderId="15" xfId="11" applyBorder="1" applyAlignment="1">
      <alignment horizontal="right" indent="1"/>
    </xf>
    <xf numFmtId="0" fontId="0" fillId="0" borderId="16" xfId="0" applyBorder="1"/>
    <xf numFmtId="0" fontId="0" fillId="0" borderId="17" xfId="0" applyBorder="1"/>
    <xf numFmtId="168" fontId="0" fillId="0" borderId="0" xfId="0" applyNumberFormat="1" applyFill="1"/>
    <xf numFmtId="0" fontId="0" fillId="0" borderId="15" xfId="0" applyBorder="1" applyAlignment="1">
      <alignment horizontal="center"/>
    </xf>
    <xf numFmtId="0" fontId="0" fillId="0" borderId="15" xfId="0" applyFill="1" applyBorder="1"/>
    <xf numFmtId="0" fontId="13" fillId="2" borderId="0" xfId="0" applyFont="1" applyFill="1"/>
    <xf numFmtId="0" fontId="3" fillId="0" borderId="15" xfId="0" applyFont="1" applyBorder="1"/>
    <xf numFmtId="171" fontId="3" fillId="0" borderId="15" xfId="0" applyNumberFormat="1" applyFont="1" applyBorder="1" applyAlignment="1">
      <alignment horizontal="right" indent="1"/>
    </xf>
    <xf numFmtId="0" fontId="5" fillId="2" borderId="0" xfId="0" applyFont="1" applyFill="1"/>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Fill="1" applyBorder="1" applyAlignment="1">
      <alignment horizontal="right" vertical="center"/>
    </xf>
    <xf numFmtId="0" fontId="0" fillId="0" borderId="21" xfId="0" applyFill="1" applyBorder="1" applyAlignment="1">
      <alignment horizontal="center"/>
    </xf>
    <xf numFmtId="0" fontId="0" fillId="3" borderId="21" xfId="0" applyFill="1" applyBorder="1" applyAlignment="1">
      <alignment horizontal="center"/>
    </xf>
    <xf numFmtId="0" fontId="3" fillId="0" borderId="18" xfId="0" applyFont="1" applyFill="1" applyBorder="1" applyAlignment="1">
      <alignment horizontal="center"/>
    </xf>
    <xf numFmtId="170" fontId="0" fillId="0" borderId="22" xfId="11" applyNumberFormat="1" applyFont="1" applyFill="1" applyBorder="1" applyAlignment="1">
      <alignment horizontal="right" indent="1"/>
    </xf>
    <xf numFmtId="0" fontId="0" fillId="4" borderId="15" xfId="0" applyFill="1" applyBorder="1"/>
    <xf numFmtId="0" fontId="0" fillId="0" borderId="23" xfId="0" applyFill="1" applyBorder="1" applyAlignment="1">
      <alignment horizontal="center"/>
    </xf>
    <xf numFmtId="0" fontId="0" fillId="0" borderId="24" xfId="0" applyBorder="1"/>
    <xf numFmtId="170" fontId="2" fillId="0" borderId="0" xfId="11" applyNumberFormat="1" applyBorder="1" applyAlignment="1">
      <alignment horizontal="center"/>
    </xf>
    <xf numFmtId="0" fontId="20" fillId="0" borderId="0" xfId="0" applyFont="1"/>
    <xf numFmtId="171" fontId="3" fillId="0" borderId="15" xfId="0" applyNumberFormat="1" applyFont="1" applyFill="1" applyBorder="1" applyAlignment="1">
      <alignment horizontal="right" indent="1"/>
    </xf>
    <xf numFmtId="0" fontId="0" fillId="2" borderId="0" xfId="0" applyFill="1" applyAlignment="1">
      <alignment horizontal="center"/>
    </xf>
    <xf numFmtId="0" fontId="3" fillId="0" borderId="15" xfId="0" applyFont="1" applyBorder="1" applyAlignment="1">
      <alignment horizontal="center"/>
    </xf>
    <xf numFmtId="171" fontId="0" fillId="0" borderId="15" xfId="0" applyNumberFormat="1" applyFill="1" applyBorder="1" applyAlignment="1">
      <alignment horizontal="right" indent="1"/>
    </xf>
    <xf numFmtId="3" fontId="0" fillId="0" borderId="0" xfId="0" applyNumberFormat="1" applyFill="1" applyBorder="1"/>
    <xf numFmtId="3" fontId="5" fillId="0" borderId="0" xfId="0" applyNumberFormat="1" applyFont="1" applyFill="1" applyBorder="1"/>
    <xf numFmtId="0" fontId="2" fillId="0" borderId="15" xfId="0" applyFont="1" applyFill="1" applyBorder="1" applyAlignment="1">
      <alignment vertical="center"/>
    </xf>
    <xf numFmtId="0" fontId="0" fillId="0" borderId="15" xfId="0" applyFill="1" applyBorder="1" applyAlignment="1">
      <alignment vertical="center"/>
    </xf>
    <xf numFmtId="0" fontId="21" fillId="0" borderId="0" xfId="0" applyFont="1" applyFill="1" applyBorder="1"/>
    <xf numFmtId="0" fontId="20" fillId="0" borderId="0" xfId="0" applyFont="1" applyBorder="1"/>
    <xf numFmtId="0" fontId="20" fillId="0" borderId="0" xfId="0" applyFont="1" applyFill="1" applyBorder="1" applyAlignment="1">
      <alignment horizontal="center"/>
    </xf>
    <xf numFmtId="0" fontId="20" fillId="0" borderId="0" xfId="0" applyFont="1" applyFill="1" applyBorder="1"/>
    <xf numFmtId="0" fontId="20" fillId="0" borderId="0" xfId="0" applyFont="1" applyBorder="1" applyAlignment="1">
      <alignment horizontal="center"/>
    </xf>
    <xf numFmtId="3" fontId="5"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right" wrapText="1"/>
    </xf>
    <xf numFmtId="3" fontId="22" fillId="0" borderId="0" xfId="0" applyNumberFormat="1" applyFont="1" applyFill="1" applyBorder="1"/>
    <xf numFmtId="3" fontId="6" fillId="0" borderId="0" xfId="0" applyNumberFormat="1" applyFont="1" applyFill="1" applyBorder="1"/>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top" wrapText="1"/>
    </xf>
    <xf numFmtId="3" fontId="5" fillId="0" borderId="0" xfId="0" applyNumberFormat="1" applyFont="1" applyFill="1" applyBorder="1" applyProtection="1"/>
    <xf numFmtId="3" fontId="5" fillId="0" borderId="0" xfId="0" quotePrefix="1" applyNumberFormat="1" applyFont="1" applyFill="1" applyBorder="1" applyAlignment="1">
      <alignment horizontal="left" vertical="top" wrapText="1"/>
    </xf>
    <xf numFmtId="3" fontId="5" fillId="0" borderId="0" xfId="0" applyNumberFormat="1" applyFont="1" applyFill="1" applyBorder="1" applyAlignment="1"/>
    <xf numFmtId="3" fontId="3" fillId="0" borderId="0" xfId="0" applyNumberFormat="1" applyFont="1" applyFill="1" applyBorder="1"/>
    <xf numFmtId="3" fontId="3" fillId="0" borderId="0" xfId="0" quotePrefix="1" applyNumberFormat="1" applyFont="1" applyFill="1" applyBorder="1" applyAlignment="1">
      <alignment horizontal="left" vertical="top" wrapText="1"/>
    </xf>
    <xf numFmtId="3" fontId="3" fillId="5" borderId="25" xfId="0" applyNumberFormat="1" applyFont="1" applyFill="1" applyBorder="1" applyAlignment="1">
      <alignment horizontal="right" wrapText="1"/>
    </xf>
    <xf numFmtId="3" fontId="3"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left" vertical="top"/>
    </xf>
    <xf numFmtId="3" fontId="3" fillId="6" borderId="0" xfId="0" applyNumberFormat="1" applyFont="1" applyFill="1" applyBorder="1" applyAlignment="1">
      <alignment horizontal="center" wrapText="1"/>
    </xf>
    <xf numFmtId="3" fontId="5" fillId="0" borderId="0" xfId="0" applyNumberFormat="1" applyFont="1" applyFill="1" applyBorder="1" applyAlignment="1">
      <alignment horizontal="left"/>
    </xf>
    <xf numFmtId="0" fontId="2" fillId="0" borderId="0" xfId="0" applyFont="1" applyAlignment="1"/>
    <xf numFmtId="0" fontId="17" fillId="0" borderId="0" xfId="0" applyFont="1" applyFill="1" applyBorder="1"/>
    <xf numFmtId="0" fontId="18" fillId="0" borderId="0" xfId="0" applyFont="1" applyFill="1" applyBorder="1"/>
    <xf numFmtId="0" fontId="2" fillId="0" borderId="0" xfId="0" applyFont="1" applyFill="1" applyBorder="1" applyAlignment="1">
      <alignment horizontal="left"/>
    </xf>
    <xf numFmtId="9" fontId="2" fillId="0" borderId="0" xfId="0" applyNumberFormat="1" applyFont="1" applyFill="1" applyBorder="1"/>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horizontal="left" vertical="top" wrapText="1"/>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ill="1" applyBorder="1" applyAlignment="1">
      <alignment horizontal="left" vertical="center"/>
    </xf>
    <xf numFmtId="0" fontId="16" fillId="0" borderId="0" xfId="0" applyFont="1" applyFill="1" applyBorder="1" applyAlignment="1">
      <alignment vertical="center"/>
    </xf>
    <xf numFmtId="0" fontId="2" fillId="0" borderId="0" xfId="0" applyFont="1" applyFill="1" applyBorder="1" applyAlignment="1">
      <alignment wrapText="1"/>
    </xf>
    <xf numFmtId="0" fontId="3" fillId="0" borderId="0" xfId="0" applyFont="1" applyFill="1" applyBorder="1" applyAlignment="1">
      <alignment wrapText="1"/>
    </xf>
    <xf numFmtId="0" fontId="0" fillId="0" borderId="0" xfId="0" applyFill="1" applyBorder="1" applyAlignment="1">
      <alignment horizontal="left" wrapText="1"/>
    </xf>
    <xf numFmtId="0" fontId="0" fillId="0" borderId="0" xfId="0" quotePrefix="1" applyFill="1" applyBorder="1" applyAlignment="1">
      <alignment horizontal="left" vertical="center" wrapText="1"/>
    </xf>
    <xf numFmtId="0" fontId="3" fillId="0" borderId="0" xfId="0" applyFont="1" applyFill="1" applyBorder="1" applyAlignment="1">
      <alignment horizontal="left" vertical="top" wrapText="1"/>
    </xf>
    <xf numFmtId="0" fontId="0" fillId="0" borderId="0" xfId="0" applyFill="1" applyBorder="1" applyAlignment="1">
      <alignment wrapText="1"/>
    </xf>
    <xf numFmtId="0" fontId="5" fillId="0" borderId="0" xfId="0" applyFont="1" applyFill="1" applyBorder="1" applyAlignment="1"/>
    <xf numFmtId="0" fontId="5" fillId="0" borderId="0" xfId="0" applyFont="1" applyFill="1" applyBorder="1" applyAlignment="1">
      <alignment horizontal="left"/>
    </xf>
    <xf numFmtId="0" fontId="5" fillId="0" borderId="0" xfId="0" applyFont="1" applyFill="1" applyBorder="1" applyAlignment="1">
      <alignment horizontal="left" vertical="top"/>
    </xf>
    <xf numFmtId="0" fontId="5" fillId="0" borderId="0" xfId="0" applyFont="1" applyFill="1" applyBorder="1" applyAlignment="1">
      <alignment vertical="center"/>
    </xf>
    <xf numFmtId="0" fontId="0" fillId="0" borderId="0" xfId="0" applyFill="1" applyBorder="1" applyAlignment="1">
      <alignment horizontal="center" vertical="top" wrapText="1"/>
    </xf>
    <xf numFmtId="0" fontId="25" fillId="0" borderId="0" xfId="0" applyFont="1" applyFill="1" applyBorder="1" applyAlignment="1">
      <alignment vertical="center" wrapText="1"/>
    </xf>
    <xf numFmtId="0" fontId="26" fillId="0" borderId="0" xfId="0" applyFont="1" applyFill="1" applyBorder="1" applyAlignment="1">
      <alignment vertical="center" wrapText="1"/>
    </xf>
    <xf numFmtId="0" fontId="0" fillId="0" borderId="0" xfId="0" quotePrefix="1" applyFill="1" applyBorder="1" applyAlignment="1">
      <alignment vertical="center" wrapText="1"/>
    </xf>
    <xf numFmtId="0" fontId="0" fillId="0" borderId="0" xfId="0" applyFill="1" applyBorder="1" applyAlignment="1">
      <alignment horizontal="left" vertical="center" wrapText="1"/>
    </xf>
    <xf numFmtId="0" fontId="2" fillId="0" borderId="0" xfId="0" applyFont="1" applyFill="1" applyBorder="1" applyAlignment="1">
      <alignment vertical="center" wrapText="1"/>
    </xf>
    <xf numFmtId="16" fontId="0" fillId="0" borderId="0" xfId="0" applyNumberFormat="1" applyFill="1" applyBorder="1" applyAlignment="1">
      <alignment horizontal="right"/>
    </xf>
    <xf numFmtId="0" fontId="2" fillId="0" borderId="0" xfId="0" applyFont="1" applyFill="1" applyBorder="1" applyAlignment="1"/>
    <xf numFmtId="0" fontId="0" fillId="0" borderId="0" xfId="0" applyFill="1" applyBorder="1" applyAlignment="1">
      <alignment horizontal="left" vertical="top"/>
    </xf>
    <xf numFmtId="0" fontId="0" fillId="0" borderId="0" xfId="0" applyFill="1" applyBorder="1" applyAlignment="1">
      <alignment horizontal="center" vertical="top"/>
    </xf>
    <xf numFmtId="0" fontId="0" fillId="0" borderId="0" xfId="0" applyFill="1" applyBorder="1" applyAlignment="1"/>
    <xf numFmtId="0" fontId="2" fillId="0" borderId="0" xfId="0" applyFont="1" applyFill="1" applyBorder="1" applyAlignment="1">
      <alignment horizontal="left" vertical="center" wrapText="1"/>
    </xf>
    <xf numFmtId="0" fontId="0" fillId="7" borderId="8" xfId="0" applyFill="1" applyBorder="1" applyAlignment="1">
      <alignment horizontal="left"/>
    </xf>
    <xf numFmtId="171" fontId="3" fillId="0" borderId="6" xfId="0" applyNumberFormat="1" applyFont="1" applyFill="1" applyBorder="1" applyAlignment="1">
      <alignment horizontal="right" vertical="center" wrapText="1"/>
    </xf>
    <xf numFmtId="171" fontId="3" fillId="0" borderId="3" xfId="0" applyNumberFormat="1" applyFont="1" applyFill="1" applyBorder="1" applyAlignment="1">
      <alignment horizontal="right" vertical="center" wrapText="1"/>
    </xf>
    <xf numFmtId="171" fontId="0" fillId="0" borderId="8" xfId="0" applyNumberFormat="1" applyFill="1" applyBorder="1" applyAlignment="1">
      <alignment horizontal="right" vertical="center" wrapText="1"/>
    </xf>
    <xf numFmtId="0" fontId="0" fillId="0" borderId="8" xfId="0" applyFill="1" applyBorder="1" applyAlignment="1">
      <alignment vertical="center"/>
    </xf>
    <xf numFmtId="0" fontId="0" fillId="7" borderId="0" xfId="0" applyFill="1" applyBorder="1" applyAlignment="1">
      <alignment horizontal="left"/>
    </xf>
    <xf numFmtId="1" fontId="0" fillId="0" borderId="0" xfId="0" applyNumberFormat="1" applyBorder="1" applyAlignment="1"/>
    <xf numFmtId="0" fontId="0" fillId="0" borderId="3" xfId="0" applyFill="1" applyBorder="1" applyAlignment="1">
      <alignment horizontal="left" vertical="center" wrapText="1"/>
    </xf>
    <xf numFmtId="171" fontId="0" fillId="0" borderId="0" xfId="0" applyNumberFormat="1" applyFill="1" applyBorder="1" applyAlignment="1">
      <alignment horizontal="right" vertical="center" wrapText="1"/>
    </xf>
    <xf numFmtId="9" fontId="0" fillId="0" borderId="0" xfId="0" quotePrefix="1" applyNumberFormat="1" applyFill="1" applyBorder="1" applyAlignment="1">
      <alignment vertical="center"/>
    </xf>
    <xf numFmtId="171" fontId="3" fillId="0" borderId="0" xfId="0" applyNumberFormat="1" applyFont="1" applyFill="1" applyBorder="1" applyAlignment="1">
      <alignment horizontal="right" vertical="center" wrapText="1"/>
    </xf>
    <xf numFmtId="169" fontId="0" fillId="0" borderId="0" xfId="0" applyNumberFormat="1" applyFill="1" applyBorder="1" applyAlignment="1">
      <alignment vertical="center"/>
    </xf>
    <xf numFmtId="1" fontId="0" fillId="0" borderId="5" xfId="0" applyNumberFormat="1" applyBorder="1" applyAlignment="1"/>
    <xf numFmtId="0" fontId="0" fillId="0" borderId="4" xfId="0" applyBorder="1" applyAlignment="1">
      <alignment vertical="center"/>
    </xf>
    <xf numFmtId="171" fontId="3" fillId="0" borderId="4" xfId="0" applyNumberFormat="1" applyFont="1" applyFill="1" applyBorder="1" applyAlignment="1">
      <alignment horizontal="right" vertical="center" wrapText="1"/>
    </xf>
    <xf numFmtId="0" fontId="0" fillId="0" borderId="4" xfId="0" applyFill="1" applyBorder="1" applyAlignment="1">
      <alignment horizontal="left" vertical="center" wrapText="1"/>
    </xf>
    <xf numFmtId="171" fontId="0" fillId="0" borderId="5" xfId="0" applyNumberFormat="1" applyFill="1" applyBorder="1" applyAlignment="1">
      <alignment horizontal="right" vertical="center" wrapText="1"/>
    </xf>
    <xf numFmtId="0" fontId="0" fillId="0" borderId="5" xfId="0" applyFill="1" applyBorder="1" applyAlignment="1">
      <alignment vertical="center"/>
    </xf>
    <xf numFmtId="0" fontId="0" fillId="3" borderId="0" xfId="0" applyFill="1" applyBorder="1" applyAlignment="1">
      <alignment horizontal="left"/>
    </xf>
    <xf numFmtId="16" fontId="0" fillId="3" borderId="0" xfId="0" applyNumberFormat="1" applyFill="1" applyBorder="1" applyAlignment="1">
      <alignment horizontal="left"/>
    </xf>
    <xf numFmtId="16" fontId="0" fillId="3" borderId="5" xfId="0" applyNumberFormat="1" applyFill="1" applyBorder="1" applyAlignment="1">
      <alignment horizontal="left"/>
    </xf>
    <xf numFmtId="9" fontId="0" fillId="0" borderId="5" xfId="0" applyNumberFormat="1" applyBorder="1"/>
    <xf numFmtId="0" fontId="0" fillId="0" borderId="4" xfId="0" applyFill="1" applyBorder="1" applyAlignment="1">
      <alignment vertical="center"/>
    </xf>
    <xf numFmtId="9" fontId="0" fillId="0" borderId="0" xfId="0" applyNumberFormat="1" applyBorder="1"/>
    <xf numFmtId="0" fontId="2" fillId="0" borderId="0" xfId="0" applyFont="1" applyFill="1" applyBorder="1" applyAlignment="1">
      <alignment horizontal="left" vertical="top" wrapText="1"/>
    </xf>
    <xf numFmtId="0" fontId="2" fillId="0" borderId="5" xfId="0" applyFont="1" applyFill="1" applyBorder="1"/>
    <xf numFmtId="0" fontId="2" fillId="0" borderId="5" xfId="0" applyFont="1" applyFill="1" applyBorder="1" applyAlignment="1">
      <alignment horizontal="left"/>
    </xf>
    <xf numFmtId="171" fontId="3" fillId="0" borderId="2" xfId="0" applyNumberFormat="1" applyFont="1" applyFill="1" applyBorder="1"/>
    <xf numFmtId="0" fontId="0" fillId="0" borderId="3" xfId="0" quotePrefix="1" applyFill="1" applyBorder="1" applyAlignment="1">
      <alignment horizontal="center"/>
    </xf>
    <xf numFmtId="0" fontId="5" fillId="0" borderId="5" xfId="0" applyFont="1" applyFill="1" applyBorder="1"/>
    <xf numFmtId="171" fontId="3" fillId="0" borderId="9" xfId="0" applyNumberFormat="1" applyFont="1" applyFill="1" applyBorder="1"/>
    <xf numFmtId="0" fontId="27" fillId="0" borderId="0" xfId="0" applyFont="1" applyFill="1" applyBorder="1" applyAlignment="1">
      <alignment horizontal="center" vertical="center"/>
    </xf>
    <xf numFmtId="0" fontId="28" fillId="0" borderId="0" xfId="0" applyFont="1" applyFill="1" applyBorder="1"/>
    <xf numFmtId="0" fontId="27" fillId="0" borderId="0" xfId="0" applyFont="1" applyFill="1" applyBorder="1"/>
    <xf numFmtId="0" fontId="27" fillId="0" borderId="0" xfId="0" applyFont="1" applyFill="1" applyBorder="1" applyAlignment="1">
      <alignment horizontal="left"/>
    </xf>
    <xf numFmtId="0" fontId="27" fillId="0" borderId="0" xfId="0" applyFont="1" applyFill="1" applyBorder="1" applyAlignment="1">
      <alignment vertical="center"/>
    </xf>
    <xf numFmtId="0" fontId="24" fillId="0" borderId="0" xfId="0" applyFont="1" applyFill="1" applyBorder="1" applyAlignment="1">
      <alignment vertical="center"/>
    </xf>
    <xf numFmtId="0" fontId="30" fillId="0" borderId="0" xfId="0" applyFont="1" applyFill="1" applyBorder="1" applyAlignment="1"/>
    <xf numFmtId="0" fontId="3" fillId="8" borderId="0" xfId="0" applyFont="1" applyFill="1" applyBorder="1" applyAlignment="1">
      <alignment horizontal="left" wrapText="1"/>
    </xf>
    <xf numFmtId="0" fontId="5" fillId="8" borderId="0" xfId="0" applyFont="1" applyFill="1" applyBorder="1" applyAlignment="1">
      <alignment horizontal="left" vertical="top"/>
    </xf>
    <xf numFmtId="0" fontId="3" fillId="8" borderId="0" xfId="0" applyFont="1" applyFill="1" applyBorder="1" applyAlignment="1">
      <alignment horizontal="left" vertical="center" wrapText="1"/>
    </xf>
    <xf numFmtId="0" fontId="0" fillId="8" borderId="0" xfId="0" applyFill="1" applyBorder="1" applyAlignment="1">
      <alignment horizontal="left" vertical="top" wrapText="1"/>
    </xf>
    <xf numFmtId="169" fontId="2" fillId="8" borderId="27" xfId="0" applyNumberFormat="1" applyFont="1" applyFill="1" applyBorder="1" applyAlignment="1">
      <alignment horizontal="right" wrapText="1"/>
    </xf>
    <xf numFmtId="0" fontId="0" fillId="8" borderId="3" xfId="0" applyFill="1" applyBorder="1" applyAlignment="1">
      <alignment vertical="center"/>
    </xf>
    <xf numFmtId="171" fontId="3" fillId="8" borderId="3" xfId="0" applyNumberFormat="1" applyFont="1" applyFill="1" applyBorder="1" applyAlignment="1">
      <alignment horizontal="right" vertical="center" wrapText="1"/>
    </xf>
    <xf numFmtId="169" fontId="2" fillId="8" borderId="28" xfId="0" applyNumberFormat="1" applyFont="1" applyFill="1" applyBorder="1" applyAlignment="1">
      <alignment horizontal="right" wrapText="1"/>
    </xf>
    <xf numFmtId="0" fontId="0" fillId="8" borderId="4" xfId="0" applyFill="1" applyBorder="1" applyAlignment="1">
      <alignment vertical="center"/>
    </xf>
    <xf numFmtId="171" fontId="3" fillId="8" borderId="4" xfId="0" applyNumberFormat="1" applyFont="1" applyFill="1" applyBorder="1" applyAlignment="1">
      <alignment horizontal="right" vertical="center" wrapText="1"/>
    </xf>
    <xf numFmtId="0" fontId="0" fillId="0" borderId="5" xfId="0" applyFill="1" applyBorder="1" applyAlignment="1">
      <alignment horizontal="left" vertical="top" wrapText="1"/>
    </xf>
    <xf numFmtId="171" fontId="0" fillId="0" borderId="0" xfId="0" applyNumberFormat="1" applyFill="1" applyBorder="1" applyAlignment="1">
      <alignment horizontal="right" indent="1"/>
    </xf>
    <xf numFmtId="3" fontId="3" fillId="4" borderId="0" xfId="0" applyNumberFormat="1" applyFont="1" applyFill="1" applyBorder="1" applyAlignment="1">
      <alignment horizontal="center" vertical="top" wrapText="1"/>
    </xf>
    <xf numFmtId="3" fontId="5" fillId="4" borderId="0" xfId="0" applyNumberFormat="1" applyFont="1" applyFill="1" applyBorder="1" applyAlignment="1" applyProtection="1">
      <alignment horizontal="right" vertical="top" wrapText="1"/>
      <protection locked="0"/>
    </xf>
    <xf numFmtId="0" fontId="0" fillId="0" borderId="4" xfId="0" applyFill="1" applyBorder="1" applyAlignment="1">
      <alignment horizontal="center"/>
    </xf>
    <xf numFmtId="0" fontId="8" fillId="0" borderId="5" xfId="0" applyFont="1" applyBorder="1"/>
    <xf numFmtId="0" fontId="0" fillId="0" borderId="5" xfId="0" applyFill="1" applyBorder="1" applyAlignment="1">
      <alignment horizontal="center"/>
    </xf>
    <xf numFmtId="171" fontId="3" fillId="8" borderId="28" xfId="0" applyNumberFormat="1" applyFont="1" applyFill="1" applyBorder="1" applyAlignment="1">
      <alignment horizontal="right" vertical="center" wrapText="1"/>
    </xf>
    <xf numFmtId="171" fontId="3" fillId="8" borderId="29" xfId="0" applyNumberFormat="1" applyFont="1" applyFill="1" applyBorder="1" applyAlignment="1">
      <alignment horizontal="right" vertical="center" wrapText="1"/>
    </xf>
    <xf numFmtId="0" fontId="3" fillId="0" borderId="0" xfId="0" applyFont="1" applyFill="1" applyAlignment="1">
      <alignment vertical="center"/>
    </xf>
    <xf numFmtId="169" fontId="2" fillId="0" borderId="0" xfId="0" applyNumberFormat="1" applyFont="1" applyFill="1" applyBorder="1"/>
    <xf numFmtId="169" fontId="0" fillId="0" borderId="0" xfId="0" applyNumberFormat="1" applyFill="1" applyBorder="1" applyAlignment="1">
      <alignment horizontal="left" vertical="top" wrapText="1"/>
    </xf>
    <xf numFmtId="169" fontId="2" fillId="0" borderId="0" xfId="0" applyNumberFormat="1" applyFont="1" applyFill="1" applyBorder="1" applyAlignment="1">
      <alignment horizontal="right" wrapText="1"/>
    </xf>
    <xf numFmtId="169" fontId="3" fillId="8" borderId="3" xfId="0" applyNumberFormat="1" applyFont="1" applyFill="1" applyBorder="1" applyAlignment="1">
      <alignment horizontal="right" vertical="center" wrapText="1"/>
    </xf>
    <xf numFmtId="169" fontId="0" fillId="0" borderId="3" xfId="0" applyNumberFormat="1" applyFill="1" applyBorder="1" applyAlignment="1">
      <alignment horizontal="left" vertical="center" wrapText="1"/>
    </xf>
    <xf numFmtId="169" fontId="0" fillId="0" borderId="0" xfId="0" quotePrefix="1" applyNumberFormat="1" applyFill="1" applyBorder="1" applyAlignment="1">
      <alignment vertical="center"/>
    </xf>
    <xf numFmtId="169" fontId="2" fillId="0" borderId="28" xfId="0" applyNumberFormat="1" applyFont="1" applyFill="1" applyBorder="1" applyAlignment="1">
      <alignment horizontal="right" wrapText="1"/>
    </xf>
    <xf numFmtId="0" fontId="12" fillId="9" borderId="1" xfId="0" applyFont="1" applyFill="1" applyBorder="1" applyAlignment="1">
      <alignment horizontal="center" vertical="center"/>
    </xf>
    <xf numFmtId="0" fontId="14" fillId="9" borderId="1" xfId="0" applyFont="1" applyFill="1" applyBorder="1" applyAlignment="1">
      <alignment vertical="center"/>
    </xf>
    <xf numFmtId="0" fontId="12" fillId="9" borderId="1" xfId="0" applyFont="1" applyFill="1" applyBorder="1" applyAlignment="1">
      <alignment vertical="center"/>
    </xf>
    <xf numFmtId="0" fontId="12" fillId="0" borderId="0" xfId="0" applyFont="1" applyFill="1" applyBorder="1" applyAlignment="1">
      <alignment vertical="center"/>
    </xf>
    <xf numFmtId="0" fontId="0" fillId="0" borderId="2" xfId="0" applyFill="1" applyBorder="1" applyAlignment="1">
      <alignment horizontal="left" vertical="center" wrapText="1"/>
    </xf>
    <xf numFmtId="0" fontId="3" fillId="0" borderId="0" xfId="0" applyFont="1" applyAlignment="1">
      <alignment horizontal="center"/>
    </xf>
    <xf numFmtId="168" fontId="0" fillId="3" borderId="30" xfId="0" applyNumberFormat="1" applyFill="1" applyBorder="1" applyAlignment="1">
      <alignment horizontal="center"/>
    </xf>
    <xf numFmtId="168" fontId="0" fillId="0" borderId="0" xfId="0" applyNumberFormat="1"/>
    <xf numFmtId="168" fontId="0" fillId="0" borderId="30" xfId="0" applyNumberFormat="1" applyFill="1" applyBorder="1" applyAlignment="1">
      <alignment horizontal="center"/>
    </xf>
    <xf numFmtId="0" fontId="0" fillId="2" borderId="7" xfId="0" applyFill="1" applyBorder="1"/>
    <xf numFmtId="0" fontId="4" fillId="2" borderId="0" xfId="0" applyFont="1" applyFill="1" applyBorder="1"/>
    <xf numFmtId="0" fontId="33" fillId="0" borderId="0" xfId="0" applyFont="1" applyAlignment="1">
      <alignment horizontal="right"/>
    </xf>
    <xf numFmtId="0" fontId="3" fillId="0" borderId="16" xfId="0" applyFont="1" applyFill="1" applyBorder="1"/>
    <xf numFmtId="0" fontId="0" fillId="0" borderId="16" xfId="0" applyFill="1" applyBorder="1" applyAlignment="1">
      <alignment horizontal="center"/>
    </xf>
    <xf numFmtId="0" fontId="0" fillId="0" borderId="16" xfId="0" applyFill="1" applyBorder="1"/>
    <xf numFmtId="0" fontId="0" fillId="0" borderId="16" xfId="0" applyBorder="1" applyAlignment="1">
      <alignment horizontal="center"/>
    </xf>
    <xf numFmtId="0" fontId="3" fillId="0" borderId="17" xfId="0" applyFont="1" applyFill="1" applyBorder="1"/>
    <xf numFmtId="0" fontId="0" fillId="0" borderId="17" xfId="0" applyFill="1" applyBorder="1" applyAlignment="1">
      <alignment horizontal="center"/>
    </xf>
    <xf numFmtId="0" fontId="0" fillId="0" borderId="17" xfId="0" applyFill="1" applyBorder="1"/>
    <xf numFmtId="0" fontId="0" fillId="0" borderId="17" xfId="0" applyBorder="1" applyAlignment="1">
      <alignment horizontal="center"/>
    </xf>
    <xf numFmtId="0" fontId="3" fillId="10" borderId="31" xfId="0" applyFont="1" applyFill="1" applyBorder="1" applyAlignment="1">
      <alignment horizontal="center" vertical="center" textRotation="90" wrapText="1"/>
    </xf>
    <xf numFmtId="0" fontId="3" fillId="11" borderId="0" xfId="0" applyFont="1" applyFill="1" applyBorder="1" applyAlignment="1">
      <alignment horizontal="center" vertical="center" textRotation="90" wrapText="1"/>
    </xf>
    <xf numFmtId="0" fontId="3" fillId="12" borderId="32" xfId="0" applyFont="1" applyFill="1" applyBorder="1" applyAlignment="1">
      <alignment horizontal="center" vertical="center" textRotation="90"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0" fillId="0" borderId="31" xfId="0" applyFont="1" applyFill="1" applyBorder="1" applyAlignment="1">
      <alignment horizontal="center"/>
    </xf>
    <xf numFmtId="0" fontId="20" fillId="0" borderId="32"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xf>
    <xf numFmtId="0" fontId="0" fillId="0" borderId="39" xfId="0" applyFill="1" applyBorder="1" applyAlignment="1">
      <alignment horizontal="center"/>
    </xf>
    <xf numFmtId="0" fontId="0" fillId="0" borderId="40" xfId="0" applyFill="1" applyBorder="1" applyAlignment="1">
      <alignment horizontal="center"/>
    </xf>
    <xf numFmtId="0" fontId="0" fillId="0" borderId="35" xfId="0" applyFill="1" applyBorder="1" applyAlignment="1">
      <alignment horizontal="center"/>
    </xf>
    <xf numFmtId="0" fontId="0" fillId="0" borderId="36" xfId="0" applyFill="1" applyBorder="1" applyAlignment="1">
      <alignment horizontal="center"/>
    </xf>
    <xf numFmtId="4" fontId="0" fillId="0" borderId="41" xfId="0" applyNumberFormat="1" applyBorder="1"/>
    <xf numFmtId="4" fontId="20" fillId="2" borderId="14" xfId="0" applyNumberFormat="1" applyFont="1" applyFill="1" applyBorder="1" applyAlignment="1">
      <alignment horizontal="right" indent="1"/>
    </xf>
    <xf numFmtId="4" fontId="21" fillId="2" borderId="42" xfId="0" applyNumberFormat="1" applyFont="1" applyFill="1" applyBorder="1" applyAlignment="1">
      <alignment horizontal="right" indent="1"/>
    </xf>
    <xf numFmtId="4" fontId="0" fillId="0" borderId="43" xfId="0" applyNumberFormat="1" applyBorder="1"/>
    <xf numFmtId="4" fontId="3" fillId="2" borderId="42" xfId="0" applyNumberFormat="1" applyFont="1" applyFill="1" applyBorder="1" applyAlignment="1">
      <alignment horizontal="right" indent="1"/>
    </xf>
    <xf numFmtId="4" fontId="0" fillId="0" borderId="14" xfId="0" applyNumberFormat="1" applyFill="1" applyBorder="1" applyAlignment="1">
      <alignment horizontal="right" indent="1"/>
    </xf>
    <xf numFmtId="4" fontId="0" fillId="0" borderId="14" xfId="0" applyNumberFormat="1" applyBorder="1" applyAlignment="1">
      <alignment horizontal="right" indent="1"/>
    </xf>
    <xf numFmtId="4" fontId="3" fillId="0" borderId="14" xfId="0" applyNumberFormat="1" applyFont="1" applyFill="1" applyBorder="1" applyAlignment="1">
      <alignment horizontal="right" indent="1"/>
    </xf>
    <xf numFmtId="4" fontId="0" fillId="0" borderId="43" xfId="0" applyNumberFormat="1" applyFill="1" applyBorder="1" applyAlignment="1">
      <alignment horizontal="right" indent="1"/>
    </xf>
    <xf numFmtId="4" fontId="0" fillId="0" borderId="43" xfId="0" applyNumberFormat="1" applyFill="1" applyBorder="1"/>
    <xf numFmtId="4" fontId="0" fillId="0" borderId="14" xfId="0" applyNumberFormat="1" applyFill="1" applyBorder="1"/>
    <xf numFmtId="4" fontId="3" fillId="0" borderId="14" xfId="0" applyNumberFormat="1" applyFont="1" applyFill="1" applyBorder="1" applyAlignment="1">
      <alignment horizontal="right"/>
    </xf>
    <xf numFmtId="172" fontId="3" fillId="11" borderId="7" xfId="0" applyNumberFormat="1" applyFont="1" applyFill="1" applyBorder="1" applyAlignment="1">
      <alignment horizontal="right" vertical="center" wrapText="1"/>
    </xf>
    <xf numFmtId="172" fontId="3" fillId="11" borderId="2" xfId="0" applyNumberFormat="1" applyFont="1" applyFill="1" applyBorder="1" applyAlignment="1">
      <alignment horizontal="right" vertical="center" wrapText="1"/>
    </xf>
    <xf numFmtId="172" fontId="3" fillId="11" borderId="9" xfId="0" applyNumberFormat="1" applyFont="1" applyFill="1" applyBorder="1" applyAlignment="1">
      <alignment horizontal="right" vertical="center" wrapText="1"/>
    </xf>
    <xf numFmtId="0" fontId="2" fillId="0" borderId="15" xfId="0" applyFont="1" applyBorder="1"/>
    <xf numFmtId="0" fontId="3" fillId="0" borderId="0" xfId="0" applyFont="1" applyBorder="1" applyAlignment="1">
      <alignment horizontal="center" vertical="top" wrapText="1"/>
    </xf>
    <xf numFmtId="0" fontId="14" fillId="9" borderId="1" xfId="0" applyFont="1" applyFill="1" applyBorder="1" applyAlignment="1">
      <alignment horizontal="right" vertical="center"/>
    </xf>
    <xf numFmtId="0" fontId="15" fillId="9" borderId="1" xfId="0" applyFont="1" applyFill="1" applyBorder="1" applyAlignment="1">
      <alignment horizontal="right" vertical="center"/>
    </xf>
    <xf numFmtId="0" fontId="2" fillId="0" borderId="0" xfId="0" applyFont="1" applyFill="1" applyBorder="1" applyAlignment="1">
      <alignment horizontal="center"/>
    </xf>
    <xf numFmtId="0" fontId="30" fillId="0" borderId="0" xfId="0" applyFont="1" applyFill="1" applyBorder="1" applyAlignment="1">
      <alignment horizontal="center" vertical="center"/>
    </xf>
    <xf numFmtId="0" fontId="30" fillId="0" borderId="0" xfId="0" applyFont="1" applyFill="1" applyAlignment="1">
      <alignment vertical="center"/>
    </xf>
    <xf numFmtId="0" fontId="0" fillId="0" borderId="16" xfId="0" applyBorder="1" applyAlignment="1">
      <alignment horizontal="right"/>
    </xf>
    <xf numFmtId="3" fontId="0" fillId="0" borderId="0" xfId="0" applyNumberFormat="1"/>
    <xf numFmtId="177" fontId="0" fillId="0" borderId="0" xfId="0" applyNumberFormat="1"/>
    <xf numFmtId="0" fontId="0" fillId="0" borderId="17" xfId="0" applyBorder="1" applyAlignment="1">
      <alignment horizontal="right"/>
    </xf>
    <xf numFmtId="170" fontId="0" fillId="0" borderId="16" xfId="11" applyNumberFormat="1" applyFont="1" applyBorder="1" applyAlignment="1">
      <alignment horizontal="center"/>
    </xf>
    <xf numFmtId="0" fontId="0" fillId="0" borderId="30" xfId="0" applyBorder="1"/>
    <xf numFmtId="170" fontId="0" fillId="0" borderId="0" xfId="11" applyNumberFormat="1" applyFont="1" applyAlignment="1">
      <alignment horizontal="center"/>
    </xf>
    <xf numFmtId="170" fontId="0" fillId="0" borderId="8" xfId="11" applyNumberFormat="1" applyFont="1" applyBorder="1" applyAlignment="1">
      <alignment horizontal="center"/>
    </xf>
    <xf numFmtId="170" fontId="20" fillId="0" borderId="0" xfId="11" applyNumberFormat="1" applyFont="1" applyBorder="1" applyAlignment="1">
      <alignment horizontal="center"/>
    </xf>
    <xf numFmtId="170" fontId="0" fillId="0" borderId="5" xfId="11" applyNumberFormat="1" applyFont="1" applyBorder="1" applyAlignment="1">
      <alignment horizontal="center"/>
    </xf>
    <xf numFmtId="170" fontId="0" fillId="0" borderId="17" xfId="11" applyNumberFormat="1" applyFont="1" applyBorder="1" applyAlignment="1">
      <alignment horizontal="center"/>
    </xf>
    <xf numFmtId="170" fontId="0" fillId="0" borderId="0" xfId="11" applyNumberFormat="1" applyFont="1" applyFill="1" applyAlignment="1">
      <alignment horizontal="center"/>
    </xf>
    <xf numFmtId="0" fontId="3" fillId="0" borderId="44" xfId="0" applyFont="1" applyFill="1" applyBorder="1"/>
    <xf numFmtId="0" fontId="3" fillId="0" borderId="30" xfId="0" applyFont="1" applyBorder="1" applyAlignment="1">
      <alignment horizontal="center"/>
    </xf>
    <xf numFmtId="0" fontId="0" fillId="0" borderId="8" xfId="0" applyBorder="1" applyAlignment="1">
      <alignment horizontal="right"/>
    </xf>
    <xf numFmtId="0" fontId="20" fillId="0" borderId="0" xfId="0" applyFont="1" applyBorder="1" applyAlignment="1">
      <alignment horizontal="right"/>
    </xf>
    <xf numFmtId="0" fontId="20" fillId="0" borderId="0" xfId="0" quotePrefix="1" applyFont="1" applyBorder="1" applyAlignment="1">
      <alignment horizontal="right"/>
    </xf>
    <xf numFmtId="0" fontId="0" fillId="0" borderId="5" xfId="0" applyBorder="1" applyAlignment="1">
      <alignment horizontal="right"/>
    </xf>
    <xf numFmtId="0" fontId="0" fillId="0" borderId="17" xfId="0" quotePrefix="1" applyBorder="1" applyAlignment="1">
      <alignment horizontal="right"/>
    </xf>
    <xf numFmtId="0" fontId="3" fillId="0" borderId="5" xfId="0" applyFont="1" applyBorder="1" applyAlignment="1">
      <alignment horizontal="right"/>
    </xf>
    <xf numFmtId="0" fontId="0" fillId="0" borderId="37" xfId="0" applyBorder="1"/>
    <xf numFmtId="4" fontId="0" fillId="0" borderId="16" xfId="0" applyNumberFormat="1" applyBorder="1"/>
    <xf numFmtId="0" fontId="3" fillId="0" borderId="16" xfId="0" applyFont="1" applyBorder="1" applyAlignment="1">
      <alignment horizontal="center" wrapText="1"/>
    </xf>
    <xf numFmtId="4" fontId="3" fillId="0" borderId="31" xfId="0" applyNumberFormat="1" applyFont="1" applyBorder="1" applyAlignment="1">
      <alignment horizontal="left" vertical="top"/>
    </xf>
    <xf numFmtId="0" fontId="0" fillId="0" borderId="0" xfId="0" applyBorder="1" applyAlignment="1">
      <alignment horizontal="center" vertical="top"/>
    </xf>
    <xf numFmtId="170" fontId="3" fillId="0" borderId="0" xfId="11" applyNumberFormat="1" applyFont="1" applyBorder="1" applyAlignment="1">
      <alignment horizontal="center" vertical="top" wrapText="1"/>
    </xf>
    <xf numFmtId="0" fontId="0" fillId="0" borderId="0" xfId="0" applyBorder="1" applyAlignment="1">
      <alignment horizontal="right" vertical="top"/>
    </xf>
    <xf numFmtId="4" fontId="3" fillId="0" borderId="0" xfId="0" applyNumberFormat="1" applyFont="1" applyBorder="1" applyAlignment="1">
      <alignment horizontal="center" vertical="top"/>
    </xf>
    <xf numFmtId="0" fontId="3" fillId="0" borderId="0" xfId="0" applyFont="1" applyBorder="1" applyAlignment="1">
      <alignment horizontal="center" vertical="top"/>
    </xf>
    <xf numFmtId="0" fontId="0" fillId="0" borderId="39" xfId="0" applyBorder="1" applyAlignment="1">
      <alignment horizontal="center"/>
    </xf>
    <xf numFmtId="0" fontId="0" fillId="0" borderId="40" xfId="0" applyBorder="1" applyAlignment="1">
      <alignment horizontal="center"/>
    </xf>
    <xf numFmtId="4" fontId="0" fillId="0" borderId="17" xfId="0" applyNumberFormat="1" applyBorder="1" applyAlignment="1">
      <alignment horizontal="center"/>
    </xf>
    <xf numFmtId="4" fontId="0" fillId="0" borderId="45" xfId="0" applyNumberFormat="1" applyBorder="1" applyAlignment="1">
      <alignment horizontal="center"/>
    </xf>
    <xf numFmtId="4" fontId="3" fillId="0" borderId="46" xfId="0" applyNumberFormat="1" applyFont="1" applyBorder="1"/>
    <xf numFmtId="4" fontId="3" fillId="0" borderId="14" xfId="0" applyNumberFormat="1" applyFont="1" applyBorder="1" applyAlignment="1">
      <alignment horizontal="center" vertical="top" wrapText="1"/>
    </xf>
    <xf numFmtId="4" fontId="0" fillId="0" borderId="47" xfId="0" applyNumberFormat="1" applyFill="1" applyBorder="1"/>
    <xf numFmtId="0" fontId="0" fillId="0" borderId="0" xfId="0" applyFill="1" applyBorder="1" applyAlignment="1">
      <alignment horizontal="right"/>
    </xf>
    <xf numFmtId="171" fontId="3" fillId="0" borderId="15" xfId="0" applyNumberFormat="1" applyFont="1" applyBorder="1"/>
    <xf numFmtId="0" fontId="0" fillId="0" borderId="0" xfId="0" applyBorder="1" applyAlignment="1">
      <alignment horizontal="right" vertical="center"/>
    </xf>
    <xf numFmtId="171" fontId="0" fillId="0" borderId="15" xfId="0" applyNumberFormat="1" applyFill="1" applyBorder="1" applyAlignment="1">
      <alignment horizontal="center" vertical="center"/>
    </xf>
    <xf numFmtId="0" fontId="0" fillId="0" borderId="44" xfId="0" applyBorder="1" applyAlignment="1">
      <alignment horizontal="right" vertical="center" wrapText="1"/>
    </xf>
    <xf numFmtId="171" fontId="0" fillId="0" borderId="44" xfId="0" applyNumberFormat="1" applyFill="1" applyBorder="1" applyAlignment="1">
      <alignment horizontal="center" vertical="center"/>
    </xf>
    <xf numFmtId="171" fontId="0" fillId="0" borderId="30" xfId="0" applyNumberFormat="1" applyFill="1" applyBorder="1" applyAlignment="1">
      <alignment horizontal="center" vertical="center"/>
    </xf>
    <xf numFmtId="0" fontId="0" fillId="0" borderId="44" xfId="0" applyBorder="1"/>
    <xf numFmtId="0" fontId="0" fillId="0" borderId="44" xfId="0" applyBorder="1" applyAlignment="1">
      <alignment vertical="center"/>
    </xf>
    <xf numFmtId="0" fontId="0" fillId="0" borderId="30" xfId="0" applyBorder="1" applyAlignment="1">
      <alignment vertical="center"/>
    </xf>
    <xf numFmtId="0" fontId="0" fillId="0" borderId="0" xfId="0" applyFill="1" applyBorder="1" applyAlignment="1">
      <alignment horizontal="right" vertical="center"/>
    </xf>
    <xf numFmtId="171" fontId="3" fillId="0" borderId="0" xfId="0" applyNumberFormat="1" applyFont="1" applyAlignment="1">
      <alignment vertical="center"/>
    </xf>
    <xf numFmtId="171" fontId="3" fillId="0" borderId="44" xfId="0" applyNumberFormat="1" applyFont="1" applyBorder="1" applyAlignment="1">
      <alignment vertical="center"/>
    </xf>
    <xf numFmtId="171" fontId="3" fillId="0" borderId="15" xfId="0" applyNumberFormat="1" applyFont="1" applyBorder="1" applyAlignment="1">
      <alignment vertical="center"/>
    </xf>
    <xf numFmtId="0" fontId="0" fillId="0" borderId="44" xfId="0" applyBorder="1" applyAlignment="1">
      <alignment horizontal="right" indent="1"/>
    </xf>
    <xf numFmtId="3" fontId="0" fillId="0" borderId="15" xfId="0" applyNumberFormat="1" applyBorder="1"/>
    <xf numFmtId="178" fontId="0" fillId="0" borderId="15" xfId="0" applyNumberFormat="1" applyBorder="1"/>
    <xf numFmtId="171" fontId="3" fillId="0" borderId="15" xfId="0" applyNumberFormat="1" applyFont="1" applyBorder="1" applyAlignment="1">
      <alignment horizontal="right" vertical="center"/>
    </xf>
    <xf numFmtId="171" fontId="0" fillId="0" borderId="15" xfId="0" applyNumberFormat="1" applyBorder="1"/>
    <xf numFmtId="171" fontId="3" fillId="2" borderId="15" xfId="0" applyNumberFormat="1" applyFont="1" applyFill="1" applyBorder="1" applyAlignment="1">
      <alignment horizontal="right"/>
    </xf>
    <xf numFmtId="0" fontId="0" fillId="2" borderId="22" xfId="0" applyFill="1" applyBorder="1"/>
    <xf numFmtId="0" fontId="0" fillId="2" borderId="22" xfId="0" applyFill="1" applyBorder="1" applyAlignment="1">
      <alignment vertical="center"/>
    </xf>
    <xf numFmtId="176" fontId="3" fillId="2" borderId="22" xfId="0" applyNumberFormat="1" applyFont="1" applyFill="1" applyBorder="1"/>
    <xf numFmtId="173" fontId="0" fillId="2" borderId="0" xfId="0" applyNumberFormat="1" applyFill="1" applyBorder="1"/>
    <xf numFmtId="0" fontId="0" fillId="2" borderId="30" xfId="0" applyFill="1" applyBorder="1" applyAlignment="1">
      <alignment horizontal="center" vertical="center"/>
    </xf>
    <xf numFmtId="171" fontId="3" fillId="2" borderId="30" xfId="0" applyNumberFormat="1" applyFont="1" applyFill="1" applyBorder="1" applyAlignment="1">
      <alignment vertical="center"/>
    </xf>
    <xf numFmtId="0" fontId="3" fillId="0" borderId="0" xfId="0" applyFont="1" applyFill="1" applyBorder="1" applyAlignment="1">
      <alignment horizontal="center" vertical="center"/>
    </xf>
    <xf numFmtId="0" fontId="2" fillId="0" borderId="44" xfId="0" applyFont="1" applyBorder="1" applyAlignment="1">
      <alignment horizontal="right"/>
    </xf>
    <xf numFmtId="170" fontId="2" fillId="0" borderId="30" xfId="11" applyNumberFormat="1" applyFont="1" applyFill="1" applyBorder="1" applyAlignment="1">
      <alignment horizontal="center"/>
    </xf>
    <xf numFmtId="0" fontId="0" fillId="2" borderId="38" xfId="0" applyFill="1" applyBorder="1" applyAlignment="1">
      <alignment horizontal="right" vertical="center"/>
    </xf>
    <xf numFmtId="0" fontId="0" fillId="0" borderId="39" xfId="0" applyBorder="1"/>
    <xf numFmtId="0" fontId="0" fillId="2" borderId="40" xfId="0" applyFill="1" applyBorder="1"/>
    <xf numFmtId="1" fontId="3" fillId="7" borderId="5" xfId="0" applyNumberFormat="1" applyFont="1" applyFill="1" applyBorder="1" applyAlignment="1">
      <alignment horizontal="left"/>
    </xf>
    <xf numFmtId="0" fontId="3" fillId="2" borderId="8" xfId="0" applyFont="1" applyFill="1" applyBorder="1" applyAlignment="1">
      <alignment horizontal="center" vertical="center"/>
    </xf>
    <xf numFmtId="0" fontId="0" fillId="0" borderId="48" xfId="0" applyFill="1" applyBorder="1" applyAlignment="1">
      <alignment horizontal="right"/>
    </xf>
    <xf numFmtId="173" fontId="0" fillId="2" borderId="48" xfId="0" applyNumberFormat="1" applyFill="1" applyBorder="1"/>
    <xf numFmtId="0" fontId="3" fillId="2" borderId="6" xfId="0" applyFont="1"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2" fillId="0" borderId="3" xfId="0" applyFont="1" applyBorder="1"/>
    <xf numFmtId="0" fontId="2" fillId="0" borderId="2" xfId="0" applyFont="1" applyBorder="1"/>
    <xf numFmtId="0" fontId="3" fillId="0" borderId="2" xfId="0" applyFont="1" applyFill="1" applyBorder="1" applyAlignment="1">
      <alignment vertical="center"/>
    </xf>
    <xf numFmtId="0" fontId="0" fillId="2" borderId="6" xfId="0" applyFill="1" applyBorder="1" applyAlignment="1">
      <alignment horizontal="center"/>
    </xf>
    <xf numFmtId="0" fontId="0" fillId="2" borderId="8" xfId="0" applyFill="1" applyBorder="1"/>
    <xf numFmtId="0" fontId="0" fillId="0" borderId="0" xfId="0" applyAlignment="1"/>
    <xf numFmtId="16" fontId="0" fillId="3" borderId="26" xfId="0" applyNumberFormat="1" applyFill="1" applyBorder="1" applyAlignment="1">
      <alignment horizontal="left"/>
    </xf>
    <xf numFmtId="0" fontId="0" fillId="8" borderId="49" xfId="0" applyFill="1" applyBorder="1" applyAlignment="1">
      <alignment vertical="center"/>
    </xf>
    <xf numFmtId="171" fontId="3" fillId="8" borderId="49" xfId="0" applyNumberFormat="1" applyFont="1" applyFill="1" applyBorder="1" applyAlignment="1">
      <alignment horizontal="right" vertical="center" wrapText="1"/>
    </xf>
    <xf numFmtId="171" fontId="3" fillId="8" borderId="50" xfId="0" applyNumberFormat="1" applyFont="1" applyFill="1" applyBorder="1" applyAlignment="1">
      <alignment horizontal="right" vertical="center" wrapText="1"/>
    </xf>
    <xf numFmtId="0" fontId="0" fillId="0" borderId="0" xfId="0" applyFill="1" applyBorder="1" applyAlignment="1">
      <alignment vertical="top" wrapText="1"/>
    </xf>
    <xf numFmtId="0" fontId="0" fillId="0" borderId="0" xfId="0" applyFill="1" applyBorder="1" applyAlignment="1">
      <alignment horizontal="center" vertical="center" wrapText="1"/>
    </xf>
    <xf numFmtId="0" fontId="22" fillId="2" borderId="6" xfId="0" applyFont="1" applyFill="1" applyBorder="1" applyAlignment="1">
      <alignment vertical="center"/>
    </xf>
    <xf numFmtId="0" fontId="22" fillId="2" borderId="8" xfId="0" applyFont="1"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0" borderId="3" xfId="0" applyFill="1" applyBorder="1" applyAlignment="1">
      <alignment vertical="center"/>
    </xf>
    <xf numFmtId="0" fontId="25" fillId="0" borderId="3" xfId="0" applyFont="1" applyFill="1" applyBorder="1" applyAlignment="1">
      <alignment vertical="center" wrapText="1"/>
    </xf>
    <xf numFmtId="0" fontId="26" fillId="0" borderId="2" xfId="0" applyFont="1" applyFill="1" applyBorder="1" applyAlignment="1">
      <alignment vertical="center" wrapText="1"/>
    </xf>
    <xf numFmtId="0" fontId="0" fillId="0" borderId="5" xfId="0" applyFill="1" applyBorder="1" applyAlignment="1">
      <alignment horizontal="left" vertical="center" wrapText="1"/>
    </xf>
    <xf numFmtId="0" fontId="0" fillId="0" borderId="9" xfId="0" applyFill="1" applyBorder="1" applyAlignment="1">
      <alignment horizontal="left" vertical="center" wrapText="1"/>
    </xf>
    <xf numFmtId="0" fontId="0" fillId="0" borderId="2" xfId="0" applyFill="1" applyBorder="1" applyAlignment="1">
      <alignment vertical="center"/>
    </xf>
    <xf numFmtId="0" fontId="3" fillId="0" borderId="3" xfId="0" applyFont="1" applyFill="1" applyBorder="1" applyAlignment="1">
      <alignment wrapText="1"/>
    </xf>
    <xf numFmtId="0" fontId="0" fillId="0"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xf>
    <xf numFmtId="0" fontId="0" fillId="0" borderId="4" xfId="0" applyFill="1" applyBorder="1" applyAlignment="1">
      <alignment horizontal="left" vertical="top" wrapText="1"/>
    </xf>
    <xf numFmtId="0" fontId="0" fillId="0" borderId="7" xfId="0" applyFill="1" applyBorder="1" applyAlignment="1">
      <alignment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3" fillId="0" borderId="9" xfId="0" applyFont="1" applyFill="1" applyBorder="1" applyAlignment="1">
      <alignment horizontal="left" vertical="center" wrapText="1"/>
    </xf>
    <xf numFmtId="0" fontId="0" fillId="0" borderId="8" xfId="0" applyFill="1" applyBorder="1" applyAlignment="1">
      <alignment horizontal="left"/>
    </xf>
    <xf numFmtId="0" fontId="3" fillId="0" borderId="0" xfId="0" applyFont="1" applyFill="1" applyBorder="1" applyAlignment="1">
      <alignment vertical="top" wrapText="1"/>
    </xf>
    <xf numFmtId="0" fontId="0" fillId="0" borderId="0" xfId="0" quotePrefix="1" applyFill="1" applyBorder="1" applyAlignment="1">
      <alignment horizontal="left" vertical="top" wrapText="1"/>
    </xf>
    <xf numFmtId="171" fontId="0" fillId="0" borderId="6" xfId="0" applyNumberFormat="1" applyFill="1" applyBorder="1" applyAlignment="1">
      <alignment horizontal="right" vertical="center" wrapText="1"/>
    </xf>
    <xf numFmtId="171" fontId="0" fillId="0" borderId="3" xfId="0" applyNumberFormat="1" applyFill="1" applyBorder="1" applyAlignment="1">
      <alignment horizontal="right" vertical="center" wrapText="1"/>
    </xf>
    <xf numFmtId="171" fontId="0" fillId="0" borderId="4" xfId="0" applyNumberFormat="1" applyFill="1" applyBorder="1" applyAlignment="1">
      <alignment horizontal="right" vertical="center" wrapText="1"/>
    </xf>
    <xf numFmtId="3" fontId="20" fillId="0" borderId="0" xfId="0" applyNumberFormat="1" applyFont="1" applyFill="1" applyBorder="1" applyAlignment="1">
      <alignment horizontal="left" vertical="top" wrapText="1"/>
    </xf>
    <xf numFmtId="3" fontId="20" fillId="0" borderId="0" xfId="0" applyNumberFormat="1" applyFont="1" applyFill="1" applyBorder="1"/>
    <xf numFmtId="3" fontId="3" fillId="2" borderId="25" xfId="4" applyNumberFormat="1" applyFont="1" applyFill="1" applyBorder="1" applyAlignment="1">
      <alignment horizontal="right" wrapText="1"/>
    </xf>
    <xf numFmtId="3" fontId="3" fillId="13" borderId="51" xfId="0" applyNumberFormat="1" applyFont="1" applyFill="1" applyBorder="1" applyAlignment="1">
      <alignment horizontal="right" wrapText="1"/>
    </xf>
    <xf numFmtId="3" fontId="3" fillId="5" borderId="25" xfId="4" applyNumberFormat="1" applyFont="1" applyFill="1" applyBorder="1" applyAlignment="1">
      <alignment horizontal="right" wrapText="1"/>
    </xf>
    <xf numFmtId="3" fontId="5" fillId="2" borderId="25" xfId="4" applyNumberFormat="1" applyFont="1" applyFill="1" applyBorder="1" applyAlignment="1">
      <alignment vertical="top" wrapText="1"/>
    </xf>
    <xf numFmtId="3" fontId="5" fillId="2" borderId="25" xfId="4" applyNumberFormat="1" applyFont="1" applyFill="1" applyBorder="1" applyAlignment="1">
      <alignment horizontal="right" vertical="top" wrapText="1"/>
    </xf>
    <xf numFmtId="3" fontId="5" fillId="2" borderId="25" xfId="4" applyNumberFormat="1" applyFont="1" applyFill="1" applyBorder="1" applyAlignment="1">
      <alignment wrapText="1"/>
    </xf>
    <xf numFmtId="3" fontId="3" fillId="14" borderId="52" xfId="0" applyNumberFormat="1" applyFont="1" applyFill="1" applyBorder="1" applyAlignment="1">
      <alignment horizontal="right" vertical="top" wrapText="1"/>
    </xf>
    <xf numFmtId="3" fontId="20" fillId="0" borderId="5" xfId="0" applyNumberFormat="1" applyFont="1" applyFill="1" applyBorder="1"/>
    <xf numFmtId="3" fontId="20" fillId="0" borderId="47" xfId="0" applyNumberFormat="1" applyFont="1" applyFill="1" applyBorder="1"/>
    <xf numFmtId="0" fontId="0" fillId="2" borderId="53" xfId="0" applyFill="1" applyBorder="1"/>
    <xf numFmtId="0" fontId="3" fillId="2" borderId="54" xfId="0" applyFont="1" applyFill="1" applyBorder="1"/>
    <xf numFmtId="0" fontId="0" fillId="2" borderId="54" xfId="0" applyFill="1" applyBorder="1"/>
    <xf numFmtId="0" fontId="0" fillId="2" borderId="55" xfId="0" applyFill="1" applyBorder="1"/>
    <xf numFmtId="0" fontId="13" fillId="2" borderId="54" xfId="0" applyFont="1" applyFill="1" applyBorder="1"/>
    <xf numFmtId="0" fontId="3" fillId="2" borderId="54" xfId="0" applyFont="1" applyFill="1" applyBorder="1" applyAlignment="1">
      <alignment horizontal="center"/>
    </xf>
    <xf numFmtId="3" fontId="3" fillId="0" borderId="15" xfId="0" quotePrefix="1" applyNumberFormat="1" applyFont="1" applyFill="1" applyBorder="1" applyAlignment="1">
      <alignment horizontal="left"/>
    </xf>
    <xf numFmtId="3" fontId="5" fillId="0" borderId="15" xfId="0" applyNumberFormat="1" applyFont="1" applyFill="1" applyBorder="1" applyAlignment="1">
      <alignment horizontal="left" vertical="top" wrapText="1"/>
    </xf>
    <xf numFmtId="3" fontId="5" fillId="0" borderId="15" xfId="0" applyNumberFormat="1" applyFont="1" applyFill="1" applyBorder="1"/>
    <xf numFmtId="3" fontId="6" fillId="3" borderId="15" xfId="0" applyNumberFormat="1" applyFont="1" applyFill="1" applyBorder="1" applyAlignment="1">
      <alignment horizontal="left" vertical="top"/>
    </xf>
    <xf numFmtId="3" fontId="5" fillId="3" borderId="15" xfId="0" applyNumberFormat="1" applyFont="1" applyFill="1" applyBorder="1"/>
    <xf numFmtId="3" fontId="3" fillId="3" borderId="15" xfId="0" applyNumberFormat="1" applyFont="1" applyFill="1" applyBorder="1" applyAlignment="1">
      <alignment horizontal="left" vertical="top" wrapText="1"/>
    </xf>
    <xf numFmtId="3" fontId="3" fillId="0" borderId="15" xfId="0" applyNumberFormat="1" applyFont="1" applyFill="1" applyBorder="1"/>
    <xf numFmtId="3" fontId="5" fillId="0" borderId="15" xfId="0" quotePrefix="1" applyNumberFormat="1" applyFont="1" applyFill="1" applyBorder="1" applyAlignment="1">
      <alignment horizontal="left" vertical="top" wrapText="1"/>
    </xf>
    <xf numFmtId="3" fontId="3" fillId="0" borderId="15" xfId="0" applyNumberFormat="1" applyFont="1" applyFill="1" applyBorder="1" applyAlignment="1">
      <alignment wrapText="1"/>
    </xf>
    <xf numFmtId="3" fontId="3" fillId="14" borderId="15" xfId="0" applyNumberFormat="1" applyFont="1" applyFill="1" applyBorder="1"/>
    <xf numFmtId="3" fontId="3" fillId="0" borderId="15" xfId="0" applyNumberFormat="1" applyFont="1" applyFill="1" applyBorder="1" applyAlignment="1">
      <alignment horizontal="left"/>
    </xf>
    <xf numFmtId="3" fontId="3" fillId="14" borderId="15" xfId="0" applyNumberFormat="1" applyFont="1" applyFill="1" applyBorder="1" applyAlignment="1">
      <alignment horizontal="right" vertical="top" wrapText="1"/>
    </xf>
    <xf numFmtId="3" fontId="5" fillId="0" borderId="17" xfId="0" applyNumberFormat="1" applyFont="1" applyFill="1" applyBorder="1"/>
    <xf numFmtId="3" fontId="5" fillId="0" borderId="16" xfId="0" applyNumberFormat="1" applyFont="1" applyFill="1" applyBorder="1"/>
    <xf numFmtId="3" fontId="5" fillId="4" borderId="15" xfId="0" applyNumberFormat="1" applyFont="1" applyFill="1" applyBorder="1" applyAlignment="1" applyProtection="1">
      <alignment horizontal="right" vertical="top" wrapText="1"/>
      <protection locked="0"/>
    </xf>
    <xf numFmtId="3" fontId="5" fillId="13" borderId="15" xfId="0" applyNumberFormat="1" applyFont="1" applyFill="1" applyBorder="1" applyAlignment="1">
      <alignment horizontal="right" vertical="top" wrapText="1"/>
    </xf>
    <xf numFmtId="3" fontId="5" fillId="13" borderId="15" xfId="0" applyNumberFormat="1" applyFont="1" applyFill="1" applyBorder="1" applyAlignment="1">
      <alignment horizontal="right" wrapText="1"/>
    </xf>
    <xf numFmtId="3" fontId="5" fillId="13" borderId="15" xfId="0" applyNumberFormat="1" applyFont="1" applyFill="1" applyBorder="1" applyAlignment="1" applyProtection="1">
      <alignment horizontal="right" vertical="top" wrapText="1"/>
    </xf>
    <xf numFmtId="2" fontId="0" fillId="0" borderId="32" xfId="0" applyNumberFormat="1" applyFill="1" applyBorder="1"/>
    <xf numFmtId="2" fontId="0" fillId="0" borderId="28" xfId="0" applyNumberFormat="1" applyBorder="1"/>
    <xf numFmtId="2" fontId="0" fillId="0" borderId="28" xfId="0" applyNumberFormat="1" applyFill="1" applyBorder="1"/>
    <xf numFmtId="10" fontId="0" fillId="0" borderId="28" xfId="11" applyNumberFormat="1" applyFont="1" applyFill="1" applyBorder="1"/>
    <xf numFmtId="2" fontId="0" fillId="0" borderId="29" xfId="0" applyNumberFormat="1" applyFill="1" applyBorder="1"/>
    <xf numFmtId="0" fontId="0" fillId="0" borderId="26" xfId="0" applyFill="1" applyBorder="1" applyAlignment="1">
      <alignment horizontal="center"/>
    </xf>
    <xf numFmtId="170" fontId="0" fillId="2" borderId="57" xfId="11" applyNumberFormat="1" applyFont="1" applyFill="1" applyBorder="1" applyAlignment="1">
      <alignment horizontal="center"/>
    </xf>
    <xf numFmtId="0" fontId="0" fillId="0" borderId="49" xfId="0" applyBorder="1" applyAlignment="1">
      <alignment horizontal="center"/>
    </xf>
    <xf numFmtId="3" fontId="5" fillId="0" borderId="15" xfId="0" applyNumberFormat="1" applyFont="1" applyFill="1" applyBorder="1" applyAlignment="1">
      <alignment horizontal="left" wrapText="1"/>
    </xf>
    <xf numFmtId="3" fontId="5" fillId="0" borderId="15" xfId="0" quotePrefix="1" applyNumberFormat="1" applyFont="1" applyFill="1" applyBorder="1" applyAlignment="1">
      <alignment horizontal="left" vertical="top" wrapText="1" indent="2"/>
    </xf>
    <xf numFmtId="3" fontId="5" fillId="0" borderId="16" xfId="0" applyNumberFormat="1" applyFont="1" applyFill="1" applyBorder="1" applyAlignment="1">
      <alignment horizontal="left" vertical="top" wrapText="1"/>
    </xf>
    <xf numFmtId="3" fontId="5" fillId="0" borderId="0" xfId="0" applyNumberFormat="1" applyFont="1" applyFill="1" applyBorder="1" applyAlignment="1" applyProtection="1">
      <alignment horizontal="right"/>
    </xf>
    <xf numFmtId="0" fontId="33" fillId="0" borderId="0" xfId="0" applyFont="1" applyFill="1" applyAlignment="1">
      <alignment horizontal="right"/>
    </xf>
    <xf numFmtId="0" fontId="5" fillId="0" borderId="0" xfId="0" applyFont="1" applyFill="1" applyAlignment="1">
      <alignment horizontal="center"/>
    </xf>
    <xf numFmtId="3" fontId="5" fillId="0" borderId="0" xfId="0" applyNumberFormat="1" applyFont="1" applyFill="1" applyBorder="1" applyAlignment="1">
      <alignment vertical="center"/>
    </xf>
    <xf numFmtId="3" fontId="3" fillId="2" borderId="25"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xf>
    <xf numFmtId="3" fontId="7" fillId="0" borderId="0" xfId="0" applyNumberFormat="1" applyFont="1" applyFill="1" applyBorder="1" applyAlignment="1">
      <alignment horizontal="left" vertical="center" wrapText="1"/>
    </xf>
    <xf numFmtId="3" fontId="3" fillId="5" borderId="25" xfId="0" applyNumberFormat="1" applyFont="1" applyFill="1" applyBorder="1" applyAlignment="1">
      <alignment horizontal="right" vertical="center" wrapText="1"/>
    </xf>
    <xf numFmtId="3" fontId="3" fillId="2" borderId="25" xfId="4" applyNumberFormat="1" applyFont="1" applyFill="1" applyBorder="1" applyAlignment="1">
      <alignment horizontal="right" vertical="center" wrapText="1"/>
    </xf>
    <xf numFmtId="3" fontId="4" fillId="0" borderId="15" xfId="0" applyNumberFormat="1" applyFont="1" applyFill="1" applyBorder="1"/>
    <xf numFmtId="3" fontId="3" fillId="0" borderId="16" xfId="0" applyNumberFormat="1" applyFont="1" applyFill="1" applyBorder="1" applyAlignment="1">
      <alignment horizontal="center" wrapText="1"/>
    </xf>
    <xf numFmtId="3" fontId="3" fillId="0" borderId="16" xfId="0" quotePrefix="1" applyNumberFormat="1" applyFont="1" applyFill="1" applyBorder="1" applyAlignment="1">
      <alignment horizontal="center" wrapText="1"/>
    </xf>
    <xf numFmtId="3" fontId="5" fillId="2" borderId="0" xfId="0" quotePrefix="1" applyNumberFormat="1" applyFont="1" applyFill="1" applyBorder="1" applyAlignment="1">
      <alignment horizontal="center" wrapText="1"/>
    </xf>
    <xf numFmtId="3" fontId="5" fillId="5" borderId="0" xfId="0" quotePrefix="1" applyNumberFormat="1" applyFont="1" applyFill="1" applyBorder="1" applyAlignment="1">
      <alignment horizontal="center" vertical="top" wrapText="1"/>
    </xf>
    <xf numFmtId="3" fontId="5" fillId="13" borderId="0" xfId="0" quotePrefix="1" applyNumberFormat="1" applyFont="1" applyFill="1" applyBorder="1" applyAlignment="1">
      <alignment horizontal="center" vertical="top" wrapText="1"/>
    </xf>
    <xf numFmtId="0" fontId="25" fillId="8" borderId="3" xfId="0" applyFont="1" applyFill="1" applyBorder="1" applyAlignment="1">
      <alignment vertical="center" wrapText="1"/>
    </xf>
    <xf numFmtId="0" fontId="26" fillId="8" borderId="2" xfId="0" applyFont="1" applyFill="1" applyBorder="1" applyAlignment="1">
      <alignment vertical="center" wrapText="1"/>
    </xf>
    <xf numFmtId="0" fontId="0" fillId="8" borderId="4" xfId="0" applyFill="1" applyBorder="1" applyAlignment="1">
      <alignment horizontal="left" vertical="center" wrapText="1"/>
    </xf>
    <xf numFmtId="0" fontId="0" fillId="8" borderId="9" xfId="0" applyFill="1" applyBorder="1" applyAlignment="1">
      <alignment horizontal="left" vertical="center" wrapText="1"/>
    </xf>
    <xf numFmtId="0" fontId="0" fillId="0" borderId="29" xfId="0" applyFill="1" applyBorder="1" applyAlignment="1">
      <alignment horizontal="left" vertical="center" wrapText="1"/>
    </xf>
    <xf numFmtId="0" fontId="26" fillId="0" borderId="3" xfId="0" applyFont="1" applyFill="1" applyBorder="1" applyAlignment="1">
      <alignment vertical="center" wrapText="1"/>
    </xf>
    <xf numFmtId="0" fontId="5" fillId="0" borderId="0" xfId="0" applyFont="1" applyFill="1" applyBorder="1" applyAlignment="1">
      <alignment horizontal="center"/>
    </xf>
    <xf numFmtId="0" fontId="5" fillId="8" borderId="0" xfId="0" applyFont="1" applyFill="1" applyBorder="1" applyAlignment="1">
      <alignment horizontal="center" vertical="top"/>
    </xf>
    <xf numFmtId="0" fontId="5" fillId="0" borderId="0" xfId="0" applyFont="1" applyFill="1" applyBorder="1" applyAlignment="1">
      <alignment horizontal="center" vertical="center"/>
    </xf>
    <xf numFmtId="0" fontId="30" fillId="0" borderId="0" xfId="0" applyFont="1" applyFill="1" applyBorder="1" applyAlignment="1">
      <alignment horizontal="center"/>
    </xf>
    <xf numFmtId="0" fontId="0" fillId="0" borderId="2" xfId="0" applyFill="1" applyBorder="1" applyAlignment="1">
      <alignment horizontal="center" vertical="center" wrapText="1"/>
    </xf>
    <xf numFmtId="0" fontId="5" fillId="0" borderId="0" xfId="0" applyFont="1" applyFill="1" applyBorder="1" applyAlignment="1">
      <alignment horizontal="center" vertical="top"/>
    </xf>
    <xf numFmtId="0" fontId="26" fillId="0" borderId="0" xfId="0" applyFont="1" applyFill="1" applyBorder="1" applyAlignment="1">
      <alignment horizontal="center" vertical="center" wrapText="1"/>
    </xf>
    <xf numFmtId="0" fontId="0" fillId="0" borderId="0" xfId="0" quotePrefix="1" applyFill="1" applyBorder="1" applyAlignment="1">
      <alignment horizontal="center" vertical="center" wrapText="1"/>
    </xf>
    <xf numFmtId="0" fontId="2" fillId="0" borderId="3" xfId="0" applyFont="1" applyFill="1" applyBorder="1" applyAlignment="1">
      <alignment horizontal="center" vertical="center" wrapText="1"/>
    </xf>
    <xf numFmtId="0" fontId="3" fillId="8" borderId="0" xfId="0" applyFont="1" applyFill="1" applyBorder="1" applyAlignment="1">
      <alignment horizontal="center" vertical="center"/>
    </xf>
    <xf numFmtId="0" fontId="0" fillId="0" borderId="3" xfId="0" applyFill="1"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0" fillId="8" borderId="29" xfId="0" applyFill="1" applyBorder="1" applyAlignment="1">
      <alignment horizontal="left" vertical="center" wrapText="1"/>
    </xf>
    <xf numFmtId="0" fontId="3" fillId="0" borderId="0" xfId="0" applyFont="1" applyFill="1" applyBorder="1" applyAlignment="1"/>
    <xf numFmtId="0" fontId="2" fillId="2" borderId="54" xfId="0" applyFont="1" applyFill="1" applyBorder="1"/>
    <xf numFmtId="0" fontId="2" fillId="2" borderId="54" xfId="0" applyFont="1" applyFill="1" applyBorder="1" applyAlignment="1">
      <alignment horizontal="left"/>
    </xf>
    <xf numFmtId="9" fontId="2" fillId="2" borderId="55" xfId="0" applyNumberFormat="1" applyFont="1" applyFill="1" applyBorder="1" applyAlignment="1">
      <alignment horizontal="right"/>
    </xf>
    <xf numFmtId="0" fontId="29" fillId="2" borderId="17" xfId="0" applyFont="1" applyFill="1" applyBorder="1"/>
    <xf numFmtId="0" fontId="27" fillId="2" borderId="17" xfId="0" applyFont="1" applyFill="1" applyBorder="1" applyAlignment="1">
      <alignment vertical="center"/>
    </xf>
    <xf numFmtId="0" fontId="29" fillId="2" borderId="17" xfId="0" applyFont="1" applyFill="1" applyBorder="1" applyAlignment="1">
      <alignment vertical="center"/>
    </xf>
    <xf numFmtId="0" fontId="3" fillId="0" borderId="16" xfId="0" applyFont="1" applyBorder="1"/>
    <xf numFmtId="0" fontId="8" fillId="0" borderId="0" xfId="0" applyFont="1"/>
    <xf numFmtId="0" fontId="0" fillId="0" borderId="15" xfId="11" applyNumberFormat="1" applyFont="1" applyBorder="1" applyAlignment="1">
      <alignment horizontal="center"/>
    </xf>
    <xf numFmtId="0" fontId="13" fillId="2" borderId="5" xfId="0" applyFont="1" applyFill="1" applyBorder="1"/>
    <xf numFmtId="0" fontId="36" fillId="0" borderId="0" xfId="0" applyFont="1" applyFill="1" applyBorder="1" applyAlignment="1">
      <alignment horizontal="left" vertical="center" wrapText="1"/>
    </xf>
    <xf numFmtId="0" fontId="0" fillId="0" borderId="0" xfId="0" applyAlignment="1">
      <alignment wrapText="1"/>
    </xf>
    <xf numFmtId="182" fontId="38" fillId="0" borderId="0" xfId="0" applyNumberFormat="1" applyFont="1" applyFill="1" applyBorder="1" applyAlignment="1">
      <alignment horizontal="right" vertical="center"/>
    </xf>
    <xf numFmtId="3" fontId="8" fillId="0" borderId="0" xfId="0" applyNumberFormat="1" applyFont="1" applyFill="1" applyBorder="1" applyAlignment="1">
      <alignment vertical="center"/>
    </xf>
    <xf numFmtId="183" fontId="39" fillId="0" borderId="0" xfId="0" quotePrefix="1" applyNumberFormat="1" applyFont="1" applyFill="1" applyBorder="1" applyAlignment="1">
      <alignment horizontal="center" vertical="center"/>
    </xf>
    <xf numFmtId="3" fontId="8" fillId="4" borderId="15" xfId="0" applyNumberFormat="1" applyFont="1" applyFill="1" applyBorder="1" applyAlignment="1" applyProtection="1">
      <alignment horizontal="center" wrapText="1"/>
      <protection locked="0"/>
    </xf>
    <xf numFmtId="3" fontId="40" fillId="0" borderId="0" xfId="0" applyNumberFormat="1" applyFont="1" applyFill="1" applyBorder="1" applyAlignment="1">
      <alignment horizontal="center" vertical="center"/>
    </xf>
    <xf numFmtId="1" fontId="0" fillId="0" borderId="28" xfId="0" applyNumberFormat="1" applyBorder="1" applyAlignment="1"/>
    <xf numFmtId="1" fontId="0" fillId="0" borderId="29" xfId="0" applyNumberFormat="1" applyBorder="1" applyAlignment="1"/>
    <xf numFmtId="0" fontId="42" fillId="0" borderId="0" xfId="0" applyFont="1" applyAlignment="1">
      <alignment wrapText="1"/>
    </xf>
    <xf numFmtId="0" fontId="42" fillId="0" borderId="0" xfId="0" applyFont="1"/>
    <xf numFmtId="0" fontId="42" fillId="0" borderId="0" xfId="0" applyFont="1" applyAlignment="1">
      <alignment horizontal="left" wrapText="1"/>
    </xf>
    <xf numFmtId="170" fontId="0" fillId="0" borderId="0" xfId="0" applyNumberFormat="1" applyFill="1" applyBorder="1" applyAlignment="1">
      <alignment horizontal="right" indent="1"/>
    </xf>
    <xf numFmtId="171" fontId="3" fillId="0" borderId="22" xfId="0" applyNumberFormat="1" applyFont="1" applyFill="1" applyBorder="1" applyAlignment="1">
      <alignment horizontal="right" indent="1"/>
    </xf>
    <xf numFmtId="0" fontId="42" fillId="0" borderId="0" xfId="0" applyFont="1" applyAlignment="1">
      <alignment horizontal="left" vertical="top" wrapText="1"/>
    </xf>
    <xf numFmtId="0" fontId="42" fillId="0" borderId="0" xfId="0" applyFont="1" applyAlignment="1">
      <alignment vertical="top" wrapText="1"/>
    </xf>
    <xf numFmtId="0" fontId="42" fillId="0" borderId="8" xfId="0" applyFont="1" applyBorder="1" applyAlignment="1">
      <alignment vertical="top" wrapText="1"/>
    </xf>
    <xf numFmtId="0" fontId="42" fillId="0" borderId="8" xfId="0" applyFont="1" applyBorder="1" applyAlignment="1">
      <alignment horizontal="left" vertical="top" wrapText="1"/>
    </xf>
    <xf numFmtId="0" fontId="42" fillId="0" borderId="0" xfId="0" applyFont="1" applyBorder="1"/>
    <xf numFmtId="0" fontId="44" fillId="0" borderId="0" xfId="0" applyFont="1" applyBorder="1" applyAlignment="1">
      <alignment horizontal="center"/>
    </xf>
    <xf numFmtId="3" fontId="45" fillId="0" borderId="0" xfId="0" applyNumberFormat="1" applyFont="1" applyFill="1" applyBorder="1" applyAlignment="1">
      <alignment vertical="center"/>
    </xf>
    <xf numFmtId="3" fontId="44" fillId="2" borderId="25" xfId="0" applyNumberFormat="1" applyFont="1" applyFill="1" applyBorder="1" applyAlignment="1">
      <alignment horizontal="right" vertical="center" wrapText="1"/>
    </xf>
    <xf numFmtId="183" fontId="46" fillId="0" borderId="0" xfId="0" quotePrefix="1" applyNumberFormat="1" applyFont="1" applyFill="1" applyBorder="1" applyAlignment="1">
      <alignment horizontal="center" vertical="center"/>
    </xf>
    <xf numFmtId="3" fontId="42" fillId="0" borderId="0" xfId="0" applyNumberFormat="1" applyFont="1" applyFill="1" applyBorder="1" applyAlignment="1">
      <alignment horizontal="left" vertical="top" wrapText="1"/>
    </xf>
    <xf numFmtId="3" fontId="42" fillId="4" borderId="0" xfId="3" applyNumberFormat="1" applyFont="1" applyFill="1" applyBorder="1" applyAlignment="1" applyProtection="1">
      <alignment horizontal="right" vertical="center" wrapText="1"/>
      <protection locked="0"/>
    </xf>
    <xf numFmtId="3" fontId="45" fillId="4" borderId="15" xfId="0" applyNumberFormat="1" applyFont="1" applyFill="1" applyBorder="1" applyAlignment="1" applyProtection="1">
      <alignment horizontal="right" vertical="center" wrapText="1"/>
      <protection locked="0"/>
    </xf>
    <xf numFmtId="3" fontId="42" fillId="13" borderId="15" xfId="0" quotePrefix="1" applyNumberFormat="1" applyFont="1" applyFill="1" applyBorder="1" applyAlignment="1">
      <alignment horizontal="right" vertical="center" wrapText="1"/>
    </xf>
    <xf numFmtId="3" fontId="42" fillId="4" borderId="15" xfId="0" applyNumberFormat="1" applyFont="1" applyFill="1" applyBorder="1" applyAlignment="1" applyProtection="1">
      <alignment horizontal="right" vertical="center" wrapText="1"/>
      <protection locked="0"/>
    </xf>
    <xf numFmtId="3" fontId="42" fillId="0" borderId="15" xfId="0" applyNumberFormat="1" applyFont="1" applyFill="1" applyBorder="1" applyAlignment="1">
      <alignment horizontal="left" vertical="top" wrapText="1"/>
    </xf>
    <xf numFmtId="3" fontId="42" fillId="4" borderId="15" xfId="3" applyNumberFormat="1" applyFont="1" applyFill="1" applyBorder="1" applyAlignment="1" applyProtection="1">
      <alignment horizontal="right" vertical="center" wrapText="1"/>
      <protection locked="0"/>
    </xf>
    <xf numFmtId="3" fontId="45" fillId="15" borderId="15" xfId="0" applyNumberFormat="1" applyFont="1" applyFill="1" applyBorder="1" applyAlignment="1" applyProtection="1">
      <alignment horizontal="right" vertical="center" wrapText="1"/>
      <protection locked="0"/>
    </xf>
    <xf numFmtId="3" fontId="42" fillId="0" borderId="0" xfId="0" applyNumberFormat="1" applyFont="1" applyFill="1" applyBorder="1"/>
    <xf numFmtId="3" fontId="42" fillId="0" borderId="0" xfId="4" applyNumberFormat="1" applyFont="1" applyFill="1" applyBorder="1" applyAlignment="1">
      <alignment horizontal="left" vertical="top" wrapText="1"/>
    </xf>
    <xf numFmtId="3" fontId="32" fillId="0" borderId="17" xfId="0" applyNumberFormat="1" applyFont="1" applyFill="1" applyBorder="1"/>
    <xf numFmtId="3" fontId="44" fillId="2" borderId="25" xfId="4" applyNumberFormat="1" applyFont="1" applyFill="1" applyBorder="1" applyAlignment="1">
      <alignment horizontal="right" vertical="center" wrapText="1"/>
    </xf>
    <xf numFmtId="3" fontId="42" fillId="0" borderId="0" xfId="0" applyNumberFormat="1" applyFont="1" applyFill="1" applyBorder="1" applyAlignment="1">
      <alignment horizontal="left" wrapText="1"/>
    </xf>
    <xf numFmtId="3" fontId="45" fillId="14" borderId="15" xfId="0" applyNumberFormat="1" applyFont="1" applyFill="1" applyBorder="1" applyAlignment="1" applyProtection="1">
      <alignment horizontal="right" vertical="center" wrapText="1"/>
      <protection locked="0"/>
    </xf>
    <xf numFmtId="0" fontId="42" fillId="0" borderId="5" xfId="0" applyFont="1" applyBorder="1"/>
    <xf numFmtId="0" fontId="42" fillId="0" borderId="26" xfId="0" applyFont="1" applyBorder="1" applyAlignment="1">
      <alignment horizontal="left" vertical="top" wrapText="1"/>
    </xf>
    <xf numFmtId="3" fontId="44" fillId="2" borderId="25" xfId="3" applyNumberFormat="1" applyFont="1" applyFill="1" applyBorder="1" applyAlignment="1">
      <alignment horizontal="right" vertical="center" wrapText="1"/>
    </xf>
    <xf numFmtId="0" fontId="42" fillId="0" borderId="0" xfId="0" applyFont="1" applyAlignment="1">
      <alignment vertical="top"/>
    </xf>
    <xf numFmtId="0" fontId="2" fillId="0" borderId="0" xfId="0" applyFont="1" applyFill="1" applyAlignment="1">
      <alignment vertical="center"/>
    </xf>
    <xf numFmtId="0" fontId="2" fillId="0" borderId="15" xfId="0" applyFont="1" applyFill="1" applyBorder="1" applyAlignment="1">
      <alignment horizontal="right" vertical="center"/>
    </xf>
    <xf numFmtId="0" fontId="2" fillId="2" borderId="15" xfId="0" applyFont="1" applyFill="1" applyBorder="1" applyAlignment="1">
      <alignment vertical="center"/>
    </xf>
    <xf numFmtId="0" fontId="2" fillId="0" borderId="58" xfId="0" applyFont="1" applyFill="1" applyBorder="1" applyAlignment="1">
      <alignment vertical="center"/>
    </xf>
    <xf numFmtId="0" fontId="2" fillId="0" borderId="15" xfId="0" applyFont="1" applyBorder="1" applyAlignment="1">
      <alignment horizontal="right"/>
    </xf>
    <xf numFmtId="0" fontId="2" fillId="0" borderId="15" xfId="0" applyFont="1" applyFill="1" applyBorder="1" applyAlignment="1">
      <alignment horizontal="right"/>
    </xf>
    <xf numFmtId="0" fontId="2" fillId="0" borderId="48" xfId="0" applyFont="1" applyFill="1" applyBorder="1" applyAlignment="1">
      <alignment vertical="center"/>
    </xf>
    <xf numFmtId="0" fontId="2" fillId="2" borderId="48" xfId="0" applyFont="1" applyFill="1" applyBorder="1" applyAlignment="1">
      <alignment vertical="center"/>
    </xf>
    <xf numFmtId="0" fontId="2" fillId="0" borderId="59" xfId="0" applyFont="1" applyFill="1" applyBorder="1" applyAlignment="1">
      <alignment vertical="center"/>
    </xf>
    <xf numFmtId="0" fontId="2" fillId="2" borderId="0" xfId="0" applyFont="1" applyFill="1" applyAlignment="1">
      <alignment vertical="center"/>
    </xf>
    <xf numFmtId="0" fontId="2" fillId="2" borderId="0" xfId="0" applyFont="1" applyFill="1" applyBorder="1"/>
    <xf numFmtId="0" fontId="2" fillId="2" borderId="22" xfId="0" applyFont="1" applyFill="1" applyBorder="1"/>
    <xf numFmtId="0" fontId="2" fillId="0" borderId="15" xfId="0" applyFont="1" applyBorder="1" applyAlignment="1">
      <alignment horizontal="center"/>
    </xf>
    <xf numFmtId="0" fontId="2" fillId="0" borderId="30" xfId="0" applyFont="1" applyBorder="1" applyAlignment="1">
      <alignment horizontal="center"/>
    </xf>
    <xf numFmtId="0" fontId="2" fillId="2"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44" xfId="0" applyFont="1" applyFill="1" applyBorder="1" applyAlignment="1">
      <alignment horizontal="right" vertical="center" wrapText="1"/>
    </xf>
    <xf numFmtId="0" fontId="2" fillId="2" borderId="22" xfId="0" applyFont="1" applyFill="1" applyBorder="1" applyAlignment="1">
      <alignment horizontal="center" vertical="center" wrapText="1"/>
    </xf>
    <xf numFmtId="0" fontId="2" fillId="0" borderId="31" xfId="0" applyFont="1" applyFill="1" applyBorder="1" applyAlignment="1">
      <alignment vertical="center"/>
    </xf>
    <xf numFmtId="0" fontId="2" fillId="0" borderId="0" xfId="0" quotePrefix="1" applyFont="1" applyFill="1" applyAlignment="1">
      <alignment vertical="center"/>
    </xf>
    <xf numFmtId="0" fontId="16" fillId="0" borderId="60" xfId="0" applyFont="1" applyFill="1" applyBorder="1" applyAlignment="1">
      <alignment horizontal="right" vertical="center"/>
    </xf>
    <xf numFmtId="0" fontId="16" fillId="0" borderId="60" xfId="0" applyFont="1" applyFill="1" applyBorder="1" applyAlignment="1">
      <alignment vertical="center"/>
    </xf>
    <xf numFmtId="0" fontId="16" fillId="0" borderId="60" xfId="0" quotePrefix="1" applyFont="1" applyFill="1" applyBorder="1" applyAlignment="1">
      <alignment vertical="center"/>
    </xf>
    <xf numFmtId="180" fontId="3" fillId="0" borderId="22" xfId="0" applyNumberFormat="1" applyFont="1" applyFill="1" applyBorder="1" applyAlignment="1">
      <alignment horizontal="center"/>
    </xf>
    <xf numFmtId="0" fontId="2" fillId="0" borderId="44" xfId="0" applyFont="1" applyBorder="1" applyAlignment="1">
      <alignment horizontal="right" vertical="center" wrapText="1"/>
    </xf>
    <xf numFmtId="3" fontId="3" fillId="0" borderId="17" xfId="0" applyNumberFormat="1" applyFont="1" applyFill="1" applyBorder="1" applyAlignment="1">
      <alignment horizontal="left"/>
    </xf>
    <xf numFmtId="0" fontId="13" fillId="2" borderId="0" xfId="0" applyFont="1" applyFill="1" applyAlignment="1">
      <alignment horizontal="right"/>
    </xf>
    <xf numFmtId="0" fontId="0" fillId="0" borderId="58" xfId="0" applyFill="1" applyBorder="1"/>
    <xf numFmtId="0" fontId="3" fillId="16" borderId="16" xfId="0" applyFont="1" applyFill="1" applyBorder="1"/>
    <xf numFmtId="0" fontId="0" fillId="16" borderId="16" xfId="0" applyFill="1" applyBorder="1"/>
    <xf numFmtId="170" fontId="0" fillId="17" borderId="15" xfId="11" applyNumberFormat="1" applyFont="1" applyFill="1" applyBorder="1" applyAlignment="1">
      <alignment horizontal="center"/>
    </xf>
    <xf numFmtId="0" fontId="0" fillId="16" borderId="16" xfId="0"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xf numFmtId="0" fontId="0" fillId="16" borderId="16" xfId="0" applyFill="1" applyBorder="1" applyAlignment="1">
      <alignment horizontal="right"/>
    </xf>
    <xf numFmtId="0" fontId="3" fillId="16" borderId="0" xfId="0" applyFont="1" applyFill="1"/>
    <xf numFmtId="0" fontId="0" fillId="16" borderId="0" xfId="0" applyFill="1"/>
    <xf numFmtId="170" fontId="0" fillId="16" borderId="0" xfId="11" applyNumberFormat="1" applyFont="1" applyFill="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0" fillId="16" borderId="0" xfId="0" applyFill="1" applyBorder="1" applyAlignment="1">
      <alignment horizontal="center"/>
    </xf>
    <xf numFmtId="0" fontId="0" fillId="16" borderId="32" xfId="0" applyFill="1" applyBorder="1" applyAlignment="1">
      <alignment horizontal="center"/>
    </xf>
    <xf numFmtId="0" fontId="0" fillId="16" borderId="0" xfId="0" applyFill="1" applyAlignment="1">
      <alignment horizontal="right"/>
    </xf>
    <xf numFmtId="0" fontId="3" fillId="16" borderId="17" xfId="0" applyFont="1" applyFill="1" applyBorder="1"/>
    <xf numFmtId="0" fontId="0" fillId="16" borderId="17" xfId="0" applyFill="1" applyBorder="1"/>
    <xf numFmtId="170" fontId="0" fillId="16" borderId="17" xfId="11" applyNumberFormat="1" applyFont="1" applyFill="1" applyBorder="1" applyAlignment="1">
      <alignment horizontal="center"/>
    </xf>
    <xf numFmtId="0" fontId="0" fillId="16" borderId="17" xfId="0" applyFill="1" applyBorder="1" applyAlignment="1">
      <alignment horizontal="center"/>
    </xf>
    <xf numFmtId="0" fontId="0" fillId="16" borderId="39" xfId="0" applyFill="1" applyBorder="1" applyAlignment="1">
      <alignment horizontal="center"/>
    </xf>
    <xf numFmtId="0" fontId="0" fillId="16" borderId="40" xfId="0" applyFill="1" applyBorder="1" applyAlignment="1">
      <alignment horizontal="center"/>
    </xf>
    <xf numFmtId="0" fontId="0" fillId="16" borderId="17" xfId="0" quotePrefix="1" applyFill="1" applyBorder="1" applyAlignment="1">
      <alignment horizontal="right"/>
    </xf>
    <xf numFmtId="4" fontId="0" fillId="16" borderId="47" xfId="0" applyNumberFormat="1" applyFill="1" applyBorder="1"/>
    <xf numFmtId="4" fontId="3" fillId="18" borderId="42" xfId="0" applyNumberFormat="1" applyFont="1" applyFill="1" applyBorder="1" applyAlignment="1">
      <alignment horizontal="right" indent="1"/>
    </xf>
    <xf numFmtId="4" fontId="0" fillId="16" borderId="15" xfId="0" applyNumberFormat="1" applyFill="1" applyBorder="1"/>
    <xf numFmtId="4" fontId="0" fillId="16" borderId="5" xfId="0" applyNumberFormat="1" applyFill="1" applyBorder="1"/>
    <xf numFmtId="0" fontId="2" fillId="0" borderId="0" xfId="0" quotePrefix="1" applyFont="1" applyFill="1" applyBorder="1"/>
    <xf numFmtId="181" fontId="14" fillId="9" borderId="1" xfId="0" applyNumberFormat="1" applyFont="1" applyFill="1" applyBorder="1" applyAlignment="1">
      <alignment vertical="center"/>
    </xf>
    <xf numFmtId="0" fontId="14" fillId="9" borderId="1" xfId="0" applyFont="1" applyFill="1" applyBorder="1" applyAlignment="1">
      <alignment horizontal="center" vertical="center"/>
    </xf>
    <xf numFmtId="181" fontId="16" fillId="0" borderId="0" xfId="0" applyNumberFormat="1" applyFont="1" applyFill="1" applyBorder="1" applyAlignment="1">
      <alignment vertical="center"/>
    </xf>
    <xf numFmtId="0" fontId="16" fillId="0" borderId="0" xfId="0" applyFont="1" applyFill="1" applyBorder="1" applyAlignment="1">
      <alignment horizontal="center" vertical="center"/>
    </xf>
    <xf numFmtId="181" fontId="13" fillId="2" borderId="0" xfId="0" applyNumberFormat="1" applyFont="1" applyFill="1"/>
    <xf numFmtId="0" fontId="3" fillId="0" borderId="8" xfId="0" applyFont="1" applyBorder="1" applyAlignment="1">
      <alignment vertical="center"/>
    </xf>
    <xf numFmtId="181"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0" fillId="0" borderId="0" xfId="0" applyAlignment="1">
      <alignment vertical="top"/>
    </xf>
    <xf numFmtId="0" fontId="0" fillId="0" borderId="15" xfId="0" applyBorder="1" applyAlignment="1">
      <alignment vertical="top"/>
    </xf>
    <xf numFmtId="181" fontId="0" fillId="0" borderId="15" xfId="0" applyNumberFormat="1" applyBorder="1" applyAlignment="1">
      <alignment vertical="top"/>
    </xf>
    <xf numFmtId="0" fontId="0" fillId="0" borderId="15" xfId="0" applyBorder="1" applyAlignment="1">
      <alignment horizontal="center" vertical="top"/>
    </xf>
    <xf numFmtId="181" fontId="0" fillId="0" borderId="0" xfId="0" applyNumberFormat="1"/>
    <xf numFmtId="3" fontId="6" fillId="27" borderId="15" xfId="0" quotePrefix="1" applyNumberFormat="1" applyFont="1" applyFill="1" applyBorder="1" applyAlignment="1">
      <alignment horizontal="left"/>
    </xf>
    <xf numFmtId="3" fontId="5" fillId="27" borderId="15" xfId="0" applyNumberFormat="1" applyFont="1" applyFill="1" applyBorder="1" applyAlignment="1">
      <alignment horizontal="left" vertical="top" wrapText="1"/>
    </xf>
    <xf numFmtId="3" fontId="5" fillId="28" borderId="0" xfId="0" applyNumberFormat="1" applyFont="1" applyFill="1" applyBorder="1"/>
    <xf numFmtId="3" fontId="3" fillId="27" borderId="15" xfId="0" quotePrefix="1" applyNumberFormat="1" applyFont="1" applyFill="1" applyBorder="1" applyAlignment="1">
      <alignment horizontal="left"/>
    </xf>
    <xf numFmtId="0" fontId="0" fillId="28" borderId="0" xfId="0" applyFill="1"/>
    <xf numFmtId="180" fontId="3" fillId="0" borderId="0" xfId="0" applyNumberFormat="1" applyFont="1" applyFill="1" applyBorder="1" applyAlignment="1">
      <alignment horizontal="center"/>
    </xf>
    <xf numFmtId="2" fontId="3" fillId="0" borderId="0" xfId="0" applyNumberFormat="1" applyFont="1" applyFill="1" applyBorder="1"/>
    <xf numFmtId="0" fontId="0" fillId="0" borderId="38" xfId="0" applyBorder="1"/>
    <xf numFmtId="0" fontId="2" fillId="0" borderId="15" xfId="0" applyFont="1" applyBorder="1" applyAlignment="1">
      <alignment vertical="top"/>
    </xf>
    <xf numFmtId="0" fontId="66" fillId="2" borderId="0" xfId="0" applyFont="1" applyFill="1"/>
    <xf numFmtId="14" fontId="66" fillId="2" borderId="0" xfId="0" applyNumberFormat="1" applyFont="1" applyFill="1"/>
    <xf numFmtId="3" fontId="2" fillId="0" borderId="15" xfId="0" applyNumberFormat="1" applyFont="1" applyFill="1" applyBorder="1" applyAlignment="1">
      <alignment horizontal="left" vertical="top" wrapText="1"/>
    </xf>
    <xf numFmtId="0" fontId="10" fillId="9" borderId="1" xfId="0" applyFont="1" applyFill="1" applyBorder="1" applyAlignment="1">
      <alignment vertical="center"/>
    </xf>
    <xf numFmtId="0" fontId="10" fillId="9" borderId="1" xfId="0" applyFont="1" applyFill="1" applyBorder="1" applyAlignment="1">
      <alignment vertical="center" wrapText="1"/>
    </xf>
    <xf numFmtId="0" fontId="2" fillId="28" borderId="0" xfId="0" applyFont="1" applyFill="1"/>
    <xf numFmtId="0" fontId="3" fillId="28" borderId="0" xfId="0" applyFont="1" applyFill="1" applyBorder="1"/>
    <xf numFmtId="0" fontId="2" fillId="0" borderId="15" xfId="0" applyFont="1" applyFill="1" applyBorder="1"/>
    <xf numFmtId="3" fontId="2" fillId="0" borderId="0" xfId="0" applyNumberFormat="1" applyFont="1" applyFill="1" applyBorder="1"/>
    <xf numFmtId="0" fontId="0" fillId="0" borderId="58" xfId="0" applyBorder="1"/>
    <xf numFmtId="0" fontId="0" fillId="0" borderId="15" xfId="0" applyBorder="1" applyAlignment="1">
      <alignment horizontal="left" vertical="top"/>
    </xf>
    <xf numFmtId="181" fontId="2" fillId="0" borderId="0" xfId="0" applyNumberFormat="1" applyFont="1"/>
    <xf numFmtId="0" fontId="6" fillId="2" borderId="17" xfId="0" applyFont="1" applyFill="1" applyBorder="1" applyAlignment="1">
      <alignment vertical="center"/>
    </xf>
    <xf numFmtId="0" fontId="2" fillId="0" borderId="15" xfId="0" applyFont="1" applyBorder="1" applyAlignment="1">
      <alignment vertical="top" wrapText="1"/>
    </xf>
    <xf numFmtId="2" fontId="0" fillId="0" borderId="0" xfId="0" applyNumberFormat="1"/>
    <xf numFmtId="0" fontId="2" fillId="0" borderId="0" xfId="16"/>
    <xf numFmtId="0" fontId="16" fillId="0" borderId="0" xfId="0" applyFont="1" applyFill="1" applyBorder="1" applyAlignment="1">
      <alignment horizontal="left" vertical="center"/>
    </xf>
    <xf numFmtId="0" fontId="2" fillId="0" borderId="58" xfId="0" applyFont="1" applyFill="1" applyBorder="1"/>
    <xf numFmtId="4" fontId="3" fillId="0" borderId="50" xfId="0" quotePrefix="1" applyNumberFormat="1" applyFont="1" applyFill="1" applyBorder="1" applyAlignment="1">
      <alignment vertical="center" wrapText="1"/>
    </xf>
    <xf numFmtId="169" fontId="2" fillId="8" borderId="29" xfId="0" applyNumberFormat="1" applyFont="1" applyFill="1" applyBorder="1" applyAlignment="1">
      <alignment horizontal="right" wrapText="1"/>
    </xf>
    <xf numFmtId="169" fontId="2" fillId="8" borderId="50" xfId="0" applyNumberFormat="1" applyFont="1" applyFill="1" applyBorder="1" applyAlignment="1">
      <alignment horizontal="right" wrapText="1"/>
    </xf>
    <xf numFmtId="0" fontId="3" fillId="0" borderId="50" xfId="0" applyFont="1" applyFill="1" applyBorder="1" applyAlignment="1">
      <alignment wrapText="1"/>
    </xf>
    <xf numFmtId="0" fontId="3" fillId="0" borderId="50" xfId="0" applyFont="1" applyFill="1" applyBorder="1" applyAlignment="1">
      <alignment vertical="center" wrapText="1"/>
    </xf>
    <xf numFmtId="0" fontId="12" fillId="0" borderId="0" xfId="0" applyFont="1" applyFill="1" applyBorder="1" applyAlignment="1">
      <alignment horizontal="center"/>
    </xf>
    <xf numFmtId="0" fontId="0" fillId="0" borderId="28" xfId="0" applyBorder="1" applyAlignment="1">
      <alignment vertical="center"/>
    </xf>
    <xf numFmtId="16" fontId="2" fillId="7" borderId="4" xfId="0" applyNumberFormat="1" applyFont="1" applyFill="1" applyBorder="1" applyAlignment="1">
      <alignment horizontal="left"/>
    </xf>
    <xf numFmtId="10" fontId="0" fillId="0" borderId="0" xfId="0" applyNumberFormat="1" applyFill="1"/>
    <xf numFmtId="10" fontId="0" fillId="0" borderId="3" xfId="0" applyNumberFormat="1" applyFill="1" applyBorder="1"/>
    <xf numFmtId="10" fontId="3" fillId="0" borderId="0" xfId="0" applyNumberFormat="1" applyFont="1" applyBorder="1"/>
    <xf numFmtId="10" fontId="0" fillId="0" borderId="0" xfId="0" applyNumberFormat="1" applyFill="1" applyBorder="1"/>
    <xf numFmtId="10" fontId="3" fillId="0" borderId="0" xfId="11" applyNumberFormat="1" applyFont="1" applyFill="1" applyBorder="1"/>
    <xf numFmtId="10" fontId="0" fillId="0" borderId="2" xfId="0" applyNumberFormat="1" applyFill="1" applyBorder="1"/>
    <xf numFmtId="0" fontId="24" fillId="0" borderId="0" xfId="0" applyFont="1" applyFill="1" applyAlignment="1">
      <alignment vertical="center"/>
    </xf>
    <xf numFmtId="0" fontId="24" fillId="0" borderId="0" xfId="0" applyFont="1" applyFill="1" applyBorder="1" applyAlignment="1">
      <alignment horizontal="center" vertical="center"/>
    </xf>
    <xf numFmtId="0" fontId="2" fillId="20" borderId="1" xfId="0" applyFont="1" applyFill="1" applyBorder="1"/>
    <xf numFmtId="0" fontId="2" fillId="0" borderId="0" xfId="15" applyFont="1"/>
    <xf numFmtId="0" fontId="24" fillId="0" borderId="0" xfId="15" applyFont="1" applyBorder="1"/>
    <xf numFmtId="0" fontId="2" fillId="0" borderId="0" xfId="15" applyFont="1" applyBorder="1"/>
    <xf numFmtId="0" fontId="2" fillId="0" borderId="0" xfId="15" applyFont="1" applyFill="1" applyBorder="1"/>
    <xf numFmtId="0" fontId="48" fillId="0" borderId="0" xfId="15"/>
    <xf numFmtId="0" fontId="2" fillId="19" borderId="9" xfId="15" applyFont="1" applyFill="1" applyBorder="1"/>
    <xf numFmtId="0" fontId="2" fillId="19" borderId="5" xfId="15" applyFont="1" applyFill="1" applyBorder="1"/>
    <xf numFmtId="0" fontId="24" fillId="19" borderId="5" xfId="15" applyFont="1" applyFill="1" applyBorder="1"/>
    <xf numFmtId="0" fontId="24" fillId="19" borderId="4" xfId="15" applyFont="1" applyFill="1" applyBorder="1"/>
    <xf numFmtId="185" fontId="2" fillId="19" borderId="2" xfId="15" applyNumberFormat="1" applyFont="1" applyFill="1" applyBorder="1" applyAlignment="1">
      <alignment horizontal="right"/>
    </xf>
    <xf numFmtId="0" fontId="2" fillId="19" borderId="0" xfId="15" applyFont="1" applyFill="1" applyBorder="1"/>
    <xf numFmtId="185" fontId="2" fillId="19" borderId="5" xfId="15" applyNumberFormat="1" applyFont="1" applyFill="1" applyBorder="1" applyAlignment="1">
      <alignment horizontal="right"/>
    </xf>
    <xf numFmtId="185" fontId="3" fillId="19" borderId="50" xfId="15" applyNumberFormat="1" applyFont="1" applyFill="1" applyBorder="1" applyAlignment="1">
      <alignment horizontal="right"/>
    </xf>
    <xf numFmtId="185" fontId="2" fillId="19" borderId="50" xfId="15" applyNumberFormat="1" applyFont="1" applyFill="1" applyBorder="1" applyAlignment="1">
      <alignment horizontal="right"/>
    </xf>
    <xf numFmtId="0" fontId="24" fillId="19" borderId="0" xfId="15" applyFont="1" applyFill="1" applyBorder="1"/>
    <xf numFmtId="0" fontId="13" fillId="19" borderId="3" xfId="15" applyFont="1" applyFill="1" applyBorder="1"/>
    <xf numFmtId="0" fontId="2" fillId="19" borderId="2" xfId="15" applyFont="1" applyFill="1" applyBorder="1" applyAlignment="1">
      <alignment horizontal="right"/>
    </xf>
    <xf numFmtId="0" fontId="2" fillId="19" borderId="0" xfId="15" applyFont="1" applyFill="1" applyBorder="1" applyAlignment="1">
      <alignment horizontal="right"/>
    </xf>
    <xf numFmtId="0" fontId="24" fillId="19" borderId="3" xfId="15" applyFont="1" applyFill="1" applyBorder="1"/>
    <xf numFmtId="185" fontId="2" fillId="19" borderId="0" xfId="15" applyNumberFormat="1" applyFont="1" applyFill="1" applyBorder="1" applyAlignment="1">
      <alignment horizontal="right"/>
    </xf>
    <xf numFmtId="0" fontId="2" fillId="19" borderId="57" xfId="15" applyFont="1" applyFill="1" applyBorder="1"/>
    <xf numFmtId="0" fontId="2" fillId="19" borderId="49" xfId="15" applyFont="1" applyFill="1" applyBorder="1"/>
    <xf numFmtId="0" fontId="6" fillId="19" borderId="0" xfId="15" applyFont="1" applyFill="1" applyBorder="1" applyAlignment="1">
      <alignment horizontal="left"/>
    </xf>
    <xf numFmtId="0" fontId="13" fillId="19" borderId="3" xfId="15" applyFont="1" applyFill="1" applyBorder="1" applyAlignment="1">
      <alignment horizontal="left"/>
    </xf>
    <xf numFmtId="0" fontId="2" fillId="19" borderId="2" xfId="15" applyFont="1" applyFill="1" applyBorder="1"/>
    <xf numFmtId="0" fontId="13" fillId="19" borderId="2" xfId="15" applyFont="1" applyFill="1" applyBorder="1" applyAlignment="1">
      <alignment horizontal="center"/>
    </xf>
    <xf numFmtId="0" fontId="13" fillId="19" borderId="0" xfId="15" applyFont="1" applyFill="1" applyBorder="1" applyAlignment="1">
      <alignment horizontal="center"/>
    </xf>
    <xf numFmtId="0" fontId="13" fillId="19" borderId="9" xfId="15" applyFont="1" applyFill="1" applyBorder="1" applyAlignment="1">
      <alignment horizontal="center"/>
    </xf>
    <xf numFmtId="0" fontId="13" fillId="19" borderId="5" xfId="15" applyFont="1" applyFill="1" applyBorder="1" applyAlignment="1">
      <alignment horizontal="center"/>
    </xf>
    <xf numFmtId="0" fontId="6" fillId="19" borderId="5" xfId="15" applyFont="1" applyFill="1" applyBorder="1" applyAlignment="1">
      <alignment horizontal="left"/>
    </xf>
    <xf numFmtId="0" fontId="37" fillId="19" borderId="4" xfId="15" applyFont="1" applyFill="1" applyBorder="1" applyAlignment="1">
      <alignment horizontal="left"/>
    </xf>
    <xf numFmtId="0" fontId="13" fillId="19" borderId="7" xfId="15" applyFont="1" applyFill="1" applyBorder="1" applyAlignment="1">
      <alignment horizontal="center"/>
    </xf>
    <xf numFmtId="0" fontId="13" fillId="19" borderId="8" xfId="15" applyFont="1" applyFill="1" applyBorder="1" applyAlignment="1">
      <alignment horizontal="center"/>
    </xf>
    <xf numFmtId="0" fontId="6" fillId="19" borderId="8" xfId="15" applyFont="1" applyFill="1" applyBorder="1" applyAlignment="1">
      <alignment horizontal="left"/>
    </xf>
    <xf numFmtId="0" fontId="6" fillId="19" borderId="6" xfId="15" applyFont="1" applyFill="1" applyBorder="1" applyAlignment="1">
      <alignment horizontal="left"/>
    </xf>
    <xf numFmtId="0" fontId="2" fillId="19" borderId="7" xfId="10" applyFont="1" applyFill="1" applyBorder="1"/>
    <xf numFmtId="0" fontId="2" fillId="19" borderId="26" xfId="15" applyFont="1" applyFill="1" applyBorder="1"/>
    <xf numFmtId="0" fontId="49" fillId="19" borderId="26" xfId="15" applyFont="1" applyFill="1" applyBorder="1"/>
    <xf numFmtId="0" fontId="49" fillId="19" borderId="49" xfId="15" applyFont="1" applyFill="1" applyBorder="1"/>
    <xf numFmtId="1" fontId="2" fillId="0" borderId="0" xfId="15" applyNumberFormat="1" applyFont="1"/>
    <xf numFmtId="185" fontId="2" fillId="0" borderId="0" xfId="15" applyNumberFormat="1" applyFont="1"/>
    <xf numFmtId="185" fontId="2" fillId="0" borderId="0" xfId="15" applyNumberFormat="1" applyFont="1" applyFill="1" applyBorder="1"/>
    <xf numFmtId="0" fontId="2" fillId="0" borderId="0" xfId="15" applyFont="1" applyAlignment="1">
      <alignment horizontal="left"/>
    </xf>
    <xf numFmtId="165" fontId="2" fillId="19" borderId="9" xfId="15" applyNumberFormat="1" applyFont="1" applyFill="1" applyBorder="1"/>
    <xf numFmtId="185" fontId="2" fillId="19" borderId="5" xfId="15" applyNumberFormat="1" applyFont="1" applyFill="1" applyBorder="1"/>
    <xf numFmtId="0" fontId="2" fillId="0" borderId="26" xfId="15" applyFont="1" applyBorder="1" applyAlignment="1">
      <alignment horizontal="left"/>
    </xf>
    <xf numFmtId="0" fontId="2" fillId="19" borderId="4" xfId="15" applyFont="1" applyFill="1" applyBorder="1" applyAlignment="1">
      <alignment horizontal="left"/>
    </xf>
    <xf numFmtId="165" fontId="2" fillId="19" borderId="2" xfId="15" applyNumberFormat="1" applyFont="1" applyFill="1" applyBorder="1"/>
    <xf numFmtId="185" fontId="3" fillId="19" borderId="0" xfId="15" applyNumberFormat="1" applyFont="1" applyFill="1" applyBorder="1"/>
    <xf numFmtId="185" fontId="2" fillId="19" borderId="0" xfId="15" applyNumberFormat="1" applyFont="1" applyFill="1" applyBorder="1"/>
    <xf numFmtId="0" fontId="3" fillId="19" borderId="0" xfId="15" applyFont="1" applyFill="1" applyBorder="1"/>
    <xf numFmtId="1" fontId="3" fillId="19" borderId="0" xfId="15" applyNumberFormat="1" applyFont="1" applyFill="1" applyBorder="1"/>
    <xf numFmtId="185" fontId="2" fillId="19" borderId="0" xfId="2" applyNumberFormat="1" applyFont="1" applyFill="1" applyBorder="1"/>
    <xf numFmtId="185" fontId="3" fillId="19" borderId="50" xfId="15" applyNumberFormat="1" applyFont="1" applyFill="1" applyBorder="1"/>
    <xf numFmtId="0" fontId="3" fillId="19" borderId="3" xfId="15" applyFont="1" applyFill="1" applyBorder="1"/>
    <xf numFmtId="185" fontId="50" fillId="19" borderId="0" xfId="15" applyNumberFormat="1" applyFont="1" applyFill="1" applyBorder="1"/>
    <xf numFmtId="0" fontId="50" fillId="19" borderId="0" xfId="15" applyFont="1" applyFill="1" applyBorder="1"/>
    <xf numFmtId="0" fontId="26" fillId="19" borderId="0" xfId="15" applyFont="1" applyFill="1" applyBorder="1"/>
    <xf numFmtId="185" fontId="26" fillId="19" borderId="0" xfId="15" applyNumberFormat="1" applyFont="1" applyFill="1" applyBorder="1"/>
    <xf numFmtId="0" fontId="26" fillId="19" borderId="3" xfId="15" applyFont="1" applyFill="1" applyBorder="1" applyAlignment="1">
      <alignment horizontal="left"/>
    </xf>
    <xf numFmtId="0" fontId="50" fillId="19" borderId="3" xfId="15" applyFont="1" applyFill="1" applyBorder="1"/>
    <xf numFmtId="0" fontId="48" fillId="19" borderId="0" xfId="15" applyFill="1" applyBorder="1"/>
    <xf numFmtId="185" fontId="2" fillId="11" borderId="50" xfId="15" applyNumberFormat="1" applyFont="1" applyFill="1" applyBorder="1"/>
    <xf numFmtId="9" fontId="2" fillId="19" borderId="28" xfId="15" applyNumberFormat="1" applyFont="1" applyFill="1" applyBorder="1"/>
    <xf numFmtId="0" fontId="2" fillId="19" borderId="3" xfId="15" applyFont="1" applyFill="1" applyBorder="1" applyAlignment="1">
      <alignment horizontal="left"/>
    </xf>
    <xf numFmtId="185" fontId="2" fillId="19" borderId="3" xfId="15" applyNumberFormat="1" applyFont="1" applyFill="1" applyBorder="1" applyAlignment="1">
      <alignment horizontal="center" vertical="top"/>
    </xf>
    <xf numFmtId="185" fontId="2" fillId="11" borderId="29" xfId="15" applyNumberFormat="1" applyFont="1" applyFill="1" applyBorder="1" applyAlignment="1">
      <alignment horizontal="center" vertical="top" wrapText="1"/>
    </xf>
    <xf numFmtId="9" fontId="2" fillId="19" borderId="28" xfId="15" applyNumberFormat="1" applyFont="1" applyFill="1" applyBorder="1" applyAlignment="1">
      <alignment horizontal="right" wrapText="1"/>
    </xf>
    <xf numFmtId="0" fontId="2" fillId="19" borderId="29" xfId="15" applyFont="1" applyFill="1" applyBorder="1" applyAlignment="1">
      <alignment horizontal="right"/>
    </xf>
    <xf numFmtId="0" fontId="2" fillId="19" borderId="3" xfId="15" applyFont="1" applyFill="1" applyBorder="1" applyAlignment="1">
      <alignment horizontal="right"/>
    </xf>
    <xf numFmtId="185" fontId="2" fillId="2" borderId="29" xfId="15" applyNumberFormat="1" applyFont="1" applyFill="1" applyBorder="1" applyAlignment="1">
      <alignment horizontal="center" vertical="top" wrapText="1"/>
    </xf>
    <xf numFmtId="0" fontId="2" fillId="19" borderId="29" xfId="15" applyFont="1" applyFill="1" applyBorder="1" applyAlignment="1">
      <alignment horizontal="right" vertical="top"/>
    </xf>
    <xf numFmtId="0" fontId="48" fillId="0" borderId="29" xfId="15" applyBorder="1"/>
    <xf numFmtId="185" fontId="2" fillId="19" borderId="50" xfId="15" applyNumberFormat="1" applyFont="1" applyFill="1" applyBorder="1" applyAlignment="1">
      <alignment horizontal="center" vertical="top"/>
    </xf>
    <xf numFmtId="185" fontId="2" fillId="19" borderId="29" xfId="15" applyNumberFormat="1" applyFont="1" applyFill="1" applyBorder="1" applyAlignment="1">
      <alignment horizontal="center" vertical="top" wrapText="1"/>
    </xf>
    <xf numFmtId="0" fontId="2" fillId="19" borderId="28" xfId="15" applyFont="1" applyFill="1" applyBorder="1" applyAlignment="1">
      <alignment horizontal="center" vertical="top" wrapText="1"/>
    </xf>
    <xf numFmtId="0" fontId="2" fillId="19" borderId="29" xfId="15" applyFont="1" applyFill="1" applyBorder="1" applyAlignment="1">
      <alignment horizontal="center" vertical="top" wrapText="1"/>
    </xf>
    <xf numFmtId="185" fontId="2" fillId="19" borderId="27" xfId="15" applyNumberFormat="1" applyFont="1" applyFill="1" applyBorder="1" applyAlignment="1">
      <alignment horizontal="center" vertical="top" wrapText="1"/>
    </xf>
    <xf numFmtId="185" fontId="2" fillId="19" borderId="50" xfId="15" applyNumberFormat="1" applyFont="1" applyFill="1" applyBorder="1" applyAlignment="1">
      <alignment horizontal="center" vertical="top" wrapText="1"/>
    </xf>
    <xf numFmtId="185" fontId="2" fillId="19" borderId="0" xfId="15" applyNumberFormat="1" applyFont="1" applyFill="1" applyBorder="1" applyAlignment="1">
      <alignment horizontal="center" vertical="top" wrapText="1"/>
    </xf>
    <xf numFmtId="0" fontId="2" fillId="19" borderId="27" xfId="15" applyFont="1" applyFill="1" applyBorder="1" applyAlignment="1">
      <alignment horizontal="center" vertical="top" wrapText="1"/>
    </xf>
    <xf numFmtId="185" fontId="3" fillId="19" borderId="0" xfId="15" applyNumberFormat="1" applyFont="1" applyFill="1" applyBorder="1" applyAlignment="1">
      <alignment horizontal="center"/>
    </xf>
    <xf numFmtId="186" fontId="2" fillId="19" borderId="0" xfId="2" applyNumberFormat="1" applyFont="1" applyFill="1" applyBorder="1"/>
    <xf numFmtId="0" fontId="2" fillId="19" borderId="50" xfId="15" applyFont="1" applyFill="1" applyBorder="1" applyAlignment="1">
      <alignment horizontal="left"/>
    </xf>
    <xf numFmtId="185" fontId="2" fillId="11" borderId="50" xfId="2" applyNumberFormat="1" applyFont="1" applyFill="1" applyBorder="1"/>
    <xf numFmtId="185" fontId="2" fillId="19" borderId="50" xfId="2" applyNumberFormat="1" applyFont="1" applyFill="1" applyBorder="1"/>
    <xf numFmtId="0" fontId="13" fillId="19" borderId="0" xfId="15" applyFont="1" applyFill="1" applyBorder="1" applyAlignment="1">
      <alignment horizontal="left"/>
    </xf>
    <xf numFmtId="165" fontId="2" fillId="19" borderId="7" xfId="15" applyNumberFormat="1" applyFont="1" applyFill="1" applyBorder="1"/>
    <xf numFmtId="185" fontId="2" fillId="19" borderId="8" xfId="15" applyNumberFormat="1" applyFont="1" applyFill="1" applyBorder="1"/>
    <xf numFmtId="0" fontId="2" fillId="19" borderId="8" xfId="15" applyFont="1" applyFill="1" applyBorder="1"/>
    <xf numFmtId="0" fontId="2" fillId="19" borderId="8" xfId="15" applyFont="1" applyFill="1" applyBorder="1" applyAlignment="1">
      <alignment horizontal="left"/>
    </xf>
    <xf numFmtId="0" fontId="13" fillId="19" borderId="6" xfId="15" applyFont="1" applyFill="1" applyBorder="1" applyAlignment="1">
      <alignment horizontal="left"/>
    </xf>
    <xf numFmtId="165" fontId="50" fillId="19" borderId="2" xfId="15" applyNumberFormat="1" applyFont="1" applyFill="1" applyBorder="1"/>
    <xf numFmtId="0" fontId="50" fillId="0" borderId="0" xfId="15" applyFont="1" applyBorder="1"/>
    <xf numFmtId="0" fontId="2" fillId="19" borderId="29" xfId="15" applyFont="1" applyFill="1" applyBorder="1" applyAlignment="1">
      <alignment vertical="top" wrapText="1"/>
    </xf>
    <xf numFmtId="0" fontId="3" fillId="19" borderId="50" xfId="15" applyFont="1" applyFill="1" applyBorder="1" applyAlignment="1">
      <alignment horizontal="left"/>
    </xf>
    <xf numFmtId="185" fontId="3" fillId="19" borderId="0" xfId="2" applyNumberFormat="1" applyFont="1" applyFill="1" applyBorder="1"/>
    <xf numFmtId="185" fontId="3" fillId="19" borderId="50" xfId="2" applyNumberFormat="1" applyFont="1" applyFill="1" applyBorder="1"/>
    <xf numFmtId="1" fontId="2" fillId="19" borderId="2" xfId="15" applyNumberFormat="1" applyFont="1" applyFill="1" applyBorder="1"/>
    <xf numFmtId="1" fontId="2" fillId="19" borderId="7" xfId="15" applyNumberFormat="1" applyFont="1" applyFill="1" applyBorder="1"/>
    <xf numFmtId="0" fontId="3" fillId="19" borderId="5" xfId="15" applyFont="1" applyFill="1" applyBorder="1"/>
    <xf numFmtId="0" fontId="2" fillId="19" borderId="50" xfId="15" applyFont="1" applyFill="1" applyBorder="1" applyAlignment="1">
      <alignment horizontal="right"/>
    </xf>
    <xf numFmtId="0" fontId="2" fillId="19" borderId="29" xfId="15" applyFont="1" applyFill="1" applyBorder="1" applyAlignment="1">
      <alignment horizontal="right" vertical="top" wrapText="1"/>
    </xf>
    <xf numFmtId="0" fontId="2" fillId="0" borderId="26" xfId="15" applyFont="1" applyBorder="1"/>
    <xf numFmtId="9" fontId="2" fillId="19" borderId="28" xfId="15" applyNumberFormat="1" applyFont="1" applyFill="1" applyBorder="1" applyAlignment="1"/>
    <xf numFmtId="9" fontId="2" fillId="19" borderId="3" xfId="15" applyNumberFormat="1" applyFont="1" applyFill="1" applyBorder="1" applyAlignment="1">
      <alignment horizontal="right"/>
    </xf>
    <xf numFmtId="0" fontId="2" fillId="19" borderId="50" xfId="15" applyFont="1" applyFill="1" applyBorder="1" applyAlignment="1">
      <alignment horizontal="right" wrapText="1"/>
    </xf>
    <xf numFmtId="9" fontId="2" fillId="19" borderId="50" xfId="15" applyNumberFormat="1" applyFont="1" applyFill="1" applyBorder="1" applyAlignment="1">
      <alignment horizontal="right" wrapText="1"/>
    </xf>
    <xf numFmtId="0" fontId="2" fillId="19" borderId="0" xfId="15" applyFont="1" applyFill="1" applyBorder="1" applyAlignment="1">
      <alignment horizontal="left"/>
    </xf>
    <xf numFmtId="0" fontId="48" fillId="0" borderId="0" xfId="15" applyBorder="1"/>
    <xf numFmtId="165" fontId="2" fillId="19" borderId="5" xfId="15" applyNumberFormat="1" applyFont="1" applyFill="1" applyBorder="1"/>
    <xf numFmtId="165" fontId="2" fillId="19" borderId="5" xfId="15" applyNumberFormat="1" applyFont="1" applyFill="1" applyBorder="1" applyAlignment="1"/>
    <xf numFmtId="0" fontId="2" fillId="0" borderId="5" xfId="15" applyFont="1" applyBorder="1"/>
    <xf numFmtId="0" fontId="3" fillId="19" borderId="4" xfId="15" applyFont="1" applyFill="1" applyBorder="1"/>
    <xf numFmtId="165" fontId="2" fillId="19" borderId="0" xfId="15" applyNumberFormat="1" applyFont="1" applyFill="1" applyBorder="1"/>
    <xf numFmtId="165" fontId="3" fillId="19" borderId="0" xfId="15" applyNumberFormat="1" applyFont="1" applyFill="1" applyBorder="1"/>
    <xf numFmtId="165" fontId="2" fillId="19" borderId="0" xfId="15" applyNumberFormat="1" applyFont="1" applyFill="1" applyBorder="1" applyAlignment="1"/>
    <xf numFmtId="1" fontId="3" fillId="19" borderId="50" xfId="15" applyNumberFormat="1" applyFont="1" applyFill="1" applyBorder="1"/>
    <xf numFmtId="186" fontId="2" fillId="0" borderId="0" xfId="1" applyNumberFormat="1" applyFont="1" applyFill="1" applyBorder="1" applyAlignment="1">
      <alignment horizontal="center"/>
    </xf>
    <xf numFmtId="165" fontId="2" fillId="0" borderId="0" xfId="15" applyNumberFormat="1" applyFont="1" applyFill="1" applyBorder="1"/>
    <xf numFmtId="165" fontId="2" fillId="0" borderId="0" xfId="15" applyNumberFormat="1" applyFont="1" applyFill="1" applyBorder="1" applyAlignment="1"/>
    <xf numFmtId="186" fontId="2" fillId="0" borderId="0" xfId="2" applyNumberFormat="1" applyFont="1" applyFill="1" applyBorder="1"/>
    <xf numFmtId="186" fontId="3" fillId="19" borderId="0" xfId="2" applyNumberFormat="1" applyFont="1" applyFill="1" applyBorder="1" applyAlignment="1">
      <alignment horizontal="center"/>
    </xf>
    <xf numFmtId="165" fontId="50" fillId="19" borderId="0" xfId="15" applyNumberFormat="1" applyFont="1" applyFill="1" applyBorder="1"/>
    <xf numFmtId="165" fontId="51" fillId="19" borderId="0" xfId="15" applyNumberFormat="1" applyFont="1" applyFill="1" applyBorder="1"/>
    <xf numFmtId="9" fontId="2" fillId="19" borderId="50" xfId="15" applyNumberFormat="1" applyFont="1" applyFill="1" applyBorder="1" applyAlignment="1">
      <alignment horizontal="right"/>
    </xf>
    <xf numFmtId="165" fontId="2" fillId="19" borderId="0" xfId="15" applyNumberFormat="1" applyFont="1" applyFill="1" applyBorder="1" applyAlignment="1">
      <alignment horizontal="center"/>
    </xf>
    <xf numFmtId="0" fontId="2" fillId="19" borderId="29" xfId="10" applyFont="1" applyFill="1" applyBorder="1" applyAlignment="1"/>
    <xf numFmtId="186" fontId="2" fillId="19" borderId="50" xfId="2" applyNumberFormat="1" applyFont="1" applyFill="1" applyBorder="1"/>
    <xf numFmtId="0" fontId="2" fillId="19" borderId="50" xfId="10" applyFont="1" applyFill="1" applyBorder="1" applyAlignment="1"/>
    <xf numFmtId="0" fontId="26" fillId="19" borderId="5" xfId="15" applyFont="1" applyFill="1" applyBorder="1" applyAlignment="1">
      <alignment horizontal="left"/>
    </xf>
    <xf numFmtId="9" fontId="2" fillId="21" borderId="50" xfId="15" applyNumberFormat="1" applyFont="1" applyFill="1" applyBorder="1" applyProtection="1">
      <protection locked="0"/>
    </xf>
    <xf numFmtId="0" fontId="6" fillId="19" borderId="3" xfId="15" applyFont="1" applyFill="1" applyBorder="1" applyAlignment="1">
      <alignment horizontal="left"/>
    </xf>
    <xf numFmtId="0" fontId="13" fillId="19" borderId="8" xfId="15" applyFont="1" applyFill="1" applyBorder="1" applyAlignment="1">
      <alignment horizontal="left"/>
    </xf>
    <xf numFmtId="0" fontId="2" fillId="19" borderId="5" xfId="15" applyFont="1" applyFill="1" applyBorder="1" applyAlignment="1">
      <alignment horizontal="left"/>
    </xf>
    <xf numFmtId="0" fontId="3" fillId="19" borderId="50" xfId="15" applyFont="1" applyFill="1" applyBorder="1"/>
    <xf numFmtId="185" fontId="2" fillId="11" borderId="27" xfId="15" applyNumberFormat="1" applyFont="1" applyFill="1" applyBorder="1"/>
    <xf numFmtId="9" fontId="2" fillId="0" borderId="27" xfId="15" applyNumberFormat="1" applyFont="1" applyFill="1" applyBorder="1" applyAlignment="1">
      <alignment horizontal="right"/>
    </xf>
    <xf numFmtId="185" fontId="2" fillId="11" borderId="50" xfId="15" applyNumberFormat="1" applyFont="1" applyFill="1" applyBorder="1" applyAlignment="1">
      <alignment horizontal="right"/>
    </xf>
    <xf numFmtId="185" fontId="2" fillId="19" borderId="0" xfId="2" applyNumberFormat="1" applyFont="1" applyFill="1" applyBorder="1" applyAlignment="1">
      <alignment horizontal="right"/>
    </xf>
    <xf numFmtId="185" fontId="2" fillId="11" borderId="29" xfId="15" applyNumberFormat="1" applyFont="1" applyFill="1" applyBorder="1" applyAlignment="1">
      <alignment horizontal="right" vertical="top" wrapText="1"/>
    </xf>
    <xf numFmtId="165" fontId="2" fillId="19" borderId="8" xfId="15" applyNumberFormat="1" applyFont="1" applyFill="1" applyBorder="1"/>
    <xf numFmtId="165" fontId="2" fillId="19" borderId="8" xfId="15" applyNumberFormat="1" applyFont="1" applyFill="1" applyBorder="1" applyAlignment="1"/>
    <xf numFmtId="0" fontId="50" fillId="0" borderId="0" xfId="15" applyFont="1"/>
    <xf numFmtId="185" fontId="2" fillId="0" borderId="29" xfId="15" applyNumberFormat="1" applyFont="1" applyFill="1" applyBorder="1" applyAlignment="1">
      <alignment wrapText="1"/>
    </xf>
    <xf numFmtId="1" fontId="2" fillId="19" borderId="57" xfId="15" applyNumberFormat="1" applyFont="1" applyFill="1" applyBorder="1"/>
    <xf numFmtId="185" fontId="2" fillId="19" borderId="26" xfId="15" applyNumberFormat="1" applyFont="1" applyFill="1" applyBorder="1"/>
    <xf numFmtId="0" fontId="52" fillId="19" borderId="26" xfId="15" applyFont="1" applyFill="1" applyBorder="1" applyAlignment="1">
      <alignment horizontal="left"/>
    </xf>
    <xf numFmtId="0" fontId="52" fillId="19" borderId="49" xfId="15" applyFont="1" applyFill="1" applyBorder="1" applyAlignment="1">
      <alignment horizontal="left"/>
    </xf>
    <xf numFmtId="0" fontId="24" fillId="0" borderId="0" xfId="0" applyFont="1" applyBorder="1"/>
    <xf numFmtId="164" fontId="24" fillId="0" borderId="0" xfId="6" applyNumberFormat="1" applyFont="1" applyFill="1" applyBorder="1"/>
    <xf numFmtId="0" fontId="67" fillId="0" borderId="0" xfId="0" applyFont="1" applyBorder="1"/>
    <xf numFmtId="0" fontId="2" fillId="0" borderId="0" xfId="0" applyFont="1" applyFill="1" applyBorder="1" applyAlignment="1">
      <alignment horizontal="left" indent="3"/>
    </xf>
    <xf numFmtId="189" fontId="24" fillId="0" borderId="0" xfId="6" applyNumberFormat="1" applyFont="1" applyFill="1" applyBorder="1"/>
    <xf numFmtId="0" fontId="24" fillId="29" borderId="8" xfId="0" applyFont="1" applyFill="1" applyBorder="1"/>
    <xf numFmtId="0" fontId="24" fillId="29" borderId="7" xfId="0" applyFont="1" applyFill="1" applyBorder="1"/>
    <xf numFmtId="0" fontId="24" fillId="29" borderId="0" xfId="0" applyFont="1" applyFill="1" applyBorder="1"/>
    <xf numFmtId="0" fontId="24" fillId="29" borderId="2" xfId="0" applyFont="1" applyFill="1" applyBorder="1"/>
    <xf numFmtId="0" fontId="24" fillId="29" borderId="5" xfId="0" applyFont="1" applyFill="1" applyBorder="1"/>
    <xf numFmtId="10" fontId="24" fillId="0" borderId="0" xfId="11" applyNumberFormat="1" applyFont="1" applyFill="1" applyBorder="1"/>
    <xf numFmtId="0" fontId="13" fillId="0" borderId="0" xfId="0" applyFont="1" applyFill="1" applyBorder="1"/>
    <xf numFmtId="0" fontId="24" fillId="0" borderId="0" xfId="0" applyFont="1" applyFill="1" applyBorder="1"/>
    <xf numFmtId="0" fontId="24" fillId="0" borderId="0" xfId="0" applyFont="1" applyBorder="1" applyAlignment="1">
      <alignment horizontal="right"/>
    </xf>
    <xf numFmtId="3" fontId="2" fillId="0" borderId="0" xfId="0" applyNumberFormat="1" applyFont="1" applyFill="1" applyBorder="1" applyAlignment="1">
      <alignment horizontal="left" vertical="top" wrapText="1"/>
    </xf>
    <xf numFmtId="3" fontId="2" fillId="0" borderId="15" xfId="0" applyNumberFormat="1" applyFont="1" applyFill="1" applyBorder="1" applyAlignment="1">
      <alignment horizontal="left" vertical="top" wrapText="1" indent="2"/>
    </xf>
    <xf numFmtId="3" fontId="2" fillId="0" borderId="15" xfId="0" quotePrefix="1" applyNumberFormat="1" applyFont="1" applyFill="1" applyBorder="1" applyAlignment="1">
      <alignment horizontal="left" vertical="top" wrapText="1" indent="2"/>
    </xf>
    <xf numFmtId="3" fontId="2" fillId="0" borderId="15" xfId="0" applyNumberFormat="1" applyFont="1" applyFill="1" applyBorder="1" applyAlignment="1">
      <alignment horizontal="left" vertical="top" indent="2"/>
    </xf>
    <xf numFmtId="3" fontId="2" fillId="0" borderId="15" xfId="0" applyNumberFormat="1" applyFont="1" applyFill="1" applyBorder="1" applyAlignment="1">
      <alignment horizontal="left" indent="2"/>
    </xf>
    <xf numFmtId="3" fontId="2" fillId="0" borderId="15" xfId="0" applyNumberFormat="1" applyFont="1" applyFill="1" applyBorder="1" applyAlignment="1">
      <alignment horizontal="left" wrapText="1"/>
    </xf>
    <xf numFmtId="0" fontId="3" fillId="0" borderId="13" xfId="0" applyFont="1" applyBorder="1"/>
    <xf numFmtId="0" fontId="3" fillId="0" borderId="10" xfId="0" applyFont="1" applyBorder="1"/>
    <xf numFmtId="10" fontId="0" fillId="0" borderId="15" xfId="11" applyNumberFormat="1" applyFont="1" applyBorder="1" applyAlignment="1">
      <alignment horizontal="right" indent="1"/>
    </xf>
    <xf numFmtId="10" fontId="3" fillId="0" borderId="15" xfId="11" applyNumberFormat="1" applyFont="1" applyBorder="1" applyAlignment="1">
      <alignment horizontal="right" indent="1"/>
    </xf>
    <xf numFmtId="0" fontId="2" fillId="0" borderId="0" xfId="0" applyFont="1" applyBorder="1" applyAlignment="1">
      <alignment horizontal="center" vertical="top" wrapText="1"/>
    </xf>
    <xf numFmtId="9" fontId="3" fillId="0" borderId="15" xfId="11" applyFont="1" applyBorder="1" applyAlignment="1">
      <alignment horizontal="right" indent="1"/>
    </xf>
    <xf numFmtId="0" fontId="31" fillId="0" borderId="15" xfId="0" applyFont="1" applyBorder="1"/>
    <xf numFmtId="171" fontId="31" fillId="0" borderId="15" xfId="0" applyNumberFormat="1" applyFont="1" applyBorder="1" applyAlignment="1">
      <alignment horizontal="right" indent="1"/>
    </xf>
    <xf numFmtId="0" fontId="27" fillId="0" borderId="0" xfId="0" applyFont="1"/>
    <xf numFmtId="0" fontId="27" fillId="0" borderId="13" xfId="0" applyFont="1" applyBorder="1"/>
    <xf numFmtId="0" fontId="27" fillId="0" borderId="0" xfId="0" applyFont="1" applyBorder="1"/>
    <xf numFmtId="0" fontId="6" fillId="0" borderId="15" xfId="0" applyFont="1" applyBorder="1"/>
    <xf numFmtId="171" fontId="6" fillId="0" borderId="15" xfId="0" applyNumberFormat="1" applyFont="1" applyFill="1" applyBorder="1" applyAlignment="1">
      <alignment horizontal="right" indent="1"/>
    </xf>
    <xf numFmtId="0" fontId="27" fillId="0" borderId="10" xfId="0" applyFont="1" applyBorder="1"/>
    <xf numFmtId="0" fontId="6" fillId="0" borderId="13" xfId="0" applyFont="1" applyBorder="1"/>
    <xf numFmtId="0" fontId="6" fillId="0" borderId="0" xfId="0" applyFont="1" applyBorder="1"/>
    <xf numFmtId="0" fontId="6" fillId="0" borderId="10" xfId="0" applyFont="1" applyBorder="1"/>
    <xf numFmtId="0" fontId="3" fillId="0" borderId="0" xfId="0" applyFont="1" applyAlignment="1">
      <alignment horizontal="left"/>
    </xf>
    <xf numFmtId="169" fontId="0" fillId="0" borderId="0" xfId="0" applyNumberFormat="1" applyFill="1" applyBorder="1" applyAlignment="1">
      <alignment horizontal="center"/>
    </xf>
    <xf numFmtId="174" fontId="0" fillId="0" borderId="0" xfId="6" applyNumberFormat="1" applyFont="1" applyAlignment="1">
      <alignment horizontal="center"/>
    </xf>
    <xf numFmtId="10" fontId="3" fillId="0" borderId="0" xfId="0" applyNumberFormat="1" applyFont="1"/>
    <xf numFmtId="174" fontId="3" fillId="0" borderId="0" xfId="6" applyNumberFormat="1" applyFont="1" applyAlignment="1">
      <alignment horizontal="center"/>
    </xf>
    <xf numFmtId="170" fontId="0" fillId="0" borderId="15" xfId="11" quotePrefix="1" applyNumberFormat="1" applyFont="1" applyBorder="1"/>
    <xf numFmtId="171" fontId="0" fillId="0" borderId="15" xfId="0" quotePrefix="1" applyNumberFormat="1" applyFill="1" applyBorder="1" applyAlignment="1">
      <alignment horizontal="right" indent="1"/>
    </xf>
    <xf numFmtId="0" fontId="2" fillId="2" borderId="0" xfId="0" applyFont="1" applyFill="1" applyBorder="1" applyAlignment="1">
      <alignment vertical="center"/>
    </xf>
    <xf numFmtId="0" fontId="35" fillId="0" borderId="3" xfId="0" applyFont="1" applyBorder="1"/>
    <xf numFmtId="0" fontId="35" fillId="0" borderId="15" xfId="0" applyFont="1" applyBorder="1"/>
    <xf numFmtId="0" fontId="35" fillId="0" borderId="2" xfId="0" applyFont="1" applyBorder="1"/>
    <xf numFmtId="0" fontId="35" fillId="0" borderId="0" xfId="0" applyFont="1"/>
    <xf numFmtId="0" fontId="0" fillId="0" borderId="15" xfId="0" applyFill="1" applyBorder="1" applyAlignment="1">
      <alignment horizontal="left"/>
    </xf>
    <xf numFmtId="4" fontId="3" fillId="0" borderId="15" xfId="0" applyNumberFormat="1" applyFont="1" applyBorder="1"/>
    <xf numFmtId="4" fontId="3" fillId="0" borderId="22" xfId="0" applyNumberFormat="1" applyFont="1" applyBorder="1"/>
    <xf numFmtId="4" fontId="0" fillId="0" borderId="22" xfId="0" applyNumberFormat="1" applyFill="1" applyBorder="1"/>
    <xf numFmtId="4" fontId="0" fillId="0" borderId="22" xfId="0" applyNumberFormat="1" applyBorder="1"/>
    <xf numFmtId="4" fontId="35" fillId="0" borderId="22" xfId="0" applyNumberFormat="1" applyFont="1" applyFill="1" applyBorder="1"/>
    <xf numFmtId="4" fontId="0" fillId="0" borderId="24" xfId="0" applyNumberFormat="1" applyBorder="1"/>
    <xf numFmtId="4" fontId="3" fillId="0" borderId="15" xfId="0" applyNumberFormat="1" applyFont="1" applyFill="1" applyBorder="1"/>
    <xf numFmtId="4" fontId="0" fillId="0" borderId="15" xfId="0" applyNumberFormat="1" applyBorder="1"/>
    <xf numFmtId="4" fontId="0" fillId="0" borderId="2" xfId="0" applyNumberFormat="1" applyBorder="1"/>
    <xf numFmtId="4" fontId="0" fillId="0" borderId="3" xfId="0" applyNumberFormat="1" applyBorder="1"/>
    <xf numFmtId="4" fontId="0" fillId="0" borderId="15" xfId="0" applyNumberFormat="1" applyFill="1" applyBorder="1"/>
    <xf numFmtId="4" fontId="0" fillId="0" borderId="24" xfId="0" applyNumberFormat="1" applyFill="1" applyBorder="1"/>
    <xf numFmtId="4" fontId="0" fillId="0" borderId="2" xfId="0" applyNumberFormat="1" applyFill="1" applyBorder="1"/>
    <xf numFmtId="4" fontId="3" fillId="0" borderId="22" xfId="0" applyNumberFormat="1" applyFont="1" applyFill="1" applyBorder="1"/>
    <xf numFmtId="4" fontId="35" fillId="0" borderId="24" xfId="0" applyNumberFormat="1" applyFont="1" applyBorder="1"/>
    <xf numFmtId="4" fontId="35" fillId="0" borderId="15" xfId="0" applyNumberFormat="1" applyFont="1" applyFill="1" applyBorder="1"/>
    <xf numFmtId="4" fontId="35" fillId="0" borderId="15" xfId="0" applyNumberFormat="1" applyFont="1" applyBorder="1"/>
    <xf numFmtId="4" fontId="35" fillId="0" borderId="2" xfId="0" applyNumberFormat="1" applyFont="1" applyBorder="1"/>
    <xf numFmtId="4" fontId="24" fillId="0" borderId="0" xfId="0" applyNumberFormat="1" applyFont="1" applyFill="1" applyBorder="1" applyAlignment="1">
      <alignment vertical="center"/>
    </xf>
    <xf numFmtId="0" fontId="2" fillId="0" borderId="15" xfId="0" applyFont="1" applyBorder="1" applyAlignment="1">
      <alignment horizontal="right" vertical="center" wrapText="1"/>
    </xf>
    <xf numFmtId="3" fontId="0" fillId="31" borderId="5" xfId="0" applyNumberFormat="1" applyFill="1" applyBorder="1" applyProtection="1">
      <protection locked="0"/>
    </xf>
    <xf numFmtId="0" fontId="2" fillId="4" borderId="44" xfId="0" applyFont="1" applyFill="1" applyBorder="1" applyProtection="1">
      <protection locked="0"/>
    </xf>
    <xf numFmtId="0" fontId="0" fillId="0" borderId="6" xfId="0" applyBorder="1" applyAlignment="1">
      <alignment horizontal="right"/>
    </xf>
    <xf numFmtId="170" fontId="0" fillId="0" borderId="8" xfId="0" applyNumberFormat="1" applyBorder="1" applyAlignment="1">
      <alignment horizontal="center"/>
    </xf>
    <xf numFmtId="0" fontId="0" fillId="0" borderId="7" xfId="0" applyBorder="1" applyAlignment="1">
      <alignment horizontal="left"/>
    </xf>
    <xf numFmtId="0" fontId="0" fillId="0" borderId="3" xfId="0" applyBorder="1" applyAlignment="1">
      <alignment horizontal="right"/>
    </xf>
    <xf numFmtId="171" fontId="6" fillId="32" borderId="15" xfId="0" applyNumberFormat="1" applyFont="1" applyFill="1" applyBorder="1" applyAlignment="1">
      <alignment horizontal="right" indent="1"/>
    </xf>
    <xf numFmtId="170" fontId="6" fillId="32" borderId="15" xfId="0" applyNumberFormat="1" applyFont="1" applyFill="1" applyBorder="1" applyAlignment="1">
      <alignment horizontal="right" indent="1"/>
    </xf>
    <xf numFmtId="4" fontId="0" fillId="0" borderId="32" xfId="0" applyNumberFormat="1" applyBorder="1"/>
    <xf numFmtId="4" fontId="0" fillId="0" borderId="30" xfId="0" applyNumberFormat="1" applyFill="1" applyBorder="1"/>
    <xf numFmtId="4" fontId="3" fillId="0" borderId="30" xfId="0" applyNumberFormat="1" applyFont="1" applyFill="1" applyBorder="1"/>
    <xf numFmtId="4" fontId="0" fillId="0" borderId="32" xfId="0" applyNumberFormat="1" applyFill="1" applyBorder="1"/>
    <xf numFmtId="4" fontId="35" fillId="0" borderId="30" xfId="0" applyNumberFormat="1" applyFont="1" applyFill="1" applyBorder="1"/>
    <xf numFmtId="4" fontId="0" fillId="0" borderId="3" xfId="0" applyNumberFormat="1" applyFill="1" applyBorder="1"/>
    <xf numFmtId="4" fontId="35" fillId="0" borderId="3" xfId="0" applyNumberFormat="1" applyFont="1" applyBorder="1"/>
    <xf numFmtId="0" fontId="0" fillId="0" borderId="24" xfId="0" applyFill="1" applyBorder="1"/>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1" fontId="0" fillId="0" borderId="2" xfId="0" applyNumberFormat="1" applyBorder="1" applyAlignment="1"/>
    <xf numFmtId="1" fontId="0" fillId="0" borderId="9" xfId="0" applyNumberFormat="1" applyBorder="1" applyAlignment="1"/>
    <xf numFmtId="0" fontId="0" fillId="0" borderId="30" xfId="0" applyFill="1" applyBorder="1"/>
    <xf numFmtId="190" fontId="0" fillId="4" borderId="22" xfId="0" applyNumberFormat="1" applyFill="1" applyBorder="1" applyProtection="1">
      <protection locked="0"/>
    </xf>
    <xf numFmtId="185" fontId="2" fillId="0" borderId="3" xfId="15" applyNumberFormat="1" applyFont="1" applyFill="1" applyBorder="1" applyAlignment="1">
      <alignment horizontal="center" vertical="top"/>
    </xf>
    <xf numFmtId="4" fontId="3" fillId="32" borderId="22" xfId="0" applyNumberFormat="1" applyFont="1" applyFill="1" applyBorder="1" applyAlignment="1">
      <alignment horizontal="center" vertical="center"/>
    </xf>
    <xf numFmtId="174" fontId="3" fillId="32" borderId="0" xfId="6" applyNumberFormat="1" applyFont="1" applyFill="1" applyAlignment="1">
      <alignment horizontal="center"/>
    </xf>
    <xf numFmtId="4" fontId="0" fillId="0" borderId="5" xfId="0" applyNumberFormat="1" applyFill="1" applyBorder="1"/>
    <xf numFmtId="4" fontId="3" fillId="0" borderId="5" xfId="0" applyNumberFormat="1" applyFont="1" applyFill="1" applyBorder="1"/>
    <xf numFmtId="0" fontId="3" fillId="0" borderId="7" xfId="0" applyFont="1" applyFill="1" applyBorder="1" applyAlignment="1">
      <alignment vertical="center" wrapText="1"/>
    </xf>
    <xf numFmtId="169" fontId="0" fillId="0" borderId="28" xfId="0" applyNumberFormat="1" applyFill="1" applyBorder="1"/>
    <xf numFmtId="169" fontId="0" fillId="0" borderId="0" xfId="0" applyNumberFormat="1" applyFill="1" applyBorder="1"/>
    <xf numFmtId="0" fontId="2" fillId="19" borderId="50" xfId="15" applyFont="1" applyFill="1" applyBorder="1" applyAlignment="1">
      <alignment horizontal="center" vertical="top"/>
    </xf>
    <xf numFmtId="0" fontId="2" fillId="0" borderId="50" xfId="0" applyFont="1" applyBorder="1" applyAlignment="1">
      <alignment vertical="top" wrapText="1"/>
    </xf>
    <xf numFmtId="0" fontId="2" fillId="0" borderId="50" xfId="0" applyFont="1" applyFill="1" applyBorder="1" applyAlignment="1">
      <alignment horizontal="left" vertical="top" wrapText="1"/>
    </xf>
    <xf numFmtId="0" fontId="2" fillId="19" borderId="50" xfId="0" applyFont="1" applyFill="1" applyBorder="1" applyAlignment="1">
      <alignment vertical="top" wrapText="1"/>
    </xf>
    <xf numFmtId="0" fontId="2" fillId="19" borderId="50" xfId="0" quotePrefix="1" applyFont="1" applyFill="1" applyBorder="1" applyAlignment="1">
      <alignment vertical="top" wrapText="1"/>
    </xf>
    <xf numFmtId="3" fontId="2" fillId="19" borderId="50" xfId="0" quotePrefix="1" applyNumberFormat="1" applyFont="1" applyFill="1" applyBorder="1" applyAlignment="1">
      <alignment vertical="top" wrapText="1"/>
    </xf>
    <xf numFmtId="3" fontId="2" fillId="19" borderId="50" xfId="0" applyNumberFormat="1" applyFont="1" applyFill="1" applyBorder="1" applyAlignment="1">
      <alignment vertical="top" wrapText="1"/>
    </xf>
    <xf numFmtId="0" fontId="2" fillId="0" borderId="50" xfId="0" applyFont="1" applyFill="1" applyBorder="1" applyAlignment="1">
      <alignment vertical="top" wrapText="1"/>
    </xf>
    <xf numFmtId="0" fontId="2" fillId="0" borderId="0" xfId="0" applyFont="1" applyBorder="1" applyAlignment="1">
      <alignment horizontal="right"/>
    </xf>
    <xf numFmtId="0" fontId="2" fillId="0" borderId="0" xfId="0" quotePrefix="1" applyFont="1" applyBorder="1" applyAlignment="1">
      <alignment horizontal="right"/>
    </xf>
    <xf numFmtId="0" fontId="0" fillId="0" borderId="5" xfId="0" applyFill="1" applyBorder="1" applyAlignment="1">
      <alignment horizontal="left"/>
    </xf>
    <xf numFmtId="0" fontId="2" fillId="0" borderId="50" xfId="0" quotePrefix="1" applyFont="1" applyFill="1" applyBorder="1" applyAlignment="1">
      <alignment vertical="top" wrapText="1"/>
    </xf>
    <xf numFmtId="3" fontId="2" fillId="0" borderId="50" xfId="0" applyNumberFormat="1" applyFont="1" applyFill="1" applyBorder="1" applyAlignment="1">
      <alignment vertical="top" wrapText="1"/>
    </xf>
    <xf numFmtId="3" fontId="2" fillId="0" borderId="50" xfId="0" quotePrefix="1" applyNumberFormat="1" applyFont="1" applyFill="1" applyBorder="1" applyAlignment="1">
      <alignment vertical="top" wrapText="1"/>
    </xf>
    <xf numFmtId="0" fontId="2" fillId="0" borderId="50" xfId="5" applyFont="1" applyFill="1" applyBorder="1" applyAlignment="1" applyProtection="1">
      <alignment vertical="top" wrapText="1"/>
    </xf>
    <xf numFmtId="4" fontId="2" fillId="0" borderId="50" xfId="0" applyNumberFormat="1" applyFont="1" applyFill="1" applyBorder="1" applyAlignment="1">
      <alignment vertical="top" wrapText="1"/>
    </xf>
    <xf numFmtId="170" fontId="2" fillId="0" borderId="50" xfId="13" applyNumberFormat="1" applyFont="1" applyFill="1" applyBorder="1" applyAlignment="1">
      <alignment vertical="top" wrapText="1"/>
    </xf>
    <xf numFmtId="0" fontId="2" fillId="0" borderId="50" xfId="15" applyFont="1" applyFill="1" applyBorder="1" applyAlignment="1">
      <alignment vertical="top" wrapText="1"/>
    </xf>
    <xf numFmtId="185" fontId="2" fillId="0" borderId="50" xfId="15" applyNumberFormat="1" applyFont="1" applyFill="1" applyBorder="1" applyAlignment="1">
      <alignment vertical="top" wrapText="1"/>
    </xf>
    <xf numFmtId="0" fontId="2" fillId="19" borderId="50" xfId="15" applyFont="1" applyFill="1" applyBorder="1" applyAlignment="1">
      <alignment vertical="top" wrapText="1"/>
    </xf>
    <xf numFmtId="3" fontId="3" fillId="0" borderId="15" xfId="0" applyNumberFormat="1" applyFont="1" applyFill="1" applyBorder="1" applyAlignment="1"/>
    <xf numFmtId="0" fontId="26" fillId="0" borderId="2" xfId="0" applyFont="1" applyFill="1" applyBorder="1" applyAlignment="1">
      <alignment horizontal="center" vertical="center" wrapText="1"/>
    </xf>
    <xf numFmtId="0" fontId="2" fillId="0" borderId="2" xfId="0" applyFont="1" applyFill="1" applyBorder="1" applyAlignment="1">
      <alignment vertical="center"/>
    </xf>
    <xf numFmtId="0" fontId="25"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0" xfId="0" quotePrefix="1" applyFont="1" applyFill="1" applyBorder="1" applyAlignment="1">
      <alignment horizontal="center" vertical="center"/>
    </xf>
    <xf numFmtId="0" fontId="2" fillId="0" borderId="3" xfId="0" applyFont="1" applyFill="1" applyBorder="1" applyAlignment="1">
      <alignment vertical="center"/>
    </xf>
    <xf numFmtId="0" fontId="2" fillId="8" borderId="3" xfId="0" applyFont="1" applyFill="1" applyBorder="1" applyAlignment="1">
      <alignment vertical="center"/>
    </xf>
    <xf numFmtId="0" fontId="2" fillId="8" borderId="2" xfId="0" applyFont="1" applyFill="1" applyBorder="1" applyAlignment="1">
      <alignment vertical="center"/>
    </xf>
    <xf numFmtId="0" fontId="2" fillId="0" borderId="0" xfId="0" quotePrefix="1" applyFont="1" applyFill="1" applyBorder="1" applyAlignment="1">
      <alignment horizontal="left" vertical="center"/>
    </xf>
    <xf numFmtId="169" fontId="2" fillId="0" borderId="6" xfId="0" applyNumberFormat="1" applyFont="1" applyFill="1" applyBorder="1" applyAlignment="1">
      <alignment horizontal="right" vertical="center" wrapText="1"/>
    </xf>
    <xf numFmtId="169" fontId="2" fillId="0" borderId="27" xfId="0" applyNumberFormat="1" applyFont="1" applyFill="1" applyBorder="1" applyAlignment="1">
      <alignment horizontal="right" vertical="center" wrapText="1"/>
    </xf>
    <xf numFmtId="169" fontId="2" fillId="0" borderId="3" xfId="0" applyNumberFormat="1" applyFont="1" applyFill="1" applyBorder="1" applyAlignment="1">
      <alignment horizontal="right" vertical="center" wrapText="1"/>
    </xf>
    <xf numFmtId="169" fontId="2" fillId="0" borderId="28" xfId="0" applyNumberFormat="1" applyFont="1" applyFill="1" applyBorder="1" applyAlignment="1">
      <alignment horizontal="right" vertical="center" wrapText="1"/>
    </xf>
    <xf numFmtId="169" fontId="2" fillId="0" borderId="4" xfId="0" applyNumberFormat="1" applyFont="1" applyFill="1" applyBorder="1" applyAlignment="1">
      <alignment horizontal="right" vertical="center" wrapText="1"/>
    </xf>
    <xf numFmtId="169" fontId="2" fillId="0" borderId="29" xfId="0" applyNumberFormat="1" applyFont="1" applyFill="1" applyBorder="1" applyAlignment="1">
      <alignment horizontal="right" vertical="center" wrapText="1"/>
    </xf>
    <xf numFmtId="169" fontId="2" fillId="0" borderId="49" xfId="0" applyNumberFormat="1" applyFont="1" applyFill="1" applyBorder="1" applyAlignment="1">
      <alignment horizontal="right" vertical="center" wrapText="1"/>
    </xf>
    <xf numFmtId="0" fontId="25" fillId="8" borderId="3"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30" fillId="8" borderId="3" xfId="0" applyFont="1" applyFill="1" applyBorder="1" applyAlignment="1">
      <alignment horizontal="center"/>
    </xf>
    <xf numFmtId="0" fontId="30" fillId="8" borderId="2" xfId="0" applyFont="1" applyFill="1" applyBorder="1" applyAlignment="1">
      <alignment horizont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10" fontId="3" fillId="0" borderId="22" xfId="11" applyNumberFormat="1" applyFont="1" applyFill="1" applyBorder="1"/>
    <xf numFmtId="10" fontId="3" fillId="0" borderId="28" xfId="11" applyNumberFormat="1" applyFont="1" applyFill="1" applyBorder="1"/>
    <xf numFmtId="0" fontId="54" fillId="0" borderId="0" xfId="0" applyFont="1" applyBorder="1"/>
    <xf numFmtId="3" fontId="9" fillId="33" borderId="0" xfId="4" applyNumberFormat="1" applyFont="1" applyFill="1" applyBorder="1" applyAlignment="1">
      <alignment horizontal="right" vertical="top" wrapText="1"/>
    </xf>
    <xf numFmtId="3" fontId="9" fillId="22" borderId="0" xfId="4" applyNumberFormat="1" applyFont="1" applyFill="1" applyBorder="1" applyAlignment="1">
      <alignment horizontal="right" vertical="top" wrapText="1"/>
    </xf>
    <xf numFmtId="0" fontId="0" fillId="0" borderId="0" xfId="0" applyAlignment="1">
      <alignment vertical="top" wrapText="1"/>
    </xf>
    <xf numFmtId="0" fontId="0" fillId="2" borderId="0" xfId="0" applyFill="1" applyAlignment="1">
      <alignment vertical="top" wrapText="1"/>
    </xf>
    <xf numFmtId="0" fontId="0" fillId="0" borderId="0" xfId="0" applyFill="1" applyAlignment="1">
      <alignment vertical="top" wrapText="1"/>
    </xf>
    <xf numFmtId="0" fontId="2" fillId="0" borderId="50" xfId="0" applyFont="1" applyFill="1" applyBorder="1" applyAlignment="1" applyProtection="1">
      <alignment vertical="top" wrapText="1"/>
    </xf>
    <xf numFmtId="0" fontId="1" fillId="0" borderId="50" xfId="0" applyFont="1" applyFill="1" applyBorder="1" applyAlignment="1">
      <alignment vertical="top" wrapText="1"/>
    </xf>
    <xf numFmtId="0" fontId="65" fillId="0" borderId="50" xfId="0" applyFont="1" applyFill="1" applyBorder="1" applyAlignment="1">
      <alignment vertical="top" wrapText="1"/>
    </xf>
    <xf numFmtId="0" fontId="1" fillId="19" borderId="50" xfId="0" applyFont="1" applyFill="1" applyBorder="1" applyAlignment="1">
      <alignment vertical="top" wrapText="1"/>
    </xf>
    <xf numFmtId="0" fontId="2" fillId="0" borderId="50" xfId="0" applyNumberFormat="1" applyFont="1" applyFill="1" applyBorder="1" applyAlignment="1">
      <alignment vertical="top" wrapText="1"/>
    </xf>
    <xf numFmtId="0" fontId="2" fillId="0" borderId="50" xfId="0" quotePrefix="1" applyFont="1" applyBorder="1" applyAlignment="1">
      <alignment vertical="top" wrapText="1"/>
    </xf>
    <xf numFmtId="9" fontId="2" fillId="0" borderId="50" xfId="15" applyNumberFormat="1" applyFont="1" applyFill="1" applyBorder="1" applyAlignment="1">
      <alignment vertical="top" wrapText="1"/>
    </xf>
    <xf numFmtId="0" fontId="65" fillId="0" borderId="50" xfId="0" applyFont="1" applyBorder="1" applyAlignment="1">
      <alignment vertical="top" wrapText="1"/>
    </xf>
    <xf numFmtId="0" fontId="2" fillId="28" borderId="50" xfId="0" applyFont="1" applyFill="1" applyBorder="1" applyAlignment="1">
      <alignment vertical="top" wrapText="1"/>
    </xf>
    <xf numFmtId="0" fontId="0" fillId="2" borderId="0" xfId="0" applyFill="1" applyAlignment="1">
      <alignment vertical="top"/>
    </xf>
    <xf numFmtId="0" fontId="0" fillId="0" borderId="0" xfId="0" applyFill="1" applyAlignment="1">
      <alignment vertical="top"/>
    </xf>
    <xf numFmtId="0" fontId="14" fillId="9" borderId="1" xfId="0" applyFont="1" applyFill="1" applyBorder="1" applyAlignment="1">
      <alignment vertical="center" wrapText="1"/>
    </xf>
    <xf numFmtId="0" fontId="68" fillId="0" borderId="3" xfId="0" applyFont="1" applyFill="1" applyBorder="1" applyAlignment="1">
      <alignment vertical="center"/>
    </xf>
    <xf numFmtId="0" fontId="68" fillId="0" borderId="4" xfId="0" applyFont="1" applyFill="1" applyBorder="1" applyAlignment="1">
      <alignment vertical="center"/>
    </xf>
    <xf numFmtId="0" fontId="2" fillId="0" borderId="6" xfId="0" applyFont="1" applyFill="1" applyBorder="1" applyAlignment="1">
      <alignment vertical="center"/>
    </xf>
    <xf numFmtId="0" fontId="2" fillId="34" borderId="1" xfId="0" applyFont="1" applyFill="1" applyBorder="1" applyAlignment="1">
      <alignment horizontal="center" vertical="center"/>
    </xf>
    <xf numFmtId="0" fontId="4" fillId="34" borderId="1" xfId="0" applyFont="1" applyFill="1" applyBorder="1"/>
    <xf numFmtId="0" fontId="2" fillId="34" borderId="1" xfId="0" applyFont="1" applyFill="1" applyBorder="1"/>
    <xf numFmtId="170" fontId="2" fillId="34" borderId="1" xfId="11" applyNumberFormat="1" applyFont="1" applyFill="1" applyBorder="1" applyAlignment="1">
      <alignment horizontal="center"/>
    </xf>
    <xf numFmtId="0" fontId="2" fillId="34" borderId="1" xfId="0" applyFont="1" applyFill="1" applyBorder="1" applyAlignment="1">
      <alignment horizontal="center"/>
    </xf>
    <xf numFmtId="0" fontId="2" fillId="34" borderId="1" xfId="0" applyFont="1" applyFill="1" applyBorder="1" applyAlignment="1">
      <alignment horizontal="right"/>
    </xf>
    <xf numFmtId="4" fontId="2" fillId="34" borderId="1" xfId="0" applyNumberFormat="1" applyFont="1" applyFill="1" applyBorder="1"/>
    <xf numFmtId="0" fontId="4" fillId="34" borderId="1" xfId="0" applyFont="1" applyFill="1" applyBorder="1" applyAlignment="1">
      <alignment horizontal="right"/>
    </xf>
    <xf numFmtId="0" fontId="2" fillId="34" borderId="0" xfId="0" applyFont="1" applyFill="1" applyBorder="1"/>
    <xf numFmtId="0" fontId="3" fillId="0" borderId="27" xfId="0" applyFont="1" applyFill="1" applyBorder="1" applyAlignment="1">
      <alignment vertical="center" wrapText="1"/>
    </xf>
    <xf numFmtId="0" fontId="57" fillId="0" borderId="4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30" xfId="0" applyFont="1" applyFill="1" applyBorder="1" applyAlignment="1">
      <alignment horizontal="center" vertical="center" wrapText="1"/>
    </xf>
    <xf numFmtId="0" fontId="0" fillId="0" borderId="48" xfId="0" applyFill="1" applyBorder="1"/>
    <xf numFmtId="0" fontId="0" fillId="0" borderId="59" xfId="0" applyFill="1" applyBorder="1"/>
    <xf numFmtId="0" fontId="14" fillId="37" borderId="1" xfId="0" applyFont="1" applyFill="1" applyBorder="1" applyAlignment="1">
      <alignment vertical="center"/>
    </xf>
    <xf numFmtId="3" fontId="5" fillId="37" borderId="1" xfId="0" applyNumberFormat="1" applyFont="1" applyFill="1" applyBorder="1"/>
    <xf numFmtId="3" fontId="5" fillId="37" borderId="1" xfId="0" applyNumberFormat="1" applyFont="1" applyFill="1" applyBorder="1" applyAlignment="1">
      <alignment horizontal="left" vertical="top" wrapText="1"/>
    </xf>
    <xf numFmtId="181" fontId="2" fillId="0" borderId="15" xfId="0" applyNumberFormat="1" applyFont="1" applyBorder="1" applyAlignment="1">
      <alignment vertical="top"/>
    </xf>
    <xf numFmtId="169" fontId="0" fillId="2" borderId="22" xfId="0" applyNumberFormat="1" applyFill="1" applyBorder="1" applyAlignment="1">
      <alignment horizontal="center" vertical="center"/>
    </xf>
    <xf numFmtId="3" fontId="2" fillId="13" borderId="67" xfId="0" applyNumberFormat="1" applyFont="1" applyFill="1" applyBorder="1" applyAlignment="1" applyProtection="1">
      <alignment horizontal="right" vertical="center" wrapText="1"/>
    </xf>
    <xf numFmtId="0" fontId="2" fillId="0" borderId="44" xfId="0" applyFont="1" applyFill="1" applyBorder="1" applyProtection="1"/>
    <xf numFmtId="0" fontId="0" fillId="0" borderId="22" xfId="0" applyFill="1" applyBorder="1" applyProtection="1"/>
    <xf numFmtId="0" fontId="14" fillId="9" borderId="1" xfId="0" applyFont="1" applyFill="1" applyBorder="1" applyAlignment="1" applyProtection="1">
      <alignment vertical="center"/>
    </xf>
    <xf numFmtId="0" fontId="6" fillId="0" borderId="0" xfId="0" applyFont="1" applyFill="1" applyProtection="1"/>
    <xf numFmtId="0" fontId="6" fillId="0" borderId="0" xfId="0" applyFont="1" applyProtection="1"/>
    <xf numFmtId="0" fontId="6" fillId="0" borderId="0" xfId="0" applyFont="1" applyFill="1" applyAlignment="1" applyProtection="1">
      <alignment vertical="center"/>
    </xf>
    <xf numFmtId="0" fontId="0" fillId="0" borderId="0" xfId="0" applyFill="1" applyProtection="1"/>
    <xf numFmtId="0" fontId="0" fillId="0" borderId="0" xfId="0" applyProtection="1"/>
    <xf numFmtId="0" fontId="2" fillId="0" borderId="68" xfId="0" applyFont="1" applyFill="1" applyBorder="1" applyAlignment="1" applyProtection="1">
      <alignment horizontal="center" vertical="center" wrapText="1"/>
    </xf>
    <xf numFmtId="0" fontId="2" fillId="0" borderId="69" xfId="0" applyFont="1" applyFill="1" applyBorder="1" applyAlignment="1" applyProtection="1">
      <alignment vertical="center" wrapText="1"/>
    </xf>
    <xf numFmtId="3" fontId="2" fillId="0" borderId="69" xfId="0" applyNumberFormat="1" applyFont="1" applyFill="1" applyBorder="1" applyAlignment="1" applyProtection="1">
      <alignment horizontal="left" vertical="center" wrapText="1"/>
    </xf>
    <xf numFmtId="3" fontId="3" fillId="0" borderId="69" xfId="0" applyNumberFormat="1" applyFont="1" applyFill="1" applyBorder="1" applyAlignment="1" applyProtection="1">
      <alignment horizontal="left" vertical="center" wrapText="1"/>
    </xf>
    <xf numFmtId="0" fontId="2" fillId="0" borderId="70" xfId="0" applyFont="1" applyFill="1" applyBorder="1" applyAlignment="1" applyProtection="1">
      <alignment horizontal="center" vertical="center"/>
    </xf>
    <xf numFmtId="0" fontId="0" fillId="0" borderId="70" xfId="0" applyFont="1" applyFill="1" applyBorder="1" applyAlignment="1" applyProtection="1">
      <alignment horizontal="left" vertical="center"/>
    </xf>
    <xf numFmtId="172" fontId="0" fillId="0" borderId="70" xfId="0" applyNumberFormat="1" applyFill="1" applyBorder="1" applyAlignment="1" applyProtection="1">
      <alignment vertical="center"/>
    </xf>
    <xf numFmtId="3" fontId="2" fillId="0" borderId="71" xfId="0" applyNumberFormat="1" applyFont="1" applyFill="1" applyBorder="1" applyAlignment="1" applyProtection="1">
      <alignment horizontal="center" vertical="center" wrapText="1"/>
    </xf>
    <xf numFmtId="3" fontId="2" fillId="0" borderId="72" xfId="0" applyNumberFormat="1" applyFont="1" applyFill="1" applyBorder="1" applyAlignment="1" applyProtection="1">
      <alignment vertical="center" wrapText="1"/>
    </xf>
    <xf numFmtId="0" fontId="0" fillId="0" borderId="72" xfId="0" applyFont="1" applyBorder="1" applyAlignment="1" applyProtection="1">
      <alignment horizontal="right" vertical="center"/>
    </xf>
    <xf numFmtId="3" fontId="3" fillId="0" borderId="72" xfId="0" applyNumberFormat="1" applyFont="1" applyFill="1" applyBorder="1" applyAlignment="1" applyProtection="1">
      <alignment horizontal="left" vertical="center" wrapText="1"/>
    </xf>
    <xf numFmtId="3" fontId="3" fillId="0" borderId="73" xfId="0" applyNumberFormat="1" applyFont="1" applyFill="1" applyBorder="1" applyAlignment="1" applyProtection="1">
      <alignment horizontal="left" vertical="center" wrapText="1"/>
    </xf>
    <xf numFmtId="190" fontId="0" fillId="4" borderId="74" xfId="0" applyNumberFormat="1" applyFill="1" applyBorder="1" applyAlignment="1" applyProtection="1">
      <alignment vertical="center"/>
    </xf>
    <xf numFmtId="3" fontId="2" fillId="0" borderId="75" xfId="0" applyNumberFormat="1" applyFont="1" applyFill="1" applyBorder="1" applyAlignment="1" applyProtection="1">
      <alignment horizontal="center" vertical="center" wrapText="1"/>
    </xf>
    <xf numFmtId="3" fontId="2" fillId="0" borderId="50" xfId="0" applyNumberFormat="1" applyFont="1" applyFill="1" applyBorder="1" applyAlignment="1" applyProtection="1">
      <alignment vertical="center" wrapText="1"/>
    </xf>
    <xf numFmtId="0" fontId="0" fillId="0" borderId="50" xfId="0" applyFont="1" applyFill="1" applyBorder="1" applyAlignment="1" applyProtection="1">
      <alignment horizontal="right" vertical="center"/>
    </xf>
    <xf numFmtId="3" fontId="2" fillId="0" borderId="50" xfId="0" applyNumberFormat="1" applyFont="1" applyFill="1" applyBorder="1" applyAlignment="1" applyProtection="1">
      <alignment horizontal="left" vertical="center" wrapText="1"/>
    </xf>
    <xf numFmtId="3" fontId="2" fillId="0" borderId="50" xfId="0" applyNumberFormat="1" applyFont="1" applyFill="1" applyBorder="1" applyAlignment="1" applyProtection="1">
      <alignment horizontal="left" vertical="center"/>
    </xf>
    <xf numFmtId="3" fontId="2" fillId="0" borderId="49" xfId="0" applyNumberFormat="1" applyFont="1" applyFill="1" applyBorder="1" applyAlignment="1" applyProtection="1">
      <alignment horizontal="left" vertical="center"/>
    </xf>
    <xf numFmtId="0" fontId="2" fillId="4" borderId="67" xfId="0" applyFont="1" applyFill="1" applyBorder="1" applyAlignment="1" applyProtection="1">
      <alignment vertical="center"/>
    </xf>
    <xf numFmtId="3" fontId="2" fillId="0" borderId="76" xfId="0" applyNumberFormat="1" applyFont="1" applyFill="1" applyBorder="1" applyAlignment="1" applyProtection="1">
      <alignment horizontal="center" vertical="center" wrapText="1"/>
    </xf>
    <xf numFmtId="3" fontId="2" fillId="0" borderId="77" xfId="0" applyNumberFormat="1" applyFont="1" applyFill="1" applyBorder="1" applyAlignment="1" applyProtection="1">
      <alignment vertical="center" wrapText="1"/>
    </xf>
    <xf numFmtId="0" fontId="0" fillId="0" borderId="77" xfId="0" applyFont="1" applyFill="1" applyBorder="1" applyAlignment="1" applyProtection="1">
      <alignment horizontal="right" vertical="center"/>
    </xf>
    <xf numFmtId="3" fontId="2" fillId="0" borderId="77" xfId="0" applyNumberFormat="1" applyFont="1" applyFill="1" applyBorder="1" applyAlignment="1" applyProtection="1">
      <alignment horizontal="left" vertical="center" wrapText="1"/>
    </xf>
    <xf numFmtId="3" fontId="2" fillId="0" borderId="77" xfId="0" applyNumberFormat="1" applyFont="1" applyFill="1" applyBorder="1" applyAlignment="1" applyProtection="1">
      <alignment horizontal="left" vertical="center"/>
    </xf>
    <xf numFmtId="3" fontId="2" fillId="0" borderId="78" xfId="0" applyNumberFormat="1" applyFont="1" applyFill="1" applyBorder="1" applyAlignment="1" applyProtection="1">
      <alignment horizontal="left" vertical="center"/>
    </xf>
    <xf numFmtId="14" fontId="2" fillId="0" borderId="72" xfId="0" applyNumberFormat="1" applyFont="1" applyFill="1" applyBorder="1" applyAlignment="1" applyProtection="1">
      <alignment horizontal="left" vertical="center" wrapText="1"/>
    </xf>
    <xf numFmtId="14" fontId="2" fillId="0" borderId="73" xfId="0" applyNumberFormat="1" applyFont="1" applyFill="1" applyBorder="1" applyAlignment="1" applyProtection="1">
      <alignment horizontal="left" vertical="center" wrapText="1"/>
    </xf>
    <xf numFmtId="3" fontId="3" fillId="2" borderId="74" xfId="0" applyNumberFormat="1" applyFont="1" applyFill="1" applyBorder="1" applyAlignment="1" applyProtection="1">
      <alignment horizontal="right" vertical="center" wrapText="1"/>
    </xf>
    <xf numFmtId="14" fontId="2" fillId="0" borderId="50" xfId="0" applyNumberFormat="1" applyFont="1" applyFill="1" applyBorder="1" applyAlignment="1" applyProtection="1">
      <alignment horizontal="left" vertical="center" wrapText="1"/>
    </xf>
    <xf numFmtId="14" fontId="2" fillId="0" borderId="49" xfId="0" applyNumberFormat="1" applyFont="1" applyFill="1" applyBorder="1" applyAlignment="1" applyProtection="1">
      <alignment horizontal="left" vertical="center" wrapText="1"/>
    </xf>
    <xf numFmtId="3" fontId="2" fillId="4"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right" vertical="center"/>
    </xf>
    <xf numFmtId="3" fontId="3" fillId="2" borderId="67" xfId="0" applyNumberFormat="1" applyFont="1" applyFill="1" applyBorder="1" applyAlignment="1" applyProtection="1">
      <alignment horizontal="right" vertical="center" wrapText="1"/>
    </xf>
    <xf numFmtId="172" fontId="0" fillId="0" borderId="0" xfId="0" applyNumberFormat="1" applyFill="1" applyProtection="1"/>
    <xf numFmtId="172" fontId="0" fillId="0" borderId="0" xfId="0" applyNumberFormat="1" applyProtection="1"/>
    <xf numFmtId="3" fontId="3" fillId="5"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left" vertical="center" wrapText="1"/>
    </xf>
    <xf numFmtId="3" fontId="2" fillId="0" borderId="28" xfId="0" applyNumberFormat="1" applyFont="1" applyFill="1" applyBorder="1" applyAlignment="1" applyProtection="1">
      <alignment vertical="center" wrapText="1"/>
    </xf>
    <xf numFmtId="3" fontId="2" fillId="0" borderId="67" xfId="0" applyNumberFormat="1" applyFont="1" applyFill="1" applyBorder="1" applyAlignment="1" applyProtection="1">
      <alignment horizontal="right" vertical="center" wrapText="1"/>
    </xf>
    <xf numFmtId="3" fontId="3" fillId="2" borderId="67" xfId="4" applyNumberFormat="1" applyFont="1" applyFill="1" applyBorder="1" applyAlignment="1" applyProtection="1">
      <alignment horizontal="right" vertical="center" wrapText="1"/>
    </xf>
    <xf numFmtId="3" fontId="2" fillId="0" borderId="79" xfId="0" applyNumberFormat="1" applyFont="1" applyFill="1" applyBorder="1" applyAlignment="1" applyProtection="1">
      <alignment horizontal="center" vertical="center" wrapText="1"/>
    </xf>
    <xf numFmtId="3" fontId="2" fillId="0" borderId="80" xfId="0" applyNumberFormat="1" applyFont="1" applyFill="1" applyBorder="1" applyAlignment="1" applyProtection="1">
      <alignment vertical="center" wrapText="1"/>
    </xf>
    <xf numFmtId="14" fontId="2" fillId="0" borderId="80" xfId="0" applyNumberFormat="1" applyFont="1" applyFill="1" applyBorder="1" applyAlignment="1" applyProtection="1">
      <alignment horizontal="left" vertical="center" wrapText="1"/>
    </xf>
    <xf numFmtId="14" fontId="2" fillId="0" borderId="81" xfId="0" applyNumberFormat="1" applyFont="1" applyFill="1" applyBorder="1" applyAlignment="1" applyProtection="1">
      <alignment horizontal="left" vertical="center" wrapText="1"/>
    </xf>
    <xf numFmtId="0" fontId="0" fillId="0" borderId="70" xfId="0" applyFill="1" applyBorder="1" applyAlignment="1" applyProtection="1">
      <alignment horizontal="left"/>
    </xf>
    <xf numFmtId="0" fontId="0" fillId="0" borderId="70" xfId="0" applyFill="1" applyBorder="1" applyAlignment="1" applyProtection="1">
      <alignment horizontal="left" vertical="center"/>
    </xf>
    <xf numFmtId="169" fontId="2" fillId="4" borderId="74" xfId="0" applyNumberFormat="1" applyFont="1" applyFill="1" applyBorder="1" applyAlignment="1" applyProtection="1">
      <alignment horizontal="right" vertical="center"/>
    </xf>
    <xf numFmtId="169" fontId="2" fillId="4" borderId="67" xfId="0" applyNumberFormat="1" applyFont="1" applyFill="1" applyBorder="1" applyAlignment="1" applyProtection="1">
      <alignment horizontal="right" vertical="center"/>
    </xf>
    <xf numFmtId="169" fontId="2" fillId="0" borderId="67" xfId="0" applyNumberFormat="1" applyFont="1" applyFill="1" applyBorder="1" applyAlignment="1" applyProtection="1">
      <alignment horizontal="right" vertical="center"/>
    </xf>
    <xf numFmtId="169" fontId="2" fillId="4" borderId="82" xfId="0" applyNumberFormat="1" applyFont="1" applyFill="1" applyBorder="1" applyAlignment="1" applyProtection="1">
      <alignment horizontal="right" vertical="center"/>
    </xf>
    <xf numFmtId="0" fontId="0" fillId="0" borderId="71" xfId="0" applyBorder="1" applyAlignment="1" applyProtection="1">
      <alignment horizontal="center" vertical="center" wrapText="1"/>
    </xf>
    <xf numFmtId="0" fontId="0" fillId="0" borderId="72" xfId="0" applyBorder="1" applyAlignment="1" applyProtection="1">
      <alignment vertical="center" wrapText="1"/>
    </xf>
    <xf numFmtId="0" fontId="0" fillId="0" borderId="72" xfId="0" applyBorder="1" applyAlignment="1" applyProtection="1">
      <alignment vertical="center"/>
    </xf>
    <xf numFmtId="0" fontId="0" fillId="0" borderId="75" xfId="0" applyBorder="1" applyAlignment="1" applyProtection="1">
      <alignment horizontal="center" vertical="center" wrapText="1"/>
    </xf>
    <xf numFmtId="0" fontId="0" fillId="0" borderId="50" xfId="0" applyBorder="1" applyAlignment="1" applyProtection="1">
      <alignment vertical="center" wrapText="1"/>
    </xf>
    <xf numFmtId="0" fontId="0" fillId="0" borderId="79" xfId="0" applyBorder="1" applyAlignment="1" applyProtection="1">
      <alignment horizontal="center" vertical="center" wrapText="1"/>
    </xf>
    <xf numFmtId="0" fontId="0" fillId="0" borderId="80" xfId="0" applyBorder="1" applyAlignment="1" applyProtection="1">
      <alignment vertical="center" wrapText="1"/>
    </xf>
    <xf numFmtId="0" fontId="3" fillId="0" borderId="70" xfId="0" applyFont="1" applyFill="1" applyBorder="1" applyAlignment="1" applyProtection="1">
      <alignment horizontal="center" vertical="center"/>
    </xf>
    <xf numFmtId="0" fontId="0" fillId="0" borderId="83" xfId="0" applyBorder="1" applyAlignment="1" applyProtection="1">
      <alignment horizontal="center" vertical="center" wrapText="1"/>
    </xf>
    <xf numFmtId="0" fontId="0" fillId="0" borderId="29" xfId="0" applyBorder="1" applyAlignment="1" applyProtection="1">
      <alignment vertical="center" wrapText="1"/>
    </xf>
    <xf numFmtId="0" fontId="0" fillId="0" borderId="29" xfId="0" applyBorder="1" applyAlignment="1" applyProtection="1">
      <alignment vertical="center"/>
    </xf>
    <xf numFmtId="0" fontId="0" fillId="0" borderId="50" xfId="0" applyBorder="1" applyAlignment="1" applyProtection="1">
      <alignment vertical="center"/>
    </xf>
    <xf numFmtId="0" fontId="0" fillId="0" borderId="80" xfId="0" applyBorder="1" applyAlignment="1" applyProtection="1">
      <alignment vertical="center"/>
    </xf>
    <xf numFmtId="0" fontId="0" fillId="0" borderId="84" xfId="0" applyBorder="1" applyAlignment="1" applyProtection="1">
      <alignment horizontal="center" vertical="center" wrapText="1"/>
    </xf>
    <xf numFmtId="0" fontId="0" fillId="0" borderId="28" xfId="0" applyBorder="1" applyAlignment="1" applyProtection="1">
      <alignment vertical="center" wrapText="1"/>
    </xf>
    <xf numFmtId="0" fontId="0" fillId="0" borderId="28" xfId="0" applyBorder="1" applyAlignment="1" applyProtection="1">
      <alignment vertical="center"/>
    </xf>
    <xf numFmtId="0" fontId="0" fillId="0" borderId="76" xfId="0" applyBorder="1" applyAlignment="1" applyProtection="1">
      <alignment horizontal="center" vertical="center" wrapText="1"/>
    </xf>
    <xf numFmtId="0" fontId="0" fillId="0" borderId="77" xfId="0" applyBorder="1" applyAlignment="1" applyProtection="1">
      <alignment vertical="center" wrapText="1"/>
    </xf>
    <xf numFmtId="0" fontId="0" fillId="0" borderId="77" xfId="0" applyBorder="1" applyAlignment="1" applyProtection="1">
      <alignment vertical="center"/>
    </xf>
    <xf numFmtId="0" fontId="0" fillId="0" borderId="85" xfId="0" applyBorder="1" applyAlignment="1" applyProtection="1">
      <alignment horizontal="center" vertical="center" wrapText="1"/>
    </xf>
    <xf numFmtId="0" fontId="0" fillId="0" borderId="86" xfId="0" applyBorder="1" applyAlignment="1" applyProtection="1">
      <alignment vertical="center" wrapText="1"/>
    </xf>
    <xf numFmtId="0" fontId="0" fillId="0" borderId="86" xfId="0" applyBorder="1" applyAlignment="1" applyProtection="1">
      <alignment vertical="center"/>
    </xf>
    <xf numFmtId="171" fontId="3" fillId="2" borderId="74" xfId="0" applyNumberFormat="1" applyFont="1" applyFill="1" applyBorder="1" applyAlignment="1" applyProtection="1">
      <alignment horizontal="right"/>
    </xf>
    <xf numFmtId="173" fontId="0" fillId="2" borderId="67" xfId="0" applyNumberFormat="1" applyFill="1" applyBorder="1" applyProtection="1"/>
    <xf numFmtId="178" fontId="0" fillId="0" borderId="67" xfId="0" applyNumberFormat="1" applyBorder="1" applyProtection="1"/>
    <xf numFmtId="4" fontId="0" fillId="0" borderId="29" xfId="0" applyNumberFormat="1" applyBorder="1" applyAlignment="1" applyProtection="1">
      <alignment vertical="center"/>
    </xf>
    <xf numFmtId="4" fontId="0" fillId="0" borderId="67" xfId="0" applyNumberFormat="1" applyFill="1" applyBorder="1" applyAlignment="1" applyProtection="1">
      <alignment vertical="center"/>
    </xf>
    <xf numFmtId="3" fontId="0" fillId="0" borderId="74" xfId="0" applyNumberFormat="1" applyBorder="1" applyAlignment="1" applyProtection="1">
      <alignment vertical="center"/>
    </xf>
    <xf numFmtId="3" fontId="0" fillId="0" borderId="67" xfId="0" applyNumberFormat="1" applyBorder="1" applyAlignment="1" applyProtection="1">
      <alignment vertical="center"/>
    </xf>
    <xf numFmtId="185" fontId="3" fillId="19" borderId="82" xfId="15" applyNumberFormat="1" applyFont="1" applyFill="1" applyBorder="1" applyAlignment="1" applyProtection="1">
      <alignment horizontal="right" vertical="center"/>
    </xf>
    <xf numFmtId="0" fontId="2" fillId="21" borderId="50" xfId="15" applyFont="1" applyFill="1" applyBorder="1" applyAlignment="1" applyProtection="1">
      <alignment horizontal="left" vertical="center" wrapText="1"/>
    </xf>
    <xf numFmtId="9" fontId="2" fillId="21" borderId="67" xfId="15" applyNumberFormat="1" applyFont="1" applyFill="1" applyBorder="1" applyAlignment="1" applyProtection="1">
      <alignment vertical="center"/>
    </xf>
    <xf numFmtId="185" fontId="2" fillId="0" borderId="67" xfId="15" applyNumberFormat="1" applyFont="1" applyFill="1" applyBorder="1" applyAlignment="1" applyProtection="1">
      <alignment vertical="center"/>
    </xf>
    <xf numFmtId="9" fontId="2" fillId="0" borderId="67" xfId="15" applyNumberFormat="1" applyFont="1" applyFill="1" applyBorder="1" applyAlignment="1" applyProtection="1">
      <alignment vertical="center"/>
    </xf>
    <xf numFmtId="0" fontId="2" fillId="21" borderId="80" xfId="15" applyFont="1" applyFill="1" applyBorder="1" applyAlignment="1" applyProtection="1">
      <alignment horizontal="left" vertical="center" wrapText="1"/>
    </xf>
    <xf numFmtId="185" fontId="2" fillId="0" borderId="82" xfId="15" applyNumberFormat="1" applyFont="1" applyFill="1" applyBorder="1" applyAlignment="1" applyProtection="1">
      <alignment vertical="center"/>
    </xf>
    <xf numFmtId="4" fontId="0" fillId="0" borderId="67" xfId="0" applyNumberFormat="1" applyBorder="1" applyAlignment="1" applyProtection="1">
      <alignment vertical="center"/>
    </xf>
    <xf numFmtId="4" fontId="3" fillId="0" borderId="67" xfId="0" applyNumberFormat="1" applyFont="1" applyFill="1" applyBorder="1" applyAlignment="1" applyProtection="1">
      <alignment vertical="center"/>
    </xf>
    <xf numFmtId="4" fontId="2" fillId="0" borderId="67" xfId="0" applyNumberFormat="1" applyFont="1" applyFill="1" applyBorder="1" applyAlignment="1" applyProtection="1">
      <alignment vertical="center"/>
    </xf>
    <xf numFmtId="4" fontId="3" fillId="0" borderId="67" xfId="0" applyNumberFormat="1" applyFont="1" applyBorder="1" applyAlignment="1" applyProtection="1">
      <alignment vertical="center"/>
    </xf>
    <xf numFmtId="4" fontId="0" fillId="4" borderId="67" xfId="0" applyNumberFormat="1" applyFill="1" applyBorder="1" applyAlignment="1" applyProtection="1">
      <alignment vertical="center"/>
    </xf>
    <xf numFmtId="4" fontId="35" fillId="0" borderId="67" xfId="0" applyNumberFormat="1" applyFont="1" applyFill="1" applyBorder="1" applyAlignment="1" applyProtection="1">
      <alignment vertical="center"/>
    </xf>
    <xf numFmtId="2" fontId="0" fillId="0" borderId="67" xfId="0" applyNumberFormat="1" applyBorder="1" applyAlignment="1" applyProtection="1">
      <alignment vertical="center"/>
    </xf>
    <xf numFmtId="3" fontId="2" fillId="0" borderId="67" xfId="0" applyNumberFormat="1" applyFont="1" applyFill="1" applyBorder="1" applyAlignment="1" applyProtection="1">
      <alignment vertical="center"/>
    </xf>
    <xf numFmtId="2" fontId="0" fillId="0" borderId="67" xfId="0" applyNumberFormat="1" applyFill="1" applyBorder="1" applyAlignment="1" applyProtection="1">
      <alignment vertical="center"/>
    </xf>
    <xf numFmtId="3" fontId="2" fillId="4" borderId="67" xfId="0" applyNumberFormat="1" applyFont="1" applyFill="1" applyBorder="1" applyAlignment="1" applyProtection="1">
      <alignment vertical="center"/>
    </xf>
    <xf numFmtId="2" fontId="2" fillId="0" borderId="67" xfId="0" applyNumberFormat="1" applyFont="1" applyBorder="1" applyAlignment="1" applyProtection="1">
      <alignment vertical="center"/>
    </xf>
    <xf numFmtId="169" fontId="0" fillId="0" borderId="67" xfId="0" applyNumberFormat="1" applyFill="1" applyBorder="1" applyAlignment="1" applyProtection="1">
      <alignment vertical="center"/>
    </xf>
    <xf numFmtId="169" fontId="0" fillId="4" borderId="67" xfId="0" applyNumberFormat="1" applyFill="1" applyBorder="1" applyAlignment="1" applyProtection="1">
      <alignment vertical="center"/>
    </xf>
    <xf numFmtId="175" fontId="3" fillId="0" borderId="67" xfId="11" applyNumberFormat="1" applyFont="1" applyFill="1" applyBorder="1" applyAlignment="1" applyProtection="1">
      <alignment vertical="center"/>
    </xf>
    <xf numFmtId="10" fontId="3" fillId="4" borderId="67" xfId="11" applyNumberFormat="1" applyFont="1" applyFill="1" applyBorder="1" applyAlignment="1" applyProtection="1">
      <alignment vertical="center"/>
    </xf>
    <xf numFmtId="10" fontId="0" fillId="0" borderId="67" xfId="11" applyNumberFormat="1" applyFont="1" applyFill="1" applyBorder="1" applyAlignment="1" applyProtection="1">
      <alignment vertical="center"/>
    </xf>
    <xf numFmtId="10" fontId="2" fillId="0" borderId="67" xfId="11" applyNumberFormat="1" applyFont="1" applyFill="1" applyBorder="1" applyAlignment="1" applyProtection="1">
      <alignment vertical="center"/>
    </xf>
    <xf numFmtId="4" fontId="2" fillId="0" borderId="67" xfId="0" applyNumberFormat="1" applyFont="1" applyBorder="1" applyAlignment="1" applyProtection="1">
      <alignment vertical="center"/>
    </xf>
    <xf numFmtId="10" fontId="3" fillId="0" borderId="67" xfId="11" applyNumberFormat="1" applyFont="1" applyFill="1" applyBorder="1" applyAlignment="1" applyProtection="1">
      <alignment vertical="center"/>
    </xf>
    <xf numFmtId="10" fontId="2" fillId="0" borderId="67" xfId="0" applyNumberFormat="1" applyFont="1" applyFill="1" applyBorder="1" applyAlignment="1" applyProtection="1">
      <alignment vertical="center"/>
    </xf>
    <xf numFmtId="2" fontId="3" fillId="0" borderId="67" xfId="0" applyNumberFormat="1" applyFont="1" applyBorder="1" applyAlignment="1" applyProtection="1">
      <alignment vertical="center"/>
    </xf>
    <xf numFmtId="10" fontId="0" fillId="0" borderId="67" xfId="0" applyNumberFormat="1" applyFill="1" applyBorder="1" applyAlignment="1" applyProtection="1">
      <alignment vertical="center"/>
    </xf>
    <xf numFmtId="10" fontId="0" fillId="0" borderId="74" xfId="0" applyNumberFormat="1" applyFill="1" applyBorder="1" applyAlignment="1" applyProtection="1">
      <alignment vertical="center"/>
    </xf>
    <xf numFmtId="10" fontId="3" fillId="0" borderId="67" xfId="0" applyNumberFormat="1" applyFont="1" applyFill="1" applyBorder="1" applyAlignment="1" applyProtection="1">
      <alignment vertical="center"/>
    </xf>
    <xf numFmtId="171" fontId="0" fillId="0" borderId="67" xfId="0" applyNumberFormat="1" applyFill="1" applyBorder="1" applyAlignment="1" applyProtection="1">
      <alignment horizontal="right" indent="1"/>
    </xf>
    <xf numFmtId="171" fontId="3" fillId="0" borderId="67" xfId="0" applyNumberFormat="1" applyFont="1" applyFill="1" applyBorder="1" applyAlignment="1" applyProtection="1">
      <alignment horizontal="right" indent="1"/>
    </xf>
    <xf numFmtId="3" fontId="0" fillId="0" borderId="72" xfId="0" applyNumberFormat="1" applyBorder="1" applyAlignment="1" applyProtection="1">
      <alignment vertical="center"/>
    </xf>
    <xf numFmtId="3" fontId="0" fillId="0" borderId="50" xfId="0" applyNumberFormat="1" applyBorder="1" applyAlignment="1" applyProtection="1">
      <alignment vertical="center"/>
    </xf>
    <xf numFmtId="3" fontId="2" fillId="4" borderId="67" xfId="0" applyNumberFormat="1" applyFont="1" applyFill="1" applyBorder="1" applyAlignment="1" applyProtection="1">
      <alignment vertical="center" wrapText="1"/>
    </xf>
    <xf numFmtId="3" fontId="2" fillId="13" borderId="67" xfId="0" quotePrefix="1" applyNumberFormat="1" applyFont="1" applyFill="1" applyBorder="1" applyAlignment="1" applyProtection="1">
      <alignment horizontal="right" vertical="center" wrapText="1"/>
    </xf>
    <xf numFmtId="0" fontId="0" fillId="0" borderId="67" xfId="0" applyBorder="1" applyAlignment="1" applyProtection="1">
      <alignment vertical="center"/>
    </xf>
    <xf numFmtId="3" fontId="3" fillId="13" borderId="74" xfId="0" applyNumberFormat="1" applyFont="1" applyFill="1" applyBorder="1" applyAlignment="1" applyProtection="1">
      <alignment horizontal="right" vertical="center" wrapText="1"/>
    </xf>
    <xf numFmtId="3" fontId="3" fillId="13" borderId="67" xfId="0" applyNumberFormat="1" applyFont="1" applyFill="1" applyBorder="1" applyAlignment="1" applyProtection="1">
      <alignment horizontal="right" vertical="center" wrapText="1"/>
    </xf>
    <xf numFmtId="3" fontId="3" fillId="5" borderId="67" xfId="4" applyNumberFormat="1" applyFont="1" applyFill="1" applyBorder="1" applyAlignment="1" applyProtection="1">
      <alignment horizontal="right" vertical="center" wrapText="1"/>
    </xf>
    <xf numFmtId="3" fontId="2" fillId="2" borderId="67" xfId="4" applyNumberFormat="1" applyFont="1" applyFill="1" applyBorder="1" applyAlignment="1" applyProtection="1">
      <alignment vertical="center" wrapText="1"/>
    </xf>
    <xf numFmtId="3" fontId="2" fillId="2" borderId="67" xfId="4" applyNumberFormat="1" applyFont="1" applyFill="1" applyBorder="1" applyAlignment="1" applyProtection="1">
      <alignment horizontal="right" vertical="center" wrapText="1"/>
    </xf>
    <xf numFmtId="3" fontId="3" fillId="14" borderId="67" xfId="0" applyNumberFormat="1" applyFont="1" applyFill="1" applyBorder="1" applyAlignment="1" applyProtection="1">
      <alignment horizontal="right" vertical="center" wrapText="1"/>
    </xf>
    <xf numFmtId="3" fontId="0" fillId="0" borderId="80" xfId="0" applyNumberFormat="1" applyBorder="1" applyAlignment="1" applyProtection="1">
      <alignment vertical="center"/>
    </xf>
    <xf numFmtId="3" fontId="3" fillId="5" borderId="82" xfId="4" applyNumberFormat="1" applyFont="1" applyFill="1" applyBorder="1" applyAlignment="1" applyProtection="1">
      <alignment horizontal="right" vertical="center" wrapText="1"/>
    </xf>
    <xf numFmtId="0" fontId="0" fillId="0" borderId="0" xfId="0" applyAlignment="1" applyProtection="1">
      <alignment vertical="center"/>
    </xf>
    <xf numFmtId="172" fontId="0" fillId="0" borderId="0" xfId="0" applyNumberFormat="1" applyAlignment="1" applyProtection="1">
      <alignment vertical="center"/>
    </xf>
    <xf numFmtId="0" fontId="0" fillId="0" borderId="0" xfId="0" applyFill="1" applyAlignment="1" applyProtection="1">
      <alignment vertical="center"/>
    </xf>
    <xf numFmtId="0" fontId="0" fillId="0" borderId="0" xfId="0" applyAlignment="1" applyProtection="1"/>
    <xf numFmtId="180" fontId="3" fillId="0" borderId="22" xfId="0" applyNumberFormat="1" applyFont="1" applyFill="1" applyBorder="1" applyAlignment="1" applyProtection="1">
      <alignment horizontal="center"/>
    </xf>
    <xf numFmtId="3" fontId="3" fillId="0" borderId="0" xfId="0" quotePrefix="1"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vertical="center" wrapText="1"/>
    </xf>
    <xf numFmtId="3" fontId="7" fillId="0" borderId="0" xfId="0" applyNumberFormat="1" applyFont="1" applyFill="1" applyBorder="1" applyAlignment="1" applyProtection="1">
      <alignment horizontal="left" vertical="center" wrapText="1"/>
    </xf>
    <xf numFmtId="3" fontId="5" fillId="0" borderId="0" xfId="0"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wrapText="1"/>
    </xf>
    <xf numFmtId="3" fontId="3" fillId="0" borderId="0" xfId="4"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horizontal="left" wrapText="1"/>
    </xf>
    <xf numFmtId="0" fontId="0" fillId="0" borderId="0" xfId="0" applyFill="1" applyBorder="1" applyProtection="1"/>
    <xf numFmtId="0" fontId="24"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4" fillId="0" borderId="0" xfId="0" applyFont="1" applyFill="1" applyAlignment="1" applyProtection="1">
      <alignment vertical="center"/>
    </xf>
    <xf numFmtId="0" fontId="65" fillId="0" borderId="103" xfId="0" applyFont="1" applyBorder="1" applyAlignment="1" applyProtection="1">
      <alignment horizontal="center"/>
    </xf>
    <xf numFmtId="0" fontId="65" fillId="0" borderId="104" xfId="0" applyFont="1" applyBorder="1" applyAlignment="1" applyProtection="1">
      <alignment horizontal="center"/>
    </xf>
    <xf numFmtId="0" fontId="3" fillId="0" borderId="0" xfId="0" applyFont="1" applyProtection="1"/>
    <xf numFmtId="0" fontId="6" fillId="0" borderId="6" xfId="0" applyFont="1" applyBorder="1" applyProtection="1"/>
    <xf numFmtId="0" fontId="0" fillId="0" borderId="8" xfId="0" applyBorder="1" applyProtection="1"/>
    <xf numFmtId="0" fontId="0" fillId="0" borderId="0" xfId="0" applyBorder="1" applyProtection="1"/>
    <xf numFmtId="0" fontId="0" fillId="0" borderId="2" xfId="0" applyBorder="1" applyProtection="1"/>
    <xf numFmtId="0" fontId="2" fillId="0" borderId="3" xfId="0" applyFont="1" applyBorder="1" applyProtection="1"/>
    <xf numFmtId="3" fontId="0" fillId="0" borderId="0" xfId="0" applyNumberFormat="1" applyFill="1" applyBorder="1" applyProtection="1"/>
    <xf numFmtId="0" fontId="2" fillId="0" borderId="4" xfId="0" applyFont="1" applyBorder="1" applyProtection="1"/>
    <xf numFmtId="0" fontId="0" fillId="0" borderId="5" xfId="0" applyBorder="1" applyProtection="1"/>
    <xf numFmtId="3" fontId="0" fillId="0" borderId="0" xfId="0" applyNumberFormat="1" applyBorder="1" applyProtection="1"/>
    <xf numFmtId="0" fontId="3" fillId="0" borderId="49" xfId="0" applyFont="1" applyBorder="1" applyAlignment="1" applyProtection="1">
      <alignment vertical="center"/>
    </xf>
    <xf numFmtId="0" fontId="3" fillId="0" borderId="26" xfId="0" applyFont="1" applyBorder="1" applyAlignment="1" applyProtection="1">
      <alignment vertical="center"/>
    </xf>
    <xf numFmtId="0" fontId="2" fillId="21" borderId="50" xfId="15" applyFont="1" applyFill="1" applyBorder="1" applyAlignment="1" applyProtection="1">
      <alignment horizontal="left"/>
      <protection locked="0"/>
    </xf>
    <xf numFmtId="185" fontId="2" fillId="0" borderId="50" xfId="15" applyNumberFormat="1" applyFont="1" applyFill="1" applyBorder="1" applyProtection="1">
      <protection locked="0"/>
    </xf>
    <xf numFmtId="4" fontId="0" fillId="4" borderId="22" xfId="0" applyNumberFormat="1" applyFill="1" applyBorder="1" applyProtection="1">
      <protection locked="0"/>
    </xf>
    <xf numFmtId="3" fontId="0" fillId="4" borderId="22" xfId="0" applyNumberFormat="1" applyFill="1" applyBorder="1" applyProtection="1">
      <protection locked="0"/>
    </xf>
    <xf numFmtId="169" fontId="0" fillId="4" borderId="88" xfId="0" applyNumberFormat="1" applyFill="1" applyBorder="1" applyProtection="1">
      <protection locked="0"/>
    </xf>
    <xf numFmtId="169" fontId="0" fillId="4" borderId="22" xfId="0" applyNumberFormat="1" applyFill="1" applyBorder="1" applyProtection="1">
      <protection locked="0"/>
    </xf>
    <xf numFmtId="10" fontId="3" fillId="4" borderId="88" xfId="11" applyNumberFormat="1" applyFont="1" applyFill="1" applyBorder="1" applyProtection="1">
      <protection locked="0"/>
    </xf>
    <xf numFmtId="10" fontId="3" fillId="4" borderId="22" xfId="11" applyNumberFormat="1" applyFont="1" applyFill="1" applyBorder="1" applyProtection="1">
      <protection locked="0"/>
    </xf>
    <xf numFmtId="3" fontId="24" fillId="38" borderId="0" xfId="0" applyNumberFormat="1" applyFont="1" applyFill="1" applyBorder="1" applyAlignment="1" applyProtection="1">
      <alignment horizontal="right" vertical="center"/>
      <protection locked="0"/>
    </xf>
    <xf numFmtId="4" fontId="24" fillId="38" borderId="0" xfId="0" applyNumberFormat="1" applyFont="1" applyFill="1" applyBorder="1" applyAlignment="1" applyProtection="1">
      <alignment horizontal="right" vertical="center"/>
      <protection locked="0"/>
    </xf>
    <xf numFmtId="3" fontId="5" fillId="0" borderId="15" xfId="0" applyNumberFormat="1" applyFont="1" applyFill="1" applyBorder="1" applyAlignment="1" applyProtection="1">
      <alignment horizontal="right" vertical="top" wrapText="1"/>
    </xf>
    <xf numFmtId="3" fontId="5" fillId="0" borderId="0" xfId="0" applyNumberFormat="1" applyFont="1" applyFill="1" applyBorder="1" applyAlignment="1" applyProtection="1">
      <alignment horizontal="right" vertical="top" wrapText="1"/>
    </xf>
    <xf numFmtId="0" fontId="0" fillId="2" borderId="89" xfId="0" applyFill="1" applyBorder="1" applyAlignment="1" applyProtection="1">
      <alignment vertical="top" wrapText="1"/>
      <protection locked="0"/>
    </xf>
    <xf numFmtId="0" fontId="14" fillId="2" borderId="0" xfId="0" applyFont="1" applyFill="1" applyBorder="1"/>
    <xf numFmtId="0" fontId="4" fillId="39" borderId="0" xfId="0" applyFont="1" applyFill="1" applyBorder="1" applyAlignment="1"/>
    <xf numFmtId="0" fontId="0" fillId="31" borderId="90" xfId="0" applyFill="1" applyBorder="1"/>
    <xf numFmtId="0" fontId="0" fillId="31" borderId="60" xfId="0" applyFill="1" applyBorder="1"/>
    <xf numFmtId="0" fontId="0" fillId="31" borderId="91" xfId="0" applyFill="1" applyBorder="1"/>
    <xf numFmtId="0" fontId="0" fillId="31" borderId="13" xfId="0" applyFill="1" applyBorder="1"/>
    <xf numFmtId="0" fontId="0" fillId="31" borderId="0" xfId="0" applyFill="1" applyBorder="1"/>
    <xf numFmtId="0" fontId="0" fillId="31" borderId="10" xfId="0" applyFill="1" applyBorder="1"/>
    <xf numFmtId="0" fontId="0" fillId="31" borderId="11" xfId="0" applyFill="1" applyBorder="1"/>
    <xf numFmtId="0" fontId="0" fillId="31" borderId="1" xfId="0" applyFill="1" applyBorder="1"/>
    <xf numFmtId="0" fontId="0" fillId="31" borderId="12" xfId="0" applyFill="1" applyBorder="1"/>
    <xf numFmtId="0" fontId="2" fillId="31" borderId="0" xfId="0" applyFont="1" applyFill="1" applyBorder="1" applyAlignment="1">
      <alignment horizontal="center"/>
    </xf>
    <xf numFmtId="0" fontId="2" fillId="39" borderId="0" xfId="0" applyFont="1" applyFill="1" applyBorder="1" applyAlignment="1">
      <alignment horizontal="center"/>
    </xf>
    <xf numFmtId="170" fontId="2" fillId="39" borderId="22" xfId="11" applyNumberFormat="1" applyFont="1" applyFill="1" applyBorder="1" applyAlignment="1" applyProtection="1">
      <alignment horizontal="right" indent="1"/>
      <protection locked="0"/>
    </xf>
    <xf numFmtId="168" fontId="0" fillId="39" borderId="40" xfId="0" applyNumberFormat="1" applyFill="1" applyBorder="1" applyAlignment="1">
      <alignment horizontal="center"/>
    </xf>
    <xf numFmtId="168" fontId="0" fillId="39" borderId="45" xfId="0" applyNumberFormat="1" applyFill="1" applyBorder="1" applyAlignment="1">
      <alignment horizontal="center"/>
    </xf>
    <xf numFmtId="168" fontId="0" fillId="39" borderId="30" xfId="0" applyNumberFormat="1" applyFill="1" applyBorder="1" applyAlignment="1">
      <alignment horizontal="center"/>
    </xf>
    <xf numFmtId="168" fontId="0" fillId="39" borderId="22" xfId="0" applyNumberFormat="1" applyFill="1" applyBorder="1" applyAlignment="1">
      <alignment horizontal="center"/>
    </xf>
    <xf numFmtId="0" fontId="10" fillId="9" borderId="1" xfId="0" applyFont="1" applyFill="1" applyBorder="1" applyAlignment="1" applyProtection="1">
      <alignment vertical="center"/>
    </xf>
    <xf numFmtId="171" fontId="2" fillId="2" borderId="67" xfId="0" applyNumberFormat="1" applyFont="1" applyFill="1" applyBorder="1" applyAlignment="1" applyProtection="1">
      <alignment horizontal="right"/>
    </xf>
    <xf numFmtId="171" fontId="3" fillId="11" borderId="67" xfId="0" applyNumberFormat="1" applyFont="1" applyFill="1" applyBorder="1" applyProtection="1"/>
    <xf numFmtId="176" fontId="2" fillId="2" borderId="82" xfId="0" applyNumberFormat="1" applyFont="1" applyFill="1" applyBorder="1" applyProtection="1"/>
    <xf numFmtId="3" fontId="2" fillId="0" borderId="92" xfId="0" applyNumberFormat="1" applyFont="1" applyFill="1" applyBorder="1" applyProtection="1"/>
    <xf numFmtId="3" fontId="2" fillId="37" borderId="1" xfId="0" applyNumberFormat="1" applyFont="1" applyFill="1" applyBorder="1"/>
    <xf numFmtId="3" fontId="2" fillId="37" borderId="1" xfId="0" applyNumberFormat="1" applyFont="1" applyFill="1" applyBorder="1" applyAlignment="1">
      <alignment horizontal="left" vertical="top" wrapText="1"/>
    </xf>
    <xf numFmtId="3" fontId="2" fillId="37" borderId="1" xfId="0" applyNumberFormat="1" applyFont="1" applyFill="1" applyBorder="1" applyAlignment="1" applyProtection="1">
      <alignment horizontal="left" vertical="top" wrapText="1"/>
    </xf>
    <xf numFmtId="0" fontId="3" fillId="0" borderId="86" xfId="0" applyFont="1" applyFill="1" applyBorder="1" applyAlignment="1">
      <alignment horizontal="right" vertical="center"/>
    </xf>
    <xf numFmtId="0" fontId="3" fillId="0" borderId="86" xfId="0" applyFont="1" applyFill="1" applyBorder="1" applyAlignment="1">
      <alignment vertical="center"/>
    </xf>
    <xf numFmtId="0" fontId="3" fillId="0" borderId="86" xfId="0" quotePrefix="1" applyFont="1" applyFill="1" applyBorder="1" applyAlignment="1">
      <alignment vertical="center"/>
    </xf>
    <xf numFmtId="3" fontId="2" fillId="0" borderId="86" xfId="0" applyNumberFormat="1" applyFont="1" applyFill="1" applyBorder="1" applyAlignment="1">
      <alignment horizontal="left" vertical="top" wrapText="1"/>
    </xf>
    <xf numFmtId="3" fontId="2" fillId="0" borderId="0" xfId="0" applyNumberFormat="1" applyFont="1" applyFill="1" applyBorder="1" applyAlignment="1" applyProtection="1">
      <alignment horizontal="left" vertical="top" wrapText="1"/>
    </xf>
    <xf numFmtId="3" fontId="2" fillId="0" borderId="0" xfId="0" applyNumberFormat="1" applyFont="1" applyFill="1" applyBorder="1" applyProtection="1"/>
    <xf numFmtId="3" fontId="2" fillId="0" borderId="0" xfId="0" applyNumberFormat="1" applyFont="1" applyFill="1" applyBorder="1" applyAlignment="1" applyProtection="1">
      <alignment horizontal="right"/>
    </xf>
    <xf numFmtId="0" fontId="10" fillId="0" borderId="0" xfId="0" applyFont="1" applyFill="1" applyBorder="1" applyAlignment="1">
      <alignment horizontal="center" vertical="center"/>
    </xf>
    <xf numFmtId="3" fontId="2" fillId="0" borderId="0" xfId="0" applyNumberFormat="1" applyFont="1" applyFill="1" applyBorder="1" applyAlignment="1">
      <alignment horizontal="right"/>
    </xf>
    <xf numFmtId="0" fontId="2" fillId="0" borderId="0" xfId="0" applyFont="1" applyBorder="1" applyAlignment="1">
      <alignment vertical="center" wrapText="1"/>
    </xf>
    <xf numFmtId="180" fontId="2" fillId="0" borderId="22" xfId="0" applyNumberFormat="1" applyFont="1" applyFill="1" applyBorder="1" applyAlignment="1">
      <alignment horizontal="center" vertical="top" wrapText="1"/>
    </xf>
    <xf numFmtId="180" fontId="2" fillId="0" borderId="0" xfId="0" applyNumberFormat="1" applyFont="1" applyFill="1" applyBorder="1"/>
    <xf numFmtId="180" fontId="2" fillId="0" borderId="0" xfId="0" applyNumberFormat="1" applyFont="1" applyFill="1" applyBorder="1" applyAlignment="1">
      <alignment horizontal="left" vertical="top" wrapText="1"/>
    </xf>
    <xf numFmtId="170" fontId="2" fillId="0" borderId="0" xfId="11" applyNumberFormat="1" applyFont="1" applyFill="1" applyBorder="1" applyAlignment="1" applyProtection="1">
      <alignment horizontal="center" vertical="center" wrapText="1"/>
    </xf>
    <xf numFmtId="3" fontId="2" fillId="0" borderId="0" xfId="0" applyNumberFormat="1" applyFont="1" applyFill="1" applyBorder="1" applyAlignment="1">
      <alignment vertical="center"/>
    </xf>
    <xf numFmtId="3" fontId="2" fillId="0" borderId="0" xfId="0" applyNumberFormat="1" applyFont="1" applyFill="1" applyBorder="1" applyAlignment="1" applyProtection="1">
      <alignment horizontal="right" vertical="center" wrapText="1"/>
    </xf>
    <xf numFmtId="3" fontId="2" fillId="0" borderId="0" xfId="0" applyNumberFormat="1" applyFont="1" applyFill="1" applyBorder="1" applyAlignment="1">
      <alignment wrapText="1"/>
    </xf>
    <xf numFmtId="3" fontId="2" fillId="0" borderId="0" xfId="0" quotePrefix="1" applyNumberFormat="1" applyFont="1" applyFill="1" applyBorder="1" applyAlignment="1">
      <alignment horizontal="left" wrapText="1"/>
    </xf>
    <xf numFmtId="3" fontId="2" fillId="4" borderId="0" xfId="0" applyNumberFormat="1" applyFont="1" applyFill="1" applyBorder="1" applyAlignment="1" applyProtection="1">
      <alignment horizontal="right" wrapText="1"/>
      <protection locked="0"/>
    </xf>
    <xf numFmtId="3" fontId="2" fillId="13" borderId="0" xfId="0" applyNumberFormat="1" applyFont="1" applyFill="1" applyBorder="1" applyAlignment="1">
      <alignment horizontal="right" wrapText="1"/>
    </xf>
    <xf numFmtId="3" fontId="2" fillId="4" borderId="0" xfId="0" applyNumberFormat="1" applyFont="1" applyFill="1" applyBorder="1" applyAlignment="1" applyProtection="1">
      <alignment horizontal="right" vertical="top" wrapText="1"/>
      <protection locked="0"/>
    </xf>
    <xf numFmtId="3" fontId="2" fillId="0" borderId="0" xfId="0" applyNumberFormat="1" applyFont="1" applyFill="1" applyBorder="1" applyAlignment="1" applyProtection="1">
      <alignment horizontal="right" wrapText="1"/>
    </xf>
    <xf numFmtId="3" fontId="2" fillId="0" borderId="15" xfId="0" quotePrefix="1" applyNumberFormat="1" applyFont="1" applyFill="1" applyBorder="1" applyAlignment="1">
      <alignment horizontal="left" wrapText="1"/>
    </xf>
    <xf numFmtId="3" fontId="2" fillId="4" borderId="15" xfId="0" applyNumberFormat="1" applyFont="1" applyFill="1" applyBorder="1" applyAlignment="1" applyProtection="1">
      <alignment horizontal="right" wrapText="1"/>
      <protection locked="0"/>
    </xf>
    <xf numFmtId="3" fontId="2" fillId="13" borderId="15" xfId="0" applyNumberFormat="1" applyFont="1" applyFill="1" applyBorder="1" applyAlignment="1">
      <alignment horizontal="right" wrapText="1"/>
    </xf>
    <xf numFmtId="3" fontId="2" fillId="0" borderId="0" xfId="0" applyNumberFormat="1" applyFont="1" applyFill="1" applyBorder="1" applyAlignment="1">
      <alignment horizontal="left" indent="1"/>
    </xf>
    <xf numFmtId="3" fontId="19" fillId="0" borderId="15" xfId="0" applyNumberFormat="1" applyFont="1" applyFill="1" applyBorder="1"/>
    <xf numFmtId="3" fontId="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horizontal="right" vertical="center"/>
    </xf>
    <xf numFmtId="3" fontId="2" fillId="0" borderId="0" xfId="0" quotePrefix="1" applyNumberFormat="1" applyFont="1" applyFill="1" applyBorder="1" applyAlignment="1">
      <alignment horizontal="left" vertical="top" wrapText="1"/>
    </xf>
    <xf numFmtId="3" fontId="2" fillId="0" borderId="0" xfId="0" applyNumberFormat="1" applyFont="1" applyFill="1" applyBorder="1" applyAlignment="1">
      <alignment horizontal="right" vertical="top" wrapText="1"/>
    </xf>
    <xf numFmtId="3" fontId="2" fillId="0" borderId="0" xfId="4" applyNumberFormat="1" applyFont="1" applyFill="1" applyBorder="1" applyAlignment="1">
      <alignment horizontal="left" vertical="top" wrapText="1"/>
    </xf>
    <xf numFmtId="3" fontId="2" fillId="0" borderId="0" xfId="3" applyNumberFormat="1" applyFont="1" applyFill="1" applyBorder="1" applyAlignment="1" applyProtection="1">
      <alignment horizontal="right" vertical="top" wrapText="1"/>
    </xf>
    <xf numFmtId="3" fontId="2" fillId="0" borderId="15" xfId="0" applyNumberFormat="1" applyFont="1" applyFill="1" applyBorder="1" applyAlignment="1">
      <alignment wrapText="1"/>
    </xf>
    <xf numFmtId="3" fontId="2" fillId="0" borderId="0" xfId="0" applyNumberFormat="1" applyFont="1" applyFill="1" applyBorder="1" applyAlignment="1" applyProtection="1">
      <alignment horizontal="left" wrapText="1"/>
    </xf>
    <xf numFmtId="3" fontId="2" fillId="0" borderId="0" xfId="0" quotePrefix="1" applyNumberFormat="1" applyFont="1" applyFill="1" applyBorder="1" applyAlignment="1" applyProtection="1">
      <alignment horizontal="left" wrapText="1"/>
    </xf>
    <xf numFmtId="3" fontId="2" fillId="0" borderId="0" xfId="0" applyNumberFormat="1" applyFont="1" applyFill="1" applyBorder="1" applyAlignment="1" applyProtection="1">
      <alignment horizontal="left" vertical="center" wrapText="1"/>
    </xf>
    <xf numFmtId="3" fontId="2" fillId="43" borderId="0" xfId="0" applyNumberFormat="1" applyFont="1" applyFill="1" applyBorder="1" applyAlignment="1" applyProtection="1">
      <alignment vertical="top" wrapText="1"/>
    </xf>
    <xf numFmtId="3" fontId="2" fillId="43" borderId="15" xfId="0" applyNumberFormat="1" applyFont="1" applyFill="1" applyBorder="1" applyAlignment="1" applyProtection="1">
      <alignment vertical="top" wrapText="1"/>
    </xf>
    <xf numFmtId="0" fontId="70" fillId="40" borderId="1" xfId="0" applyFont="1" applyFill="1" applyBorder="1"/>
    <xf numFmtId="0" fontId="69" fillId="40" borderId="1" xfId="0"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xf numFmtId="0" fontId="4" fillId="0" borderId="0" xfId="0" applyFont="1" applyFill="1" applyBorder="1"/>
    <xf numFmtId="0" fontId="2" fillId="0" borderId="3" xfId="0" applyFont="1" applyFill="1" applyBorder="1" applyAlignment="1"/>
    <xf numFmtId="0" fontId="2" fillId="0" borderId="2" xfId="0" applyFont="1" applyFill="1" applyBorder="1" applyAlignment="1">
      <alignment horizontal="left" vertical="top"/>
    </xf>
    <xf numFmtId="0" fontId="2" fillId="0" borderId="0" xfId="0" applyFont="1" applyFill="1" applyBorder="1" applyAlignment="1">
      <alignment horizontal="left" vertical="top"/>
    </xf>
    <xf numFmtId="169" fontId="2" fillId="0" borderId="0" xfId="0" applyNumberFormat="1" applyFont="1" applyFill="1" applyBorder="1" applyAlignment="1">
      <alignment horizontal="right" vertical="center" wrapText="1"/>
    </xf>
    <xf numFmtId="0" fontId="2" fillId="0" borderId="0" xfId="0" applyFont="1" applyFill="1" applyBorder="1" applyProtection="1"/>
    <xf numFmtId="0" fontId="3" fillId="0" borderId="0" xfId="0" applyFont="1" applyAlignment="1" applyProtection="1">
      <alignment vertical="center"/>
    </xf>
    <xf numFmtId="0" fontId="4" fillId="34" borderId="1" xfId="0" applyFont="1" applyFill="1" applyBorder="1" applyProtection="1"/>
    <xf numFmtId="0" fontId="2" fillId="34" borderId="1" xfId="0" applyFont="1" applyFill="1" applyBorder="1" applyProtection="1"/>
    <xf numFmtId="0" fontId="17" fillId="34" borderId="1" xfId="0" applyFont="1" applyFill="1" applyBorder="1" applyProtection="1"/>
    <xf numFmtId="0" fontId="3" fillId="0" borderId="24" xfId="0" applyFont="1" applyFill="1" applyBorder="1" applyAlignment="1">
      <alignment vertical="center"/>
    </xf>
    <xf numFmtId="171" fontId="2" fillId="2" borderId="15" xfId="0" applyNumberFormat="1" applyFont="1" applyFill="1" applyBorder="1" applyAlignment="1">
      <alignment horizontal="right"/>
    </xf>
    <xf numFmtId="171" fontId="2" fillId="0" borderId="15" xfId="0" applyNumberFormat="1" applyFont="1" applyFill="1" applyBorder="1" applyAlignment="1">
      <alignment horizontal="right"/>
    </xf>
    <xf numFmtId="0" fontId="3" fillId="0" borderId="61" xfId="0" applyFont="1" applyFill="1" applyBorder="1" applyAlignment="1">
      <alignment vertical="center"/>
    </xf>
    <xf numFmtId="171" fontId="2" fillId="0" borderId="0" xfId="0" applyNumberFormat="1" applyFont="1" applyFill="1" applyBorder="1" applyAlignment="1">
      <alignment horizontal="right"/>
    </xf>
    <xf numFmtId="0" fontId="2" fillId="0" borderId="0" xfId="0" applyFont="1" applyBorder="1" applyAlignment="1">
      <alignment vertical="center"/>
    </xf>
    <xf numFmtId="170" fontId="2" fillId="0" borderId="0" xfId="0" applyNumberFormat="1" applyFont="1" applyBorder="1" applyAlignment="1">
      <alignment vertical="center"/>
    </xf>
    <xf numFmtId="170" fontId="2" fillId="2" borderId="32" xfId="0" applyNumberFormat="1" applyFont="1" applyFill="1" applyBorder="1" applyAlignment="1">
      <alignment vertical="center"/>
    </xf>
    <xf numFmtId="0" fontId="2" fillId="0" borderId="44" xfId="0" applyFont="1" applyBorder="1" applyAlignment="1">
      <alignment horizontal="right" vertical="center"/>
    </xf>
    <xf numFmtId="170" fontId="2" fillId="2" borderId="22" xfId="0" applyNumberFormat="1" applyFont="1" applyFill="1" applyBorder="1" applyAlignment="1">
      <alignment horizontal="center" vertical="center"/>
    </xf>
    <xf numFmtId="0" fontId="2" fillId="2" borderId="30" xfId="0" applyFont="1" applyFill="1" applyBorder="1" applyAlignment="1">
      <alignment horizontal="right" vertical="center" wrapText="1"/>
    </xf>
    <xf numFmtId="0" fontId="2" fillId="0" borderId="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0" xfId="0" applyFont="1" applyBorder="1" applyAlignment="1">
      <alignment horizontal="center" vertical="center" wrapText="1"/>
    </xf>
    <xf numFmtId="176" fontId="2" fillId="2" borderId="30" xfId="0" applyNumberFormat="1" applyFont="1" applyFill="1" applyBorder="1"/>
    <xf numFmtId="176" fontId="2" fillId="0" borderId="44" xfId="0" applyNumberFormat="1" applyFont="1" applyBorder="1"/>
    <xf numFmtId="176" fontId="2" fillId="0" borderId="15" xfId="0" applyNumberFormat="1" applyFont="1" applyBorder="1"/>
    <xf numFmtId="176" fontId="2" fillId="0" borderId="30" xfId="0" applyNumberFormat="1" applyFont="1" applyBorder="1"/>
    <xf numFmtId="4" fontId="2" fillId="2" borderId="22" xfId="0" applyNumberFormat="1" applyFont="1" applyFill="1" applyBorder="1" applyAlignment="1">
      <alignment vertical="center"/>
    </xf>
    <xf numFmtId="4" fontId="2" fillId="0" borderId="44" xfId="0" applyNumberFormat="1" applyFont="1" applyBorder="1" applyAlignment="1">
      <alignment vertical="center"/>
    </xf>
    <xf numFmtId="4" fontId="2" fillId="0" borderId="15" xfId="0" applyNumberFormat="1" applyFont="1" applyBorder="1" applyAlignment="1">
      <alignment vertical="center"/>
    </xf>
    <xf numFmtId="4" fontId="2" fillId="0" borderId="30" xfId="0" applyNumberFormat="1" applyFont="1" applyBorder="1" applyAlignment="1">
      <alignment vertical="center"/>
    </xf>
    <xf numFmtId="170" fontId="24" fillId="0" borderId="0" xfId="11" applyNumberFormat="1" applyFont="1" applyFill="1" applyAlignment="1">
      <alignment horizontal="center" vertical="center"/>
    </xf>
    <xf numFmtId="0" fontId="24" fillId="0" borderId="0" xfId="0" applyFont="1" applyFill="1" applyAlignment="1">
      <alignment horizontal="right" vertical="center"/>
    </xf>
    <xf numFmtId="0" fontId="10" fillId="0" borderId="37" xfId="0" applyFont="1" applyFill="1" applyBorder="1" applyAlignment="1">
      <alignment horizontal="center"/>
    </xf>
    <xf numFmtId="0" fontId="3" fillId="0" borderId="16" xfId="0" applyFont="1" applyFill="1" applyBorder="1" applyAlignment="1">
      <alignment horizontal="center"/>
    </xf>
    <xf numFmtId="0" fontId="10" fillId="0" borderId="38" xfId="0" applyFont="1" applyFill="1" applyBorder="1" applyAlignment="1">
      <alignment horizontal="center"/>
    </xf>
    <xf numFmtId="4" fontId="2" fillId="2" borderId="46" xfId="0" applyNumberFormat="1" applyFont="1" applyFill="1" applyBorder="1" applyAlignment="1">
      <alignment horizontal="right" indent="1"/>
    </xf>
    <xf numFmtId="4" fontId="2" fillId="2" borderId="14" xfId="0" applyNumberFormat="1" applyFont="1" applyFill="1" applyBorder="1" applyAlignment="1">
      <alignment horizontal="right" indent="1"/>
    </xf>
    <xf numFmtId="4" fontId="2" fillId="0" borderId="14" xfId="0" applyNumberFormat="1" applyFont="1" applyBorder="1" applyAlignment="1">
      <alignment horizontal="right" indent="1"/>
    </xf>
    <xf numFmtId="4" fontId="2" fillId="18" borderId="46" xfId="0" applyNumberFormat="1" applyFont="1" applyFill="1" applyBorder="1" applyAlignment="1">
      <alignment horizontal="right" indent="1"/>
    </xf>
    <xf numFmtId="4" fontId="2" fillId="18" borderId="14" xfId="0" applyNumberFormat="1" applyFont="1" applyFill="1" applyBorder="1" applyAlignment="1">
      <alignment horizontal="right" indent="1"/>
    </xf>
    <xf numFmtId="4" fontId="2" fillId="0" borderId="15" xfId="0" applyNumberFormat="1" applyFont="1" applyFill="1" applyBorder="1" applyAlignment="1">
      <alignment horizontal="right" indent="1"/>
    </xf>
    <xf numFmtId="4" fontId="2" fillId="2" borderId="22" xfId="0" applyNumberFormat="1" applyFont="1" applyFill="1" applyBorder="1" applyAlignment="1">
      <alignment horizontal="right" indent="1"/>
    </xf>
    <xf numFmtId="4" fontId="2" fillId="0" borderId="48" xfId="0" applyNumberFormat="1" applyFont="1" applyFill="1" applyBorder="1" applyAlignment="1">
      <alignment horizontal="right" indent="1"/>
    </xf>
    <xf numFmtId="0" fontId="73" fillId="41" borderId="1" xfId="0" applyFont="1" applyFill="1" applyBorder="1"/>
    <xf numFmtId="0" fontId="72" fillId="41" borderId="1" xfId="0" applyFont="1" applyFill="1" applyBorder="1"/>
    <xf numFmtId="9" fontId="2" fillId="39" borderId="29" xfId="15" applyNumberFormat="1" applyFont="1" applyFill="1" applyBorder="1" applyAlignment="1" applyProtection="1">
      <alignment horizontal="right" wrapText="1"/>
      <protection locked="0"/>
    </xf>
    <xf numFmtId="185" fontId="2" fillId="31" borderId="50" xfId="15" applyNumberFormat="1" applyFont="1" applyFill="1" applyBorder="1" applyProtection="1">
      <protection locked="0"/>
    </xf>
    <xf numFmtId="9" fontId="2" fillId="39" borderId="50" xfId="15" applyNumberFormat="1" applyFont="1" applyFill="1" applyBorder="1" applyAlignment="1" applyProtection="1">
      <protection locked="0"/>
    </xf>
    <xf numFmtId="0" fontId="69" fillId="42" borderId="1" xfId="0" applyFont="1" applyFill="1" applyBorder="1" applyAlignment="1">
      <alignment horizontal="center" vertical="center"/>
    </xf>
    <xf numFmtId="0" fontId="70" fillId="42" borderId="1" xfId="0" applyFont="1" applyFill="1" applyBorder="1"/>
    <xf numFmtId="0" fontId="69" fillId="42" borderId="1" xfId="0" applyFont="1" applyFill="1" applyBorder="1"/>
    <xf numFmtId="0" fontId="69" fillId="42" borderId="47" xfId="0" applyFont="1" applyFill="1" applyBorder="1"/>
    <xf numFmtId="0" fontId="70" fillId="42" borderId="47" xfId="0" applyFont="1" applyFill="1" applyBorder="1" applyAlignment="1">
      <alignment horizontal="right"/>
    </xf>
    <xf numFmtId="0" fontId="24" fillId="0" borderId="7" xfId="0" applyFont="1" applyFill="1" applyBorder="1" applyAlignment="1">
      <alignment vertical="center"/>
    </xf>
    <xf numFmtId="0" fontId="24" fillId="0" borderId="26" xfId="0" applyFont="1" applyFill="1" applyBorder="1" applyAlignment="1">
      <alignment vertical="center"/>
    </xf>
    <xf numFmtId="0" fontId="24" fillId="0" borderId="2" xfId="0" applyFont="1" applyFill="1" applyBorder="1" applyAlignment="1">
      <alignment vertical="center"/>
    </xf>
    <xf numFmtId="0" fontId="24" fillId="0" borderId="9" xfId="0" applyFont="1" applyFill="1" applyBorder="1" applyAlignment="1">
      <alignment vertical="center"/>
    </xf>
    <xf numFmtId="2" fontId="7" fillId="0" borderId="27" xfId="0" applyNumberFormat="1" applyFont="1" applyBorder="1" applyAlignment="1">
      <alignment vertical="top" wrapText="1"/>
    </xf>
    <xf numFmtId="2" fontId="2" fillId="0" borderId="28" xfId="0" applyNumberFormat="1" applyFont="1" applyBorder="1"/>
    <xf numFmtId="2" fontId="2" fillId="0" borderId="0" xfId="0" applyNumberFormat="1" applyFont="1" applyFill="1" applyBorder="1"/>
    <xf numFmtId="2" fontId="2" fillId="0" borderId="0" xfId="0" applyNumberFormat="1" applyFont="1" applyBorder="1"/>
    <xf numFmtId="2" fontId="2" fillId="0" borderId="2" xfId="0" applyNumberFormat="1" applyFont="1" applyFill="1" applyBorder="1"/>
    <xf numFmtId="2" fontId="2" fillId="0" borderId="3" xfId="0" applyNumberFormat="1" applyFont="1" applyFill="1" applyBorder="1"/>
    <xf numFmtId="3" fontId="2" fillId="4" borderId="88" xfId="0" applyNumberFormat="1" applyFont="1" applyFill="1" applyBorder="1" applyProtection="1">
      <protection locked="0"/>
    </xf>
    <xf numFmtId="3" fontId="2" fillId="4" borderId="22" xfId="0" applyNumberFormat="1" applyFont="1" applyFill="1" applyBorder="1" applyProtection="1">
      <protection locked="0"/>
    </xf>
    <xf numFmtId="169" fontId="0" fillId="39" borderId="28" xfId="0" applyNumberFormat="1" applyFill="1" applyBorder="1" applyProtection="1">
      <protection locked="0"/>
    </xf>
    <xf numFmtId="169" fontId="0" fillId="39" borderId="0" xfId="0" applyNumberFormat="1" applyFill="1" applyBorder="1" applyProtection="1">
      <protection locked="0"/>
    </xf>
    <xf numFmtId="10" fontId="2" fillId="39" borderId="28" xfId="11" applyNumberFormat="1" applyFont="1" applyFill="1" applyBorder="1" applyProtection="1">
      <protection locked="0"/>
    </xf>
    <xf numFmtId="10" fontId="2" fillId="39" borderId="0" xfId="11" applyNumberFormat="1" applyFont="1" applyFill="1" applyBorder="1" applyProtection="1">
      <protection locked="0"/>
    </xf>
    <xf numFmtId="10" fontId="2" fillId="0" borderId="0" xfId="0" applyNumberFormat="1" applyFont="1" applyFill="1"/>
    <xf numFmtId="10" fontId="2" fillId="0" borderId="3" xfId="0" applyNumberFormat="1" applyFont="1" applyFill="1" applyBorder="1"/>
    <xf numFmtId="10" fontId="2" fillId="0" borderId="0" xfId="0" applyNumberFormat="1" applyFont="1" applyBorder="1"/>
    <xf numFmtId="10" fontId="2" fillId="0" borderId="0" xfId="0" applyNumberFormat="1" applyFont="1" applyFill="1" applyBorder="1"/>
    <xf numFmtId="10" fontId="2" fillId="0" borderId="0" xfId="11" applyNumberFormat="1" applyFont="1" applyFill="1" applyBorder="1"/>
    <xf numFmtId="10" fontId="2" fillId="39" borderId="0" xfId="0" applyNumberFormat="1" applyFont="1" applyFill="1" applyBorder="1" applyProtection="1">
      <protection locked="0"/>
    </xf>
    <xf numFmtId="10" fontId="2" fillId="0" borderId="2" xfId="0" applyNumberFormat="1" applyFont="1" applyFill="1" applyBorder="1"/>
    <xf numFmtId="9" fontId="2" fillId="39" borderId="0" xfId="11" applyFont="1" applyFill="1" applyBorder="1" applyAlignment="1" applyProtection="1">
      <alignment horizontal="center"/>
      <protection locked="0"/>
    </xf>
    <xf numFmtId="0" fontId="70" fillId="40" borderId="47" xfId="0" applyFont="1" applyFill="1" applyBorder="1" applyAlignment="1">
      <alignment horizontal="right"/>
    </xf>
    <xf numFmtId="10" fontId="0" fillId="39" borderId="22" xfId="0" applyNumberFormat="1" applyFill="1" applyBorder="1" applyProtection="1">
      <protection locked="0"/>
    </xf>
    <xf numFmtId="174" fontId="2" fillId="0" borderId="0" xfId="6" applyNumberFormat="1" applyFont="1" applyFill="1" applyAlignment="1">
      <alignment horizontal="center"/>
    </xf>
    <xf numFmtId="0" fontId="71" fillId="42" borderId="90" xfId="0" applyFont="1" applyFill="1" applyBorder="1" applyAlignment="1">
      <alignment vertical="center"/>
    </xf>
    <xf numFmtId="0" fontId="74" fillId="42" borderId="60" xfId="0" applyFont="1" applyFill="1" applyBorder="1" applyAlignment="1">
      <alignment vertical="center"/>
    </xf>
    <xf numFmtId="0" fontId="71" fillId="42" borderId="60" xfId="0" applyFont="1" applyFill="1" applyBorder="1" applyAlignment="1">
      <alignment vertical="center"/>
    </xf>
    <xf numFmtId="0" fontId="69" fillId="42" borderId="60" xfId="0" applyFont="1" applyFill="1" applyBorder="1" applyAlignment="1">
      <alignment horizontal="right" vertical="center"/>
    </xf>
    <xf numFmtId="0" fontId="69" fillId="42" borderId="91" xfId="0" applyFont="1" applyFill="1" applyBorder="1" applyAlignment="1">
      <alignment vertical="center"/>
    </xf>
    <xf numFmtId="0" fontId="3" fillId="0" borderId="60" xfId="0" applyFont="1" applyFill="1" applyBorder="1" applyAlignment="1">
      <alignment horizontal="right" vertical="center"/>
    </xf>
    <xf numFmtId="0" fontId="3" fillId="0" borderId="60" xfId="0" applyFont="1" applyFill="1" applyBorder="1" applyAlignment="1">
      <alignment vertical="center"/>
    </xf>
    <xf numFmtId="0" fontId="3" fillId="0" borderId="60" xfId="0" quotePrefix="1" applyFont="1" applyFill="1" applyBorder="1" applyAlignment="1">
      <alignment vertical="center"/>
    </xf>
    <xf numFmtId="3" fontId="2" fillId="0" borderId="60" xfId="0" applyNumberFormat="1" applyFont="1" applyFill="1" applyBorder="1" applyAlignment="1">
      <alignment horizontal="left" vertical="top" wrapText="1"/>
    </xf>
    <xf numFmtId="3" fontId="2" fillId="0" borderId="0" xfId="0" applyNumberFormat="1" applyFont="1" applyFill="1" applyBorder="1" applyAlignment="1">
      <alignment horizontal="center" vertical="top" wrapText="1"/>
    </xf>
    <xf numFmtId="180" fontId="2" fillId="0" borderId="22" xfId="0" applyNumberFormat="1" applyFont="1" applyFill="1" applyBorder="1" applyAlignment="1">
      <alignment horizontal="center"/>
    </xf>
    <xf numFmtId="3" fontId="2" fillId="4" borderId="0" xfId="0" applyNumberFormat="1" applyFont="1" applyFill="1" applyBorder="1" applyAlignment="1" applyProtection="1">
      <alignment vertical="top" wrapText="1"/>
      <protection locked="0"/>
    </xf>
    <xf numFmtId="3" fontId="2" fillId="13" borderId="15" xfId="0" quotePrefix="1" applyNumberFormat="1" applyFont="1" applyFill="1" applyBorder="1" applyAlignment="1">
      <alignment horizontal="right" wrapText="1"/>
    </xf>
    <xf numFmtId="3" fontId="2" fillId="4" borderId="93" xfId="0" applyNumberFormat="1" applyFont="1" applyFill="1" applyBorder="1" applyAlignment="1" applyProtection="1">
      <alignment wrapText="1"/>
      <protection locked="0"/>
    </xf>
    <xf numFmtId="3" fontId="2" fillId="13" borderId="93" xfId="0" quotePrefix="1" applyNumberFormat="1" applyFont="1" applyFill="1" applyBorder="1" applyAlignment="1">
      <alignment horizontal="right" wrapText="1"/>
    </xf>
    <xf numFmtId="3" fontId="2" fillId="15" borderId="93" xfId="0" quotePrefix="1" applyNumberFormat="1" applyFont="1" applyFill="1" applyBorder="1" applyAlignment="1">
      <alignment horizontal="right" wrapText="1"/>
    </xf>
    <xf numFmtId="3" fontId="2" fillId="4" borderId="15" xfId="0" applyNumberFormat="1" applyFont="1" applyFill="1" applyBorder="1" applyAlignment="1" applyProtection="1">
      <alignment vertical="top" wrapText="1"/>
      <protection locked="0"/>
    </xf>
    <xf numFmtId="3" fontId="2" fillId="4" borderId="15" xfId="0" applyNumberFormat="1" applyFont="1" applyFill="1" applyBorder="1" applyAlignment="1" applyProtection="1">
      <alignment wrapText="1"/>
      <protection locked="0"/>
    </xf>
    <xf numFmtId="3" fontId="2" fillId="15" borderId="15" xfId="0" quotePrefix="1" applyNumberFormat="1" applyFont="1" applyFill="1" applyBorder="1" applyAlignment="1">
      <alignment horizontal="right" wrapText="1"/>
    </xf>
    <xf numFmtId="3" fontId="2" fillId="0" borderId="17" xfId="0" applyNumberFormat="1" applyFont="1" applyFill="1" applyBorder="1" applyAlignment="1">
      <alignment horizontal="left" vertical="top" wrapText="1"/>
    </xf>
    <xf numFmtId="3" fontId="8" fillId="43" borderId="15" xfId="0" applyNumberFormat="1" applyFont="1" applyFill="1" applyBorder="1" applyAlignment="1" applyProtection="1">
      <alignment horizontal="center" wrapText="1"/>
    </xf>
    <xf numFmtId="3" fontId="2" fillId="43" borderId="15" xfId="0" quotePrefix="1" applyNumberFormat="1" applyFont="1" applyFill="1" applyBorder="1" applyAlignment="1">
      <alignment horizontal="right" wrapText="1"/>
    </xf>
    <xf numFmtId="3" fontId="2" fillId="43" borderId="93" xfId="0" quotePrefix="1" applyNumberFormat="1" applyFont="1" applyFill="1" applyBorder="1" applyAlignment="1">
      <alignment horizontal="right" wrapText="1"/>
    </xf>
    <xf numFmtId="0" fontId="3" fillId="0" borderId="0" xfId="0" applyFont="1" applyBorder="1" applyAlignment="1">
      <alignment horizontal="right" vertical="center" wrapText="1"/>
    </xf>
    <xf numFmtId="0" fontId="24" fillId="2" borderId="0" xfId="0" applyFont="1" applyFill="1"/>
    <xf numFmtId="0" fontId="0" fillId="0" borderId="0" xfId="0" applyFill="1" applyBorder="1" applyAlignment="1" applyProtection="1">
      <alignment vertical="center"/>
    </xf>
    <xf numFmtId="4" fontId="3" fillId="28" borderId="22" xfId="0" applyNumberFormat="1" applyFont="1" applyFill="1" applyBorder="1"/>
    <xf numFmtId="0" fontId="3" fillId="28" borderId="0" xfId="0" applyFont="1" applyFill="1" applyBorder="1" applyAlignment="1">
      <alignment wrapText="1"/>
    </xf>
    <xf numFmtId="0" fontId="3" fillId="28" borderId="5" xfId="0" applyFont="1" applyFill="1" applyBorder="1" applyAlignment="1">
      <alignment wrapText="1"/>
    </xf>
    <xf numFmtId="0" fontId="2" fillId="0" borderId="0" xfId="0" applyFont="1" applyFill="1" applyBorder="1" applyAlignment="1">
      <alignment vertical="top"/>
    </xf>
    <xf numFmtId="0" fontId="13" fillId="0" borderId="1" xfId="0" applyFont="1" applyBorder="1"/>
    <xf numFmtId="0" fontId="71" fillId="42" borderId="13" xfId="0" applyFont="1" applyFill="1" applyBorder="1" applyAlignment="1">
      <alignment vertical="center"/>
    </xf>
    <xf numFmtId="0" fontId="74" fillId="42" borderId="0" xfId="0" applyFont="1" applyFill="1" applyBorder="1" applyAlignment="1">
      <alignment vertical="center"/>
    </xf>
    <xf numFmtId="0" fontId="71" fillId="42" borderId="0" xfId="0" applyFont="1" applyFill="1" applyBorder="1" applyAlignment="1">
      <alignment vertical="center"/>
    </xf>
    <xf numFmtId="0" fontId="69" fillId="42" borderId="0" xfId="0" applyFont="1" applyFill="1" applyBorder="1" applyAlignment="1">
      <alignment horizontal="right" vertical="center"/>
    </xf>
    <xf numFmtId="0" fontId="69" fillId="42" borderId="10" xfId="0" applyFont="1" applyFill="1" applyBorder="1" applyAlignment="1">
      <alignment vertical="center"/>
    </xf>
    <xf numFmtId="172" fontId="0" fillId="0" borderId="50" xfId="0" applyNumberFormat="1" applyBorder="1" applyAlignment="1" applyProtection="1">
      <alignment vertical="center"/>
    </xf>
    <xf numFmtId="0" fontId="0" fillId="0" borderId="50" xfId="0" applyFill="1" applyBorder="1" applyAlignment="1" applyProtection="1">
      <alignment vertical="center"/>
    </xf>
    <xf numFmtId="172" fontId="0" fillId="0" borderId="72" xfId="0" applyNumberFormat="1" applyBorder="1" applyAlignment="1" applyProtection="1">
      <alignment vertical="center"/>
    </xf>
    <xf numFmtId="0" fontId="0" fillId="0" borderId="72" xfId="0" applyFill="1" applyBorder="1" applyAlignment="1" applyProtection="1">
      <alignment vertical="center"/>
    </xf>
    <xf numFmtId="172" fontId="0" fillId="0" borderId="80" xfId="0" applyNumberFormat="1" applyBorder="1" applyAlignment="1" applyProtection="1">
      <alignment vertical="center"/>
    </xf>
    <xf numFmtId="0" fontId="0" fillId="0" borderId="80" xfId="0" applyFill="1" applyBorder="1" applyAlignment="1" applyProtection="1">
      <alignment vertical="center"/>
    </xf>
    <xf numFmtId="0" fontId="0" fillId="0" borderId="50" xfId="0" applyBorder="1" applyProtection="1"/>
    <xf numFmtId="172" fontId="0" fillId="0" borderId="50" xfId="0" applyNumberFormat="1" applyBorder="1" applyProtection="1"/>
    <xf numFmtId="4" fontId="3" fillId="4" borderId="67" xfId="11" applyNumberFormat="1" applyFont="1" applyFill="1" applyBorder="1" applyProtection="1">
      <protection locked="0"/>
    </xf>
    <xf numFmtId="0" fontId="0" fillId="0" borderId="27" xfId="0" applyBorder="1" applyProtection="1"/>
    <xf numFmtId="172" fontId="0" fillId="0" borderId="27" xfId="0" applyNumberFormat="1" applyBorder="1" applyProtection="1"/>
    <xf numFmtId="0" fontId="0" fillId="0" borderId="82" xfId="0" applyFill="1" applyBorder="1" applyAlignment="1" applyProtection="1">
      <alignment vertical="center"/>
    </xf>
    <xf numFmtId="0" fontId="2" fillId="7" borderId="6" xfId="0" applyFont="1" applyFill="1" applyBorder="1" applyAlignment="1">
      <alignment horizontal="left"/>
    </xf>
    <xf numFmtId="0" fontId="2" fillId="7" borderId="8" xfId="0" applyFont="1" applyFill="1" applyBorder="1" applyAlignment="1">
      <alignment horizontal="left"/>
    </xf>
    <xf numFmtId="0" fontId="2" fillId="7" borderId="3" xfId="0" applyFont="1" applyFill="1" applyBorder="1" applyAlignment="1">
      <alignment horizontal="left"/>
    </xf>
    <xf numFmtId="0" fontId="2" fillId="7" borderId="0" xfId="0" applyFont="1" applyFill="1" applyBorder="1" applyAlignment="1">
      <alignment horizontal="left"/>
    </xf>
    <xf numFmtId="16" fontId="2" fillId="7" borderId="3" xfId="0" applyNumberFormat="1" applyFont="1" applyFill="1" applyBorder="1" applyAlignment="1">
      <alignment horizontal="left"/>
    </xf>
    <xf numFmtId="16" fontId="2" fillId="7" borderId="0" xfId="0" applyNumberFormat="1" applyFont="1" applyFill="1" applyBorder="1" applyAlignment="1">
      <alignment horizontal="left"/>
    </xf>
    <xf numFmtId="16" fontId="2" fillId="7" borderId="5" xfId="0" applyNumberFormat="1" applyFont="1" applyFill="1" applyBorder="1" applyAlignment="1">
      <alignment horizontal="left"/>
    </xf>
    <xf numFmtId="0" fontId="2" fillId="3" borderId="3" xfId="0" applyFont="1" applyFill="1" applyBorder="1" applyAlignment="1">
      <alignment horizontal="left"/>
    </xf>
    <xf numFmtId="16" fontId="2" fillId="3" borderId="3" xfId="0" applyNumberFormat="1" applyFont="1" applyFill="1" applyBorder="1" applyAlignment="1">
      <alignment horizontal="left"/>
    </xf>
    <xf numFmtId="16" fontId="2" fillId="3" borderId="4" xfId="0" applyNumberFormat="1" applyFont="1" applyFill="1" applyBorder="1" applyAlignment="1">
      <alignment horizontal="left"/>
    </xf>
    <xf numFmtId="1" fontId="3" fillId="7" borderId="26" xfId="0" applyNumberFormat="1" applyFont="1" applyFill="1" applyBorder="1" applyAlignment="1">
      <alignment horizontal="left"/>
    </xf>
    <xf numFmtId="171" fontId="3" fillId="0" borderId="49" xfId="0" applyNumberFormat="1" applyFont="1" applyFill="1" applyBorder="1" applyAlignment="1">
      <alignment horizontal="right" vertical="center" wrapText="1"/>
    </xf>
    <xf numFmtId="171" fontId="3" fillId="0" borderId="28" xfId="0" applyNumberFormat="1" applyFont="1" applyFill="1" applyBorder="1" applyAlignment="1">
      <alignment horizontal="right" vertical="center" wrapText="1"/>
    </xf>
    <xf numFmtId="171" fontId="0" fillId="0" borderId="49" xfId="0" applyNumberFormat="1" applyFill="1" applyBorder="1" applyAlignment="1">
      <alignment horizontal="right" vertical="center" wrapText="1"/>
    </xf>
    <xf numFmtId="171" fontId="0" fillId="0" borderId="26" xfId="0" applyNumberFormat="1" applyFill="1" applyBorder="1" applyAlignment="1">
      <alignment horizontal="right" vertical="center" wrapText="1"/>
    </xf>
    <xf numFmtId="0" fontId="0" fillId="0" borderId="26" xfId="0" applyFill="1" applyBorder="1" applyAlignment="1">
      <alignment vertical="center"/>
    </xf>
    <xf numFmtId="172" fontId="3" fillId="11" borderId="57" xfId="0" applyNumberFormat="1" applyFont="1" applyFill="1" applyBorder="1" applyAlignment="1">
      <alignment horizontal="right" vertical="center" wrapText="1"/>
    </xf>
    <xf numFmtId="0" fontId="0" fillId="0" borderId="27" xfId="0" applyFill="1" applyBorder="1" applyAlignment="1" applyProtection="1">
      <alignment vertical="center"/>
    </xf>
    <xf numFmtId="0" fontId="75" fillId="46" borderId="0" xfId="0" applyFont="1" applyFill="1" applyBorder="1" applyAlignment="1">
      <alignment horizontal="center"/>
    </xf>
    <xf numFmtId="0" fontId="75" fillId="9" borderId="0" xfId="0" applyFont="1" applyFill="1" applyBorder="1" applyAlignment="1">
      <alignment horizontal="center"/>
    </xf>
    <xf numFmtId="0" fontId="75" fillId="37" borderId="0" xfId="0" applyFont="1" applyFill="1" applyBorder="1" applyAlignment="1">
      <alignment horizontal="center"/>
    </xf>
    <xf numFmtId="0" fontId="75" fillId="42" borderId="0" xfId="0" applyFont="1" applyFill="1" applyBorder="1" applyAlignment="1">
      <alignment horizontal="center"/>
    </xf>
    <xf numFmtId="0" fontId="75" fillId="40" borderId="0" xfId="0" applyFont="1" applyFill="1" applyBorder="1" applyAlignment="1">
      <alignment horizontal="center"/>
    </xf>
    <xf numFmtId="0" fontId="75" fillId="34" borderId="0" xfId="0" applyFont="1" applyFill="1" applyBorder="1" applyAlignment="1">
      <alignment horizontal="center"/>
    </xf>
    <xf numFmtId="0" fontId="75" fillId="41" borderId="0" xfId="0" applyFont="1" applyFill="1" applyBorder="1" applyAlignment="1">
      <alignment horizontal="center"/>
    </xf>
    <xf numFmtId="0" fontId="76" fillId="28" borderId="0" xfId="17" applyFont="1" applyFill="1"/>
    <xf numFmtId="0" fontId="77" fillId="28" borderId="0" xfId="17" applyFont="1" applyFill="1"/>
    <xf numFmtId="0" fontId="76" fillId="28" borderId="0" xfId="17" applyFont="1" applyFill="1" applyBorder="1"/>
    <xf numFmtId="0" fontId="76" fillId="28" borderId="0" xfId="17" applyFont="1" applyFill="1" applyAlignment="1">
      <alignment vertical="top" wrapText="1"/>
    </xf>
    <xf numFmtId="0" fontId="77" fillId="28" borderId="0" xfId="17" applyFont="1" applyFill="1" applyAlignment="1">
      <alignment vertical="top" wrapText="1"/>
    </xf>
    <xf numFmtId="0" fontId="77" fillId="28" borderId="0" xfId="17" applyFont="1" applyFill="1" applyAlignment="1">
      <alignment horizontal="right"/>
    </xf>
    <xf numFmtId="0" fontId="77" fillId="28" borderId="0" xfId="17" applyFont="1" applyFill="1" applyAlignment="1">
      <alignment horizontal="center"/>
    </xf>
    <xf numFmtId="0" fontId="76" fillId="28" borderId="0" xfId="17" applyFont="1" applyFill="1" applyAlignment="1">
      <alignment horizontal="centerContinuous"/>
    </xf>
    <xf numFmtId="0" fontId="78" fillId="28" borderId="0" xfId="17" applyFont="1" applyFill="1" applyBorder="1" applyAlignment="1">
      <alignment horizontal="center"/>
    </xf>
    <xf numFmtId="0" fontId="78" fillId="28" borderId="2" xfId="17" applyFont="1" applyFill="1" applyBorder="1" applyAlignment="1">
      <alignment horizontal="center"/>
    </xf>
    <xf numFmtId="0" fontId="79" fillId="28" borderId="5" xfId="17" applyFont="1" applyFill="1" applyBorder="1" applyAlignment="1">
      <alignment horizontal="center"/>
    </xf>
    <xf numFmtId="0" fontId="76" fillId="28" borderId="0" xfId="17" applyFont="1" applyFill="1" applyBorder="1" applyAlignment="1">
      <alignment horizontal="center"/>
    </xf>
    <xf numFmtId="0" fontId="76" fillId="28" borderId="2" xfId="17" applyFont="1" applyFill="1" applyBorder="1" applyAlignment="1">
      <alignment horizontal="center"/>
    </xf>
    <xf numFmtId="0" fontId="76" fillId="28" borderId="50" xfId="17" applyFont="1" applyFill="1" applyBorder="1" applyAlignment="1">
      <alignment horizontal="center"/>
    </xf>
    <xf numFmtId="0" fontId="80" fillId="46" borderId="1" xfId="0" applyFont="1" applyFill="1" applyBorder="1"/>
    <xf numFmtId="0" fontId="75" fillId="46" borderId="1" xfId="0" applyFont="1" applyFill="1" applyBorder="1" applyAlignment="1">
      <alignment horizontal="center"/>
    </xf>
    <xf numFmtId="0" fontId="76" fillId="28" borderId="8" xfId="17" applyFont="1" applyFill="1" applyBorder="1"/>
    <xf numFmtId="3" fontId="7" fillId="4" borderId="8" xfId="0" applyNumberFormat="1" applyFont="1" applyFill="1" applyBorder="1" applyProtection="1">
      <protection locked="0"/>
    </xf>
    <xf numFmtId="3" fontId="7" fillId="4" borderId="7" xfId="0" applyNumberFormat="1" applyFont="1" applyFill="1" applyBorder="1" applyProtection="1">
      <protection locked="0"/>
    </xf>
    <xf numFmtId="3" fontId="7" fillId="4" borderId="2" xfId="0" applyNumberFormat="1" applyFont="1" applyFill="1" applyBorder="1" applyProtection="1">
      <protection locked="0"/>
    </xf>
    <xf numFmtId="3" fontId="7" fillId="4" borderId="5" xfId="0" applyNumberFormat="1" applyFont="1" applyFill="1" applyBorder="1" applyProtection="1">
      <protection locked="0"/>
    </xf>
    <xf numFmtId="3" fontId="7" fillId="4" borderId="9" xfId="0" applyNumberFormat="1" applyFont="1" applyFill="1" applyBorder="1" applyProtection="1">
      <protection locked="0"/>
    </xf>
    <xf numFmtId="0" fontId="2" fillId="7" borderId="49" xfId="0" applyFont="1" applyFill="1" applyBorder="1" applyAlignment="1">
      <alignment vertical="center"/>
    </xf>
    <xf numFmtId="169" fontId="2" fillId="0" borderId="50" xfId="0" applyNumberFormat="1" applyFont="1" applyFill="1" applyBorder="1" applyAlignment="1">
      <alignment horizontal="right" vertical="center" wrapText="1"/>
    </xf>
    <xf numFmtId="171" fontId="3" fillId="0" borderId="50" xfId="0" applyNumberFormat="1" applyFont="1" applyFill="1" applyBorder="1" applyAlignment="1">
      <alignment horizontal="right" vertical="center" wrapText="1"/>
    </xf>
    <xf numFmtId="169" fontId="2" fillId="0" borderId="26" xfId="0" applyNumberFormat="1" applyFont="1" applyFill="1" applyBorder="1" applyAlignment="1">
      <alignment horizontal="right" vertical="center" wrapText="1"/>
    </xf>
    <xf numFmtId="169" fontId="2" fillId="8" borderId="28" xfId="0" applyNumberFormat="1" applyFont="1" applyFill="1" applyBorder="1" applyAlignment="1">
      <alignment horizontal="right" vertical="center" wrapText="1"/>
    </xf>
    <xf numFmtId="169" fontId="2" fillId="8" borderId="29" xfId="0" applyNumberFormat="1" applyFont="1" applyFill="1" applyBorder="1" applyAlignment="1">
      <alignment horizontal="right" vertical="center" wrapText="1"/>
    </xf>
    <xf numFmtId="170" fontId="2" fillId="8" borderId="28" xfId="0" applyNumberFormat="1" applyFont="1" applyFill="1" applyBorder="1" applyAlignment="1">
      <alignment horizontal="right" vertical="center" wrapText="1"/>
    </xf>
    <xf numFmtId="170" fontId="2" fillId="8" borderId="29" xfId="0" applyNumberFormat="1" applyFont="1" applyFill="1" applyBorder="1" applyAlignment="1">
      <alignment horizontal="right" vertical="center" wrapText="1"/>
    </xf>
    <xf numFmtId="169" fontId="2" fillId="0" borderId="5" xfId="0" applyNumberFormat="1" applyFont="1" applyFill="1" applyBorder="1" applyAlignment="1">
      <alignment horizontal="right" vertical="center" wrapText="1"/>
    </xf>
    <xf numFmtId="16" fontId="2" fillId="3" borderId="49" xfId="0" applyNumberFormat="1" applyFont="1" applyFill="1" applyBorder="1" applyAlignment="1">
      <alignment horizontal="left"/>
    </xf>
    <xf numFmtId="170" fontId="2" fillId="0" borderId="0" xfId="0" applyNumberFormat="1" applyFont="1" applyFill="1" applyBorder="1" applyAlignment="1">
      <alignment horizontal="right" vertical="center" wrapText="1"/>
    </xf>
    <xf numFmtId="170" fontId="2" fillId="0" borderId="5" xfId="0" applyNumberFormat="1" applyFont="1" applyFill="1" applyBorder="1" applyAlignment="1">
      <alignment horizontal="right" vertical="center" wrapText="1"/>
    </xf>
    <xf numFmtId="0" fontId="2" fillId="7" borderId="4" xfId="0" applyFont="1" applyFill="1" applyBorder="1" applyAlignment="1">
      <alignment vertical="center"/>
    </xf>
    <xf numFmtId="0" fontId="0" fillId="0" borderId="28" xfId="0" applyFill="1" applyBorder="1" applyAlignment="1">
      <alignment horizontal="left" vertical="center" wrapText="1"/>
    </xf>
    <xf numFmtId="0" fontId="0" fillId="0" borderId="28" xfId="0" applyFill="1" applyBorder="1" applyAlignment="1">
      <alignment vertical="center"/>
    </xf>
    <xf numFmtId="0" fontId="0" fillId="0" borderId="28" xfId="0" applyFill="1" applyBorder="1"/>
    <xf numFmtId="188" fontId="2" fillId="4" borderId="3" xfId="6" applyNumberFormat="1" applyFont="1" applyFill="1" applyBorder="1" applyAlignment="1" applyProtection="1">
      <alignment horizontal="right" vertical="center" wrapText="1"/>
      <protection locked="0"/>
    </xf>
    <xf numFmtId="188" fontId="2" fillId="0" borderId="3" xfId="6" applyNumberFormat="1" applyFont="1" applyFill="1" applyBorder="1" applyAlignment="1">
      <alignment horizontal="right" vertical="center" wrapText="1"/>
    </xf>
    <xf numFmtId="188" fontId="2" fillId="4" borderId="4" xfId="6" applyNumberFormat="1" applyFont="1" applyFill="1" applyBorder="1" applyAlignment="1" applyProtection="1">
      <alignment horizontal="right" vertical="center" wrapText="1"/>
      <protection locked="0"/>
    </xf>
    <xf numFmtId="188" fontId="2" fillId="0" borderId="4" xfId="6" applyNumberFormat="1" applyFont="1" applyFill="1" applyBorder="1" applyAlignment="1">
      <alignment horizontal="right" vertical="center" wrapText="1"/>
    </xf>
    <xf numFmtId="188" fontId="2" fillId="4" borderId="28" xfId="6" applyNumberFormat="1" applyFont="1" applyFill="1" applyBorder="1" applyAlignment="1" applyProtection="1">
      <alignment horizontal="right" vertical="center" wrapText="1"/>
      <protection locked="0"/>
    </xf>
    <xf numFmtId="188" fontId="2" fillId="4" borderId="49" xfId="6" applyNumberFormat="1" applyFont="1" applyFill="1" applyBorder="1" applyAlignment="1" applyProtection="1">
      <alignment horizontal="right" vertical="center" wrapText="1"/>
      <protection locked="0"/>
    </xf>
    <xf numFmtId="188" fontId="2" fillId="0" borderId="49" xfId="6" applyNumberFormat="1" applyFont="1" applyFill="1" applyBorder="1" applyAlignment="1">
      <alignment horizontal="right" vertical="center" wrapText="1"/>
    </xf>
    <xf numFmtId="188" fontId="2" fillId="4" borderId="50" xfId="6" applyNumberFormat="1" applyFont="1" applyFill="1" applyBorder="1" applyAlignment="1" applyProtection="1">
      <alignment horizontal="right" vertical="center" wrapText="1"/>
      <protection locked="0"/>
    </xf>
    <xf numFmtId="188" fontId="2" fillId="0" borderId="50" xfId="6" applyNumberFormat="1" applyFont="1" applyFill="1" applyBorder="1" applyAlignment="1">
      <alignment horizontal="right" vertical="center" wrapText="1"/>
    </xf>
    <xf numFmtId="188" fontId="2" fillId="0" borderId="28" xfId="6" applyNumberFormat="1" applyFont="1" applyFill="1" applyBorder="1" applyAlignment="1">
      <alignment horizontal="right" vertical="center" wrapText="1"/>
    </xf>
    <xf numFmtId="188" fontId="2" fillId="4" borderId="0" xfId="6" applyNumberFormat="1" applyFont="1" applyFill="1" applyBorder="1" applyAlignment="1" applyProtection="1">
      <alignment horizontal="right" vertical="center" wrapText="1"/>
      <protection locked="0"/>
    </xf>
    <xf numFmtId="1" fontId="0" fillId="0" borderId="57" xfId="0" applyNumberFormat="1" applyBorder="1" applyAlignment="1"/>
    <xf numFmtId="0" fontId="0" fillId="0" borderId="28" xfId="0" applyFill="1" applyBorder="1" applyAlignment="1">
      <alignment horizontal="left" vertical="top" wrapText="1"/>
    </xf>
    <xf numFmtId="0" fontId="6" fillId="19" borderId="0" xfId="0" applyFont="1" applyFill="1" applyAlignment="1" applyProtection="1">
      <alignment vertical="center"/>
    </xf>
    <xf numFmtId="172" fontId="6" fillId="19" borderId="0" xfId="0" applyNumberFormat="1" applyFont="1" applyFill="1" applyAlignment="1" applyProtection="1">
      <alignment vertical="center"/>
    </xf>
    <xf numFmtId="0" fontId="6" fillId="19" borderId="0" xfId="0" applyFont="1" applyFill="1" applyAlignment="1" applyProtection="1">
      <alignment horizontal="left" vertical="center"/>
    </xf>
    <xf numFmtId="0" fontId="3" fillId="19" borderId="0" xfId="0" applyFont="1" applyFill="1" applyAlignment="1" applyProtection="1">
      <alignment vertical="center"/>
    </xf>
    <xf numFmtId="0" fontId="3" fillId="19" borderId="0" xfId="0" applyFont="1" applyFill="1" applyAlignment="1" applyProtection="1">
      <alignment vertical="center" wrapText="1"/>
    </xf>
    <xf numFmtId="0" fontId="4" fillId="8" borderId="98" xfId="0" applyFont="1" applyFill="1" applyBorder="1" applyAlignment="1" applyProtection="1">
      <alignment vertical="center"/>
    </xf>
    <xf numFmtId="0" fontId="1" fillId="0" borderId="70" xfId="0" applyFont="1" applyFill="1" applyBorder="1" applyAlignment="1" applyProtection="1">
      <alignment horizontal="left" vertical="center" wrapText="1"/>
    </xf>
    <xf numFmtId="0" fontId="1" fillId="0" borderId="70" xfId="0" applyFont="1" applyFill="1" applyBorder="1" applyAlignment="1" applyProtection="1">
      <alignment horizontal="left" vertical="center"/>
    </xf>
    <xf numFmtId="170" fontId="2" fillId="8" borderId="82" xfId="11" applyNumberFormat="1" applyFont="1" applyFill="1" applyBorder="1" applyAlignment="1" applyProtection="1">
      <alignment horizontal="right" vertical="center"/>
    </xf>
    <xf numFmtId="0" fontId="1" fillId="0" borderId="72" xfId="0" applyFont="1" applyBorder="1" applyAlignment="1" applyProtection="1">
      <alignment vertical="center" wrapText="1"/>
    </xf>
    <xf numFmtId="3" fontId="2" fillId="2" borderId="67" xfId="0" applyNumberFormat="1" applyFont="1" applyFill="1" applyBorder="1" applyAlignment="1" applyProtection="1">
      <alignment vertical="center" wrapText="1"/>
    </xf>
    <xf numFmtId="0" fontId="1" fillId="0" borderId="50" xfId="0" applyFont="1" applyBorder="1" applyAlignment="1" applyProtection="1">
      <alignment vertical="center" wrapText="1"/>
    </xf>
    <xf numFmtId="3" fontId="1" fillId="0" borderId="80" xfId="0" applyNumberFormat="1" applyFont="1" applyBorder="1" applyAlignment="1" applyProtection="1">
      <alignment vertical="center" wrapText="1"/>
    </xf>
    <xf numFmtId="3" fontId="2" fillId="2" borderId="82" xfId="0" applyNumberFormat="1" applyFont="1" applyFill="1" applyBorder="1" applyAlignment="1" applyProtection="1">
      <alignment vertical="center" wrapText="1"/>
    </xf>
    <xf numFmtId="0" fontId="1" fillId="0" borderId="71" xfId="0" applyFont="1" applyBorder="1" applyAlignment="1" applyProtection="1">
      <alignment horizontal="center" vertical="center" wrapText="1"/>
    </xf>
    <xf numFmtId="0" fontId="1" fillId="0" borderId="72" xfId="0" applyFont="1" applyBorder="1" applyAlignment="1" applyProtection="1">
      <alignment vertical="center"/>
    </xf>
    <xf numFmtId="0" fontId="1" fillId="0" borderId="75" xfId="0" applyFont="1" applyBorder="1" applyAlignment="1" applyProtection="1">
      <alignment horizontal="center" vertical="center" wrapText="1"/>
    </xf>
    <xf numFmtId="0" fontId="1" fillId="0" borderId="50" xfId="0" applyFont="1" applyBorder="1" applyAlignment="1" applyProtection="1">
      <alignment vertical="center"/>
    </xf>
    <xf numFmtId="16" fontId="1" fillId="0" borderId="50" xfId="0" applyNumberFormat="1" applyFont="1" applyBorder="1" applyAlignment="1" applyProtection="1">
      <alignment vertical="center"/>
    </xf>
    <xf numFmtId="1" fontId="1" fillId="0" borderId="50" xfId="0" applyNumberFormat="1" applyFont="1" applyBorder="1" applyAlignment="1" applyProtection="1">
      <alignment vertical="center"/>
    </xf>
    <xf numFmtId="2" fontId="1" fillId="0" borderId="50" xfId="0" applyNumberFormat="1" applyFont="1" applyBorder="1" applyAlignment="1" applyProtection="1">
      <alignment vertical="center"/>
    </xf>
    <xf numFmtId="0" fontId="1" fillId="0" borderId="79" xfId="0" applyFont="1" applyBorder="1" applyAlignment="1" applyProtection="1">
      <alignment horizontal="center" vertical="center" wrapText="1"/>
    </xf>
    <xf numFmtId="0" fontId="1" fillId="0" borderId="80" xfId="0" applyFont="1" applyBorder="1" applyAlignment="1" applyProtection="1">
      <alignment vertical="center" wrapText="1"/>
    </xf>
    <xf numFmtId="0" fontId="1" fillId="0" borderId="80" xfId="0" applyFont="1" applyBorder="1" applyAlignment="1" applyProtection="1">
      <alignment vertical="center"/>
    </xf>
    <xf numFmtId="16" fontId="1" fillId="0" borderId="80" xfId="0" applyNumberFormat="1" applyFont="1" applyBorder="1" applyAlignment="1" applyProtection="1">
      <alignment vertical="center"/>
    </xf>
    <xf numFmtId="3" fontId="1" fillId="0" borderId="72" xfId="0" applyNumberFormat="1" applyFont="1" applyBorder="1" applyAlignment="1" applyProtection="1">
      <alignment vertical="center" wrapText="1"/>
    </xf>
    <xf numFmtId="3" fontId="1" fillId="0" borderId="50" xfId="0" applyNumberFormat="1" applyFont="1" applyBorder="1" applyAlignment="1" applyProtection="1">
      <alignment vertical="center" wrapText="1"/>
    </xf>
    <xf numFmtId="3" fontId="0" fillId="4" borderId="67" xfId="0" applyNumberFormat="1" applyFill="1" applyBorder="1" applyAlignment="1" applyProtection="1">
      <alignment vertical="center"/>
    </xf>
    <xf numFmtId="0" fontId="1" fillId="0" borderId="29" xfId="0" applyFont="1" applyBorder="1" applyAlignment="1" applyProtection="1">
      <alignment vertical="center" wrapText="1"/>
    </xf>
    <xf numFmtId="0" fontId="1" fillId="0" borderId="29" xfId="0" applyFont="1" applyBorder="1" applyAlignment="1" applyProtection="1">
      <alignment vertical="center"/>
    </xf>
    <xf numFmtId="10" fontId="0" fillId="8" borderId="67" xfId="0" applyNumberFormat="1" applyFill="1" applyBorder="1" applyAlignment="1" applyProtection="1">
      <alignment vertical="center"/>
    </xf>
    <xf numFmtId="0" fontId="1" fillId="0" borderId="28" xfId="0" applyFont="1" applyBorder="1" applyAlignment="1" applyProtection="1">
      <alignment vertical="center" wrapText="1"/>
    </xf>
    <xf numFmtId="0" fontId="1" fillId="0" borderId="28" xfId="0" applyFont="1" applyBorder="1" applyAlignment="1" applyProtection="1">
      <alignment vertical="center"/>
    </xf>
    <xf numFmtId="0" fontId="1" fillId="0" borderId="86" xfId="0" applyFont="1" applyBorder="1" applyAlignment="1" applyProtection="1">
      <alignment vertical="center" wrapText="1"/>
    </xf>
    <xf numFmtId="0" fontId="1" fillId="0" borderId="86" xfId="0" applyFont="1" applyBorder="1" applyAlignment="1" applyProtection="1">
      <alignment vertical="center"/>
    </xf>
    <xf numFmtId="3" fontId="1" fillId="0" borderId="77" xfId="0" applyNumberFormat="1" applyFont="1" applyBorder="1" applyAlignment="1" applyProtection="1">
      <alignment vertical="center" wrapText="1"/>
    </xf>
    <xf numFmtId="0" fontId="1" fillId="0" borderId="77" xfId="0" applyFont="1" applyBorder="1" applyAlignment="1" applyProtection="1">
      <alignment vertical="center"/>
    </xf>
    <xf numFmtId="170" fontId="2" fillId="8" borderId="67" xfId="11" applyNumberFormat="1" applyFont="1" applyFill="1" applyBorder="1" applyAlignment="1" applyProtection="1">
      <alignment horizontal="center" vertical="center"/>
    </xf>
    <xf numFmtId="9" fontId="2" fillId="8" borderId="74" xfId="15" applyNumberFormat="1" applyFont="1" applyFill="1" applyBorder="1" applyAlignment="1" applyProtection="1">
      <alignment horizontal="right" vertical="center" wrapText="1"/>
    </xf>
    <xf numFmtId="9" fontId="1" fillId="0" borderId="50" xfId="0" applyNumberFormat="1" applyFont="1" applyBorder="1" applyAlignment="1" applyProtection="1">
      <alignment vertical="center" wrapText="1"/>
    </xf>
    <xf numFmtId="9" fontId="2" fillId="8" borderId="67" xfId="15" applyNumberFormat="1" applyFont="1" applyFill="1" applyBorder="1" applyAlignment="1" applyProtection="1">
      <alignment vertical="center"/>
    </xf>
    <xf numFmtId="185" fontId="2" fillId="4" borderId="67" xfId="15" applyNumberFormat="1" applyFont="1" applyFill="1" applyBorder="1" applyAlignment="1" applyProtection="1">
      <alignment vertical="center"/>
    </xf>
    <xf numFmtId="9" fontId="2" fillId="8" borderId="67" xfId="15" applyNumberFormat="1" applyFont="1" applyFill="1" applyBorder="1" applyAlignment="1" applyProtection="1">
      <alignment horizontal="right" vertical="center" wrapText="1"/>
    </xf>
    <xf numFmtId="0" fontId="1" fillId="0" borderId="50" xfId="0" applyFont="1" applyFill="1" applyBorder="1" applyAlignment="1" applyProtection="1">
      <alignment vertical="center"/>
    </xf>
    <xf numFmtId="9" fontId="2" fillId="4" borderId="67" xfId="15" applyNumberFormat="1" applyFont="1" applyFill="1" applyBorder="1" applyAlignment="1" applyProtection="1">
      <alignment horizontal="right" vertical="center" wrapText="1"/>
    </xf>
    <xf numFmtId="4" fontId="3" fillId="11" borderId="74" xfId="0" applyNumberFormat="1" applyFont="1" applyFill="1" applyBorder="1" applyAlignment="1" applyProtection="1">
      <alignment vertical="center"/>
    </xf>
    <xf numFmtId="4" fontId="3" fillId="11" borderId="67" xfId="0" applyNumberFormat="1" applyFont="1" applyFill="1" applyBorder="1" applyAlignment="1" applyProtection="1">
      <alignment vertical="center"/>
    </xf>
    <xf numFmtId="4" fontId="0" fillId="24" borderId="67" xfId="0" applyNumberFormat="1" applyFill="1" applyBorder="1" applyAlignment="1" applyProtection="1">
      <alignment vertical="center"/>
    </xf>
    <xf numFmtId="169" fontId="0" fillId="8" borderId="67" xfId="0" applyNumberFormat="1" applyFill="1" applyBorder="1" applyAlignment="1" applyProtection="1">
      <alignment vertical="center"/>
    </xf>
    <xf numFmtId="10" fontId="2" fillId="8" borderId="67" xfId="11" applyNumberFormat="1" applyFont="1" applyFill="1" applyBorder="1" applyAlignment="1" applyProtection="1">
      <alignment vertical="center"/>
    </xf>
    <xf numFmtId="10" fontId="1" fillId="0" borderId="50" xfId="0" applyNumberFormat="1" applyFont="1" applyBorder="1" applyAlignment="1" applyProtection="1">
      <alignment vertical="center" wrapText="1"/>
    </xf>
    <xf numFmtId="0" fontId="0" fillId="24" borderId="75" xfId="0" applyFill="1" applyBorder="1" applyAlignment="1" applyProtection="1">
      <alignment horizontal="center" vertical="center" wrapText="1"/>
    </xf>
    <xf numFmtId="0" fontId="0" fillId="24" borderId="50" xfId="0" applyFill="1" applyBorder="1" applyAlignment="1" applyProtection="1">
      <alignment vertical="center" wrapText="1"/>
    </xf>
    <xf numFmtId="0" fontId="0" fillId="24" borderId="50" xfId="0" applyFill="1" applyBorder="1" applyAlignment="1" applyProtection="1">
      <alignment vertical="center"/>
    </xf>
    <xf numFmtId="0" fontId="1" fillId="24" borderId="50" xfId="0" applyFont="1" applyFill="1" applyBorder="1" applyAlignment="1" applyProtection="1">
      <alignment vertical="center"/>
    </xf>
    <xf numFmtId="0" fontId="1" fillId="24" borderId="50" xfId="0" applyFont="1" applyFill="1" applyBorder="1" applyAlignment="1" applyProtection="1">
      <alignment vertical="center" wrapText="1"/>
    </xf>
    <xf numFmtId="170" fontId="3" fillId="24" borderId="67" xfId="11" applyNumberFormat="1" applyFont="1" applyFill="1" applyBorder="1" applyAlignment="1" applyProtection="1">
      <alignment vertical="center"/>
    </xf>
    <xf numFmtId="0" fontId="0" fillId="19" borderId="0" xfId="0" applyFill="1" applyProtection="1"/>
    <xf numFmtId="10" fontId="2" fillId="8" borderId="67" xfId="0" applyNumberFormat="1" applyFont="1" applyFill="1" applyBorder="1" applyAlignment="1" applyProtection="1">
      <alignment vertical="center"/>
    </xf>
    <xf numFmtId="4" fontId="3" fillId="24" borderId="67" xfId="0" applyNumberFormat="1" applyFont="1" applyFill="1" applyBorder="1" applyAlignment="1" applyProtection="1">
      <alignment vertical="center"/>
    </xf>
    <xf numFmtId="0" fontId="0" fillId="24" borderId="0" xfId="0" applyFill="1" applyProtection="1"/>
    <xf numFmtId="9" fontId="2" fillId="8" borderId="67" xfId="11" applyFont="1" applyFill="1" applyBorder="1" applyAlignment="1" applyProtection="1">
      <alignment horizontal="center" vertical="center"/>
    </xf>
    <xf numFmtId="3" fontId="24" fillId="4" borderId="67" xfId="0" applyNumberFormat="1" applyFont="1" applyFill="1" applyBorder="1" applyAlignment="1" applyProtection="1">
      <alignment horizontal="right" vertical="center"/>
    </xf>
    <xf numFmtId="188" fontId="8" fillId="8" borderId="67" xfId="6" applyNumberFormat="1" applyFont="1" applyFill="1" applyBorder="1" applyAlignment="1" applyProtection="1">
      <alignment horizontal="right" vertical="center"/>
    </xf>
    <xf numFmtId="188" fontId="8" fillId="8" borderId="82" xfId="6" applyNumberFormat="1" applyFont="1" applyFill="1" applyBorder="1" applyAlignment="1" applyProtection="1">
      <alignment horizontal="right" vertical="center"/>
    </xf>
    <xf numFmtId="10" fontId="0" fillId="8" borderId="74" xfId="0" applyNumberFormat="1" applyFill="1" applyBorder="1" applyAlignment="1" applyProtection="1">
      <alignment vertical="center"/>
    </xf>
    <xf numFmtId="174" fontId="3" fillId="11" borderId="82" xfId="6" applyNumberFormat="1" applyFont="1" applyFill="1" applyBorder="1" applyAlignment="1" applyProtection="1">
      <alignment horizontal="center" vertical="center"/>
    </xf>
    <xf numFmtId="171" fontId="6" fillId="11" borderId="67" xfId="0" applyNumberFormat="1" applyFont="1" applyFill="1" applyBorder="1" applyAlignment="1" applyProtection="1">
      <alignment horizontal="right" indent="1"/>
    </xf>
    <xf numFmtId="170" fontId="6" fillId="11" borderId="82" xfId="0" applyNumberFormat="1" applyFont="1" applyFill="1" applyBorder="1" applyAlignment="1" applyProtection="1">
      <alignment horizontal="right" indent="1"/>
    </xf>
    <xf numFmtId="14" fontId="1" fillId="0" borderId="72" xfId="0" applyNumberFormat="1" applyFont="1" applyBorder="1" applyAlignment="1" applyProtection="1">
      <alignment vertical="center"/>
    </xf>
    <xf numFmtId="3" fontId="1" fillId="0" borderId="50" xfId="0" applyNumberFormat="1" applyFont="1" applyBorder="1" applyAlignment="1" applyProtection="1">
      <alignment vertical="center"/>
    </xf>
    <xf numFmtId="14" fontId="1" fillId="0" borderId="50" xfId="0" applyNumberFormat="1" applyFont="1" applyBorder="1" applyAlignment="1" applyProtection="1">
      <alignment vertical="center"/>
    </xf>
    <xf numFmtId="3" fontId="9" fillId="14" borderId="10" xfId="4" applyNumberFormat="1" applyFont="1" applyFill="1" applyBorder="1" applyAlignment="1" applyProtection="1">
      <alignment horizontal="right" vertical="center" wrapText="1"/>
    </xf>
    <xf numFmtId="3" fontId="9" fillId="14" borderId="67" xfId="4" applyNumberFormat="1" applyFont="1" applyFill="1" applyBorder="1" applyAlignment="1" applyProtection="1">
      <alignment horizontal="right" vertical="center" wrapText="1"/>
    </xf>
    <xf numFmtId="3" fontId="2" fillId="2" borderId="67" xfId="0" quotePrefix="1" applyNumberFormat="1" applyFont="1" applyFill="1" applyBorder="1" applyAlignment="1" applyProtection="1">
      <alignment horizontal="right" vertical="center" wrapText="1"/>
    </xf>
    <xf numFmtId="3" fontId="1" fillId="0" borderId="80" xfId="0" applyNumberFormat="1" applyFont="1" applyBorder="1" applyAlignment="1" applyProtection="1">
      <alignment vertical="center"/>
    </xf>
    <xf numFmtId="3" fontId="2" fillId="2" borderId="82" xfId="0" quotePrefix="1" applyNumberFormat="1" applyFont="1" applyFill="1" applyBorder="1" applyAlignment="1" applyProtection="1">
      <alignment horizontal="right" vertical="center" wrapText="1"/>
    </xf>
    <xf numFmtId="3" fontId="1" fillId="0" borderId="72" xfId="0" applyNumberFormat="1" applyFont="1" applyBorder="1" applyAlignment="1" applyProtection="1">
      <alignment vertical="center"/>
    </xf>
    <xf numFmtId="14" fontId="1" fillId="0" borderId="80" xfId="0" applyNumberFormat="1" applyFont="1" applyBorder="1" applyAlignment="1" applyProtection="1">
      <alignment vertical="center"/>
    </xf>
    <xf numFmtId="4" fontId="3" fillId="19" borderId="74" xfId="0" applyNumberFormat="1" applyFont="1" applyFill="1" applyBorder="1"/>
    <xf numFmtId="4" fontId="3" fillId="19" borderId="99" xfId="0" applyNumberFormat="1" applyFont="1" applyFill="1" applyBorder="1" applyAlignment="1" applyProtection="1">
      <alignment vertical="center"/>
    </xf>
    <xf numFmtId="4" fontId="0" fillId="0" borderId="50" xfId="0" applyNumberFormat="1" applyBorder="1" applyAlignment="1" applyProtection="1">
      <alignment vertical="center"/>
    </xf>
    <xf numFmtId="4" fontId="0" fillId="0" borderId="80" xfId="0" applyNumberFormat="1" applyBorder="1" applyAlignment="1" applyProtection="1">
      <alignment vertical="center"/>
    </xf>
    <xf numFmtId="3" fontId="0" fillId="0" borderId="50" xfId="0" applyNumberFormat="1" applyBorder="1" applyAlignment="1" applyProtection="1">
      <alignment vertical="center" wrapText="1"/>
    </xf>
    <xf numFmtId="0" fontId="1" fillId="0" borderId="49" xfId="0" applyFont="1" applyBorder="1" applyAlignment="1" applyProtection="1">
      <alignment vertical="center"/>
    </xf>
    <xf numFmtId="170" fontId="2" fillId="8" borderId="100" xfId="11" applyNumberFormat="1" applyFont="1" applyFill="1" applyBorder="1" applyAlignment="1" applyProtection="1">
      <alignment horizontal="center" vertical="center"/>
    </xf>
    <xf numFmtId="0" fontId="1" fillId="0" borderId="27" xfId="0" applyFont="1" applyBorder="1" applyAlignment="1" applyProtection="1">
      <alignment vertical="center"/>
    </xf>
    <xf numFmtId="4" fontId="0" fillId="24" borderId="50" xfId="0" applyNumberFormat="1" applyFill="1" applyBorder="1" applyAlignment="1" applyProtection="1">
      <alignment vertical="center"/>
    </xf>
    <xf numFmtId="4" fontId="0" fillId="0" borderId="100" xfId="0" applyNumberFormat="1" applyFill="1" applyBorder="1" applyAlignment="1" applyProtection="1">
      <alignment vertical="center"/>
    </xf>
    <xf numFmtId="4" fontId="0" fillId="0" borderId="101" xfId="0" applyNumberFormat="1" applyFill="1" applyBorder="1" applyAlignment="1" applyProtection="1">
      <alignment vertical="center"/>
    </xf>
    <xf numFmtId="0" fontId="0" fillId="0" borderId="69" xfId="0" applyBorder="1" applyAlignment="1" applyProtection="1">
      <alignment vertical="center"/>
    </xf>
    <xf numFmtId="172" fontId="0" fillId="0" borderId="69" xfId="0" applyNumberFormat="1" applyBorder="1" applyAlignment="1" applyProtection="1">
      <alignment vertical="center"/>
    </xf>
    <xf numFmtId="169" fontId="2" fillId="4" borderId="87" xfId="0" applyNumberFormat="1" applyFont="1" applyFill="1" applyBorder="1" applyAlignment="1" applyProtection="1">
      <alignment horizontal="right" vertical="center"/>
    </xf>
    <xf numFmtId="0" fontId="0" fillId="0" borderId="0" xfId="0" applyBorder="1" applyAlignment="1" applyProtection="1">
      <alignment vertical="center"/>
    </xf>
    <xf numFmtId="172" fontId="0" fillId="0" borderId="0" xfId="0" applyNumberFormat="1" applyBorder="1" applyAlignment="1" applyProtection="1">
      <alignment vertical="center"/>
    </xf>
    <xf numFmtId="191" fontId="3" fillId="19" borderId="0" xfId="6" applyNumberFormat="1" applyFont="1" applyFill="1" applyBorder="1"/>
    <xf numFmtId="0" fontId="6" fillId="19" borderId="0" xfId="0" applyFont="1" applyFill="1" applyAlignment="1" applyProtection="1">
      <alignment horizontal="center" vertical="center"/>
    </xf>
    <xf numFmtId="0" fontId="3" fillId="19" borderId="0" xfId="0" applyFont="1" applyFill="1" applyAlignment="1" applyProtection="1">
      <alignment horizontal="center" vertical="center"/>
    </xf>
    <xf numFmtId="0" fontId="0" fillId="0" borderId="70" xfId="0" applyFont="1"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0" xfId="0" applyAlignment="1" applyProtection="1">
      <alignment horizontal="center" vertical="center" wrapText="1"/>
    </xf>
    <xf numFmtId="0" fontId="0" fillId="0" borderId="10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Alignment="1" applyProtection="1">
      <alignment horizontal="center"/>
    </xf>
    <xf numFmtId="180" fontId="3" fillId="2" borderId="0" xfId="0" applyNumberFormat="1" applyFont="1" applyFill="1" applyAlignment="1">
      <alignment horizontal="left"/>
    </xf>
    <xf numFmtId="0" fontId="0" fillId="0" borderId="15" xfId="0" applyNumberFormat="1" applyBorder="1" applyAlignment="1">
      <alignment vertical="top"/>
    </xf>
    <xf numFmtId="0" fontId="24" fillId="47" borderId="0" xfId="20" applyFont="1" applyFill="1" applyBorder="1" applyAlignment="1">
      <alignment horizontal="left"/>
    </xf>
    <xf numFmtId="185" fontId="2" fillId="47" borderId="0" xfId="20" applyNumberFormat="1" applyFont="1" applyFill="1" applyBorder="1"/>
    <xf numFmtId="185" fontId="81" fillId="47" borderId="0" xfId="20" applyNumberFormat="1" applyFont="1" applyFill="1" applyBorder="1"/>
    <xf numFmtId="0" fontId="2" fillId="47" borderId="0" xfId="20" applyFont="1" applyFill="1" applyBorder="1"/>
    <xf numFmtId="0" fontId="2" fillId="19" borderId="7" xfId="15" applyFont="1" applyFill="1" applyBorder="1" applyAlignment="1">
      <alignment horizontal="center" vertical="top" wrapText="1"/>
    </xf>
    <xf numFmtId="0" fontId="2" fillId="19" borderId="9" xfId="15" applyFont="1" applyFill="1" applyBorder="1" applyAlignment="1">
      <alignment horizontal="center" vertical="top" wrapText="1"/>
    </xf>
    <xf numFmtId="9" fontId="2" fillId="19" borderId="29" xfId="15" applyNumberFormat="1" applyFont="1" applyFill="1" applyBorder="1" applyAlignment="1">
      <alignment horizontal="right"/>
    </xf>
    <xf numFmtId="0" fontId="2" fillId="19" borderId="27" xfId="15" applyFont="1" applyFill="1" applyBorder="1" applyAlignment="1">
      <alignment horizontal="center" vertical="top"/>
    </xf>
    <xf numFmtId="0" fontId="2" fillId="19" borderId="29" xfId="15" applyFont="1" applyFill="1" applyBorder="1" applyAlignment="1">
      <alignment horizontal="center" vertical="top"/>
    </xf>
    <xf numFmtId="0" fontId="26" fillId="19" borderId="0" xfId="15" applyFont="1" applyFill="1" applyBorder="1" applyAlignment="1">
      <alignment horizontal="left"/>
    </xf>
    <xf numFmtId="0" fontId="2" fillId="19" borderId="29" xfId="15" applyFont="1" applyFill="1" applyBorder="1" applyAlignment="1">
      <alignment horizontal="right" wrapText="1"/>
    </xf>
    <xf numFmtId="0" fontId="2" fillId="19" borderId="28" xfId="10" applyFont="1" applyFill="1" applyBorder="1" applyAlignment="1"/>
    <xf numFmtId="0" fontId="3" fillId="19" borderId="27" xfId="15" applyFont="1" applyFill="1" applyBorder="1" applyAlignment="1">
      <alignment horizontal="left"/>
    </xf>
    <xf numFmtId="0" fontId="2" fillId="19" borderId="2" xfId="15" applyFont="1" applyFill="1" applyBorder="1" applyAlignment="1">
      <alignment horizontal="center" vertical="top" wrapText="1"/>
    </xf>
    <xf numFmtId="0" fontId="2" fillId="19" borderId="6" xfId="15" applyFont="1" applyFill="1" applyBorder="1" applyAlignment="1">
      <alignment horizontal="center" vertical="top"/>
    </xf>
    <xf numFmtId="0" fontId="2" fillId="19" borderId="4" xfId="15" applyFont="1" applyFill="1" applyBorder="1" applyAlignment="1">
      <alignment horizontal="center" vertical="top"/>
    </xf>
    <xf numFmtId="185" fontId="2" fillId="0" borderId="6" xfId="15" applyNumberFormat="1" applyFont="1" applyBorder="1"/>
    <xf numFmtId="185" fontId="2" fillId="0" borderId="50" xfId="15" applyNumberFormat="1" applyFont="1" applyFill="1" applyBorder="1"/>
    <xf numFmtId="9" fontId="2" fillId="19" borderId="29" xfId="15" applyNumberFormat="1" applyFont="1" applyFill="1" applyBorder="1" applyAlignment="1">
      <alignment horizontal="left" vertical="top" wrapText="1"/>
    </xf>
    <xf numFmtId="9" fontId="2" fillId="19" borderId="50" xfId="15" applyNumberFormat="1" applyFont="1" applyFill="1" applyBorder="1" applyAlignment="1">
      <alignment horizontal="left" vertical="top" wrapText="1"/>
    </xf>
    <xf numFmtId="185" fontId="2" fillId="0" borderId="50" xfId="15" applyNumberFormat="1" applyFont="1" applyFill="1" applyBorder="1" applyAlignment="1">
      <alignment wrapText="1"/>
    </xf>
    <xf numFmtId="185" fontId="2" fillId="0" borderId="50" xfId="15" applyNumberFormat="1" applyFont="1" applyBorder="1"/>
    <xf numFmtId="185" fontId="2" fillId="0" borderId="50" xfId="15" applyNumberFormat="1" applyFont="1" applyFill="1" applyBorder="1" applyAlignment="1">
      <alignment horizontal="center" vertical="top"/>
    </xf>
    <xf numFmtId="0" fontId="2" fillId="19" borderId="27" xfId="15" applyFont="1" applyFill="1" applyBorder="1" applyAlignment="1">
      <alignment horizontal="left"/>
    </xf>
    <xf numFmtId="9" fontId="1" fillId="44" borderId="50" xfId="0" applyNumberFormat="1" applyFont="1" applyFill="1" applyBorder="1" applyAlignment="1" applyProtection="1">
      <alignment vertical="center" wrapText="1"/>
    </xf>
    <xf numFmtId="9" fontId="0" fillId="0" borderId="0" xfId="0" applyNumberFormat="1" applyFill="1" applyAlignment="1" applyProtection="1">
      <alignment vertical="center"/>
    </xf>
    <xf numFmtId="0" fontId="0" fillId="0" borderId="50" xfId="0" applyBorder="1" applyAlignment="1" applyProtection="1">
      <alignment horizontal="center" vertical="center" wrapText="1"/>
    </xf>
    <xf numFmtId="9" fontId="0" fillId="0" borderId="50" xfId="0" applyNumberFormat="1" applyFill="1" applyBorder="1" applyAlignment="1" applyProtection="1">
      <alignment vertical="center"/>
    </xf>
    <xf numFmtId="0" fontId="0" fillId="0" borderId="49" xfId="0" applyBorder="1" applyAlignment="1" applyProtection="1">
      <alignment vertical="center" wrapText="1"/>
    </xf>
    <xf numFmtId="9" fontId="1" fillId="28" borderId="50" xfId="0" applyNumberFormat="1" applyFont="1" applyFill="1" applyBorder="1" applyAlignment="1" applyProtection="1">
      <alignment vertical="center" wrapText="1"/>
    </xf>
    <xf numFmtId="9" fontId="1" fillId="48" borderId="50" xfId="0" applyNumberFormat="1" applyFont="1" applyFill="1" applyBorder="1" applyAlignment="1" applyProtection="1">
      <alignment vertical="center" wrapText="1"/>
    </xf>
    <xf numFmtId="0" fontId="1" fillId="48" borderId="50" xfId="0" applyFont="1" applyFill="1" applyBorder="1" applyAlignment="1" applyProtection="1">
      <alignment vertical="center"/>
    </xf>
    <xf numFmtId="9" fontId="2" fillId="48" borderId="67" xfId="15" applyNumberFormat="1" applyFont="1" applyFill="1" applyBorder="1" applyAlignment="1" applyProtection="1">
      <alignment horizontal="right" vertical="center" wrapText="1"/>
    </xf>
    <xf numFmtId="0" fontId="1" fillId="44" borderId="50" xfId="0" applyFont="1" applyFill="1" applyBorder="1" applyAlignment="1" applyProtection="1">
      <alignment vertical="center"/>
    </xf>
    <xf numFmtId="9" fontId="2" fillId="44" borderId="67" xfId="15" applyNumberFormat="1" applyFont="1" applyFill="1" applyBorder="1" applyAlignment="1" applyProtection="1">
      <alignment horizontal="right" vertical="center" wrapText="1"/>
    </xf>
    <xf numFmtId="0" fontId="0" fillId="0" borderId="0" xfId="0" applyFill="1" applyBorder="1" applyAlignment="1">
      <alignment vertical="top"/>
    </xf>
    <xf numFmtId="9" fontId="2" fillId="0" borderId="50" xfId="20" applyNumberFormat="1" applyFont="1" applyFill="1" applyBorder="1" applyAlignment="1">
      <alignment horizontal="right" wrapText="1"/>
    </xf>
    <xf numFmtId="0" fontId="76" fillId="28" borderId="27" xfId="17" applyFont="1" applyFill="1" applyBorder="1" applyAlignment="1">
      <alignment horizontal="center"/>
    </xf>
    <xf numFmtId="0" fontId="76" fillId="28" borderId="28" xfId="17" applyFont="1" applyFill="1" applyBorder="1" applyAlignment="1">
      <alignment horizontal="center"/>
    </xf>
    <xf numFmtId="0" fontId="76" fillId="28" borderId="29" xfId="17" applyFont="1" applyFill="1" applyBorder="1" applyAlignment="1">
      <alignment horizontal="center"/>
    </xf>
    <xf numFmtId="3" fontId="76" fillId="28" borderId="26" xfId="17" applyNumberFormat="1" applyFont="1" applyFill="1" applyBorder="1"/>
    <xf numFmtId="16" fontId="1" fillId="44" borderId="50" xfId="0" applyNumberFormat="1" applyFont="1" applyFill="1" applyBorder="1" applyAlignment="1" applyProtection="1">
      <alignment vertical="center"/>
    </xf>
    <xf numFmtId="169" fontId="2" fillId="44" borderId="67" xfId="0" applyNumberFormat="1" applyFont="1" applyFill="1" applyBorder="1" applyAlignment="1" applyProtection="1">
      <alignment horizontal="right" vertical="center"/>
    </xf>
    <xf numFmtId="0" fontId="3" fillId="0" borderId="0" xfId="0" applyFont="1" applyFill="1" applyBorder="1" applyProtection="1"/>
    <xf numFmtId="0" fontId="68" fillId="0" borderId="0" xfId="0" applyFont="1" applyProtection="1"/>
    <xf numFmtId="0" fontId="68" fillId="0" borderId="0" xfId="0" applyFont="1" applyBorder="1" applyProtection="1"/>
    <xf numFmtId="0" fontId="2" fillId="0" borderId="0" xfId="0" applyFont="1" applyBorder="1" applyProtection="1"/>
    <xf numFmtId="0" fontId="2" fillId="0" borderId="0" xfId="0" applyFont="1" applyProtection="1"/>
    <xf numFmtId="0" fontId="2" fillId="0" borderId="7" xfId="0" applyFont="1" applyBorder="1" applyProtection="1"/>
    <xf numFmtId="0" fontId="0" fillId="0" borderId="3" xfId="0" applyFill="1" applyBorder="1" applyProtection="1"/>
    <xf numFmtId="0" fontId="0" fillId="0" borderId="4" xfId="0" applyFill="1" applyBorder="1" applyProtection="1"/>
    <xf numFmtId="0" fontId="0" fillId="0" borderId="9" xfId="0" applyBorder="1" applyProtection="1"/>
    <xf numFmtId="0" fontId="3" fillId="0" borderId="4" xfId="0" applyFont="1" applyFill="1" applyBorder="1" applyProtection="1"/>
    <xf numFmtId="0" fontId="65" fillId="0" borderId="0" xfId="0" applyFont="1" applyBorder="1" applyAlignment="1" applyProtection="1">
      <alignment horizontal="center" vertical="center"/>
    </xf>
    <xf numFmtId="0" fontId="65" fillId="0" borderId="0" xfId="0" applyFont="1" applyBorder="1" applyAlignment="1" applyProtection="1">
      <alignment horizontal="center"/>
    </xf>
    <xf numFmtId="0" fontId="68" fillId="0" borderId="0" xfId="0" applyFont="1" applyFill="1" applyBorder="1" applyAlignment="1" applyProtection="1"/>
    <xf numFmtId="0" fontId="83" fillId="0" borderId="0" xfId="0" applyFont="1" applyFill="1" applyAlignment="1" applyProtection="1">
      <alignment vertical="center"/>
    </xf>
    <xf numFmtId="0" fontId="68" fillId="0" borderId="0" xfId="0" applyFont="1" applyAlignment="1" applyProtection="1"/>
    <xf numFmtId="0" fontId="2" fillId="0" borderId="0" xfId="0" applyFont="1" applyAlignment="1" applyProtection="1"/>
    <xf numFmtId="0" fontId="3" fillId="0" borderId="5" xfId="0" applyFont="1" applyBorder="1" applyProtection="1"/>
    <xf numFmtId="3" fontId="3" fillId="0" borderId="9" xfId="0" applyNumberFormat="1" applyFont="1" applyFill="1" applyBorder="1" applyProtection="1"/>
    <xf numFmtId="0" fontId="3" fillId="0" borderId="0" xfId="0" applyFont="1" applyBorder="1" applyProtection="1"/>
    <xf numFmtId="3" fontId="3" fillId="0" borderId="0" xfId="0" applyNumberFormat="1" applyFont="1" applyFill="1" applyBorder="1" applyProtection="1"/>
    <xf numFmtId="0" fontId="13" fillId="50" borderId="0" xfId="0" applyFont="1" applyFill="1" applyProtection="1"/>
    <xf numFmtId="3" fontId="13" fillId="50" borderId="0" xfId="0" applyNumberFormat="1" applyFont="1" applyFill="1" applyProtection="1"/>
    <xf numFmtId="0" fontId="68" fillId="0" borderId="0" xfId="0" applyFont="1" applyBorder="1" applyAlignment="1" applyProtection="1"/>
    <xf numFmtId="0" fontId="13" fillId="38" borderId="0" xfId="0" applyFont="1" applyFill="1" applyProtection="1"/>
    <xf numFmtId="3" fontId="13" fillId="38" borderId="0" xfId="0" applyNumberFormat="1" applyFont="1" applyFill="1" applyProtection="1"/>
    <xf numFmtId="0" fontId="2" fillId="0" borderId="3" xfId="0" applyFont="1" applyBorder="1" applyAlignment="1" applyProtection="1">
      <alignment horizontal="left"/>
    </xf>
    <xf numFmtId="0" fontId="2" fillId="28" borderId="3" xfId="0" applyFont="1" applyFill="1" applyBorder="1" applyProtection="1"/>
    <xf numFmtId="0" fontId="65" fillId="0" borderId="0" xfId="0" applyFont="1" applyProtection="1"/>
    <xf numFmtId="0" fontId="2" fillId="0" borderId="26" xfId="0" applyFont="1" applyBorder="1" applyAlignment="1">
      <alignment vertical="center" wrapText="1"/>
    </xf>
    <xf numFmtId="3" fontId="65" fillId="28" borderId="5" xfId="0" applyNumberFormat="1" applyFont="1" applyFill="1" applyBorder="1" applyAlignment="1" applyProtection="1">
      <alignment vertical="center"/>
    </xf>
    <xf numFmtId="3" fontId="84" fillId="28" borderId="9" xfId="0" applyNumberFormat="1" applyFont="1" applyFill="1" applyBorder="1" applyAlignment="1" applyProtection="1">
      <alignment vertical="center"/>
    </xf>
    <xf numFmtId="0" fontId="65" fillId="0" borderId="0" xfId="0" applyFont="1" applyBorder="1" applyAlignment="1" applyProtection="1"/>
    <xf numFmtId="3" fontId="2" fillId="28" borderId="6" xfId="0" applyNumberFormat="1" applyFont="1" applyFill="1" applyBorder="1" applyAlignment="1" applyProtection="1">
      <alignment vertical="center"/>
    </xf>
    <xf numFmtId="9" fontId="2" fillId="0" borderId="0" xfId="0" applyNumberFormat="1" applyFont="1" applyFill="1" applyBorder="1" applyProtection="1"/>
    <xf numFmtId="0" fontId="2" fillId="0" borderId="49" xfId="0" applyFont="1" applyBorder="1" applyAlignment="1" applyProtection="1">
      <alignment horizontal="center" vertical="center" wrapText="1"/>
    </xf>
    <xf numFmtId="0" fontId="65" fillId="0" borderId="6" xfId="0" applyFont="1" applyBorder="1" applyAlignment="1" applyProtection="1">
      <alignment vertical="center" wrapText="1"/>
    </xf>
    <xf numFmtId="0" fontId="65" fillId="0" borderId="7" xfId="0" applyFont="1" applyBorder="1" applyAlignment="1" applyProtection="1">
      <alignment vertical="center" wrapText="1"/>
    </xf>
    <xf numFmtId="0" fontId="65" fillId="0" borderId="27" xfId="0" applyFont="1" applyFill="1" applyBorder="1" applyAlignment="1" applyProtection="1">
      <alignment vertical="center" wrapText="1"/>
    </xf>
    <xf numFmtId="9" fontId="2" fillId="0" borderId="27" xfId="11" applyFont="1" applyBorder="1" applyAlignment="1">
      <alignment wrapText="1"/>
    </xf>
    <xf numFmtId="0" fontId="68" fillId="0" borderId="0" xfId="0" applyFont="1" applyAlignment="1"/>
    <xf numFmtId="3" fontId="84" fillId="28" borderId="4" xfId="0" applyNumberFormat="1" applyFont="1" applyFill="1" applyBorder="1" applyAlignment="1" applyProtection="1">
      <alignment vertical="center"/>
    </xf>
    <xf numFmtId="0" fontId="65" fillId="0" borderId="105" xfId="0" applyFont="1" applyBorder="1" applyAlignment="1" applyProtection="1">
      <alignment horizontal="center" vertical="center" wrapText="1"/>
    </xf>
    <xf numFmtId="0" fontId="65" fillId="0" borderId="106" xfId="0" applyFont="1" applyBorder="1" applyAlignment="1" applyProtection="1">
      <alignment horizontal="center" vertical="center" wrapText="1"/>
    </xf>
    <xf numFmtId="0" fontId="84" fillId="0" borderId="107" xfId="0" applyFont="1" applyFill="1" applyBorder="1" applyAlignment="1" applyProtection="1">
      <alignment horizontal="center" vertical="center" wrapText="1"/>
    </xf>
    <xf numFmtId="0" fontId="68" fillId="0" borderId="0" xfId="0" applyFont="1" applyBorder="1"/>
    <xf numFmtId="0" fontId="2" fillId="28" borderId="6" xfId="0" applyFont="1" applyFill="1" applyBorder="1" applyAlignment="1" applyProtection="1">
      <alignment vertical="center"/>
    </xf>
    <xf numFmtId="0" fontId="2" fillId="28" borderId="7" xfId="0" applyFont="1" applyFill="1" applyBorder="1" applyAlignment="1" applyProtection="1">
      <alignment vertical="center"/>
    </xf>
    <xf numFmtId="0" fontId="2" fillId="28" borderId="3" xfId="0" applyFont="1" applyFill="1" applyBorder="1" applyAlignment="1" applyProtection="1">
      <alignment vertical="center"/>
    </xf>
    <xf numFmtId="0" fontId="3" fillId="28" borderId="2" xfId="0" applyFont="1" applyFill="1" applyBorder="1" applyAlignment="1" applyProtection="1">
      <alignment vertical="center"/>
    </xf>
    <xf numFmtId="3" fontId="65" fillId="28" borderId="0" xfId="0" applyNumberFormat="1" applyFont="1" applyFill="1" applyBorder="1" applyAlignment="1" applyProtection="1">
      <alignment vertical="center"/>
    </xf>
    <xf numFmtId="0" fontId="65" fillId="28" borderId="2" xfId="0" applyFont="1" applyFill="1" applyBorder="1" applyAlignment="1" applyProtection="1">
      <alignment horizontal="center" vertical="center" wrapText="1"/>
    </xf>
    <xf numFmtId="0" fontId="2" fillId="28" borderId="4" xfId="0" applyFont="1" applyFill="1" applyBorder="1" applyAlignment="1" applyProtection="1">
      <alignment vertical="center"/>
    </xf>
    <xf numFmtId="0" fontId="3" fillId="28" borderId="9" xfId="0" applyFont="1" applyFill="1" applyBorder="1" applyAlignment="1" applyProtection="1">
      <alignment vertical="center"/>
    </xf>
    <xf numFmtId="3" fontId="65" fillId="28" borderId="4" xfId="0" applyNumberFormat="1" applyFont="1" applyFill="1" applyBorder="1" applyAlignment="1" applyProtection="1">
      <alignment vertical="center"/>
    </xf>
    <xf numFmtId="3" fontId="84" fillId="28" borderId="0" xfId="0" applyNumberFormat="1" applyFont="1" applyFill="1" applyBorder="1" applyAlignment="1" applyProtection="1">
      <alignment vertical="center"/>
    </xf>
    <xf numFmtId="0" fontId="3" fillId="28" borderId="0" xfId="0" applyFont="1" applyFill="1" applyBorder="1" applyAlignment="1" applyProtection="1">
      <alignment vertical="center"/>
    </xf>
    <xf numFmtId="0" fontId="68" fillId="0" borderId="0" xfId="0" applyFont="1"/>
    <xf numFmtId="9" fontId="0" fillId="28" borderId="8" xfId="0" applyNumberFormat="1" applyFill="1" applyBorder="1" applyProtection="1">
      <protection locked="0"/>
    </xf>
    <xf numFmtId="3" fontId="2" fillId="0" borderId="0" xfId="0" applyNumberFormat="1" applyFont="1" applyBorder="1" applyProtection="1"/>
    <xf numFmtId="3" fontId="84" fillId="28" borderId="7" xfId="0" applyNumberFormat="1" applyFont="1" applyFill="1" applyBorder="1" applyAlignment="1" applyProtection="1">
      <alignment vertical="center"/>
    </xf>
    <xf numFmtId="0" fontId="3" fillId="28" borderId="4" xfId="0" applyFont="1" applyFill="1" applyBorder="1" applyAlignment="1" applyProtection="1">
      <alignment vertical="center"/>
    </xf>
    <xf numFmtId="0" fontId="3" fillId="28" borderId="5" xfId="0" applyFont="1" applyFill="1" applyBorder="1" applyAlignment="1" applyProtection="1">
      <alignment vertical="center"/>
    </xf>
    <xf numFmtId="0" fontId="3" fillId="28" borderId="49" xfId="0" applyFont="1" applyFill="1" applyBorder="1" applyAlignment="1" applyProtection="1">
      <alignment vertical="center"/>
    </xf>
    <xf numFmtId="0" fontId="65" fillId="28" borderId="26" xfId="0" applyFont="1" applyFill="1" applyBorder="1" applyAlignment="1" applyProtection="1">
      <alignment horizontal="center" vertical="center" wrapText="1"/>
    </xf>
    <xf numFmtId="0" fontId="84" fillId="28" borderId="57" xfId="0" applyFont="1" applyFill="1" applyBorder="1" applyAlignment="1" applyProtection="1">
      <alignment horizontal="center" vertical="center" wrapText="1"/>
    </xf>
    <xf numFmtId="3" fontId="84" fillId="28" borderId="2" xfId="0" applyNumberFormat="1" applyFont="1" applyFill="1" applyBorder="1" applyAlignment="1" applyProtection="1">
      <alignment vertical="center"/>
    </xf>
    <xf numFmtId="170" fontId="2" fillId="49" borderId="16" xfId="11" applyNumberFormat="1" applyFont="1" applyFill="1" applyBorder="1" applyAlignment="1" applyProtection="1">
      <alignment horizontal="center"/>
      <protection locked="0"/>
    </xf>
    <xf numFmtId="170" fontId="0" fillId="0" borderId="0" xfId="11" applyNumberFormat="1" applyFont="1" applyFill="1" applyBorder="1" applyAlignment="1">
      <alignment horizontal="center"/>
    </xf>
    <xf numFmtId="0" fontId="2" fillId="0" borderId="0" xfId="0" quotePrefix="1" applyFont="1" applyFill="1" applyBorder="1" applyAlignment="1">
      <alignment horizontal="right"/>
    </xf>
    <xf numFmtId="4" fontId="3" fillId="0" borderId="0" xfId="0" applyNumberFormat="1" applyFont="1" applyFill="1" applyBorder="1" applyAlignment="1">
      <alignment horizontal="right" indent="1"/>
    </xf>
    <xf numFmtId="0" fontId="21" fillId="0" borderId="0" xfId="0" applyFont="1" applyFill="1"/>
    <xf numFmtId="170" fontId="20" fillId="0" borderId="0" xfId="11" applyNumberFormat="1" applyFont="1" applyAlignment="1">
      <alignment horizontal="center"/>
    </xf>
    <xf numFmtId="0" fontId="20" fillId="0" borderId="0" xfId="0" applyFont="1" applyFill="1" applyAlignment="1">
      <alignment horizontal="center"/>
    </xf>
    <xf numFmtId="0" fontId="20" fillId="0" borderId="0" xfId="0" applyFont="1" applyFill="1"/>
    <xf numFmtId="0" fontId="21" fillId="0" borderId="0" xfId="0" applyFont="1" applyAlignment="1">
      <alignment horizontal="right"/>
    </xf>
    <xf numFmtId="4" fontId="20" fillId="0" borderId="0" xfId="0" applyNumberFormat="1" applyFont="1"/>
    <xf numFmtId="4" fontId="20" fillId="0" borderId="14" xfId="0" applyNumberFormat="1" applyFont="1" applyFill="1" applyBorder="1" applyAlignment="1">
      <alignment horizontal="right" indent="1"/>
    </xf>
    <xf numFmtId="0" fontId="21" fillId="51" borderId="16" xfId="0" applyFont="1" applyFill="1" applyBorder="1"/>
    <xf numFmtId="0" fontId="20" fillId="0" borderId="16" xfId="0" applyFont="1" applyBorder="1"/>
    <xf numFmtId="170" fontId="20" fillId="51" borderId="15" xfId="11" applyNumberFormat="1" applyFont="1" applyFill="1" applyBorder="1" applyAlignment="1">
      <alignment horizontal="center"/>
    </xf>
    <xf numFmtId="0" fontId="20" fillId="0" borderId="16" xfId="0" applyFont="1" applyBorder="1" applyAlignment="1">
      <alignment horizontal="center"/>
    </xf>
    <xf numFmtId="0" fontId="20" fillId="0" borderId="37" xfId="0" applyFont="1" applyFill="1" applyBorder="1" applyAlignment="1">
      <alignment horizontal="center"/>
    </xf>
    <xf numFmtId="0" fontId="20" fillId="0" borderId="16" xfId="0" applyFont="1" applyFill="1" applyBorder="1" applyAlignment="1">
      <alignment horizontal="center"/>
    </xf>
    <xf numFmtId="0" fontId="20" fillId="0" borderId="38" xfId="0" applyFont="1" applyFill="1" applyBorder="1" applyAlignment="1">
      <alignment horizontal="center"/>
    </xf>
    <xf numFmtId="0" fontId="20" fillId="0" borderId="16" xfId="0" applyFont="1" applyFill="1" applyBorder="1"/>
    <xf numFmtId="0" fontId="20" fillId="0" borderId="16" xfId="0" applyFont="1" applyBorder="1" applyAlignment="1">
      <alignment horizontal="right"/>
    </xf>
    <xf numFmtId="4" fontId="20" fillId="51" borderId="15" xfId="0" applyNumberFormat="1" applyFont="1" applyFill="1" applyBorder="1"/>
    <xf numFmtId="4" fontId="20" fillId="2" borderId="46" xfId="0" applyNumberFormat="1" applyFont="1" applyFill="1" applyBorder="1" applyAlignment="1">
      <alignment horizontal="right" indent="1"/>
    </xf>
    <xf numFmtId="0" fontId="20" fillId="0" borderId="0" xfId="0" applyFont="1" applyAlignment="1">
      <alignment horizontal="center"/>
    </xf>
    <xf numFmtId="0" fontId="20" fillId="0" borderId="0" xfId="0" applyFont="1" applyAlignment="1">
      <alignment horizontal="right"/>
    </xf>
    <xf numFmtId="4" fontId="20" fillId="51" borderId="5" xfId="0" applyNumberFormat="1" applyFont="1" applyFill="1" applyBorder="1"/>
    <xf numFmtId="0" fontId="21" fillId="0" borderId="17" xfId="0" applyFont="1" applyFill="1" applyBorder="1"/>
    <xf numFmtId="0" fontId="20" fillId="0" borderId="17" xfId="0" applyFont="1" applyBorder="1"/>
    <xf numFmtId="170" fontId="20" fillId="0" borderId="17" xfId="11" applyNumberFormat="1" applyFont="1" applyBorder="1" applyAlignment="1">
      <alignment horizontal="center"/>
    </xf>
    <xf numFmtId="0" fontId="20" fillId="0" borderId="17" xfId="0" applyFont="1" applyBorder="1" applyAlignment="1">
      <alignment horizontal="center"/>
    </xf>
    <xf numFmtId="0" fontId="20" fillId="0" borderId="39" xfId="0" applyFont="1" applyFill="1" applyBorder="1" applyAlignment="1">
      <alignment horizontal="center"/>
    </xf>
    <xf numFmtId="0" fontId="20" fillId="0" borderId="17" xfId="0" applyFont="1" applyFill="1" applyBorder="1" applyAlignment="1">
      <alignment horizontal="center"/>
    </xf>
    <xf numFmtId="0" fontId="20" fillId="0" borderId="40" xfId="0" applyFont="1" applyFill="1" applyBorder="1" applyAlignment="1">
      <alignment horizontal="center"/>
    </xf>
    <xf numFmtId="0" fontId="20" fillId="0" borderId="17" xfId="0" applyFont="1" applyFill="1" applyBorder="1"/>
    <xf numFmtId="0" fontId="20" fillId="0" borderId="17" xfId="0" quotePrefix="1" applyFont="1" applyBorder="1" applyAlignment="1">
      <alignment horizontal="right"/>
    </xf>
    <xf numFmtId="4" fontId="20" fillId="0" borderId="47" xfId="0" applyNumberFormat="1" applyFont="1" applyFill="1" applyBorder="1"/>
    <xf numFmtId="0" fontId="21" fillId="0" borderId="0" xfId="0" applyFont="1" applyFill="1" applyAlignment="1">
      <alignment horizontal="right"/>
    </xf>
    <xf numFmtId="0" fontId="20" fillId="0" borderId="5" xfId="0" applyFont="1" applyFill="1" applyBorder="1"/>
    <xf numFmtId="0" fontId="20" fillId="0" borderId="5" xfId="0" applyFont="1" applyBorder="1"/>
    <xf numFmtId="170" fontId="20" fillId="0" borderId="5" xfId="11" applyNumberFormat="1" applyFont="1" applyBorder="1" applyAlignment="1">
      <alignment horizontal="center"/>
    </xf>
    <xf numFmtId="0" fontId="20" fillId="0" borderId="5" xfId="0" applyFont="1" applyFill="1" applyBorder="1" applyAlignment="1">
      <alignment horizontal="center"/>
    </xf>
    <xf numFmtId="0" fontId="20" fillId="0" borderId="35" xfId="0" applyFont="1" applyFill="1" applyBorder="1" applyAlignment="1">
      <alignment horizontal="center"/>
    </xf>
    <xf numFmtId="0" fontId="20" fillId="0" borderId="36" xfId="0" applyFont="1" applyFill="1" applyBorder="1" applyAlignment="1">
      <alignment horizontal="center"/>
    </xf>
    <xf numFmtId="0" fontId="21" fillId="0" borderId="5" xfId="0" applyFont="1" applyFill="1" applyBorder="1" applyAlignment="1">
      <alignment horizontal="right"/>
    </xf>
    <xf numFmtId="4" fontId="20" fillId="0" borderId="5" xfId="0" applyNumberFormat="1" applyFont="1" applyBorder="1"/>
    <xf numFmtId="4" fontId="20" fillId="0" borderId="43" xfId="0" applyNumberFormat="1" applyFont="1" applyFill="1" applyBorder="1"/>
    <xf numFmtId="4" fontId="20" fillId="0" borderId="14" xfId="0" applyNumberFormat="1" applyFont="1" applyFill="1" applyBorder="1"/>
    <xf numFmtId="170" fontId="2" fillId="49" borderId="15" xfId="11" applyNumberFormat="1" applyFont="1" applyFill="1" applyBorder="1" applyAlignment="1" applyProtection="1">
      <alignment horizontal="center"/>
      <protection locked="0"/>
    </xf>
    <xf numFmtId="9" fontId="2" fillId="8" borderId="50" xfId="15" applyNumberFormat="1" applyFont="1" applyFill="1" applyBorder="1" applyAlignment="1" applyProtection="1">
      <alignment vertical="center"/>
    </xf>
    <xf numFmtId="185" fontId="2" fillId="4" borderId="50" xfId="15" applyNumberFormat="1" applyFont="1" applyFill="1" applyBorder="1" applyAlignment="1" applyProtection="1">
      <alignment vertical="center"/>
    </xf>
    <xf numFmtId="0" fontId="0" fillId="0" borderId="0" xfId="0" applyBorder="1" applyAlignment="1" applyProtection="1">
      <alignment vertical="center" wrapText="1"/>
    </xf>
    <xf numFmtId="3" fontId="0" fillId="0" borderId="50" xfId="0" applyNumberFormat="1" applyFill="1" applyBorder="1" applyAlignment="1" applyProtection="1">
      <alignment vertical="center"/>
    </xf>
    <xf numFmtId="3" fontId="0" fillId="30" borderId="50" xfId="0" applyNumberFormat="1" applyFill="1" applyBorder="1" applyProtection="1"/>
    <xf numFmtId="3" fontId="2" fillId="30" borderId="50" xfId="0" applyNumberFormat="1" applyFont="1" applyFill="1" applyBorder="1" applyProtection="1"/>
    <xf numFmtId="10" fontId="0" fillId="49" borderId="50" xfId="0" applyNumberFormat="1" applyFill="1" applyBorder="1" applyProtection="1"/>
    <xf numFmtId="3" fontId="0" fillId="49" borderId="50" xfId="0" applyNumberFormat="1" applyFill="1" applyBorder="1" applyProtection="1"/>
    <xf numFmtId="3" fontId="0" fillId="0" borderId="50" xfId="0" applyNumberFormat="1" applyFill="1" applyBorder="1" applyProtection="1"/>
    <xf numFmtId="9" fontId="61" fillId="49" borderId="50" xfId="11" applyFont="1" applyFill="1" applyBorder="1" applyProtection="1"/>
    <xf numFmtId="184" fontId="2" fillId="49" borderId="50" xfId="11" applyNumberFormat="1" applyFont="1" applyFill="1" applyBorder="1" applyProtection="1">
      <protection locked="0"/>
    </xf>
    <xf numFmtId="3" fontId="2" fillId="30" borderId="50" xfId="0" applyNumberFormat="1" applyFont="1" applyFill="1" applyBorder="1" applyAlignment="1" applyProtection="1">
      <alignment vertical="center"/>
    </xf>
    <xf numFmtId="3" fontId="0" fillId="49" borderId="50" xfId="0" applyNumberFormat="1" applyFill="1" applyBorder="1" applyProtection="1">
      <protection locked="0"/>
    </xf>
    <xf numFmtId="3" fontId="65" fillId="28" borderId="50" xfId="0" applyNumberFormat="1" applyFont="1" applyFill="1" applyBorder="1" applyAlignment="1" applyProtection="1">
      <alignment vertical="center"/>
    </xf>
    <xf numFmtId="9" fontId="2" fillId="30" borderId="50" xfId="11" applyFont="1" applyFill="1" applyBorder="1" applyAlignment="1" applyProtection="1">
      <alignment vertical="center"/>
    </xf>
    <xf numFmtId="9" fontId="61" fillId="49" borderId="50" xfId="11" applyFont="1" applyFill="1" applyBorder="1" applyProtection="1">
      <protection locked="0"/>
    </xf>
    <xf numFmtId="0" fontId="1" fillId="44" borderId="72" xfId="0" applyFont="1" applyFill="1" applyBorder="1" applyAlignment="1" applyProtection="1">
      <alignment vertical="center" wrapText="1"/>
    </xf>
    <xf numFmtId="0" fontId="1" fillId="44" borderId="72" xfId="0" applyFont="1" applyFill="1" applyBorder="1" applyAlignment="1" applyProtection="1">
      <alignment vertical="center"/>
    </xf>
    <xf numFmtId="170" fontId="2" fillId="44" borderId="74" xfId="11" applyNumberFormat="1" applyFont="1" applyFill="1" applyBorder="1" applyAlignment="1" applyProtection="1">
      <alignment horizontal="center" vertical="center"/>
    </xf>
    <xf numFmtId="0" fontId="1" fillId="0" borderId="4" xfId="0" applyFont="1" applyBorder="1" applyAlignment="1" applyProtection="1">
      <alignment vertical="center"/>
    </xf>
    <xf numFmtId="4" fontId="1" fillId="0" borderId="50" xfId="0" applyNumberFormat="1" applyFont="1" applyBorder="1" applyAlignment="1" applyProtection="1">
      <alignment vertical="center"/>
    </xf>
    <xf numFmtId="171" fontId="3" fillId="44" borderId="67" xfId="0" applyNumberFormat="1" applyFont="1" applyFill="1" applyBorder="1" applyAlignment="1" applyProtection="1">
      <alignment horizontal="right" indent="1"/>
    </xf>
    <xf numFmtId="0" fontId="2" fillId="28" borderId="6" xfId="0" applyFont="1" applyFill="1" applyBorder="1" applyProtection="1"/>
    <xf numFmtId="0" fontId="0" fillId="28" borderId="8" xfId="0" applyFill="1" applyBorder="1" applyProtection="1"/>
    <xf numFmtId="3" fontId="0" fillId="28" borderId="7" xfId="0" applyNumberFormat="1" applyFill="1" applyBorder="1" applyProtection="1"/>
    <xf numFmtId="0" fontId="0" fillId="28" borderId="0" xfId="0" applyFill="1" applyBorder="1" applyProtection="1"/>
    <xf numFmtId="3" fontId="0" fillId="28" borderId="2" xfId="0" applyNumberFormat="1" applyFill="1" applyBorder="1" applyProtection="1"/>
    <xf numFmtId="3" fontId="2" fillId="28" borderId="7" xfId="0" applyNumberFormat="1" applyFont="1" applyFill="1" applyBorder="1" applyProtection="1"/>
    <xf numFmtId="0" fontId="0" fillId="28" borderId="2" xfId="0" applyFill="1" applyBorder="1" applyProtection="1"/>
    <xf numFmtId="0" fontId="3" fillId="28" borderId="4" xfId="0" applyFont="1" applyFill="1" applyBorder="1" applyProtection="1"/>
    <xf numFmtId="0" fontId="3" fillId="28" borderId="5" xfId="0" applyFont="1" applyFill="1" applyBorder="1" applyProtection="1"/>
    <xf numFmtId="3" fontId="3" fillId="28" borderId="9" xfId="0" applyNumberFormat="1" applyFont="1" applyFill="1" applyBorder="1" applyProtection="1"/>
    <xf numFmtId="3" fontId="2" fillId="28" borderId="8" xfId="0" applyNumberFormat="1" applyFont="1" applyFill="1" applyBorder="1" applyAlignment="1" applyProtection="1">
      <alignment vertical="center"/>
    </xf>
    <xf numFmtId="3" fontId="84" fillId="28" borderId="5" xfId="0" applyNumberFormat="1" applyFont="1" applyFill="1" applyBorder="1" applyAlignment="1" applyProtection="1">
      <alignment vertical="center"/>
    </xf>
    <xf numFmtId="3" fontId="2" fillId="28" borderId="3" xfId="0" applyNumberFormat="1" applyFont="1" applyFill="1" applyBorder="1" applyAlignment="1" applyProtection="1">
      <alignment vertical="center"/>
    </xf>
    <xf numFmtId="167" fontId="2" fillId="4" borderId="3" xfId="6" applyFont="1" applyFill="1" applyBorder="1" applyAlignment="1" applyProtection="1">
      <alignment horizontal="right" vertical="center" wrapText="1"/>
      <protection locked="0"/>
    </xf>
    <xf numFmtId="167" fontId="2" fillId="0" borderId="3" xfId="6" applyFont="1" applyFill="1" applyBorder="1" applyAlignment="1">
      <alignment horizontal="right" vertical="center" wrapText="1"/>
    </xf>
    <xf numFmtId="167" fontId="2" fillId="4" borderId="4" xfId="6" applyFont="1" applyFill="1" applyBorder="1" applyAlignment="1" applyProtection="1">
      <alignment horizontal="right" vertical="center" wrapText="1"/>
      <protection locked="0"/>
    </xf>
    <xf numFmtId="167" fontId="2" fillId="0" borderId="4" xfId="6" applyFont="1" applyFill="1" applyBorder="1" applyAlignment="1">
      <alignment horizontal="right" vertical="center" wrapText="1"/>
    </xf>
    <xf numFmtId="167" fontId="2" fillId="4" borderId="28" xfId="6" applyFont="1" applyFill="1" applyBorder="1" applyAlignment="1" applyProtection="1">
      <alignment horizontal="right" vertical="center" wrapText="1"/>
      <protection locked="0"/>
    </xf>
    <xf numFmtId="167" fontId="2" fillId="4" borderId="49" xfId="6" applyFont="1" applyFill="1" applyBorder="1" applyAlignment="1" applyProtection="1">
      <alignment horizontal="right" vertical="center" wrapText="1"/>
      <protection locked="0"/>
    </xf>
    <xf numFmtId="167" fontId="2" fillId="0" borderId="49" xfId="6" applyFont="1" applyFill="1" applyBorder="1" applyAlignment="1">
      <alignment horizontal="right" vertical="center" wrapText="1"/>
    </xf>
    <xf numFmtId="167" fontId="2" fillId="4" borderId="50" xfId="6" applyFont="1" applyFill="1" applyBorder="1" applyAlignment="1" applyProtection="1">
      <alignment horizontal="right" vertical="center" wrapText="1"/>
      <protection locked="0"/>
    </xf>
    <xf numFmtId="167" fontId="2" fillId="0" borderId="50" xfId="6" applyFont="1" applyFill="1" applyBorder="1" applyAlignment="1">
      <alignment horizontal="right" vertical="center" wrapText="1"/>
    </xf>
    <xf numFmtId="167" fontId="2" fillId="0" borderId="28" xfId="6" applyFont="1" applyFill="1" applyBorder="1" applyAlignment="1">
      <alignment horizontal="right" vertical="center" wrapText="1"/>
    </xf>
    <xf numFmtId="167" fontId="2" fillId="4" borderId="0" xfId="6" applyFont="1" applyFill="1" applyBorder="1" applyAlignment="1" applyProtection="1">
      <alignment horizontal="right" vertical="center" wrapText="1"/>
      <protection locked="0"/>
    </xf>
    <xf numFmtId="192" fontId="2" fillId="4" borderId="3" xfId="6" applyNumberFormat="1" applyFont="1" applyFill="1" applyBorder="1" applyAlignment="1" applyProtection="1">
      <alignment horizontal="right" vertical="center" wrapText="1"/>
      <protection locked="0"/>
    </xf>
    <xf numFmtId="192" fontId="2" fillId="4" borderId="4" xfId="6" applyNumberFormat="1" applyFont="1" applyFill="1" applyBorder="1" applyAlignment="1" applyProtection="1">
      <alignment horizontal="right" vertical="center" wrapText="1"/>
      <protection locked="0"/>
    </xf>
    <xf numFmtId="192" fontId="2" fillId="4" borderId="28" xfId="6" applyNumberFormat="1" applyFont="1" applyFill="1" applyBorder="1" applyAlignment="1" applyProtection="1">
      <alignment horizontal="right" vertical="center" wrapText="1"/>
      <protection locked="0"/>
    </xf>
    <xf numFmtId="192" fontId="2" fillId="4" borderId="49" xfId="6" applyNumberFormat="1" applyFont="1" applyFill="1" applyBorder="1" applyAlignment="1" applyProtection="1">
      <alignment horizontal="right" vertical="center" wrapText="1"/>
      <protection locked="0"/>
    </xf>
    <xf numFmtId="192" fontId="2" fillId="4" borderId="50" xfId="6" applyNumberFormat="1" applyFont="1" applyFill="1" applyBorder="1" applyAlignment="1" applyProtection="1">
      <alignment horizontal="right" vertical="center" wrapText="1"/>
      <protection locked="0"/>
    </xf>
    <xf numFmtId="0" fontId="83" fillId="0" borderId="0" xfId="0" applyFont="1" applyFill="1" applyBorder="1" applyAlignment="1">
      <alignment vertical="center"/>
    </xf>
    <xf numFmtId="0" fontId="83" fillId="0" borderId="0" xfId="0" applyFont="1" applyFill="1" applyBorder="1"/>
    <xf numFmtId="189" fontId="83" fillId="0" borderId="0" xfId="6" applyNumberFormat="1" applyFont="1" applyFill="1" applyBorder="1"/>
    <xf numFmtId="0" fontId="68" fillId="0" borderId="0" xfId="0" applyFont="1" applyFill="1" applyBorder="1"/>
    <xf numFmtId="0" fontId="83" fillId="0" borderId="0" xfId="0" applyFont="1" applyBorder="1"/>
    <xf numFmtId="0" fontId="13" fillId="29" borderId="6" xfId="0" applyFont="1" applyFill="1" applyBorder="1"/>
    <xf numFmtId="187" fontId="13" fillId="29" borderId="3" xfId="6" applyNumberFormat="1" applyFont="1" applyFill="1" applyBorder="1" applyAlignment="1">
      <alignment horizontal="right"/>
    </xf>
    <xf numFmtId="187" fontId="13" fillId="29" borderId="0" xfId="6" applyNumberFormat="1" applyFont="1" applyFill="1" applyBorder="1" applyAlignment="1">
      <alignment horizontal="left"/>
    </xf>
    <xf numFmtId="0" fontId="2" fillId="29" borderId="0" xfId="0" applyFont="1" applyFill="1" applyBorder="1"/>
    <xf numFmtId="187" fontId="13" fillId="29" borderId="4" xfId="6" applyNumberFormat="1" applyFont="1" applyFill="1" applyBorder="1" applyAlignment="1">
      <alignment horizontal="right"/>
    </xf>
    <xf numFmtId="0" fontId="2" fillId="29" borderId="5" xfId="0" applyFont="1" applyFill="1" applyBorder="1"/>
    <xf numFmtId="0" fontId="68" fillId="0" borderId="3" xfId="0" applyFont="1" applyBorder="1"/>
    <xf numFmtId="0" fontId="85" fillId="0" borderId="0" xfId="0" applyFont="1" applyBorder="1" applyAlignment="1">
      <alignment horizontal="left"/>
    </xf>
    <xf numFmtId="0" fontId="68" fillId="0" borderId="0" xfId="0" applyFont="1" applyBorder="1" applyAlignment="1">
      <alignment horizontal="right"/>
    </xf>
    <xf numFmtId="164" fontId="83" fillId="0" borderId="0" xfId="6" applyNumberFormat="1" applyFont="1" applyFill="1" applyBorder="1"/>
    <xf numFmtId="188" fontId="13" fillId="29" borderId="2" xfId="6" applyNumberFormat="1" applyFont="1" applyFill="1" applyBorder="1" applyAlignment="1" applyProtection="1">
      <alignment horizontal="right"/>
      <protection locked="0"/>
    </xf>
    <xf numFmtId="188" fontId="13" fillId="29" borderId="9" xfId="6" applyNumberFormat="1" applyFont="1" applyFill="1" applyBorder="1" applyAlignment="1" applyProtection="1">
      <alignment horizontal="right"/>
      <protection locked="0"/>
    </xf>
    <xf numFmtId="4" fontId="83" fillId="38" borderId="0" xfId="0" applyNumberFormat="1" applyFont="1" applyFill="1" applyBorder="1" applyAlignment="1" applyProtection="1">
      <alignment horizontal="right" vertical="center"/>
      <protection locked="0"/>
    </xf>
    <xf numFmtId="0" fontId="13" fillId="0" borderId="0" xfId="0" applyFont="1" applyFill="1" applyBorder="1" applyProtection="1"/>
    <xf numFmtId="3" fontId="13" fillId="0" borderId="0" xfId="0" applyNumberFormat="1" applyFont="1" applyFill="1" applyBorder="1" applyProtection="1"/>
    <xf numFmtId="0" fontId="2" fillId="0" borderId="6" xfId="0" applyFont="1" applyBorder="1" applyProtection="1"/>
    <xf numFmtId="3" fontId="0" fillId="31" borderId="8" xfId="0" applyNumberFormat="1" applyFill="1" applyBorder="1" applyProtection="1">
      <protection locked="0"/>
    </xf>
    <xf numFmtId="0" fontId="3" fillId="0" borderId="0" xfId="0" applyFont="1" applyAlignment="1" applyProtection="1">
      <alignment horizontal="left" vertical="top"/>
    </xf>
    <xf numFmtId="0" fontId="76" fillId="28" borderId="5" xfId="17" applyFont="1" applyFill="1" applyBorder="1" applyAlignment="1">
      <alignment horizontal="center"/>
    </xf>
    <xf numFmtId="0" fontId="76" fillId="28" borderId="9" xfId="17" applyFont="1" applyFill="1" applyBorder="1" applyAlignment="1">
      <alignment horizontal="center"/>
    </xf>
    <xf numFmtId="3" fontId="76" fillId="28" borderId="0" xfId="17" applyNumberFormat="1" applyFont="1" applyFill="1"/>
    <xf numFmtId="3" fontId="76" fillId="28" borderId="57" xfId="17" applyNumberFormat="1" applyFont="1" applyFill="1" applyBorder="1"/>
    <xf numFmtId="0" fontId="77" fillId="28" borderId="0" xfId="17" applyFont="1" applyFill="1" applyBorder="1" applyAlignment="1">
      <alignment vertical="top"/>
    </xf>
    <xf numFmtId="0" fontId="77" fillId="28" borderId="0" xfId="17" applyFont="1" applyFill="1" applyBorder="1"/>
    <xf numFmtId="0" fontId="0" fillId="28" borderId="0" xfId="0" applyFill="1" applyBorder="1"/>
    <xf numFmtId="3" fontId="77" fillId="28" borderId="0" xfId="17" applyNumberFormat="1" applyFont="1" applyFill="1" applyBorder="1"/>
    <xf numFmtId="3" fontId="76" fillId="28" borderId="49" xfId="17" applyNumberFormat="1" applyFont="1" applyFill="1" applyBorder="1"/>
    <xf numFmtId="0" fontId="76" fillId="28" borderId="3" xfId="17" applyFont="1" applyFill="1" applyBorder="1"/>
    <xf numFmtId="0" fontId="76" fillId="28" borderId="4" xfId="17" applyFont="1" applyFill="1" applyBorder="1"/>
    <xf numFmtId="0" fontId="78" fillId="28" borderId="3" xfId="17" applyFont="1" applyFill="1" applyBorder="1" applyAlignment="1">
      <alignment horizontal="center"/>
    </xf>
    <xf numFmtId="0" fontId="76" fillId="28" borderId="4" xfId="17" applyFont="1" applyFill="1" applyBorder="1" applyAlignment="1">
      <alignment horizontal="center"/>
    </xf>
    <xf numFmtId="3" fontId="77" fillId="28" borderId="0" xfId="17" applyNumberFormat="1" applyFont="1" applyFill="1" applyBorder="1" applyAlignment="1">
      <alignment vertical="top"/>
    </xf>
    <xf numFmtId="0" fontId="76" fillId="28" borderId="6" xfId="17" applyFont="1" applyFill="1" applyBorder="1" applyAlignment="1">
      <alignment horizontal="center"/>
    </xf>
    <xf numFmtId="0" fontId="76" fillId="28" borderId="3" xfId="17" applyFont="1" applyFill="1" applyBorder="1" applyAlignment="1">
      <alignment horizontal="center"/>
    </xf>
    <xf numFmtId="168" fontId="76" fillId="28" borderId="28" xfId="17" applyNumberFormat="1" applyFont="1" applyFill="1" applyBorder="1" applyAlignment="1">
      <alignment horizontal="center"/>
    </xf>
    <xf numFmtId="173" fontId="76" fillId="28" borderId="49" xfId="17" applyNumberFormat="1" applyFont="1" applyFill="1" applyBorder="1"/>
    <xf numFmtId="173" fontId="76" fillId="28" borderId="26" xfId="17" applyNumberFormat="1" applyFont="1" applyFill="1" applyBorder="1"/>
    <xf numFmtId="173" fontId="76" fillId="28" borderId="57" xfId="17" applyNumberFormat="1" applyFont="1" applyFill="1" applyBorder="1"/>
    <xf numFmtId="168" fontId="76" fillId="28" borderId="27" xfId="17" applyNumberFormat="1" applyFont="1" applyFill="1" applyBorder="1" applyAlignment="1">
      <alignment horizontal="center"/>
    </xf>
    <xf numFmtId="168" fontId="76" fillId="28" borderId="29" xfId="17" applyNumberFormat="1" applyFont="1" applyFill="1" applyBorder="1" applyAlignment="1">
      <alignment horizontal="center"/>
    </xf>
    <xf numFmtId="172" fontId="76" fillId="28" borderId="26" xfId="17" applyNumberFormat="1" applyFont="1" applyFill="1" applyBorder="1"/>
    <xf numFmtId="172" fontId="76" fillId="28" borderId="57" xfId="17" applyNumberFormat="1" applyFont="1" applyFill="1" applyBorder="1"/>
    <xf numFmtId="0" fontId="0" fillId="28" borderId="5" xfId="0" applyFill="1" applyBorder="1"/>
    <xf numFmtId="0" fontId="77" fillId="28" borderId="4" xfId="17" applyFont="1" applyFill="1" applyBorder="1"/>
    <xf numFmtId="172" fontId="0" fillId="28" borderId="0" xfId="0" applyNumberFormat="1" applyFill="1"/>
    <xf numFmtId="0" fontId="77" fillId="28" borderId="0" xfId="17" applyFont="1" applyFill="1" applyBorder="1" applyAlignment="1"/>
    <xf numFmtId="0" fontId="77" fillId="28" borderId="3" xfId="17" applyFont="1" applyFill="1" applyBorder="1" applyAlignment="1"/>
    <xf numFmtId="0" fontId="0" fillId="28" borderId="3" xfId="0" applyFill="1" applyBorder="1"/>
    <xf numFmtId="0" fontId="0" fillId="28" borderId="7" xfId="0" applyFill="1" applyBorder="1"/>
    <xf numFmtId="3" fontId="76" fillId="28" borderId="2" xfId="17" applyNumberFormat="1" applyFont="1" applyFill="1" applyBorder="1"/>
    <xf numFmtId="3" fontId="76" fillId="28" borderId="0" xfId="17" applyNumberFormat="1" applyFont="1" applyFill="1" applyBorder="1"/>
    <xf numFmtId="3" fontId="7" fillId="28" borderId="6" xfId="0" applyNumberFormat="1" applyFont="1" applyFill="1" applyBorder="1"/>
    <xf numFmtId="3" fontId="65" fillId="28" borderId="5" xfId="0" applyNumberFormat="1" applyFont="1" applyFill="1" applyBorder="1" applyAlignment="1" applyProtection="1">
      <alignment vertical="center" wrapText="1"/>
    </xf>
    <xf numFmtId="0" fontId="2" fillId="28" borderId="26" xfId="0" applyFont="1" applyFill="1" applyBorder="1" applyAlignment="1" applyProtection="1">
      <alignment vertical="center" wrapText="1"/>
    </xf>
    <xf numFmtId="0" fontId="2" fillId="7" borderId="4" xfId="0" applyFont="1" applyFill="1" applyBorder="1" applyAlignment="1">
      <alignment horizontal="left"/>
    </xf>
    <xf numFmtId="0" fontId="0" fillId="7" borderId="5" xfId="0" applyFill="1" applyBorder="1" applyAlignment="1">
      <alignment horizontal="left"/>
    </xf>
    <xf numFmtId="0" fontId="0" fillId="0" borderId="29" xfId="0" applyBorder="1" applyAlignment="1">
      <alignment vertical="center"/>
    </xf>
    <xf numFmtId="0" fontId="2" fillId="3" borderId="4" xfId="0" applyFont="1" applyFill="1" applyBorder="1" applyAlignment="1">
      <alignment horizontal="left"/>
    </xf>
    <xf numFmtId="0" fontId="0" fillId="3" borderId="5" xfId="0" applyFill="1" applyBorder="1" applyAlignment="1">
      <alignment horizontal="left"/>
    </xf>
    <xf numFmtId="1" fontId="0" fillId="0" borderId="7" xfId="0" applyNumberFormat="1" applyBorder="1" applyAlignment="1"/>
    <xf numFmtId="1" fontId="0" fillId="0" borderId="27" xfId="0" applyNumberFormat="1" applyBorder="1" applyAlignment="1"/>
    <xf numFmtId="167" fontId="2" fillId="4" borderId="6" xfId="6" applyFont="1" applyFill="1" applyBorder="1" applyAlignment="1" applyProtection="1">
      <alignment horizontal="right" vertical="center" wrapText="1"/>
      <protection locked="0"/>
    </xf>
    <xf numFmtId="167" fontId="2" fillId="0" borderId="6" xfId="6" applyFont="1" applyFill="1" applyBorder="1" applyAlignment="1">
      <alignment horizontal="right" vertical="center" wrapText="1"/>
    </xf>
    <xf numFmtId="192" fontId="2" fillId="4" borderId="6" xfId="6" applyNumberFormat="1" applyFont="1" applyFill="1" applyBorder="1" applyAlignment="1" applyProtection="1">
      <alignment horizontal="right" vertical="center" wrapText="1"/>
      <protection locked="0"/>
    </xf>
    <xf numFmtId="188" fontId="2" fillId="4" borderId="6" xfId="6" applyNumberFormat="1" applyFont="1" applyFill="1" applyBorder="1" applyAlignment="1" applyProtection="1">
      <alignment horizontal="right" vertical="center" wrapText="1"/>
      <protection locked="0"/>
    </xf>
    <xf numFmtId="188" fontId="2" fillId="0" borderId="6" xfId="6" applyNumberFormat="1" applyFont="1" applyFill="1" applyBorder="1" applyAlignment="1">
      <alignment horizontal="right" vertical="center" wrapText="1"/>
    </xf>
    <xf numFmtId="0" fontId="0" fillId="0" borderId="28" xfId="0" applyFill="1" applyBorder="1" applyAlignment="1">
      <alignment horizontal="center" vertical="center" wrapText="1"/>
    </xf>
    <xf numFmtId="169" fontId="0" fillId="8" borderId="27" xfId="0" applyNumberFormat="1" applyFill="1" applyBorder="1" applyAlignment="1">
      <alignment vertical="center"/>
    </xf>
    <xf numFmtId="169" fontId="2" fillId="0" borderId="50" xfId="0" applyNumberFormat="1" applyFont="1" applyFill="1" applyBorder="1" applyAlignment="1">
      <alignment horizontal="center" vertical="center" wrapText="1"/>
    </xf>
    <xf numFmtId="0" fontId="0" fillId="8" borderId="6" xfId="0" applyFill="1" applyBorder="1" applyAlignment="1">
      <alignment vertical="center"/>
    </xf>
    <xf numFmtId="171" fontId="3" fillId="8" borderId="6" xfId="0" applyNumberFormat="1" applyFont="1" applyFill="1" applyBorder="1" applyAlignment="1">
      <alignment horizontal="right" vertical="center" wrapText="1"/>
    </xf>
    <xf numFmtId="171" fontId="3" fillId="8" borderId="27" xfId="0" applyNumberFormat="1" applyFont="1" applyFill="1" applyBorder="1" applyAlignment="1">
      <alignment horizontal="right" vertical="center" wrapText="1"/>
    </xf>
    <xf numFmtId="169" fontId="2" fillId="8" borderId="50" xfId="0" applyNumberFormat="1" applyFont="1" applyFill="1" applyBorder="1" applyAlignment="1">
      <alignment horizontal="right" vertical="center" wrapText="1"/>
    </xf>
    <xf numFmtId="170" fontId="2" fillId="0" borderId="50" xfId="0" applyNumberFormat="1" applyFont="1" applyFill="1" applyBorder="1" applyAlignment="1">
      <alignment horizontal="center" vertical="center" wrapText="1"/>
    </xf>
    <xf numFmtId="170" fontId="2" fillId="8" borderId="50" xfId="0" applyNumberFormat="1" applyFont="1" applyFill="1" applyBorder="1" applyAlignment="1">
      <alignment horizontal="right" vertical="center" wrapText="1"/>
    </xf>
    <xf numFmtId="170" fontId="2" fillId="0" borderId="26" xfId="0" applyNumberFormat="1" applyFont="1" applyFill="1" applyBorder="1" applyAlignment="1">
      <alignment horizontal="right" vertical="center" wrapText="1"/>
    </xf>
    <xf numFmtId="170" fontId="2" fillId="8" borderId="27" xfId="0" applyNumberFormat="1" applyFont="1" applyFill="1" applyBorder="1" applyAlignment="1">
      <alignment horizontal="right" vertical="center" wrapText="1"/>
    </xf>
    <xf numFmtId="170" fontId="2" fillId="0" borderId="8" xfId="0" applyNumberFormat="1" applyFont="1" applyFill="1" applyBorder="1" applyAlignment="1">
      <alignment horizontal="right" vertical="center" wrapText="1"/>
    </xf>
    <xf numFmtId="169" fontId="2" fillId="0" borderId="8" xfId="0" applyNumberFormat="1" applyFont="1" applyFill="1" applyBorder="1" applyAlignment="1">
      <alignment horizontal="right" vertical="center" wrapText="1"/>
    </xf>
    <xf numFmtId="170" fontId="2" fillId="8" borderId="50" xfId="11" applyNumberFormat="1" applyFont="1" applyFill="1" applyBorder="1" applyAlignment="1">
      <alignment horizontal="right" vertical="center" wrapText="1"/>
    </xf>
    <xf numFmtId="171" fontId="3" fillId="0" borderId="27" xfId="0" applyNumberFormat="1" applyFont="1" applyFill="1" applyBorder="1" applyAlignment="1">
      <alignment horizontal="right" vertical="center" wrapText="1"/>
    </xf>
    <xf numFmtId="0" fontId="70" fillId="40" borderId="1" xfId="0" applyFont="1" applyFill="1" applyBorder="1" applyProtection="1"/>
    <xf numFmtId="0" fontId="69" fillId="40" borderId="1" xfId="0" applyFont="1" applyFill="1" applyBorder="1" applyProtection="1"/>
    <xf numFmtId="0" fontId="69" fillId="40" borderId="1" xfId="0" applyFont="1" applyFill="1" applyBorder="1" applyAlignment="1" applyProtection="1">
      <alignment horizontal="center"/>
    </xf>
    <xf numFmtId="1" fontId="71" fillId="40" borderId="1" xfId="0" applyNumberFormat="1" applyFont="1" applyFill="1" applyBorder="1" applyProtection="1"/>
    <xf numFmtId="0" fontId="2" fillId="0" borderId="0" xfId="0" applyFont="1" applyAlignment="1" applyProtection="1">
      <alignment horizontal="center"/>
    </xf>
    <xf numFmtId="0" fontId="3" fillId="0" borderId="0" xfId="0" applyFont="1" applyFill="1" applyBorder="1" applyAlignment="1" applyProtection="1">
      <alignment horizontal="left" vertical="center"/>
    </xf>
    <xf numFmtId="1" fontId="3" fillId="0" borderId="0" xfId="0" applyNumberFormat="1" applyFont="1" applyProtection="1"/>
    <xf numFmtId="0" fontId="2" fillId="0" borderId="0" xfId="0" applyNumberFormat="1" applyFont="1" applyProtection="1"/>
    <xf numFmtId="0" fontId="2" fillId="0" borderId="0" xfId="0" applyFont="1" applyFill="1" applyBorder="1" applyAlignment="1" applyProtection="1">
      <alignment vertical="center"/>
    </xf>
    <xf numFmtId="0" fontId="3" fillId="2" borderId="6" xfId="0" applyFont="1" applyFill="1" applyBorder="1" applyProtection="1"/>
    <xf numFmtId="0" fontId="2" fillId="2" borderId="8" xfId="0" applyFont="1" applyFill="1" applyBorder="1" applyProtection="1"/>
    <xf numFmtId="0" fontId="2" fillId="2" borderId="7" xfId="0" applyFont="1" applyFill="1" applyBorder="1" applyProtection="1"/>
    <xf numFmtId="0" fontId="9" fillId="0" borderId="0" xfId="0" applyFont="1" applyFill="1" applyBorder="1" applyAlignment="1" applyProtection="1">
      <alignment vertical="center"/>
    </xf>
    <xf numFmtId="170" fontId="2" fillId="0" borderId="2" xfId="0" applyNumberFormat="1" applyFont="1" applyFill="1" applyBorder="1" applyAlignment="1" applyProtection="1">
      <alignment horizontal="center"/>
    </xf>
    <xf numFmtId="0" fontId="2" fillId="0" borderId="4" xfId="0" applyFont="1" applyFill="1" applyBorder="1" applyAlignment="1" applyProtection="1">
      <alignment horizontal="left"/>
    </xf>
    <xf numFmtId="0" fontId="2" fillId="0" borderId="5" xfId="0" applyFont="1" applyBorder="1" applyProtection="1"/>
    <xf numFmtId="168" fontId="2" fillId="0" borderId="9" xfId="0" applyNumberFormat="1" applyFont="1" applyBorder="1" applyAlignment="1" applyProtection="1">
      <alignment horizontal="center"/>
    </xf>
    <xf numFmtId="0" fontId="47" fillId="0" borderId="0" xfId="0" applyFont="1" applyFill="1" applyBorder="1" applyAlignment="1" applyProtection="1">
      <alignment vertical="center"/>
    </xf>
    <xf numFmtId="0" fontId="2" fillId="0" borderId="0" xfId="0" applyFont="1" applyBorder="1" applyAlignment="1" applyProtection="1">
      <alignment wrapText="1"/>
    </xf>
    <xf numFmtId="0" fontId="13" fillId="2" borderId="6" xfId="0" applyFont="1" applyFill="1" applyBorder="1" applyAlignment="1" applyProtection="1">
      <alignment horizontal="left" wrapText="1"/>
    </xf>
    <xf numFmtId="0" fontId="24" fillId="2" borderId="8" xfId="0" applyFont="1" applyFill="1" applyBorder="1" applyAlignment="1" applyProtection="1">
      <alignment wrapText="1"/>
    </xf>
    <xf numFmtId="0" fontId="24" fillId="2" borderId="8" xfId="0" applyFont="1" applyFill="1" applyBorder="1" applyAlignment="1" applyProtection="1">
      <alignment horizontal="center" wrapText="1"/>
    </xf>
    <xf numFmtId="0" fontId="24" fillId="2" borderId="7" xfId="0" applyFont="1" applyFill="1" applyBorder="1" applyAlignment="1" applyProtection="1">
      <alignment wrapText="1"/>
    </xf>
    <xf numFmtId="0" fontId="2" fillId="0" borderId="0" xfId="0" applyFont="1" applyAlignment="1" applyProtection="1">
      <alignment wrapText="1"/>
    </xf>
    <xf numFmtId="0" fontId="3" fillId="0" borderId="0" xfId="0" applyFont="1" applyBorder="1" applyAlignment="1" applyProtection="1">
      <alignment vertical="top" wrapText="1"/>
    </xf>
    <xf numFmtId="0" fontId="13" fillId="0" borderId="3" xfId="0" applyFont="1" applyBorder="1" applyAlignment="1" applyProtection="1">
      <alignment vertical="top" wrapText="1"/>
    </xf>
    <xf numFmtId="0" fontId="13" fillId="0" borderId="0" xfId="0" applyFont="1" applyBorder="1" applyAlignment="1" applyProtection="1">
      <alignment vertical="top" wrapText="1"/>
    </xf>
    <xf numFmtId="0" fontId="13" fillId="0" borderId="0"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3" fillId="0" borderId="0" xfId="0" applyFont="1" applyAlignment="1" applyProtection="1">
      <alignment vertical="top" wrapText="1"/>
    </xf>
    <xf numFmtId="0" fontId="24" fillId="0" borderId="4" xfId="0" applyFont="1" applyBorder="1" applyAlignment="1" applyProtection="1"/>
    <xf numFmtId="0" fontId="24" fillId="0" borderId="5" xfId="0" applyFont="1" applyBorder="1" applyProtection="1"/>
    <xf numFmtId="0" fontId="24" fillId="0" borderId="5" xfId="0" applyFont="1" applyBorder="1" applyAlignment="1" applyProtection="1">
      <alignment horizontal="center"/>
    </xf>
    <xf numFmtId="0" fontId="24" fillId="0" borderId="9" xfId="0" applyFont="1" applyBorder="1" applyAlignment="1" applyProtection="1">
      <alignment horizontal="center"/>
    </xf>
    <xf numFmtId="0" fontId="3" fillId="0" borderId="0" xfId="0" applyFont="1" applyBorder="1" applyAlignment="1" applyProtection="1">
      <alignment vertical="center"/>
    </xf>
    <xf numFmtId="0" fontId="13" fillId="0" borderId="53" xfId="0" applyFont="1" applyFill="1" applyBorder="1" applyAlignment="1" applyProtection="1">
      <alignment horizontal="left" vertical="center"/>
    </xf>
    <xf numFmtId="0" fontId="13" fillId="0" borderId="54" xfId="0" applyFont="1" applyBorder="1" applyAlignment="1" applyProtection="1">
      <alignment vertical="center"/>
    </xf>
    <xf numFmtId="171" fontId="13" fillId="0" borderId="54" xfId="0" applyNumberFormat="1" applyFont="1" applyBorder="1" applyAlignment="1" applyProtection="1">
      <alignment horizontal="right" vertical="center" indent="1"/>
    </xf>
    <xf numFmtId="171" fontId="13" fillId="0" borderId="55" xfId="0" applyNumberFormat="1" applyFont="1" applyFill="1" applyBorder="1" applyAlignment="1" applyProtection="1">
      <alignment horizontal="right" vertical="center" indent="1"/>
    </xf>
    <xf numFmtId="0" fontId="24" fillId="0" borderId="24" xfId="0" applyFont="1" applyBorder="1" applyAlignment="1" applyProtection="1"/>
    <xf numFmtId="0" fontId="24" fillId="0" borderId="15" xfId="0" applyFont="1" applyBorder="1" applyProtection="1"/>
    <xf numFmtId="171" fontId="24" fillId="0" borderId="15" xfId="0" applyNumberFormat="1" applyFont="1" applyFill="1" applyBorder="1" applyAlignment="1" applyProtection="1">
      <alignment horizontal="right" indent="1"/>
    </xf>
    <xf numFmtId="171" fontId="24" fillId="0" borderId="15" xfId="0" applyNumberFormat="1" applyFont="1" applyBorder="1" applyAlignment="1" applyProtection="1">
      <alignment horizontal="right" indent="1"/>
    </xf>
    <xf numFmtId="171" fontId="24" fillId="0" borderId="58" xfId="0" applyNumberFormat="1" applyFont="1" applyFill="1" applyBorder="1" applyAlignment="1" applyProtection="1">
      <alignment horizontal="right" indent="1"/>
    </xf>
    <xf numFmtId="0" fontId="24" fillId="0" borderId="61" xfId="0" applyFont="1" applyBorder="1" applyAlignment="1" applyProtection="1"/>
    <xf numFmtId="0" fontId="24" fillId="0" borderId="48" xfId="0" applyFont="1" applyBorder="1" applyProtection="1"/>
    <xf numFmtId="171" fontId="24" fillId="0" borderId="48" xfId="0" applyNumberFormat="1" applyFont="1" applyFill="1" applyBorder="1" applyAlignment="1" applyProtection="1">
      <alignment horizontal="right" indent="1"/>
    </xf>
    <xf numFmtId="171" fontId="24" fillId="0" borderId="48" xfId="0" applyNumberFormat="1" applyFont="1" applyBorder="1" applyAlignment="1" applyProtection="1">
      <alignment horizontal="right" indent="1"/>
    </xf>
    <xf numFmtId="171" fontId="24" fillId="0" borderId="59" xfId="0" applyNumberFormat="1" applyFont="1" applyFill="1" applyBorder="1" applyAlignment="1" applyProtection="1">
      <alignment horizontal="right" indent="1"/>
    </xf>
    <xf numFmtId="0" fontId="34" fillId="0" borderId="0" xfId="0" quotePrefix="1" applyNumberFormat="1" applyFont="1" applyProtection="1"/>
    <xf numFmtId="0" fontId="3" fillId="0" borderId="0" xfId="0" applyNumberFormat="1" applyFont="1" applyProtection="1"/>
    <xf numFmtId="0" fontId="3" fillId="2" borderId="6" xfId="0" applyFont="1" applyFill="1" applyBorder="1" applyAlignment="1" applyProtection="1"/>
    <xf numFmtId="0" fontId="2" fillId="2" borderId="7" xfId="0" applyFont="1" applyFill="1" applyBorder="1" applyAlignment="1" applyProtection="1">
      <alignment horizontal="center"/>
    </xf>
    <xf numFmtId="0" fontId="3" fillId="28" borderId="0" xfId="0" applyFont="1" applyFill="1" applyBorder="1" applyAlignment="1" applyProtection="1">
      <alignment horizontal="center"/>
    </xf>
    <xf numFmtId="0" fontId="3" fillId="2" borderId="6" xfId="0" applyNumberFormat="1" applyFont="1" applyFill="1" applyBorder="1" applyProtection="1"/>
    <xf numFmtId="1" fontId="3" fillId="2" borderId="8" xfId="0" applyNumberFormat="1" applyFont="1" applyFill="1" applyBorder="1" applyProtection="1"/>
    <xf numFmtId="0" fontId="2" fillId="2" borderId="8" xfId="0" applyFont="1" applyFill="1" applyBorder="1" applyAlignment="1" applyProtection="1">
      <alignment horizontal="center"/>
    </xf>
    <xf numFmtId="0" fontId="3" fillId="0" borderId="3" xfId="0" applyFont="1" applyFill="1" applyBorder="1" applyProtection="1"/>
    <xf numFmtId="0" fontId="2" fillId="0" borderId="2" xfId="0" applyFont="1" applyBorder="1" applyAlignment="1" applyProtection="1">
      <alignment horizontal="center"/>
    </xf>
    <xf numFmtId="0" fontId="2" fillId="0" borderId="2" xfId="0" applyFont="1" applyBorder="1" applyProtection="1"/>
    <xf numFmtId="0" fontId="3" fillId="0" borderId="3" xfId="0" applyNumberFormat="1" applyFont="1" applyBorder="1" applyProtection="1"/>
    <xf numFmtId="1" fontId="3" fillId="0" borderId="0" xfId="0" applyNumberFormat="1" applyFont="1" applyBorder="1" applyProtection="1"/>
    <xf numFmtId="0" fontId="2" fillId="0" borderId="2" xfId="0" applyFont="1" applyFill="1" applyBorder="1" applyAlignment="1" applyProtection="1">
      <alignment horizontal="center"/>
    </xf>
    <xf numFmtId="0" fontId="2" fillId="0" borderId="0" xfId="0" applyFont="1" applyFill="1" applyProtection="1"/>
    <xf numFmtId="0" fontId="2" fillId="0" borderId="3" xfId="0" applyFont="1" applyFill="1" applyBorder="1" applyProtection="1"/>
    <xf numFmtId="0" fontId="2" fillId="0" borderId="2" xfId="0" applyFont="1" applyFill="1" applyBorder="1" applyProtection="1"/>
    <xf numFmtId="0" fontId="3" fillId="0" borderId="3" xfId="0" applyNumberFormat="1" applyFont="1" applyFill="1" applyBorder="1" applyProtection="1"/>
    <xf numFmtId="1" fontId="3" fillId="0" borderId="0" xfId="0" applyNumberFormat="1" applyFont="1" applyFill="1" applyBorder="1" applyProtection="1"/>
    <xf numFmtId="0" fontId="0" fillId="0" borderId="2" xfId="0" applyBorder="1" applyAlignment="1" applyProtection="1">
      <alignment horizontal="center"/>
    </xf>
    <xf numFmtId="0" fontId="3" fillId="0" borderId="3" xfId="0" applyFont="1" applyFill="1" applyBorder="1" applyAlignment="1" applyProtection="1">
      <alignment vertical="center"/>
    </xf>
    <xf numFmtId="0" fontId="3" fillId="0" borderId="2" xfId="0" applyFont="1" applyBorder="1" applyAlignment="1" applyProtection="1">
      <alignment vertical="center"/>
    </xf>
    <xf numFmtId="0" fontId="0" fillId="0" borderId="3" xfId="0"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2" fontId="3" fillId="0" borderId="6" xfId="0" applyNumberFormat="1" applyFont="1" applyBorder="1" applyAlignment="1" applyProtection="1">
      <alignment vertical="center"/>
    </xf>
    <xf numFmtId="1" fontId="3" fillId="0" borderId="7" xfId="0" applyNumberFormat="1" applyFont="1" applyBorder="1" applyAlignment="1" applyProtection="1">
      <alignment vertical="center"/>
    </xf>
    <xf numFmtId="1" fontId="3" fillId="45" borderId="27"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center" vertical="top" wrapText="1"/>
    </xf>
    <xf numFmtId="1" fontId="3" fillId="45" borderId="6" xfId="0" applyNumberFormat="1" applyFont="1" applyFill="1" applyBorder="1" applyAlignment="1" applyProtection="1">
      <alignment horizontal="center" vertical="top" wrapText="1"/>
    </xf>
    <xf numFmtId="1" fontId="3" fillId="45" borderId="7" xfId="0" applyNumberFormat="1" applyFont="1" applyFill="1" applyBorder="1" applyAlignment="1" applyProtection="1">
      <alignment horizontal="center" vertical="top" wrapText="1"/>
    </xf>
    <xf numFmtId="2" fontId="3" fillId="45" borderId="8" xfId="0" applyNumberFormat="1" applyFont="1" applyFill="1" applyBorder="1" applyAlignment="1" applyProtection="1">
      <alignment horizontal="center" vertical="top" wrapText="1"/>
    </xf>
    <xf numFmtId="0" fontId="3" fillId="0" borderId="9" xfId="0" applyFont="1" applyFill="1" applyBorder="1" applyAlignment="1" applyProtection="1">
      <alignment horizontal="center"/>
    </xf>
    <xf numFmtId="0" fontId="0" fillId="0" borderId="4" xfId="0" applyBorder="1" applyAlignment="1" applyProtection="1">
      <alignment horizontal="center"/>
    </xf>
    <xf numFmtId="2" fontId="3" fillId="0" borderId="4" xfId="0" applyNumberFormat="1" applyFont="1" applyBorder="1" applyProtection="1"/>
    <xf numFmtId="1" fontId="3" fillId="0" borderId="9" xfId="0" applyNumberFormat="1" applyFont="1" applyBorder="1" applyProtection="1"/>
    <xf numFmtId="1" fontId="3" fillId="7" borderId="4" xfId="0" applyNumberFormat="1" applyFont="1" applyFill="1" applyBorder="1" applyAlignment="1" applyProtection="1">
      <alignment horizontal="center"/>
    </xf>
    <xf numFmtId="1" fontId="3" fillId="7" borderId="5" xfId="0" applyNumberFormat="1" applyFont="1" applyFill="1" applyBorder="1" applyAlignment="1" applyProtection="1">
      <alignment horizontal="center"/>
    </xf>
    <xf numFmtId="1" fontId="3" fillId="7" borderId="9" xfId="0" applyNumberFormat="1" applyFont="1" applyFill="1" applyBorder="1" applyAlignment="1" applyProtection="1">
      <alignment horizontal="center"/>
    </xf>
    <xf numFmtId="1" fontId="3" fillId="3" borderId="5" xfId="0" applyNumberFormat="1" applyFont="1" applyFill="1" applyBorder="1" applyAlignment="1" applyProtection="1">
      <alignment horizontal="center"/>
    </xf>
    <xf numFmtId="1" fontId="3" fillId="3" borderId="9" xfId="0" applyNumberFormat="1" applyFont="1" applyFill="1" applyBorder="1" applyAlignment="1" applyProtection="1">
      <alignment horizontal="center"/>
    </xf>
    <xf numFmtId="1" fontId="3" fillId="3" borderId="4" xfId="0" applyNumberFormat="1" applyFont="1" applyFill="1" applyBorder="1" applyAlignment="1" applyProtection="1">
      <alignment horizontal="center"/>
    </xf>
    <xf numFmtId="1" fontId="3" fillId="27" borderId="5" xfId="0" applyNumberFormat="1" applyFont="1" applyFill="1" applyBorder="1" applyAlignment="1" applyProtection="1">
      <alignment horizontal="center"/>
    </xf>
    <xf numFmtId="1" fontId="3" fillId="45" borderId="29" xfId="0" applyNumberFormat="1" applyFont="1" applyFill="1" applyBorder="1" applyAlignment="1" applyProtection="1">
      <alignment horizontal="center"/>
    </xf>
    <xf numFmtId="1" fontId="3" fillId="27" borderId="9" xfId="0" applyNumberFormat="1" applyFont="1" applyFill="1" applyBorder="1" applyAlignment="1" applyProtection="1">
      <alignment horizontal="center"/>
    </xf>
    <xf numFmtId="1" fontId="3" fillId="45" borderId="4" xfId="0" applyNumberFormat="1" applyFont="1" applyFill="1" applyBorder="1" applyAlignment="1" applyProtection="1">
      <alignment horizontal="center"/>
    </xf>
    <xf numFmtId="1" fontId="3" fillId="45" borderId="9" xfId="0" applyNumberFormat="1" applyFont="1" applyFill="1" applyBorder="1" applyAlignment="1" applyProtection="1">
      <alignment horizontal="center"/>
    </xf>
    <xf numFmtId="1" fontId="3" fillId="45" borderId="5" xfId="0" applyNumberFormat="1" applyFont="1" applyFill="1" applyBorder="1" applyAlignment="1" applyProtection="1">
      <alignment horizontal="center"/>
    </xf>
    <xf numFmtId="2" fontId="3" fillId="45" borderId="5" xfId="0" applyNumberFormat="1" applyFont="1" applyFill="1" applyBorder="1" applyAlignment="1" applyProtection="1">
      <alignment horizontal="center" vertical="top" wrapText="1"/>
    </xf>
    <xf numFmtId="0" fontId="2" fillId="7" borderId="3" xfId="0" applyFont="1" applyFill="1" applyBorder="1" applyAlignment="1" applyProtection="1">
      <alignment horizontal="left"/>
    </xf>
    <xf numFmtId="1" fontId="3" fillId="7" borderId="2" xfId="0" applyNumberFormat="1" applyFont="1" applyFill="1" applyBorder="1" applyAlignment="1" applyProtection="1">
      <alignment horizontal="center"/>
    </xf>
    <xf numFmtId="2" fontId="3" fillId="0" borderId="2" xfId="0" applyNumberFormat="1" applyFont="1" applyFill="1" applyBorder="1" applyAlignment="1" applyProtection="1">
      <alignment vertical="center"/>
    </xf>
    <xf numFmtId="2" fontId="10" fillId="25" borderId="28" xfId="11" quotePrefix="1" applyNumberFormat="1" applyFont="1" applyFill="1" applyBorder="1" applyAlignment="1" applyProtection="1">
      <alignment vertical="center"/>
    </xf>
    <xf numFmtId="179" fontId="2" fillId="2" borderId="28" xfId="0" applyNumberFormat="1" applyFont="1" applyFill="1" applyBorder="1" applyAlignment="1" applyProtection="1">
      <alignment vertical="center"/>
    </xf>
    <xf numFmtId="16" fontId="2" fillId="7" borderId="3" xfId="0" applyNumberFormat="1" applyFont="1" applyFill="1" applyBorder="1" applyAlignment="1" applyProtection="1">
      <alignment horizontal="left"/>
    </xf>
    <xf numFmtId="16" fontId="2" fillId="7" borderId="4" xfId="0" applyNumberFormat="1" applyFont="1" applyFill="1" applyBorder="1" applyAlignment="1" applyProtection="1">
      <alignment horizontal="left"/>
    </xf>
    <xf numFmtId="2" fontId="10" fillId="25" borderId="29" xfId="11" quotePrefix="1" applyNumberFormat="1" applyFont="1" applyFill="1" applyBorder="1" applyAlignment="1" applyProtection="1">
      <alignment vertical="center"/>
    </xf>
    <xf numFmtId="16" fontId="2" fillId="3" borderId="3" xfId="0" applyNumberFormat="1" applyFont="1" applyFill="1" applyBorder="1" applyAlignment="1" applyProtection="1">
      <alignment horizontal="left"/>
    </xf>
    <xf numFmtId="1" fontId="3" fillId="3" borderId="7" xfId="0" applyNumberFormat="1" applyFont="1" applyFill="1" applyBorder="1" applyAlignment="1" applyProtection="1">
      <alignment horizontal="center"/>
    </xf>
    <xf numFmtId="2" fontId="3" fillId="0" borderId="27" xfId="0" applyNumberFormat="1" applyFont="1" applyFill="1" applyBorder="1" applyAlignment="1" applyProtection="1">
      <alignment vertical="center"/>
    </xf>
    <xf numFmtId="1" fontId="3" fillId="3" borderId="2" xfId="0" applyNumberFormat="1" applyFont="1" applyFill="1" applyBorder="1" applyAlignment="1" applyProtection="1">
      <alignment horizontal="center"/>
    </xf>
    <xf numFmtId="16" fontId="2" fillId="3" borderId="4" xfId="0" applyNumberFormat="1" applyFont="1" applyFill="1" applyBorder="1" applyAlignment="1" applyProtection="1">
      <alignment horizontal="left"/>
    </xf>
    <xf numFmtId="2" fontId="3" fillId="0" borderId="9" xfId="0" applyNumberFormat="1" applyFont="1" applyFill="1" applyBorder="1" applyAlignment="1" applyProtection="1">
      <alignment vertical="center"/>
    </xf>
    <xf numFmtId="2" fontId="3" fillId="0" borderId="7" xfId="0" applyNumberFormat="1" applyFont="1" applyFill="1" applyBorder="1" applyAlignment="1" applyProtection="1">
      <alignment vertical="center"/>
    </xf>
    <xf numFmtId="2" fontId="10" fillId="25" borderId="27" xfId="11" quotePrefix="1" applyNumberFormat="1" applyFont="1" applyFill="1" applyBorder="1" applyAlignment="1" applyProtection="1">
      <alignment vertical="center"/>
    </xf>
    <xf numFmtId="0" fontId="2" fillId="7" borderId="4"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1" fontId="3" fillId="3" borderId="56" xfId="0" applyNumberFormat="1" applyFont="1" applyFill="1" applyBorder="1" applyAlignment="1" applyProtection="1">
      <alignment horizontal="center"/>
    </xf>
    <xf numFmtId="0" fontId="2" fillId="7" borderId="4" xfId="0" applyFont="1" applyFill="1" applyBorder="1" applyAlignment="1" applyProtection="1">
      <alignment vertical="center"/>
    </xf>
    <xf numFmtId="16" fontId="3" fillId="7" borderId="57" xfId="0" applyNumberFormat="1" applyFont="1" applyFill="1" applyBorder="1" applyAlignment="1" applyProtection="1">
      <alignment horizontal="left"/>
    </xf>
    <xf numFmtId="2" fontId="3" fillId="0" borderId="50" xfId="0" applyNumberFormat="1" applyFont="1" applyFill="1" applyBorder="1" applyAlignment="1" applyProtection="1">
      <alignment vertical="center"/>
    </xf>
    <xf numFmtId="10" fontId="10" fillId="25" borderId="50" xfId="11" quotePrefix="1" applyNumberFormat="1" applyFont="1" applyFill="1" applyBorder="1" applyAlignment="1" applyProtection="1">
      <alignment vertical="center"/>
    </xf>
    <xf numFmtId="179" fontId="2" fillId="2" borderId="50" xfId="0" applyNumberFormat="1" applyFont="1" applyFill="1" applyBorder="1" applyAlignment="1" applyProtection="1">
      <alignment vertical="center"/>
    </xf>
    <xf numFmtId="2" fontId="3" fillId="7" borderId="49" xfId="0" applyNumberFormat="1" applyFont="1" applyFill="1" applyBorder="1" applyAlignment="1" applyProtection="1"/>
    <xf numFmtId="1" fontId="3" fillId="45" borderId="57" xfId="0" applyNumberFormat="1" applyFont="1" applyFill="1" applyBorder="1" applyAlignment="1" applyProtection="1">
      <alignment horizontal="left"/>
    </xf>
    <xf numFmtId="1" fontId="3" fillId="27" borderId="2" xfId="0" applyNumberFormat="1" applyFont="1" applyFill="1" applyBorder="1" applyAlignment="1" applyProtection="1">
      <alignment horizontal="left"/>
    </xf>
    <xf numFmtId="0" fontId="2" fillId="7" borderId="49" xfId="0" applyFont="1" applyFill="1" applyBorder="1" applyAlignment="1" applyProtection="1">
      <alignment vertical="center"/>
    </xf>
    <xf numFmtId="2" fontId="10" fillId="25" borderId="50" xfId="11" quotePrefix="1" applyNumberFormat="1" applyFont="1" applyFill="1" applyBorder="1" applyAlignment="1" applyProtection="1">
      <alignment vertical="center"/>
    </xf>
    <xf numFmtId="2" fontId="3" fillId="45" borderId="49" xfId="0" applyNumberFormat="1" applyFont="1" applyFill="1" applyBorder="1" applyAlignment="1" applyProtection="1">
      <alignment horizontal="left" vertical="center" wrapText="1"/>
    </xf>
    <xf numFmtId="16" fontId="2" fillId="3" borderId="6" xfId="0" applyNumberFormat="1" applyFont="1" applyFill="1" applyBorder="1" applyAlignment="1" applyProtection="1">
      <alignment horizontal="left"/>
    </xf>
    <xf numFmtId="2" fontId="3" fillId="0" borderId="28" xfId="0" applyNumberFormat="1" applyFont="1" applyFill="1" applyBorder="1" applyAlignment="1" applyProtection="1">
      <alignment vertical="center"/>
    </xf>
    <xf numFmtId="1" fontId="3" fillId="27" borderId="5" xfId="0" applyNumberFormat="1" applyFont="1" applyFill="1" applyBorder="1" applyAlignment="1" applyProtection="1">
      <alignment horizontal="left" vertical="center"/>
    </xf>
    <xf numFmtId="179" fontId="2" fillId="2" borderId="29" xfId="0" applyNumberFormat="1" applyFont="1" applyFill="1" applyBorder="1" applyAlignment="1" applyProtection="1">
      <alignment vertical="center"/>
    </xf>
    <xf numFmtId="2" fontId="3" fillId="27" borderId="4" xfId="0" applyNumberFormat="1" applyFont="1" applyFill="1" applyBorder="1" applyAlignment="1" applyProtection="1"/>
    <xf numFmtId="1" fontId="3" fillId="27" borderId="9" xfId="0" applyNumberFormat="1" applyFont="1" applyFill="1" applyBorder="1" applyAlignment="1" applyProtection="1">
      <alignment horizontal="left"/>
    </xf>
    <xf numFmtId="0" fontId="2" fillId="7" borderId="6" xfId="0" applyFont="1" applyFill="1" applyBorder="1" applyAlignment="1" applyProtection="1">
      <alignment horizontal="left"/>
    </xf>
    <xf numFmtId="0" fontId="2" fillId="7" borderId="8" xfId="0" applyFont="1" applyFill="1" applyBorder="1" applyAlignment="1" applyProtection="1">
      <alignment horizontal="left"/>
    </xf>
    <xf numFmtId="179" fontId="2" fillId="2" borderId="27" xfId="0" applyNumberFormat="1" applyFont="1" applyFill="1" applyBorder="1" applyAlignment="1" applyProtection="1">
      <alignment vertical="center"/>
    </xf>
    <xf numFmtId="2" fontId="3" fillId="45" borderId="3" xfId="0" applyNumberFormat="1" applyFont="1" applyFill="1" applyBorder="1" applyAlignment="1" applyProtection="1"/>
    <xf numFmtId="1" fontId="3" fillId="45" borderId="2" xfId="0" applyNumberFormat="1" applyFont="1" applyFill="1" applyBorder="1" applyAlignment="1" applyProtection="1">
      <alignment horizontal="left"/>
    </xf>
    <xf numFmtId="0" fontId="2" fillId="7" borderId="5" xfId="0" applyFont="1" applyFill="1" applyBorder="1" applyAlignment="1" applyProtection="1">
      <alignment horizontal="left"/>
    </xf>
    <xf numFmtId="16" fontId="3" fillId="3" borderId="8" xfId="0" applyNumberFormat="1" applyFont="1" applyFill="1" applyBorder="1" applyAlignment="1" applyProtection="1">
      <alignment horizontal="left"/>
    </xf>
    <xf numFmtId="2" fontId="3" fillId="27" borderId="49" xfId="0" applyNumberFormat="1" applyFont="1" applyFill="1" applyBorder="1" applyAlignment="1" applyProtection="1">
      <alignment horizontal="left" vertical="center" wrapText="1"/>
    </xf>
    <xf numFmtId="1" fontId="3" fillId="27" borderId="57" xfId="0" applyNumberFormat="1" applyFont="1" applyFill="1" applyBorder="1" applyAlignment="1" applyProtection="1">
      <alignment horizontal="left"/>
    </xf>
    <xf numFmtId="0" fontId="3" fillId="7" borderId="8" xfId="0" applyFont="1" applyFill="1" applyBorder="1" applyAlignment="1" applyProtection="1">
      <alignment horizontal="left"/>
    </xf>
    <xf numFmtId="10" fontId="10" fillId="25" borderId="28" xfId="11" quotePrefix="1" applyNumberFormat="1" applyFont="1" applyFill="1" applyBorder="1" applyAlignment="1" applyProtection="1">
      <alignment vertical="center"/>
    </xf>
    <xf numFmtId="0" fontId="3" fillId="7" borderId="0" xfId="0" applyFont="1" applyFill="1" applyBorder="1" applyAlignment="1" applyProtection="1">
      <alignment horizontal="left"/>
    </xf>
    <xf numFmtId="0" fontId="3" fillId="7" borderId="5" xfId="0" applyFont="1" applyFill="1" applyBorder="1" applyAlignment="1" applyProtection="1">
      <alignment horizontal="left"/>
    </xf>
    <xf numFmtId="16" fontId="3" fillId="3" borderId="0" xfId="0" applyNumberFormat="1" applyFont="1" applyFill="1" applyBorder="1" applyAlignment="1" applyProtection="1">
      <alignment horizontal="left"/>
    </xf>
    <xf numFmtId="2" fontId="3" fillId="27" borderId="49" xfId="0" applyNumberFormat="1" applyFont="1" applyFill="1" applyBorder="1" applyAlignment="1" applyProtection="1">
      <alignment wrapText="1"/>
    </xf>
    <xf numFmtId="16" fontId="2" fillId="3" borderId="49" xfId="0" applyNumberFormat="1" applyFont="1" applyFill="1" applyBorder="1" applyAlignment="1" applyProtection="1">
      <alignment horizontal="left"/>
    </xf>
    <xf numFmtId="16" fontId="3" fillId="3" borderId="26" xfId="0" applyNumberFormat="1" applyFont="1" applyFill="1" applyBorder="1" applyAlignment="1" applyProtection="1">
      <alignment horizontal="left"/>
    </xf>
    <xf numFmtId="2" fontId="3" fillId="27" borderId="49" xfId="0" applyNumberFormat="1" applyFont="1" applyFill="1" applyBorder="1" applyAlignment="1" applyProtection="1">
      <alignment vertical="center"/>
    </xf>
    <xf numFmtId="10" fontId="10" fillId="25" borderId="27" xfId="11" quotePrefix="1" applyNumberFormat="1" applyFont="1" applyFill="1" applyBorder="1" applyAlignment="1" applyProtection="1">
      <alignment vertical="center"/>
    </xf>
    <xf numFmtId="0" fontId="0" fillId="6" borderId="0" xfId="0" applyFill="1" applyProtection="1"/>
    <xf numFmtId="0" fontId="2" fillId="6" borderId="0" xfId="0" applyFont="1" applyFill="1" applyProtection="1"/>
    <xf numFmtId="1" fontId="3" fillId="37" borderId="2" xfId="0" applyNumberFormat="1" applyFont="1" applyFill="1" applyBorder="1" applyAlignment="1" applyProtection="1">
      <alignment horizontal="left"/>
    </xf>
    <xf numFmtId="1" fontId="3" fillId="37" borderId="9" xfId="0" applyNumberFormat="1" applyFont="1" applyFill="1" applyBorder="1" applyAlignment="1" applyProtection="1">
      <alignment horizontal="left"/>
    </xf>
    <xf numFmtId="0" fontId="0" fillId="6" borderId="26" xfId="0" applyFill="1" applyBorder="1" applyProtection="1"/>
    <xf numFmtId="0" fontId="24" fillId="0" borderId="0" xfId="0" applyFont="1" applyAlignment="1" applyProtection="1"/>
    <xf numFmtId="0" fontId="0" fillId="0" borderId="0" xfId="0" applyAlignment="1" applyProtection="1">
      <alignment horizontal="right"/>
    </xf>
    <xf numFmtId="4" fontId="2" fillId="0" borderId="0" xfId="0" applyNumberFormat="1" applyFont="1" applyFill="1" applyBorder="1" applyAlignment="1" applyProtection="1">
      <alignment horizontal="center" vertical="center"/>
    </xf>
    <xf numFmtId="0" fontId="0" fillId="0" borderId="90" xfId="0" applyBorder="1" applyProtection="1"/>
    <xf numFmtId="0" fontId="0" fillId="0" borderId="60" xfId="0" applyBorder="1" applyAlignment="1" applyProtection="1">
      <alignment horizontal="center"/>
    </xf>
    <xf numFmtId="0" fontId="0" fillId="0" borderId="60" xfId="0" applyBorder="1" applyProtection="1"/>
    <xf numFmtId="0" fontId="0" fillId="0" borderId="91" xfId="0" applyBorder="1" applyProtection="1"/>
    <xf numFmtId="0" fontId="0" fillId="0" borderId="13" xfId="0" applyBorder="1" applyProtection="1"/>
    <xf numFmtId="0" fontId="0" fillId="0" borderId="0" xfId="0" applyBorder="1" applyAlignment="1" applyProtection="1">
      <alignment horizontal="center"/>
    </xf>
    <xf numFmtId="0" fontId="3" fillId="0" borderId="0" xfId="0" applyFont="1" applyBorder="1" applyAlignment="1" applyProtection="1">
      <alignment horizontal="right"/>
    </xf>
    <xf numFmtId="4" fontId="3" fillId="2" borderId="0" xfId="0" applyNumberFormat="1" applyFont="1" applyFill="1" applyBorder="1" applyAlignment="1" applyProtection="1">
      <alignment horizontal="center"/>
    </xf>
    <xf numFmtId="0" fontId="0" fillId="0" borderId="10" xfId="0" applyBorder="1" applyProtection="1"/>
    <xf numFmtId="4" fontId="2" fillId="0" borderId="0" xfId="0" applyNumberFormat="1" applyFont="1" applyBorder="1" applyAlignment="1" applyProtection="1">
      <alignment horizontal="center"/>
    </xf>
    <xf numFmtId="0" fontId="0" fillId="0" borderId="11" xfId="0" applyBorder="1" applyProtection="1"/>
    <xf numFmtId="0" fontId="0" fillId="0" borderId="1" xfId="0" applyBorder="1" applyAlignment="1" applyProtection="1">
      <alignment horizontal="center"/>
    </xf>
    <xf numFmtId="0" fontId="0" fillId="0" borderId="1" xfId="0" applyBorder="1" applyProtection="1"/>
    <xf numFmtId="0" fontId="0" fillId="0" borderId="12" xfId="0" applyBorder="1" applyProtection="1"/>
    <xf numFmtId="2" fontId="0" fillId="0" borderId="0" xfId="0" applyNumberFormat="1" applyProtection="1"/>
    <xf numFmtId="2" fontId="3" fillId="37" borderId="34" xfId="0" applyNumberFormat="1" applyFont="1" applyFill="1" applyBorder="1" applyAlignment="1" applyProtection="1">
      <alignment horizontal="center" vertical="top" wrapText="1"/>
    </xf>
    <xf numFmtId="2" fontId="3" fillId="37" borderId="36" xfId="0" applyNumberFormat="1" applyFont="1" applyFill="1" applyBorder="1" applyAlignment="1" applyProtection="1">
      <alignment horizontal="center" vertical="top" wrapText="1"/>
    </xf>
    <xf numFmtId="0" fontId="0" fillId="0" borderId="28" xfId="0" applyBorder="1" applyProtection="1"/>
    <xf numFmtId="0" fontId="0" fillId="0" borderId="5" xfId="0" quotePrefix="1" applyNumberFormat="1" applyFill="1" applyBorder="1"/>
    <xf numFmtId="0" fontId="0" fillId="0" borderId="50" xfId="0" applyFill="1" applyBorder="1" applyAlignment="1">
      <alignment vertical="center"/>
    </xf>
    <xf numFmtId="0" fontId="0" fillId="0" borderId="57" xfId="0" quotePrefix="1" applyNumberFormat="1" applyFill="1" applyBorder="1"/>
    <xf numFmtId="0" fontId="2" fillId="8" borderId="29" xfId="0" applyFont="1" applyFill="1" applyBorder="1" applyAlignment="1">
      <alignment horizontal="right" vertical="center" wrapText="1"/>
    </xf>
    <xf numFmtId="0" fontId="0" fillId="0" borderId="0" xfId="0" applyNumberFormat="1" applyProtection="1"/>
    <xf numFmtId="193" fontId="3" fillId="0" borderId="0" xfId="0" applyNumberFormat="1" applyFont="1" applyAlignment="1" applyProtection="1">
      <alignment vertical="center"/>
    </xf>
    <xf numFmtId="193" fontId="2" fillId="0" borderId="0" xfId="0" applyNumberFormat="1" applyFont="1" applyProtection="1"/>
    <xf numFmtId="0" fontId="7" fillId="28" borderId="8" xfId="0" applyFont="1" applyFill="1" applyBorder="1"/>
    <xf numFmtId="0" fontId="7" fillId="28" borderId="7" xfId="0" applyFont="1" applyFill="1" applyBorder="1"/>
    <xf numFmtId="0" fontId="7" fillId="28" borderId="5" xfId="0" applyFont="1" applyFill="1" applyBorder="1"/>
    <xf numFmtId="0" fontId="7" fillId="28" borderId="9" xfId="0" applyFont="1" applyFill="1" applyBorder="1"/>
    <xf numFmtId="0" fontId="7" fillId="28" borderId="49" xfId="0" applyFont="1" applyFill="1" applyBorder="1"/>
    <xf numFmtId="0" fontId="0" fillId="28" borderId="6" xfId="0" applyFill="1" applyBorder="1"/>
    <xf numFmtId="0" fontId="0" fillId="28" borderId="8" xfId="0" applyFill="1" applyBorder="1"/>
    <xf numFmtId="0" fontId="7" fillId="28" borderId="6" xfId="0" applyFont="1" applyFill="1" applyBorder="1"/>
    <xf numFmtId="0" fontId="7" fillId="28" borderId="4" xfId="0" applyFont="1" applyFill="1" applyBorder="1"/>
    <xf numFmtId="3" fontId="7" fillId="4" borderId="6" xfId="0" applyNumberFormat="1" applyFont="1" applyFill="1" applyBorder="1" applyProtection="1">
      <protection locked="0"/>
    </xf>
    <xf numFmtId="3" fontId="7" fillId="4" borderId="4" xfId="0" applyNumberFormat="1" applyFont="1" applyFill="1" applyBorder="1" applyProtection="1">
      <protection locked="0"/>
    </xf>
    <xf numFmtId="0" fontId="77" fillId="28" borderId="5" xfId="17" applyFont="1" applyFill="1" applyBorder="1"/>
    <xf numFmtId="0" fontId="77" fillId="28" borderId="0" xfId="17" applyFont="1" applyFill="1" applyAlignment="1">
      <alignment horizontal="left"/>
    </xf>
    <xf numFmtId="0" fontId="79" fillId="28" borderId="5" xfId="17" applyFont="1" applyFill="1" applyBorder="1" applyAlignment="1">
      <alignment horizontal="left"/>
    </xf>
    <xf numFmtId="0" fontId="7" fillId="28" borderId="3" xfId="0" applyFont="1" applyFill="1" applyBorder="1"/>
    <xf numFmtId="0" fontId="7" fillId="28" borderId="0" xfId="0" applyFont="1" applyFill="1" applyBorder="1"/>
    <xf numFmtId="0" fontId="7" fillId="28" borderId="2" xfId="0" applyFont="1" applyFill="1" applyBorder="1"/>
    <xf numFmtId="3" fontId="7" fillId="4" borderId="3" xfId="0" applyNumberFormat="1" applyFont="1" applyFill="1" applyBorder="1" applyProtection="1">
      <protection locked="0"/>
    </xf>
    <xf numFmtId="0" fontId="0" fillId="28" borderId="0" xfId="0" applyFill="1" applyAlignment="1">
      <alignment horizontal="right"/>
    </xf>
    <xf numFmtId="0" fontId="7" fillId="28" borderId="26" xfId="0" applyFont="1" applyFill="1" applyBorder="1"/>
    <xf numFmtId="0" fontId="7" fillId="28" borderId="57" xfId="0" applyFont="1" applyFill="1" applyBorder="1"/>
    <xf numFmtId="2" fontId="77" fillId="28" borderId="2" xfId="17" applyNumberFormat="1" applyFont="1" applyFill="1" applyBorder="1"/>
    <xf numFmtId="168" fontId="77" fillId="28" borderId="9" xfId="17" applyNumberFormat="1" applyFont="1" applyFill="1" applyBorder="1" applyAlignment="1"/>
    <xf numFmtId="0" fontId="20" fillId="28" borderId="5" xfId="0" applyFont="1" applyFill="1" applyBorder="1"/>
    <xf numFmtId="0" fontId="7" fillId="28" borderId="0" xfId="0" applyFont="1" applyFill="1" applyAlignment="1">
      <alignment horizontal="right"/>
    </xf>
    <xf numFmtId="3" fontId="0" fillId="28" borderId="0" xfId="0" applyNumberFormat="1" applyFill="1"/>
    <xf numFmtId="0" fontId="76" fillId="28" borderId="0" xfId="17" applyFont="1" applyFill="1" applyAlignment="1">
      <alignment horizontal="center"/>
    </xf>
    <xf numFmtId="0" fontId="76" fillId="28" borderId="0" xfId="17" applyFont="1" applyFill="1" applyAlignment="1">
      <alignment horizontal="left" vertical="top" wrapText="1"/>
    </xf>
    <xf numFmtId="3" fontId="7" fillId="28" borderId="49" xfId="0" applyNumberFormat="1" applyFont="1" applyFill="1" applyBorder="1"/>
    <xf numFmtId="3" fontId="7" fillId="28" borderId="26" xfId="0" applyNumberFormat="1" applyFont="1" applyFill="1" applyBorder="1"/>
    <xf numFmtId="3" fontId="7" fillId="28" borderId="57" xfId="0" applyNumberFormat="1" applyFont="1" applyFill="1" applyBorder="1"/>
    <xf numFmtId="4" fontId="7" fillId="28" borderId="6" xfId="0" applyNumberFormat="1" applyFont="1" applyFill="1" applyBorder="1"/>
    <xf numFmtId="4" fontId="7" fillId="28" borderId="8" xfId="0" applyNumberFormat="1" applyFont="1" applyFill="1" applyBorder="1"/>
    <xf numFmtId="4" fontId="7" fillId="28" borderId="7" xfId="0" applyNumberFormat="1" applyFont="1" applyFill="1" applyBorder="1"/>
    <xf numFmtId="4" fontId="7" fillId="28" borderId="4" xfId="0" applyNumberFormat="1" applyFont="1" applyFill="1" applyBorder="1"/>
    <xf numFmtId="4" fontId="7" fillId="28" borderId="5" xfId="0" applyNumberFormat="1" applyFont="1" applyFill="1" applyBorder="1"/>
    <xf numFmtId="4" fontId="7" fillId="28" borderId="9" xfId="0" applyNumberFormat="1" applyFont="1" applyFill="1" applyBorder="1"/>
    <xf numFmtId="4" fontId="7" fillId="28" borderId="0" xfId="0" applyNumberFormat="1" applyFont="1" applyFill="1" applyBorder="1"/>
    <xf numFmtId="4" fontId="7" fillId="28" borderId="2" xfId="0" applyNumberFormat="1" applyFont="1" applyFill="1" applyBorder="1"/>
    <xf numFmtId="3" fontId="7" fillId="28" borderId="8" xfId="0" applyNumberFormat="1" applyFont="1" applyFill="1" applyBorder="1"/>
    <xf numFmtId="0" fontId="7" fillId="28" borderId="0" xfId="0" applyFont="1" applyFill="1" applyBorder="1" applyAlignment="1">
      <alignment horizontal="left"/>
    </xf>
    <xf numFmtId="3" fontId="7" fillId="28" borderId="7" xfId="0" applyNumberFormat="1" applyFont="1" applyFill="1" applyBorder="1"/>
    <xf numFmtId="3" fontId="7" fillId="28" borderId="5" xfId="0" applyNumberFormat="1" applyFont="1" applyFill="1" applyBorder="1"/>
    <xf numFmtId="3" fontId="7" fillId="28" borderId="9" xfId="0" applyNumberFormat="1" applyFont="1" applyFill="1" applyBorder="1"/>
    <xf numFmtId="3" fontId="7" fillId="28" borderId="4" xfId="0" applyNumberFormat="1" applyFont="1" applyFill="1" applyBorder="1"/>
    <xf numFmtId="4" fontId="7" fillId="28" borderId="3" xfId="0" applyNumberFormat="1" applyFont="1" applyFill="1" applyBorder="1"/>
    <xf numFmtId="0" fontId="0" fillId="28" borderId="27" xfId="0" applyFill="1" applyBorder="1"/>
    <xf numFmtId="3" fontId="7" fillId="28" borderId="28" xfId="0" applyNumberFormat="1" applyFont="1" applyFill="1" applyBorder="1"/>
    <xf numFmtId="3" fontId="7" fillId="28" borderId="29" xfId="0" applyNumberFormat="1" applyFont="1" applyFill="1" applyBorder="1"/>
    <xf numFmtId="0" fontId="0" fillId="28" borderId="50" xfId="0" applyFill="1" applyBorder="1"/>
    <xf numFmtId="4" fontId="7" fillId="28" borderId="27" xfId="0" applyNumberFormat="1" applyFont="1" applyFill="1" applyBorder="1"/>
    <xf numFmtId="4" fontId="7" fillId="28" borderId="28" xfId="0" applyNumberFormat="1" applyFont="1" applyFill="1" applyBorder="1"/>
    <xf numFmtId="4" fontId="7" fillId="28" borderId="29" xfId="0" applyNumberFormat="1" applyFont="1" applyFill="1" applyBorder="1"/>
    <xf numFmtId="0" fontId="84" fillId="28" borderId="0" xfId="17" applyFont="1" applyFill="1" applyBorder="1"/>
    <xf numFmtId="0" fontId="87" fillId="28" borderId="0" xfId="0" applyFont="1" applyFill="1"/>
    <xf numFmtId="0" fontId="0" fillId="28" borderId="0" xfId="0" applyFill="1" applyAlignment="1">
      <alignment horizontal="left"/>
    </xf>
    <xf numFmtId="168" fontId="76" fillId="28" borderId="6" xfId="17" applyNumberFormat="1" applyFont="1" applyFill="1" applyBorder="1"/>
    <xf numFmtId="168" fontId="76" fillId="28" borderId="0" xfId="17" applyNumberFormat="1" applyFont="1" applyFill="1" applyBorder="1"/>
    <xf numFmtId="168" fontId="76" fillId="28" borderId="8" xfId="17" applyNumberFormat="1" applyFont="1" applyFill="1" applyBorder="1"/>
    <xf numFmtId="168" fontId="76" fillId="28" borderId="7" xfId="17" applyNumberFormat="1" applyFont="1" applyFill="1" applyBorder="1"/>
    <xf numFmtId="168" fontId="76" fillId="28" borderId="3" xfId="17" applyNumberFormat="1" applyFont="1" applyFill="1" applyBorder="1"/>
    <xf numFmtId="168" fontId="76" fillId="28" borderId="2" xfId="17" applyNumberFormat="1" applyFont="1" applyFill="1" applyBorder="1"/>
    <xf numFmtId="168" fontId="76" fillId="28" borderId="4" xfId="17" applyNumberFormat="1" applyFont="1" applyFill="1" applyBorder="1"/>
    <xf numFmtId="168" fontId="76" fillId="28" borderId="5" xfId="17" applyNumberFormat="1" applyFont="1" applyFill="1" applyBorder="1"/>
    <xf numFmtId="168" fontId="76" fillId="28" borderId="9" xfId="17" applyNumberFormat="1" applyFont="1" applyFill="1" applyBorder="1"/>
    <xf numFmtId="3" fontId="7" fillId="28" borderId="2" xfId="0" applyNumberFormat="1" applyFont="1" applyFill="1" applyBorder="1"/>
    <xf numFmtId="194" fontId="0" fillId="0" borderId="0" xfId="0" applyNumberFormat="1" applyProtection="1"/>
    <xf numFmtId="195" fontId="2" fillId="0" borderId="0" xfId="0" applyNumberFormat="1" applyFont="1" applyProtection="1"/>
    <xf numFmtId="0" fontId="0" fillId="7" borderId="7" xfId="0" applyFill="1" applyBorder="1" applyAlignment="1">
      <alignment horizontal="left"/>
    </xf>
    <xf numFmtId="0" fontId="80" fillId="46" borderId="0" xfId="0" applyFont="1" applyFill="1" applyBorder="1"/>
    <xf numFmtId="172" fontId="76" fillId="28" borderId="0" xfId="17" applyNumberFormat="1" applyFont="1" applyFill="1"/>
    <xf numFmtId="171" fontId="76" fillId="28" borderId="6" xfId="17" applyNumberFormat="1" applyFont="1" applyFill="1" applyBorder="1"/>
    <xf numFmtId="171" fontId="76" fillId="28" borderId="8" xfId="17" applyNumberFormat="1" applyFont="1" applyFill="1" applyBorder="1"/>
    <xf numFmtId="171" fontId="76" fillId="28" borderId="7" xfId="17" applyNumberFormat="1" applyFont="1" applyFill="1" applyBorder="1"/>
    <xf numFmtId="171" fontId="76" fillId="28" borderId="3" xfId="17" applyNumberFormat="1" applyFont="1" applyFill="1" applyBorder="1"/>
    <xf numFmtId="171" fontId="76" fillId="28" borderId="0" xfId="17" applyNumberFormat="1" applyFont="1" applyFill="1" applyBorder="1"/>
    <xf numFmtId="171" fontId="76" fillId="28" borderId="2" xfId="17" applyNumberFormat="1" applyFont="1" applyFill="1" applyBorder="1"/>
    <xf numFmtId="171" fontId="76" fillId="28" borderId="4" xfId="17" applyNumberFormat="1" applyFont="1" applyFill="1" applyBorder="1"/>
    <xf numFmtId="171" fontId="76" fillId="28" borderId="5" xfId="17" applyNumberFormat="1" applyFont="1" applyFill="1" applyBorder="1"/>
    <xf numFmtId="171" fontId="76" fillId="28" borderId="9" xfId="17" applyNumberFormat="1" applyFont="1" applyFill="1" applyBorder="1"/>
    <xf numFmtId="171" fontId="76" fillId="28" borderId="0" xfId="17" applyNumberFormat="1" applyFont="1" applyFill="1"/>
    <xf numFmtId="169" fontId="76" fillId="28" borderId="0" xfId="17" applyNumberFormat="1" applyFont="1" applyFill="1"/>
    <xf numFmtId="0" fontId="7" fillId="28" borderId="6" xfId="0" applyNumberFormat="1" applyFont="1" applyFill="1" applyBorder="1"/>
    <xf numFmtId="0" fontId="7" fillId="28" borderId="8" xfId="0" applyNumberFormat="1" applyFont="1" applyFill="1" applyBorder="1"/>
    <xf numFmtId="0" fontId="7" fillId="28" borderId="7" xfId="0" applyNumberFormat="1" applyFont="1" applyFill="1" applyBorder="1"/>
    <xf numFmtId="0" fontId="7" fillId="28" borderId="3" xfId="0" applyNumberFormat="1" applyFont="1" applyFill="1" applyBorder="1"/>
    <xf numFmtId="0" fontId="7" fillId="28" borderId="0" xfId="0" applyNumberFormat="1" applyFont="1" applyFill="1" applyBorder="1"/>
    <xf numFmtId="0" fontId="7" fillId="28" borderId="2" xfId="0" applyNumberFormat="1" applyFont="1" applyFill="1" applyBorder="1"/>
    <xf numFmtId="0" fontId="7" fillId="28" borderId="4" xfId="0" applyNumberFormat="1" applyFont="1" applyFill="1" applyBorder="1"/>
    <xf numFmtId="0" fontId="7" fillId="28" borderId="5" xfId="0" applyNumberFormat="1" applyFont="1" applyFill="1" applyBorder="1"/>
    <xf numFmtId="0" fontId="7" fillId="28" borderId="9" xfId="0" applyNumberFormat="1" applyFont="1" applyFill="1" applyBorder="1"/>
    <xf numFmtId="0" fontId="2" fillId="0" borderId="0" xfId="0" applyFont="1" applyFill="1" applyBorder="1" applyAlignment="1">
      <alignment vertical="top" wrapText="1"/>
    </xf>
    <xf numFmtId="0" fontId="76" fillId="28" borderId="0" xfId="17" applyFont="1" applyFill="1" applyAlignment="1">
      <alignment horizontal="center"/>
    </xf>
    <xf numFmtId="0" fontId="7" fillId="0" borderId="0" xfId="0" applyFont="1" applyFill="1" applyBorder="1"/>
    <xf numFmtId="0" fontId="76" fillId="0" borderId="0" xfId="17" applyFont="1" applyFill="1"/>
    <xf numFmtId="168" fontId="76" fillId="28" borderId="0" xfId="17" applyNumberFormat="1" applyFont="1" applyFill="1" applyBorder="1" applyAlignment="1">
      <alignment horizontal="center"/>
    </xf>
    <xf numFmtId="3" fontId="76" fillId="0" borderId="0" xfId="17" applyNumberFormat="1" applyFont="1" applyFill="1" applyBorder="1"/>
    <xf numFmtId="0" fontId="7" fillId="0" borderId="0" xfId="0" applyFont="1" applyFill="1"/>
    <xf numFmtId="0" fontId="76" fillId="28" borderId="6" xfId="17" applyFont="1" applyFill="1" applyBorder="1"/>
    <xf numFmtId="0" fontId="76" fillId="28" borderId="7" xfId="17" applyFont="1" applyFill="1" applyBorder="1"/>
    <xf numFmtId="0" fontId="76" fillId="28" borderId="9" xfId="17" applyFont="1" applyFill="1" applyBorder="1"/>
    <xf numFmtId="0" fontId="76" fillId="28" borderId="2" xfId="17" applyFont="1" applyFill="1" applyBorder="1"/>
    <xf numFmtId="0" fontId="7" fillId="28" borderId="0" xfId="0" applyFont="1" applyFill="1"/>
    <xf numFmtId="0" fontId="79" fillId="28" borderId="0" xfId="17" applyFont="1" applyFill="1" applyBorder="1" applyAlignment="1">
      <alignment horizontal="left"/>
    </xf>
    <xf numFmtId="0" fontId="76" fillId="28" borderId="5" xfId="17" applyFont="1" applyFill="1" applyBorder="1"/>
    <xf numFmtId="171" fontId="3" fillId="2" borderId="0" xfId="0" applyNumberFormat="1" applyFont="1" applyFill="1" applyBorder="1" applyAlignment="1" applyProtection="1">
      <alignment horizontal="center"/>
    </xf>
    <xf numFmtId="170" fontId="2" fillId="39" borderId="50" xfId="0" applyNumberFormat="1" applyFont="1" applyFill="1" applyBorder="1" applyAlignment="1">
      <alignment horizontal="right" vertical="center" wrapText="1"/>
    </xf>
    <xf numFmtId="0" fontId="0" fillId="39" borderId="49" xfId="0" applyFill="1" applyBorder="1" applyAlignment="1">
      <alignment vertical="center"/>
    </xf>
    <xf numFmtId="0" fontId="2" fillId="0" borderId="0" xfId="7" applyFont="1" applyFill="1" applyAlignment="1" applyProtection="1"/>
    <xf numFmtId="4" fontId="0" fillId="0" borderId="74" xfId="0" applyNumberFormat="1" applyFill="1" applyBorder="1" applyAlignment="1" applyProtection="1">
      <alignment vertical="center"/>
    </xf>
    <xf numFmtId="0" fontId="0" fillId="0" borderId="75" xfId="0" applyFill="1" applyBorder="1" applyAlignment="1" applyProtection="1">
      <alignment horizontal="center" vertical="center" wrapText="1"/>
    </xf>
    <xf numFmtId="172" fontId="0" fillId="0" borderId="50" xfId="0" applyNumberFormat="1" applyFill="1" applyBorder="1" applyAlignment="1" applyProtection="1">
      <alignment vertical="center"/>
    </xf>
    <xf numFmtId="0" fontId="0" fillId="0" borderId="50" xfId="0" applyFill="1" applyBorder="1" applyAlignment="1" applyProtection="1">
      <alignment horizontal="left" vertical="center"/>
    </xf>
    <xf numFmtId="0" fontId="0" fillId="0" borderId="67" xfId="0" applyFill="1" applyBorder="1" applyAlignment="1" applyProtection="1">
      <alignment vertical="center"/>
    </xf>
    <xf numFmtId="3" fontId="0" fillId="0" borderId="80" xfId="0" applyNumberFormat="1" applyFill="1" applyBorder="1" applyAlignment="1" applyProtection="1">
      <alignment vertical="center"/>
    </xf>
    <xf numFmtId="0" fontId="0" fillId="44" borderId="69" xfId="0" applyFill="1" applyBorder="1" applyAlignment="1" applyProtection="1">
      <alignment vertical="center"/>
    </xf>
    <xf numFmtId="191" fontId="3" fillId="44" borderId="98" xfId="6" applyNumberFormat="1" applyFont="1" applyFill="1" applyBorder="1"/>
    <xf numFmtId="0" fontId="63" fillId="34" borderId="1" xfId="7" applyFill="1" applyBorder="1" applyAlignment="1" applyProtection="1">
      <alignment horizontal="center" vertical="center"/>
    </xf>
    <xf numFmtId="169" fontId="2" fillId="28" borderId="50" xfId="0" applyNumberFormat="1" applyFont="1" applyFill="1" applyBorder="1" applyAlignment="1">
      <alignment horizontal="right" vertical="center" wrapText="1"/>
    </xf>
    <xf numFmtId="169" fontId="2" fillId="28" borderId="28" xfId="0" applyNumberFormat="1" applyFont="1" applyFill="1" applyBorder="1" applyAlignment="1">
      <alignment horizontal="right" vertical="center" wrapText="1"/>
    </xf>
    <xf numFmtId="0" fontId="89" fillId="23" borderId="24" xfId="7" applyFont="1" applyFill="1" applyBorder="1" applyAlignment="1" applyProtection="1">
      <alignment horizontal="center"/>
    </xf>
    <xf numFmtId="0" fontId="90" fillId="35" borderId="24" xfId="7" applyFont="1" applyFill="1" applyBorder="1" applyAlignment="1" applyProtection="1">
      <alignment horizontal="center"/>
    </xf>
    <xf numFmtId="0" fontId="90" fillId="6" borderId="24" xfId="7" applyFont="1" applyFill="1" applyBorder="1" applyAlignment="1" applyProtection="1">
      <alignment horizontal="center"/>
    </xf>
    <xf numFmtId="0" fontId="90" fillId="40" borderId="24" xfId="7" applyFont="1" applyFill="1" applyBorder="1" applyAlignment="1" applyProtection="1">
      <alignment horizontal="center"/>
    </xf>
    <xf numFmtId="0" fontId="90" fillId="41" borderId="24" xfId="7" applyFont="1" applyFill="1" applyBorder="1" applyAlignment="1" applyProtection="1">
      <alignment horizontal="center"/>
    </xf>
    <xf numFmtId="0" fontId="90" fillId="46" borderId="24" xfId="7" applyFont="1" applyFill="1" applyBorder="1" applyAlignment="1" applyProtection="1">
      <alignment horizontal="center"/>
    </xf>
    <xf numFmtId="0" fontId="90" fillId="42" borderId="24" xfId="7" applyFont="1" applyFill="1" applyBorder="1" applyAlignment="1" applyProtection="1">
      <alignment horizontal="center"/>
    </xf>
    <xf numFmtId="0" fontId="75" fillId="36" borderId="24" xfId="0" applyFont="1" applyFill="1" applyBorder="1" applyAlignment="1">
      <alignment horizontal="center"/>
    </xf>
    <xf numFmtId="0" fontId="90" fillId="6" borderId="61" xfId="7" applyFont="1" applyFill="1" applyBorder="1" applyAlignment="1" applyProtection="1">
      <alignment horizontal="center"/>
    </xf>
    <xf numFmtId="0" fontId="90" fillId="9" borderId="1" xfId="7" applyFont="1" applyFill="1" applyBorder="1" applyAlignment="1" applyProtection="1">
      <alignment horizontal="center" vertical="center"/>
    </xf>
    <xf numFmtId="0" fontId="90" fillId="37" borderId="1" xfId="7" applyFont="1" applyFill="1" applyBorder="1" applyAlignment="1" applyProtection="1">
      <alignment horizontal="center" vertical="center"/>
    </xf>
    <xf numFmtId="0" fontId="90" fillId="40" borderId="1" xfId="7" applyFont="1" applyFill="1" applyBorder="1" applyAlignment="1" applyProtection="1">
      <alignment horizontal="center" vertical="center"/>
    </xf>
    <xf numFmtId="0" fontId="90" fillId="41" borderId="1" xfId="7" applyFont="1" applyFill="1" applyBorder="1" applyAlignment="1" applyProtection="1">
      <alignment horizontal="center" vertical="center"/>
    </xf>
    <xf numFmtId="0" fontId="90" fillId="46" borderId="1" xfId="7" applyFont="1" applyFill="1" applyBorder="1" applyAlignment="1" applyProtection="1">
      <alignment horizontal="center"/>
    </xf>
    <xf numFmtId="0" fontId="90" fillId="42" borderId="1" xfId="7" applyFont="1" applyFill="1" applyBorder="1" applyAlignment="1" applyProtection="1">
      <alignment horizontal="center" vertical="center"/>
    </xf>
    <xf numFmtId="0" fontId="2" fillId="0" borderId="0" xfId="0" applyFont="1" applyFill="1" applyAlignment="1" applyProtection="1">
      <alignment vertical="center"/>
    </xf>
    <xf numFmtId="181" fontId="0" fillId="0" borderId="0" xfId="0" applyNumberFormat="1" applyFill="1"/>
    <xf numFmtId="0" fontId="82" fillId="0" borderId="0" xfId="0" applyFont="1" applyFill="1" applyAlignment="1">
      <alignment vertical="center"/>
    </xf>
    <xf numFmtId="0" fontId="82" fillId="0" borderId="0" xfId="0" applyFont="1" applyFill="1"/>
    <xf numFmtId="172" fontId="2" fillId="32" borderId="50" xfId="0" applyNumberFormat="1" applyFont="1" applyFill="1" applyBorder="1" applyAlignment="1" applyProtection="1">
      <alignment vertical="center"/>
    </xf>
    <xf numFmtId="172" fontId="0" fillId="32" borderId="50" xfId="0" applyNumberFormat="1" applyFill="1" applyBorder="1" applyAlignment="1" applyProtection="1">
      <alignment vertical="center"/>
    </xf>
    <xf numFmtId="0" fontId="0" fillId="32" borderId="50" xfId="0" applyFill="1" applyBorder="1" applyAlignment="1" applyProtection="1">
      <alignment vertical="center"/>
    </xf>
    <xf numFmtId="3" fontId="0" fillId="32" borderId="50" xfId="0" applyNumberFormat="1" applyFill="1" applyBorder="1" applyAlignment="1" applyProtection="1">
      <alignment vertical="center"/>
    </xf>
    <xf numFmtId="0" fontId="7" fillId="28" borderId="0" xfId="17" applyFont="1" applyFill="1" applyAlignment="1">
      <alignment horizontal="center"/>
    </xf>
    <xf numFmtId="3" fontId="7" fillId="0" borderId="6" xfId="17" applyNumberFormat="1" applyFont="1" applyFill="1" applyBorder="1"/>
    <xf numFmtId="3" fontId="7" fillId="0" borderId="8" xfId="17" applyNumberFormat="1" applyFont="1" applyFill="1" applyBorder="1"/>
    <xf numFmtId="3" fontId="7" fillId="0" borderId="7" xfId="17" applyNumberFormat="1" applyFont="1" applyFill="1" applyBorder="1"/>
    <xf numFmtId="3" fontId="7" fillId="0" borderId="3" xfId="17" applyNumberFormat="1" applyFont="1" applyFill="1" applyBorder="1"/>
    <xf numFmtId="3" fontId="7" fillId="0" borderId="0" xfId="17" applyNumberFormat="1" applyFont="1" applyFill="1" applyBorder="1"/>
    <xf numFmtId="3" fontId="7" fillId="0" borderId="2" xfId="17" applyNumberFormat="1" applyFont="1" applyFill="1" applyBorder="1"/>
    <xf numFmtId="3" fontId="7" fillId="0" borderId="4" xfId="17" applyNumberFormat="1" applyFont="1" applyFill="1" applyBorder="1"/>
    <xf numFmtId="3" fontId="7" fillId="0" borderId="5" xfId="17" applyNumberFormat="1" applyFont="1" applyFill="1" applyBorder="1"/>
    <xf numFmtId="3" fontId="7" fillId="0" borderId="9" xfId="17" applyNumberFormat="1" applyFont="1" applyFill="1" applyBorder="1"/>
    <xf numFmtId="170" fontId="76" fillId="28" borderId="0" xfId="11" applyNumberFormat="1" applyFont="1" applyFill="1" applyBorder="1" applyAlignment="1">
      <alignment horizontal="center"/>
    </xf>
    <xf numFmtId="168" fontId="7" fillId="0" borderId="7" xfId="17" applyNumberFormat="1" applyFont="1" applyFill="1" applyBorder="1" applyAlignment="1"/>
    <xf numFmtId="168" fontId="7" fillId="0" borderId="2" xfId="17" applyNumberFormat="1" applyFont="1" applyFill="1" applyBorder="1" applyAlignment="1"/>
    <xf numFmtId="168" fontId="7" fillId="0" borderId="9" xfId="17" applyNumberFormat="1" applyFont="1" applyFill="1" applyBorder="1" applyAlignment="1"/>
    <xf numFmtId="168" fontId="2" fillId="27" borderId="114" xfId="16" applyNumberFormat="1" applyFill="1" applyBorder="1" applyAlignment="1">
      <alignment horizontal="center"/>
    </xf>
    <xf numFmtId="0" fontId="0" fillId="0" borderId="0" xfId="0" applyAlignment="1">
      <alignment horizontal="center"/>
    </xf>
    <xf numFmtId="0" fontId="0" fillId="0" borderId="0" xfId="0" applyAlignment="1">
      <alignment horizontal="center"/>
    </xf>
    <xf numFmtId="3" fontId="68" fillId="0" borderId="0" xfId="0" applyNumberFormat="1" applyFont="1" applyProtection="1"/>
    <xf numFmtId="0" fontId="65" fillId="0" borderId="0" xfId="0" applyFont="1"/>
    <xf numFmtId="3" fontId="0" fillId="28" borderId="2" xfId="0" applyNumberFormat="1" applyFill="1" applyBorder="1" applyAlignment="1" applyProtection="1">
      <alignment horizontal="right"/>
    </xf>
    <xf numFmtId="0" fontId="2" fillId="28" borderId="27" xfId="0" applyFont="1" applyFill="1" applyBorder="1" applyAlignment="1">
      <alignment horizontal="left"/>
    </xf>
    <xf numFmtId="174" fontId="0" fillId="55" borderId="50" xfId="6" applyNumberFormat="1" applyFont="1" applyFill="1" applyBorder="1" applyAlignment="1" applyProtection="1"/>
    <xf numFmtId="0" fontId="2" fillId="28" borderId="27" xfId="0" applyFont="1" applyFill="1" applyBorder="1"/>
    <xf numFmtId="3" fontId="2" fillId="28" borderId="27" xfId="0" applyNumberFormat="1" applyFont="1" applyFill="1" applyBorder="1"/>
    <xf numFmtId="9" fontId="0" fillId="55" borderId="50" xfId="11" applyFont="1" applyFill="1" applyBorder="1" applyAlignment="1" applyProtection="1"/>
    <xf numFmtId="0" fontId="3" fillId="28" borderId="27" xfId="0" applyFont="1" applyFill="1" applyBorder="1"/>
    <xf numFmtId="191" fontId="2" fillId="0" borderId="0" xfId="6" applyNumberFormat="1" applyFont="1" applyProtection="1"/>
    <xf numFmtId="3" fontId="0" fillId="0" borderId="0" xfId="0" applyNumberFormat="1" applyProtection="1"/>
    <xf numFmtId="3" fontId="0" fillId="31" borderId="0" xfId="0" applyNumberFormat="1" applyFill="1" applyProtection="1">
      <protection locked="0"/>
    </xf>
    <xf numFmtId="3" fontId="82" fillId="32" borderId="0" xfId="0" applyNumberFormat="1" applyFont="1" applyFill="1" applyBorder="1" applyAlignment="1" applyProtection="1">
      <alignment horizontal="center" vertical="center"/>
    </xf>
    <xf numFmtId="0" fontId="63" fillId="23" borderId="24" xfId="7" applyFill="1" applyBorder="1" applyAlignment="1" applyProtection="1">
      <alignment horizontal="center"/>
    </xf>
    <xf numFmtId="1" fontId="65" fillId="56" borderId="2" xfId="0" applyNumberFormat="1" applyFont="1" applyFill="1" applyBorder="1" applyAlignment="1" applyProtection="1">
      <alignment vertical="center"/>
    </xf>
    <xf numFmtId="3" fontId="0" fillId="56" borderId="2" xfId="0" applyNumberFormat="1" applyFill="1" applyBorder="1" applyProtection="1"/>
    <xf numFmtId="9" fontId="2" fillId="56" borderId="7" xfId="0" applyNumberFormat="1" applyFont="1" applyFill="1" applyBorder="1" applyAlignment="1">
      <alignment wrapText="1"/>
    </xf>
    <xf numFmtId="9" fontId="65" fillId="56" borderId="9" xfId="0" applyNumberFormat="1" applyFont="1" applyFill="1" applyBorder="1" applyAlignment="1" applyProtection="1">
      <alignment vertical="center"/>
    </xf>
    <xf numFmtId="184" fontId="2" fillId="56" borderId="6" xfId="11" applyNumberFormat="1" applyFont="1" applyFill="1" applyBorder="1" applyProtection="1">
      <protection locked="0"/>
    </xf>
    <xf numFmtId="184" fontId="2" fillId="56" borderId="8" xfId="11" applyNumberFormat="1" applyFont="1" applyFill="1" applyBorder="1" applyProtection="1">
      <protection locked="0"/>
    </xf>
    <xf numFmtId="0" fontId="65" fillId="56" borderId="7" xfId="0" applyFont="1" applyFill="1" applyBorder="1" applyAlignment="1" applyProtection="1">
      <alignment horizontal="center" vertical="center" wrapText="1"/>
    </xf>
    <xf numFmtId="3" fontId="0" fillId="56" borderId="3" xfId="0" applyNumberFormat="1" applyFill="1" applyBorder="1" applyProtection="1">
      <protection locked="0"/>
    </xf>
    <xf numFmtId="3" fontId="0" fillId="56" borderId="0" xfId="0" applyNumberFormat="1" applyFill="1" applyBorder="1" applyProtection="1">
      <protection locked="0"/>
    </xf>
    <xf numFmtId="0" fontId="65" fillId="56" borderId="2" xfId="0" applyFont="1" applyFill="1" applyBorder="1" applyAlignment="1" applyProtection="1">
      <alignment horizontal="center" vertical="center" wrapText="1"/>
    </xf>
    <xf numFmtId="0" fontId="3" fillId="28" borderId="0" xfId="0" applyFont="1" applyFill="1"/>
    <xf numFmtId="0" fontId="3" fillId="0" borderId="27" xfId="0" applyFont="1" applyFill="1" applyBorder="1"/>
    <xf numFmtId="167" fontId="0" fillId="0" borderId="0" xfId="6" applyFont="1" applyProtection="1"/>
    <xf numFmtId="0" fontId="0" fillId="0" borderId="0" xfId="0" applyAlignment="1">
      <alignment horizontal="center"/>
    </xf>
    <xf numFmtId="3" fontId="3" fillId="28" borderId="9" xfId="0" applyNumberFormat="1" applyFont="1" applyFill="1" applyBorder="1" applyAlignment="1" applyProtection="1">
      <alignment horizontal="right"/>
    </xf>
    <xf numFmtId="174" fontId="0" fillId="0" borderId="0" xfId="6" applyNumberFormat="1" applyFont="1" applyFill="1" applyBorder="1" applyAlignment="1" applyProtection="1"/>
    <xf numFmtId="0" fontId="3"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8"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82" fillId="0" borderId="0" xfId="0" applyFont="1"/>
    <xf numFmtId="3" fontId="68" fillId="0" borderId="0" xfId="0" applyNumberFormat="1" applyFont="1" applyAlignment="1" applyProtection="1"/>
    <xf numFmtId="9" fontId="2" fillId="28" borderId="0" xfId="0" applyNumberFormat="1" applyFont="1" applyFill="1" applyBorder="1" applyAlignment="1" applyProtection="1">
      <alignment vertical="center"/>
    </xf>
    <xf numFmtId="9" fontId="2" fillId="28" borderId="5" xfId="0" applyNumberFormat="1" applyFont="1" applyFill="1" applyBorder="1" applyAlignment="1" applyProtection="1">
      <alignment vertical="center"/>
    </xf>
    <xf numFmtId="170" fontId="2" fillId="28" borderId="0" xfId="11" applyNumberFormat="1" applyFont="1" applyFill="1" applyBorder="1" applyProtection="1">
      <protection locked="0"/>
    </xf>
    <xf numFmtId="170" fontId="2" fillId="28" borderId="5" xfId="11" applyNumberFormat="1" applyFont="1" applyFill="1" applyBorder="1" applyProtection="1">
      <protection locked="0"/>
    </xf>
    <xf numFmtId="9" fontId="65" fillId="56" borderId="0" xfId="11" applyFont="1" applyFill="1" applyBorder="1" applyAlignment="1" applyProtection="1">
      <alignment vertical="center"/>
    </xf>
    <xf numFmtId="0" fontId="82" fillId="0" borderId="0" xfId="0" applyFont="1" applyBorder="1" applyProtection="1"/>
    <xf numFmtId="9" fontId="2" fillId="0" borderId="0" xfId="11" applyFont="1" applyFill="1" applyBorder="1" applyAlignment="1" applyProtection="1">
      <alignment horizontal="center"/>
      <protection locked="0"/>
    </xf>
    <xf numFmtId="10" fontId="87" fillId="49" borderId="5" xfId="0" applyNumberFormat="1" applyFont="1" applyFill="1" applyBorder="1"/>
    <xf numFmtId="0" fontId="88" fillId="28" borderId="0" xfId="17" applyFont="1" applyFill="1"/>
    <xf numFmtId="3" fontId="0" fillId="38" borderId="22" xfId="0" applyNumberFormat="1" applyFill="1" applyBorder="1" applyProtection="1">
      <protection locked="0"/>
    </xf>
    <xf numFmtId="10" fontId="0" fillId="0" borderId="2" xfId="0" applyNumberFormat="1" applyFill="1" applyBorder="1" applyProtection="1"/>
    <xf numFmtId="3" fontId="2" fillId="28" borderId="8" xfId="0" applyNumberFormat="1" applyFont="1" applyFill="1" applyBorder="1" applyAlignment="1" applyProtection="1">
      <alignment vertical="center"/>
      <protection locked="0"/>
    </xf>
    <xf numFmtId="0" fontId="84" fillId="28" borderId="7" xfId="0" applyFont="1" applyFill="1" applyBorder="1" applyAlignment="1" applyProtection="1">
      <alignment vertical="center" wrapText="1"/>
    </xf>
    <xf numFmtId="3" fontId="65" fillId="28" borderId="8" xfId="0" applyNumberFormat="1" applyFont="1" applyFill="1" applyBorder="1" applyAlignment="1" applyProtection="1">
      <alignment vertical="center"/>
    </xf>
    <xf numFmtId="9" fontId="65" fillId="28" borderId="8" xfId="0" applyNumberFormat="1" applyFont="1" applyFill="1" applyBorder="1" applyAlignment="1" applyProtection="1">
      <alignment vertical="center"/>
    </xf>
    <xf numFmtId="4" fontId="84" fillId="28" borderId="7" xfId="0" applyNumberFormat="1" applyFont="1" applyFill="1" applyBorder="1" applyAlignment="1" applyProtection="1">
      <alignment vertical="center"/>
    </xf>
    <xf numFmtId="3" fontId="2" fillId="28" borderId="5" xfId="0" applyNumberFormat="1" applyFont="1" applyFill="1" applyBorder="1" applyProtection="1"/>
    <xf numFmtId="3" fontId="2" fillId="28" borderId="0" xfId="0" applyNumberFormat="1" applyFont="1" applyFill="1" applyBorder="1" applyAlignment="1" applyProtection="1">
      <alignment horizontal="right"/>
    </xf>
    <xf numFmtId="3" fontId="2" fillId="28" borderId="0" xfId="0" applyNumberFormat="1" applyFont="1" applyFill="1" applyBorder="1" applyProtection="1"/>
    <xf numFmtId="3" fontId="2" fillId="4" borderId="0" xfId="0" applyNumberFormat="1" applyFont="1" applyFill="1" applyAlignment="1" applyProtection="1">
      <alignment horizontal="right" wrapText="1"/>
      <protection locked="0"/>
    </xf>
    <xf numFmtId="3" fontId="2" fillId="4" borderId="0" xfId="0" applyNumberFormat="1" applyFont="1" applyFill="1" applyAlignment="1" applyProtection="1">
      <alignment horizontal="right" vertical="top" wrapText="1"/>
      <protection locked="0"/>
    </xf>
    <xf numFmtId="3" fontId="7" fillId="4" borderId="0" xfId="0" applyNumberFormat="1" applyFont="1" applyFill="1" applyProtection="1">
      <protection locked="0"/>
    </xf>
    <xf numFmtId="174" fontId="3" fillId="0" borderId="0" xfId="6" applyNumberFormat="1" applyFont="1" applyFill="1" applyBorder="1"/>
    <xf numFmtId="10" fontId="0" fillId="31" borderId="0" xfId="11" applyNumberFormat="1" applyFont="1" applyFill="1" applyProtection="1">
      <protection locked="0"/>
    </xf>
    <xf numFmtId="0" fontId="3" fillId="57" borderId="22" xfId="0" applyFont="1" applyFill="1" applyBorder="1" applyAlignment="1">
      <alignment horizontal="center" vertical="center" wrapText="1"/>
    </xf>
    <xf numFmtId="3" fontId="2" fillId="0" borderId="14" xfId="0" applyNumberFormat="1" applyFont="1" applyFill="1" applyBorder="1" applyProtection="1">
      <protection locked="0"/>
    </xf>
    <xf numFmtId="0" fontId="2" fillId="28" borderId="44" xfId="0" applyFont="1" applyFill="1" applyBorder="1" applyAlignment="1">
      <alignment horizontal="center"/>
    </xf>
    <xf numFmtId="0" fontId="2" fillId="28" borderId="15" xfId="0" applyFont="1" applyFill="1" applyBorder="1" applyAlignment="1">
      <alignment horizontal="center"/>
    </xf>
    <xf numFmtId="0" fontId="2" fillId="28" borderId="58" xfId="0" applyFont="1" applyFill="1" applyBorder="1" applyAlignment="1">
      <alignment horizontal="center"/>
    </xf>
    <xf numFmtId="0" fontId="57" fillId="0" borderId="58" xfId="0" applyFont="1" applyFill="1" applyBorder="1" applyAlignment="1">
      <alignment horizontal="center" vertical="center" wrapText="1"/>
    </xf>
    <xf numFmtId="171" fontId="0" fillId="0" borderId="58" xfId="0" applyNumberFormat="1" applyFill="1" applyBorder="1" applyAlignment="1">
      <alignment horizontal="center" vertical="center"/>
    </xf>
    <xf numFmtId="0" fontId="2" fillId="0" borderId="58" xfId="0" applyFont="1" applyBorder="1" applyAlignment="1">
      <alignment horizontal="center" vertical="center" wrapText="1"/>
    </xf>
    <xf numFmtId="0" fontId="0" fillId="0" borderId="58" xfId="0" applyBorder="1" applyAlignment="1">
      <alignment vertical="center"/>
    </xf>
    <xf numFmtId="176" fontId="2" fillId="0" borderId="58" xfId="0" applyNumberFormat="1" applyFont="1" applyBorder="1"/>
    <xf numFmtId="4" fontId="2" fillId="0" borderId="58" xfId="0" applyNumberFormat="1" applyFont="1" applyBorder="1" applyAlignment="1">
      <alignment vertical="center"/>
    </xf>
    <xf numFmtId="170" fontId="0" fillId="55" borderId="50" xfId="0" applyNumberFormat="1" applyFill="1" applyBorder="1" applyProtection="1"/>
    <xf numFmtId="0" fontId="0" fillId="44" borderId="50" xfId="0" applyFill="1" applyBorder="1" applyAlignment="1" applyProtection="1">
      <alignment vertical="center"/>
    </xf>
    <xf numFmtId="172" fontId="0" fillId="0" borderId="27" xfId="0" applyNumberFormat="1" applyBorder="1" applyAlignment="1" applyProtection="1">
      <alignment vertical="center"/>
    </xf>
    <xf numFmtId="3" fontId="3" fillId="0" borderId="27" xfId="0" applyNumberFormat="1" applyFont="1" applyFill="1" applyBorder="1" applyProtection="1"/>
    <xf numFmtId="0" fontId="1" fillId="44" borderId="50" xfId="0" applyFont="1" applyFill="1" applyBorder="1" applyAlignment="1" applyProtection="1">
      <alignment vertical="center" wrapText="1"/>
    </xf>
    <xf numFmtId="172" fontId="0" fillId="44" borderId="50" xfId="0" applyNumberFormat="1" applyFill="1" applyBorder="1" applyAlignment="1" applyProtection="1">
      <alignment vertical="center"/>
    </xf>
    <xf numFmtId="4" fontId="0" fillId="44" borderId="67" xfId="0" applyNumberFormat="1" applyFill="1" applyBorder="1" applyAlignment="1" applyProtection="1">
      <alignment vertical="center"/>
    </xf>
    <xf numFmtId="0" fontId="0" fillId="44" borderId="26" xfId="0" applyFill="1" applyBorder="1" applyAlignment="1" applyProtection="1">
      <alignment vertical="center"/>
    </xf>
    <xf numFmtId="3" fontId="0" fillId="44" borderId="67" xfId="0" applyNumberFormat="1" applyFill="1" applyBorder="1" applyAlignment="1" applyProtection="1">
      <alignment vertical="center"/>
    </xf>
    <xf numFmtId="172" fontId="0" fillId="44" borderId="26" xfId="0" applyNumberFormat="1" applyFill="1" applyBorder="1" applyAlignment="1" applyProtection="1">
      <alignment vertical="center"/>
    </xf>
    <xf numFmtId="0" fontId="0" fillId="44" borderId="26" xfId="0" applyFill="1" applyBorder="1" applyAlignment="1" applyProtection="1">
      <alignment horizontal="left" vertical="center"/>
    </xf>
    <xf numFmtId="0" fontId="0" fillId="44" borderId="100" xfId="0" applyFill="1" applyBorder="1" applyAlignment="1" applyProtection="1">
      <alignment vertical="center"/>
    </xf>
    <xf numFmtId="0" fontId="3" fillId="0" borderId="5" xfId="0" applyFont="1" applyFill="1" applyBorder="1" applyProtection="1"/>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 fillId="0" borderId="0" xfId="0" applyFont="1" applyBorder="1" applyAlignment="1" applyProtection="1">
      <alignment vertical="center"/>
    </xf>
    <xf numFmtId="16" fontId="1" fillId="0" borderId="0" xfId="0" applyNumberFormat="1" applyFont="1" applyBorder="1" applyAlignment="1" applyProtection="1">
      <alignment vertical="center"/>
    </xf>
    <xf numFmtId="0" fontId="1" fillId="0" borderId="83" xfId="0" applyFont="1" applyBorder="1" applyAlignment="1" applyProtection="1">
      <alignment horizontal="center" vertical="center" wrapText="1"/>
    </xf>
    <xf numFmtId="16" fontId="1" fillId="0" borderId="29" xfId="0" applyNumberFormat="1" applyFont="1" applyBorder="1" applyAlignment="1" applyProtection="1">
      <alignment vertical="center"/>
    </xf>
    <xf numFmtId="10" fontId="1" fillId="0" borderId="72" xfId="0" applyNumberFormat="1" applyFont="1" applyBorder="1" applyAlignment="1" applyProtection="1">
      <alignment vertical="center" wrapText="1"/>
    </xf>
    <xf numFmtId="0" fontId="3" fillId="0" borderId="47" xfId="0" applyFont="1" applyBorder="1" applyAlignment="1" applyProtection="1">
      <alignment horizontal="left" vertical="top"/>
    </xf>
    <xf numFmtId="0" fontId="0" fillId="0" borderId="47" xfId="0" applyFill="1" applyBorder="1" applyProtection="1"/>
    <xf numFmtId="0" fontId="0" fillId="0" borderId="29" xfId="0" applyFill="1" applyBorder="1" applyAlignment="1" applyProtection="1">
      <alignment vertical="center"/>
    </xf>
    <xf numFmtId="0" fontId="3" fillId="0" borderId="1" xfId="0" applyFont="1" applyBorder="1" applyAlignment="1" applyProtection="1">
      <alignment horizontal="left" vertical="top"/>
    </xf>
    <xf numFmtId="0" fontId="0" fillId="0" borderId="1" xfId="0" applyFill="1" applyBorder="1" applyProtection="1"/>
    <xf numFmtId="172" fontId="0" fillId="0" borderId="1" xfId="0" applyNumberFormat="1" applyBorder="1" applyAlignment="1" applyProtection="1">
      <alignment vertical="center"/>
    </xf>
    <xf numFmtId="0" fontId="0" fillId="0" borderId="1" xfId="0" applyFill="1" applyBorder="1" applyAlignment="1" applyProtection="1">
      <alignment vertical="center"/>
    </xf>
    <xf numFmtId="0" fontId="1" fillId="0" borderId="60" xfId="0" applyFont="1" applyBorder="1" applyAlignment="1" applyProtection="1">
      <alignment horizontal="center" vertical="center" wrapText="1"/>
    </xf>
    <xf numFmtId="0" fontId="1" fillId="0" borderId="60" xfId="0" applyFont="1" applyBorder="1" applyAlignment="1" applyProtection="1">
      <alignment vertical="center" wrapText="1"/>
    </xf>
    <xf numFmtId="0" fontId="1" fillId="0" borderId="60" xfId="0" applyFont="1" applyBorder="1" applyAlignment="1" applyProtection="1">
      <alignment vertical="center"/>
    </xf>
    <xf numFmtId="16" fontId="1" fillId="0" borderId="60" xfId="0" applyNumberFormat="1" applyFont="1" applyBorder="1" applyAlignment="1" applyProtection="1">
      <alignment vertical="center"/>
    </xf>
    <xf numFmtId="10" fontId="1" fillId="0" borderId="80" xfId="0" applyNumberFormat="1" applyFont="1" applyBorder="1" applyAlignment="1" applyProtection="1">
      <alignment vertical="center" wrapText="1"/>
    </xf>
    <xf numFmtId="0" fontId="0" fillId="0" borderId="79" xfId="0" applyFill="1" applyBorder="1" applyAlignment="1" applyProtection="1">
      <alignment horizontal="center" vertical="center" wrapText="1"/>
    </xf>
    <xf numFmtId="0" fontId="0" fillId="0" borderId="80" xfId="0" applyFill="1" applyBorder="1" applyAlignment="1" applyProtection="1">
      <alignment vertical="center" wrapText="1"/>
    </xf>
    <xf numFmtId="0" fontId="1" fillId="0" borderId="80" xfId="0" applyFont="1" applyFill="1" applyBorder="1" applyAlignment="1" applyProtection="1">
      <alignment vertical="center"/>
    </xf>
    <xf numFmtId="4" fontId="2" fillId="0" borderId="82" xfId="0" applyNumberFormat="1" applyFont="1" applyFill="1" applyBorder="1" applyAlignment="1" applyProtection="1">
      <alignment vertical="center"/>
    </xf>
    <xf numFmtId="170" fontId="2" fillId="0" borderId="15" xfId="11" applyNumberFormat="1" applyFont="1" applyFill="1" applyBorder="1" applyAlignment="1">
      <alignment horizontal="center" vertical="center"/>
    </xf>
    <xf numFmtId="170" fontId="2" fillId="0" borderId="58" xfId="11" applyNumberFormat="1" applyFont="1" applyFill="1" applyBorder="1" applyAlignment="1">
      <alignment horizontal="center" vertical="center"/>
    </xf>
    <xf numFmtId="170" fontId="2" fillId="56" borderId="16" xfId="11" applyNumberFormat="1" applyFont="1" applyFill="1" applyBorder="1" applyAlignment="1" applyProtection="1">
      <alignment horizontal="center"/>
      <protection locked="0"/>
    </xf>
    <xf numFmtId="0" fontId="76" fillId="28" borderId="115" xfId="17" applyFont="1" applyFill="1" applyBorder="1" applyAlignment="1">
      <alignment horizontal="center"/>
    </xf>
    <xf numFmtId="0" fontId="76" fillId="28" borderId="41" xfId="17" applyFont="1" applyFill="1" applyBorder="1" applyAlignment="1">
      <alignment horizontal="center"/>
    </xf>
    <xf numFmtId="3" fontId="0" fillId="31" borderId="43" xfId="0" applyNumberFormat="1" applyFill="1" applyBorder="1" applyProtection="1">
      <protection locked="0"/>
    </xf>
    <xf numFmtId="3" fontId="0" fillId="31" borderId="110" xfId="0" applyNumberFormat="1" applyFill="1" applyBorder="1" applyProtection="1">
      <protection locked="0"/>
    </xf>
    <xf numFmtId="0" fontId="2" fillId="0" borderId="50" xfId="0" applyFont="1" applyBorder="1" applyAlignment="1" applyProtection="1">
      <alignment vertical="center"/>
    </xf>
    <xf numFmtId="0" fontId="0" fillId="0" borderId="0" xfId="0" applyAlignment="1">
      <alignment horizontal="center" vertical="center"/>
    </xf>
    <xf numFmtId="0" fontId="2" fillId="0" borderId="0" xfId="0" applyFont="1" applyAlignment="1">
      <alignment horizontal="center"/>
    </xf>
    <xf numFmtId="10" fontId="2" fillId="28" borderId="50" xfId="0" applyNumberFormat="1" applyFont="1" applyFill="1" applyBorder="1" applyAlignment="1">
      <alignment vertical="top" wrapText="1"/>
    </xf>
    <xf numFmtId="2" fontId="2" fillId="28" borderId="50" xfId="0" applyNumberFormat="1" applyFont="1" applyFill="1" applyBorder="1" applyAlignment="1">
      <alignment vertical="top" wrapText="1"/>
    </xf>
    <xf numFmtId="3" fontId="2" fillId="28" borderId="50" xfId="0" quotePrefix="1" applyNumberFormat="1" applyFont="1" applyFill="1" applyBorder="1" applyAlignment="1">
      <alignment vertical="top" wrapText="1"/>
    </xf>
    <xf numFmtId="0" fontId="0" fillId="0" borderId="0" xfId="0" applyFill="1" applyAlignment="1">
      <alignment horizontal="center" vertical="center"/>
    </xf>
    <xf numFmtId="0" fontId="2" fillId="0" borderId="0" xfId="0" applyFont="1" applyFill="1" applyAlignment="1">
      <alignment horizontal="center" vertical="center"/>
    </xf>
    <xf numFmtId="0" fontId="2" fillId="0" borderId="0" xfId="0" applyFont="1" applyAlignment="1">
      <alignment horizontal="center" vertical="center"/>
    </xf>
    <xf numFmtId="171" fontId="3" fillId="58" borderId="15" xfId="0" applyNumberFormat="1" applyFont="1" applyFill="1" applyBorder="1"/>
    <xf numFmtId="9" fontId="2" fillId="0" borderId="0" xfId="11" applyFont="1" applyBorder="1"/>
    <xf numFmtId="4" fontId="2" fillId="0" borderId="0" xfId="0" applyNumberFormat="1" applyFont="1" applyFill="1" applyBorder="1"/>
    <xf numFmtId="168" fontId="2" fillId="2" borderId="62" xfId="0" applyNumberFormat="1" applyFont="1" applyFill="1" applyBorder="1" applyAlignment="1">
      <alignment horizontal="center"/>
    </xf>
    <xf numFmtId="168" fontId="2" fillId="0" borderId="63" xfId="0" applyNumberFormat="1" applyFont="1" applyBorder="1" applyAlignment="1">
      <alignment horizontal="center"/>
    </xf>
    <xf numFmtId="168" fontId="2" fillId="0" borderId="94" xfId="0" applyNumberFormat="1" applyFont="1" applyBorder="1" applyAlignment="1">
      <alignment horizontal="center"/>
    </xf>
    <xf numFmtId="168" fontId="2" fillId="0" borderId="112" xfId="0" applyNumberFormat="1" applyFont="1" applyBorder="1" applyAlignment="1">
      <alignment horizontal="center"/>
    </xf>
    <xf numFmtId="168" fontId="2" fillId="0" borderId="62" xfId="0" applyNumberFormat="1" applyFont="1" applyBorder="1" applyAlignment="1">
      <alignment horizontal="center"/>
    </xf>
    <xf numFmtId="168" fontId="2" fillId="37" borderId="66" xfId="0" applyNumberFormat="1" applyFont="1" applyFill="1" applyBorder="1" applyAlignment="1">
      <alignment horizontal="center"/>
    </xf>
    <xf numFmtId="168" fontId="2" fillId="0" borderId="64" xfId="0" applyNumberFormat="1" applyFont="1" applyBorder="1" applyAlignment="1">
      <alignment horizontal="center"/>
    </xf>
    <xf numFmtId="168" fontId="2" fillId="2" borderId="22" xfId="0" applyNumberFormat="1" applyFont="1" applyFill="1" applyBorder="1" applyAlignment="1">
      <alignment horizontal="center"/>
    </xf>
    <xf numFmtId="168" fontId="2" fillId="0" borderId="21" xfId="0" applyNumberFormat="1" applyFont="1" applyBorder="1" applyAlignment="1">
      <alignment horizontal="center"/>
    </xf>
    <xf numFmtId="168" fontId="2" fillId="0" borderId="30" xfId="0" applyNumberFormat="1" applyFont="1" applyBorder="1" applyAlignment="1">
      <alignment horizontal="center"/>
    </xf>
    <xf numFmtId="168" fontId="2" fillId="0" borderId="22" xfId="0" applyNumberFormat="1" applyFont="1" applyBorder="1" applyAlignment="1">
      <alignment horizontal="center"/>
    </xf>
    <xf numFmtId="168" fontId="2" fillId="37" borderId="45" xfId="0" applyNumberFormat="1" applyFont="1" applyFill="1" applyBorder="1" applyAlignment="1">
      <alignment horizontal="center"/>
    </xf>
    <xf numFmtId="168" fontId="2" fillId="0" borderId="65" xfId="0" applyNumberFormat="1" applyFont="1" applyBorder="1" applyAlignment="1">
      <alignment horizontal="center"/>
    </xf>
    <xf numFmtId="168" fontId="2" fillId="0" borderId="18" xfId="0" applyNumberFormat="1" applyFont="1" applyBorder="1" applyAlignment="1">
      <alignment horizontal="center"/>
    </xf>
    <xf numFmtId="168" fontId="2" fillId="2" borderId="20" xfId="0" applyNumberFormat="1" applyFont="1" applyFill="1" applyBorder="1" applyAlignment="1">
      <alignment horizontal="center"/>
    </xf>
    <xf numFmtId="168" fontId="2" fillId="0" borderId="19" xfId="0" applyNumberFormat="1" applyFont="1" applyBorder="1" applyAlignment="1">
      <alignment horizontal="center"/>
    </xf>
    <xf numFmtId="168" fontId="2" fillId="0" borderId="20" xfId="0" applyNumberFormat="1" applyFont="1" applyBorder="1" applyAlignment="1">
      <alignment horizontal="center"/>
    </xf>
    <xf numFmtId="168" fontId="0" fillId="0" borderId="65" xfId="0" applyNumberFormat="1" applyBorder="1" applyAlignment="1">
      <alignment horizontal="center"/>
    </xf>
    <xf numFmtId="168" fontId="2" fillId="37" borderId="23" xfId="0" applyNumberFormat="1" applyFont="1" applyFill="1" applyBorder="1" applyAlignment="1">
      <alignment horizontal="center"/>
    </xf>
    <xf numFmtId="168" fontId="2" fillId="0" borderId="66" xfId="0" applyNumberFormat="1" applyFont="1" applyBorder="1" applyAlignment="1">
      <alignment horizontal="center"/>
    </xf>
    <xf numFmtId="168" fontId="2" fillId="0" borderId="45" xfId="0" applyNumberFormat="1" applyFont="1" applyBorder="1" applyAlignment="1">
      <alignment horizontal="center"/>
    </xf>
    <xf numFmtId="168" fontId="2" fillId="0" borderId="23" xfId="0" applyNumberFormat="1" applyFont="1" applyBorder="1" applyAlignment="1">
      <alignment horizontal="center"/>
    </xf>
    <xf numFmtId="168" fontId="2" fillId="2" borderId="40" xfId="0" applyNumberFormat="1" applyFont="1" applyFill="1" applyBorder="1" applyAlignment="1">
      <alignment horizontal="center"/>
    </xf>
    <xf numFmtId="168" fontId="2" fillId="0" borderId="40" xfId="0" applyNumberFormat="1" applyFont="1" applyBorder="1" applyAlignment="1">
      <alignment horizontal="center"/>
    </xf>
    <xf numFmtId="168" fontId="2" fillId="37" borderId="40" xfId="0" applyNumberFormat="1" applyFont="1" applyFill="1" applyBorder="1" applyAlignment="1">
      <alignment horizontal="center"/>
    </xf>
    <xf numFmtId="168" fontId="2" fillId="0" borderId="111" xfId="0" applyNumberFormat="1" applyFont="1" applyBorder="1" applyAlignment="1">
      <alignment horizontal="center"/>
    </xf>
    <xf numFmtId="168" fontId="2" fillId="0" borderId="43" xfId="0" applyNumberFormat="1" applyFont="1" applyBorder="1" applyAlignment="1">
      <alignment horizontal="center"/>
    </xf>
    <xf numFmtId="168" fontId="2" fillId="0" borderId="110" xfId="0" applyNumberFormat="1" applyFont="1" applyBorder="1" applyAlignment="1">
      <alignment horizontal="center"/>
    </xf>
    <xf numFmtId="168" fontId="2" fillId="0" borderId="36" xfId="0" applyNumberFormat="1" applyFont="1" applyBorder="1" applyAlignment="1">
      <alignment horizontal="center"/>
    </xf>
    <xf numFmtId="168" fontId="2" fillId="2" borderId="110" xfId="0" applyNumberFormat="1" applyFont="1" applyFill="1" applyBorder="1" applyAlignment="1">
      <alignment horizontal="center"/>
    </xf>
    <xf numFmtId="168" fontId="2" fillId="0" borderId="97" xfId="0" applyNumberFormat="1" applyFont="1" applyBorder="1" applyAlignment="1">
      <alignment horizontal="center"/>
    </xf>
    <xf numFmtId="168" fontId="2" fillId="0" borderId="95" xfId="0" applyNumberFormat="1" applyFont="1" applyBorder="1" applyAlignment="1">
      <alignment horizontal="center"/>
    </xf>
    <xf numFmtId="168" fontId="2" fillId="0" borderId="96" xfId="0" applyNumberFormat="1" applyFont="1" applyBorder="1" applyAlignment="1">
      <alignment horizontal="center"/>
    </xf>
    <xf numFmtId="168" fontId="2" fillId="0" borderId="113" xfId="0" applyNumberFormat="1" applyFont="1" applyBorder="1" applyAlignment="1">
      <alignment horizontal="center"/>
    </xf>
    <xf numFmtId="168" fontId="2" fillId="2" borderId="96" xfId="0" applyNumberFormat="1" applyFont="1" applyFill="1" applyBorder="1" applyAlignment="1">
      <alignment horizontal="center"/>
    </xf>
    <xf numFmtId="168" fontId="0" fillId="0" borderId="97" xfId="0" applyNumberFormat="1" applyBorder="1" applyAlignment="1">
      <alignment horizontal="center"/>
    </xf>
    <xf numFmtId="168" fontId="2" fillId="2" borderId="66" xfId="0" applyNumberFormat="1" applyFont="1" applyFill="1" applyBorder="1" applyAlignment="1">
      <alignment horizontal="center"/>
    </xf>
    <xf numFmtId="168" fontId="2" fillId="37" borderId="64" xfId="0" applyNumberFormat="1" applyFont="1" applyFill="1" applyBorder="1" applyAlignment="1">
      <alignment horizontal="center"/>
    </xf>
    <xf numFmtId="168" fontId="2" fillId="37" borderId="112" xfId="0" applyNumberFormat="1" applyFont="1" applyFill="1" applyBorder="1" applyAlignment="1">
      <alignment horizontal="center"/>
    </xf>
    <xf numFmtId="168" fontId="2" fillId="37" borderId="94" xfId="0" applyNumberFormat="1" applyFont="1" applyFill="1" applyBorder="1" applyAlignment="1">
      <alignment horizontal="center"/>
    </xf>
    <xf numFmtId="168" fontId="2" fillId="37" borderId="65" xfId="0" applyNumberFormat="1" applyFont="1" applyFill="1" applyBorder="1" applyAlignment="1">
      <alignment horizontal="center"/>
    </xf>
    <xf numFmtId="10" fontId="2" fillId="0" borderId="22" xfId="11" applyNumberFormat="1" applyFont="1" applyFill="1" applyBorder="1"/>
    <xf numFmtId="3" fontId="94" fillId="0" borderId="0" xfId="0" applyNumberFormat="1" applyFont="1" applyFill="1" applyBorder="1" applyProtection="1"/>
    <xf numFmtId="3" fontId="94" fillId="0" borderId="5" xfId="0" applyNumberFormat="1" applyFont="1" applyFill="1" applyBorder="1" applyProtection="1"/>
    <xf numFmtId="10" fontId="0" fillId="0" borderId="15" xfId="11" applyNumberFormat="1" applyFont="1" applyFill="1" applyBorder="1" applyAlignment="1">
      <alignment horizontal="right" indent="1"/>
    </xf>
    <xf numFmtId="3" fontId="2" fillId="31" borderId="0" xfId="0" applyNumberFormat="1" applyFont="1" applyFill="1" applyProtection="1">
      <protection locked="0"/>
    </xf>
    <xf numFmtId="3" fontId="0" fillId="0" borderId="27" xfId="0" applyNumberFormat="1" applyBorder="1" applyProtection="1"/>
    <xf numFmtId="3" fontId="0" fillId="0" borderId="28" xfId="0" applyNumberFormat="1" applyBorder="1" applyProtection="1"/>
    <xf numFmtId="3" fontId="94" fillId="0" borderId="2" xfId="0" applyNumberFormat="1" applyFont="1" applyFill="1" applyBorder="1" applyProtection="1"/>
    <xf numFmtId="3" fontId="94" fillId="0" borderId="28" xfId="0" applyNumberFormat="1" applyFont="1" applyFill="1" applyBorder="1" applyProtection="1"/>
    <xf numFmtId="3" fontId="94" fillId="0" borderId="29" xfId="0" applyNumberFormat="1" applyFont="1" applyFill="1" applyBorder="1" applyProtection="1"/>
    <xf numFmtId="0" fontId="2" fillId="0" borderId="3" xfId="0" applyFont="1" applyBorder="1" applyAlignment="1" applyProtection="1">
      <alignment horizontal="right"/>
    </xf>
    <xf numFmtId="172" fontId="0" fillId="32" borderId="50" xfId="0" applyNumberFormat="1" applyFill="1" applyBorder="1" applyAlignment="1">
      <alignment vertical="center"/>
    </xf>
    <xf numFmtId="0" fontId="2" fillId="0" borderId="50" xfId="0" applyFont="1" applyBorder="1" applyAlignment="1" applyProtection="1">
      <alignment horizontal="center" vertical="center" wrapText="1"/>
    </xf>
    <xf numFmtId="0" fontId="3" fillId="0" borderId="50" xfId="0" applyFont="1" applyFill="1" applyBorder="1" applyProtection="1"/>
    <xf numFmtId="0" fontId="3" fillId="0" borderId="0" xfId="0" applyFont="1" applyFill="1" applyProtection="1"/>
    <xf numFmtId="191" fontId="2" fillId="0" borderId="0" xfId="6" applyNumberFormat="1" applyFont="1" applyFill="1" applyProtection="1"/>
    <xf numFmtId="168" fontId="2" fillId="39" borderId="45" xfId="0" applyNumberFormat="1" applyFont="1" applyFill="1" applyBorder="1" applyAlignment="1">
      <alignment horizontal="center"/>
    </xf>
    <xf numFmtId="0" fontId="1" fillId="0" borderId="74" xfId="0" applyFont="1" applyBorder="1" applyAlignment="1" applyProtection="1">
      <alignment vertical="center"/>
    </xf>
    <xf numFmtId="4" fontId="2" fillId="0" borderId="82" xfId="0" applyNumberFormat="1" applyFont="1" applyBorder="1" applyAlignment="1" applyProtection="1">
      <alignment vertical="center"/>
    </xf>
    <xf numFmtId="169" fontId="2" fillId="0" borderId="87" xfId="0" applyNumberFormat="1" applyFont="1" applyFill="1" applyBorder="1" applyAlignment="1" applyProtection="1">
      <alignment horizontal="right" vertical="center"/>
    </xf>
    <xf numFmtId="9" fontId="2" fillId="8" borderId="74" xfId="15" applyNumberFormat="1" applyFont="1" applyFill="1" applyBorder="1" applyAlignment="1" applyProtection="1">
      <alignment vertical="center"/>
    </xf>
    <xf numFmtId="4" fontId="1" fillId="0" borderId="82" xfId="0" applyNumberFormat="1" applyFont="1" applyFill="1" applyBorder="1" applyAlignment="1" applyProtection="1">
      <alignment vertical="center"/>
    </xf>
    <xf numFmtId="0" fontId="2" fillId="0" borderId="3" xfId="0" applyFont="1" applyFill="1" applyBorder="1" applyAlignment="1" applyProtection="1">
      <alignment wrapText="1"/>
    </xf>
    <xf numFmtId="0" fontId="0" fillId="0" borderId="0" xfId="0" applyFill="1" applyBorder="1" applyAlignment="1">
      <alignment vertical="center" wrapText="1"/>
    </xf>
    <xf numFmtId="3" fontId="3" fillId="0" borderId="15" xfId="0" applyNumberFormat="1" applyFont="1" applyFill="1" applyBorder="1" applyAlignment="1">
      <alignment vertical="center" wrapText="1"/>
    </xf>
    <xf numFmtId="0" fontId="0" fillId="0" borderId="15" xfId="0" applyBorder="1" applyAlignment="1">
      <alignment vertical="center" wrapText="1"/>
    </xf>
    <xf numFmtId="3" fontId="3" fillId="0" borderId="22" xfId="0" applyNumberFormat="1" applyFont="1" applyFill="1" applyBorder="1" applyAlignment="1">
      <alignment horizontal="center" vertical="top" wrapText="1"/>
    </xf>
    <xf numFmtId="0" fontId="0" fillId="0" borderId="22" xfId="0" applyBorder="1" applyAlignment="1">
      <alignment horizontal="center" vertical="top" wrapText="1"/>
    </xf>
    <xf numFmtId="3" fontId="2" fillId="2" borderId="0" xfId="0" quotePrefix="1" applyNumberFormat="1" applyFont="1" applyFill="1" applyBorder="1" applyAlignment="1">
      <alignment horizontal="center" vertical="center" wrapText="1"/>
    </xf>
    <xf numFmtId="0" fontId="2" fillId="0" borderId="0" xfId="0" applyFont="1" applyBorder="1" applyAlignment="1">
      <alignment vertical="center" wrapText="1"/>
    </xf>
    <xf numFmtId="3" fontId="2" fillId="5" borderId="0" xfId="0" quotePrefix="1" applyNumberFormat="1" applyFont="1" applyFill="1" applyBorder="1" applyAlignment="1">
      <alignment horizontal="center" vertical="center" wrapText="1"/>
    </xf>
    <xf numFmtId="0" fontId="2" fillId="0" borderId="0" xfId="0" applyFont="1" applyAlignment="1">
      <alignment vertical="center" wrapText="1"/>
    </xf>
    <xf numFmtId="3" fontId="3" fillId="4" borderId="0" xfId="0" applyNumberFormat="1" applyFont="1" applyFill="1" applyBorder="1" applyAlignment="1">
      <alignment horizontal="center" vertical="center" wrapText="1"/>
    </xf>
    <xf numFmtId="0" fontId="0" fillId="0" borderId="0" xfId="0" applyAlignment="1">
      <alignment vertical="center" wrapText="1"/>
    </xf>
    <xf numFmtId="3" fontId="2" fillId="13" borderId="0" xfId="0" quotePrefix="1" applyNumberFormat="1" applyFont="1" applyFill="1" applyBorder="1" applyAlignment="1">
      <alignment horizontal="center" vertical="center" wrapText="1"/>
    </xf>
    <xf numFmtId="3" fontId="3" fillId="0" borderId="46" xfId="0" applyNumberFormat="1" applyFont="1" applyFill="1" applyBorder="1" applyAlignment="1" applyProtection="1">
      <alignment horizontal="center" vertical="top" wrapText="1"/>
    </xf>
    <xf numFmtId="3" fontId="3" fillId="0" borderId="14" xfId="0" quotePrefix="1" applyNumberFormat="1" applyFont="1" applyFill="1" applyBorder="1" applyAlignment="1" applyProtection="1">
      <alignment horizontal="center" vertical="top" wrapText="1"/>
    </xf>
    <xf numFmtId="3" fontId="3" fillId="0" borderId="45" xfId="0" quotePrefix="1" applyNumberFormat="1" applyFont="1" applyFill="1" applyBorder="1" applyAlignment="1" applyProtection="1">
      <alignment horizontal="center" vertical="top" wrapText="1"/>
    </xf>
    <xf numFmtId="3" fontId="3" fillId="0" borderId="46" xfId="0" quotePrefix="1" applyNumberFormat="1" applyFont="1" applyFill="1" applyBorder="1" applyAlignment="1">
      <alignment horizontal="center" vertical="top" wrapText="1"/>
    </xf>
    <xf numFmtId="3" fontId="3" fillId="0" borderId="14" xfId="0" quotePrefix="1" applyNumberFormat="1" applyFont="1" applyFill="1" applyBorder="1" applyAlignment="1">
      <alignment horizontal="center" vertical="top" wrapText="1"/>
    </xf>
    <xf numFmtId="3" fontId="3" fillId="0" borderId="45" xfId="0" quotePrefix="1" applyNumberFormat="1" applyFont="1" applyFill="1" applyBorder="1" applyAlignment="1">
      <alignment horizontal="center" vertical="top" wrapText="1"/>
    </xf>
    <xf numFmtId="0" fontId="0" fillId="0" borderId="0" xfId="0" applyAlignment="1" applyProtection="1">
      <alignment wrapText="1"/>
    </xf>
    <xf numFmtId="3" fontId="3" fillId="0" borderId="22" xfId="0" quotePrefix="1" applyNumberFormat="1" applyFont="1" applyFill="1" applyBorder="1" applyAlignment="1">
      <alignment horizontal="center" vertical="top" wrapText="1"/>
    </xf>
    <xf numFmtId="3" fontId="3" fillId="0" borderId="15" xfId="0" quotePrefix="1" applyNumberFormat="1" applyFont="1" applyFill="1" applyBorder="1" applyAlignment="1">
      <alignment vertical="center" wrapText="1"/>
    </xf>
    <xf numFmtId="0" fontId="3" fillId="0" borderId="0" xfId="0" applyFont="1" applyFill="1" applyBorder="1" applyAlignment="1">
      <alignment horizontal="center" vertical="top" wrapText="1"/>
    </xf>
    <xf numFmtId="0" fontId="3" fillId="0" borderId="2"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xf>
    <xf numFmtId="0" fontId="2" fillId="0" borderId="0" xfId="0" applyFont="1" applyFill="1" applyBorder="1" applyAlignment="1">
      <alignment horizontal="center" vertical="center" wrapText="1"/>
    </xf>
    <xf numFmtId="0" fontId="0" fillId="0" borderId="3" xfId="0" applyBorder="1" applyAlignment="1" applyProtection="1">
      <alignment horizontal="center" vertical="center" wrapText="1"/>
    </xf>
    <xf numFmtId="0" fontId="0" fillId="0" borderId="2" xfId="0" applyBorder="1" applyAlignment="1" applyProtection="1">
      <alignment horizontal="center" vertical="center" wrapText="1"/>
    </xf>
    <xf numFmtId="2" fontId="3" fillId="45" borderId="3" xfId="0" applyNumberFormat="1" applyFont="1" applyFill="1" applyBorder="1" applyAlignment="1" applyProtection="1">
      <alignment horizontal="center" textRotation="90" wrapText="1"/>
    </xf>
    <xf numFmtId="16" fontId="3" fillId="45" borderId="3" xfId="0" applyNumberFormat="1" applyFont="1" applyFill="1" applyBorder="1" applyAlignment="1" applyProtection="1">
      <alignment horizontal="center" vertical="center"/>
    </xf>
    <xf numFmtId="16" fontId="3" fillId="45" borderId="4" xfId="0" applyNumberFormat="1" applyFont="1" applyFill="1" applyBorder="1" applyAlignment="1" applyProtection="1">
      <alignment horizontal="center" vertical="center"/>
    </xf>
    <xf numFmtId="2" fontId="3" fillId="27" borderId="27" xfId="0" applyNumberFormat="1" applyFont="1" applyFill="1" applyBorder="1" applyAlignment="1" applyProtection="1">
      <alignment horizontal="center" vertical="top" wrapText="1"/>
    </xf>
    <xf numFmtId="2" fontId="3" fillId="27" borderId="29" xfId="0" applyNumberFormat="1" applyFont="1" applyFill="1" applyBorder="1" applyAlignment="1" applyProtection="1">
      <alignment horizontal="center" vertical="top" wrapText="1"/>
    </xf>
    <xf numFmtId="2" fontId="3" fillId="45" borderId="6" xfId="0" applyNumberFormat="1" applyFont="1" applyFill="1" applyBorder="1" applyAlignment="1" applyProtection="1">
      <alignment horizontal="center" vertical="center" textRotation="90" wrapText="1"/>
    </xf>
    <xf numFmtId="2" fontId="3" fillId="45" borderId="3" xfId="0" applyNumberFormat="1" applyFont="1" applyFill="1" applyBorder="1" applyAlignment="1" applyProtection="1">
      <alignment horizontal="center" vertical="center" textRotation="90" wrapText="1"/>
    </xf>
    <xf numFmtId="2" fontId="3" fillId="45" borderId="4" xfId="0" applyNumberFormat="1" applyFont="1" applyFill="1" applyBorder="1" applyAlignment="1" applyProtection="1">
      <alignment horizontal="center" vertical="center" textRotation="90" wrapText="1"/>
    </xf>
    <xf numFmtId="2" fontId="3" fillId="7" borderId="6" xfId="0" applyNumberFormat="1" applyFont="1" applyFill="1" applyBorder="1" applyAlignment="1" applyProtection="1">
      <alignment horizontal="center" vertical="center"/>
    </xf>
    <xf numFmtId="2" fontId="3" fillId="7" borderId="8" xfId="0" applyNumberFormat="1" applyFont="1" applyFill="1" applyBorder="1" applyAlignment="1" applyProtection="1">
      <alignment horizontal="center" vertical="center"/>
    </xf>
    <xf numFmtId="2" fontId="3" fillId="45" borderId="6" xfId="0" applyNumberFormat="1" applyFont="1" applyFill="1" applyBorder="1" applyAlignment="1" applyProtection="1">
      <alignment horizontal="center" vertical="center"/>
    </xf>
    <xf numFmtId="2" fontId="3" fillId="45" borderId="8" xfId="0" applyNumberFormat="1" applyFont="1" applyFill="1" applyBorder="1" applyAlignment="1" applyProtection="1">
      <alignment horizontal="center" vertical="center"/>
    </xf>
    <xf numFmtId="2" fontId="3" fillId="45" borderId="7" xfId="0" applyNumberFormat="1" applyFont="1" applyFill="1" applyBorder="1" applyAlignment="1" applyProtection="1">
      <alignment horizontal="center" vertical="center"/>
    </xf>
    <xf numFmtId="2" fontId="3" fillId="27" borderId="3" xfId="0" applyNumberFormat="1" applyFont="1" applyFill="1" applyBorder="1" applyAlignment="1" applyProtection="1">
      <alignment horizontal="center" vertical="center" textRotation="90" wrapText="1"/>
    </xf>
    <xf numFmtId="2" fontId="3" fillId="27" borderId="6" xfId="0" applyNumberFormat="1" applyFont="1" applyFill="1" applyBorder="1" applyAlignment="1" applyProtection="1">
      <alignment horizontal="center" vertical="center"/>
    </xf>
    <xf numFmtId="2" fontId="3" fillId="27" borderId="8" xfId="0" applyNumberFormat="1" applyFont="1" applyFill="1" applyBorder="1" applyAlignment="1" applyProtection="1">
      <alignment horizontal="center" vertical="center"/>
    </xf>
    <xf numFmtId="2" fontId="3" fillId="37" borderId="7" xfId="0" applyNumberFormat="1" applyFont="1" applyFill="1" applyBorder="1" applyAlignment="1" applyProtection="1">
      <alignment horizontal="center" vertical="top" wrapText="1"/>
    </xf>
    <xf numFmtId="2" fontId="3" fillId="37" borderId="9"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left" vertical="center"/>
    </xf>
    <xf numFmtId="1" fontId="3" fillId="27" borderId="2" xfId="0" applyNumberFormat="1" applyFont="1" applyFill="1" applyBorder="1" applyAlignment="1" applyProtection="1">
      <alignment horizontal="left" vertical="center"/>
    </xf>
    <xf numFmtId="1" fontId="3" fillId="27" borderId="9" xfId="0" applyNumberFormat="1" applyFont="1" applyFill="1" applyBorder="1" applyAlignment="1" applyProtection="1">
      <alignment horizontal="left" vertical="center"/>
    </xf>
    <xf numFmtId="1" fontId="3" fillId="27" borderId="0" xfId="0" applyNumberFormat="1" applyFont="1" applyFill="1" applyBorder="1" applyAlignment="1" applyProtection="1">
      <alignment horizontal="left" vertical="center"/>
    </xf>
    <xf numFmtId="1" fontId="3" fillId="45" borderId="27" xfId="0" applyNumberFormat="1" applyFont="1" applyFill="1" applyBorder="1" applyAlignment="1" applyProtection="1">
      <alignment horizontal="center" vertical="top" wrapText="1"/>
    </xf>
    <xf numFmtId="1" fontId="3" fillId="7" borderId="29" xfId="0" applyNumberFormat="1" applyFont="1" applyFill="1" applyBorder="1" applyAlignment="1" applyProtection="1">
      <alignment horizontal="center" vertical="top" wrapText="1"/>
    </xf>
    <xf numFmtId="2" fontId="3" fillId="7" borderId="6" xfId="0" applyNumberFormat="1" applyFont="1" applyFill="1" applyBorder="1" applyAlignment="1" applyProtection="1">
      <alignment horizontal="center" vertical="center" textRotation="90" wrapText="1"/>
    </xf>
    <xf numFmtId="2" fontId="3" fillId="7" borderId="3" xfId="0" applyNumberFormat="1" applyFont="1" applyFill="1" applyBorder="1" applyAlignment="1" applyProtection="1">
      <alignment horizontal="center" vertical="center" textRotation="90" wrapText="1"/>
    </xf>
    <xf numFmtId="2" fontId="3" fillId="3" borderId="6" xfId="0" applyNumberFormat="1" applyFont="1" applyFill="1" applyBorder="1" applyAlignment="1" applyProtection="1">
      <alignment horizontal="center" vertical="center" textRotation="90" wrapText="1"/>
    </xf>
    <xf numFmtId="2" fontId="3" fillId="3" borderId="3" xfId="0" applyNumberFormat="1" applyFont="1" applyFill="1" applyBorder="1" applyAlignment="1" applyProtection="1">
      <alignment horizontal="center" vertical="center" textRotation="90" wrapText="1"/>
    </xf>
    <xf numFmtId="1" fontId="3" fillId="45" borderId="29" xfId="0" applyNumberFormat="1" applyFont="1" applyFill="1" applyBorder="1" applyAlignment="1" applyProtection="1">
      <alignment horizontal="center" vertical="top" wrapText="1"/>
    </xf>
    <xf numFmtId="0" fontId="3" fillId="8" borderId="27" xfId="0" applyFont="1" applyFill="1" applyBorder="1" applyAlignment="1">
      <alignment horizontal="center" textRotation="90" wrapText="1"/>
    </xf>
    <xf numFmtId="0" fontId="3" fillId="8" borderId="28" xfId="0" applyFont="1" applyFill="1" applyBorder="1" applyAlignment="1">
      <alignment horizontal="center" textRotation="90" wrapText="1"/>
    </xf>
    <xf numFmtId="0" fontId="2" fillId="0" borderId="27" xfId="0" applyFont="1" applyFill="1" applyBorder="1" applyAlignment="1">
      <alignment horizontal="center" textRotation="90" wrapText="1"/>
    </xf>
    <xf numFmtId="0" fontId="2" fillId="0" borderId="28" xfId="0" applyFont="1" applyFill="1" applyBorder="1" applyAlignment="1">
      <alignment horizontal="center" textRotation="90" wrapText="1"/>
    </xf>
    <xf numFmtId="0" fontId="2" fillId="0" borderId="3" xfId="0" applyFont="1" applyFill="1" applyBorder="1" applyAlignment="1">
      <alignment horizontal="center"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2" fillId="0" borderId="28" xfId="0" applyFont="1" applyFill="1" applyBorder="1" applyAlignment="1">
      <alignment horizontal="center" wrapText="1"/>
    </xf>
    <xf numFmtId="0" fontId="3" fillId="8" borderId="0" xfId="0" applyFont="1" applyFill="1" applyBorder="1" applyAlignment="1">
      <alignment horizontal="center" textRotation="90"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65" fillId="0" borderId="27" xfId="0" applyFont="1" applyBorder="1" applyAlignment="1" applyProtection="1">
      <alignment horizontal="center" vertical="center"/>
    </xf>
    <xf numFmtId="0" fontId="65" fillId="0" borderId="29" xfId="0" applyFont="1" applyBorder="1" applyAlignment="1" applyProtection="1">
      <alignment horizontal="center" vertical="center"/>
    </xf>
    <xf numFmtId="0" fontId="3" fillId="0" borderId="6" xfId="0" applyFont="1" applyBorder="1" applyAlignment="1" applyProtection="1">
      <alignment horizontal="left" vertical="center"/>
    </xf>
    <xf numFmtId="0" fontId="3" fillId="0" borderId="8" xfId="0" applyFont="1" applyBorder="1" applyAlignment="1" applyProtection="1">
      <alignment horizontal="left" vertical="center"/>
    </xf>
    <xf numFmtId="0" fontId="3" fillId="0" borderId="10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09" xfId="0" applyFont="1" applyBorder="1" applyAlignment="1" applyProtection="1">
      <alignment horizontal="left" vertical="center"/>
    </xf>
    <xf numFmtId="0" fontId="65" fillId="0" borderId="105" xfId="0" applyFont="1" applyBorder="1" applyAlignment="1" applyProtection="1">
      <alignment horizontal="center" vertical="center"/>
    </xf>
    <xf numFmtId="0" fontId="65" fillId="0" borderId="103" xfId="0" applyFont="1" applyBorder="1" applyAlignment="1" applyProtection="1">
      <alignment horizontal="center" vertical="center"/>
    </xf>
    <xf numFmtId="0" fontId="65" fillId="0" borderId="106" xfId="0" applyFont="1" applyBorder="1" applyAlignment="1" applyProtection="1">
      <alignment horizontal="center"/>
    </xf>
    <xf numFmtId="0" fontId="65" fillId="0" borderId="8" xfId="0" applyFont="1" applyBorder="1" applyAlignment="1" applyProtection="1">
      <alignment horizontal="center"/>
    </xf>
    <xf numFmtId="0" fontId="3" fillId="28" borderId="6" xfId="0" applyFont="1" applyFill="1" applyBorder="1" applyAlignment="1" applyProtection="1">
      <alignment horizontal="left" vertical="center"/>
    </xf>
    <xf numFmtId="0" fontId="3" fillId="28" borderId="8" xfId="0" applyFont="1" applyFill="1" applyBorder="1" applyAlignment="1" applyProtection="1">
      <alignment horizontal="left" vertical="center"/>
    </xf>
    <xf numFmtId="0" fontId="2" fillId="28" borderId="6" xfId="0" applyFont="1" applyFill="1" applyBorder="1"/>
    <xf numFmtId="0" fontId="2" fillId="28" borderId="8" xfId="0" applyFont="1" applyFill="1" applyBorder="1"/>
    <xf numFmtId="0" fontId="2" fillId="28" borderId="3" xfId="0" applyFont="1" applyFill="1" applyBorder="1"/>
    <xf numFmtId="0" fontId="2" fillId="28" borderId="0" xfId="0" applyFont="1" applyFill="1" applyBorder="1"/>
    <xf numFmtId="0" fontId="2" fillId="56" borderId="3" xfId="0" applyFont="1" applyFill="1" applyBorder="1"/>
    <xf numFmtId="0" fontId="2" fillId="56" borderId="0" xfId="0" applyFont="1" applyFill="1" applyBorder="1"/>
    <xf numFmtId="0" fontId="2" fillId="0" borderId="6"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3" fontId="2" fillId="28" borderId="4" xfId="0" applyNumberFormat="1" applyFont="1" applyFill="1" applyBorder="1" applyAlignment="1" applyProtection="1">
      <alignment horizontal="right"/>
    </xf>
    <xf numFmtId="3" fontId="2" fillId="28" borderId="5" xfId="0" applyNumberFormat="1" applyFont="1" applyFill="1" applyBorder="1" applyAlignment="1" applyProtection="1">
      <alignment horizontal="right"/>
    </xf>
    <xf numFmtId="0" fontId="2" fillId="28" borderId="6" xfId="0" applyFont="1" applyFill="1" applyBorder="1" applyAlignment="1" applyProtection="1">
      <alignment horizontal="left" vertical="center" wrapText="1"/>
    </xf>
    <xf numFmtId="0" fontId="2" fillId="28" borderId="8" xfId="0" applyFont="1" applyFill="1" applyBorder="1" applyAlignment="1" applyProtection="1">
      <alignment horizontal="left" vertical="center" wrapText="1"/>
    </xf>
    <xf numFmtId="3" fontId="2" fillId="28" borderId="4" xfId="0" applyNumberFormat="1" applyFont="1" applyFill="1" applyBorder="1" applyAlignment="1" applyProtection="1">
      <alignment horizontal="left" vertical="center"/>
    </xf>
    <xf numFmtId="3" fontId="2" fillId="28" borderId="5" xfId="0" applyNumberFormat="1" applyFont="1" applyFill="1" applyBorder="1" applyAlignment="1" applyProtection="1">
      <alignment horizontal="left" vertical="center"/>
    </xf>
    <xf numFmtId="0" fontId="3" fillId="0" borderId="6" xfId="0" applyFont="1" applyBorder="1" applyAlignment="1" applyProtection="1">
      <alignment horizontal="center" vertical="center"/>
    </xf>
    <xf numFmtId="0" fontId="3" fillId="0" borderId="10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109" xfId="0" applyFont="1" applyBorder="1" applyAlignment="1" applyProtection="1">
      <alignment horizontal="center" vertical="center"/>
    </xf>
    <xf numFmtId="3" fontId="0" fillId="28" borderId="2" xfId="0" applyNumberFormat="1" applyFill="1" applyBorder="1" applyAlignment="1" applyProtection="1">
      <alignment vertical="center"/>
    </xf>
    <xf numFmtId="3" fontId="0" fillId="28" borderId="9" xfId="0" applyNumberFormat="1" applyFill="1" applyBorder="1" applyAlignment="1" applyProtection="1">
      <alignment vertical="center"/>
    </xf>
    <xf numFmtId="0" fontId="3" fillId="0" borderId="7"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2" xfId="0" applyFont="1" applyBorder="1" applyAlignment="1" applyProtection="1">
      <alignment horizontal="center" vertical="center"/>
    </xf>
    <xf numFmtId="0" fontId="0" fillId="28" borderId="6" xfId="0" applyFill="1" applyBorder="1" applyAlignment="1" applyProtection="1">
      <alignment vertical="center"/>
    </xf>
    <xf numFmtId="0" fontId="0" fillId="28" borderId="3" xfId="0" applyFill="1" applyBorder="1" applyAlignment="1" applyProtection="1">
      <alignment vertical="center"/>
    </xf>
    <xf numFmtId="3" fontId="0" fillId="28" borderId="7" xfId="0" applyNumberFormat="1" applyFill="1" applyBorder="1" applyAlignment="1" applyProtection="1">
      <alignment vertical="center"/>
    </xf>
    <xf numFmtId="0" fontId="0" fillId="28" borderId="4" xfId="0" applyFill="1" applyBorder="1" applyAlignment="1" applyProtection="1">
      <alignment vertical="center"/>
    </xf>
    <xf numFmtId="0" fontId="2" fillId="0" borderId="37" xfId="0" applyFont="1" applyFill="1" applyBorder="1" applyAlignment="1">
      <alignment horizontal="center" vertical="center" wrapText="1"/>
    </xf>
    <xf numFmtId="0" fontId="2" fillId="0" borderId="16" xfId="0" applyFont="1" applyFill="1" applyBorder="1" applyAlignment="1">
      <alignment horizontal="center" vertical="center" wrapText="1"/>
    </xf>
    <xf numFmtId="185" fontId="2" fillId="19" borderId="27" xfId="15" applyNumberFormat="1" applyFont="1" applyFill="1" applyBorder="1" applyAlignment="1">
      <alignment horizontal="center" vertical="top" wrapText="1"/>
    </xf>
    <xf numFmtId="185" fontId="2" fillId="19" borderId="29" xfId="15" applyNumberFormat="1" applyFont="1" applyFill="1" applyBorder="1" applyAlignment="1">
      <alignment horizontal="center" vertical="top" wrapText="1"/>
    </xf>
    <xf numFmtId="0" fontId="2" fillId="19" borderId="50" xfId="15" applyFont="1" applyFill="1" applyBorder="1" applyAlignment="1">
      <alignment horizontal="center" vertical="top"/>
    </xf>
    <xf numFmtId="0" fontId="2" fillId="19" borderId="3" xfId="15" applyFont="1" applyFill="1" applyBorder="1" applyAlignment="1">
      <alignment horizontal="center" vertical="top"/>
    </xf>
    <xf numFmtId="185" fontId="3" fillId="19" borderId="0" xfId="15" applyNumberFormat="1" applyFont="1" applyFill="1" applyBorder="1" applyAlignment="1">
      <alignment horizontal="center"/>
    </xf>
    <xf numFmtId="185" fontId="3" fillId="19" borderId="5" xfId="15" applyNumberFormat="1" applyFont="1" applyFill="1" applyBorder="1" applyAlignment="1">
      <alignment horizontal="center"/>
    </xf>
    <xf numFmtId="165" fontId="3" fillId="19" borderId="5" xfId="15" applyNumberFormat="1" applyFont="1" applyFill="1" applyBorder="1" applyAlignment="1">
      <alignment horizontal="center"/>
    </xf>
    <xf numFmtId="165" fontId="3" fillId="19" borderId="0" xfId="15" applyNumberFormat="1" applyFont="1" applyFill="1" applyBorder="1" applyAlignment="1">
      <alignment horizontal="center"/>
    </xf>
    <xf numFmtId="0" fontId="77" fillId="28" borderId="0" xfId="17" applyFont="1" applyFill="1" applyBorder="1" applyAlignment="1">
      <alignment horizontal="right"/>
    </xf>
    <xf numFmtId="0" fontId="0" fillId="0" borderId="2" xfId="0" applyBorder="1" applyAlignment="1">
      <alignment horizontal="right"/>
    </xf>
    <xf numFmtId="0" fontId="3" fillId="28" borderId="8" xfId="0" applyFont="1" applyFill="1" applyBorder="1" applyAlignment="1">
      <alignment horizontal="right"/>
    </xf>
    <xf numFmtId="0" fontId="0" fillId="0" borderId="8" xfId="0" applyBorder="1" applyAlignment="1">
      <alignment horizontal="right"/>
    </xf>
    <xf numFmtId="0" fontId="0" fillId="0" borderId="8" xfId="0" applyBorder="1" applyAlignment="1"/>
    <xf numFmtId="172" fontId="77" fillId="28" borderId="0" xfId="17" applyNumberFormat="1" applyFont="1" applyFill="1" applyBorder="1" applyAlignment="1"/>
    <xf numFmtId="0" fontId="0" fillId="0" borderId="0" xfId="0" applyBorder="1" applyAlignment="1"/>
    <xf numFmtId="172" fontId="0" fillId="0" borderId="0" xfId="0" applyNumberFormat="1" applyBorder="1" applyAlignment="1"/>
    <xf numFmtId="0" fontId="77" fillId="28" borderId="3" xfId="17" applyFont="1" applyFill="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76" fillId="0" borderId="6" xfId="17" applyFont="1" applyFill="1" applyBorder="1" applyAlignment="1">
      <alignment horizontal="center" vertical="center" wrapText="1"/>
    </xf>
    <xf numFmtId="0" fontId="0" fillId="0" borderId="7" xfId="0" applyFill="1" applyBorder="1" applyAlignment="1"/>
    <xf numFmtId="0" fontId="0" fillId="0" borderId="3" xfId="0" applyFill="1" applyBorder="1" applyAlignment="1">
      <alignment horizontal="center" vertical="center" wrapText="1"/>
    </xf>
    <xf numFmtId="0" fontId="0" fillId="0" borderId="2" xfId="0" applyFill="1" applyBorder="1" applyAlignment="1"/>
    <xf numFmtId="0" fontId="76" fillId="0" borderId="5" xfId="17" applyFont="1" applyFill="1" applyBorder="1" applyAlignment="1">
      <alignment horizontal="left" vertical="top" wrapText="1"/>
    </xf>
    <xf numFmtId="0" fontId="0" fillId="0" borderId="5" xfId="0" applyFill="1" applyBorder="1" applyAlignment="1">
      <alignment horizontal="left" vertical="top" wrapText="1"/>
    </xf>
    <xf numFmtId="0" fontId="76" fillId="28" borderId="0" xfId="17" applyFont="1" applyFill="1" applyBorder="1" applyAlignment="1">
      <alignment horizontal="center" vertical="center" wrapText="1"/>
    </xf>
    <xf numFmtId="0" fontId="76" fillId="28" borderId="49" xfId="17" applyFont="1" applyFill="1" applyBorder="1" applyAlignment="1">
      <alignment horizontal="center"/>
    </xf>
    <xf numFmtId="0" fontId="76" fillId="28" borderId="26" xfId="17" applyFont="1" applyFill="1" applyBorder="1" applyAlignment="1">
      <alignment horizontal="center"/>
    </xf>
    <xf numFmtId="0" fontId="76" fillId="28" borderId="57" xfId="17" applyFont="1" applyFill="1" applyBorder="1" applyAlignment="1">
      <alignment horizontal="center"/>
    </xf>
    <xf numFmtId="0" fontId="76" fillId="28" borderId="27" xfId="17" applyFont="1" applyFill="1" applyBorder="1" applyAlignment="1">
      <alignment horizontal="center" vertical="center" wrapText="1"/>
    </xf>
    <xf numFmtId="0" fontId="76" fillId="28" borderId="28" xfId="17" applyFont="1" applyFill="1" applyBorder="1" applyAlignment="1">
      <alignment horizontal="center" vertical="center" wrapText="1"/>
    </xf>
    <xf numFmtId="0" fontId="0" fillId="0" borderId="26" xfId="0" applyBorder="1" applyAlignment="1"/>
    <xf numFmtId="0" fontId="0" fillId="0" borderId="57" xfId="0" applyBorder="1" applyAlignment="1"/>
    <xf numFmtId="0" fontId="76" fillId="28" borderId="0" xfId="17" applyFont="1" applyFill="1" applyAlignment="1">
      <alignment horizontal="left" vertical="top" wrapText="1"/>
    </xf>
    <xf numFmtId="0" fontId="76" fillId="28" borderId="29" xfId="17" applyFont="1" applyFill="1" applyBorder="1" applyAlignment="1">
      <alignment horizontal="center" vertical="center" wrapText="1"/>
    </xf>
    <xf numFmtId="0" fontId="76" fillId="28" borderId="6" xfId="17" applyFont="1" applyFill="1" applyBorder="1" applyAlignment="1">
      <alignment horizontal="center"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26" xfId="0" applyBorder="1" applyAlignment="1">
      <alignment horizontal="center"/>
    </xf>
    <xf numFmtId="0" fontId="0" fillId="0" borderId="57"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7" fillId="28" borderId="3" xfId="0" applyFont="1" applyFill="1" applyBorder="1" applyAlignment="1">
      <alignment horizontal="center"/>
    </xf>
    <xf numFmtId="0" fontId="7" fillId="0" borderId="2" xfId="0" applyFont="1" applyBorder="1" applyAlignment="1">
      <alignment horizontal="center"/>
    </xf>
    <xf numFmtId="0" fontId="76" fillId="28" borderId="0" xfId="17" applyFont="1" applyFill="1" applyAlignment="1">
      <alignment wrapText="1"/>
    </xf>
    <xf numFmtId="0" fontId="0" fillId="0" borderId="0" xfId="0" applyAlignment="1">
      <alignment wrapText="1"/>
    </xf>
    <xf numFmtId="0" fontId="76" fillId="28" borderId="4" xfId="17" applyFont="1" applyFill="1" applyBorder="1" applyAlignment="1">
      <alignment horizontal="left"/>
    </xf>
    <xf numFmtId="0" fontId="0" fillId="0" borderId="9" xfId="0" applyBorder="1" applyAlignment="1"/>
    <xf numFmtId="0" fontId="76" fillId="28" borderId="6" xfId="17" applyFont="1" applyFill="1"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9" xfId="0" applyBorder="1" applyAlignment="1">
      <alignment wrapText="1"/>
    </xf>
    <xf numFmtId="0" fontId="76" fillId="28" borderId="3" xfId="17" applyFont="1" applyFill="1" applyBorder="1" applyAlignment="1">
      <alignment horizontal="left"/>
    </xf>
    <xf numFmtId="0" fontId="76" fillId="28" borderId="2" xfId="17" applyFont="1" applyFill="1" applyBorder="1" applyAlignment="1">
      <alignment horizontal="left"/>
    </xf>
    <xf numFmtId="0" fontId="76" fillId="28" borderId="3" xfId="17" applyFont="1" applyFill="1" applyBorder="1" applyAlignment="1">
      <alignment horizontal="left" wrapText="1"/>
    </xf>
    <xf numFmtId="0" fontId="76" fillId="28" borderId="4" xfId="17" applyFont="1" applyFill="1" applyBorder="1" applyAlignment="1">
      <alignment horizontal="left" wrapText="1"/>
    </xf>
    <xf numFmtId="0" fontId="3" fillId="2" borderId="8" xfId="0" applyFont="1" applyFill="1" applyBorder="1" applyAlignment="1">
      <alignment horizontal="center"/>
    </xf>
    <xf numFmtId="0" fontId="0" fillId="0" borderId="8" xfId="0" applyBorder="1"/>
    <xf numFmtId="0" fontId="0" fillId="0" borderId="7"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42" fillId="0" borderId="0" xfId="0" applyFont="1" applyAlignment="1">
      <alignment vertical="top" wrapText="1"/>
    </xf>
    <xf numFmtId="0" fontId="42" fillId="0" borderId="0" xfId="0" applyFont="1" applyAlignment="1">
      <alignment horizontal="left" vertical="top" wrapText="1"/>
    </xf>
    <xf numFmtId="0" fontId="42" fillId="0" borderId="0" xfId="0" applyFont="1" applyAlignment="1">
      <alignment horizontal="left"/>
    </xf>
    <xf numFmtId="0" fontId="42" fillId="0" borderId="0" xfId="0" applyFont="1" applyBorder="1" applyAlignment="1">
      <alignment horizontal="left"/>
    </xf>
    <xf numFmtId="3" fontId="44" fillId="0" borderId="15" xfId="0" applyNumberFormat="1" applyFont="1" applyFill="1" applyBorder="1" applyAlignment="1">
      <alignment vertical="center" wrapText="1"/>
    </xf>
    <xf numFmtId="0" fontId="42" fillId="0" borderId="15" xfId="0" applyFont="1" applyBorder="1" applyAlignment="1">
      <alignment vertical="center" wrapText="1"/>
    </xf>
    <xf numFmtId="3" fontId="44" fillId="0" borderId="15" xfId="0" quotePrefix="1" applyNumberFormat="1" applyFont="1" applyFill="1" applyBorder="1" applyAlignment="1">
      <alignment vertical="center" wrapText="1"/>
    </xf>
    <xf numFmtId="0" fontId="42" fillId="0" borderId="0" xfId="0" applyFont="1" applyAlignment="1">
      <alignment wrapText="1"/>
    </xf>
    <xf numFmtId="0" fontId="58" fillId="26" borderId="14" xfId="0" applyFont="1" applyFill="1" applyBorder="1" applyAlignment="1">
      <alignment horizontal="center" vertical="top" wrapText="1"/>
    </xf>
    <xf numFmtId="0" fontId="58" fillId="26" borderId="45" xfId="0" applyFont="1" applyFill="1" applyBorder="1" applyAlignment="1">
      <alignment horizontal="center" vertical="top" wrapText="1"/>
    </xf>
    <xf numFmtId="3" fontId="8" fillId="0" borderId="46" xfId="0" applyNumberFormat="1" applyFont="1" applyFill="1" applyBorder="1" applyAlignment="1">
      <alignment horizontal="center" vertical="center" textRotation="90" wrapText="1"/>
    </xf>
    <xf numFmtId="0" fontId="26" fillId="0" borderId="14" xfId="0" applyFont="1" applyBorder="1" applyAlignment="1">
      <alignment horizontal="center" vertical="center" textRotation="90" wrapText="1"/>
    </xf>
    <xf numFmtId="0" fontId="26" fillId="0" borderId="45" xfId="0" applyFont="1" applyBorder="1" applyAlignment="1">
      <alignment horizontal="center" vertical="center" textRotation="90"/>
    </xf>
    <xf numFmtId="3" fontId="36" fillId="0" borderId="46" xfId="0" applyNumberFormat="1" applyFont="1" applyFill="1" applyBorder="1" applyAlignment="1">
      <alignment horizontal="center" vertical="center" textRotation="90" wrapText="1"/>
    </xf>
    <xf numFmtId="0" fontId="37" fillId="0" borderId="14" xfId="0" applyFont="1" applyBorder="1" applyAlignment="1">
      <alignment horizontal="center" vertical="center" textRotation="90" wrapText="1"/>
    </xf>
    <xf numFmtId="0" fontId="37" fillId="0" borderId="45" xfId="0" applyFont="1" applyBorder="1" applyAlignment="1">
      <alignment horizontal="center" vertical="center" textRotation="90"/>
    </xf>
    <xf numFmtId="3" fontId="3" fillId="12" borderId="46" xfId="0" applyNumberFormat="1" applyFont="1" applyFill="1" applyBorder="1" applyAlignment="1">
      <alignment horizontal="center" vertical="top" wrapText="1"/>
    </xf>
    <xf numFmtId="0" fontId="0" fillId="12" borderId="14" xfId="0" applyFill="1" applyBorder="1" applyAlignment="1">
      <alignment horizontal="center" vertical="top" wrapText="1"/>
    </xf>
    <xf numFmtId="0" fontId="0" fillId="12" borderId="45" xfId="0" applyFill="1" applyBorder="1" applyAlignment="1">
      <alignment horizontal="center"/>
    </xf>
    <xf numFmtId="3" fontId="2" fillId="13" borderId="32" xfId="0" quotePrefix="1" applyNumberFormat="1" applyFont="1" applyFill="1" applyBorder="1" applyAlignment="1">
      <alignment horizontal="center" vertical="center" wrapText="1"/>
    </xf>
    <xf numFmtId="3" fontId="3" fillId="10" borderId="46" xfId="0" quotePrefix="1" applyNumberFormat="1" applyFont="1" applyFill="1" applyBorder="1" applyAlignment="1">
      <alignment horizontal="center" vertical="top" wrapText="1"/>
    </xf>
    <xf numFmtId="3" fontId="3" fillId="10" borderId="14" xfId="0" quotePrefix="1" applyNumberFormat="1" applyFont="1" applyFill="1" applyBorder="1" applyAlignment="1">
      <alignment horizontal="center" vertical="top" wrapText="1"/>
    </xf>
    <xf numFmtId="3" fontId="3" fillId="10" borderId="45" xfId="0" quotePrefix="1" applyNumberFormat="1" applyFont="1" applyFill="1" applyBorder="1" applyAlignment="1">
      <alignment horizontal="center" vertical="top" wrapText="1"/>
    </xf>
    <xf numFmtId="3" fontId="3" fillId="0" borderId="30" xfId="0" applyNumberFormat="1" applyFont="1" applyFill="1" applyBorder="1" applyAlignment="1">
      <alignment horizontal="center" vertical="top" wrapText="1"/>
    </xf>
    <xf numFmtId="0" fontId="0" fillId="0" borderId="30" xfId="0" applyBorder="1" applyAlignment="1">
      <alignment horizontal="center" vertical="top" wrapText="1"/>
    </xf>
    <xf numFmtId="0" fontId="9" fillId="26" borderId="14" xfId="0" applyFont="1" applyFill="1" applyBorder="1" applyAlignment="1">
      <alignment horizontal="center" vertical="top" wrapText="1"/>
    </xf>
    <xf numFmtId="0" fontId="57" fillId="12" borderId="14" xfId="0" applyFont="1" applyFill="1" applyBorder="1" applyAlignment="1">
      <alignment horizontal="center" vertical="top" wrapText="1"/>
    </xf>
    <xf numFmtId="0" fontId="57" fillId="12" borderId="45" xfId="0" applyFont="1" applyFill="1" applyBorder="1" applyAlignment="1">
      <alignment horizontal="center" vertical="top" wrapText="1"/>
    </xf>
    <xf numFmtId="3" fontId="3" fillId="12" borderId="14" xfId="0" applyNumberFormat="1" applyFont="1" applyFill="1" applyBorder="1" applyAlignment="1">
      <alignment horizontal="center" vertical="top" wrapText="1"/>
    </xf>
  </cellXfs>
  <cellStyles count="51">
    <cellStyle name="__" xfId="49" xr:uid="{EC513181-941A-4D7F-B8C4-0579A1EA86A3}"/>
    <cellStyle name="20 % - Accent1 2" xfId="36" xr:uid="{9EEFC810-E878-438A-984C-6AA19948C949}"/>
    <cellStyle name="20 % - Accent3 2" xfId="37" xr:uid="{A1F87488-A279-4699-939A-EF0DB924C322}"/>
    <cellStyle name="Comma 2" xfId="30" xr:uid="{F58DDA58-065C-45CF-9B66-1AFF466608F1}"/>
    <cellStyle name="Comma_IRBtemplate" xfId="1" xr:uid="{00000000-0005-0000-0000-000001000000}"/>
    <cellStyle name="Dezimal 2" xfId="2" xr:uid="{00000000-0005-0000-0000-000002000000}"/>
    <cellStyle name="Dezimal 2 2" xfId="21" xr:uid="{00000000-0005-0000-0000-000003000000}"/>
    <cellStyle name="Dezimal 3" xfId="22" xr:uid="{00000000-0005-0000-0000-000004000000}"/>
    <cellStyle name="Dezimal 3 2" xfId="25" xr:uid="{00000000-0005-0000-0000-000005000000}"/>
    <cellStyle name="Dezimal_Template_SSTVs25B" xfId="3" xr:uid="{00000000-0005-0000-0000-000006000000}"/>
    <cellStyle name="Dezimal_Verfeinerte_Gliederung_Aktiven_Passiven_V11" xfId="4" xr:uid="{00000000-0005-0000-0000-000007000000}"/>
    <cellStyle name="Hyperlink 2" xfId="5" xr:uid="{00000000-0005-0000-0000-000009000000}"/>
    <cellStyle name="Hyperlink 2 2" xfId="31" xr:uid="{20551972-7050-4E83-8E98-817F86CCD490}"/>
    <cellStyle name="Komma 2" xfId="24" xr:uid="{00000000-0005-0000-0000-00000A000000}"/>
    <cellStyle name="Komma 2 2" xfId="38" xr:uid="{78461F14-D2AD-42E1-8F82-EA6A51497A81}"/>
    <cellStyle name="Komma 3" xfId="26" xr:uid="{00000000-0005-0000-0000-00000B000000}"/>
    <cellStyle name="Komma 3 2" xfId="29" xr:uid="{CDBDA681-2F98-4303-AB74-FA8C69CFB26F}"/>
    <cellStyle name="Lien hypertexte" xfId="7" builtinId="8"/>
    <cellStyle name="Link 2" xfId="23" xr:uid="{00000000-0005-0000-0000-00000C000000}"/>
    <cellStyle name="Milliers" xfId="6" builtinId="3"/>
    <cellStyle name="Normal" xfId="0" builtinId="0"/>
    <cellStyle name="Normal 2" xfId="8" xr:uid="{00000000-0005-0000-0000-00000E000000}"/>
    <cellStyle name="Normal 3" xfId="9" xr:uid="{00000000-0005-0000-0000-00000F000000}"/>
    <cellStyle name="Normal 4" xfId="32" xr:uid="{C118D7CD-21AA-4FA8-91CE-8404CCEC2CA1}"/>
    <cellStyle name="Normal 5" xfId="39" xr:uid="{F8B9D3B1-79F3-45C9-8857-77A840DDC273}"/>
    <cellStyle name="Normal 6" xfId="40" xr:uid="{1D4E6059-5906-45D1-BD48-736E51191854}"/>
    <cellStyle name="Normal_QISAustria" xfId="10" xr:uid="{00000000-0005-0000-0000-000010000000}"/>
    <cellStyle name="Percent 2" xfId="33" xr:uid="{501B9780-A1EF-4628-8D34-B83C8D4AED10}"/>
    <cellStyle name="Pourcentage" xfId="11" builtinId="5"/>
    <cellStyle name="Prozent 2" xfId="12" xr:uid="{00000000-0005-0000-0000-000012000000}"/>
    <cellStyle name="Prozent 2 2" xfId="34" xr:uid="{0AC619F2-3A01-4139-9D89-DB6822A16EE2}"/>
    <cellStyle name="Prozent 3" xfId="13" xr:uid="{00000000-0005-0000-0000-000013000000}"/>
    <cellStyle name="Prozent 4" xfId="14" xr:uid="{00000000-0005-0000-0000-000014000000}"/>
    <cellStyle name="Prozent 4 2" xfId="44" xr:uid="{F5A7B471-0B5A-4244-A9AC-0D2DF626F961}"/>
    <cellStyle name="Prozent 5" xfId="35" xr:uid="{B3AFA80D-A7B1-44A4-9C1E-B4E9E161C1E4}"/>
    <cellStyle name="Prozent 6" xfId="47" xr:uid="{1E389336-45BA-4757-934F-90B67A4BAED0}"/>
    <cellStyle name="Prozent 7" xfId="27" xr:uid="{00000000-0005-0000-0000-000015000000}"/>
    <cellStyle name="Standard 10" xfId="45" xr:uid="{5421F802-1A69-4873-B93B-A67616D2B1A7}"/>
    <cellStyle name="Standard 10 2" xfId="48" xr:uid="{2D2C99BF-FE64-4AE7-8054-AA40884DBE6D}"/>
    <cellStyle name="Standard 11" xfId="46" xr:uid="{AF3B13E9-D87B-4130-8A89-7BAC138B5046}"/>
    <cellStyle name="Standard 12" xfId="50" xr:uid="{43C31AF9-A34F-423A-B0C1-0A17292E5EAE}"/>
    <cellStyle name="Standard 2" xfId="15" xr:uid="{00000000-0005-0000-0000-000016000000}"/>
    <cellStyle name="Standard 2 2" xfId="16" xr:uid="{00000000-0005-0000-0000-000017000000}"/>
    <cellStyle name="Standard 3" xfId="17" xr:uid="{00000000-0005-0000-0000-000018000000}"/>
    <cellStyle name="Standard 3 2" xfId="41" xr:uid="{E60BEDBA-0FCF-441D-8FC3-8B0FCFB394D9}"/>
    <cellStyle name="Standard 4" xfId="18" xr:uid="{00000000-0005-0000-0000-000019000000}"/>
    <cellStyle name="Standard 5" xfId="19" xr:uid="{00000000-0005-0000-0000-00001A000000}"/>
    <cellStyle name="Standard 6" xfId="42" xr:uid="{C3FF771D-281A-4949-B7F8-3CA5A0F1ED88}"/>
    <cellStyle name="Standard 7" xfId="20" xr:uid="{00000000-0005-0000-0000-00001B000000}"/>
    <cellStyle name="Standard 8" xfId="43" xr:uid="{3E3F6AA5-851F-46A6-A3EC-E522888C8CDD}"/>
    <cellStyle name="Standard 9" xfId="28" xr:uid="{2D98CAC5-F84F-45BB-A97A-1AA2E109DFAB}"/>
  </cellStyles>
  <dxfs count="84">
    <dxf>
      <fill>
        <patternFill>
          <bgColor indexed="10"/>
        </patternFill>
      </fill>
    </dxf>
    <dxf>
      <fill>
        <patternFill>
          <bgColor indexed="11"/>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ont>
        <b/>
        <i val="0"/>
        <condense val="0"/>
        <extend val="0"/>
      </font>
    </dxf>
    <dxf>
      <fill>
        <patternFill>
          <bgColor rgb="FFFF0000"/>
        </patternFill>
      </fill>
    </dxf>
    <dxf>
      <font>
        <b/>
        <i val="0"/>
        <condense val="0"/>
        <extend val="0"/>
      </font>
    </dxf>
    <dxf>
      <fill>
        <patternFill>
          <bgColor rgb="FFFF0000"/>
        </patternFill>
      </fill>
    </dxf>
    <dxf>
      <fill>
        <patternFill>
          <bgColor theme="9" tint="-0.24994659260841701"/>
        </patternFill>
      </fill>
    </dxf>
    <dxf>
      <fill>
        <patternFill>
          <bgColor rgb="FFFF0000"/>
        </patternFill>
      </fill>
    </dxf>
    <dxf>
      <font>
        <color theme="0"/>
      </font>
      <fill>
        <patternFill>
          <bgColor theme="0"/>
        </patternFill>
      </fill>
    </dxf>
    <dxf>
      <font>
        <color rgb="FFFF0000"/>
      </font>
      <fill>
        <patternFill>
          <bgColor rgb="FFFFFF00"/>
        </patternFill>
      </fill>
    </dxf>
    <dxf>
      <font>
        <b/>
        <i val="0"/>
        <condense val="0"/>
        <extend val="0"/>
      </font>
    </dxf>
    <dxf>
      <font>
        <b/>
        <i val="0"/>
        <condense val="0"/>
        <extend val="0"/>
      </font>
    </dxf>
    <dxf>
      <font>
        <b/>
        <i val="0"/>
        <condense val="0"/>
        <extend val="0"/>
      </font>
    </dxf>
    <dxf>
      <font>
        <b/>
        <i val="0"/>
        <condense val="0"/>
        <extend val="0"/>
      </font>
    </dxf>
    <dxf>
      <font>
        <condense val="0"/>
        <extend val="0"/>
      </font>
      <fill>
        <patternFill>
          <bgColor indexed="13"/>
        </patternFill>
      </fill>
    </dxf>
    <dxf>
      <font>
        <b/>
        <i val="0"/>
        <condense val="0"/>
        <extend val="0"/>
      </font>
    </dxf>
    <dxf>
      <font>
        <condense val="0"/>
        <extend val="0"/>
      </font>
      <fill>
        <patternFill>
          <bgColor indexed="13"/>
        </patternFill>
      </fill>
    </dxf>
    <dxf>
      <font>
        <condense val="0"/>
        <extend val="0"/>
        <color indexed="12"/>
      </font>
    </dxf>
    <dxf>
      <font>
        <b/>
        <i val="0"/>
        <condense val="0"/>
        <extend val="0"/>
      </font>
    </dxf>
    <dxf>
      <fill>
        <patternFill>
          <bgColor rgb="FFFF0000"/>
        </patternFill>
      </fill>
    </dxf>
    <dxf>
      <fill>
        <patternFill>
          <bgColor rgb="FF00FF00"/>
        </patternFill>
      </fill>
    </dxf>
    <dxf>
      <fill>
        <patternFill>
          <bgColor theme="9" tint="-0.24994659260841701"/>
        </patternFill>
      </fill>
    </dxf>
    <dxf>
      <fill>
        <patternFill>
          <bgColor rgb="FFFF000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9" defaultPivotStyle="PivotStyleLight16"/>
  <colors>
    <mruColors>
      <color rgb="FFFFFF99"/>
      <color rgb="FF33CCFF"/>
      <color rgb="FF99CCFF"/>
      <color rgb="FF66FF66"/>
      <color rgb="FFFFCC00"/>
      <color rgb="FFFF9933"/>
      <color rgb="FF0080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List" dx="22" fmlaLink="Translation!$E$3" fmlaRange="Translation!$B$4:$B$6" noThreeD="1" sel="1"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66675</xdr:rowOff>
        </xdr:from>
        <xdr:to>
          <xdr:col>7</xdr:col>
          <xdr:colOff>323850</xdr:colOff>
          <xdr:row>9</xdr:row>
          <xdr:rowOff>142875</xdr:rowOff>
        </xdr:to>
        <xdr:sp macro="" textlink="">
          <xdr:nvSpPr>
            <xdr:cNvPr id="210950" name="List Box 6" hidden="1">
              <a:extLst>
                <a:ext uri="{63B3BB69-23CF-44E3-9099-C40C66FF867C}">
                  <a14:compatExt spid="_x0000_s210950"/>
                </a:ext>
                <a:ext uri="{FF2B5EF4-FFF2-40B4-BE49-F238E27FC236}">
                  <a16:creationId xmlns:a16="http://schemas.microsoft.com/office/drawing/2014/main" id="{00000000-0008-0000-0000-000006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6350</xdr:colOff>
      <xdr:row>1</xdr:row>
      <xdr:rowOff>50800</xdr:rowOff>
    </xdr:from>
    <xdr:to>
      <xdr:col>15</xdr:col>
      <xdr:colOff>317500</xdr:colOff>
      <xdr:row>5</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035550" y="292100"/>
          <a:ext cx="4616450" cy="14732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solidFill>
                <a:schemeClr val="dk1"/>
              </a:solidFill>
              <a:latin typeface="+mn-lt"/>
              <a:ea typeface="+mn-ea"/>
              <a:cs typeface="+mn-cs"/>
            </a:rPr>
            <a:t>Als Delta - Änderung  des RTK</a:t>
          </a:r>
          <a:endParaRPr lang="en-US" sz="1000"/>
        </a:p>
        <a:p>
          <a:endParaRPr lang="en-US" sz="1000">
            <a:solidFill>
              <a:schemeClr val="dk1"/>
            </a:solidFill>
            <a:latin typeface="+mn-lt"/>
            <a:ea typeface="+mn-ea"/>
            <a:cs typeface="+mn-cs"/>
          </a:endParaRPr>
        </a:p>
        <a:p>
          <a:endParaRPr lang="en-US" sz="1000"/>
        </a:p>
        <a:p>
          <a:endParaRPr lang="en-US" sz="1000"/>
        </a:p>
        <a:p>
          <a:r>
            <a:rPr lang="en-US" sz="1000"/>
            <a:t>wird die 1.Ordnung  in der Taylor-Approximation des </a:t>
          </a:r>
          <a:r>
            <a:rPr lang="en-US" sz="1000" baseline="0"/>
            <a:t> funktionalen Zusammenhanges  zwischen dem RTK und den Risikofaktoren bezeichnet: </a:t>
          </a:r>
          <a:endParaRPr lang="en-US" sz="1000"/>
        </a:p>
      </xdr:txBody>
    </xdr:sp>
    <xdr:clientData/>
  </xdr:twoCellAnchor>
  <xdr:twoCellAnchor>
    <xdr:from>
      <xdr:col>9</xdr:col>
      <xdr:colOff>590550</xdr:colOff>
      <xdr:row>3</xdr:row>
      <xdr:rowOff>57150</xdr:rowOff>
    </xdr:from>
    <xdr:to>
      <xdr:col>14</xdr:col>
      <xdr:colOff>295275</xdr:colOff>
      <xdr:row>4</xdr:row>
      <xdr:rowOff>142875</xdr:rowOff>
    </xdr:to>
    <xdr:pic>
      <xdr:nvPicPr>
        <xdr:cNvPr id="1759671" name="Picture 366">
          <a:extLst>
            <a:ext uri="{FF2B5EF4-FFF2-40B4-BE49-F238E27FC236}">
              <a16:creationId xmlns:a16="http://schemas.microsoft.com/office/drawing/2014/main" id="{00000000-0008-0000-0800-0000B7D9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5" y="1314450"/>
          <a:ext cx="2600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466725</xdr:colOff>
      <xdr:row>1</xdr:row>
      <xdr:rowOff>209550</xdr:rowOff>
    </xdr:from>
    <xdr:to>
      <xdr:col>12</xdr:col>
      <xdr:colOff>304800</xdr:colOff>
      <xdr:row>1</xdr:row>
      <xdr:rowOff>552450</xdr:rowOff>
    </xdr:to>
    <xdr:pic>
      <xdr:nvPicPr>
        <xdr:cNvPr id="1759672" name="Picture 367">
          <a:extLst>
            <a:ext uri="{FF2B5EF4-FFF2-40B4-BE49-F238E27FC236}">
              <a16:creationId xmlns:a16="http://schemas.microsoft.com/office/drawing/2014/main" id="{00000000-0008-0000-0800-0000B8D9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77100" y="44767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66675</xdr:colOff>
      <xdr:row>19</xdr:row>
      <xdr:rowOff>142875</xdr:rowOff>
    </xdr:from>
    <xdr:to>
      <xdr:col>10</xdr:col>
      <xdr:colOff>409575</xdr:colOff>
      <xdr:row>21</xdr:row>
      <xdr:rowOff>104775</xdr:rowOff>
    </xdr:to>
    <xdr:sp macro="" textlink="">
      <xdr:nvSpPr>
        <xdr:cNvPr id="1760969" name="Line 8">
          <a:extLst>
            <a:ext uri="{FF2B5EF4-FFF2-40B4-BE49-F238E27FC236}">
              <a16:creationId xmlns:a16="http://schemas.microsoft.com/office/drawing/2014/main" id="{00000000-0008-0000-0900-0000C9DE1A00}"/>
            </a:ext>
          </a:extLst>
        </xdr:cNvPr>
        <xdr:cNvSpPr>
          <a:spLocks noChangeShapeType="1"/>
        </xdr:cNvSpPr>
      </xdr:nvSpPr>
      <xdr:spPr bwMode="auto">
        <a:xfrm flipH="1" flipV="1">
          <a:off x="7972425" y="4010025"/>
          <a:ext cx="2238375" cy="3429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161925</xdr:rowOff>
    </xdr:from>
    <xdr:to>
      <xdr:col>5</xdr:col>
      <xdr:colOff>219075</xdr:colOff>
      <xdr:row>26</xdr:row>
      <xdr:rowOff>342900</xdr:rowOff>
    </xdr:to>
    <xdr:sp macro="" textlink="">
      <xdr:nvSpPr>
        <xdr:cNvPr id="1760970" name="Line 3">
          <a:extLst>
            <a:ext uri="{FF2B5EF4-FFF2-40B4-BE49-F238E27FC236}">
              <a16:creationId xmlns:a16="http://schemas.microsoft.com/office/drawing/2014/main" id="{00000000-0008-0000-0900-0000CADE1A00}"/>
            </a:ext>
          </a:extLst>
        </xdr:cNvPr>
        <xdr:cNvSpPr>
          <a:spLocks noChangeShapeType="1"/>
        </xdr:cNvSpPr>
      </xdr:nvSpPr>
      <xdr:spPr bwMode="auto">
        <a:xfrm flipV="1">
          <a:off x="6086475" y="4981575"/>
          <a:ext cx="0" cy="5334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276895</xdr:colOff>
      <xdr:row>5</xdr:row>
      <xdr:rowOff>138360</xdr:rowOff>
    </xdr:from>
    <xdr:to>
      <xdr:col>19</xdr:col>
      <xdr:colOff>369794</xdr:colOff>
      <xdr:row>13</xdr:row>
      <xdr:rowOff>123826</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08836" y="1090860"/>
          <a:ext cx="5942370" cy="171117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t>Berechnung des Marktrisikos mit dem Delta-Normalen</a:t>
          </a:r>
          <a:r>
            <a:rPr lang="en-US" sz="1000" baseline="0"/>
            <a:t> Verfahren:</a:t>
          </a:r>
        </a:p>
        <a:p>
          <a:endParaRPr lang="en-US" sz="1000" baseline="0"/>
        </a:p>
        <a:p>
          <a:r>
            <a:rPr lang="en-US" sz="1000" baseline="0"/>
            <a:t>Linearitätsanahme eines linearen Zusammenhanges  zwischen dem RTK und den Risikofaktoren. Der funktionale Zusammenhang  wird dabei nährungsweise als die   Taylor -Approximation 1.Ordnung beschrieben:</a:t>
          </a:r>
        </a:p>
        <a:p>
          <a:endParaRPr lang="en-US" sz="1000" baseline="0"/>
        </a:p>
        <a:p>
          <a:endParaRPr lang="en-US" sz="1000" baseline="0"/>
        </a:p>
        <a:p>
          <a:endParaRPr lang="en-US" sz="1000"/>
        </a:p>
        <a:p>
          <a:r>
            <a:rPr lang="en-US" sz="1000"/>
            <a:t>wobei  </a:t>
          </a:r>
        </a:p>
      </xdr:txBody>
    </xdr:sp>
    <xdr:clientData/>
  </xdr:twoCellAnchor>
  <xdr:twoCellAnchor>
    <xdr:from>
      <xdr:col>12</xdr:col>
      <xdr:colOff>423580</xdr:colOff>
      <xdr:row>9</xdr:row>
      <xdr:rowOff>268381</xdr:rowOff>
    </xdr:from>
    <xdr:to>
      <xdr:col>15</xdr:col>
      <xdr:colOff>78442</xdr:colOff>
      <xdr:row>10</xdr:row>
      <xdr:rowOff>70967</xdr:rowOff>
    </xdr:to>
    <xdr:pic>
      <xdr:nvPicPr>
        <xdr:cNvPr id="1760972" name="Picture 1766">
          <a:extLst>
            <a:ext uri="{FF2B5EF4-FFF2-40B4-BE49-F238E27FC236}">
              <a16:creationId xmlns:a16="http://schemas.microsoft.com/office/drawing/2014/main" id="{00000000-0008-0000-0900-0000CCDE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39815" y="1848410"/>
          <a:ext cx="1268509" cy="23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157443</xdr:colOff>
      <xdr:row>10</xdr:row>
      <xdr:rowOff>142314</xdr:rowOff>
    </xdr:from>
    <xdr:to>
      <xdr:col>11</xdr:col>
      <xdr:colOff>179294</xdr:colOff>
      <xdr:row>12</xdr:row>
      <xdr:rowOff>66795</xdr:rowOff>
    </xdr:to>
    <xdr:pic>
      <xdr:nvPicPr>
        <xdr:cNvPr id="1760973" name="Picture 367">
          <a:extLst>
            <a:ext uri="{FF2B5EF4-FFF2-40B4-BE49-F238E27FC236}">
              <a16:creationId xmlns:a16="http://schemas.microsoft.com/office/drawing/2014/main" id="{00000000-0008-0000-0900-0000CDDE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2590" y="2159373"/>
          <a:ext cx="795057" cy="395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148</xdr:row>
      <xdr:rowOff>0</xdr:rowOff>
    </xdr:from>
    <xdr:to>
      <xdr:col>7</xdr:col>
      <xdr:colOff>270755</xdr:colOff>
      <xdr:row>149</xdr:row>
      <xdr:rowOff>63554</xdr:rowOff>
    </xdr:to>
    <xdr:pic>
      <xdr:nvPicPr>
        <xdr:cNvPr id="2" name="Grafik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153471"/>
          <a:ext cx="5970814" cy="22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152</xdr:row>
      <xdr:rowOff>0</xdr:rowOff>
    </xdr:from>
    <xdr:to>
      <xdr:col>5</xdr:col>
      <xdr:colOff>682011</xdr:colOff>
      <xdr:row>154</xdr:row>
      <xdr:rowOff>87192</xdr:rowOff>
    </xdr:to>
    <xdr:pic>
      <xdr:nvPicPr>
        <xdr:cNvPr id="3" name="Grafik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781000"/>
          <a:ext cx="5164364" cy="400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156882</xdr:colOff>
      <xdr:row>152</xdr:row>
      <xdr:rowOff>112058</xdr:rowOff>
    </xdr:from>
    <xdr:to>
      <xdr:col>19</xdr:col>
      <xdr:colOff>306935</xdr:colOff>
      <xdr:row>154</xdr:row>
      <xdr:rowOff>44129</xdr:rowOff>
    </xdr:to>
    <xdr:pic>
      <xdr:nvPicPr>
        <xdr:cNvPr id="4" name="Grafi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14364" y="26396576"/>
          <a:ext cx="7339747" cy="27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17</xdr:row>
      <xdr:rowOff>85725</xdr:rowOff>
    </xdr:from>
    <xdr:to>
      <xdr:col>14</xdr:col>
      <xdr:colOff>0</xdr:colOff>
      <xdr:row>17</xdr:row>
      <xdr:rowOff>85725</xdr:rowOff>
    </xdr:to>
    <xdr:sp macro="" textlink="">
      <xdr:nvSpPr>
        <xdr:cNvPr id="1761993" name="Line 1">
          <a:extLst>
            <a:ext uri="{FF2B5EF4-FFF2-40B4-BE49-F238E27FC236}">
              <a16:creationId xmlns:a16="http://schemas.microsoft.com/office/drawing/2014/main" id="{00000000-0008-0000-1700-0000C9E21A00}"/>
            </a:ext>
          </a:extLst>
        </xdr:cNvPr>
        <xdr:cNvSpPr>
          <a:spLocks noChangeShapeType="1"/>
        </xdr:cNvSpPr>
      </xdr:nvSpPr>
      <xdr:spPr bwMode="auto">
        <a:xfrm>
          <a:off x="16449675" y="3467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85725</xdr:rowOff>
    </xdr:from>
    <xdr:to>
      <xdr:col>14</xdr:col>
      <xdr:colOff>0</xdr:colOff>
      <xdr:row>21</xdr:row>
      <xdr:rowOff>85725</xdr:rowOff>
    </xdr:to>
    <xdr:sp macro="" textlink="">
      <xdr:nvSpPr>
        <xdr:cNvPr id="1761994" name="Line 2">
          <a:extLst>
            <a:ext uri="{FF2B5EF4-FFF2-40B4-BE49-F238E27FC236}">
              <a16:creationId xmlns:a16="http://schemas.microsoft.com/office/drawing/2014/main" id="{00000000-0008-0000-1700-0000CAE21A00}"/>
            </a:ext>
          </a:extLst>
        </xdr:cNvPr>
        <xdr:cNvSpPr>
          <a:spLocks noChangeShapeType="1"/>
        </xdr:cNvSpPr>
      </xdr:nvSpPr>
      <xdr:spPr bwMode="auto">
        <a:xfrm>
          <a:off x="16449675" y="414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66</xdr:row>
      <xdr:rowOff>104775</xdr:rowOff>
    </xdr:from>
    <xdr:to>
      <xdr:col>14</xdr:col>
      <xdr:colOff>0</xdr:colOff>
      <xdr:row>66</xdr:row>
      <xdr:rowOff>104775</xdr:rowOff>
    </xdr:to>
    <xdr:sp macro="" textlink="">
      <xdr:nvSpPr>
        <xdr:cNvPr id="1761995" name="Line 4">
          <a:extLst>
            <a:ext uri="{FF2B5EF4-FFF2-40B4-BE49-F238E27FC236}">
              <a16:creationId xmlns:a16="http://schemas.microsoft.com/office/drawing/2014/main" id="{00000000-0008-0000-1700-0000CBE21A00}"/>
            </a:ext>
          </a:extLst>
        </xdr:cNvPr>
        <xdr:cNvSpPr>
          <a:spLocks noChangeShapeType="1"/>
        </xdr:cNvSpPr>
      </xdr:nvSpPr>
      <xdr:spPr bwMode="auto">
        <a:xfrm>
          <a:off x="16449675" y="1175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85725</xdr:rowOff>
    </xdr:from>
    <xdr:to>
      <xdr:col>14</xdr:col>
      <xdr:colOff>0</xdr:colOff>
      <xdr:row>31</xdr:row>
      <xdr:rowOff>85725</xdr:rowOff>
    </xdr:to>
    <xdr:sp macro="" textlink="">
      <xdr:nvSpPr>
        <xdr:cNvPr id="1761996" name="Line 6">
          <a:extLst>
            <a:ext uri="{FF2B5EF4-FFF2-40B4-BE49-F238E27FC236}">
              <a16:creationId xmlns:a16="http://schemas.microsoft.com/office/drawing/2014/main" id="{00000000-0008-0000-1700-0000CCE21A00}"/>
            </a:ext>
          </a:extLst>
        </xdr:cNvPr>
        <xdr:cNvSpPr>
          <a:spLocks noChangeShapeType="1"/>
        </xdr:cNvSpPr>
      </xdr:nvSpPr>
      <xdr:spPr bwMode="auto">
        <a:xfrm>
          <a:off x="16449675" y="5819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69</xdr:row>
      <xdr:rowOff>304800</xdr:rowOff>
    </xdr:from>
    <xdr:to>
      <xdr:col>14</xdr:col>
      <xdr:colOff>0</xdr:colOff>
      <xdr:row>69</xdr:row>
      <xdr:rowOff>304800</xdr:rowOff>
    </xdr:to>
    <xdr:sp macro="" textlink="">
      <xdr:nvSpPr>
        <xdr:cNvPr id="1761997" name="Line 7">
          <a:extLst>
            <a:ext uri="{FF2B5EF4-FFF2-40B4-BE49-F238E27FC236}">
              <a16:creationId xmlns:a16="http://schemas.microsoft.com/office/drawing/2014/main" id="{00000000-0008-0000-1700-0000CDE21A00}"/>
            </a:ext>
          </a:extLst>
        </xdr:cNvPr>
        <xdr:cNvSpPr>
          <a:spLocks noChangeShapeType="1"/>
        </xdr:cNvSpPr>
      </xdr:nvSpPr>
      <xdr:spPr bwMode="auto">
        <a:xfrm>
          <a:off x="16449675" y="1245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41</xdr:row>
      <xdr:rowOff>85725</xdr:rowOff>
    </xdr:from>
    <xdr:to>
      <xdr:col>14</xdr:col>
      <xdr:colOff>0</xdr:colOff>
      <xdr:row>41</xdr:row>
      <xdr:rowOff>85725</xdr:rowOff>
    </xdr:to>
    <xdr:sp macro="" textlink="">
      <xdr:nvSpPr>
        <xdr:cNvPr id="1761998" name="Line 6">
          <a:extLst>
            <a:ext uri="{FF2B5EF4-FFF2-40B4-BE49-F238E27FC236}">
              <a16:creationId xmlns:a16="http://schemas.microsoft.com/office/drawing/2014/main" id="{00000000-0008-0000-1700-0000CEE21A00}"/>
            </a:ext>
          </a:extLst>
        </xdr:cNvPr>
        <xdr:cNvSpPr>
          <a:spLocks noChangeShapeType="1"/>
        </xdr:cNvSpPr>
      </xdr:nvSpPr>
      <xdr:spPr bwMode="auto">
        <a:xfrm>
          <a:off x="16449675" y="7496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125</xdr:row>
      <xdr:rowOff>104775</xdr:rowOff>
    </xdr:from>
    <xdr:to>
      <xdr:col>14</xdr:col>
      <xdr:colOff>0</xdr:colOff>
      <xdr:row>125</xdr:row>
      <xdr:rowOff>104775</xdr:rowOff>
    </xdr:to>
    <xdr:sp macro="" textlink="">
      <xdr:nvSpPr>
        <xdr:cNvPr id="1761999" name="Line 4">
          <a:extLst>
            <a:ext uri="{FF2B5EF4-FFF2-40B4-BE49-F238E27FC236}">
              <a16:creationId xmlns:a16="http://schemas.microsoft.com/office/drawing/2014/main" id="{00000000-0008-0000-1700-0000CFE21A00}"/>
            </a:ext>
          </a:extLst>
        </xdr:cNvPr>
        <xdr:cNvSpPr>
          <a:spLocks noChangeShapeType="1"/>
        </xdr:cNvSpPr>
      </xdr:nvSpPr>
      <xdr:spPr bwMode="auto">
        <a:xfrm>
          <a:off x="16449675" y="2179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105</xdr:row>
      <xdr:rowOff>104775</xdr:rowOff>
    </xdr:from>
    <xdr:to>
      <xdr:col>14</xdr:col>
      <xdr:colOff>0</xdr:colOff>
      <xdr:row>105</xdr:row>
      <xdr:rowOff>104775</xdr:rowOff>
    </xdr:to>
    <xdr:sp macro="" textlink="">
      <xdr:nvSpPr>
        <xdr:cNvPr id="1762000" name="Line 4">
          <a:extLst>
            <a:ext uri="{FF2B5EF4-FFF2-40B4-BE49-F238E27FC236}">
              <a16:creationId xmlns:a16="http://schemas.microsoft.com/office/drawing/2014/main" id="{00000000-0008-0000-1700-0000D0E21A00}"/>
            </a:ext>
          </a:extLst>
        </xdr:cNvPr>
        <xdr:cNvSpPr>
          <a:spLocks noChangeShapeType="1"/>
        </xdr:cNvSpPr>
      </xdr:nvSpPr>
      <xdr:spPr bwMode="auto">
        <a:xfrm>
          <a:off x="16449675" y="183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ict.leo.org/frde?lp=frde&amp;p=Ci4HO3kMAA&amp;search=r%C3%A9sultat&amp;trestr=0x8001"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800000"/>
    <pageSetUpPr autoPageBreaks="0" fitToPage="1"/>
  </sheetPr>
  <dimension ref="A1:I39"/>
  <sheetViews>
    <sheetView tabSelected="1" workbookViewId="0"/>
  </sheetViews>
  <sheetFormatPr baseColWidth="10" defaultColWidth="11.42578125" defaultRowHeight="12.75" x14ac:dyDescent="0.2"/>
  <cols>
    <col min="1" max="1" width="5.5703125" customWidth="1"/>
    <col min="2" max="2" width="1.5703125" customWidth="1"/>
    <col min="3" max="3" width="11.5703125" customWidth="1"/>
    <col min="4" max="4" width="32.5703125" customWidth="1"/>
    <col min="5" max="8" width="11.42578125" customWidth="1"/>
    <col min="9" max="9" width="1.5703125" customWidth="1"/>
  </cols>
  <sheetData>
    <row r="1" spans="1:9" s="269" customFormat="1" ht="21" thickBot="1" x14ac:dyDescent="0.25">
      <c r="A1" s="2193">
        <v>1</v>
      </c>
      <c r="B1" s="267" t="str">
        <f>Translation!B11</f>
        <v>Einleitung</v>
      </c>
      <c r="C1" s="652"/>
      <c r="D1" s="652"/>
      <c r="E1" s="652"/>
      <c r="F1" s="652"/>
      <c r="G1" s="652"/>
      <c r="H1" s="322"/>
      <c r="I1" s="652"/>
    </row>
    <row r="2" spans="1:9" s="326" customFormat="1" ht="20.100000000000001" customHeight="1" x14ac:dyDescent="0.2">
      <c r="A2" s="682"/>
      <c r="B2" s="176"/>
      <c r="C2" s="681"/>
      <c r="D2" s="681"/>
      <c r="E2" s="681"/>
      <c r="F2" s="681"/>
      <c r="G2" s="681"/>
      <c r="H2" s="681"/>
      <c r="I2" s="681"/>
    </row>
    <row r="3" spans="1:9" ht="8.1" customHeight="1" x14ac:dyDescent="0.2">
      <c r="B3" s="15"/>
      <c r="C3" s="21"/>
      <c r="D3" s="21"/>
      <c r="E3" s="21"/>
      <c r="F3" s="21"/>
      <c r="G3" s="21"/>
      <c r="H3" s="21"/>
      <c r="I3" s="16"/>
    </row>
    <row r="4" spans="1:9" ht="20.25" x14ac:dyDescent="0.3">
      <c r="B4" s="10"/>
      <c r="C4" s="276" t="str">
        <f>Translation!B12</f>
        <v>Template für den KVG-Solvenztest</v>
      </c>
      <c r="D4" s="1201"/>
      <c r="E4" s="1201"/>
      <c r="F4" s="1201"/>
      <c r="G4" s="1201"/>
      <c r="H4" s="1202">
        <v>2025</v>
      </c>
      <c r="I4" s="7"/>
    </row>
    <row r="5" spans="1:9" x14ac:dyDescent="0.2">
      <c r="B5" s="10"/>
      <c r="C5" s="24" t="str">
        <f>Translation!B13</f>
        <v>Version vom 17. Oktober 2024</v>
      </c>
      <c r="D5" s="6"/>
      <c r="E5" s="6"/>
      <c r="F5" s="6"/>
      <c r="G5" s="6"/>
      <c r="H5" s="6"/>
      <c r="I5" s="7"/>
    </row>
    <row r="6" spans="1:9" ht="12.75" customHeight="1" thickBot="1" x14ac:dyDescent="0.25">
      <c r="B6" s="10"/>
      <c r="D6" s="6"/>
      <c r="E6" s="6"/>
      <c r="F6" s="6"/>
      <c r="G6" s="6"/>
      <c r="H6" s="6"/>
      <c r="I6" s="7"/>
    </row>
    <row r="7" spans="1:9" ht="7.5" customHeight="1" x14ac:dyDescent="0.2">
      <c r="B7" s="1203"/>
      <c r="C7" s="1204"/>
      <c r="D7" s="1204"/>
      <c r="E7" s="1204"/>
      <c r="F7" s="1204"/>
      <c r="G7" s="1204"/>
      <c r="H7" s="1204"/>
      <c r="I7" s="1205"/>
    </row>
    <row r="8" spans="1:9" x14ac:dyDescent="0.2">
      <c r="B8" s="1206"/>
      <c r="C8" s="1207" t="s">
        <v>1182</v>
      </c>
      <c r="D8" s="1207"/>
      <c r="E8" s="1207"/>
      <c r="F8" s="1207"/>
      <c r="G8" s="1207"/>
      <c r="H8" s="1207"/>
      <c r="I8" s="1208"/>
    </row>
    <row r="9" spans="1:9" x14ac:dyDescent="0.2">
      <c r="B9" s="1206"/>
      <c r="C9" s="1207" t="s">
        <v>1184</v>
      </c>
      <c r="D9" s="1207"/>
      <c r="E9" s="1207"/>
      <c r="F9" s="1207"/>
      <c r="G9" s="1207"/>
      <c r="H9" s="1207"/>
      <c r="I9" s="1208"/>
    </row>
    <row r="10" spans="1:9" x14ac:dyDescent="0.2">
      <c r="B10" s="1206"/>
      <c r="C10" s="1207" t="s">
        <v>1183</v>
      </c>
      <c r="D10" s="1207"/>
      <c r="E10" s="1207"/>
      <c r="F10" s="1207"/>
      <c r="G10" s="1207"/>
      <c r="H10" s="1207"/>
      <c r="I10" s="1208"/>
    </row>
    <row r="11" spans="1:9" ht="7.5" customHeight="1" thickBot="1" x14ac:dyDescent="0.25">
      <c r="B11" s="1209"/>
      <c r="C11" s="1210"/>
      <c r="D11" s="1210"/>
      <c r="E11" s="1210"/>
      <c r="F11" s="1210"/>
      <c r="G11" s="1210"/>
      <c r="H11" s="1210"/>
      <c r="I11" s="1211"/>
    </row>
    <row r="12" spans="1:9" ht="12.75" customHeight="1" x14ac:dyDescent="0.2">
      <c r="B12" s="10"/>
      <c r="C12" s="6"/>
      <c r="D12" s="1"/>
      <c r="E12" s="6"/>
      <c r="F12" s="6"/>
      <c r="G12" s="6"/>
      <c r="H12" s="6"/>
      <c r="I12" s="7"/>
    </row>
    <row r="13" spans="1:9" ht="38.25" customHeight="1" x14ac:dyDescent="0.2">
      <c r="B13" s="10"/>
      <c r="C13" s="2416" t="str">
        <f>Translation!B14</f>
        <v>Diese Datei entspricht dem elektronischen Formular gemäss Art. 8 der Verordnung des EDI über die Reserven in der sozialen Krankenversicherung (ResV-EDI, 832.102.15).</v>
      </c>
      <c r="D13" s="2416"/>
      <c r="E13" s="2416"/>
      <c r="F13" s="2416"/>
      <c r="G13" s="2416"/>
      <c r="H13" s="2416"/>
      <c r="I13" s="7"/>
    </row>
    <row r="14" spans="1:9" ht="8.1" customHeight="1" x14ac:dyDescent="0.2">
      <c r="B14" s="10"/>
      <c r="C14" s="6"/>
      <c r="D14" s="6"/>
      <c r="E14" s="6"/>
      <c r="F14" s="6"/>
      <c r="G14" s="6"/>
      <c r="H14" s="6"/>
      <c r="I14" s="7"/>
    </row>
    <row r="15" spans="1:9" x14ac:dyDescent="0.2">
      <c r="B15" s="10"/>
      <c r="C15" s="1" t="str">
        <f>Translation!B15</f>
        <v>Die Mindesthöhe der Reserven setzt sich zusammen aus folgender Aggregation:</v>
      </c>
      <c r="D15" s="6"/>
      <c r="E15" s="6"/>
      <c r="F15" s="6"/>
      <c r="G15" s="6"/>
      <c r="H15" s="6"/>
      <c r="I15" s="7"/>
    </row>
    <row r="16" spans="1:9" x14ac:dyDescent="0.2">
      <c r="B16" s="10"/>
      <c r="C16" s="1"/>
      <c r="D16" s="50" t="str">
        <f>Translation!B16</f>
        <v>Expected Shortfall des verteilungsbasierten Modells inkl. Szenarien</v>
      </c>
      <c r="E16" s="50"/>
      <c r="F16" s="6"/>
      <c r="G16" s="6"/>
      <c r="H16" s="6"/>
      <c r="I16" s="7"/>
    </row>
    <row r="17" spans="2:9" x14ac:dyDescent="0.2">
      <c r="B17" s="10"/>
      <c r="C17" s="1"/>
      <c r="D17" s="50" t="str">
        <f>Translation!B17</f>
        <v xml:space="preserve">  - für die versicherungstechnischen Risiken</v>
      </c>
      <c r="E17" s="50"/>
      <c r="F17" s="6"/>
      <c r="G17" s="6"/>
      <c r="H17" s="6"/>
      <c r="I17" s="7"/>
    </row>
    <row r="18" spans="2:9" x14ac:dyDescent="0.2">
      <c r="B18" s="10"/>
      <c r="C18" s="1"/>
      <c r="D18" s="50" t="str">
        <f>Translation!B18</f>
        <v xml:space="preserve">  - für die Marktrisiken</v>
      </c>
      <c r="E18" s="50"/>
      <c r="F18" s="6"/>
      <c r="G18" s="6"/>
      <c r="H18" s="6"/>
      <c r="I18" s="7"/>
    </row>
    <row r="19" spans="2:9" x14ac:dyDescent="0.2">
      <c r="B19" s="10"/>
      <c r="C19" s="6"/>
      <c r="D19" s="50" t="str">
        <f>Translation!B19</f>
        <v>Kreditrisiko (festgelegt im Basel-III-Ansatz)</v>
      </c>
      <c r="E19" s="50"/>
      <c r="F19" s="6"/>
      <c r="G19" s="6"/>
      <c r="H19" s="6"/>
      <c r="I19" s="7"/>
    </row>
    <row r="20" spans="2:9" ht="7.5" customHeight="1" x14ac:dyDescent="0.2">
      <c r="B20" s="10"/>
      <c r="D20" s="6"/>
      <c r="E20" s="6"/>
      <c r="F20" s="6"/>
      <c r="G20" s="6"/>
      <c r="H20" s="6"/>
      <c r="I20" s="7"/>
    </row>
    <row r="21" spans="2:9" ht="12.75" customHeight="1" x14ac:dyDescent="0.2">
      <c r="B21" s="10"/>
      <c r="C21" s="6" t="str">
        <f>Translation!B32</f>
        <v>Vorzeichenvereinbarung:</v>
      </c>
      <c r="D21" s="6"/>
      <c r="E21" s="6"/>
      <c r="F21" s="6"/>
      <c r="G21" s="6"/>
      <c r="H21" s="6"/>
      <c r="I21" s="7"/>
    </row>
    <row r="22" spans="2:9" ht="12.75" customHeight="1" x14ac:dyDescent="0.2">
      <c r="B22" s="10"/>
      <c r="C22" s="6"/>
      <c r="D22" s="6" t="str">
        <f>Translation!B33</f>
        <v>Gewinne sind positive, Verluste negative Grössen.</v>
      </c>
      <c r="E22" s="6"/>
      <c r="F22" s="6"/>
      <c r="G22" s="6"/>
      <c r="H22" s="6"/>
      <c r="I22" s="7"/>
    </row>
    <row r="23" spans="2:9" ht="12.75" customHeight="1" x14ac:dyDescent="0.2">
      <c r="B23" s="10"/>
      <c r="C23" s="6"/>
      <c r="D23" s="6" t="str">
        <f>Translation!B34</f>
        <v>Daher sind VaR (Value at Risk) und ES (Expected Shortfall) negativ.</v>
      </c>
      <c r="E23" s="6"/>
      <c r="F23" s="6"/>
      <c r="G23" s="6"/>
      <c r="H23" s="6"/>
      <c r="I23" s="7"/>
    </row>
    <row r="24" spans="2:9" ht="12.75" customHeight="1" x14ac:dyDescent="0.2">
      <c r="B24" s="10"/>
      <c r="C24" s="6"/>
      <c r="D24" s="6" t="str">
        <f>Translation!B35</f>
        <v>Die Mindesthöhe der Reserven ist definiert als -ES.</v>
      </c>
      <c r="E24" s="6"/>
      <c r="F24" s="6"/>
      <c r="G24" s="6"/>
      <c r="H24" s="6"/>
      <c r="I24" s="7"/>
    </row>
    <row r="25" spans="2:9" ht="8.1" customHeight="1" x14ac:dyDescent="0.2">
      <c r="B25" s="10"/>
      <c r="C25" s="6"/>
      <c r="D25" s="6"/>
      <c r="E25" s="6"/>
      <c r="F25" s="6"/>
      <c r="G25" s="6"/>
      <c r="H25" s="6"/>
      <c r="I25" s="7"/>
    </row>
    <row r="26" spans="2:9" x14ac:dyDescent="0.2">
      <c r="B26" s="10"/>
      <c r="C26" s="6" t="str">
        <f>Translation!B20</f>
        <v>Die folgenden Farben werden den verschiedenen Bereichen des Solvenztests zugeordnet:</v>
      </c>
      <c r="D26" s="6"/>
      <c r="E26" s="6"/>
      <c r="F26" s="6"/>
      <c r="G26" s="6"/>
      <c r="H26" s="6"/>
      <c r="I26" s="7"/>
    </row>
    <row r="27" spans="2:9" ht="8.1" customHeight="1" x14ac:dyDescent="0.2">
      <c r="B27" s="10"/>
      <c r="C27" s="6"/>
      <c r="D27" s="6"/>
      <c r="E27" s="6"/>
      <c r="F27" s="6"/>
      <c r="G27" s="6"/>
      <c r="H27" s="6"/>
      <c r="I27" s="7"/>
    </row>
    <row r="28" spans="2:9" x14ac:dyDescent="0.2">
      <c r="B28" s="10"/>
      <c r="C28" s="6"/>
      <c r="D28" s="1420" t="str">
        <f>Translation!B21</f>
        <v>Allgemeine Arbeitsblätter</v>
      </c>
      <c r="E28" s="6"/>
      <c r="F28" s="6"/>
      <c r="H28" s="6"/>
      <c r="I28" s="7"/>
    </row>
    <row r="29" spans="2:9" x14ac:dyDescent="0.2">
      <c r="B29" s="10"/>
      <c r="C29" s="6"/>
      <c r="D29" s="1421" t="str">
        <f>Translation!B22</f>
        <v>Vorhandene Reserven</v>
      </c>
      <c r="E29" s="6"/>
      <c r="F29" s="51"/>
      <c r="H29" s="51"/>
      <c r="I29" s="7"/>
    </row>
    <row r="30" spans="2:9" x14ac:dyDescent="0.2">
      <c r="B30" s="10"/>
      <c r="C30" s="6"/>
      <c r="D30" s="1422" t="str">
        <f>Translation!B23</f>
        <v>Versicherungsrisiko</v>
      </c>
      <c r="E30" s="6"/>
      <c r="F30" s="6"/>
      <c r="G30" s="6"/>
      <c r="H30" s="6"/>
      <c r="I30" s="7"/>
    </row>
    <row r="31" spans="2:9" x14ac:dyDescent="0.2">
      <c r="B31" s="10"/>
      <c r="C31" s="6"/>
      <c r="D31" s="1423" t="str">
        <f>Translation!B24</f>
        <v>Marktrisiko</v>
      </c>
      <c r="E31" s="6"/>
      <c r="F31" s="6"/>
      <c r="G31" s="6"/>
      <c r="H31" s="6"/>
      <c r="I31" s="7"/>
    </row>
    <row r="32" spans="2:9" x14ac:dyDescent="0.2">
      <c r="B32" s="10"/>
      <c r="C32" s="6"/>
      <c r="D32" s="1424" t="str">
        <f>Translation!B25</f>
        <v>Szenarien</v>
      </c>
      <c r="E32" s="6"/>
      <c r="F32" s="6"/>
      <c r="G32" s="6"/>
      <c r="H32" s="6"/>
      <c r="I32" s="7"/>
    </row>
    <row r="33" spans="2:9" x14ac:dyDescent="0.2">
      <c r="B33" s="10"/>
      <c r="C33" s="6"/>
      <c r="D33" s="1425" t="str">
        <f>Translation!B26</f>
        <v>Kreditrisiko</v>
      </c>
      <c r="E33" s="6"/>
      <c r="F33" s="6"/>
      <c r="G33" s="6"/>
      <c r="H33" s="6"/>
      <c r="I33" s="7"/>
    </row>
    <row r="34" spans="2:9" ht="13.5" customHeight="1" x14ac:dyDescent="0.2">
      <c r="B34" s="10"/>
      <c r="C34" s="6"/>
      <c r="D34" s="1419" t="str">
        <f>Translation!B27</f>
        <v>Risikoausgleich</v>
      </c>
      <c r="E34" s="6"/>
      <c r="F34" s="6"/>
      <c r="G34" s="6"/>
      <c r="H34" s="6"/>
      <c r="I34" s="7"/>
    </row>
    <row r="35" spans="2:9" ht="14.25" customHeight="1" x14ac:dyDescent="0.2">
      <c r="B35" s="10"/>
      <c r="C35" s="60" t="str">
        <f>Translation!B28</f>
        <v>Input-Felder sind mit folgenden Farben gekennzeichnet:</v>
      </c>
      <c r="D35" s="60"/>
      <c r="E35" s="6"/>
      <c r="F35" s="6"/>
      <c r="G35" s="6"/>
      <c r="H35" s="6"/>
      <c r="I35" s="7"/>
    </row>
    <row r="36" spans="2:9" ht="12.75" customHeight="1" x14ac:dyDescent="0.2">
      <c r="B36" s="10"/>
      <c r="C36" s="60"/>
      <c r="D36" s="1212" t="str">
        <f>Translation!B29</f>
        <v>Input</v>
      </c>
      <c r="E36" s="6"/>
      <c r="F36" s="6"/>
      <c r="G36" s="6"/>
      <c r="H36" s="6"/>
      <c r="I36" s="7"/>
    </row>
    <row r="37" spans="2:9" ht="12.75" customHeight="1" x14ac:dyDescent="0.2">
      <c r="B37" s="10"/>
      <c r="C37" s="60"/>
      <c r="D37" s="1213" t="str">
        <f>Translation!B30</f>
        <v>Parameter-Input BAG</v>
      </c>
      <c r="E37" s="6" t="str">
        <f>Translation!B31</f>
        <v>(dürfen nicht geändert werden)</v>
      </c>
      <c r="F37" s="6"/>
      <c r="G37" s="6"/>
      <c r="H37" s="6"/>
      <c r="I37" s="7"/>
    </row>
    <row r="38" spans="2:9" ht="8.1" customHeight="1" x14ac:dyDescent="0.2">
      <c r="B38" s="10"/>
      <c r="C38" s="6"/>
      <c r="D38" s="6"/>
      <c r="E38" s="6"/>
      <c r="F38" s="6"/>
      <c r="G38" s="6"/>
      <c r="H38" s="6"/>
      <c r="I38" s="7"/>
    </row>
    <row r="39" spans="2:9" ht="8.1" customHeight="1" x14ac:dyDescent="0.2">
      <c r="B39" s="11"/>
      <c r="C39" s="12"/>
      <c r="D39" s="12"/>
      <c r="E39" s="12"/>
      <c r="F39" s="12"/>
      <c r="G39" s="12"/>
      <c r="H39" s="12"/>
      <c r="I39" s="22"/>
    </row>
  </sheetData>
  <customSheetViews>
    <customSheetView guid="{F15DEFD8-B0F4-4CC3-8896-92BF7E7815B1}" scale="75" showGridLines="0" fitToPage="1" printArea="1">
      <selection activeCell="D29" sqref="D29:D31"/>
      <pageMargins left="0.47244094488188981" right="0.47244094488188981" top="0.59055118110236227" bottom="0.59055118110236227" header="0.35433070866141736" footer="0.35433070866141736"/>
      <pageSetup paperSize="9" orientation="portrait" r:id="rId1"/>
      <headerFooter alignWithMargins="0">
        <oddHeader>&amp;R&amp;"Arial,Fett"&amp;12SST</oddHeader>
        <oddFooter>&amp;L&amp;F / &amp;A&amp;C&amp;P / &amp;N&amp;R&amp;D</oddFooter>
      </headerFooter>
    </customSheetView>
  </customSheetViews>
  <mergeCells count="1">
    <mergeCell ref="C13:H13"/>
  </mergeCells>
  <phoneticPr fontId="11" type="noConversion"/>
  <hyperlinks>
    <hyperlink ref="A1" location="list_of_sheets!A1" display="list_of_sheets!A1" xr:uid="{00000000-0004-0000-0000-000000000000}"/>
  </hyperlinks>
  <pageMargins left="0.47244094488188981" right="0.47244094488188981" top="0.78" bottom="0.59055118110236227" header="0.35433070866141736" footer="0.35433070866141736"/>
  <pageSetup paperSize="9" scale="96" orientation="portrait" r:id="rId2"/>
  <headerFooter alignWithMargins="0">
    <oddHeader>&amp;R&amp;"Arial,Fett"&amp;12KVG-Solvenztest
Test de solvabilité LAMal</oddHeader>
    <oddFooter>&amp;L&amp;F / &amp;A&amp;C&amp;P / &amp;N&amp;R&amp;D</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0950" r:id="rId5" name="List Box 6">
              <controlPr defaultSize="0" autoLine="0" autoPict="0">
                <anchor moveWithCells="1">
                  <from>
                    <xdr:col>4</xdr:col>
                    <xdr:colOff>676275</xdr:colOff>
                    <xdr:row>7</xdr:row>
                    <xdr:rowOff>66675</xdr:rowOff>
                  </from>
                  <to>
                    <xdr:col>7</xdr:col>
                    <xdr:colOff>323850</xdr:colOff>
                    <xdr:row>9</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8000"/>
    <pageSetUpPr autoPageBreaks="0" fitToPage="1"/>
  </sheetPr>
  <dimension ref="A1:AZ93"/>
  <sheetViews>
    <sheetView zoomScale="90" zoomScaleNormal="90" workbookViewId="0"/>
  </sheetViews>
  <sheetFormatPr baseColWidth="10" defaultColWidth="8.7109375" defaultRowHeight="12.75" customHeight="1" x14ac:dyDescent="0.2"/>
  <cols>
    <col min="1" max="1" width="5.5703125" style="1028" customWidth="1"/>
    <col min="2" max="2" width="26.42578125" style="2036" customWidth="1"/>
    <col min="3" max="3" width="38.5703125" style="1028" customWidth="1"/>
    <col min="4" max="4" width="15.42578125" style="1581" customWidth="1"/>
    <col min="5" max="5" width="2" style="1028" customWidth="1"/>
    <col min="6" max="6" width="15.42578125" style="1028" customWidth="1"/>
    <col min="7" max="7" width="15.42578125" style="1179" customWidth="1"/>
    <col min="8" max="8" width="3.28515625" style="1179" customWidth="1"/>
    <col min="9" max="9" width="13.5703125" style="1179" customWidth="1"/>
    <col min="10" max="10" width="11.5703125" style="1883" customWidth="1"/>
    <col min="11" max="11" width="11.5703125" style="1028" customWidth="1"/>
    <col min="12" max="40" width="8.28515625" style="1028" customWidth="1"/>
    <col min="41" max="41" width="8.5703125" style="1028" customWidth="1"/>
    <col min="42" max="48" width="8.28515625" style="1028" customWidth="1"/>
    <col min="49" max="49" width="6.28515625" style="1028" customWidth="1"/>
    <col min="50" max="50" width="7.7109375" style="1028" customWidth="1"/>
    <col min="51" max="16384" width="8.7109375" style="1028"/>
  </cols>
  <sheetData>
    <row r="1" spans="1:50" s="1275" customFormat="1" ht="18.75" customHeight="1" thickBot="1" x14ac:dyDescent="0.35">
      <c r="A1" s="2195">
        <v>11</v>
      </c>
      <c r="B1" s="1877" t="str">
        <f>Translation!B163</f>
        <v>Marktrisiko (Delta Normal)</v>
      </c>
      <c r="C1" s="1878"/>
      <c r="D1" s="1879"/>
      <c r="E1" s="1878"/>
      <c r="F1" s="1877"/>
      <c r="G1" s="1878"/>
      <c r="H1" s="1878"/>
      <c r="I1" s="1878"/>
      <c r="J1" s="1880"/>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c r="AT1" s="1878"/>
      <c r="AU1" s="1878"/>
      <c r="AV1" s="1878"/>
      <c r="AW1" s="1878"/>
      <c r="AX1" s="1878"/>
    </row>
    <row r="2" spans="1:50" s="1173" customFormat="1" ht="20.100000000000001" customHeight="1" x14ac:dyDescent="0.2">
      <c r="A2" s="1171"/>
      <c r="B2" s="1172" t="str">
        <f>Inputparam!C8</f>
        <v xml:space="preserve">0000 </v>
      </c>
    </row>
    <row r="3" spans="1:50" s="1631" customFormat="1" ht="12.75" customHeight="1" x14ac:dyDescent="0.2">
      <c r="B3" s="1631" t="str">
        <f>Translation!B164</f>
        <v>Standardabweichung aufgrund der Variabilität der mulitvariat normalverteilten Risikofaktoren</v>
      </c>
      <c r="D3" s="1881"/>
      <c r="G3" s="1630"/>
      <c r="H3" s="1630"/>
      <c r="I3" s="1882"/>
      <c r="J3" s="1883"/>
      <c r="L3" s="1884"/>
    </row>
    <row r="4" spans="1:50" s="1631" customFormat="1" ht="12.75" customHeight="1" x14ac:dyDescent="0.2">
      <c r="A4" s="1630"/>
      <c r="B4" s="1645"/>
      <c r="C4" s="1275"/>
      <c r="D4" s="1881"/>
      <c r="G4" s="1630"/>
      <c r="H4" s="1630"/>
      <c r="I4" s="1885"/>
      <c r="J4" s="1883"/>
      <c r="L4" s="1884"/>
    </row>
    <row r="5" spans="1:50" s="1631" customFormat="1" ht="12.75" customHeight="1" x14ac:dyDescent="0.2">
      <c r="A5" s="1630"/>
      <c r="B5" s="1886" t="str">
        <f>Translation!B165</f>
        <v>Parameter</v>
      </c>
      <c r="C5" s="1887"/>
      <c r="D5" s="1888"/>
      <c r="G5" s="1630"/>
      <c r="H5" s="1630"/>
      <c r="I5" s="1889"/>
      <c r="J5" s="1883"/>
    </row>
    <row r="6" spans="1:50" s="1631" customFormat="1" ht="12.75" customHeight="1" x14ac:dyDescent="0.2">
      <c r="A6" s="1630"/>
      <c r="B6" s="1652" t="str">
        <f>Translation!B166</f>
        <v>Konfidenzniveau (%)</v>
      </c>
      <c r="C6" s="1630"/>
      <c r="D6" s="1890">
        <f>Konfidenzniveau</f>
        <v>0.99</v>
      </c>
      <c r="G6" s="1630"/>
      <c r="H6" s="1630"/>
      <c r="I6" s="1275"/>
      <c r="J6" s="1883"/>
    </row>
    <row r="7" spans="1:50" s="1631" customFormat="1" ht="12.75" customHeight="1" x14ac:dyDescent="0.2">
      <c r="A7" s="1630"/>
      <c r="B7" s="1891" t="str">
        <f>Translation!B167</f>
        <v>Quantil der Standardnormalverteilung</v>
      </c>
      <c r="C7" s="1892"/>
      <c r="D7" s="1893">
        <f>NORMINV(1-D6,0,1)</f>
        <v>-2.3263478740408408</v>
      </c>
      <c r="G7" s="1630"/>
      <c r="H7" s="1630"/>
      <c r="I7" s="1894"/>
      <c r="J7" s="1883"/>
    </row>
    <row r="8" spans="1:50" s="1631" customFormat="1" ht="12.75" customHeight="1" x14ac:dyDescent="0.2">
      <c r="A8" s="1630"/>
      <c r="B8" s="1642"/>
      <c r="D8" s="1881"/>
      <c r="G8" s="1630"/>
      <c r="H8" s="1630"/>
      <c r="I8" s="1630"/>
      <c r="L8" s="1884"/>
    </row>
    <row r="9" spans="1:50" s="1900" customFormat="1" ht="12.75" customHeight="1" x14ac:dyDescent="0.25">
      <c r="A9" s="1895"/>
      <c r="B9" s="1896" t="str">
        <f>Translation!B168</f>
        <v>Resultate</v>
      </c>
      <c r="C9" s="1897"/>
      <c r="D9" s="1898"/>
      <c r="E9" s="1897"/>
      <c r="F9" s="1897"/>
      <c r="G9" s="1899"/>
      <c r="H9" s="1895"/>
    </row>
    <row r="10" spans="1:50" s="1906" customFormat="1" ht="34.5" customHeight="1" x14ac:dyDescent="0.2">
      <c r="A10" s="1901"/>
      <c r="B10" s="1902"/>
      <c r="C10" s="1903"/>
      <c r="D10" s="1904" t="str">
        <f>Translation!B169</f>
        <v>Standardabweichung</v>
      </c>
      <c r="E10" s="1904"/>
      <c r="F10" s="1904" t="s">
        <v>61</v>
      </c>
      <c r="G10" s="1905" t="s">
        <v>117</v>
      </c>
      <c r="H10" s="1901"/>
    </row>
    <row r="11" spans="1:50" s="1631" customFormat="1" ht="18" customHeight="1" x14ac:dyDescent="0.2">
      <c r="A11" s="1630"/>
      <c r="B11" s="1907"/>
      <c r="C11" s="1908"/>
      <c r="D11" s="1909" t="s">
        <v>82</v>
      </c>
      <c r="E11" s="1909"/>
      <c r="F11" s="1909" t="s">
        <v>82</v>
      </c>
      <c r="G11" s="1910" t="s">
        <v>82</v>
      </c>
      <c r="H11" s="1630"/>
    </row>
    <row r="12" spans="1:50" s="1276" customFormat="1" ht="20.100000000000001" customHeight="1" x14ac:dyDescent="0.2">
      <c r="A12" s="1911"/>
      <c r="B12" s="1912" t="str">
        <f>Translation!B170</f>
        <v>Alle Risikofaktoren</v>
      </c>
      <c r="C12" s="1913"/>
      <c r="D12" s="1914">
        <f>G82</f>
        <v>0</v>
      </c>
      <c r="E12" s="1914"/>
      <c r="F12" s="1914">
        <f t="shared" ref="F12:F18" si="0">D12*$D$7</f>
        <v>0</v>
      </c>
      <c r="G12" s="1915">
        <f t="shared" ref="G12:G18" si="1">-1/(1-$D$6) * D12 * NORMDIST($D$7,0,1,FALSE)</f>
        <v>0</v>
      </c>
      <c r="H12" s="1911"/>
      <c r="I12" s="2062"/>
    </row>
    <row r="13" spans="1:50" s="1631" customFormat="1" ht="15" customHeight="1" x14ac:dyDescent="0.2">
      <c r="A13" s="1630"/>
      <c r="B13" s="1916" t="str">
        <f>Translation!B171</f>
        <v>Alle Zinssätze</v>
      </c>
      <c r="C13" s="1917"/>
      <c r="D13" s="1918">
        <f t="array" ref="D13">SQRT(MMULT(TRANSPOSE(G35:G46),MMULT(L35:W46,G35:G46)))</f>
        <v>0</v>
      </c>
      <c r="E13" s="1919"/>
      <c r="F13" s="1919">
        <f t="shared" si="0"/>
        <v>0</v>
      </c>
      <c r="G13" s="1920">
        <f t="shared" si="1"/>
        <v>0</v>
      </c>
      <c r="H13" s="1630"/>
      <c r="I13" s="2063"/>
    </row>
    <row r="14" spans="1:50" s="1631" customFormat="1" ht="15" customHeight="1" x14ac:dyDescent="0.2">
      <c r="A14" s="1630"/>
      <c r="B14" s="1916" t="str">
        <f>Translation!B172</f>
        <v>Alle, ohne Zinssätze</v>
      </c>
      <c r="C14" s="1917"/>
      <c r="D14" s="1918">
        <f t="array" ref="D14">SQRT(MMULT(TRANSPOSE(G47:G73),MMULT(X47:AX73,G47:G73)) + 2*SUMPRODUCT(G47:G74,AY47:AY74)*G74 - G74^2+2*(SUMPRODUCT(G47:G73,AZ47:AZ73)+G75*AZ75)*G75 - G75^2+2*G74*G75*AY75)+ABS(G76)</f>
        <v>0</v>
      </c>
      <c r="E14" s="1919"/>
      <c r="F14" s="1919">
        <f>D14*$D$7</f>
        <v>0</v>
      </c>
      <c r="G14" s="1920">
        <f t="shared" si="1"/>
        <v>0</v>
      </c>
      <c r="H14" s="1630"/>
    </row>
    <row r="15" spans="1:50" s="1631" customFormat="1" ht="15" customHeight="1" x14ac:dyDescent="0.2">
      <c r="A15" s="1630"/>
      <c r="B15" s="1916" t="str">
        <f>Translation!B173</f>
        <v>Zinssätze CHF</v>
      </c>
      <c r="C15" s="1917"/>
      <c r="D15" s="1918">
        <f t="array" ref="D15">SQRT(MMULT(TRANSPOSE(G35:G37),MMULT(L35:N37,G35:G37)))</f>
        <v>0</v>
      </c>
      <c r="E15" s="1919"/>
      <c r="F15" s="1919">
        <f t="shared" si="0"/>
        <v>0</v>
      </c>
      <c r="G15" s="1920">
        <f t="shared" si="1"/>
        <v>0</v>
      </c>
      <c r="H15" s="1630"/>
    </row>
    <row r="16" spans="1:50" s="1631" customFormat="1" ht="15" customHeight="1" x14ac:dyDescent="0.2">
      <c r="A16" s="1630"/>
      <c r="B16" s="1916" t="str">
        <f>Translation!B174</f>
        <v>Zinssätze EUR</v>
      </c>
      <c r="C16" s="1917"/>
      <c r="D16" s="1918">
        <f t="array" ref="D16">SQRT(MMULT(TRANSPOSE(G38:G40),MMULT(O38:Q40,G38:G40)))</f>
        <v>0</v>
      </c>
      <c r="E16" s="1919"/>
      <c r="F16" s="1919">
        <f t="shared" si="0"/>
        <v>0</v>
      </c>
      <c r="G16" s="1920">
        <f t="shared" si="1"/>
        <v>0</v>
      </c>
      <c r="H16" s="1630"/>
      <c r="M16" s="2131"/>
    </row>
    <row r="17" spans="1:52" s="1631" customFormat="1" ht="15" customHeight="1" x14ac:dyDescent="0.2">
      <c r="A17" s="1630"/>
      <c r="B17" s="1916" t="str">
        <f>Translation!B175</f>
        <v>Zinssätze USD</v>
      </c>
      <c r="C17" s="1917"/>
      <c r="D17" s="1918">
        <f t="array" ref="D17">SQRT(MMULT(TRANSPOSE(G41:G43),MMULT(R41:T43,G41:G43)))</f>
        <v>0</v>
      </c>
      <c r="E17" s="1919"/>
      <c r="F17" s="1919">
        <f t="shared" si="0"/>
        <v>0</v>
      </c>
      <c r="G17" s="1920">
        <f t="shared" si="1"/>
        <v>0</v>
      </c>
      <c r="H17" s="1630"/>
      <c r="M17" s="2131"/>
    </row>
    <row r="18" spans="1:52" s="1631" customFormat="1" ht="15" customHeight="1" x14ac:dyDescent="0.2">
      <c r="A18" s="1630"/>
      <c r="B18" s="1916" t="str">
        <f>Translation!B176</f>
        <v>Zinssätze GBP</v>
      </c>
      <c r="C18" s="1917"/>
      <c r="D18" s="1918">
        <f t="array" ref="D18">SQRT(MMULT(TRANSPOSE(G44:G46),MMULT(U44:W46,G44:G46)))</f>
        <v>0</v>
      </c>
      <c r="E18" s="1919"/>
      <c r="F18" s="1919">
        <f t="shared" si="0"/>
        <v>0</v>
      </c>
      <c r="G18" s="1920">
        <f t="shared" si="1"/>
        <v>0</v>
      </c>
      <c r="H18" s="1630"/>
    </row>
    <row r="19" spans="1:52" s="1631" customFormat="1" ht="15" customHeight="1" x14ac:dyDescent="0.2">
      <c r="A19" s="1630"/>
      <c r="B19" s="1916" t="str">
        <f>Translation!B177</f>
        <v>Spreads</v>
      </c>
      <c r="C19" s="1917"/>
      <c r="D19" s="1918">
        <f t="array" ref="D19">SQRT(MMULT(TRANSPOSE(G48:G59),MMULT(Y48:AJ59,G48:G59)))</f>
        <v>0</v>
      </c>
      <c r="E19" s="1919"/>
      <c r="F19" s="1919">
        <f t="shared" ref="F19:F25" si="2">D19*$D$7</f>
        <v>0</v>
      </c>
      <c r="G19" s="1920">
        <f t="shared" ref="G19:G25" si="3">-1/(1-$D$6) * D19 * NORMDIST($D$7,0,1,FALSE)</f>
        <v>0</v>
      </c>
      <c r="H19" s="1630"/>
    </row>
    <row r="20" spans="1:52" s="1631" customFormat="1" ht="15" customHeight="1" x14ac:dyDescent="0.2">
      <c r="A20" s="1630"/>
      <c r="B20" s="1916" t="str">
        <f>Translation!B178</f>
        <v>Fremdwährungen</v>
      </c>
      <c r="C20" s="1917"/>
      <c r="D20" s="1918">
        <f t="array" ref="D20">SQRT(MMULT(TRANSPOSE(G60:G63),MMULT(AK60:AN63,G60:G63)))</f>
        <v>0</v>
      </c>
      <c r="E20" s="1919"/>
      <c r="F20" s="1919">
        <f t="shared" si="2"/>
        <v>0</v>
      </c>
      <c r="G20" s="1920">
        <f t="shared" si="3"/>
        <v>0</v>
      </c>
      <c r="H20" s="1630"/>
    </row>
    <row r="21" spans="1:52" s="1631" customFormat="1" ht="15" customHeight="1" x14ac:dyDescent="0.2">
      <c r="A21" s="1630"/>
      <c r="B21" s="1916" t="str">
        <f>Translation!B179</f>
        <v>Aktien</v>
      </c>
      <c r="C21" s="1917"/>
      <c r="D21" s="1918">
        <f t="array" ref="D21">SQRT(MMULT(TRANSPOSE(G65:G69),MMULT(AP65:AT69,G65:G69)))</f>
        <v>0</v>
      </c>
      <c r="E21" s="1919"/>
      <c r="F21" s="1919">
        <f t="shared" si="2"/>
        <v>0</v>
      </c>
      <c r="G21" s="1920">
        <f t="shared" si="3"/>
        <v>0</v>
      </c>
      <c r="H21" s="1630"/>
    </row>
    <row r="22" spans="1:52" s="1631" customFormat="1" ht="15" customHeight="1" x14ac:dyDescent="0.2">
      <c r="A22" s="1630"/>
      <c r="B22" s="1916" t="str">
        <f>Translation!B180</f>
        <v>Immobilien</v>
      </c>
      <c r="C22" s="1917"/>
      <c r="D22" s="1918">
        <f t="array" ref="D22">SQRT(MMULT(TRANSPOSE(G73:G73),MMULT(AX73:AX73,G73:G73)) + 2*SUMPRODUCT(G73:G74,AY73:AY74)*G74 - G74^2+ 2*(SUMPRODUCT(G73:G73,AZ73:AZ73)+G75*AZ75)*G75 - G75^2+2*G74*G75*AY75)</f>
        <v>0</v>
      </c>
      <c r="E22" s="1919"/>
      <c r="F22" s="1919">
        <f>D22*$D$7</f>
        <v>0</v>
      </c>
      <c r="G22" s="1920">
        <f>-1/(1-$D$6) * D22 * NORMDIST($D$7,0,1,FALSE)</f>
        <v>0</v>
      </c>
      <c r="H22" s="1630"/>
    </row>
    <row r="23" spans="1:52" s="1631" customFormat="1" ht="15" customHeight="1" x14ac:dyDescent="0.2">
      <c r="A23" s="1630"/>
      <c r="B23" s="1916" t="str">
        <f>Translation!B181</f>
        <v>Hedge Funds</v>
      </c>
      <c r="C23" s="1917"/>
      <c r="D23" s="1918">
        <f>ABS(G71)</f>
        <v>0</v>
      </c>
      <c r="E23" s="1919"/>
      <c r="F23" s="1919">
        <f t="shared" si="2"/>
        <v>0</v>
      </c>
      <c r="G23" s="1920">
        <f t="shared" si="3"/>
        <v>0</v>
      </c>
      <c r="H23" s="1630"/>
    </row>
    <row r="24" spans="1:52" s="1631" customFormat="1" ht="15" customHeight="1" x14ac:dyDescent="0.2">
      <c r="A24" s="1630"/>
      <c r="B24" s="1916" t="str">
        <f>Translation!B182</f>
        <v>Private Equity</v>
      </c>
      <c r="C24" s="1917"/>
      <c r="D24" s="1918">
        <f>ABS(G72)</f>
        <v>0</v>
      </c>
      <c r="E24" s="1919"/>
      <c r="F24" s="1919">
        <f t="shared" si="2"/>
        <v>0</v>
      </c>
      <c r="G24" s="1920">
        <f t="shared" si="3"/>
        <v>0</v>
      </c>
      <c r="H24" s="1630"/>
    </row>
    <row r="25" spans="1:52" s="1631" customFormat="1" ht="15" customHeight="1" x14ac:dyDescent="0.2">
      <c r="A25" s="1630"/>
      <c r="B25" s="1921" t="str">
        <f>Translation!B183</f>
        <v>Beteiligungen</v>
      </c>
      <c r="C25" s="1922"/>
      <c r="D25" s="1923">
        <f>ABS(G76)</f>
        <v>0</v>
      </c>
      <c r="E25" s="1924"/>
      <c r="F25" s="1924">
        <f t="shared" si="2"/>
        <v>0</v>
      </c>
      <c r="G25" s="1925">
        <f t="shared" si="3"/>
        <v>0</v>
      </c>
      <c r="H25" s="1630"/>
    </row>
    <row r="26" spans="1:52" s="1631" customFormat="1" ht="12.75" customHeight="1" x14ac:dyDescent="0.2">
      <c r="A26" s="1630"/>
      <c r="D26" s="1881"/>
      <c r="G26" s="1630"/>
      <c r="H26" s="1630"/>
      <c r="I26" s="1926"/>
    </row>
    <row r="27" spans="1:52" s="1631" customFormat="1" ht="31.5" customHeight="1" x14ac:dyDescent="0.2">
      <c r="A27" s="1630"/>
      <c r="D27" s="1881"/>
      <c r="G27" s="1630"/>
      <c r="H27" s="1630"/>
      <c r="I27" s="1630"/>
      <c r="J27" s="1927"/>
      <c r="K27" s="1883"/>
    </row>
    <row r="28" spans="1:52" s="1631" customFormat="1" ht="12.75" customHeight="1" x14ac:dyDescent="0.2">
      <c r="A28" s="1630"/>
      <c r="B28" s="1928" t="str">
        <f>Translation!B196</f>
        <v>partielle Ableitungen der Risikofaktoren</v>
      </c>
      <c r="C28" s="1887"/>
      <c r="D28" s="1929"/>
      <c r="F28" s="1886" t="str">
        <f>Translation!B187</f>
        <v>Jährliche Volatilität</v>
      </c>
      <c r="G28" s="1888"/>
      <c r="H28" s="1630"/>
      <c r="I28" s="1930"/>
      <c r="J28" s="1931" t="s">
        <v>67</v>
      </c>
      <c r="K28" s="1932"/>
      <c r="L28" s="1933">
        <v>2</v>
      </c>
      <c r="M28" s="1933">
        <v>10</v>
      </c>
      <c r="N28" s="1933">
        <v>13</v>
      </c>
      <c r="O28" s="1933">
        <v>24</v>
      </c>
      <c r="P28" s="1933">
        <v>25</v>
      </c>
      <c r="Q28" s="1933">
        <v>26</v>
      </c>
      <c r="R28" s="1933">
        <v>27</v>
      </c>
      <c r="S28" s="1933">
        <v>28</v>
      </c>
      <c r="T28" s="1933">
        <v>29</v>
      </c>
      <c r="U28" s="1933">
        <v>40</v>
      </c>
      <c r="V28" s="1933">
        <v>41</v>
      </c>
      <c r="W28" s="1933">
        <v>42</v>
      </c>
      <c r="X28" s="1933">
        <v>53</v>
      </c>
      <c r="Y28" s="1933">
        <v>54</v>
      </c>
      <c r="Z28" s="1933">
        <v>55</v>
      </c>
      <c r="AA28" s="1933">
        <v>56</v>
      </c>
      <c r="AB28" s="1933">
        <v>57</v>
      </c>
      <c r="AC28" s="1933">
        <v>58</v>
      </c>
      <c r="AD28" s="1933">
        <v>59</v>
      </c>
      <c r="AE28" s="1933">
        <v>60</v>
      </c>
      <c r="AF28" s="1933">
        <v>61</v>
      </c>
      <c r="AG28" s="1933"/>
      <c r="AH28" s="1933"/>
      <c r="AI28" s="1933"/>
      <c r="AJ28" s="1933">
        <v>62</v>
      </c>
      <c r="AK28" s="1933">
        <v>63</v>
      </c>
      <c r="AL28" s="1933">
        <v>64</v>
      </c>
      <c r="AM28" s="1933">
        <v>65</v>
      </c>
      <c r="AN28" s="1933">
        <v>66</v>
      </c>
      <c r="AO28" s="1933">
        <v>67</v>
      </c>
      <c r="AP28" s="1933">
        <v>68</v>
      </c>
      <c r="AQ28" s="1933">
        <v>69</v>
      </c>
      <c r="AR28" s="1933">
        <v>70</v>
      </c>
      <c r="AS28" s="1933">
        <v>71</v>
      </c>
      <c r="AT28" s="1933">
        <v>72</v>
      </c>
      <c r="AU28" s="1933">
        <v>75</v>
      </c>
      <c r="AV28" s="1933">
        <v>76</v>
      </c>
      <c r="AW28" s="1933">
        <v>77</v>
      </c>
      <c r="AX28" s="1933">
        <v>78</v>
      </c>
      <c r="AY28" s="1933">
        <v>79</v>
      </c>
      <c r="AZ28" s="1933">
        <v>80</v>
      </c>
    </row>
    <row r="29" spans="1:52" s="1631" customFormat="1" ht="26.1" customHeight="1" x14ac:dyDescent="0.2">
      <c r="A29" s="1630"/>
      <c r="B29" s="1934" t="str">
        <f>Translation!B184</f>
        <v>Sensitivität = dRES/d(Risikofaktor)</v>
      </c>
      <c r="C29" s="1630"/>
      <c r="D29" s="1935"/>
      <c r="F29" s="1181"/>
      <c r="G29" s="1936"/>
      <c r="H29" s="1630"/>
      <c r="I29" s="1630"/>
      <c r="J29" s="1937"/>
      <c r="K29" s="1938"/>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c r="AR29" s="1630"/>
      <c r="AS29" s="1630"/>
      <c r="AT29" s="1630"/>
      <c r="AU29" s="1630"/>
      <c r="AX29" s="1630"/>
      <c r="AY29" s="1630"/>
      <c r="AZ29" s="1630"/>
    </row>
    <row r="30" spans="1:52" s="1940" customFormat="1" ht="8.1" customHeight="1" x14ac:dyDescent="0.2">
      <c r="A30" s="1275"/>
      <c r="B30" s="1934"/>
      <c r="C30" s="1275"/>
      <c r="D30" s="1939"/>
      <c r="F30" s="1941"/>
      <c r="G30" s="1942"/>
      <c r="H30" s="1275"/>
      <c r="I30" s="1275"/>
      <c r="J30" s="1943"/>
      <c r="K30" s="1944"/>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X30" s="1275"/>
      <c r="AY30" s="1275"/>
      <c r="AZ30" s="1275"/>
    </row>
    <row r="31" spans="1:52" ht="30" customHeight="1" x14ac:dyDescent="0.2">
      <c r="A31" s="1179"/>
      <c r="B31" s="1934"/>
      <c r="C31" s="1179"/>
      <c r="D31" s="1945"/>
      <c r="F31" s="2451" t="str">
        <f>Translation!B188</f>
        <v>historische Volatilität der Risikofaktoren (RF)</v>
      </c>
      <c r="G31" s="2452" t="str">
        <f>Translation!B189</f>
        <v>Änderung der RES bei 1-sigma-Auslenkung des RFs</v>
      </c>
      <c r="I31" s="1580"/>
      <c r="J31" s="1937"/>
      <c r="K31" s="1938"/>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X31" s="1170"/>
      <c r="AY31" s="1179"/>
      <c r="AZ31" s="1179"/>
    </row>
    <row r="32" spans="1:52" ht="30" customHeight="1" x14ac:dyDescent="0.2">
      <c r="A32" s="1179"/>
      <c r="B32" s="1934"/>
      <c r="C32" s="1179"/>
      <c r="D32" s="1945"/>
      <c r="F32" s="2451"/>
      <c r="G32" s="2452"/>
      <c r="I32" s="1580"/>
      <c r="J32" s="1937"/>
      <c r="K32" s="1938"/>
      <c r="L32" s="1179"/>
      <c r="M32" s="1179"/>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179"/>
      <c r="AS32" s="1179"/>
      <c r="AT32" s="1179"/>
      <c r="AU32" s="1179"/>
      <c r="AX32" s="1170"/>
      <c r="AY32" s="1179"/>
      <c r="AZ32" s="1179"/>
    </row>
    <row r="33" spans="1:52" s="1155" customFormat="1" ht="25.5" customHeight="1" x14ac:dyDescent="0.2">
      <c r="B33" s="1946" t="str">
        <f>Translation!B185</f>
        <v xml:space="preserve">Risikofaktor </v>
      </c>
      <c r="C33" s="1570"/>
      <c r="D33" s="1947" t="str">
        <f>Translation!B186</f>
        <v>Sensitivitäten</v>
      </c>
      <c r="F33" s="1948" t="str">
        <f>Translation!B190</f>
        <v xml:space="preserve">(Zinssätze in Basispunkten, </v>
      </c>
      <c r="G33" s="1949" t="s">
        <v>82</v>
      </c>
      <c r="H33" s="1570"/>
      <c r="I33" s="1950"/>
      <c r="J33" s="1951"/>
      <c r="K33" s="1952"/>
      <c r="L33" s="2461" t="s">
        <v>219</v>
      </c>
      <c r="M33" s="2462"/>
      <c r="N33" s="2462"/>
      <c r="O33" s="2467" t="s">
        <v>220</v>
      </c>
      <c r="P33" s="2468"/>
      <c r="Q33" s="2468"/>
      <c r="R33" s="2461" t="s">
        <v>221</v>
      </c>
      <c r="S33" s="2462"/>
      <c r="T33" s="2462"/>
      <c r="U33" s="2467" t="s">
        <v>222</v>
      </c>
      <c r="V33" s="2468"/>
      <c r="W33" s="2468"/>
      <c r="X33" s="2475" t="s">
        <v>1817</v>
      </c>
      <c r="Y33" s="2467" t="s">
        <v>1853</v>
      </c>
      <c r="Z33" s="2468"/>
      <c r="AA33" s="2468"/>
      <c r="AB33" s="2468"/>
      <c r="AC33" s="1953" t="s">
        <v>1854</v>
      </c>
      <c r="AD33" s="2468"/>
      <c r="AE33" s="2468"/>
      <c r="AF33" s="2468"/>
      <c r="AG33" s="1954" t="s">
        <v>2292</v>
      </c>
      <c r="AH33" s="1955" t="s">
        <v>2293</v>
      </c>
      <c r="AI33" s="1956" t="s">
        <v>2294</v>
      </c>
      <c r="AJ33" s="2456" t="s">
        <v>1826</v>
      </c>
      <c r="AK33" s="2463" t="s">
        <v>1855</v>
      </c>
      <c r="AL33" s="2464"/>
      <c r="AM33" s="2464"/>
      <c r="AN33" s="2465"/>
      <c r="AO33" s="2456" t="s">
        <v>1831</v>
      </c>
      <c r="AP33" s="2463" t="s">
        <v>54</v>
      </c>
      <c r="AQ33" s="2464"/>
      <c r="AR33" s="2464"/>
      <c r="AS33" s="2464"/>
      <c r="AT33" s="2464"/>
      <c r="AU33" s="2456" t="s">
        <v>1837</v>
      </c>
      <c r="AV33" s="2475" t="s">
        <v>1838</v>
      </c>
      <c r="AW33" s="2456" t="s">
        <v>135</v>
      </c>
      <c r="AX33" s="1957" t="s">
        <v>1840</v>
      </c>
      <c r="AY33" s="2054" t="s">
        <v>1839</v>
      </c>
      <c r="AZ33" s="2469" t="s">
        <v>1841</v>
      </c>
    </row>
    <row r="34" spans="1:52" ht="13.5" customHeight="1" x14ac:dyDescent="0.2">
      <c r="B34" s="1907"/>
      <c r="C34" s="1184"/>
      <c r="D34" s="1958"/>
      <c r="F34" s="1959" t="str">
        <f>Translation!B191</f>
        <v>Rest in %)</v>
      </c>
      <c r="G34" s="1635"/>
      <c r="J34" s="1960"/>
      <c r="K34" s="1961"/>
      <c r="L34" s="1962">
        <v>2</v>
      </c>
      <c r="M34" s="1963">
        <v>10</v>
      </c>
      <c r="N34" s="1964">
        <v>30</v>
      </c>
      <c r="O34" s="1965">
        <v>2</v>
      </c>
      <c r="P34" s="1965">
        <v>10</v>
      </c>
      <c r="Q34" s="1966">
        <v>30</v>
      </c>
      <c r="R34" s="1962">
        <v>2</v>
      </c>
      <c r="S34" s="1963">
        <v>10</v>
      </c>
      <c r="T34" s="1963">
        <v>30</v>
      </c>
      <c r="U34" s="1967">
        <v>2</v>
      </c>
      <c r="V34" s="1965">
        <v>10</v>
      </c>
      <c r="W34" s="1965">
        <v>30</v>
      </c>
      <c r="X34" s="2476"/>
      <c r="Y34" s="1968" t="s">
        <v>488</v>
      </c>
      <c r="Z34" s="1968" t="s">
        <v>489</v>
      </c>
      <c r="AA34" s="1968" t="s">
        <v>1856</v>
      </c>
      <c r="AB34" s="1968" t="s">
        <v>490</v>
      </c>
      <c r="AC34" s="1969" t="s">
        <v>1857</v>
      </c>
      <c r="AD34" s="1968" t="s">
        <v>489</v>
      </c>
      <c r="AE34" s="1968" t="s">
        <v>1856</v>
      </c>
      <c r="AF34" s="1968" t="s">
        <v>490</v>
      </c>
      <c r="AG34" s="1970"/>
      <c r="AH34" s="1971"/>
      <c r="AI34" s="1972"/>
      <c r="AJ34" s="2457"/>
      <c r="AK34" s="1971" t="s">
        <v>76</v>
      </c>
      <c r="AL34" s="1973" t="s">
        <v>77</v>
      </c>
      <c r="AM34" s="1973" t="s">
        <v>152</v>
      </c>
      <c r="AN34" s="1972" t="s">
        <v>78</v>
      </c>
      <c r="AO34" s="2457"/>
      <c r="AP34" s="1971" t="s">
        <v>1858</v>
      </c>
      <c r="AQ34" s="1973" t="s">
        <v>1859</v>
      </c>
      <c r="AR34" s="1973" t="s">
        <v>1860</v>
      </c>
      <c r="AS34" s="1973" t="s">
        <v>1861</v>
      </c>
      <c r="AT34" s="1973" t="s">
        <v>1862</v>
      </c>
      <c r="AU34" s="2457"/>
      <c r="AV34" s="2481"/>
      <c r="AW34" s="2457"/>
      <c r="AX34" s="1974"/>
      <c r="AY34" s="2055"/>
      <c r="AZ34" s="2470"/>
    </row>
    <row r="35" spans="1:52" s="1155" customFormat="1" ht="12.75" customHeight="1" x14ac:dyDescent="0.2">
      <c r="A35" s="2199" t="s">
        <v>271</v>
      </c>
      <c r="B35" s="1975" t="s">
        <v>1813</v>
      </c>
      <c r="C35" s="1976" t="s">
        <v>251</v>
      </c>
      <c r="D35" s="1977">
        <f>'Sensitivitaeten Delta_Market'!AD17</f>
        <v>0</v>
      </c>
      <c r="E35" s="1570"/>
      <c r="F35" s="1978">
        <v>49.490779266378603</v>
      </c>
      <c r="G35" s="2014">
        <f>D35*F35</f>
        <v>0</v>
      </c>
      <c r="H35" s="1179"/>
      <c r="I35" s="1179"/>
      <c r="J35" s="2477" t="s">
        <v>219</v>
      </c>
      <c r="K35" s="1976">
        <v>2</v>
      </c>
      <c r="L35" s="2352">
        <v>1</v>
      </c>
      <c r="M35" s="2353">
        <v>0.61010558150454397</v>
      </c>
      <c r="N35" s="2354">
        <v>0.44691119085098702</v>
      </c>
      <c r="O35" s="2355">
        <v>0.68785562557409097</v>
      </c>
      <c r="P35" s="2353">
        <v>0.50738428804029501</v>
      </c>
      <c r="Q35" s="2354">
        <v>0.36134303783354998</v>
      </c>
      <c r="R35" s="2355">
        <v>0.47325219284213299</v>
      </c>
      <c r="S35" s="2353">
        <v>0.37696797141347699</v>
      </c>
      <c r="T35" s="2354">
        <v>0.29312042398962201</v>
      </c>
      <c r="U35" s="2355">
        <v>0.55725986115044801</v>
      </c>
      <c r="V35" s="2353">
        <v>0.39313327676175902</v>
      </c>
      <c r="W35" s="2354">
        <v>0.26376712218713</v>
      </c>
      <c r="X35" s="2354">
        <v>6.4003315217377302E-2</v>
      </c>
      <c r="Y35" s="2355">
        <v>-0.15038883431689901</v>
      </c>
      <c r="Z35" s="2353">
        <v>-0.16497288134375401</v>
      </c>
      <c r="AA35" s="2353">
        <v>-0.138750724144377</v>
      </c>
      <c r="AB35" s="2354">
        <v>-0.144600881175806</v>
      </c>
      <c r="AC35" s="2354">
        <v>-0.19010087501572301</v>
      </c>
      <c r="AD35" s="2355">
        <v>-4.4578279987030602E-2</v>
      </c>
      <c r="AE35" s="2353">
        <v>-8.8498221083821202E-2</v>
      </c>
      <c r="AF35" s="2353">
        <v>-0.13047190039404399</v>
      </c>
      <c r="AG35" s="2354">
        <v>-0.126109749282628</v>
      </c>
      <c r="AH35" s="2355">
        <v>-0.222769187582781</v>
      </c>
      <c r="AI35" s="2354">
        <v>-0.212657036244946</v>
      </c>
      <c r="AJ35" s="2354">
        <v>0.19657250403614099</v>
      </c>
      <c r="AK35" s="2355">
        <v>0.27719639711962601</v>
      </c>
      <c r="AL35" s="2353">
        <v>6.3232565635302801E-2</v>
      </c>
      <c r="AM35" s="2353">
        <v>0.18034045372972701</v>
      </c>
      <c r="AN35" s="2354">
        <v>-0.198812603515931</v>
      </c>
      <c r="AO35" s="2354">
        <v>-0.25875665964846301</v>
      </c>
      <c r="AP35" s="2355">
        <v>0.19606665716212901</v>
      </c>
      <c r="AQ35" s="2353">
        <v>0.12188940911353199</v>
      </c>
      <c r="AR35" s="2353">
        <v>7.7590817709921406E-2</v>
      </c>
      <c r="AS35" s="2353">
        <v>0.18548931300628599</v>
      </c>
      <c r="AT35" s="2354">
        <v>0.22245445116337401</v>
      </c>
      <c r="AU35" s="2354">
        <v>-0.12859694319596299</v>
      </c>
      <c r="AV35" s="2354">
        <v>0.20779162150796199</v>
      </c>
      <c r="AW35" s="2354">
        <v>8.8177670496879398E-2</v>
      </c>
      <c r="AX35" s="2356">
        <v>-0.14578083868927799</v>
      </c>
      <c r="AY35" s="2357">
        <v>-0.14578083868927799</v>
      </c>
      <c r="AZ35" s="2357">
        <v>-0.14578083868927799</v>
      </c>
    </row>
    <row r="36" spans="1:52" s="1155" customFormat="1" ht="12.75" customHeight="1" x14ac:dyDescent="0.2">
      <c r="A36" s="2199" t="s">
        <v>272</v>
      </c>
      <c r="B36" s="1980" t="s">
        <v>2282</v>
      </c>
      <c r="C36" s="1976" t="s">
        <v>1842</v>
      </c>
      <c r="D36" s="1977">
        <f>'Sensitivitaeten Delta_Market'!AD18</f>
        <v>0</v>
      </c>
      <c r="E36" s="1570"/>
      <c r="F36" s="1978">
        <v>55.587412143314573</v>
      </c>
      <c r="G36" s="1979">
        <f t="shared" ref="G36:G43" si="4">D36*F36</f>
        <v>0</v>
      </c>
      <c r="H36" s="1179"/>
      <c r="I36" s="1179"/>
      <c r="J36" s="2478"/>
      <c r="K36" s="1976">
        <v>10</v>
      </c>
      <c r="L36" s="2358">
        <v>0.61010558150454397</v>
      </c>
      <c r="M36" s="2359">
        <v>1</v>
      </c>
      <c r="N36" s="2360">
        <v>0.88156082355505505</v>
      </c>
      <c r="O36" s="2361">
        <v>0.605020734164468</v>
      </c>
      <c r="P36" s="2362">
        <v>0.81102029235639905</v>
      </c>
      <c r="Q36" s="2360">
        <v>0.73299939658475899</v>
      </c>
      <c r="R36" s="2361">
        <v>0.44706541645419101</v>
      </c>
      <c r="S36" s="2362">
        <v>0.65242216556959098</v>
      </c>
      <c r="T36" s="2360">
        <v>0.591284149055474</v>
      </c>
      <c r="U36" s="2361">
        <v>0.47009658586680703</v>
      </c>
      <c r="V36" s="2362">
        <v>0.65050263022146704</v>
      </c>
      <c r="W36" s="2360">
        <v>0.54934133878593105</v>
      </c>
      <c r="X36" s="2360">
        <v>5.5362224122188497E-2</v>
      </c>
      <c r="Y36" s="2361">
        <v>-0.13806363300087299</v>
      </c>
      <c r="Z36" s="2362">
        <v>-9.6318440844418901E-2</v>
      </c>
      <c r="AA36" s="2362">
        <v>-8.45546720060424E-2</v>
      </c>
      <c r="AB36" s="2360">
        <v>-8.7199015658894499E-2</v>
      </c>
      <c r="AC36" s="2360">
        <v>-0.106495183192129</v>
      </c>
      <c r="AD36" s="2361">
        <v>7.3748490305921802E-2</v>
      </c>
      <c r="AE36" s="2362">
        <v>7.5327412193841904E-3</v>
      </c>
      <c r="AF36" s="2362">
        <v>7.00478002666518E-3</v>
      </c>
      <c r="AG36" s="2360">
        <v>-0.123982303914076</v>
      </c>
      <c r="AH36" s="2361">
        <v>-0.21672268953700899</v>
      </c>
      <c r="AI36" s="2360">
        <v>-0.15520638457963201</v>
      </c>
      <c r="AJ36" s="2360">
        <v>0.190933278919828</v>
      </c>
      <c r="AK36" s="2361">
        <v>0.22625722441005999</v>
      </c>
      <c r="AL36" s="2362">
        <v>-2.5245044506016001E-2</v>
      </c>
      <c r="AM36" s="2362">
        <v>0.121099507217077</v>
      </c>
      <c r="AN36" s="2360">
        <v>-0.281649138821984</v>
      </c>
      <c r="AO36" s="2360">
        <v>-9.10583181480491E-2</v>
      </c>
      <c r="AP36" s="2361">
        <v>3.5285575693387902E-2</v>
      </c>
      <c r="AQ36" s="2362">
        <v>1.17171073650429E-2</v>
      </c>
      <c r="AR36" s="2362">
        <v>-2.1329686521053701E-2</v>
      </c>
      <c r="AS36" s="2362">
        <v>3.78398739419952E-2</v>
      </c>
      <c r="AT36" s="2360">
        <v>0.18715635410575401</v>
      </c>
      <c r="AU36" s="2360">
        <v>-6.4414394555689494E-2</v>
      </c>
      <c r="AV36" s="2360">
        <v>4.4871190437291798E-2</v>
      </c>
      <c r="AW36" s="2360">
        <v>-2.7841771005467999E-2</v>
      </c>
      <c r="AX36" s="2358">
        <v>-0.19647249219273</v>
      </c>
      <c r="AY36" s="2363">
        <v>-0.19647249219273</v>
      </c>
      <c r="AZ36" s="2363">
        <v>-0.19647249219273</v>
      </c>
    </row>
    <row r="37" spans="1:52" s="1155" customFormat="1" ht="12.75" customHeight="1" x14ac:dyDescent="0.2">
      <c r="A37" s="2199" t="s">
        <v>273</v>
      </c>
      <c r="B37" s="1981" t="s">
        <v>2283</v>
      </c>
      <c r="C37" s="1964" t="s">
        <v>1843</v>
      </c>
      <c r="D37" s="1977">
        <f>'Sensitivitaeten Delta_Market'!AD19</f>
        <v>0</v>
      </c>
      <c r="E37" s="1570"/>
      <c r="F37" s="1982">
        <v>55.173076530138353</v>
      </c>
      <c r="G37" s="2009">
        <f t="shared" si="4"/>
        <v>0</v>
      </c>
      <c r="H37" s="1179"/>
      <c r="I37" s="1179"/>
      <c r="J37" s="2478"/>
      <c r="K37" s="1964">
        <v>30</v>
      </c>
      <c r="L37" s="2364">
        <v>0.44691119085098702</v>
      </c>
      <c r="M37" s="2365">
        <v>0.88156082355505505</v>
      </c>
      <c r="N37" s="2366">
        <v>1</v>
      </c>
      <c r="O37" s="2367">
        <v>0.48419318931489902</v>
      </c>
      <c r="P37" s="2365">
        <v>0.75205764216033499</v>
      </c>
      <c r="Q37" s="2368">
        <v>0.74495117007226896</v>
      </c>
      <c r="R37" s="2367">
        <v>0.36642703499763801</v>
      </c>
      <c r="S37" s="2365">
        <v>0.64424522037001797</v>
      </c>
      <c r="T37" s="2368">
        <v>0.629450204766139</v>
      </c>
      <c r="U37" s="2367">
        <v>0.33941897171532798</v>
      </c>
      <c r="V37" s="2365">
        <v>0.600766332112734</v>
      </c>
      <c r="W37" s="2368">
        <v>0.57445143972972801</v>
      </c>
      <c r="X37" s="2368">
        <v>2.9091883213871499E-2</v>
      </c>
      <c r="Y37" s="2367">
        <v>-0.14486845335816001</v>
      </c>
      <c r="Z37" s="2365">
        <v>-0.12760828203682401</v>
      </c>
      <c r="AA37" s="2365">
        <v>-0.122617578667069</v>
      </c>
      <c r="AB37" s="2368">
        <v>-0.124191835318153</v>
      </c>
      <c r="AC37" s="2368">
        <v>-0.134253903732129</v>
      </c>
      <c r="AD37" s="2367">
        <v>1.8175363072544099E-2</v>
      </c>
      <c r="AE37" s="2365">
        <v>-2.4849013282087301E-2</v>
      </c>
      <c r="AF37" s="2365">
        <v>-2.0241965684563299E-2</v>
      </c>
      <c r="AG37" s="2368">
        <v>-0.13103458848940899</v>
      </c>
      <c r="AH37" s="2367">
        <v>-0.11693227610176</v>
      </c>
      <c r="AI37" s="2368">
        <v>-8.0371529445605105E-2</v>
      </c>
      <c r="AJ37" s="2368">
        <v>0.13467284653934</v>
      </c>
      <c r="AK37" s="2367">
        <v>0.180675390179206</v>
      </c>
      <c r="AL37" s="2365">
        <v>-4.7078987543958999E-2</v>
      </c>
      <c r="AM37" s="2365">
        <v>0.13396318828235301</v>
      </c>
      <c r="AN37" s="2368">
        <v>-0.289224797909721</v>
      </c>
      <c r="AO37" s="2368">
        <v>-0.108065493764866</v>
      </c>
      <c r="AP37" s="2367">
        <v>6.7412640768376303E-3</v>
      </c>
      <c r="AQ37" s="2365">
        <v>4.5608761378330802E-2</v>
      </c>
      <c r="AR37" s="2365">
        <v>1.1538771721908999E-2</v>
      </c>
      <c r="AS37" s="2365">
        <v>4.5737266073110301E-2</v>
      </c>
      <c r="AT37" s="2368">
        <v>0.18770300466433201</v>
      </c>
      <c r="AU37" s="2368">
        <v>-6.8211754883919798E-2</v>
      </c>
      <c r="AV37" s="2368">
        <v>3.9836145965258397E-2</v>
      </c>
      <c r="AW37" s="2368">
        <v>1.93448184632668E-2</v>
      </c>
      <c r="AX37" s="2369">
        <v>-0.19972098642664099</v>
      </c>
      <c r="AY37" s="2370">
        <v>-0.19972098642664099</v>
      </c>
      <c r="AZ37" s="2370">
        <v>-0.19972098642664099</v>
      </c>
    </row>
    <row r="38" spans="1:52" ht="12.75" customHeight="1" x14ac:dyDescent="0.2">
      <c r="A38" s="2199" t="s">
        <v>274</v>
      </c>
      <c r="B38" s="1983" t="s">
        <v>1814</v>
      </c>
      <c r="C38" s="1984" t="s">
        <v>251</v>
      </c>
      <c r="D38" s="1985">
        <f>'Sensitivitaeten Delta_Market'!AD20</f>
        <v>0</v>
      </c>
      <c r="E38" s="1570"/>
      <c r="F38" s="1978">
        <v>67.48094154378748</v>
      </c>
      <c r="G38" s="1979">
        <f t="shared" si="4"/>
        <v>0</v>
      </c>
      <c r="J38" s="2479" t="s">
        <v>220</v>
      </c>
      <c r="K38" s="1986">
        <v>15</v>
      </c>
      <c r="L38" s="2371">
        <v>0.68785562557409097</v>
      </c>
      <c r="M38" s="2372">
        <v>0.605020734164468</v>
      </c>
      <c r="N38" s="2373">
        <v>0.48419318931489902</v>
      </c>
      <c r="O38" s="2374">
        <v>1</v>
      </c>
      <c r="P38" s="2372">
        <v>0.736927850199251</v>
      </c>
      <c r="Q38" s="2373">
        <v>0.57548301177362005</v>
      </c>
      <c r="R38" s="2375">
        <v>0.65503585559994704</v>
      </c>
      <c r="S38" s="2372">
        <v>0.55806697320568999</v>
      </c>
      <c r="T38" s="2373">
        <v>0.45337220180350402</v>
      </c>
      <c r="U38" s="2375">
        <v>0.69896297530722096</v>
      </c>
      <c r="V38" s="2372">
        <v>0.58820352164546397</v>
      </c>
      <c r="W38" s="2373">
        <v>0.45884941494846698</v>
      </c>
      <c r="X38" s="2373">
        <v>9.5552187539877501E-2</v>
      </c>
      <c r="Y38" s="2375">
        <v>-0.20050608749549301</v>
      </c>
      <c r="Z38" s="2372">
        <v>-0.23367188914812401</v>
      </c>
      <c r="AA38" s="2372">
        <v>-0.24025227007449401</v>
      </c>
      <c r="AB38" s="2373">
        <v>-0.27492457186899799</v>
      </c>
      <c r="AC38" s="2373">
        <v>-0.29417545550900098</v>
      </c>
      <c r="AD38" s="2375">
        <v>-9.62209637859225E-2</v>
      </c>
      <c r="AE38" s="2372">
        <v>-0.20259789207921999</v>
      </c>
      <c r="AF38" s="2372">
        <v>-0.246062236152295</v>
      </c>
      <c r="AG38" s="2373">
        <v>-0.22822891929629599</v>
      </c>
      <c r="AH38" s="2375">
        <v>-0.128119789386473</v>
      </c>
      <c r="AI38" s="2373">
        <v>-0.23604764360111899</v>
      </c>
      <c r="AJ38" s="2373">
        <v>0.17449149376440001</v>
      </c>
      <c r="AK38" s="2375">
        <v>0.31838889735797898</v>
      </c>
      <c r="AL38" s="2372">
        <v>1.4450112403802401E-2</v>
      </c>
      <c r="AM38" s="2372">
        <v>0.157809230049722</v>
      </c>
      <c r="AN38" s="2373">
        <v>-0.36600504539259099</v>
      </c>
      <c r="AO38" s="2373">
        <v>-0.22261162222313799</v>
      </c>
      <c r="AP38" s="2375">
        <v>0.17394109025332599</v>
      </c>
      <c r="AQ38" s="2372">
        <v>0.25927678867353199</v>
      </c>
      <c r="AR38" s="2372">
        <v>0.148339736584468</v>
      </c>
      <c r="AS38" s="2372">
        <v>0.24786496286632001</v>
      </c>
      <c r="AT38" s="2373">
        <v>0.34426981210012803</v>
      </c>
      <c r="AU38" s="2373">
        <v>-0.13803844507354199</v>
      </c>
      <c r="AV38" s="2373">
        <v>0.22483153736243899</v>
      </c>
      <c r="AW38" s="2373">
        <v>0.180256060545914</v>
      </c>
      <c r="AX38" s="2371">
        <v>-5.6750167787975703E-2</v>
      </c>
      <c r="AY38" s="2376">
        <v>-5.6750167787975703E-2</v>
      </c>
      <c r="AZ38" s="2376">
        <v>-5.6750167787975703E-2</v>
      </c>
    </row>
    <row r="39" spans="1:52" ht="12.75" customHeight="1" x14ac:dyDescent="0.2">
      <c r="A39" s="2199" t="s">
        <v>275</v>
      </c>
      <c r="B39" s="1983" t="s">
        <v>2284</v>
      </c>
      <c r="C39" s="1986" t="s">
        <v>1842</v>
      </c>
      <c r="D39" s="1977">
        <f>'Sensitivitaeten Delta_Market'!AD21</f>
        <v>0</v>
      </c>
      <c r="E39" s="1570"/>
      <c r="F39" s="1978">
        <v>70.094160303705848</v>
      </c>
      <c r="G39" s="1979">
        <f t="shared" si="4"/>
        <v>0</v>
      </c>
      <c r="J39" s="2480"/>
      <c r="K39" s="1986">
        <v>20</v>
      </c>
      <c r="L39" s="2358">
        <v>0.50738428804029501</v>
      </c>
      <c r="M39" s="2362">
        <v>0.81102029235639905</v>
      </c>
      <c r="N39" s="2360">
        <v>0.75205764216033499</v>
      </c>
      <c r="O39" s="2361">
        <v>0.736927850199251</v>
      </c>
      <c r="P39" s="2359">
        <v>1</v>
      </c>
      <c r="Q39" s="2360">
        <v>0.91923874583976095</v>
      </c>
      <c r="R39" s="2361">
        <v>0.58428902267598404</v>
      </c>
      <c r="S39" s="2362">
        <v>0.81169077778968102</v>
      </c>
      <c r="T39" s="2360">
        <v>0.74876606164509596</v>
      </c>
      <c r="U39" s="2361">
        <v>0.59525780337547196</v>
      </c>
      <c r="V39" s="2362">
        <v>0.84224356824332702</v>
      </c>
      <c r="W39" s="2360">
        <v>0.72480306001608397</v>
      </c>
      <c r="X39" s="2360">
        <v>0.11926609954786201</v>
      </c>
      <c r="Y39" s="2361">
        <v>-0.19732273542301801</v>
      </c>
      <c r="Z39" s="2362">
        <v>-0.19303875282365199</v>
      </c>
      <c r="AA39" s="2362">
        <v>-0.18598400536367701</v>
      </c>
      <c r="AB39" s="2360">
        <v>-0.205261770206313</v>
      </c>
      <c r="AC39" s="2360">
        <v>-0.24050666370187801</v>
      </c>
      <c r="AD39" s="2361">
        <v>-7.5206720900055604E-2</v>
      </c>
      <c r="AE39" s="2362">
        <v>-0.12529242698559701</v>
      </c>
      <c r="AF39" s="2362">
        <v>-0.12820100914412999</v>
      </c>
      <c r="AG39" s="2360">
        <v>-0.24597204733087999</v>
      </c>
      <c r="AH39" s="2361">
        <v>-7.6241910355555997E-2</v>
      </c>
      <c r="AI39" s="2360">
        <v>-0.115204095772935</v>
      </c>
      <c r="AJ39" s="2360">
        <v>9.8266592863821306E-2</v>
      </c>
      <c r="AK39" s="2361">
        <v>0.24235402872692099</v>
      </c>
      <c r="AL39" s="2362">
        <v>2.61693988203252E-2</v>
      </c>
      <c r="AM39" s="2362">
        <v>0.14646489073996399</v>
      </c>
      <c r="AN39" s="2360">
        <v>-0.335015520244552</v>
      </c>
      <c r="AO39" s="2360">
        <v>-0.14824149220184599</v>
      </c>
      <c r="AP39" s="2361">
        <v>3.8075386927363501E-2</v>
      </c>
      <c r="AQ39" s="2362">
        <v>0.102509697602613</v>
      </c>
      <c r="AR39" s="2362">
        <v>2.10824954723885E-2</v>
      </c>
      <c r="AS39" s="2362">
        <v>0.117284582928897</v>
      </c>
      <c r="AT39" s="2360">
        <v>0.23984388256554701</v>
      </c>
      <c r="AU39" s="2360">
        <v>-3.8443098636339199E-2</v>
      </c>
      <c r="AV39" s="2360">
        <v>8.8084286306466697E-2</v>
      </c>
      <c r="AW39" s="2360">
        <v>7.5052551427581896E-2</v>
      </c>
      <c r="AX39" s="2358">
        <v>-0.17280387299820299</v>
      </c>
      <c r="AY39" s="2363">
        <v>-0.17280387299820299</v>
      </c>
      <c r="AZ39" s="2363">
        <v>-0.17280387299820299</v>
      </c>
    </row>
    <row r="40" spans="1:52" ht="12.75" customHeight="1" x14ac:dyDescent="0.2">
      <c r="A40" s="2199" t="s">
        <v>276</v>
      </c>
      <c r="B40" s="1987" t="s">
        <v>2285</v>
      </c>
      <c r="C40" s="1966" t="s">
        <v>1843</v>
      </c>
      <c r="D40" s="1988">
        <f>'Sensitivitaeten Delta_Market'!AD22</f>
        <v>0</v>
      </c>
      <c r="E40" s="1570"/>
      <c r="F40" s="1982">
        <v>73.544822444311748</v>
      </c>
      <c r="G40" s="2009">
        <f t="shared" si="4"/>
        <v>0</v>
      </c>
      <c r="J40" s="2480"/>
      <c r="K40" s="1966">
        <v>30</v>
      </c>
      <c r="L40" s="2364">
        <v>0.36134303783354998</v>
      </c>
      <c r="M40" s="2365">
        <v>0.73299939658475899</v>
      </c>
      <c r="N40" s="2368">
        <v>0.74495117007226896</v>
      </c>
      <c r="O40" s="2367">
        <v>0.57548301177362005</v>
      </c>
      <c r="P40" s="2365">
        <v>0.91923874583976095</v>
      </c>
      <c r="Q40" s="2366">
        <v>1</v>
      </c>
      <c r="R40" s="2367">
        <v>0.437881887509388</v>
      </c>
      <c r="S40" s="2365">
        <v>0.72834055417462396</v>
      </c>
      <c r="T40" s="2368">
        <v>0.73635089138824505</v>
      </c>
      <c r="U40" s="2367">
        <v>0.47761578462187199</v>
      </c>
      <c r="V40" s="2365">
        <v>0.76800246840914899</v>
      </c>
      <c r="W40" s="2368">
        <v>0.74581357250115798</v>
      </c>
      <c r="X40" s="2368">
        <v>8.9921880742704005E-2</v>
      </c>
      <c r="Y40" s="2367">
        <v>-0.16278579106402999</v>
      </c>
      <c r="Z40" s="2365">
        <v>-0.166370211190354</v>
      </c>
      <c r="AA40" s="2365">
        <v>-0.166170421182192</v>
      </c>
      <c r="AB40" s="2368">
        <v>-0.18217032196570401</v>
      </c>
      <c r="AC40" s="2368">
        <v>-0.19447634947607301</v>
      </c>
      <c r="AD40" s="2367">
        <v>-4.4177114070684399E-2</v>
      </c>
      <c r="AE40" s="2365">
        <v>-0.104455285350788</v>
      </c>
      <c r="AF40" s="2365">
        <v>-9.1943143672188005E-2</v>
      </c>
      <c r="AG40" s="2368">
        <v>-0.24404531357791101</v>
      </c>
      <c r="AH40" s="2367">
        <v>-3.1344093178429698E-2</v>
      </c>
      <c r="AI40" s="2368">
        <v>-3.3489779247684502E-2</v>
      </c>
      <c r="AJ40" s="2368">
        <v>8.0934782332461097E-2</v>
      </c>
      <c r="AK40" s="2367">
        <v>0.25239461387554801</v>
      </c>
      <c r="AL40" s="2365">
        <v>-2.5904711500049499E-2</v>
      </c>
      <c r="AM40" s="2365">
        <v>0.12202018996552</v>
      </c>
      <c r="AN40" s="2368">
        <v>-0.32695472911969597</v>
      </c>
      <c r="AO40" s="2368">
        <v>-0.15301776712673701</v>
      </c>
      <c r="AP40" s="2367">
        <v>7.0035606899687504E-3</v>
      </c>
      <c r="AQ40" s="2365">
        <v>6.4606592898716703E-2</v>
      </c>
      <c r="AR40" s="2365">
        <v>1.0991611517317E-2</v>
      </c>
      <c r="AS40" s="2365">
        <v>8.3998455283147394E-2</v>
      </c>
      <c r="AT40" s="2368">
        <v>0.202712552926921</v>
      </c>
      <c r="AU40" s="2368">
        <v>-2.09009231505911E-2</v>
      </c>
      <c r="AV40" s="2368">
        <v>2.7703276019250399E-2</v>
      </c>
      <c r="AW40" s="2368">
        <v>5.2102127527728102E-2</v>
      </c>
      <c r="AX40" s="2364">
        <v>-0.13518268974967901</v>
      </c>
      <c r="AY40" s="2370">
        <v>-0.13518268974967901</v>
      </c>
      <c r="AZ40" s="2370">
        <v>-0.13518268974967901</v>
      </c>
    </row>
    <row r="41" spans="1:52" ht="12.75" customHeight="1" x14ac:dyDescent="0.2">
      <c r="A41" s="2199" t="s">
        <v>277</v>
      </c>
      <c r="B41" s="1975" t="s">
        <v>1815</v>
      </c>
      <c r="C41" s="1976" t="s">
        <v>251</v>
      </c>
      <c r="D41" s="1989">
        <f>'Sensitivitaeten Delta_Market'!AD23</f>
        <v>0</v>
      </c>
      <c r="E41" s="1570"/>
      <c r="F41" s="1990">
        <v>77.689906856083311</v>
      </c>
      <c r="G41" s="2014">
        <f t="shared" si="4"/>
        <v>0</v>
      </c>
      <c r="J41" s="2477" t="s">
        <v>221</v>
      </c>
      <c r="K41" s="1976">
        <v>2</v>
      </c>
      <c r="L41" s="2371">
        <v>0.47325219284213299</v>
      </c>
      <c r="M41" s="2372">
        <v>0.44706541645419101</v>
      </c>
      <c r="N41" s="2373">
        <v>0.36642703499763801</v>
      </c>
      <c r="O41" s="2375">
        <v>0.65503585559994704</v>
      </c>
      <c r="P41" s="2372">
        <v>0.58428902267598404</v>
      </c>
      <c r="Q41" s="2373">
        <v>0.437881887509388</v>
      </c>
      <c r="R41" s="2374">
        <v>1</v>
      </c>
      <c r="S41" s="2372">
        <v>0.73301315982571102</v>
      </c>
      <c r="T41" s="2373">
        <v>0.53480847626773698</v>
      </c>
      <c r="U41" s="2375">
        <v>0.63627473834940995</v>
      </c>
      <c r="V41" s="2372">
        <v>0.55621531225374499</v>
      </c>
      <c r="W41" s="2373">
        <v>0.42292931229039998</v>
      </c>
      <c r="X41" s="2373">
        <v>8.84763433262577E-2</v>
      </c>
      <c r="Y41" s="2375">
        <v>-0.25026324859257598</v>
      </c>
      <c r="Z41" s="2372">
        <v>-0.30373062723241501</v>
      </c>
      <c r="AA41" s="2372">
        <v>-0.30085609180980399</v>
      </c>
      <c r="AB41" s="2373">
        <v>-0.315991352744803</v>
      </c>
      <c r="AC41" s="2373">
        <v>-0.35279113764562697</v>
      </c>
      <c r="AD41" s="2375">
        <v>-0.205684336237897</v>
      </c>
      <c r="AE41" s="2372">
        <v>-0.20039535031484901</v>
      </c>
      <c r="AF41" s="2372">
        <v>-0.230880490281409</v>
      </c>
      <c r="AG41" s="2373">
        <v>-0.12626216895654299</v>
      </c>
      <c r="AH41" s="2375">
        <v>-5.89850321248283E-2</v>
      </c>
      <c r="AI41" s="2373">
        <v>-0.189738414009993</v>
      </c>
      <c r="AJ41" s="2373">
        <v>0.20846420944322799</v>
      </c>
      <c r="AK41" s="2375">
        <v>0.19979000501007199</v>
      </c>
      <c r="AL41" s="2372">
        <v>0.305567638778524</v>
      </c>
      <c r="AM41" s="2372">
        <v>0.27609246510851798</v>
      </c>
      <c r="AN41" s="2373">
        <v>-0.25084166980125899</v>
      </c>
      <c r="AO41" s="2373">
        <v>-0.206696383889967</v>
      </c>
      <c r="AP41" s="2375">
        <v>0.17209654268778701</v>
      </c>
      <c r="AQ41" s="2372">
        <v>0.20260870085791699</v>
      </c>
      <c r="AR41" s="2372">
        <v>0.133228148410308</v>
      </c>
      <c r="AS41" s="2372">
        <v>0.22897118132779601</v>
      </c>
      <c r="AT41" s="2373">
        <v>0.35912890282885901</v>
      </c>
      <c r="AU41" s="2373">
        <v>-0.103083440690228</v>
      </c>
      <c r="AV41" s="2373">
        <v>0.19904222202647001</v>
      </c>
      <c r="AW41" s="2373">
        <v>0.26114897905650603</v>
      </c>
      <c r="AX41" s="2371">
        <v>-7.4601682631306497E-3</v>
      </c>
      <c r="AY41" s="2376">
        <v>-7.4601682631306497E-3</v>
      </c>
      <c r="AZ41" s="2376">
        <v>-7.4601682631306497E-3</v>
      </c>
    </row>
    <row r="42" spans="1:52" ht="12.75" customHeight="1" x14ac:dyDescent="0.2">
      <c r="A42" s="2199" t="s">
        <v>278</v>
      </c>
      <c r="B42" s="1975" t="s">
        <v>2286</v>
      </c>
      <c r="C42" s="1976" t="s">
        <v>1842</v>
      </c>
      <c r="D42" s="1977">
        <f>'Sensitivitaeten Delta_Market'!AD24</f>
        <v>0</v>
      </c>
      <c r="E42" s="1570"/>
      <c r="F42" s="1978">
        <v>86.026293466135698</v>
      </c>
      <c r="G42" s="1979">
        <f t="shared" si="4"/>
        <v>0</v>
      </c>
      <c r="J42" s="2478"/>
      <c r="K42" s="1976">
        <v>10</v>
      </c>
      <c r="L42" s="2358">
        <v>0.37696797141347699</v>
      </c>
      <c r="M42" s="2362">
        <v>0.65242216556959098</v>
      </c>
      <c r="N42" s="2360">
        <v>0.64424522037001797</v>
      </c>
      <c r="O42" s="2361">
        <v>0.55806697320568999</v>
      </c>
      <c r="P42" s="2362">
        <v>0.81169077778968102</v>
      </c>
      <c r="Q42" s="2360">
        <v>0.72834055417462396</v>
      </c>
      <c r="R42" s="2361">
        <v>0.73301315982571102</v>
      </c>
      <c r="S42" s="2359">
        <v>1</v>
      </c>
      <c r="T42" s="2360">
        <v>0.91192338196799705</v>
      </c>
      <c r="U42" s="2361">
        <v>0.53219834105639896</v>
      </c>
      <c r="V42" s="2362">
        <v>0.80329738080999402</v>
      </c>
      <c r="W42" s="2360">
        <v>0.67742133896603596</v>
      </c>
      <c r="X42" s="2360">
        <v>0.14018096067211999</v>
      </c>
      <c r="Y42" s="2361">
        <v>-0.31559038284304303</v>
      </c>
      <c r="Z42" s="2362">
        <v>-0.32878666350591201</v>
      </c>
      <c r="AA42" s="2362">
        <v>-0.305754333090209</v>
      </c>
      <c r="AB42" s="2360">
        <v>-0.33300756634963202</v>
      </c>
      <c r="AC42" s="2360">
        <v>-0.41475918111044602</v>
      </c>
      <c r="AD42" s="2361">
        <v>-0.23784045137939799</v>
      </c>
      <c r="AE42" s="2362">
        <v>-0.23984077522467701</v>
      </c>
      <c r="AF42" s="2362">
        <v>-0.23244303749978101</v>
      </c>
      <c r="AG42" s="2360">
        <v>-0.21828728272231099</v>
      </c>
      <c r="AH42" s="2361">
        <v>-0.110695885966052</v>
      </c>
      <c r="AI42" s="2360">
        <v>-0.18258506949629699</v>
      </c>
      <c r="AJ42" s="2360">
        <v>1.54509504702486E-2</v>
      </c>
      <c r="AK42" s="2361">
        <v>0.200002321511589</v>
      </c>
      <c r="AL42" s="2362">
        <v>0.236847057428557</v>
      </c>
      <c r="AM42" s="2362">
        <v>0.31330218558328199</v>
      </c>
      <c r="AN42" s="2360">
        <v>-0.26973418948944999</v>
      </c>
      <c r="AO42" s="2360">
        <v>-0.21565822862396999</v>
      </c>
      <c r="AP42" s="2361">
        <v>0.11054730226845701</v>
      </c>
      <c r="AQ42" s="2362">
        <v>0.165040712114216</v>
      </c>
      <c r="AR42" s="2362">
        <v>8.4962401259024004E-2</v>
      </c>
      <c r="AS42" s="2362">
        <v>0.14360870434704101</v>
      </c>
      <c r="AT42" s="2360">
        <v>0.31180799630898398</v>
      </c>
      <c r="AU42" s="2360">
        <v>-4.5446344585304201E-2</v>
      </c>
      <c r="AV42" s="2360">
        <v>0.15826454529509501</v>
      </c>
      <c r="AW42" s="2360">
        <v>0.22675254217047</v>
      </c>
      <c r="AX42" s="2358">
        <v>-7.7304611299738896E-2</v>
      </c>
      <c r="AY42" s="2363">
        <v>-7.7304611299738896E-2</v>
      </c>
      <c r="AZ42" s="2363">
        <v>-7.7304611299738896E-2</v>
      </c>
    </row>
    <row r="43" spans="1:52" ht="12.75" customHeight="1" x14ac:dyDescent="0.2">
      <c r="A43" s="2199" t="s">
        <v>279</v>
      </c>
      <c r="B43" s="1991" t="s">
        <v>2287</v>
      </c>
      <c r="C43" s="1964" t="s">
        <v>1843</v>
      </c>
      <c r="D43" s="1977">
        <f>'Sensitivitaeten Delta_Market'!AD25</f>
        <v>0</v>
      </c>
      <c r="E43" s="1570"/>
      <c r="F43" s="1978">
        <v>81.25369146671693</v>
      </c>
      <c r="G43" s="1979">
        <f t="shared" si="4"/>
        <v>0</v>
      </c>
      <c r="J43" s="2478"/>
      <c r="K43" s="1964">
        <v>30</v>
      </c>
      <c r="L43" s="2364">
        <v>0.29312042398962201</v>
      </c>
      <c r="M43" s="2365">
        <v>0.591284149055474</v>
      </c>
      <c r="N43" s="2368">
        <v>0.629450204766139</v>
      </c>
      <c r="O43" s="2367">
        <v>0.45337220180350402</v>
      </c>
      <c r="P43" s="2365">
        <v>0.74876606164509596</v>
      </c>
      <c r="Q43" s="2368">
        <v>0.73635089138824505</v>
      </c>
      <c r="R43" s="2367">
        <v>0.53480847626773698</v>
      </c>
      <c r="S43" s="2365">
        <v>0.91192338196799705</v>
      </c>
      <c r="T43" s="2366">
        <v>1</v>
      </c>
      <c r="U43" s="2367">
        <v>0.40068795417715802</v>
      </c>
      <c r="V43" s="2365">
        <v>0.75664886796742603</v>
      </c>
      <c r="W43" s="2368">
        <v>0.72619794080030897</v>
      </c>
      <c r="X43" s="2368">
        <v>0.115726681615298</v>
      </c>
      <c r="Y43" s="2367">
        <v>-0.36369773607773498</v>
      </c>
      <c r="Z43" s="2365">
        <v>-0.356579971660901</v>
      </c>
      <c r="AA43" s="2365">
        <v>-0.34959035656485699</v>
      </c>
      <c r="AB43" s="2368">
        <v>-0.36844306678497701</v>
      </c>
      <c r="AC43" s="2368">
        <v>-0.40273512063967698</v>
      </c>
      <c r="AD43" s="2367">
        <v>-0.25650363517824198</v>
      </c>
      <c r="AE43" s="2365">
        <v>-0.28110065945262103</v>
      </c>
      <c r="AF43" s="2365">
        <v>-0.254330339571748</v>
      </c>
      <c r="AG43" s="2368">
        <v>-0.235293902788727</v>
      </c>
      <c r="AH43" s="2367">
        <v>-0.15124077103322101</v>
      </c>
      <c r="AI43" s="2368">
        <v>-0.154593069693931</v>
      </c>
      <c r="AJ43" s="2368">
        <v>-7.7362770697655903E-2</v>
      </c>
      <c r="AK43" s="2367">
        <v>0.20225807543695101</v>
      </c>
      <c r="AL43" s="2365">
        <v>0.16458295278855101</v>
      </c>
      <c r="AM43" s="2365">
        <v>0.31351984320158099</v>
      </c>
      <c r="AN43" s="2368">
        <v>-0.24487130903685</v>
      </c>
      <c r="AO43" s="2368">
        <v>-0.265853226266626</v>
      </c>
      <c r="AP43" s="2367">
        <v>0.115292854735808</v>
      </c>
      <c r="AQ43" s="2365">
        <v>0.174067994994627</v>
      </c>
      <c r="AR43" s="2365">
        <v>0.11202645454002901</v>
      </c>
      <c r="AS43" s="2365">
        <v>0.144572735279617</v>
      </c>
      <c r="AT43" s="2368">
        <v>0.28191785185963603</v>
      </c>
      <c r="AU43" s="2368">
        <v>-6.2719274438686606E-2</v>
      </c>
      <c r="AV43" s="2368">
        <v>0.16763993593614199</v>
      </c>
      <c r="AW43" s="2368">
        <v>0.23302499206244701</v>
      </c>
      <c r="AX43" s="2364">
        <v>-9.2528576225135606E-2</v>
      </c>
      <c r="AY43" s="2370">
        <v>-9.2528576225135606E-2</v>
      </c>
      <c r="AZ43" s="2370">
        <v>-9.2528576225135606E-2</v>
      </c>
    </row>
    <row r="44" spans="1:52" ht="12.75" customHeight="1" x14ac:dyDescent="0.2">
      <c r="A44" s="2199" t="s">
        <v>280</v>
      </c>
      <c r="B44" s="1992" t="s">
        <v>1816</v>
      </c>
      <c r="C44" s="1984" t="s">
        <v>251</v>
      </c>
      <c r="D44" s="1989">
        <f>'Sensitivitaeten Delta_Market'!AD26</f>
        <v>0</v>
      </c>
      <c r="E44" s="1570"/>
      <c r="F44" s="1990">
        <v>82.898320578721112</v>
      </c>
      <c r="G44" s="2014">
        <f t="shared" ref="G44:G62" si="5">D44*F44</f>
        <v>0</v>
      </c>
      <c r="J44" s="2479" t="s">
        <v>222</v>
      </c>
      <c r="K44" s="1986">
        <v>15</v>
      </c>
      <c r="L44" s="2371">
        <v>0.55725986115044801</v>
      </c>
      <c r="M44" s="2372">
        <v>0.47009658586680703</v>
      </c>
      <c r="N44" s="2373">
        <v>0.33941897171532798</v>
      </c>
      <c r="O44" s="2375">
        <v>0.69896297530722096</v>
      </c>
      <c r="P44" s="2372">
        <v>0.59525780337547196</v>
      </c>
      <c r="Q44" s="2373">
        <v>0.47761578462187199</v>
      </c>
      <c r="R44" s="2375">
        <v>0.63627473834940995</v>
      </c>
      <c r="S44" s="2372">
        <v>0.53219834105639896</v>
      </c>
      <c r="T44" s="2373">
        <v>0.40068795417715802</v>
      </c>
      <c r="U44" s="2374">
        <v>1</v>
      </c>
      <c r="V44" s="2372">
        <v>0.72977391649636503</v>
      </c>
      <c r="W44" s="2373">
        <v>0.52146699730880797</v>
      </c>
      <c r="X44" s="2373">
        <v>0.164502691119572</v>
      </c>
      <c r="Y44" s="2375">
        <v>-0.120549234445348</v>
      </c>
      <c r="Z44" s="2372">
        <v>-0.19583753928339701</v>
      </c>
      <c r="AA44" s="2372">
        <v>-0.19443626008064299</v>
      </c>
      <c r="AB44" s="2373">
        <v>-0.23128180093474901</v>
      </c>
      <c r="AC44" s="2373">
        <v>-0.26468170509342098</v>
      </c>
      <c r="AD44" s="2375">
        <v>-7.0510145980872005E-2</v>
      </c>
      <c r="AE44" s="2372">
        <v>-0.12637288188951201</v>
      </c>
      <c r="AF44" s="2372">
        <v>-0.18285660857352701</v>
      </c>
      <c r="AG44" s="2373">
        <v>-0.144096886670803</v>
      </c>
      <c r="AH44" s="2375">
        <v>-7.2024014024260494E-2</v>
      </c>
      <c r="AI44" s="2373">
        <v>-9.2268669219430693E-2</v>
      </c>
      <c r="AJ44" s="2373">
        <v>0.234688087049157</v>
      </c>
      <c r="AK44" s="2375">
        <v>0.191914030065472</v>
      </c>
      <c r="AL44" s="2372">
        <v>0.103102235504218</v>
      </c>
      <c r="AM44" s="2372">
        <v>0.26370357583468801</v>
      </c>
      <c r="AN44" s="2373">
        <v>-0.30186262705883798</v>
      </c>
      <c r="AO44" s="2373">
        <v>-0.18679146397885901</v>
      </c>
      <c r="AP44" s="2375">
        <v>5.9034102180692397E-2</v>
      </c>
      <c r="AQ44" s="2372">
        <v>9.57152992762626E-2</v>
      </c>
      <c r="AR44" s="2372">
        <v>4.9669371453412402E-2</v>
      </c>
      <c r="AS44" s="2372">
        <v>4.2897830248977503E-2</v>
      </c>
      <c r="AT44" s="2373">
        <v>0.28411609555570899</v>
      </c>
      <c r="AU44" s="2373">
        <v>-4.1620292843555902E-2</v>
      </c>
      <c r="AV44" s="2373">
        <v>0.13144623919298901</v>
      </c>
      <c r="AW44" s="2373">
        <v>0.13037340296955399</v>
      </c>
      <c r="AX44" s="2371">
        <v>-5.23249504512373E-2</v>
      </c>
      <c r="AY44" s="2376">
        <v>-5.23249504512373E-2</v>
      </c>
      <c r="AZ44" s="2376">
        <v>-5.23249504512373E-2</v>
      </c>
    </row>
    <row r="45" spans="1:52" ht="12.75" customHeight="1" x14ac:dyDescent="0.2">
      <c r="A45" s="2199" t="s">
        <v>281</v>
      </c>
      <c r="B45" s="1992" t="s">
        <v>2288</v>
      </c>
      <c r="C45" s="1986" t="s">
        <v>1842</v>
      </c>
      <c r="D45" s="1977">
        <f>'Sensitivitaeten Delta_Market'!AD27</f>
        <v>0</v>
      </c>
      <c r="E45" s="1570"/>
      <c r="F45" s="1978">
        <v>84.427541932645184</v>
      </c>
      <c r="G45" s="1979">
        <f t="shared" si="5"/>
        <v>0</v>
      </c>
      <c r="J45" s="2480"/>
      <c r="K45" s="1986">
        <v>20</v>
      </c>
      <c r="L45" s="2358">
        <v>0.39313327676175902</v>
      </c>
      <c r="M45" s="2362">
        <v>0.65050263022146704</v>
      </c>
      <c r="N45" s="2360">
        <v>0.600766332112734</v>
      </c>
      <c r="O45" s="2361">
        <v>0.58820352164546397</v>
      </c>
      <c r="P45" s="2362">
        <v>0.84224356824332702</v>
      </c>
      <c r="Q45" s="2360">
        <v>0.76800246840914899</v>
      </c>
      <c r="R45" s="2361">
        <v>0.55621531225374499</v>
      </c>
      <c r="S45" s="2362">
        <v>0.80329738080999402</v>
      </c>
      <c r="T45" s="2360">
        <v>0.75664886796742603</v>
      </c>
      <c r="U45" s="2361">
        <v>0.72977391649636503</v>
      </c>
      <c r="V45" s="2359">
        <v>1</v>
      </c>
      <c r="W45" s="2360">
        <v>0.86204834566028399</v>
      </c>
      <c r="X45" s="2360">
        <v>0.196766750763122</v>
      </c>
      <c r="Y45" s="2361">
        <v>-0.18085397551355401</v>
      </c>
      <c r="Z45" s="2362">
        <v>-0.19795900748789599</v>
      </c>
      <c r="AA45" s="2362">
        <v>-0.184856629008645</v>
      </c>
      <c r="AB45" s="2360">
        <v>-0.21471607638798901</v>
      </c>
      <c r="AC45" s="2360">
        <v>-0.249263970235236</v>
      </c>
      <c r="AD45" s="2361">
        <v>-0.10116038595386199</v>
      </c>
      <c r="AE45" s="2362">
        <v>-0.12090987988801701</v>
      </c>
      <c r="AF45" s="2362">
        <v>-0.122830153404966</v>
      </c>
      <c r="AG45" s="2360">
        <v>-0.22438793863022399</v>
      </c>
      <c r="AH45" s="2361">
        <v>-9.0347821337384795E-2</v>
      </c>
      <c r="AI45" s="2360">
        <v>-7.0271549598663996E-2</v>
      </c>
      <c r="AJ45" s="2360">
        <v>7.06444038418165E-2</v>
      </c>
      <c r="AK45" s="2361">
        <v>0.191654807499538</v>
      </c>
      <c r="AL45" s="2362">
        <v>0.1439440079506</v>
      </c>
      <c r="AM45" s="2362">
        <v>0.26540762053809702</v>
      </c>
      <c r="AN45" s="2360">
        <v>-0.213671218753515</v>
      </c>
      <c r="AO45" s="2360">
        <v>-0.20563399400760701</v>
      </c>
      <c r="AP45" s="2361">
        <v>-1.8489246385023202E-2</v>
      </c>
      <c r="AQ45" s="2362">
        <v>3.66006350849956E-2</v>
      </c>
      <c r="AR45" s="2362">
        <v>-4.1128878284258499E-2</v>
      </c>
      <c r="AS45" s="2362">
        <v>-4.9869890828177603E-3</v>
      </c>
      <c r="AT45" s="2360">
        <v>0.205443871682359</v>
      </c>
      <c r="AU45" s="2360">
        <v>1.21116615508409E-2</v>
      </c>
      <c r="AV45" s="2360">
        <v>4.7602677119964097E-2</v>
      </c>
      <c r="AW45" s="2360">
        <v>6.7784840810186098E-2</v>
      </c>
      <c r="AX45" s="2358">
        <v>-0.143406827159301</v>
      </c>
      <c r="AY45" s="2363">
        <v>-0.143406827159301</v>
      </c>
      <c r="AZ45" s="2363">
        <v>-0.143406827159301</v>
      </c>
    </row>
    <row r="46" spans="1:52" ht="12.75" customHeight="1" x14ac:dyDescent="0.2">
      <c r="A46" s="2199" t="s">
        <v>282</v>
      </c>
      <c r="B46" s="1993" t="s">
        <v>2289</v>
      </c>
      <c r="C46" s="1994" t="s">
        <v>1843</v>
      </c>
      <c r="D46" s="1977">
        <f>'Sensitivitaeten Delta_Market'!AD28</f>
        <v>0</v>
      </c>
      <c r="E46" s="1570"/>
      <c r="F46" s="1978">
        <v>68.48065893550546</v>
      </c>
      <c r="G46" s="1979">
        <f t="shared" si="5"/>
        <v>0</v>
      </c>
      <c r="J46" s="2480"/>
      <c r="K46" s="1966">
        <v>30</v>
      </c>
      <c r="L46" s="2364">
        <v>0.26376712218713</v>
      </c>
      <c r="M46" s="2365">
        <v>0.54934133878593105</v>
      </c>
      <c r="N46" s="2368">
        <v>0.57445143972972801</v>
      </c>
      <c r="O46" s="2367">
        <v>0.45884941494846698</v>
      </c>
      <c r="P46" s="2365">
        <v>0.72480306001608397</v>
      </c>
      <c r="Q46" s="2368">
        <v>0.74581357250115798</v>
      </c>
      <c r="R46" s="2367">
        <v>0.42292931229039998</v>
      </c>
      <c r="S46" s="2365">
        <v>0.67742133896603596</v>
      </c>
      <c r="T46" s="2368">
        <v>0.72619794080030897</v>
      </c>
      <c r="U46" s="2367">
        <v>0.52146699730880797</v>
      </c>
      <c r="V46" s="2365">
        <v>0.86204834566028399</v>
      </c>
      <c r="W46" s="2366">
        <v>1</v>
      </c>
      <c r="X46" s="2368">
        <v>0.14589973899752401</v>
      </c>
      <c r="Y46" s="2367">
        <v>-0.15629337139146501</v>
      </c>
      <c r="Z46" s="2365">
        <v>-0.15732735369616699</v>
      </c>
      <c r="AA46" s="2365">
        <v>-0.163349266890608</v>
      </c>
      <c r="AB46" s="2368">
        <v>-0.173191110422869</v>
      </c>
      <c r="AC46" s="2368">
        <v>-0.19827229993728901</v>
      </c>
      <c r="AD46" s="2367">
        <v>-8.2643479115931104E-2</v>
      </c>
      <c r="AE46" s="2365">
        <v>-8.6731867482973402E-2</v>
      </c>
      <c r="AF46" s="2365">
        <v>-6.6411428573022305E-2</v>
      </c>
      <c r="AG46" s="2368">
        <v>-0.181844200700851</v>
      </c>
      <c r="AH46" s="2367">
        <v>-6.3676849135559696E-2</v>
      </c>
      <c r="AI46" s="2368">
        <v>-2.66578057070335E-3</v>
      </c>
      <c r="AJ46" s="2368">
        <v>-9.7311470229232897E-4</v>
      </c>
      <c r="AK46" s="2367">
        <v>0.23799391212363499</v>
      </c>
      <c r="AL46" s="2365">
        <v>0.145784891323329</v>
      </c>
      <c r="AM46" s="2365">
        <v>0.24558603273051799</v>
      </c>
      <c r="AN46" s="2368">
        <v>-0.15274216264830001</v>
      </c>
      <c r="AO46" s="2368">
        <v>-0.186458333211792</v>
      </c>
      <c r="AP46" s="2367">
        <v>-6.8787499394695098E-2</v>
      </c>
      <c r="AQ46" s="2365">
        <v>-2.50048648339222E-2</v>
      </c>
      <c r="AR46" s="2365">
        <v>-8.2033815701755594E-2</v>
      </c>
      <c r="AS46" s="2365">
        <v>-3.8477403987747898E-2</v>
      </c>
      <c r="AT46" s="2368">
        <v>0.15594507970222399</v>
      </c>
      <c r="AU46" s="2368">
        <v>1.69525111672694E-2</v>
      </c>
      <c r="AV46" s="2368">
        <v>-1.13806092950475E-2</v>
      </c>
      <c r="AW46" s="2368">
        <v>7.7058442658723997E-4</v>
      </c>
      <c r="AX46" s="2364">
        <v>-0.10176316070812801</v>
      </c>
      <c r="AY46" s="2370">
        <v>-0.10176316070812801</v>
      </c>
      <c r="AZ46" s="2370">
        <v>-0.10176316070812801</v>
      </c>
    </row>
    <row r="47" spans="1:52" ht="13.5" customHeight="1" x14ac:dyDescent="0.2">
      <c r="A47" s="2199" t="s">
        <v>283</v>
      </c>
      <c r="B47" s="1995" t="s">
        <v>1817</v>
      </c>
      <c r="C47" s="1996" t="s">
        <v>2300</v>
      </c>
      <c r="D47" s="1997">
        <f>'Sensitivitaeten Delta_Market'!AD29</f>
        <v>0</v>
      </c>
      <c r="F47" s="1998">
        <v>0.14444573401431449</v>
      </c>
      <c r="G47" s="1999">
        <f t="shared" si="5"/>
        <v>0</v>
      </c>
      <c r="J47" s="2000" t="s">
        <v>1817</v>
      </c>
      <c r="K47" s="2001"/>
      <c r="L47" s="2364">
        <v>6.4003315217377302E-2</v>
      </c>
      <c r="M47" s="2365">
        <v>5.5362224122188497E-2</v>
      </c>
      <c r="N47" s="2368">
        <v>2.9091883213871499E-2</v>
      </c>
      <c r="O47" s="2367">
        <v>9.5552187539877501E-2</v>
      </c>
      <c r="P47" s="2365">
        <v>0.11926609954786201</v>
      </c>
      <c r="Q47" s="2368">
        <v>8.9921880742704005E-2</v>
      </c>
      <c r="R47" s="2367">
        <v>8.84763433262577E-2</v>
      </c>
      <c r="S47" s="2365">
        <v>0.14018096067211999</v>
      </c>
      <c r="T47" s="2368">
        <v>0.115726681615298</v>
      </c>
      <c r="U47" s="2367">
        <v>0.164502691119572</v>
      </c>
      <c r="V47" s="2365">
        <v>0.196766750763122</v>
      </c>
      <c r="W47" s="2368">
        <v>0.14589973899752401</v>
      </c>
      <c r="X47" s="2366">
        <v>1</v>
      </c>
      <c r="Y47" s="2367">
        <v>9.3053541572280796E-2</v>
      </c>
      <c r="Z47" s="2365">
        <v>1.6670821892811501E-2</v>
      </c>
      <c r="AA47" s="2365">
        <v>3.7432758788683601E-2</v>
      </c>
      <c r="AB47" s="2368">
        <v>2.6733208137448498E-2</v>
      </c>
      <c r="AC47" s="2368">
        <v>7.6802199779459998E-2</v>
      </c>
      <c r="AD47" s="2367">
        <v>0.12440170733842</v>
      </c>
      <c r="AE47" s="2365">
        <v>0.131557371609099</v>
      </c>
      <c r="AF47" s="2365">
        <v>0.106319883875211</v>
      </c>
      <c r="AG47" s="2368">
        <v>8.3683950346533295E-2</v>
      </c>
      <c r="AH47" s="2367">
        <v>-9.4806767072050199E-2</v>
      </c>
      <c r="AI47" s="2368">
        <v>8.0138714981198303E-2</v>
      </c>
      <c r="AJ47" s="2368">
        <v>-6.2090245909669002E-2</v>
      </c>
      <c r="AK47" s="2367">
        <v>-1.8692000775674601E-2</v>
      </c>
      <c r="AL47" s="2365">
        <v>0.18457384629207499</v>
      </c>
      <c r="AM47" s="2365">
        <v>0.102178660764195</v>
      </c>
      <c r="AN47" s="2368">
        <v>8.7185917973547494E-2</v>
      </c>
      <c r="AO47" s="2368">
        <v>7.6861389508719E-2</v>
      </c>
      <c r="AP47" s="2367">
        <v>-0.30672511265373198</v>
      </c>
      <c r="AQ47" s="2365">
        <v>-0.30175987281170802</v>
      </c>
      <c r="AR47" s="2365">
        <v>-0.32368630260008602</v>
      </c>
      <c r="AS47" s="2365">
        <v>-0.25842049774041698</v>
      </c>
      <c r="AT47" s="2368">
        <v>-0.193521570747578</v>
      </c>
      <c r="AU47" s="2368">
        <v>0.27229745755618201</v>
      </c>
      <c r="AV47" s="2368">
        <v>-0.152528267462296</v>
      </c>
      <c r="AW47" s="2368">
        <v>-0.23925844472753599</v>
      </c>
      <c r="AX47" s="2364">
        <v>-0.15341787894593101</v>
      </c>
      <c r="AY47" s="2370">
        <v>-0.15341787894593101</v>
      </c>
      <c r="AZ47" s="2370">
        <v>-0.15341787894593101</v>
      </c>
    </row>
    <row r="48" spans="1:52" ht="13.5" customHeight="1" x14ac:dyDescent="0.2">
      <c r="A48" s="2199" t="s">
        <v>284</v>
      </c>
      <c r="B48" s="1983" t="s">
        <v>1818</v>
      </c>
      <c r="C48" s="2471" t="s">
        <v>1844</v>
      </c>
      <c r="D48" s="1977">
        <f>'Sensitivitaeten Delta_Market'!AD30</f>
        <v>0</v>
      </c>
      <c r="F48" s="1978">
        <v>39.489760458370746</v>
      </c>
      <c r="G48" s="1979">
        <f t="shared" si="5"/>
        <v>0</v>
      </c>
      <c r="J48" s="2466" t="s">
        <v>1853</v>
      </c>
      <c r="K48" s="2002" t="s">
        <v>348</v>
      </c>
      <c r="L48" s="2371">
        <v>-0.15038883431689901</v>
      </c>
      <c r="M48" s="2372">
        <v>-0.13806363300087299</v>
      </c>
      <c r="N48" s="2373">
        <v>-0.14486845335816001</v>
      </c>
      <c r="O48" s="2375">
        <v>-0.20050608749549301</v>
      </c>
      <c r="P48" s="2372">
        <v>-0.19732273542301801</v>
      </c>
      <c r="Q48" s="2373">
        <v>-0.16278579106402999</v>
      </c>
      <c r="R48" s="2375">
        <v>-0.25026324859257598</v>
      </c>
      <c r="S48" s="2372">
        <v>-0.31559038284304303</v>
      </c>
      <c r="T48" s="2373">
        <v>-0.36369773607773498</v>
      </c>
      <c r="U48" s="2375">
        <v>-0.120549234445348</v>
      </c>
      <c r="V48" s="2372">
        <v>-0.18085397551355401</v>
      </c>
      <c r="W48" s="2373">
        <v>-0.15629337139146501</v>
      </c>
      <c r="X48" s="2373">
        <v>9.3053541572280796E-2</v>
      </c>
      <c r="Y48" s="2374">
        <v>1</v>
      </c>
      <c r="Z48" s="2372">
        <v>0.84522752357323006</v>
      </c>
      <c r="AA48" s="2372">
        <v>0.827113129826201</v>
      </c>
      <c r="AB48" s="2373">
        <v>0.78855020736361503</v>
      </c>
      <c r="AC48" s="2373">
        <v>0.62282486395784198</v>
      </c>
      <c r="AD48" s="2375">
        <v>0.55964486688192205</v>
      </c>
      <c r="AE48" s="2372">
        <v>0.66474215554563698</v>
      </c>
      <c r="AF48" s="2372">
        <v>0.64151946487725497</v>
      </c>
      <c r="AG48" s="2373">
        <v>0.21892254653219301</v>
      </c>
      <c r="AH48" s="2375">
        <v>0.22763906591174701</v>
      </c>
      <c r="AI48" s="2373">
        <v>0.46260191462560402</v>
      </c>
      <c r="AJ48" s="2373">
        <v>4.5573971298915099E-2</v>
      </c>
      <c r="AK48" s="2375">
        <v>-6.6459582087727204E-2</v>
      </c>
      <c r="AL48" s="2372">
        <v>0.191932984688932</v>
      </c>
      <c r="AM48" s="2372">
        <v>-0.17652629948385301</v>
      </c>
      <c r="AN48" s="2373">
        <v>0.26061178866802498</v>
      </c>
      <c r="AO48" s="2373">
        <v>0.35218002492384198</v>
      </c>
      <c r="AP48" s="2375">
        <v>-0.38387649107675398</v>
      </c>
      <c r="AQ48" s="2372">
        <v>-0.52965061129948399</v>
      </c>
      <c r="AR48" s="2372">
        <v>-0.54170407721743696</v>
      </c>
      <c r="AS48" s="2372">
        <v>-0.47538299472333101</v>
      </c>
      <c r="AT48" s="2373">
        <v>-0.47231357474348001</v>
      </c>
      <c r="AU48" s="2373">
        <v>0.45881245693084599</v>
      </c>
      <c r="AV48" s="2373">
        <v>-0.58944682661944703</v>
      </c>
      <c r="AW48" s="2373">
        <v>-0.48224786142270498</v>
      </c>
      <c r="AX48" s="2371">
        <v>-0.25399182087164801</v>
      </c>
      <c r="AY48" s="2376">
        <v>-0.25399182087164801</v>
      </c>
      <c r="AZ48" s="2376">
        <v>-0.25399182087164801</v>
      </c>
    </row>
    <row r="49" spans="1:52" ht="13.5" customHeight="1" x14ac:dyDescent="0.2">
      <c r="A49" s="2199" t="s">
        <v>285</v>
      </c>
      <c r="B49" s="1983" t="s">
        <v>1819</v>
      </c>
      <c r="C49" s="2472"/>
      <c r="D49" s="1977">
        <f>'Sensitivitaeten Delta_Market'!AD31</f>
        <v>0</v>
      </c>
      <c r="F49" s="1978">
        <v>42.954710868079601</v>
      </c>
      <c r="G49" s="1979">
        <f t="shared" si="5"/>
        <v>0</v>
      </c>
      <c r="J49" s="2466"/>
      <c r="K49" s="2002" t="s">
        <v>349</v>
      </c>
      <c r="L49" s="2358">
        <v>-0.16497288134375401</v>
      </c>
      <c r="M49" s="2362">
        <v>-9.6318440844418901E-2</v>
      </c>
      <c r="N49" s="2360">
        <v>-0.12760828203682401</v>
      </c>
      <c r="O49" s="2361">
        <v>-0.23367188914812401</v>
      </c>
      <c r="P49" s="2362">
        <v>-0.19303875282365199</v>
      </c>
      <c r="Q49" s="2360">
        <v>-0.166370211190354</v>
      </c>
      <c r="R49" s="2361">
        <v>-0.30373062723241501</v>
      </c>
      <c r="S49" s="2362">
        <v>-0.32878666350591201</v>
      </c>
      <c r="T49" s="2360">
        <v>-0.356579971660901</v>
      </c>
      <c r="U49" s="2361">
        <v>-0.19583753928339701</v>
      </c>
      <c r="V49" s="2362">
        <v>-0.19795900748789599</v>
      </c>
      <c r="W49" s="2360">
        <v>-0.15732735369616699</v>
      </c>
      <c r="X49" s="2360">
        <v>1.6670821892811501E-2</v>
      </c>
      <c r="Y49" s="2361">
        <v>0.84522752357323006</v>
      </c>
      <c r="Z49" s="2359">
        <v>1</v>
      </c>
      <c r="AA49" s="2362">
        <v>0.95413466861906204</v>
      </c>
      <c r="AB49" s="2360">
        <v>0.93114279446477699</v>
      </c>
      <c r="AC49" s="2360">
        <v>0.72529959001691802</v>
      </c>
      <c r="AD49" s="2361">
        <v>0.71653850357263904</v>
      </c>
      <c r="AE49" s="2362">
        <v>0.77796888463468805</v>
      </c>
      <c r="AF49" s="2362">
        <v>0.78321660103523905</v>
      </c>
      <c r="AG49" s="2360">
        <v>0.27047822266523103</v>
      </c>
      <c r="AH49" s="2361">
        <v>0.21992757719911499</v>
      </c>
      <c r="AI49" s="2360">
        <v>0.54398131730189803</v>
      </c>
      <c r="AJ49" s="2360">
        <v>-2.7659437597547E-2</v>
      </c>
      <c r="AK49" s="2361">
        <v>-0.14568970624013899</v>
      </c>
      <c r="AL49" s="2362">
        <v>0.16073388579279099</v>
      </c>
      <c r="AM49" s="2362">
        <v>-0.26199187211207697</v>
      </c>
      <c r="AN49" s="2360">
        <v>0.275638603423985</v>
      </c>
      <c r="AO49" s="2360">
        <v>0.41550397836060399</v>
      </c>
      <c r="AP49" s="2361">
        <v>-0.40787961948312101</v>
      </c>
      <c r="AQ49" s="2362">
        <v>-0.55586966745258404</v>
      </c>
      <c r="AR49" s="2362">
        <v>-0.57331749039292501</v>
      </c>
      <c r="AS49" s="2362">
        <v>-0.51680425743130398</v>
      </c>
      <c r="AT49" s="2360">
        <v>-0.466731342035684</v>
      </c>
      <c r="AU49" s="2360">
        <v>0.443247673764954</v>
      </c>
      <c r="AV49" s="2360">
        <v>-0.65911605300353704</v>
      </c>
      <c r="AW49" s="2360">
        <v>-0.55844415096394495</v>
      </c>
      <c r="AX49" s="2358">
        <v>-0.325266683135785</v>
      </c>
      <c r="AY49" s="2363">
        <v>-0.325266683135785</v>
      </c>
      <c r="AZ49" s="2363">
        <v>-0.325266683135785</v>
      </c>
    </row>
    <row r="50" spans="1:52" ht="13.5" customHeight="1" x14ac:dyDescent="0.2">
      <c r="A50" s="2199" t="s">
        <v>286</v>
      </c>
      <c r="B50" s="1983" t="s">
        <v>1820</v>
      </c>
      <c r="C50" s="2472"/>
      <c r="D50" s="1977">
        <f>'Sensitivitaeten Delta_Market'!AD32</f>
        <v>0</v>
      </c>
      <c r="F50" s="1978">
        <v>51.787699172204292</v>
      </c>
      <c r="G50" s="1979">
        <f t="shared" si="5"/>
        <v>0</v>
      </c>
      <c r="J50" s="2466"/>
      <c r="K50" s="2002" t="s">
        <v>350</v>
      </c>
      <c r="L50" s="2358">
        <v>-0.138750724144377</v>
      </c>
      <c r="M50" s="2362">
        <v>-8.45546720060424E-2</v>
      </c>
      <c r="N50" s="2360">
        <v>-0.122617578667069</v>
      </c>
      <c r="O50" s="2361">
        <v>-0.24025227007449401</v>
      </c>
      <c r="P50" s="2362">
        <v>-0.18598400536367701</v>
      </c>
      <c r="Q50" s="2360">
        <v>-0.166170421182192</v>
      </c>
      <c r="R50" s="2361">
        <v>-0.30085609180980399</v>
      </c>
      <c r="S50" s="2362">
        <v>-0.305754333090209</v>
      </c>
      <c r="T50" s="2360">
        <v>-0.34959035656485699</v>
      </c>
      <c r="U50" s="2361">
        <v>-0.19443626008064299</v>
      </c>
      <c r="V50" s="2362">
        <v>-0.184856629008645</v>
      </c>
      <c r="W50" s="2360">
        <v>-0.163349266890608</v>
      </c>
      <c r="X50" s="2360">
        <v>3.7432758788683601E-2</v>
      </c>
      <c r="Y50" s="2361">
        <v>0.827113129826201</v>
      </c>
      <c r="Z50" s="2362">
        <v>0.95413466861906204</v>
      </c>
      <c r="AA50" s="2359">
        <v>1</v>
      </c>
      <c r="AB50" s="2360">
        <v>0.97268683166179304</v>
      </c>
      <c r="AC50" s="2360">
        <v>0.71094713411514199</v>
      </c>
      <c r="AD50" s="2361">
        <v>0.69886335667417299</v>
      </c>
      <c r="AE50" s="2362">
        <v>0.77751272032318497</v>
      </c>
      <c r="AF50" s="2362">
        <v>0.78873653673251098</v>
      </c>
      <c r="AG50" s="2360">
        <v>0.263222400546272</v>
      </c>
      <c r="AH50" s="2361">
        <v>0.19311143375803599</v>
      </c>
      <c r="AI50" s="2360">
        <v>0.53788407025469898</v>
      </c>
      <c r="AJ50" s="2360">
        <v>-7.4185260370173894E-2</v>
      </c>
      <c r="AK50" s="2361">
        <v>-0.14710520688283499</v>
      </c>
      <c r="AL50" s="2362">
        <v>0.16929093613598301</v>
      </c>
      <c r="AM50" s="2362">
        <v>-0.235801015758519</v>
      </c>
      <c r="AN50" s="2360">
        <v>0.28089697992298601</v>
      </c>
      <c r="AO50" s="2360">
        <v>0.399657080094585</v>
      </c>
      <c r="AP50" s="2361">
        <v>-0.38993585392005198</v>
      </c>
      <c r="AQ50" s="2362">
        <v>-0.55441566610507398</v>
      </c>
      <c r="AR50" s="2362">
        <v>-0.56817304275369396</v>
      </c>
      <c r="AS50" s="2362">
        <v>-0.51355341333079896</v>
      </c>
      <c r="AT50" s="2360">
        <v>-0.47858451809076702</v>
      </c>
      <c r="AU50" s="2360">
        <v>0.42311780404829102</v>
      </c>
      <c r="AV50" s="2360">
        <v>-0.67517691687381098</v>
      </c>
      <c r="AW50" s="2360">
        <v>-0.56753764696577302</v>
      </c>
      <c r="AX50" s="2358">
        <v>-0.32258090140379703</v>
      </c>
      <c r="AY50" s="2363">
        <v>-0.32258090140379703</v>
      </c>
      <c r="AZ50" s="2363">
        <v>-0.32258090140379703</v>
      </c>
    </row>
    <row r="51" spans="1:52" ht="12.75" customHeight="1" x14ac:dyDescent="0.2">
      <c r="A51" s="2199" t="s">
        <v>288</v>
      </c>
      <c r="B51" s="1983" t="s">
        <v>1821</v>
      </c>
      <c r="C51" s="2473"/>
      <c r="D51" s="1977">
        <f>'Sensitivitaeten Delta_Market'!AD33</f>
        <v>0</v>
      </c>
      <c r="F51" s="1978">
        <v>75.722640445722547</v>
      </c>
      <c r="G51" s="2009">
        <f t="shared" si="5"/>
        <v>0</v>
      </c>
      <c r="J51" s="2466"/>
      <c r="K51" s="2002" t="s">
        <v>351</v>
      </c>
      <c r="L51" s="2364">
        <v>-0.144600881175806</v>
      </c>
      <c r="M51" s="2365">
        <v>-8.7199015658894499E-2</v>
      </c>
      <c r="N51" s="2368">
        <v>-0.124191835318153</v>
      </c>
      <c r="O51" s="2367">
        <v>-0.27492457186899799</v>
      </c>
      <c r="P51" s="2365">
        <v>-0.205261770206313</v>
      </c>
      <c r="Q51" s="2368">
        <v>-0.18217032196570401</v>
      </c>
      <c r="R51" s="2367">
        <v>-0.315991352744803</v>
      </c>
      <c r="S51" s="2365">
        <v>-0.33300756634963202</v>
      </c>
      <c r="T51" s="2368">
        <v>-0.36844306678497701</v>
      </c>
      <c r="U51" s="2367">
        <v>-0.23128180093474901</v>
      </c>
      <c r="V51" s="2365">
        <v>-0.21471607638798901</v>
      </c>
      <c r="W51" s="2368">
        <v>-0.173191110422869</v>
      </c>
      <c r="X51" s="2368">
        <v>2.6733208137448498E-2</v>
      </c>
      <c r="Y51" s="2367">
        <v>0.78855020736361503</v>
      </c>
      <c r="Z51" s="2365">
        <v>0.93114279446477699</v>
      </c>
      <c r="AA51" s="2365">
        <v>0.97268683166179304</v>
      </c>
      <c r="AB51" s="2366">
        <v>1</v>
      </c>
      <c r="AC51" s="2368">
        <v>0.76462531310767101</v>
      </c>
      <c r="AD51" s="2367">
        <v>0.72009558995005096</v>
      </c>
      <c r="AE51" s="2365">
        <v>0.80599316691230605</v>
      </c>
      <c r="AF51" s="2365">
        <v>0.81816923884848003</v>
      </c>
      <c r="AG51" s="2368">
        <v>0.30432197874046302</v>
      </c>
      <c r="AH51" s="2367">
        <v>0.18946202896405201</v>
      </c>
      <c r="AI51" s="2368">
        <v>0.55346613817907697</v>
      </c>
      <c r="AJ51" s="2368">
        <v>-7.9775672791579294E-2</v>
      </c>
      <c r="AK51" s="2367">
        <v>-0.17475891116414699</v>
      </c>
      <c r="AL51" s="2365">
        <v>0.16558093104045199</v>
      </c>
      <c r="AM51" s="2365">
        <v>-0.25320788654075599</v>
      </c>
      <c r="AN51" s="2368">
        <v>0.28755260003854899</v>
      </c>
      <c r="AO51" s="2368">
        <v>0.42308592129272299</v>
      </c>
      <c r="AP51" s="2367">
        <v>-0.42594925673450101</v>
      </c>
      <c r="AQ51" s="2365">
        <v>-0.60006738501921197</v>
      </c>
      <c r="AR51" s="2365">
        <v>-0.60743179471489706</v>
      </c>
      <c r="AS51" s="2365">
        <v>-0.55233898430363304</v>
      </c>
      <c r="AT51" s="2368">
        <v>-0.51588811099903198</v>
      </c>
      <c r="AU51" s="2368">
        <v>0.42155561788224999</v>
      </c>
      <c r="AV51" s="2368">
        <v>-0.70671629048924101</v>
      </c>
      <c r="AW51" s="2368">
        <v>-0.63318067413993295</v>
      </c>
      <c r="AX51" s="2364">
        <v>-0.342636345046963</v>
      </c>
      <c r="AY51" s="2370">
        <v>-0.342636345046963</v>
      </c>
      <c r="AZ51" s="2370">
        <v>-0.342636345046963</v>
      </c>
    </row>
    <row r="52" spans="1:52" ht="12.75" customHeight="1" x14ac:dyDescent="0.2">
      <c r="A52" s="2199" t="s">
        <v>289</v>
      </c>
      <c r="B52" s="2003" t="s">
        <v>1822</v>
      </c>
      <c r="C52" s="2001" t="s">
        <v>1845</v>
      </c>
      <c r="D52" s="1997">
        <f>'Sensitivitaeten Delta_Market'!AD34</f>
        <v>0</v>
      </c>
      <c r="F52" s="2004">
        <v>121.59224496723726</v>
      </c>
      <c r="G52" s="2009">
        <f t="shared" si="5"/>
        <v>0</v>
      </c>
      <c r="J52" s="2005" t="s">
        <v>1854</v>
      </c>
      <c r="K52" s="2001" t="s">
        <v>1863</v>
      </c>
      <c r="L52" s="2377">
        <v>-0.19010087501572301</v>
      </c>
      <c r="M52" s="2378">
        <v>-0.106495183192129</v>
      </c>
      <c r="N52" s="2379">
        <v>-0.134253903732129</v>
      </c>
      <c r="O52" s="2380">
        <v>-0.29417545550900098</v>
      </c>
      <c r="P52" s="2378">
        <v>-0.24050666370187801</v>
      </c>
      <c r="Q52" s="2379">
        <v>-0.19447634947607301</v>
      </c>
      <c r="R52" s="2380">
        <v>-0.35279113764562697</v>
      </c>
      <c r="S52" s="2378">
        <v>-0.41475918111044602</v>
      </c>
      <c r="T52" s="2379">
        <v>-0.40273512063967698</v>
      </c>
      <c r="U52" s="2380">
        <v>-0.26468170509342098</v>
      </c>
      <c r="V52" s="2378">
        <v>-0.249263970235236</v>
      </c>
      <c r="W52" s="2379">
        <v>-0.19827229993728901</v>
      </c>
      <c r="X52" s="2379">
        <v>7.6802199779459998E-2</v>
      </c>
      <c r="Y52" s="2380">
        <v>0.62282486395784198</v>
      </c>
      <c r="Z52" s="2378">
        <v>0.72529959001691802</v>
      </c>
      <c r="AA52" s="2378">
        <v>0.71094713411514199</v>
      </c>
      <c r="AB52" s="2379">
        <v>0.76462531310767101</v>
      </c>
      <c r="AC52" s="2381">
        <v>1</v>
      </c>
      <c r="AD52" s="2380">
        <v>0.69984066130306499</v>
      </c>
      <c r="AE52" s="2378">
        <v>0.73123425406139997</v>
      </c>
      <c r="AF52" s="2378">
        <v>0.75004430641898001</v>
      </c>
      <c r="AG52" s="2379">
        <v>0.27373234496618798</v>
      </c>
      <c r="AH52" s="2380">
        <v>0.16242516386757999</v>
      </c>
      <c r="AI52" s="2379">
        <v>0.46197400539769701</v>
      </c>
      <c r="AJ52" s="2379">
        <v>5.3737256438422601E-3</v>
      </c>
      <c r="AK52" s="2380">
        <v>-0.22227177670193499</v>
      </c>
      <c r="AL52" s="2378">
        <v>2.5035887773250502E-2</v>
      </c>
      <c r="AM52" s="2378">
        <v>-0.41556846857139801</v>
      </c>
      <c r="AN52" s="2379">
        <v>0.22006673546875199</v>
      </c>
      <c r="AO52" s="2379">
        <v>0.38679028098701801</v>
      </c>
      <c r="AP52" s="2380">
        <v>-0.54914029210089899</v>
      </c>
      <c r="AQ52" s="2378">
        <v>-0.64159059321081702</v>
      </c>
      <c r="AR52" s="2378">
        <v>-0.65938015435379504</v>
      </c>
      <c r="AS52" s="2378">
        <v>-0.52362049689529899</v>
      </c>
      <c r="AT52" s="2379">
        <v>-0.55044492156126501</v>
      </c>
      <c r="AU52" s="2379">
        <v>0.43081425710541499</v>
      </c>
      <c r="AV52" s="2379">
        <v>-0.71173196824043405</v>
      </c>
      <c r="AW52" s="2379">
        <v>-0.692212504397971</v>
      </c>
      <c r="AX52" s="2377">
        <v>-0.35632430912171698</v>
      </c>
      <c r="AY52" s="2370">
        <v>-0.35632430912171698</v>
      </c>
      <c r="AZ52" s="2370">
        <v>-0.35632430912171698</v>
      </c>
    </row>
    <row r="53" spans="1:52" ht="12.75" customHeight="1" x14ac:dyDescent="0.2">
      <c r="A53" s="2199" t="s">
        <v>290</v>
      </c>
      <c r="B53" s="2006" t="s">
        <v>1823</v>
      </c>
      <c r="C53" s="2471"/>
      <c r="D53" s="1977">
        <f>'Sensitivitaeten Delta_Market'!AD35</f>
        <v>0</v>
      </c>
      <c r="F53" s="1978">
        <v>43.847493383767855</v>
      </c>
      <c r="G53" s="1979">
        <f t="shared" si="5"/>
        <v>0</v>
      </c>
      <c r="J53" s="2466"/>
      <c r="K53" s="2002" t="s">
        <v>349</v>
      </c>
      <c r="L53" s="2371">
        <v>-4.4578279987030602E-2</v>
      </c>
      <c r="M53" s="2372">
        <v>7.3748490305921802E-2</v>
      </c>
      <c r="N53" s="2373">
        <v>1.8175363072544099E-2</v>
      </c>
      <c r="O53" s="2375">
        <v>-9.62209637859225E-2</v>
      </c>
      <c r="P53" s="2372">
        <v>-7.5206720900055604E-2</v>
      </c>
      <c r="Q53" s="2373">
        <v>-4.4177114070684399E-2</v>
      </c>
      <c r="R53" s="2375">
        <v>-0.205684336237897</v>
      </c>
      <c r="S53" s="2372">
        <v>-0.23784045137939799</v>
      </c>
      <c r="T53" s="2373">
        <v>-0.25650363517824198</v>
      </c>
      <c r="U53" s="2375">
        <v>-7.0510145980872005E-2</v>
      </c>
      <c r="V53" s="2372">
        <v>-0.10116038595386199</v>
      </c>
      <c r="W53" s="2373">
        <v>-8.2643479115931104E-2</v>
      </c>
      <c r="X53" s="2373">
        <v>0.12440170733842</v>
      </c>
      <c r="Y53" s="2375">
        <v>0.55964486688192205</v>
      </c>
      <c r="Z53" s="2372">
        <v>0.71653850357263904</v>
      </c>
      <c r="AA53" s="2372">
        <v>0.69886335667417299</v>
      </c>
      <c r="AB53" s="2373">
        <v>0.72009558995005096</v>
      </c>
      <c r="AC53" s="2373">
        <v>0.69984066130306499</v>
      </c>
      <c r="AD53" s="2374">
        <v>1</v>
      </c>
      <c r="AE53" s="2372">
        <v>0.87038983271950499</v>
      </c>
      <c r="AF53" s="2372">
        <v>0.81973169876525098</v>
      </c>
      <c r="AG53" s="2373">
        <v>0.37708234739722102</v>
      </c>
      <c r="AH53" s="2375">
        <v>0.16070439569609599</v>
      </c>
      <c r="AI53" s="2373">
        <v>0.52442510090444605</v>
      </c>
      <c r="AJ53" s="2373">
        <v>2.1884623115000799E-2</v>
      </c>
      <c r="AK53" s="2375">
        <v>-0.15005741389979499</v>
      </c>
      <c r="AL53" s="2372">
        <v>4.6676332482728303E-2</v>
      </c>
      <c r="AM53" s="2372">
        <v>-0.27527074101009202</v>
      </c>
      <c r="AN53" s="2373">
        <v>0.116671201615934</v>
      </c>
      <c r="AO53" s="2373">
        <v>0.336924110408235</v>
      </c>
      <c r="AP53" s="2375">
        <v>-0.45581912344084302</v>
      </c>
      <c r="AQ53" s="2372">
        <v>-0.57590612404557595</v>
      </c>
      <c r="AR53" s="2372">
        <v>-0.561540672980674</v>
      </c>
      <c r="AS53" s="2372">
        <v>-0.50221503348274199</v>
      </c>
      <c r="AT53" s="2373">
        <v>-0.41804432927867702</v>
      </c>
      <c r="AU53" s="2373">
        <v>0.381320783020968</v>
      </c>
      <c r="AV53" s="2373">
        <v>-0.63673849612917599</v>
      </c>
      <c r="AW53" s="2373">
        <v>-0.61626856798316099</v>
      </c>
      <c r="AX53" s="2371">
        <v>-0.346270152157722</v>
      </c>
      <c r="AY53" s="2376">
        <v>-0.346270152157722</v>
      </c>
      <c r="AZ53" s="2376">
        <v>-0.346270152157722</v>
      </c>
    </row>
    <row r="54" spans="1:52" ht="12.75" customHeight="1" x14ac:dyDescent="0.2">
      <c r="A54" s="2199" t="s">
        <v>291</v>
      </c>
      <c r="B54" s="1983" t="s">
        <v>1824</v>
      </c>
      <c r="C54" s="2472"/>
      <c r="D54" s="2007">
        <f>'Sensitivitaeten Delta_Market'!AD36</f>
        <v>0</v>
      </c>
      <c r="F54" s="1978">
        <v>54.005811163849913</v>
      </c>
      <c r="G54" s="1979">
        <f t="shared" si="5"/>
        <v>0</v>
      </c>
      <c r="J54" s="2466"/>
      <c r="K54" s="2002" t="s">
        <v>350</v>
      </c>
      <c r="L54" s="2358">
        <v>-8.8498221083821202E-2</v>
      </c>
      <c r="M54" s="2362">
        <v>7.5327412193841904E-3</v>
      </c>
      <c r="N54" s="2360">
        <v>-2.4849013282087301E-2</v>
      </c>
      <c r="O54" s="2361">
        <v>-0.20259789207921999</v>
      </c>
      <c r="P54" s="2362">
        <v>-0.12529242698559701</v>
      </c>
      <c r="Q54" s="2360">
        <v>-0.104455285350788</v>
      </c>
      <c r="R54" s="2361">
        <v>-0.20039535031484901</v>
      </c>
      <c r="S54" s="2362">
        <v>-0.23984077522467701</v>
      </c>
      <c r="T54" s="2360">
        <v>-0.28110065945262103</v>
      </c>
      <c r="U54" s="2361">
        <v>-0.12637288188951201</v>
      </c>
      <c r="V54" s="2362">
        <v>-0.12090987988801701</v>
      </c>
      <c r="W54" s="2360">
        <v>-8.6731867482973402E-2</v>
      </c>
      <c r="X54" s="2360">
        <v>0.131557371609099</v>
      </c>
      <c r="Y54" s="2361">
        <v>0.66474215554563698</v>
      </c>
      <c r="Z54" s="2362">
        <v>0.77796888463468805</v>
      </c>
      <c r="AA54" s="2362">
        <v>0.77751272032318497</v>
      </c>
      <c r="AB54" s="2360">
        <v>0.80599316691230605</v>
      </c>
      <c r="AC54" s="2360">
        <v>0.73123425406139997</v>
      </c>
      <c r="AD54" s="2361">
        <v>0.87038983271950499</v>
      </c>
      <c r="AE54" s="2359">
        <v>1</v>
      </c>
      <c r="AF54" s="2362">
        <v>0.94628117095079201</v>
      </c>
      <c r="AG54" s="2360">
        <v>0.42488147584271901</v>
      </c>
      <c r="AH54" s="2361">
        <v>0.20957146617679101</v>
      </c>
      <c r="AI54" s="2360">
        <v>0.56088792059075898</v>
      </c>
      <c r="AJ54" s="2360">
        <v>1.40215559597356E-2</v>
      </c>
      <c r="AK54" s="2361">
        <v>-0.15731398028198301</v>
      </c>
      <c r="AL54" s="2362">
        <v>0.177863007028225</v>
      </c>
      <c r="AM54" s="2362">
        <v>-0.21280321363718699</v>
      </c>
      <c r="AN54" s="2360">
        <v>0.25225503317988002</v>
      </c>
      <c r="AO54" s="2360">
        <v>0.41107315208525902</v>
      </c>
      <c r="AP54" s="2361">
        <v>-0.50414326994198899</v>
      </c>
      <c r="AQ54" s="2362">
        <v>-0.66235845136827298</v>
      </c>
      <c r="AR54" s="2362">
        <v>-0.62828552544945804</v>
      </c>
      <c r="AS54" s="2362">
        <v>-0.57129940477713403</v>
      </c>
      <c r="AT54" s="2360">
        <v>-0.49626757592609</v>
      </c>
      <c r="AU54" s="2360">
        <v>0.40477384639940001</v>
      </c>
      <c r="AV54" s="2360">
        <v>-0.663103821369319</v>
      </c>
      <c r="AW54" s="2360">
        <v>-0.67335970769841602</v>
      </c>
      <c r="AX54" s="2358">
        <v>-0.358239624071094</v>
      </c>
      <c r="AY54" s="2363">
        <v>-0.358239624071094</v>
      </c>
      <c r="AZ54" s="2363">
        <v>-0.358239624071094</v>
      </c>
    </row>
    <row r="55" spans="1:52" ht="12.75" customHeight="1" x14ac:dyDescent="0.2">
      <c r="A55" s="2199" t="s">
        <v>292</v>
      </c>
      <c r="B55" s="1983" t="s">
        <v>1825</v>
      </c>
      <c r="C55" s="2474"/>
      <c r="D55" s="2007">
        <f>'Sensitivitaeten Delta_Market'!AD37</f>
        <v>0</v>
      </c>
      <c r="F55" s="1978">
        <v>70.712962576942871</v>
      </c>
      <c r="G55" s="1979">
        <f t="shared" si="5"/>
        <v>0</v>
      </c>
      <c r="J55" s="2466"/>
      <c r="K55" s="2002" t="s">
        <v>351</v>
      </c>
      <c r="L55" s="2358">
        <v>-0.13047190039404399</v>
      </c>
      <c r="M55" s="2362">
        <v>7.00478002666518E-3</v>
      </c>
      <c r="N55" s="2360">
        <v>-2.0241965684563299E-2</v>
      </c>
      <c r="O55" s="2361">
        <v>-0.246062236152295</v>
      </c>
      <c r="P55" s="2362">
        <v>-0.12820100914412999</v>
      </c>
      <c r="Q55" s="2360">
        <v>-9.1943143672188005E-2</v>
      </c>
      <c r="R55" s="2361">
        <v>-0.230880490281409</v>
      </c>
      <c r="S55" s="2362">
        <v>-0.23244303749978101</v>
      </c>
      <c r="T55" s="2360">
        <v>-0.254330339571748</v>
      </c>
      <c r="U55" s="2361">
        <v>-0.18285660857352701</v>
      </c>
      <c r="V55" s="2362">
        <v>-0.122830153404966</v>
      </c>
      <c r="W55" s="2360">
        <v>-6.6411428573022305E-2</v>
      </c>
      <c r="X55" s="2360">
        <v>0.106319883875211</v>
      </c>
      <c r="Y55" s="2361">
        <v>0.64151946487725497</v>
      </c>
      <c r="Z55" s="2362">
        <v>0.78321660103523905</v>
      </c>
      <c r="AA55" s="2362">
        <v>0.78873653673251098</v>
      </c>
      <c r="AB55" s="2360">
        <v>0.81816923884848003</v>
      </c>
      <c r="AC55" s="2360">
        <v>0.75004430641898001</v>
      </c>
      <c r="AD55" s="2361">
        <v>0.81973169876525098</v>
      </c>
      <c r="AE55" s="2362">
        <v>0.94628117095079201</v>
      </c>
      <c r="AF55" s="2359">
        <v>1</v>
      </c>
      <c r="AG55" s="2360">
        <v>0.33424330615758802</v>
      </c>
      <c r="AH55" s="2361">
        <v>0.229503897057411</v>
      </c>
      <c r="AI55" s="2360">
        <v>0.578607410593456</v>
      </c>
      <c r="AJ55" s="2360">
        <v>5.1250190508028504E-3</v>
      </c>
      <c r="AK55" s="2361">
        <v>-0.16181030913498501</v>
      </c>
      <c r="AL55" s="2362">
        <v>0.15634285434426401</v>
      </c>
      <c r="AM55" s="2362">
        <v>-0.24644275987714701</v>
      </c>
      <c r="AN55" s="2360">
        <v>0.23785288690426601</v>
      </c>
      <c r="AO55" s="2360">
        <v>0.371284320743549</v>
      </c>
      <c r="AP55" s="2361">
        <v>-0.51992840321743905</v>
      </c>
      <c r="AQ55" s="2362">
        <v>-0.66619047351671701</v>
      </c>
      <c r="AR55" s="2362">
        <v>-0.62157334221609795</v>
      </c>
      <c r="AS55" s="2362">
        <v>-0.58868321514513999</v>
      </c>
      <c r="AT55" s="2360">
        <v>-0.48751600322011901</v>
      </c>
      <c r="AU55" s="2360">
        <v>0.36852462304600597</v>
      </c>
      <c r="AV55" s="2360">
        <v>-0.68009523083492496</v>
      </c>
      <c r="AW55" s="2360">
        <v>-0.66941969545007995</v>
      </c>
      <c r="AX55" s="2358">
        <v>-0.36367022563999402</v>
      </c>
      <c r="AY55" s="2363">
        <v>-0.36367022563999402</v>
      </c>
      <c r="AZ55" s="2363">
        <v>-0.36367022563999402</v>
      </c>
    </row>
    <row r="56" spans="1:52" ht="12.75" customHeight="1" x14ac:dyDescent="0.2">
      <c r="A56" s="2199" t="s">
        <v>293</v>
      </c>
      <c r="B56" s="1987" t="s">
        <v>2290</v>
      </c>
      <c r="C56" s="2008"/>
      <c r="D56" s="2007">
        <f>'Sensitivitaeten Delta_Market'!AD38</f>
        <v>0</v>
      </c>
      <c r="F56" s="1982">
        <v>33.45013936547727</v>
      </c>
      <c r="G56" s="2009">
        <f>D56*F56</f>
        <v>0</v>
      </c>
      <c r="J56" s="2010" t="s">
        <v>2292</v>
      </c>
      <c r="K56" s="2011"/>
      <c r="L56" s="2364">
        <v>-0.126109749282628</v>
      </c>
      <c r="M56" s="2365">
        <v>-0.123982303914076</v>
      </c>
      <c r="N56" s="2368">
        <v>-0.13103458848940899</v>
      </c>
      <c r="O56" s="2367">
        <v>-0.22822891929629599</v>
      </c>
      <c r="P56" s="2365">
        <v>-0.24597204733087999</v>
      </c>
      <c r="Q56" s="2368">
        <v>-0.24404531357791101</v>
      </c>
      <c r="R56" s="2367">
        <v>-0.12626216895654299</v>
      </c>
      <c r="S56" s="2365">
        <v>-0.21828728272231099</v>
      </c>
      <c r="T56" s="2368">
        <v>-0.235293902788727</v>
      </c>
      <c r="U56" s="2367">
        <v>-0.144096886670803</v>
      </c>
      <c r="V56" s="2365">
        <v>-0.22438793863022399</v>
      </c>
      <c r="W56" s="2368">
        <v>-0.181844200700851</v>
      </c>
      <c r="X56" s="2368">
        <v>8.3683950346533295E-2</v>
      </c>
      <c r="Y56" s="2367">
        <v>0.21892254653219301</v>
      </c>
      <c r="Z56" s="2365">
        <v>0.27047822266523103</v>
      </c>
      <c r="AA56" s="2365">
        <v>0.263222400546272</v>
      </c>
      <c r="AB56" s="2368">
        <v>0.30432197874046302</v>
      </c>
      <c r="AC56" s="2368">
        <v>0.27373234496618798</v>
      </c>
      <c r="AD56" s="2367">
        <v>0.37708234739722102</v>
      </c>
      <c r="AE56" s="2365">
        <v>0.42488147584271901</v>
      </c>
      <c r="AF56" s="2365">
        <v>0.33424330615758802</v>
      </c>
      <c r="AG56" s="2366">
        <v>1</v>
      </c>
      <c r="AH56" s="2367">
        <v>0.101225226355195</v>
      </c>
      <c r="AI56" s="2368">
        <v>0.19994907883761201</v>
      </c>
      <c r="AJ56" s="2368">
        <v>3.3232525919948498E-2</v>
      </c>
      <c r="AK56" s="2367">
        <v>-0.26837654693401802</v>
      </c>
      <c r="AL56" s="2365">
        <v>0.13192495019971801</v>
      </c>
      <c r="AM56" s="2365">
        <v>-0.11769083135828801</v>
      </c>
      <c r="AN56" s="2368">
        <v>0.271243892646573</v>
      </c>
      <c r="AO56" s="2368">
        <v>0.28265874246058598</v>
      </c>
      <c r="AP56" s="2367">
        <v>-0.30829884238410998</v>
      </c>
      <c r="AQ56" s="2365">
        <v>-0.38813530811315899</v>
      </c>
      <c r="AR56" s="2365">
        <v>-0.31375231339687398</v>
      </c>
      <c r="AS56" s="2365">
        <v>-0.30323671602198399</v>
      </c>
      <c r="AT56" s="2368">
        <v>-0.34959529653528798</v>
      </c>
      <c r="AU56" s="2368">
        <v>0.26663610124475801</v>
      </c>
      <c r="AV56" s="2368">
        <v>-0.29645838679451503</v>
      </c>
      <c r="AW56" s="2368">
        <v>-0.27054431962362302</v>
      </c>
      <c r="AX56" s="2364">
        <v>-0.13074902751869899</v>
      </c>
      <c r="AY56" s="2370">
        <v>-0.13074902751869899</v>
      </c>
      <c r="AZ56" s="2370">
        <v>-0.13074902751869899</v>
      </c>
    </row>
    <row r="57" spans="1:52" ht="12.75" customHeight="1" x14ac:dyDescent="0.2">
      <c r="A57" s="2199" t="s">
        <v>294</v>
      </c>
      <c r="B57" s="2012" t="s">
        <v>2547</v>
      </c>
      <c r="C57" s="2013"/>
      <c r="D57" s="1985">
        <f>'Sensitivitaeten Delta_Market'!AD39</f>
        <v>0</v>
      </c>
      <c r="F57" s="1990">
        <v>20.805382349972238</v>
      </c>
      <c r="G57" s="2014">
        <f t="shared" si="5"/>
        <v>0</v>
      </c>
      <c r="J57" s="2015" t="s">
        <v>2293</v>
      </c>
      <c r="K57" s="2016"/>
      <c r="L57" s="2371">
        <v>-0.222769187582781</v>
      </c>
      <c r="M57" s="2372">
        <v>-0.21672268953700899</v>
      </c>
      <c r="N57" s="2373">
        <v>-0.11693227610176</v>
      </c>
      <c r="O57" s="2375">
        <v>-0.128119789386473</v>
      </c>
      <c r="P57" s="2372">
        <v>-7.6241910355555997E-2</v>
      </c>
      <c r="Q57" s="2373">
        <v>-3.1344093178429698E-2</v>
      </c>
      <c r="R57" s="2375">
        <v>-5.89850321248283E-2</v>
      </c>
      <c r="S57" s="2372">
        <v>-0.110695885966052</v>
      </c>
      <c r="T57" s="2373">
        <v>-0.15124077103322101</v>
      </c>
      <c r="U57" s="2375">
        <v>-7.2024014024260494E-2</v>
      </c>
      <c r="V57" s="2372">
        <v>-9.0347821337384795E-2</v>
      </c>
      <c r="W57" s="2373">
        <v>-6.3676849135559696E-2</v>
      </c>
      <c r="X57" s="2373">
        <v>-9.4806767072050199E-2</v>
      </c>
      <c r="Y57" s="2375">
        <v>0.22763906591174701</v>
      </c>
      <c r="Z57" s="2372">
        <v>0.21992757719911499</v>
      </c>
      <c r="AA57" s="2372">
        <v>0.19311143375803599</v>
      </c>
      <c r="AB57" s="2373">
        <v>0.18946202896405201</v>
      </c>
      <c r="AC57" s="2373">
        <v>0.16242516386757999</v>
      </c>
      <c r="AD57" s="2375">
        <v>0.16070439569609599</v>
      </c>
      <c r="AE57" s="2372">
        <v>0.20957146617679101</v>
      </c>
      <c r="AF57" s="2372">
        <v>0.229503897057411</v>
      </c>
      <c r="AG57" s="2373">
        <v>0.101225226355195</v>
      </c>
      <c r="AH57" s="2374">
        <v>1</v>
      </c>
      <c r="AI57" s="2373">
        <v>0.59550349430250604</v>
      </c>
      <c r="AJ57" s="2373">
        <v>0.230664793520964</v>
      </c>
      <c r="AK57" s="2375">
        <v>-0.29107031791403198</v>
      </c>
      <c r="AL57" s="2372">
        <v>-0.117423953075279</v>
      </c>
      <c r="AM57" s="2372">
        <v>-0.29112664631977597</v>
      </c>
      <c r="AN57" s="2373">
        <v>-0.118382287803368</v>
      </c>
      <c r="AO57" s="2373">
        <v>0.20838403158916999</v>
      </c>
      <c r="AP57" s="2375">
        <v>-0.179348657533318</v>
      </c>
      <c r="AQ57" s="2372">
        <v>-0.15087026925604899</v>
      </c>
      <c r="AR57" s="2372">
        <v>-0.11502208351082201</v>
      </c>
      <c r="AS57" s="2372">
        <v>-0.12232366453157199</v>
      </c>
      <c r="AT57" s="2373">
        <v>-8.5970837380057702E-2</v>
      </c>
      <c r="AU57" s="2373">
        <v>0.102497744943238</v>
      </c>
      <c r="AV57" s="2373">
        <v>-0.17387014717914201</v>
      </c>
      <c r="AW57" s="2373">
        <v>-9.8245942651807902E-2</v>
      </c>
      <c r="AX57" s="2371">
        <v>-4.1608115211581101E-2</v>
      </c>
      <c r="AY57" s="2376">
        <v>-4.1608115211581101E-2</v>
      </c>
      <c r="AZ57" s="2376">
        <v>-4.1608115211581101E-2</v>
      </c>
    </row>
    <row r="58" spans="1:52" ht="12.75" customHeight="1" x14ac:dyDescent="0.2">
      <c r="A58" s="2199" t="s">
        <v>295</v>
      </c>
      <c r="B58" s="1991" t="s">
        <v>2548</v>
      </c>
      <c r="C58" s="2017"/>
      <c r="D58" s="2007">
        <f>'Sensitivitaeten Delta_Market'!AD40</f>
        <v>0</v>
      </c>
      <c r="F58" s="1982">
        <v>32.849079717654092</v>
      </c>
      <c r="G58" s="2009">
        <f>D58*F58</f>
        <v>0</v>
      </c>
      <c r="J58" s="2015" t="s">
        <v>2294</v>
      </c>
      <c r="K58" s="2016"/>
      <c r="L58" s="2364">
        <v>-0.212657036244946</v>
      </c>
      <c r="M58" s="2365">
        <v>-0.15520638457963201</v>
      </c>
      <c r="N58" s="2368">
        <v>-8.0371529445605105E-2</v>
      </c>
      <c r="O58" s="2367">
        <v>-0.23604764360111899</v>
      </c>
      <c r="P58" s="2365">
        <v>-0.115204095772935</v>
      </c>
      <c r="Q58" s="2368">
        <v>-3.3489779247684502E-2</v>
      </c>
      <c r="R58" s="2367">
        <v>-0.189738414009993</v>
      </c>
      <c r="S58" s="2365">
        <v>-0.18258506949629699</v>
      </c>
      <c r="T58" s="2368">
        <v>-0.154593069693931</v>
      </c>
      <c r="U58" s="2367">
        <v>-9.2268669219430693E-2</v>
      </c>
      <c r="V58" s="2365">
        <v>-7.0271549598663996E-2</v>
      </c>
      <c r="W58" s="2368">
        <v>-2.66578057070335E-3</v>
      </c>
      <c r="X58" s="2368">
        <v>8.0138714981198303E-2</v>
      </c>
      <c r="Y58" s="2367">
        <v>0.46260191462560402</v>
      </c>
      <c r="Z58" s="2365">
        <v>0.54398131730189803</v>
      </c>
      <c r="AA58" s="2365">
        <v>0.53788407025469898</v>
      </c>
      <c r="AB58" s="2368">
        <v>0.55346613817907697</v>
      </c>
      <c r="AC58" s="2368">
        <v>0.46197400539769701</v>
      </c>
      <c r="AD58" s="2367">
        <v>0.52442510090444605</v>
      </c>
      <c r="AE58" s="2365">
        <v>0.56088792059075898</v>
      </c>
      <c r="AF58" s="2365">
        <v>0.578607410593456</v>
      </c>
      <c r="AG58" s="2368">
        <v>0.19994907883761201</v>
      </c>
      <c r="AH58" s="2367">
        <v>0.59550349430250604</v>
      </c>
      <c r="AI58" s="2366">
        <v>1</v>
      </c>
      <c r="AJ58" s="2368">
        <v>7.3083886502048501E-2</v>
      </c>
      <c r="AK58" s="2367">
        <v>-0.19057268688375301</v>
      </c>
      <c r="AL58" s="2365">
        <v>7.9122875727227093E-2</v>
      </c>
      <c r="AM58" s="2365">
        <v>-0.17024684191570399</v>
      </c>
      <c r="AN58" s="2368">
        <v>7.94722667364057E-2</v>
      </c>
      <c r="AO58" s="2368">
        <v>0.302628550372677</v>
      </c>
      <c r="AP58" s="2367">
        <v>-0.39804525482724801</v>
      </c>
      <c r="AQ58" s="2365">
        <v>-0.51388983936410104</v>
      </c>
      <c r="AR58" s="2365">
        <v>-0.430101375419434</v>
      </c>
      <c r="AS58" s="2365">
        <v>-0.46558985386733398</v>
      </c>
      <c r="AT58" s="2368">
        <v>-0.34509862197091701</v>
      </c>
      <c r="AU58" s="2368">
        <v>0.28794877264204599</v>
      </c>
      <c r="AV58" s="2368">
        <v>-0.55148232752429005</v>
      </c>
      <c r="AW58" s="2368">
        <v>-0.45891846278767601</v>
      </c>
      <c r="AX58" s="2364">
        <v>-0.26976546667771001</v>
      </c>
      <c r="AY58" s="2370">
        <v>-0.26976546667771001</v>
      </c>
      <c r="AZ58" s="2370">
        <v>-0.26976546667771001</v>
      </c>
    </row>
    <row r="59" spans="1:52" ht="12.75" customHeight="1" x14ac:dyDescent="0.2">
      <c r="A59" s="2199" t="s">
        <v>296</v>
      </c>
      <c r="B59" s="2006" t="s">
        <v>1826</v>
      </c>
      <c r="C59" s="2018" t="s">
        <v>1846</v>
      </c>
      <c r="D59" s="1997">
        <f>'Sensitivitaeten Delta_Market'!AD41</f>
        <v>0</v>
      </c>
      <c r="F59" s="2004">
        <v>19.366792449652053</v>
      </c>
      <c r="G59" s="2009">
        <f t="shared" si="5"/>
        <v>0</v>
      </c>
      <c r="J59" s="2019" t="s">
        <v>1864</v>
      </c>
      <c r="K59" s="2020" t="s">
        <v>79</v>
      </c>
      <c r="L59" s="2377">
        <v>0.19657250403614099</v>
      </c>
      <c r="M59" s="2378">
        <v>0.190933278919828</v>
      </c>
      <c r="N59" s="2379">
        <v>0.13467284653934</v>
      </c>
      <c r="O59" s="2380">
        <v>0.17449149376440001</v>
      </c>
      <c r="P59" s="2378">
        <v>9.8266592863821306E-2</v>
      </c>
      <c r="Q59" s="2379">
        <v>8.0934782332461097E-2</v>
      </c>
      <c r="R59" s="2380">
        <v>0.20846420944322799</v>
      </c>
      <c r="S59" s="2378">
        <v>1.54509504702486E-2</v>
      </c>
      <c r="T59" s="2379">
        <v>-7.7362770697655903E-2</v>
      </c>
      <c r="U59" s="2380">
        <v>0.234688087049157</v>
      </c>
      <c r="V59" s="2378">
        <v>7.06444038418165E-2</v>
      </c>
      <c r="W59" s="2379">
        <v>-9.7311470229232897E-4</v>
      </c>
      <c r="X59" s="2379">
        <v>-6.2090245909669002E-2</v>
      </c>
      <c r="Y59" s="2380">
        <v>4.5573971298915099E-2</v>
      </c>
      <c r="Z59" s="2378">
        <v>-2.7659437597547E-2</v>
      </c>
      <c r="AA59" s="2378">
        <v>-7.4185260370173894E-2</v>
      </c>
      <c r="AB59" s="2379">
        <v>-7.9775672791579294E-2</v>
      </c>
      <c r="AC59" s="2379">
        <v>5.3737256438422601E-3</v>
      </c>
      <c r="AD59" s="2380">
        <v>2.1884623115000799E-2</v>
      </c>
      <c r="AE59" s="2378">
        <v>1.40215559597356E-2</v>
      </c>
      <c r="AF59" s="2378">
        <v>5.1250190508028504E-3</v>
      </c>
      <c r="AG59" s="2379">
        <v>3.3232525919948498E-2</v>
      </c>
      <c r="AH59" s="2380">
        <v>0.230664793520964</v>
      </c>
      <c r="AI59" s="2379">
        <v>7.3083886502048501E-2</v>
      </c>
      <c r="AJ59" s="2381">
        <v>1</v>
      </c>
      <c r="AK59" s="2380">
        <v>-8.2405890787439803E-2</v>
      </c>
      <c r="AL59" s="2378">
        <v>-9.4961441588036197E-2</v>
      </c>
      <c r="AM59" s="2378">
        <v>-6.1663254666035297E-2</v>
      </c>
      <c r="AN59" s="2379">
        <v>-0.24460711488202</v>
      </c>
      <c r="AO59" s="2379">
        <v>9.1037704232053707E-2</v>
      </c>
      <c r="AP59" s="2380">
        <v>-2.5837271959818001E-2</v>
      </c>
      <c r="AQ59" s="2378">
        <v>-2.16464777078695E-2</v>
      </c>
      <c r="AR59" s="2378">
        <v>-1.4414954446862201E-2</v>
      </c>
      <c r="AS59" s="2378">
        <v>-4.60821000355938E-3</v>
      </c>
      <c r="AT59" s="2379">
        <v>0.14090249881213601</v>
      </c>
      <c r="AU59" s="2379">
        <v>1.9923266542231099E-2</v>
      </c>
      <c r="AV59" s="2379">
        <v>9.8950913054559594E-2</v>
      </c>
      <c r="AW59" s="2379">
        <v>3.62065441965055E-2</v>
      </c>
      <c r="AX59" s="2377">
        <v>-1.07650715363367E-2</v>
      </c>
      <c r="AY59" s="2370">
        <v>-1.07650715363367E-2</v>
      </c>
      <c r="AZ59" s="2370">
        <v>-1.07650715363367E-2</v>
      </c>
    </row>
    <row r="60" spans="1:52" ht="12.75" customHeight="1" x14ac:dyDescent="0.2">
      <c r="A60" s="2199" t="s">
        <v>297</v>
      </c>
      <c r="B60" s="2012" t="s">
        <v>1827</v>
      </c>
      <c r="C60" s="2021"/>
      <c r="D60" s="2007">
        <f>'Sensitivitaeten Delta_Market'!AD42</f>
        <v>0</v>
      </c>
      <c r="F60" s="2022">
        <v>6.5727836909648951E-2</v>
      </c>
      <c r="G60" s="1979">
        <f t="shared" si="5"/>
        <v>0</v>
      </c>
      <c r="J60" s="2458" t="s">
        <v>1865</v>
      </c>
      <c r="K60" s="2016" t="s">
        <v>76</v>
      </c>
      <c r="L60" s="2371">
        <v>0.27719639711962601</v>
      </c>
      <c r="M60" s="2372">
        <v>0.22625722441005999</v>
      </c>
      <c r="N60" s="2373">
        <v>0.180675390179206</v>
      </c>
      <c r="O60" s="2375">
        <v>0.31838889735797898</v>
      </c>
      <c r="P60" s="2372">
        <v>0.24235402872692099</v>
      </c>
      <c r="Q60" s="2373">
        <v>0.25239461387554801</v>
      </c>
      <c r="R60" s="2375">
        <v>0.19979000501007199</v>
      </c>
      <c r="S60" s="2372">
        <v>0.200002321511589</v>
      </c>
      <c r="T60" s="2373">
        <v>0.20225807543695101</v>
      </c>
      <c r="U60" s="2375">
        <v>0.191914030065472</v>
      </c>
      <c r="V60" s="2372">
        <v>0.191654807499538</v>
      </c>
      <c r="W60" s="2373">
        <v>0.23799391212363499</v>
      </c>
      <c r="X60" s="2373">
        <v>-1.8692000775674601E-2</v>
      </c>
      <c r="Y60" s="2375">
        <v>-6.6459582087727204E-2</v>
      </c>
      <c r="Z60" s="2372">
        <v>-0.14568970624013899</v>
      </c>
      <c r="AA60" s="2372">
        <v>-0.14710520688283499</v>
      </c>
      <c r="AB60" s="2373">
        <v>-0.17475891116414699</v>
      </c>
      <c r="AC60" s="2373">
        <v>-0.22227177670193499</v>
      </c>
      <c r="AD60" s="2375">
        <v>-0.15005741389979499</v>
      </c>
      <c r="AE60" s="2372">
        <v>-0.15731398028198301</v>
      </c>
      <c r="AF60" s="2372">
        <v>-0.16181030913498501</v>
      </c>
      <c r="AG60" s="2373">
        <v>-0.26837654693401802</v>
      </c>
      <c r="AH60" s="2375">
        <v>-0.29107031791403198</v>
      </c>
      <c r="AI60" s="2373">
        <v>-0.19057268688375301</v>
      </c>
      <c r="AJ60" s="2373">
        <v>-8.2405890787439803E-2</v>
      </c>
      <c r="AK60" s="2374">
        <v>1</v>
      </c>
      <c r="AL60" s="2372">
        <v>0.41838365565807301</v>
      </c>
      <c r="AM60" s="2372">
        <v>0.59916033616234299</v>
      </c>
      <c r="AN60" s="2373">
        <v>0.16333137209082799</v>
      </c>
      <c r="AO60" s="2373">
        <v>-0.30290337151379199</v>
      </c>
      <c r="AP60" s="2375">
        <v>0.30618525755499798</v>
      </c>
      <c r="AQ60" s="2372">
        <v>0.17185247695886499</v>
      </c>
      <c r="AR60" s="2372">
        <v>0.19525394940344901</v>
      </c>
      <c r="AS60" s="2372">
        <v>0.16039111910050199</v>
      </c>
      <c r="AT60" s="2373">
        <v>0.21236566341732599</v>
      </c>
      <c r="AU60" s="2373">
        <v>-0.156196270036981</v>
      </c>
      <c r="AV60" s="2373">
        <v>0.14748049727288601</v>
      </c>
      <c r="AW60" s="2373">
        <v>6.2403790254567798E-2</v>
      </c>
      <c r="AX60" s="2371">
        <v>3.5662060046126598E-2</v>
      </c>
      <c r="AY60" s="2376">
        <v>3.5662060046126598E-2</v>
      </c>
      <c r="AZ60" s="2376">
        <v>3.5662060046126598E-2</v>
      </c>
    </row>
    <row r="61" spans="1:52" ht="12.75" customHeight="1" x14ac:dyDescent="0.2">
      <c r="A61" s="2199" t="s">
        <v>298</v>
      </c>
      <c r="B61" s="1975" t="s">
        <v>1828</v>
      </c>
      <c r="C61" s="2023"/>
      <c r="D61" s="2007">
        <f>'Sensitivitaeten Delta_Market'!AD43</f>
        <v>0</v>
      </c>
      <c r="F61" s="2022">
        <v>9.6799453094809126E-2</v>
      </c>
      <c r="G61" s="1979">
        <f t="shared" si="5"/>
        <v>0</v>
      </c>
      <c r="J61" s="2459"/>
      <c r="K61" s="2016" t="s">
        <v>77</v>
      </c>
      <c r="L61" s="2358">
        <v>6.3232565635302801E-2</v>
      </c>
      <c r="M61" s="2362">
        <v>-2.5245044506016001E-2</v>
      </c>
      <c r="N61" s="2360">
        <v>-4.7078987543958999E-2</v>
      </c>
      <c r="O61" s="2361">
        <v>1.4450112403802401E-2</v>
      </c>
      <c r="P61" s="2362">
        <v>2.61693988203252E-2</v>
      </c>
      <c r="Q61" s="2360">
        <v>-2.5904711500049499E-2</v>
      </c>
      <c r="R61" s="2361">
        <v>0.305567638778524</v>
      </c>
      <c r="S61" s="2362">
        <v>0.236847057428557</v>
      </c>
      <c r="T61" s="2360">
        <v>0.16458295278855101</v>
      </c>
      <c r="U61" s="2361">
        <v>0.103102235504218</v>
      </c>
      <c r="V61" s="2362">
        <v>0.1439440079506</v>
      </c>
      <c r="W61" s="2360">
        <v>0.145784891323329</v>
      </c>
      <c r="X61" s="2360">
        <v>0.18457384629207499</v>
      </c>
      <c r="Y61" s="2361">
        <v>0.191932984688932</v>
      </c>
      <c r="Z61" s="2362">
        <v>0.16073388579279099</v>
      </c>
      <c r="AA61" s="2362">
        <v>0.16929093613598301</v>
      </c>
      <c r="AB61" s="2360">
        <v>0.16558093104045199</v>
      </c>
      <c r="AC61" s="2360">
        <v>2.5035887773250502E-2</v>
      </c>
      <c r="AD61" s="2361">
        <v>4.6676332482728303E-2</v>
      </c>
      <c r="AE61" s="2362">
        <v>0.177863007028225</v>
      </c>
      <c r="AF61" s="2362">
        <v>0.15634285434426401</v>
      </c>
      <c r="AG61" s="2360">
        <v>0.13192495019971801</v>
      </c>
      <c r="AH61" s="2361">
        <v>-0.117423953075279</v>
      </c>
      <c r="AI61" s="2360">
        <v>7.9122875727227093E-2</v>
      </c>
      <c r="AJ61" s="2360">
        <v>-9.4961441588036197E-2</v>
      </c>
      <c r="AK61" s="2361">
        <v>0.41838365565807301</v>
      </c>
      <c r="AL61" s="2359">
        <v>1</v>
      </c>
      <c r="AM61" s="2362">
        <v>0.58476306707502901</v>
      </c>
      <c r="AN61" s="2360">
        <v>0.54049993162011201</v>
      </c>
      <c r="AO61" s="2360">
        <v>-7.6862863685816907E-2</v>
      </c>
      <c r="AP61" s="2361">
        <v>4.8780082194056898E-2</v>
      </c>
      <c r="AQ61" s="2362">
        <v>-0.15410022924126601</v>
      </c>
      <c r="AR61" s="2362">
        <v>-0.27406564938408301</v>
      </c>
      <c r="AS61" s="2362">
        <v>-0.19134926963687199</v>
      </c>
      <c r="AT61" s="2360">
        <v>-4.71074611588298E-2</v>
      </c>
      <c r="AU61" s="2360">
        <v>0.183327376029464</v>
      </c>
      <c r="AV61" s="2360">
        <v>-0.23981526216100199</v>
      </c>
      <c r="AW61" s="2360">
        <v>-7.6757755463455604E-2</v>
      </c>
      <c r="AX61" s="2358">
        <v>-5.1541861491656203E-2</v>
      </c>
      <c r="AY61" s="2363">
        <v>-5.1541861491656203E-2</v>
      </c>
      <c r="AZ61" s="2363">
        <v>-5.1541861491656203E-2</v>
      </c>
    </row>
    <row r="62" spans="1:52" ht="12.75" customHeight="1" x14ac:dyDescent="0.2">
      <c r="A62" s="2199" t="s">
        <v>299</v>
      </c>
      <c r="B62" s="1975" t="s">
        <v>1829</v>
      </c>
      <c r="C62" s="2023"/>
      <c r="D62" s="2007">
        <f>'Sensitivitaeten Delta_Market'!AD44</f>
        <v>0</v>
      </c>
      <c r="F62" s="2022">
        <v>9.4849894118657158E-2</v>
      </c>
      <c r="G62" s="1979">
        <f t="shared" si="5"/>
        <v>0</v>
      </c>
      <c r="J62" s="2459"/>
      <c r="K62" s="2016" t="s">
        <v>152</v>
      </c>
      <c r="L62" s="2358">
        <v>0.18034045372972701</v>
      </c>
      <c r="M62" s="2362">
        <v>0.121099507217077</v>
      </c>
      <c r="N62" s="2360">
        <v>0.13396318828235301</v>
      </c>
      <c r="O62" s="2361">
        <v>0.157809230049722</v>
      </c>
      <c r="P62" s="2362">
        <v>0.14646489073996399</v>
      </c>
      <c r="Q62" s="2360">
        <v>0.12202018996552</v>
      </c>
      <c r="R62" s="2361">
        <v>0.27609246510851798</v>
      </c>
      <c r="S62" s="2362">
        <v>0.31330218558328199</v>
      </c>
      <c r="T62" s="2360">
        <v>0.31351984320158099</v>
      </c>
      <c r="U62" s="2361">
        <v>0.26370357583468801</v>
      </c>
      <c r="V62" s="2362">
        <v>0.26540762053809702</v>
      </c>
      <c r="W62" s="2360">
        <v>0.24558603273051799</v>
      </c>
      <c r="X62" s="2360">
        <v>0.102178660764195</v>
      </c>
      <c r="Y62" s="2361">
        <v>-0.17652629948385301</v>
      </c>
      <c r="Z62" s="2362">
        <v>-0.26199187211207697</v>
      </c>
      <c r="AA62" s="2362">
        <v>-0.235801015758519</v>
      </c>
      <c r="AB62" s="2360">
        <v>-0.25320788654075599</v>
      </c>
      <c r="AC62" s="2360">
        <v>-0.41556846857139801</v>
      </c>
      <c r="AD62" s="2361">
        <v>-0.27527074101009202</v>
      </c>
      <c r="AE62" s="2362">
        <v>-0.21280321363718699</v>
      </c>
      <c r="AF62" s="2362">
        <v>-0.24644275987714701</v>
      </c>
      <c r="AG62" s="2360">
        <v>-0.11769083135828801</v>
      </c>
      <c r="AH62" s="2361">
        <v>-0.29112664631977597</v>
      </c>
      <c r="AI62" s="2360">
        <v>-0.17024684191570399</v>
      </c>
      <c r="AJ62" s="2360">
        <v>-6.1663254666035297E-2</v>
      </c>
      <c r="AK62" s="2361">
        <v>0.59916033616234299</v>
      </c>
      <c r="AL62" s="2362">
        <v>0.58476306707502901</v>
      </c>
      <c r="AM62" s="2359">
        <v>1</v>
      </c>
      <c r="AN62" s="2360">
        <v>0.23596479283479199</v>
      </c>
      <c r="AO62" s="2360">
        <v>-0.31145846085983903</v>
      </c>
      <c r="AP62" s="2361">
        <v>0.354319590682872</v>
      </c>
      <c r="AQ62" s="2362">
        <v>0.22669355392946799</v>
      </c>
      <c r="AR62" s="2362">
        <v>0.17722062135133301</v>
      </c>
      <c r="AS62" s="2362">
        <v>1.0754867178774401E-3</v>
      </c>
      <c r="AT62" s="2360">
        <v>0.28454550987034299</v>
      </c>
      <c r="AU62" s="2360">
        <v>-0.11437331725741599</v>
      </c>
      <c r="AV62" s="2360">
        <v>0.21911312883079201</v>
      </c>
      <c r="AW62" s="2360">
        <v>0.244433745820653</v>
      </c>
      <c r="AX62" s="2358">
        <v>0.12274265745314999</v>
      </c>
      <c r="AY62" s="2363">
        <v>0.12274265745314999</v>
      </c>
      <c r="AZ62" s="2363">
        <v>0.12274265745314999</v>
      </c>
    </row>
    <row r="63" spans="1:52" ht="12.75" customHeight="1" x14ac:dyDescent="0.2">
      <c r="A63" s="2199" t="s">
        <v>300</v>
      </c>
      <c r="B63" s="1991" t="s">
        <v>1830</v>
      </c>
      <c r="C63" s="2024"/>
      <c r="D63" s="2007">
        <f>'Sensitivitaeten Delta_Market'!AD45</f>
        <v>0</v>
      </c>
      <c r="F63" s="2022">
        <v>0.10329665921802249</v>
      </c>
      <c r="G63" s="2009">
        <f t="shared" ref="G63:G70" si="6">D63*F63</f>
        <v>0</v>
      </c>
      <c r="J63" s="2460"/>
      <c r="K63" s="2016" t="s">
        <v>78</v>
      </c>
      <c r="L63" s="2364">
        <v>-0.198812603515931</v>
      </c>
      <c r="M63" s="2365">
        <v>-0.281649138821984</v>
      </c>
      <c r="N63" s="2368">
        <v>-0.289224797909721</v>
      </c>
      <c r="O63" s="2367">
        <v>-0.36600504539259099</v>
      </c>
      <c r="P63" s="2365">
        <v>-0.335015520244552</v>
      </c>
      <c r="Q63" s="2368">
        <v>-0.32695472911969597</v>
      </c>
      <c r="R63" s="2367">
        <v>-0.25084166980125899</v>
      </c>
      <c r="S63" s="2365">
        <v>-0.26973418948944999</v>
      </c>
      <c r="T63" s="2368">
        <v>-0.24487130903685</v>
      </c>
      <c r="U63" s="2367">
        <v>-0.30186262705883798</v>
      </c>
      <c r="V63" s="2365">
        <v>-0.213671218753515</v>
      </c>
      <c r="W63" s="2368">
        <v>-0.15274216264830001</v>
      </c>
      <c r="X63" s="2368">
        <v>8.7185917973547494E-2</v>
      </c>
      <c r="Y63" s="2367">
        <v>0.26061178866802498</v>
      </c>
      <c r="Z63" s="2365">
        <v>0.275638603423985</v>
      </c>
      <c r="AA63" s="2365">
        <v>0.28089697992298601</v>
      </c>
      <c r="AB63" s="2368">
        <v>0.28755260003854899</v>
      </c>
      <c r="AC63" s="2368">
        <v>0.22006673546875199</v>
      </c>
      <c r="AD63" s="2367">
        <v>0.116671201615934</v>
      </c>
      <c r="AE63" s="2365">
        <v>0.25225503317988002</v>
      </c>
      <c r="AF63" s="2365">
        <v>0.23785288690426601</v>
      </c>
      <c r="AG63" s="2368">
        <v>0.271243892646573</v>
      </c>
      <c r="AH63" s="2367">
        <v>-0.118382287803368</v>
      </c>
      <c r="AI63" s="2368">
        <v>7.94722667364057E-2</v>
      </c>
      <c r="AJ63" s="2368">
        <v>-0.24460711488202</v>
      </c>
      <c r="AK63" s="2367">
        <v>0.16333137209082799</v>
      </c>
      <c r="AL63" s="2365">
        <v>0.54049993162011201</v>
      </c>
      <c r="AM63" s="2365">
        <v>0.23596479283479199</v>
      </c>
      <c r="AN63" s="2366">
        <v>1</v>
      </c>
      <c r="AO63" s="2368">
        <v>5.3356379740862901E-2</v>
      </c>
      <c r="AP63" s="2367">
        <v>-0.14968180964959901</v>
      </c>
      <c r="AQ63" s="2365">
        <v>-0.29559687194409501</v>
      </c>
      <c r="AR63" s="2365">
        <v>-0.33078338593841</v>
      </c>
      <c r="AS63" s="2365">
        <v>-0.26449749196207201</v>
      </c>
      <c r="AT63" s="2368">
        <v>-0.51232616498629102</v>
      </c>
      <c r="AU63" s="2368">
        <v>0.27692106637986602</v>
      </c>
      <c r="AV63" s="2368">
        <v>-0.29637687847767102</v>
      </c>
      <c r="AW63" s="2368">
        <v>-0.220388398982172</v>
      </c>
      <c r="AX63" s="2364">
        <v>2.5834926392177299E-2</v>
      </c>
      <c r="AY63" s="2370">
        <v>2.5834926392177299E-2</v>
      </c>
      <c r="AZ63" s="2370">
        <v>2.5834926392177299E-2</v>
      </c>
    </row>
    <row r="64" spans="1:52" ht="12.75" customHeight="1" x14ac:dyDescent="0.2">
      <c r="A64" s="2199" t="s">
        <v>301</v>
      </c>
      <c r="B64" s="1983" t="s">
        <v>1831</v>
      </c>
      <c r="C64" s="2025" t="s">
        <v>1847</v>
      </c>
      <c r="D64" s="1997">
        <f>'Sensitivitaeten Delta_Market'!AD46</f>
        <v>0</v>
      </c>
      <c r="F64" s="1998">
        <v>0.40422927365988742</v>
      </c>
      <c r="G64" s="2009">
        <f t="shared" si="6"/>
        <v>0</v>
      </c>
      <c r="J64" s="2026" t="s">
        <v>1866</v>
      </c>
      <c r="K64" s="2020"/>
      <c r="L64" s="2377">
        <v>-0.25875665964846301</v>
      </c>
      <c r="M64" s="2378">
        <v>-9.10583181480491E-2</v>
      </c>
      <c r="N64" s="2379">
        <v>-0.108065493764866</v>
      </c>
      <c r="O64" s="2380">
        <v>-0.22261162222313799</v>
      </c>
      <c r="P64" s="2378">
        <v>-0.14824149220184599</v>
      </c>
      <c r="Q64" s="2379">
        <v>-0.15301776712673701</v>
      </c>
      <c r="R64" s="2380">
        <v>-0.206696383889967</v>
      </c>
      <c r="S64" s="2378">
        <v>-0.21565822862396999</v>
      </c>
      <c r="T64" s="2379">
        <v>-0.265853226266626</v>
      </c>
      <c r="U64" s="2380">
        <v>-0.18679146397885901</v>
      </c>
      <c r="V64" s="2378">
        <v>-0.20563399400760701</v>
      </c>
      <c r="W64" s="2379">
        <v>-0.186458333211792</v>
      </c>
      <c r="X64" s="2379">
        <v>7.6861389508719E-2</v>
      </c>
      <c r="Y64" s="2380">
        <v>0.35218002492384198</v>
      </c>
      <c r="Z64" s="2378">
        <v>0.41550397836060399</v>
      </c>
      <c r="AA64" s="2378">
        <v>0.399657080094585</v>
      </c>
      <c r="AB64" s="2379">
        <v>0.42308592129272299</v>
      </c>
      <c r="AC64" s="2379">
        <v>0.38679028098701801</v>
      </c>
      <c r="AD64" s="2380">
        <v>0.336924110408235</v>
      </c>
      <c r="AE64" s="2378">
        <v>0.41107315208525902</v>
      </c>
      <c r="AF64" s="2378">
        <v>0.371284320743549</v>
      </c>
      <c r="AG64" s="2379">
        <v>0.28265874246058598</v>
      </c>
      <c r="AH64" s="2380">
        <v>0.20838403158916999</v>
      </c>
      <c r="AI64" s="2379">
        <v>0.302628550372677</v>
      </c>
      <c r="AJ64" s="2379">
        <v>9.1037704232053707E-2</v>
      </c>
      <c r="AK64" s="2380">
        <v>-0.30290337151379199</v>
      </c>
      <c r="AL64" s="2378">
        <v>-7.6862863685816907E-2</v>
      </c>
      <c r="AM64" s="2378">
        <v>-0.31145846085983903</v>
      </c>
      <c r="AN64" s="2379">
        <v>5.3356379740862901E-2</v>
      </c>
      <c r="AO64" s="2381">
        <v>1</v>
      </c>
      <c r="AP64" s="2380">
        <v>-0.374455216284304</v>
      </c>
      <c r="AQ64" s="2378">
        <v>-0.34726813749811603</v>
      </c>
      <c r="AR64" s="2378">
        <v>-0.35383554474746998</v>
      </c>
      <c r="AS64" s="2378">
        <v>-0.31228099285090499</v>
      </c>
      <c r="AT64" s="2379">
        <v>-0.368016371699947</v>
      </c>
      <c r="AU64" s="2379">
        <v>0.42085606339568798</v>
      </c>
      <c r="AV64" s="2379">
        <v>-0.297082355928943</v>
      </c>
      <c r="AW64" s="2379">
        <v>-0.32116996051488</v>
      </c>
      <c r="AX64" s="2377">
        <v>-0.14171349938553601</v>
      </c>
      <c r="AY64" s="2370">
        <v>-0.14171349938553601</v>
      </c>
      <c r="AZ64" s="2370">
        <v>-0.14171349938553601</v>
      </c>
    </row>
    <row r="65" spans="1:52" ht="12.75" customHeight="1" x14ac:dyDescent="0.2">
      <c r="A65" s="2199" t="s">
        <v>302</v>
      </c>
      <c r="B65" s="2012" t="s">
        <v>1832</v>
      </c>
      <c r="C65" s="2021" t="s">
        <v>227</v>
      </c>
      <c r="D65" s="2007">
        <f>'Sensitivitaeten Delta_Market'!AD47</f>
        <v>0</v>
      </c>
      <c r="F65" s="2022">
        <v>0.12625068985962085</v>
      </c>
      <c r="G65" s="1979">
        <f t="shared" si="6"/>
        <v>0</v>
      </c>
      <c r="J65" s="2453" t="s">
        <v>54</v>
      </c>
      <c r="K65" s="2016" t="s">
        <v>1858</v>
      </c>
      <c r="L65" s="2371">
        <v>0.19606665716212901</v>
      </c>
      <c r="M65" s="2372">
        <v>3.5285575693387902E-2</v>
      </c>
      <c r="N65" s="2373">
        <v>6.7412640768376303E-3</v>
      </c>
      <c r="O65" s="2375">
        <v>0.17394109025332599</v>
      </c>
      <c r="P65" s="2372">
        <v>3.8075386927363501E-2</v>
      </c>
      <c r="Q65" s="2373">
        <v>7.0035606899687504E-3</v>
      </c>
      <c r="R65" s="2375">
        <v>0.17209654268778701</v>
      </c>
      <c r="S65" s="2372">
        <v>0.11054730226845701</v>
      </c>
      <c r="T65" s="2373">
        <v>0.115292854735808</v>
      </c>
      <c r="U65" s="2375">
        <v>5.9034102180692397E-2</v>
      </c>
      <c r="V65" s="2372">
        <v>-1.8489246385023202E-2</v>
      </c>
      <c r="W65" s="2373">
        <v>-6.8787499394695098E-2</v>
      </c>
      <c r="X65" s="2373">
        <v>-0.30672511265373198</v>
      </c>
      <c r="Y65" s="2375">
        <v>-0.38387649107675398</v>
      </c>
      <c r="Z65" s="2372">
        <v>-0.40787961948312101</v>
      </c>
      <c r="AA65" s="2372">
        <v>-0.38993585392005198</v>
      </c>
      <c r="AB65" s="2373">
        <v>-0.42594925673450101</v>
      </c>
      <c r="AC65" s="2373">
        <v>-0.54914029210089899</v>
      </c>
      <c r="AD65" s="2375">
        <v>-0.45581912344084302</v>
      </c>
      <c r="AE65" s="2372">
        <v>-0.50414326994198899</v>
      </c>
      <c r="AF65" s="2372">
        <v>-0.51992840321743905</v>
      </c>
      <c r="AG65" s="2373">
        <v>-0.30829884238410998</v>
      </c>
      <c r="AH65" s="2375">
        <v>-0.179348657533318</v>
      </c>
      <c r="AI65" s="2373">
        <v>-0.39804525482724801</v>
      </c>
      <c r="AJ65" s="2373">
        <v>-2.5837271959818001E-2</v>
      </c>
      <c r="AK65" s="2375">
        <v>0.30618525755499798</v>
      </c>
      <c r="AL65" s="2372">
        <v>4.8780082194056898E-2</v>
      </c>
      <c r="AM65" s="2372">
        <v>0.354319590682872</v>
      </c>
      <c r="AN65" s="2373">
        <v>-0.14968180964959901</v>
      </c>
      <c r="AO65" s="2373">
        <v>-0.374455216284304</v>
      </c>
      <c r="AP65" s="2374">
        <v>1</v>
      </c>
      <c r="AQ65" s="2372">
        <v>0.80229667092292301</v>
      </c>
      <c r="AR65" s="2372">
        <v>0.74987059525608901</v>
      </c>
      <c r="AS65" s="2372">
        <v>0.70789472092919303</v>
      </c>
      <c r="AT65" s="2373">
        <v>0.63069939084750104</v>
      </c>
      <c r="AU65" s="2373">
        <v>-0.61391709755906398</v>
      </c>
      <c r="AV65" s="2373">
        <v>0.620408866386716</v>
      </c>
      <c r="AW65" s="2373">
        <v>0.70773193923752897</v>
      </c>
      <c r="AX65" s="2371">
        <v>0.29772898039928197</v>
      </c>
      <c r="AY65" s="2376">
        <v>0.29772898039928197</v>
      </c>
      <c r="AZ65" s="2376">
        <v>0.29772898039928197</v>
      </c>
    </row>
    <row r="66" spans="1:52" ht="12.75" customHeight="1" x14ac:dyDescent="0.2">
      <c r="A66" s="2199" t="s">
        <v>303</v>
      </c>
      <c r="B66" s="1975" t="s">
        <v>1833</v>
      </c>
      <c r="C66" s="2023" t="s">
        <v>228</v>
      </c>
      <c r="D66" s="2007">
        <f>'Sensitivitaeten Delta_Market'!AD48</f>
        <v>0</v>
      </c>
      <c r="F66" s="2022">
        <v>0.16687683925828103</v>
      </c>
      <c r="G66" s="1979">
        <f>D66*F66</f>
        <v>0</v>
      </c>
      <c r="J66" s="2453"/>
      <c r="K66" s="2016" t="s">
        <v>1859</v>
      </c>
      <c r="L66" s="2358">
        <v>0.12188940911353199</v>
      </c>
      <c r="M66" s="2362">
        <v>1.17171073650429E-2</v>
      </c>
      <c r="N66" s="2360">
        <v>4.5608761378330802E-2</v>
      </c>
      <c r="O66" s="2361">
        <v>0.25927678867353199</v>
      </c>
      <c r="P66" s="2362">
        <v>0.102509697602613</v>
      </c>
      <c r="Q66" s="2360">
        <v>6.4606592898716703E-2</v>
      </c>
      <c r="R66" s="2361">
        <v>0.20260870085791699</v>
      </c>
      <c r="S66" s="2362">
        <v>0.165040712114216</v>
      </c>
      <c r="T66" s="2360">
        <v>0.174067994994627</v>
      </c>
      <c r="U66" s="2361">
        <v>9.57152992762626E-2</v>
      </c>
      <c r="V66" s="2362">
        <v>3.66006350849956E-2</v>
      </c>
      <c r="W66" s="2360">
        <v>-2.50048648339222E-2</v>
      </c>
      <c r="X66" s="2360">
        <v>-0.30175987281170802</v>
      </c>
      <c r="Y66" s="2361">
        <v>-0.52965061129948399</v>
      </c>
      <c r="Z66" s="2362">
        <v>-0.55586966745258404</v>
      </c>
      <c r="AA66" s="2362">
        <v>-0.55441566610507398</v>
      </c>
      <c r="AB66" s="2360">
        <v>-0.60006738501921197</v>
      </c>
      <c r="AC66" s="2360">
        <v>-0.64159059321081702</v>
      </c>
      <c r="AD66" s="2361">
        <v>-0.57590612404557595</v>
      </c>
      <c r="AE66" s="2362">
        <v>-0.66235845136827298</v>
      </c>
      <c r="AF66" s="2362">
        <v>-0.66619047351671701</v>
      </c>
      <c r="AG66" s="2360">
        <v>-0.38813530811315899</v>
      </c>
      <c r="AH66" s="2361">
        <v>-0.15087026925604899</v>
      </c>
      <c r="AI66" s="2360">
        <v>-0.51388983936410104</v>
      </c>
      <c r="AJ66" s="2360">
        <v>-2.16464777078695E-2</v>
      </c>
      <c r="AK66" s="2361">
        <v>0.17185247695886499</v>
      </c>
      <c r="AL66" s="2362">
        <v>-0.15410022924126601</v>
      </c>
      <c r="AM66" s="2362">
        <v>0.22669355392946799</v>
      </c>
      <c r="AN66" s="2360">
        <v>-0.29559687194409501</v>
      </c>
      <c r="AO66" s="2360">
        <v>-0.34726813749811603</v>
      </c>
      <c r="AP66" s="2361">
        <v>0.80229667092292301</v>
      </c>
      <c r="AQ66" s="2359">
        <v>1</v>
      </c>
      <c r="AR66" s="2362">
        <v>0.83664802044148001</v>
      </c>
      <c r="AS66" s="2362">
        <v>0.840411655582048</v>
      </c>
      <c r="AT66" s="2360">
        <v>0.70703432796607901</v>
      </c>
      <c r="AU66" s="2360">
        <v>-0.64280500746912705</v>
      </c>
      <c r="AV66" s="2360">
        <v>0.77090069383477799</v>
      </c>
      <c r="AW66" s="2360">
        <v>0.83842897385487702</v>
      </c>
      <c r="AX66" s="2358">
        <v>0.33916950155659398</v>
      </c>
      <c r="AY66" s="2363">
        <v>0.33916950155659398</v>
      </c>
      <c r="AZ66" s="2363">
        <v>0.33916950155659398</v>
      </c>
    </row>
    <row r="67" spans="1:52" ht="12.75" customHeight="1" x14ac:dyDescent="0.2">
      <c r="A67" s="2199" t="s">
        <v>304</v>
      </c>
      <c r="B67" s="1975" t="s">
        <v>1834</v>
      </c>
      <c r="C67" s="2023" t="s">
        <v>229</v>
      </c>
      <c r="D67" s="2007">
        <f>'Sensitivitaeten Delta_Market'!AD49</f>
        <v>0</v>
      </c>
      <c r="F67" s="2022">
        <v>0.15353006169879205</v>
      </c>
      <c r="G67" s="1979">
        <f t="shared" si="6"/>
        <v>0</v>
      </c>
      <c r="J67" s="2453"/>
      <c r="K67" s="2016" t="s">
        <v>1860</v>
      </c>
      <c r="L67" s="2358">
        <v>7.7590817709921406E-2</v>
      </c>
      <c r="M67" s="2362">
        <v>-2.1329686521053701E-2</v>
      </c>
      <c r="N67" s="2360">
        <v>1.1538771721908999E-2</v>
      </c>
      <c r="O67" s="2361">
        <v>0.148339736584468</v>
      </c>
      <c r="P67" s="2362">
        <v>2.10824954723885E-2</v>
      </c>
      <c r="Q67" s="2360">
        <v>1.0991611517317E-2</v>
      </c>
      <c r="R67" s="2361">
        <v>0.133228148410308</v>
      </c>
      <c r="S67" s="2362">
        <v>8.4962401259024004E-2</v>
      </c>
      <c r="T67" s="2360">
        <v>0.11202645454002901</v>
      </c>
      <c r="U67" s="2361">
        <v>4.9669371453412402E-2</v>
      </c>
      <c r="V67" s="2362">
        <v>-4.1128878284258499E-2</v>
      </c>
      <c r="W67" s="2360">
        <v>-8.2033815701755594E-2</v>
      </c>
      <c r="X67" s="2360">
        <v>-0.32368630260008602</v>
      </c>
      <c r="Y67" s="2361">
        <v>-0.54170407721743696</v>
      </c>
      <c r="Z67" s="2362">
        <v>-0.57331749039292501</v>
      </c>
      <c r="AA67" s="2362">
        <v>-0.56817304275369396</v>
      </c>
      <c r="AB67" s="2360">
        <v>-0.60743179471489706</v>
      </c>
      <c r="AC67" s="2360">
        <v>-0.65938015435379504</v>
      </c>
      <c r="AD67" s="2361">
        <v>-0.561540672980674</v>
      </c>
      <c r="AE67" s="2362">
        <v>-0.62828552544945804</v>
      </c>
      <c r="AF67" s="2362">
        <v>-0.62157334221609795</v>
      </c>
      <c r="AG67" s="2360">
        <v>-0.31375231339687398</v>
      </c>
      <c r="AH67" s="2361">
        <v>-0.11502208351082201</v>
      </c>
      <c r="AI67" s="2360">
        <v>-0.430101375419434</v>
      </c>
      <c r="AJ67" s="2360">
        <v>-1.4414954446862201E-2</v>
      </c>
      <c r="AK67" s="2361">
        <v>0.19525394940344901</v>
      </c>
      <c r="AL67" s="2362">
        <v>-0.27406564938408301</v>
      </c>
      <c r="AM67" s="2362">
        <v>0.17722062135133301</v>
      </c>
      <c r="AN67" s="2360">
        <v>-0.33078338593841</v>
      </c>
      <c r="AO67" s="2360">
        <v>-0.35383554474746998</v>
      </c>
      <c r="AP67" s="2361">
        <v>0.74987059525608901</v>
      </c>
      <c r="AQ67" s="2362">
        <v>0.83664802044148001</v>
      </c>
      <c r="AR67" s="2359">
        <v>1</v>
      </c>
      <c r="AS67" s="2362">
        <v>0.74591561833063302</v>
      </c>
      <c r="AT67" s="2360">
        <v>0.66000059631682995</v>
      </c>
      <c r="AU67" s="2360">
        <v>-0.72135715033349701</v>
      </c>
      <c r="AV67" s="2360">
        <v>0.79974103275255504</v>
      </c>
      <c r="AW67" s="2360">
        <v>0.79179408183386801</v>
      </c>
      <c r="AX67" s="2358">
        <v>0.31369666850377498</v>
      </c>
      <c r="AY67" s="2363">
        <v>0.31369666850377498</v>
      </c>
      <c r="AZ67" s="2363">
        <v>0.31369666850377498</v>
      </c>
    </row>
    <row r="68" spans="1:52" ht="12.75" customHeight="1" x14ac:dyDescent="0.2">
      <c r="A68" s="2199" t="s">
        <v>305</v>
      </c>
      <c r="B68" s="1975" t="s">
        <v>1835</v>
      </c>
      <c r="C68" s="2023" t="s">
        <v>230</v>
      </c>
      <c r="D68" s="2007">
        <f>'Sensitivitaeten Delta_Market'!AD50</f>
        <v>0</v>
      </c>
      <c r="F68" s="2022">
        <v>0.1308649258599352</v>
      </c>
      <c r="G68" s="1979">
        <f t="shared" si="6"/>
        <v>0</v>
      </c>
      <c r="J68" s="2453"/>
      <c r="K68" s="2016" t="s">
        <v>1861</v>
      </c>
      <c r="L68" s="2358">
        <v>0.18548931300628599</v>
      </c>
      <c r="M68" s="2362">
        <v>3.78398739419952E-2</v>
      </c>
      <c r="N68" s="2360">
        <v>4.5737266073110301E-2</v>
      </c>
      <c r="O68" s="2361">
        <v>0.24786496286632001</v>
      </c>
      <c r="P68" s="2362">
        <v>0.117284582928897</v>
      </c>
      <c r="Q68" s="2360">
        <v>8.3998455283147394E-2</v>
      </c>
      <c r="R68" s="2361">
        <v>0.22897118132779601</v>
      </c>
      <c r="S68" s="2362">
        <v>0.14360870434704101</v>
      </c>
      <c r="T68" s="2360">
        <v>0.144572735279617</v>
      </c>
      <c r="U68" s="2361">
        <v>4.2897830248977503E-2</v>
      </c>
      <c r="V68" s="2362">
        <v>-4.9869890828177603E-3</v>
      </c>
      <c r="W68" s="2360">
        <v>-3.8477403987747898E-2</v>
      </c>
      <c r="X68" s="2360">
        <v>-0.25842049774041698</v>
      </c>
      <c r="Y68" s="2361">
        <v>-0.47538299472333101</v>
      </c>
      <c r="Z68" s="2362">
        <v>-0.51680425743130398</v>
      </c>
      <c r="AA68" s="2362">
        <v>-0.51355341333079896</v>
      </c>
      <c r="AB68" s="2360">
        <v>-0.55233898430363304</v>
      </c>
      <c r="AC68" s="2360">
        <v>-0.52362049689529899</v>
      </c>
      <c r="AD68" s="2361">
        <v>-0.50221503348274199</v>
      </c>
      <c r="AE68" s="2362">
        <v>-0.57129940477713403</v>
      </c>
      <c r="AF68" s="2362">
        <v>-0.58868321514513999</v>
      </c>
      <c r="AG68" s="2360">
        <v>-0.30323671602198399</v>
      </c>
      <c r="AH68" s="2361">
        <v>-0.12232366453157199</v>
      </c>
      <c r="AI68" s="2360">
        <v>-0.46558985386733398</v>
      </c>
      <c r="AJ68" s="2360">
        <v>-4.60821000355938E-3</v>
      </c>
      <c r="AK68" s="2361">
        <v>0.16039111910050199</v>
      </c>
      <c r="AL68" s="2362">
        <v>-0.19134926963687199</v>
      </c>
      <c r="AM68" s="2362">
        <v>1.0754867178774401E-3</v>
      </c>
      <c r="AN68" s="2360">
        <v>-0.26449749196207201</v>
      </c>
      <c r="AO68" s="2360">
        <v>-0.31228099285090499</v>
      </c>
      <c r="AP68" s="2361">
        <v>0.70789472092919303</v>
      </c>
      <c r="AQ68" s="2362">
        <v>0.840411655582048</v>
      </c>
      <c r="AR68" s="2362">
        <v>0.74591561833063302</v>
      </c>
      <c r="AS68" s="2359">
        <v>1</v>
      </c>
      <c r="AT68" s="2360">
        <v>0.59759763073052297</v>
      </c>
      <c r="AU68" s="2360">
        <v>-0.62903994480301595</v>
      </c>
      <c r="AV68" s="2360">
        <v>0.71868332062877704</v>
      </c>
      <c r="AW68" s="2360">
        <v>0.71787099601107696</v>
      </c>
      <c r="AX68" s="2358">
        <v>0.30483022322247899</v>
      </c>
      <c r="AY68" s="2363">
        <v>0.30483022322247899</v>
      </c>
      <c r="AZ68" s="2363">
        <v>0.30483022322247899</v>
      </c>
    </row>
    <row r="69" spans="1:52" ht="12.75" customHeight="1" x14ac:dyDescent="0.2">
      <c r="A69" s="2199" t="s">
        <v>306</v>
      </c>
      <c r="B69" s="1975" t="s">
        <v>1836</v>
      </c>
      <c r="C69" s="2023" t="s">
        <v>231</v>
      </c>
      <c r="D69" s="2007">
        <f>'Sensitivitaeten Delta_Market'!AD51</f>
        <v>0</v>
      </c>
      <c r="F69" s="2022">
        <v>0.17475217755162981</v>
      </c>
      <c r="G69" s="1979">
        <f>D69*F69</f>
        <v>0</v>
      </c>
      <c r="J69" s="2453"/>
      <c r="K69" s="2016" t="s">
        <v>1862</v>
      </c>
      <c r="L69" s="2364">
        <v>0.22245445116337401</v>
      </c>
      <c r="M69" s="2365">
        <v>0.18715635410575401</v>
      </c>
      <c r="N69" s="2368">
        <v>0.18770300466433201</v>
      </c>
      <c r="O69" s="2367">
        <v>0.34426981210012803</v>
      </c>
      <c r="P69" s="2365">
        <v>0.23984388256554701</v>
      </c>
      <c r="Q69" s="2368">
        <v>0.202712552926921</v>
      </c>
      <c r="R69" s="2367">
        <v>0.35912890282885901</v>
      </c>
      <c r="S69" s="2365">
        <v>0.31180799630898398</v>
      </c>
      <c r="T69" s="2368">
        <v>0.28191785185963603</v>
      </c>
      <c r="U69" s="2367">
        <v>0.28411609555570899</v>
      </c>
      <c r="V69" s="2365">
        <v>0.205443871682359</v>
      </c>
      <c r="W69" s="2368">
        <v>0.15594507970222399</v>
      </c>
      <c r="X69" s="2368">
        <v>-0.193521570747578</v>
      </c>
      <c r="Y69" s="2367">
        <v>-0.47231357474348001</v>
      </c>
      <c r="Z69" s="2365">
        <v>-0.466731342035684</v>
      </c>
      <c r="AA69" s="2365">
        <v>-0.47858451809076702</v>
      </c>
      <c r="AB69" s="2368">
        <v>-0.51588811099903198</v>
      </c>
      <c r="AC69" s="2368">
        <v>-0.55044492156126501</v>
      </c>
      <c r="AD69" s="2367">
        <v>-0.41804432927867702</v>
      </c>
      <c r="AE69" s="2365">
        <v>-0.49626757592609</v>
      </c>
      <c r="AF69" s="2365">
        <v>-0.48751600322011901</v>
      </c>
      <c r="AG69" s="2368">
        <v>-0.34959529653528798</v>
      </c>
      <c r="AH69" s="2367">
        <v>-8.5970837380057702E-2</v>
      </c>
      <c r="AI69" s="2368">
        <v>-0.34509862197091701</v>
      </c>
      <c r="AJ69" s="2368">
        <v>0.14090249881213601</v>
      </c>
      <c r="AK69" s="2367">
        <v>0.21236566341732599</v>
      </c>
      <c r="AL69" s="2365">
        <v>-4.71074611588298E-2</v>
      </c>
      <c r="AM69" s="2365">
        <v>0.28454550987034299</v>
      </c>
      <c r="AN69" s="2368">
        <v>-0.51232616498629102</v>
      </c>
      <c r="AO69" s="2368">
        <v>-0.368016371699947</v>
      </c>
      <c r="AP69" s="2367">
        <v>0.63069939084750104</v>
      </c>
      <c r="AQ69" s="2365">
        <v>0.70703432796607901</v>
      </c>
      <c r="AR69" s="2365">
        <v>0.66000059631682995</v>
      </c>
      <c r="AS69" s="2365">
        <v>0.59759763073052297</v>
      </c>
      <c r="AT69" s="2366">
        <v>1</v>
      </c>
      <c r="AU69" s="2368">
        <v>-0.50922122495415301</v>
      </c>
      <c r="AV69" s="2368">
        <v>0.63739454527406902</v>
      </c>
      <c r="AW69" s="2368">
        <v>0.62272534417780301</v>
      </c>
      <c r="AX69" s="2364">
        <v>0.22734881218605299</v>
      </c>
      <c r="AY69" s="2370">
        <v>0.22734881218605299</v>
      </c>
      <c r="AZ69" s="2370">
        <v>0.22734881218605299</v>
      </c>
    </row>
    <row r="70" spans="1:52" ht="12.75" customHeight="1" x14ac:dyDescent="0.2">
      <c r="A70" s="2199" t="s">
        <v>307</v>
      </c>
      <c r="B70" s="2027" t="s">
        <v>1837</v>
      </c>
      <c r="C70" s="2028" t="s">
        <v>232</v>
      </c>
      <c r="D70" s="1997">
        <f>'Sensitivitaeten Delta_Market'!AD52</f>
        <v>0</v>
      </c>
      <c r="F70" s="1998">
        <v>0.7914811201054649</v>
      </c>
      <c r="G70" s="1999">
        <f t="shared" si="6"/>
        <v>0</v>
      </c>
      <c r="J70" s="2026" t="s">
        <v>1837</v>
      </c>
      <c r="K70" s="2020" t="s">
        <v>232</v>
      </c>
      <c r="L70" s="2382">
        <v>-0.12859694319596299</v>
      </c>
      <c r="M70" s="2383">
        <v>-6.4414394555689494E-2</v>
      </c>
      <c r="N70" s="2384">
        <v>-6.8211754883919798E-2</v>
      </c>
      <c r="O70" s="2385">
        <v>-0.13803844507354199</v>
      </c>
      <c r="P70" s="2383">
        <v>-3.8443098636339199E-2</v>
      </c>
      <c r="Q70" s="2384">
        <v>-2.09009231505911E-2</v>
      </c>
      <c r="R70" s="2385">
        <v>-0.103083440690228</v>
      </c>
      <c r="S70" s="2383">
        <v>-4.5446344585304201E-2</v>
      </c>
      <c r="T70" s="2384">
        <v>-6.2719274438686606E-2</v>
      </c>
      <c r="U70" s="2385">
        <v>-4.1620292843555902E-2</v>
      </c>
      <c r="V70" s="2383">
        <v>1.21116615508409E-2</v>
      </c>
      <c r="W70" s="2384">
        <v>1.69525111672694E-2</v>
      </c>
      <c r="X70" s="2384">
        <v>0.27229745755618201</v>
      </c>
      <c r="Y70" s="2385">
        <v>0.45881245693084599</v>
      </c>
      <c r="Z70" s="2383">
        <v>0.443247673764954</v>
      </c>
      <c r="AA70" s="2383">
        <v>0.42311780404829102</v>
      </c>
      <c r="AB70" s="2384">
        <v>0.42155561788224999</v>
      </c>
      <c r="AC70" s="2384">
        <v>0.43081425710541499</v>
      </c>
      <c r="AD70" s="2385">
        <v>0.381320783020968</v>
      </c>
      <c r="AE70" s="2383">
        <v>0.40477384639940001</v>
      </c>
      <c r="AF70" s="2383">
        <v>0.36852462304600597</v>
      </c>
      <c r="AG70" s="2384">
        <v>0.26663610124475801</v>
      </c>
      <c r="AH70" s="2385">
        <v>0.102497744943238</v>
      </c>
      <c r="AI70" s="2384">
        <v>0.28794877264204599</v>
      </c>
      <c r="AJ70" s="2384">
        <v>1.9923266542231099E-2</v>
      </c>
      <c r="AK70" s="2385">
        <v>-0.156196270036981</v>
      </c>
      <c r="AL70" s="2383">
        <v>0.183327376029464</v>
      </c>
      <c r="AM70" s="2383">
        <v>-0.11437331725741599</v>
      </c>
      <c r="AN70" s="2384">
        <v>0.27692106637986602</v>
      </c>
      <c r="AO70" s="2384">
        <v>0.42085606339568798</v>
      </c>
      <c r="AP70" s="2385">
        <v>-0.61391709755906398</v>
      </c>
      <c r="AQ70" s="2383">
        <v>-0.64280500746912705</v>
      </c>
      <c r="AR70" s="2383">
        <v>-0.72135715033349701</v>
      </c>
      <c r="AS70" s="2383">
        <v>-0.62903994480301595</v>
      </c>
      <c r="AT70" s="2384">
        <v>-0.50922122495415301</v>
      </c>
      <c r="AU70" s="2386">
        <v>1</v>
      </c>
      <c r="AV70" s="2384">
        <v>-0.56361892901612998</v>
      </c>
      <c r="AW70" s="2384">
        <v>-0.48324115597068501</v>
      </c>
      <c r="AX70" s="2382">
        <v>-0.19151702410209101</v>
      </c>
      <c r="AY70" s="2370">
        <v>-0.19151702410209101</v>
      </c>
      <c r="AZ70" s="2370">
        <v>-0.19151702410209101</v>
      </c>
    </row>
    <row r="71" spans="1:52" ht="12.75" customHeight="1" x14ac:dyDescent="0.2">
      <c r="A71" s="2199" t="s">
        <v>308</v>
      </c>
      <c r="B71" s="1975" t="s">
        <v>1838</v>
      </c>
      <c r="C71" s="2023" t="s">
        <v>1848</v>
      </c>
      <c r="D71" s="1997">
        <f>'Sensitivitaeten Delta_Market'!AD53</f>
        <v>0</v>
      </c>
      <c r="E71" s="2056"/>
      <c r="F71" s="1998">
        <v>0.11741619569131317</v>
      </c>
      <c r="G71" s="1999">
        <f t="shared" ref="G71:G74" si="7">D71*F71</f>
        <v>0</v>
      </c>
      <c r="J71" s="2015" t="s">
        <v>1838</v>
      </c>
      <c r="K71" s="2016"/>
      <c r="L71" s="2382">
        <v>0.20779162150796199</v>
      </c>
      <c r="M71" s="2383">
        <v>4.4871190437291798E-2</v>
      </c>
      <c r="N71" s="2384">
        <v>3.9836145965258397E-2</v>
      </c>
      <c r="O71" s="2385">
        <v>0.22483153736243899</v>
      </c>
      <c r="P71" s="2383">
        <v>8.8084286306466697E-2</v>
      </c>
      <c r="Q71" s="2384">
        <v>2.7703276019250399E-2</v>
      </c>
      <c r="R71" s="2385">
        <v>0.19904222202647001</v>
      </c>
      <c r="S71" s="2383">
        <v>0.15826454529509501</v>
      </c>
      <c r="T71" s="2384">
        <v>0.16763993593614199</v>
      </c>
      <c r="U71" s="2385">
        <v>0.13144623919298901</v>
      </c>
      <c r="V71" s="2383">
        <v>4.7602677119964097E-2</v>
      </c>
      <c r="W71" s="2384">
        <v>-1.13806092950475E-2</v>
      </c>
      <c r="X71" s="2384">
        <v>-0.152528267462296</v>
      </c>
      <c r="Y71" s="2385">
        <v>-0.58944682661944703</v>
      </c>
      <c r="Z71" s="2383">
        <v>-0.65911605300353704</v>
      </c>
      <c r="AA71" s="2383">
        <v>-0.67517691687381098</v>
      </c>
      <c r="AB71" s="2384">
        <v>-0.70671629048924101</v>
      </c>
      <c r="AC71" s="2384">
        <v>-0.71173196824043405</v>
      </c>
      <c r="AD71" s="2385">
        <v>-0.63673849612917599</v>
      </c>
      <c r="AE71" s="2383">
        <v>-0.663103821369319</v>
      </c>
      <c r="AF71" s="2383">
        <v>-0.68009523083492496</v>
      </c>
      <c r="AG71" s="2384">
        <v>-0.29645838679451503</v>
      </c>
      <c r="AH71" s="2385">
        <v>-0.17387014717914201</v>
      </c>
      <c r="AI71" s="2384">
        <v>-0.55148232752429005</v>
      </c>
      <c r="AJ71" s="2384">
        <v>9.8950913054559594E-2</v>
      </c>
      <c r="AK71" s="2385">
        <v>0.14748049727288601</v>
      </c>
      <c r="AL71" s="2383">
        <v>-0.23981526216100199</v>
      </c>
      <c r="AM71" s="2383">
        <v>0.21911312883079201</v>
      </c>
      <c r="AN71" s="2384">
        <v>-0.29637687847767102</v>
      </c>
      <c r="AO71" s="2384">
        <v>-0.297082355928943</v>
      </c>
      <c r="AP71" s="2385">
        <v>0.620408866386716</v>
      </c>
      <c r="AQ71" s="2383">
        <v>0.77090069383477799</v>
      </c>
      <c r="AR71" s="2383">
        <v>0.79974103275255504</v>
      </c>
      <c r="AS71" s="2383">
        <v>0.71868332062877704</v>
      </c>
      <c r="AT71" s="2384">
        <v>0.63739454527406902</v>
      </c>
      <c r="AU71" s="2384">
        <v>-0.56361892901612998</v>
      </c>
      <c r="AV71" s="2386">
        <v>1</v>
      </c>
      <c r="AW71" s="2384">
        <v>0.72162728766460504</v>
      </c>
      <c r="AX71" s="2382">
        <v>0.37572258927158397</v>
      </c>
      <c r="AY71" s="2370">
        <v>0.37572258927158397</v>
      </c>
      <c r="AZ71" s="2370">
        <v>0.37572258927158397</v>
      </c>
    </row>
    <row r="72" spans="1:52" ht="12.75" customHeight="1" x14ac:dyDescent="0.2">
      <c r="A72" s="2199" t="s">
        <v>309</v>
      </c>
      <c r="B72" s="2027" t="s">
        <v>135</v>
      </c>
      <c r="C72" s="2028" t="s">
        <v>1849</v>
      </c>
      <c r="D72" s="1997">
        <f>'Sensitivitaeten Delta_Market'!AD54</f>
        <v>0</v>
      </c>
      <c r="E72" s="2056"/>
      <c r="F72" s="1998">
        <v>0.22713742218898267</v>
      </c>
      <c r="G72" s="1999">
        <f t="shared" si="7"/>
        <v>0</v>
      </c>
      <c r="J72" s="2029" t="s">
        <v>135</v>
      </c>
      <c r="K72" s="2020"/>
      <c r="L72" s="2382">
        <v>8.8177670496879398E-2</v>
      </c>
      <c r="M72" s="2383">
        <v>-2.7841771005467999E-2</v>
      </c>
      <c r="N72" s="2384">
        <v>1.93448184632668E-2</v>
      </c>
      <c r="O72" s="2385">
        <v>0.180256060545914</v>
      </c>
      <c r="P72" s="2383">
        <v>7.5052551427581896E-2</v>
      </c>
      <c r="Q72" s="2384">
        <v>5.2102127527728102E-2</v>
      </c>
      <c r="R72" s="2385">
        <v>0.26114897905650603</v>
      </c>
      <c r="S72" s="2383">
        <v>0.22675254217047</v>
      </c>
      <c r="T72" s="2384">
        <v>0.23302499206244701</v>
      </c>
      <c r="U72" s="2385">
        <v>0.13037340296955399</v>
      </c>
      <c r="V72" s="2383">
        <v>6.7784840810186098E-2</v>
      </c>
      <c r="W72" s="2384">
        <v>7.7058442658723997E-4</v>
      </c>
      <c r="X72" s="2384">
        <v>-0.23925844472753599</v>
      </c>
      <c r="Y72" s="2385">
        <v>-0.48224786142270498</v>
      </c>
      <c r="Z72" s="2383">
        <v>-0.55844415096394495</v>
      </c>
      <c r="AA72" s="2383">
        <v>-0.56753764696577302</v>
      </c>
      <c r="AB72" s="2384">
        <v>-0.63318067413993295</v>
      </c>
      <c r="AC72" s="2384">
        <v>-0.692212504397971</v>
      </c>
      <c r="AD72" s="2385">
        <v>-0.61626856798316099</v>
      </c>
      <c r="AE72" s="2383">
        <v>-0.67335970769841602</v>
      </c>
      <c r="AF72" s="2383">
        <v>-0.66941969545007995</v>
      </c>
      <c r="AG72" s="2384">
        <v>-0.27054431962362302</v>
      </c>
      <c r="AH72" s="2385">
        <v>-9.8245942651807902E-2</v>
      </c>
      <c r="AI72" s="2384">
        <v>-0.45891846278767601</v>
      </c>
      <c r="AJ72" s="2384">
        <v>3.62065441965055E-2</v>
      </c>
      <c r="AK72" s="2385">
        <v>6.2403790254567798E-2</v>
      </c>
      <c r="AL72" s="2383">
        <v>-7.6757755463455604E-2</v>
      </c>
      <c r="AM72" s="2383">
        <v>0.244433745820653</v>
      </c>
      <c r="AN72" s="2384">
        <v>-0.220388398982172</v>
      </c>
      <c r="AO72" s="2384">
        <v>-0.32116996051488</v>
      </c>
      <c r="AP72" s="2385">
        <v>0.70773193923752897</v>
      </c>
      <c r="AQ72" s="2383">
        <v>0.83842897385487702</v>
      </c>
      <c r="AR72" s="2383">
        <v>0.79179408183386801</v>
      </c>
      <c r="AS72" s="2383">
        <v>0.71787099601107696</v>
      </c>
      <c r="AT72" s="2384">
        <v>0.62272534417780301</v>
      </c>
      <c r="AU72" s="2384">
        <v>-0.48324115597068501</v>
      </c>
      <c r="AV72" s="2384">
        <v>0.72162728766460504</v>
      </c>
      <c r="AW72" s="2386">
        <v>1</v>
      </c>
      <c r="AX72" s="2387">
        <v>0.33563875588365</v>
      </c>
      <c r="AY72" s="2370">
        <v>0.33563875588365</v>
      </c>
      <c r="AZ72" s="2370">
        <v>0.33563875588365</v>
      </c>
    </row>
    <row r="73" spans="1:52" ht="12.75" customHeight="1" x14ac:dyDescent="0.2">
      <c r="A73" s="2199" t="s">
        <v>310</v>
      </c>
      <c r="B73" s="1975" t="s">
        <v>1840</v>
      </c>
      <c r="C73" s="2023" t="s">
        <v>233</v>
      </c>
      <c r="D73" s="1985">
        <f>'Sensitivitaeten Delta_Market'!AD55</f>
        <v>0</v>
      </c>
      <c r="E73" s="2056"/>
      <c r="F73" s="2030">
        <v>8.0361446634212269E-2</v>
      </c>
      <c r="G73" s="2014">
        <f t="shared" si="7"/>
        <v>0</v>
      </c>
      <c r="J73" s="2454" t="s">
        <v>1512</v>
      </c>
      <c r="K73" s="2016" t="s">
        <v>1840</v>
      </c>
      <c r="L73" s="2371">
        <v>-0.14578083868927799</v>
      </c>
      <c r="M73" s="2372">
        <v>-0.19647249219273</v>
      </c>
      <c r="N73" s="2373">
        <v>-0.19972098642664099</v>
      </c>
      <c r="O73" s="2375">
        <v>-5.6750167787975703E-2</v>
      </c>
      <c r="P73" s="2372">
        <v>-0.17280387299820299</v>
      </c>
      <c r="Q73" s="2373">
        <v>-0.13518268974967901</v>
      </c>
      <c r="R73" s="2375">
        <v>-7.4601682631306497E-3</v>
      </c>
      <c r="S73" s="2372">
        <v>-7.7304611299738896E-2</v>
      </c>
      <c r="T73" s="2373">
        <v>-9.2528576225135606E-2</v>
      </c>
      <c r="U73" s="2375">
        <v>-5.23249504512373E-2</v>
      </c>
      <c r="V73" s="2372">
        <v>-0.143406827159301</v>
      </c>
      <c r="W73" s="2373">
        <v>-0.10176316070812801</v>
      </c>
      <c r="X73" s="2373">
        <v>-0.15341787894593101</v>
      </c>
      <c r="Y73" s="2375">
        <v>-0.25399182087164801</v>
      </c>
      <c r="Z73" s="2372">
        <v>-0.325266683135785</v>
      </c>
      <c r="AA73" s="2372">
        <v>-0.32258090140379703</v>
      </c>
      <c r="AB73" s="2373">
        <v>-0.342636345046963</v>
      </c>
      <c r="AC73" s="2373">
        <v>-0.35632430912171698</v>
      </c>
      <c r="AD73" s="2375">
        <v>-0.346270152157722</v>
      </c>
      <c r="AE73" s="2372">
        <v>-0.358239624071094</v>
      </c>
      <c r="AF73" s="2372">
        <v>-0.36367022563999402</v>
      </c>
      <c r="AG73" s="2373">
        <v>-0.13074902751869899</v>
      </c>
      <c r="AH73" s="2375">
        <v>-4.1608115211581101E-2</v>
      </c>
      <c r="AI73" s="2373">
        <v>-0.26976546667771001</v>
      </c>
      <c r="AJ73" s="2373">
        <v>-1.07650715363367E-2</v>
      </c>
      <c r="AK73" s="2375">
        <v>3.5662060046126598E-2</v>
      </c>
      <c r="AL73" s="2372">
        <v>-5.1541861491656203E-2</v>
      </c>
      <c r="AM73" s="2372">
        <v>0.12274265745314999</v>
      </c>
      <c r="AN73" s="2373">
        <v>2.5834926392177299E-2</v>
      </c>
      <c r="AO73" s="2373">
        <v>-0.14171349938553601</v>
      </c>
      <c r="AP73" s="2375">
        <v>0.29772898039928197</v>
      </c>
      <c r="AQ73" s="2372">
        <v>0.33916950155659398</v>
      </c>
      <c r="AR73" s="2372">
        <v>0.31369666850377498</v>
      </c>
      <c r="AS73" s="2372">
        <v>0.30483022322247899</v>
      </c>
      <c r="AT73" s="2373">
        <v>0.22734881218605299</v>
      </c>
      <c r="AU73" s="2373">
        <v>-0.19151702410209101</v>
      </c>
      <c r="AV73" s="2373">
        <v>0.37572258927158397</v>
      </c>
      <c r="AW73" s="2373">
        <v>0.33563875588365</v>
      </c>
      <c r="AX73" s="2388">
        <v>1</v>
      </c>
      <c r="AY73" s="2357">
        <v>1</v>
      </c>
      <c r="AZ73" s="2357">
        <v>1</v>
      </c>
    </row>
    <row r="74" spans="1:52" ht="12.75" customHeight="1" x14ac:dyDescent="0.2">
      <c r="A74" s="2199" t="s">
        <v>311</v>
      </c>
      <c r="B74" s="2031" t="s">
        <v>1839</v>
      </c>
      <c r="C74" s="2032" t="s">
        <v>2298</v>
      </c>
      <c r="D74" s="2007">
        <f>'Sensitivitaeten Delta_Market'!AD56</f>
        <v>0</v>
      </c>
      <c r="E74" s="2056"/>
      <c r="F74" s="2022">
        <f>0.3524*F73</f>
        <v>2.8319373793896402E-2</v>
      </c>
      <c r="G74" s="1979">
        <f t="shared" si="7"/>
        <v>0</v>
      </c>
      <c r="J74" s="2454"/>
      <c r="K74" s="2033" t="s">
        <v>2291</v>
      </c>
      <c r="L74" s="2389">
        <v>-0.14578083868927799</v>
      </c>
      <c r="M74" s="2389">
        <v>-0.19647249219273</v>
      </c>
      <c r="N74" s="2389">
        <v>-0.19972098642664099</v>
      </c>
      <c r="O74" s="2389">
        <v>-5.6750167787975703E-2</v>
      </c>
      <c r="P74" s="2389">
        <v>-0.17280387299820299</v>
      </c>
      <c r="Q74" s="2389">
        <v>-0.13518268974967901</v>
      </c>
      <c r="R74" s="2389">
        <v>-7.4601682631306497E-3</v>
      </c>
      <c r="S74" s="2389">
        <v>-7.7304611299738896E-2</v>
      </c>
      <c r="T74" s="2389">
        <v>-9.2528576225135606E-2</v>
      </c>
      <c r="U74" s="2389">
        <v>-5.23249504512373E-2</v>
      </c>
      <c r="V74" s="2389">
        <v>-0.143406827159301</v>
      </c>
      <c r="W74" s="2389">
        <v>-0.10176316070812801</v>
      </c>
      <c r="X74" s="2389">
        <v>-0.15341787894593101</v>
      </c>
      <c r="Y74" s="2389">
        <v>-0.25399182087164801</v>
      </c>
      <c r="Z74" s="2389">
        <v>-0.325266683135785</v>
      </c>
      <c r="AA74" s="2389">
        <v>-0.32258090140379703</v>
      </c>
      <c r="AB74" s="2389">
        <v>-0.342636345046963</v>
      </c>
      <c r="AC74" s="2389">
        <v>-0.35632430912171698</v>
      </c>
      <c r="AD74" s="2389">
        <v>-0.346270152157722</v>
      </c>
      <c r="AE74" s="2389">
        <v>-0.358239624071094</v>
      </c>
      <c r="AF74" s="2389">
        <v>-0.36367022563999402</v>
      </c>
      <c r="AG74" s="2389">
        <v>-0.13074902751869899</v>
      </c>
      <c r="AH74" s="2389">
        <v>-4.1608115211581101E-2</v>
      </c>
      <c r="AI74" s="2389">
        <v>-0.26976546667771001</v>
      </c>
      <c r="AJ74" s="2389">
        <v>-1.07650715363367E-2</v>
      </c>
      <c r="AK74" s="2389">
        <v>3.5662060046126598E-2</v>
      </c>
      <c r="AL74" s="2389">
        <v>-5.1541861491656203E-2</v>
      </c>
      <c r="AM74" s="2389">
        <v>0.12274265745314999</v>
      </c>
      <c r="AN74" s="2389">
        <v>2.5834926392177299E-2</v>
      </c>
      <c r="AO74" s="2389">
        <v>-0.14171349938553601</v>
      </c>
      <c r="AP74" s="2389">
        <v>0.29772898039928197</v>
      </c>
      <c r="AQ74" s="2389">
        <v>0.33916950155659398</v>
      </c>
      <c r="AR74" s="2389">
        <v>0.31369666850377498</v>
      </c>
      <c r="AS74" s="2389">
        <v>0.30483022322247899</v>
      </c>
      <c r="AT74" s="2389">
        <v>0.22734881218605299</v>
      </c>
      <c r="AU74" s="2389">
        <v>-0.19151702410209101</v>
      </c>
      <c r="AV74" s="2389">
        <v>0.37572258927158397</v>
      </c>
      <c r="AW74" s="2389">
        <v>0.33563875588365</v>
      </c>
      <c r="AX74" s="2389">
        <v>1</v>
      </c>
      <c r="AY74" s="2390">
        <v>1</v>
      </c>
      <c r="AZ74" s="2391">
        <v>1</v>
      </c>
    </row>
    <row r="75" spans="1:52" ht="12.75" customHeight="1" x14ac:dyDescent="0.2">
      <c r="A75" s="2199" t="s">
        <v>312</v>
      </c>
      <c r="B75" s="2031" t="s">
        <v>1841</v>
      </c>
      <c r="C75" s="2031" t="s">
        <v>1850</v>
      </c>
      <c r="D75" s="2007">
        <f>'Sensitivitaeten Delta_Market'!AD57</f>
        <v>0</v>
      </c>
      <c r="E75" s="2056"/>
      <c r="F75" s="2030">
        <f>F73</f>
        <v>8.0361446634212269E-2</v>
      </c>
      <c r="G75" s="2009">
        <f>D75*F75</f>
        <v>0</v>
      </c>
      <c r="J75" s="2455"/>
      <c r="K75" s="2034" t="s">
        <v>1841</v>
      </c>
      <c r="L75" s="2392">
        <v>-0.14578083868927799</v>
      </c>
      <c r="M75" s="2392">
        <v>-0.19647249219273</v>
      </c>
      <c r="N75" s="2392">
        <v>-0.19972098642664099</v>
      </c>
      <c r="O75" s="2392">
        <v>-5.6750167787975703E-2</v>
      </c>
      <c r="P75" s="2392">
        <v>-0.17280387299820299</v>
      </c>
      <c r="Q75" s="2392">
        <v>-0.13518268974967901</v>
      </c>
      <c r="R75" s="2392">
        <v>-7.4601682631306497E-3</v>
      </c>
      <c r="S75" s="2392">
        <v>-7.7304611299738896E-2</v>
      </c>
      <c r="T75" s="2392">
        <v>-9.2528576225135606E-2</v>
      </c>
      <c r="U75" s="2392">
        <v>-5.23249504512373E-2</v>
      </c>
      <c r="V75" s="2392">
        <v>-0.143406827159301</v>
      </c>
      <c r="W75" s="2392">
        <v>-0.10176316070812801</v>
      </c>
      <c r="X75" s="2392">
        <v>-0.15341787894593101</v>
      </c>
      <c r="Y75" s="2392">
        <v>-0.25399182087164801</v>
      </c>
      <c r="Z75" s="2392">
        <v>-0.325266683135785</v>
      </c>
      <c r="AA75" s="2392">
        <v>-0.32258090140379703</v>
      </c>
      <c r="AB75" s="2392">
        <v>-0.342636345046963</v>
      </c>
      <c r="AC75" s="2392">
        <v>-0.35632430912171698</v>
      </c>
      <c r="AD75" s="2392">
        <v>-0.346270152157722</v>
      </c>
      <c r="AE75" s="2392">
        <v>-0.358239624071094</v>
      </c>
      <c r="AF75" s="2392">
        <v>-0.36367022563999402</v>
      </c>
      <c r="AG75" s="2392">
        <v>-0.13074902751869899</v>
      </c>
      <c r="AH75" s="2392">
        <v>-4.1608115211581101E-2</v>
      </c>
      <c r="AI75" s="2392">
        <v>-0.26976546667771001</v>
      </c>
      <c r="AJ75" s="2392">
        <v>-1.07650715363367E-2</v>
      </c>
      <c r="AK75" s="2392">
        <v>3.5662060046126598E-2</v>
      </c>
      <c r="AL75" s="2392">
        <v>-5.1541861491656203E-2</v>
      </c>
      <c r="AM75" s="2392">
        <v>0.12274265745314999</v>
      </c>
      <c r="AN75" s="2392">
        <v>2.5834926392177299E-2</v>
      </c>
      <c r="AO75" s="2392">
        <v>-0.14171349938553601</v>
      </c>
      <c r="AP75" s="2392">
        <v>0.29772898039928197</v>
      </c>
      <c r="AQ75" s="2392">
        <v>0.33916950155659398</v>
      </c>
      <c r="AR75" s="2392">
        <v>0.31369666850377498</v>
      </c>
      <c r="AS75" s="2392">
        <v>0.30483022322247899</v>
      </c>
      <c r="AT75" s="2392">
        <v>0.22734881218605299</v>
      </c>
      <c r="AU75" s="2392">
        <v>-0.19151702410209101</v>
      </c>
      <c r="AV75" s="2392">
        <v>0.37572258927158397</v>
      </c>
      <c r="AW75" s="2392">
        <v>0.33563875588365</v>
      </c>
      <c r="AX75" s="2392">
        <v>1</v>
      </c>
      <c r="AY75" s="2390">
        <v>1</v>
      </c>
      <c r="AZ75" s="2391">
        <v>1</v>
      </c>
    </row>
    <row r="76" spans="1:52" ht="12.75" customHeight="1" x14ac:dyDescent="0.2">
      <c r="A76" s="2199" t="s">
        <v>313</v>
      </c>
      <c r="B76" s="2035" t="s">
        <v>224</v>
      </c>
      <c r="C76" s="2035"/>
      <c r="D76" s="1997">
        <f>'Sensitivitaeten Delta_Market'!AD58</f>
        <v>0</v>
      </c>
      <c r="E76" s="2056"/>
      <c r="F76" s="1998">
        <v>0.25</v>
      </c>
      <c r="G76" s="2009">
        <f>D76*F76</f>
        <v>0</v>
      </c>
      <c r="J76" s="1927"/>
      <c r="K76" s="1883"/>
    </row>
    <row r="77" spans="1:52" ht="12.75" customHeight="1" x14ac:dyDescent="0.2">
      <c r="E77" s="1179"/>
      <c r="J77" s="1927"/>
      <c r="K77" s="1883"/>
    </row>
    <row r="78" spans="1:52" ht="12.75" customHeight="1" thickBot="1" x14ac:dyDescent="0.25">
      <c r="F78" s="2037"/>
      <c r="G78" s="2038"/>
      <c r="I78" s="1630"/>
      <c r="J78" s="1927"/>
      <c r="K78" s="1883"/>
    </row>
    <row r="79" spans="1:52" ht="12.75" customHeight="1" x14ac:dyDescent="0.2">
      <c r="C79" s="2039"/>
      <c r="D79" s="2040"/>
      <c r="E79" s="2041"/>
      <c r="F79" s="2041"/>
      <c r="G79" s="2041"/>
      <c r="H79" s="2042"/>
      <c r="J79" s="1927"/>
      <c r="K79" s="1883"/>
    </row>
    <row r="80" spans="1:52" ht="12.75" customHeight="1" x14ac:dyDescent="0.2">
      <c r="C80" s="2043"/>
      <c r="D80" s="2044"/>
      <c r="E80" s="1179"/>
      <c r="F80" s="2045" t="s">
        <v>1851</v>
      </c>
      <c r="G80" s="2046">
        <f>SQRT(D88^2+D89+D90+D91)</f>
        <v>0</v>
      </c>
      <c r="H80" s="2047"/>
      <c r="K80" s="2130"/>
    </row>
    <row r="81" spans="3:11" ht="12.75" customHeight="1" x14ac:dyDescent="0.2">
      <c r="C81" s="2043"/>
      <c r="D81" s="2044"/>
      <c r="E81" s="1179"/>
      <c r="F81" s="1179"/>
      <c r="H81" s="2047"/>
    </row>
    <row r="82" spans="3:11" ht="12.75" customHeight="1" x14ac:dyDescent="0.2">
      <c r="C82" s="2043"/>
      <c r="D82" s="2044"/>
      <c r="E82" s="1179"/>
      <c r="F82" s="2045" t="s">
        <v>1852</v>
      </c>
      <c r="G82" s="2169">
        <f>G80+ABS(G76)</f>
        <v>0</v>
      </c>
      <c r="H82" s="2047"/>
    </row>
    <row r="83" spans="3:11" ht="12.75" customHeight="1" x14ac:dyDescent="0.2">
      <c r="C83" s="2043"/>
      <c r="D83" s="2044"/>
      <c r="E83" s="1179"/>
      <c r="F83" s="1179"/>
      <c r="G83" s="2048"/>
      <c r="H83" s="2047"/>
      <c r="K83" s="2061"/>
    </row>
    <row r="84" spans="3:11" ht="12.75" customHeight="1" thickBot="1" x14ac:dyDescent="0.25">
      <c r="C84" s="2049"/>
      <c r="D84" s="2050"/>
      <c r="E84" s="2051"/>
      <c r="F84" s="2051"/>
      <c r="G84" s="2051"/>
      <c r="H84" s="2052"/>
    </row>
    <row r="85" spans="3:11" ht="12.75" customHeight="1" x14ac:dyDescent="0.2">
      <c r="F85" s="2053"/>
    </row>
    <row r="86" spans="3:11" ht="12.75" customHeight="1" x14ac:dyDescent="0.2">
      <c r="C86" s="1028" t="s">
        <v>31</v>
      </c>
      <c r="D86" s="1179"/>
    </row>
    <row r="87" spans="3:11" ht="12.75" customHeight="1" x14ac:dyDescent="0.2">
      <c r="D87" s="1179"/>
    </row>
    <row r="88" spans="3:11" ht="12.75" customHeight="1" x14ac:dyDescent="0.2">
      <c r="C88" s="1631" t="s">
        <v>2295</v>
      </c>
      <c r="D88" s="1028">
        <f t="array" ref="D88">SQRT(MMULT(TRANSPOSE($G$35:$G$73),MMULT($L$35:$AX$73,$G$35:$G$73)))</f>
        <v>0</v>
      </c>
    </row>
    <row r="89" spans="3:11" ht="12.75" customHeight="1" x14ac:dyDescent="0.2">
      <c r="C89" s="1631" t="s">
        <v>2297</v>
      </c>
      <c r="D89" s="1027">
        <f>2*SUMPRODUCT($G$35:$G$74,AY$35:AY$74)*G74 - G74^2</f>
        <v>0</v>
      </c>
    </row>
    <row r="90" spans="3:11" ht="12.75" customHeight="1" x14ac:dyDescent="0.2">
      <c r="C90" s="1631" t="s">
        <v>2296</v>
      </c>
      <c r="D90" s="1027">
        <f>2*(SUMPRODUCT($G$35:$G$73,AZ$35:AZ$73)+G75*$AZ$75)*G75 - G75^2</f>
        <v>0</v>
      </c>
    </row>
    <row r="91" spans="3:11" ht="12.75" customHeight="1" x14ac:dyDescent="0.2">
      <c r="C91" s="1631" t="s">
        <v>2446</v>
      </c>
      <c r="D91" s="2037">
        <f>2*G74*G75*AY75</f>
        <v>0</v>
      </c>
    </row>
    <row r="93" spans="3:11" ht="12.75" customHeight="1" x14ac:dyDescent="0.2">
      <c r="F93" s="1631"/>
    </row>
  </sheetData>
  <customSheetViews>
    <customSheetView guid="{F15DEFD8-B0F4-4CC3-8896-92BF7E7815B1}" scale="75" showGridLines="0" fitToPage="1" printArea="1" hiddenRows="1" hiddenColumns="1">
      <selection activeCell="B131" sqref="B131"/>
      <rowBreaks count="1" manualBreakCount="1">
        <brk id="60" max="27" man="1"/>
      </rowBreaks>
      <pageMargins left="0.47244094488188981" right="0.47244094488188981" top="0.59055118110236227" bottom="0.59055118110236227" header="0.35433070866141736" footer="0.35433070866141736"/>
      <pageSetup paperSize="9" scale="47" orientation="portrait" r:id="rId1"/>
      <headerFooter alignWithMargins="0">
        <oddHeader>&amp;R&amp;"Arial,Fett"&amp;12SST</oddHeader>
        <oddFooter>&amp;L&amp;F / &amp;A&amp;C&amp;P / &amp;N&amp;R&amp;D</oddFooter>
      </headerFooter>
    </customSheetView>
  </customSheetViews>
  <mergeCells count="28">
    <mergeCell ref="AZ33:AZ34"/>
    <mergeCell ref="C48:C51"/>
    <mergeCell ref="C53:C55"/>
    <mergeCell ref="X33:X34"/>
    <mergeCell ref="Y33:AB33"/>
    <mergeCell ref="AD33:AF33"/>
    <mergeCell ref="AJ33:AJ34"/>
    <mergeCell ref="J41:J43"/>
    <mergeCell ref="J44:J46"/>
    <mergeCell ref="L33:N33"/>
    <mergeCell ref="J35:J37"/>
    <mergeCell ref="J38:J40"/>
    <mergeCell ref="AV33:AV34"/>
    <mergeCell ref="AW33:AW34"/>
    <mergeCell ref="F31:F32"/>
    <mergeCell ref="G31:G32"/>
    <mergeCell ref="J65:J69"/>
    <mergeCell ref="J73:J75"/>
    <mergeCell ref="AU33:AU34"/>
    <mergeCell ref="J60:J63"/>
    <mergeCell ref="R33:T33"/>
    <mergeCell ref="AK33:AN33"/>
    <mergeCell ref="AO33:AO34"/>
    <mergeCell ref="AP33:AT33"/>
    <mergeCell ref="J48:J51"/>
    <mergeCell ref="J53:J55"/>
    <mergeCell ref="U33:W33"/>
    <mergeCell ref="O33:Q33"/>
  </mergeCells>
  <phoneticPr fontId="0" type="noConversion"/>
  <conditionalFormatting sqref="I48:I52 I39:I43 I45:I46 I54:I76">
    <cfRule type="expression" dxfId="76" priority="183" stopIfTrue="1">
      <formula>IF(I38=I39,0,1)</formula>
    </cfRule>
  </conditionalFormatting>
  <conditionalFormatting sqref="I26">
    <cfRule type="expression" dxfId="75" priority="184" stopIfTrue="1">
      <formula>IF(LEFT(I26,5)="TOTAL",1,0)</formula>
    </cfRule>
  </conditionalFormatting>
  <conditionalFormatting sqref="I7">
    <cfRule type="expression" dxfId="74" priority="187" stopIfTrue="1">
      <formula>IF($I7="Nullnähe diagnostiziert.",1,0)</formula>
    </cfRule>
  </conditionalFormatting>
  <conditionalFormatting sqref="I47">
    <cfRule type="expression" dxfId="73" priority="191" stopIfTrue="1">
      <formula>IF(#REF!=I47,0,1)</formula>
    </cfRule>
  </conditionalFormatting>
  <conditionalFormatting sqref="I7">
    <cfRule type="expression" dxfId="72" priority="171" stopIfTrue="1">
      <formula>IF($I7="Nullnähe diagnostiziert.",1,0)</formula>
    </cfRule>
  </conditionalFormatting>
  <conditionalFormatting sqref="I53">
    <cfRule type="expression" dxfId="71" priority="1880" stopIfTrue="1">
      <formula>IF(#REF!=I53,0,1)</formula>
    </cfRule>
  </conditionalFormatting>
  <conditionalFormatting sqref="I35:I76">
    <cfRule type="expression" dxfId="70" priority="1882" stopIfTrue="1">
      <formula>IF(#REF!=I35,0,1)</formula>
    </cfRule>
  </conditionalFormatting>
  <conditionalFormatting sqref="H35:H72">
    <cfRule type="expression" dxfId="69" priority="9" stopIfTrue="1">
      <formula>IF(#REF!=H35,0,1)</formula>
    </cfRule>
  </conditionalFormatting>
  <conditionalFormatting sqref="H73:H76">
    <cfRule type="expression" dxfId="68" priority="1" stopIfTrue="1">
      <formula>IF(#REF!=H73,0,1)</formula>
    </cfRule>
  </conditionalFormatting>
  <hyperlinks>
    <hyperlink ref="A1" location="list_of_sheets!A1" display="list_of_sheets!A1" xr:uid="{00000000-0004-0000-0900-000000000000}"/>
  </hyperlinks>
  <pageMargins left="0.47244094488188981" right="0.47244094488188981" top="0.59055118110236227" bottom="0.59055118110236227" header="0.35433070866141736" footer="0.35433070866141736"/>
  <pageSetup paperSize="9" scale="67" orientation="portrait" r:id="rId2"/>
  <headerFooter alignWithMargins="0">
    <oddHeader>&amp;R&amp;"Arial,Fett"&amp;12KVG-Solvenztest
Test de solvabilité LAMal</oddHeader>
    <oddFooter>&amp;L&amp;F / &amp;A&amp;C&amp;P / &amp;N&amp;R&amp;D</oddFooter>
  </headerFooter>
  <rowBreaks count="1" manualBreakCount="1">
    <brk id="40" max="27" man="1"/>
  </rowBreaks>
  <ignoredErrors>
    <ignoredError sqref="D16" evalError="1"/>
    <ignoredError sqref="D15 F15:G15 G14" evalError="1" unlockedFormula="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2">
    <tabColor rgb="FF00FFFF"/>
  </sheetPr>
  <dimension ref="A1:GN68"/>
  <sheetViews>
    <sheetView zoomScale="90" zoomScaleNormal="90" workbookViewId="0">
      <pane xSplit="4" topLeftCell="E1" activePane="topRight" state="frozen"/>
      <selection pane="topRight"/>
    </sheetView>
  </sheetViews>
  <sheetFormatPr baseColWidth="10" defaultColWidth="8.5703125" defaultRowHeight="12.75" customHeight="1" x14ac:dyDescent="0.2"/>
  <cols>
    <col min="1" max="1" width="5.5703125" style="1" customWidth="1"/>
    <col min="2" max="2" width="5.7109375" style="173" customWidth="1"/>
    <col min="3" max="3" width="13.42578125" style="173" customWidth="1"/>
    <col min="4" max="4" width="25" style="173" customWidth="1"/>
    <col min="5" max="5" width="10.5703125" style="173" customWidth="1"/>
    <col min="6" max="6" width="4.5703125" style="173" customWidth="1"/>
    <col min="7" max="8" width="12" style="173" customWidth="1"/>
    <col min="9" max="9" width="2.5703125" style="173" customWidth="1"/>
    <col min="10" max="11" width="12" style="173" customWidth="1"/>
    <col min="12" max="12" width="1.5703125" style="173" customWidth="1"/>
    <col min="13" max="14" width="12" style="173" customWidth="1"/>
    <col min="15" max="15" width="5.5703125" style="173" customWidth="1"/>
    <col min="16" max="16" width="8.28515625" style="173" customWidth="1"/>
    <col min="17" max="17" width="1.42578125" style="173" customWidth="1"/>
    <col min="18" max="18" width="7.28515625" style="173" customWidth="1"/>
    <col min="19" max="19" width="1.5703125" style="173" customWidth="1"/>
    <col min="20" max="20" width="12" style="173" customWidth="1"/>
    <col min="21" max="21" width="1.28515625" style="173" customWidth="1"/>
    <col min="22" max="22" width="12" style="173" customWidth="1"/>
    <col min="23" max="23" width="33.5703125" style="173" customWidth="1"/>
    <col min="24" max="24" width="16.42578125" style="173" customWidth="1"/>
    <col min="25" max="25" width="5.5703125" style="1" customWidth="1"/>
    <col min="26" max="26" width="8.28515625" style="173" customWidth="1"/>
    <col min="27" max="27" width="1.42578125" style="173" customWidth="1"/>
    <col min="28" max="28" width="7.28515625" style="173" customWidth="1"/>
    <col min="29" max="29" width="1.5703125" style="173" customWidth="1"/>
    <col min="30" max="30" width="12" style="173" customWidth="1"/>
    <col min="31" max="31" width="1.28515625" style="173" customWidth="1"/>
    <col min="32" max="32" width="12" style="173" customWidth="1"/>
    <col min="33" max="33" width="33.5703125" style="173" customWidth="1"/>
    <col min="34" max="34" width="16.42578125" style="173" customWidth="1"/>
    <col min="35" max="35" width="5.5703125" style="1" customWidth="1"/>
    <col min="36" max="36" width="8.28515625" style="173" customWidth="1"/>
    <col min="37" max="37" width="1.42578125" style="173" customWidth="1"/>
    <col min="38" max="38" width="7.28515625" style="173" customWidth="1"/>
    <col min="39" max="39" width="1.5703125" style="173" customWidth="1"/>
    <col min="40" max="40" width="12" style="173" customWidth="1"/>
    <col min="41" max="41" width="1.28515625" style="173" customWidth="1"/>
    <col min="42" max="42" width="12" style="173" customWidth="1"/>
    <col min="43" max="43" width="33.5703125" style="173" customWidth="1"/>
    <col min="44" max="44" width="16.42578125" style="173" customWidth="1"/>
    <col min="45" max="45" width="5.5703125" style="1" customWidth="1"/>
    <col min="46" max="46" width="8.28515625" style="173" customWidth="1"/>
    <col min="47" max="47" width="1.42578125" style="173" customWidth="1"/>
    <col min="48" max="48" width="7.28515625" style="173" customWidth="1"/>
    <col min="49" max="49" width="1.5703125" style="173" customWidth="1"/>
    <col min="50" max="50" width="12" style="173" customWidth="1"/>
    <col min="51" max="51" width="1.28515625" style="173" customWidth="1"/>
    <col min="52" max="52" width="12" style="173" customWidth="1"/>
    <col min="53" max="53" width="33.5703125" style="173" customWidth="1"/>
    <col min="54" max="54" width="16.42578125" style="173" customWidth="1"/>
    <col min="55" max="55" width="5.5703125" style="1" customWidth="1"/>
    <col min="56" max="56" width="8.28515625" style="173" customWidth="1"/>
    <col min="57" max="57" width="1.42578125" style="173" customWidth="1"/>
    <col min="58" max="58" width="7.28515625" style="173" customWidth="1"/>
    <col min="59" max="59" width="1.5703125" style="173" customWidth="1"/>
    <col min="60" max="60" width="12" style="173" customWidth="1"/>
    <col min="61" max="61" width="1.28515625" style="173" customWidth="1"/>
    <col min="62" max="62" width="12" style="173" customWidth="1"/>
    <col min="63" max="63" width="33.5703125" style="173" customWidth="1"/>
    <col min="64" max="64" width="16.42578125" style="173" customWidth="1"/>
    <col min="65" max="65" width="5.5703125" style="1" customWidth="1"/>
    <col min="66" max="66" width="8.28515625" style="173" customWidth="1"/>
    <col min="67" max="67" width="1.42578125" style="173" customWidth="1"/>
    <col min="68" max="68" width="7.28515625" style="173" customWidth="1"/>
    <col min="69" max="69" width="1.5703125" style="173" customWidth="1"/>
    <col min="70" max="70" width="12" style="173" customWidth="1"/>
    <col min="71" max="71" width="1.28515625" style="173" customWidth="1"/>
    <col min="72" max="72" width="12" style="173" customWidth="1"/>
    <col min="73" max="73" width="33.5703125" style="173" customWidth="1"/>
    <col min="74" max="74" width="16.42578125" style="173" customWidth="1"/>
    <col min="75" max="75" width="5.5703125" style="1" customWidth="1"/>
    <col min="76" max="76" width="8.28515625" style="173" customWidth="1"/>
    <col min="77" max="77" width="1.42578125" style="173" customWidth="1"/>
    <col min="78" max="78" width="7.28515625" style="173" customWidth="1"/>
    <col min="79" max="79" width="1.5703125" style="173" customWidth="1"/>
    <col min="80" max="80" width="12" style="173" customWidth="1"/>
    <col min="81" max="81" width="1.28515625" style="173" customWidth="1"/>
    <col min="82" max="82" width="12" style="173" customWidth="1"/>
    <col min="83" max="83" width="33.5703125" style="173" customWidth="1"/>
    <col min="84" max="84" width="16.42578125" style="173" customWidth="1"/>
    <col min="85" max="85" width="5.5703125" style="1" customWidth="1"/>
    <col min="86" max="86" width="8.28515625" style="173" customWidth="1"/>
    <col min="87" max="87" width="1.42578125" style="173" customWidth="1"/>
    <col min="88" max="88" width="7.28515625" style="173" customWidth="1"/>
    <col min="89" max="89" width="1.5703125" style="173" customWidth="1"/>
    <col min="90" max="90" width="12" style="173" customWidth="1"/>
    <col min="91" max="91" width="1.28515625" style="173" customWidth="1"/>
    <col min="92" max="92" width="12" style="173" customWidth="1"/>
    <col min="93" max="93" width="33.5703125" style="173" customWidth="1"/>
    <col min="94" max="94" width="16.42578125" style="173" customWidth="1"/>
    <col min="95" max="95" width="5.5703125" style="1" customWidth="1"/>
    <col min="96" max="96" width="8.28515625" style="173" customWidth="1"/>
    <col min="97" max="97" width="1.42578125" style="173" customWidth="1"/>
    <col min="98" max="98" width="7.28515625" style="173" customWidth="1"/>
    <col min="99" max="99" width="1.5703125" style="173" customWidth="1"/>
    <col min="100" max="100" width="12" style="173" customWidth="1"/>
    <col min="101" max="101" width="1.28515625" style="173" customWidth="1"/>
    <col min="102" max="102" width="12" style="173" customWidth="1"/>
    <col min="103" max="103" width="33.5703125" style="173" customWidth="1"/>
    <col min="104" max="104" width="16.42578125" style="173" customWidth="1"/>
    <col min="105" max="105" width="5.5703125" style="1" customWidth="1"/>
    <col min="106" max="106" width="8.28515625" style="173" customWidth="1"/>
    <col min="107" max="107" width="1.42578125" style="173" customWidth="1"/>
    <col min="108" max="108" width="7.28515625" style="173" customWidth="1"/>
    <col min="109" max="109" width="1.5703125" style="173" customWidth="1"/>
    <col min="110" max="110" width="12" style="173" customWidth="1"/>
    <col min="111" max="111" width="1.28515625" style="173" customWidth="1"/>
    <col min="112" max="112" width="12" style="173" customWidth="1"/>
    <col min="113" max="113" width="33.5703125" style="173" customWidth="1"/>
    <col min="114" max="114" width="16.42578125" style="173" customWidth="1"/>
    <col min="115" max="115" width="5.5703125" style="1" customWidth="1"/>
    <col min="116" max="116" width="8.28515625" style="173" customWidth="1"/>
    <col min="117" max="117" width="1.42578125" style="173" customWidth="1"/>
    <col min="118" max="118" width="7.28515625" style="173" customWidth="1"/>
    <col min="119" max="119" width="1.5703125" style="173" customWidth="1"/>
    <col min="120" max="120" width="12" style="173" customWidth="1"/>
    <col min="121" max="121" width="1.28515625" style="173" customWidth="1"/>
    <col min="122" max="122" width="12" style="173" customWidth="1"/>
    <col min="123" max="123" width="33.5703125" style="173" customWidth="1"/>
    <col min="124" max="124" width="16.42578125" style="173" customWidth="1"/>
    <col min="125" max="125" width="5.5703125" style="1" customWidth="1"/>
    <col min="126" max="126" width="8.28515625" style="173" customWidth="1"/>
    <col min="127" max="127" width="1.42578125" style="173" customWidth="1"/>
    <col min="128" max="128" width="7.28515625" style="173" customWidth="1"/>
    <col min="129" max="129" width="1.5703125" style="173" customWidth="1"/>
    <col min="130" max="130" width="12" style="173" customWidth="1"/>
    <col min="131" max="131" width="1.28515625" style="173" customWidth="1"/>
    <col min="132" max="132" width="12" style="173" customWidth="1"/>
    <col min="133" max="133" width="33.5703125" style="173" customWidth="1"/>
    <col min="134" max="134" width="16.42578125" style="173" customWidth="1"/>
    <col min="135" max="135" width="5.5703125" style="1" customWidth="1"/>
    <col min="136" max="136" width="8.28515625" style="173" customWidth="1"/>
    <col min="137" max="137" width="1.42578125" style="173" customWidth="1"/>
    <col min="138" max="138" width="7.28515625" style="173" customWidth="1"/>
    <col min="139" max="139" width="1.5703125" style="173" customWidth="1"/>
    <col min="140" max="140" width="12" style="173" customWidth="1"/>
    <col min="141" max="141" width="1.28515625" style="173" customWidth="1"/>
    <col min="142" max="142" width="12" style="173" customWidth="1"/>
    <col min="143" max="143" width="33.5703125" style="173" customWidth="1"/>
    <col min="144" max="144" width="16.42578125" style="173" customWidth="1"/>
    <col min="145" max="16384" width="8.5703125" style="1"/>
  </cols>
  <sheetData>
    <row r="1" spans="1:196" s="1008" customFormat="1" ht="18.75" customHeight="1" thickBot="1" x14ac:dyDescent="0.35">
      <c r="A1" s="2181">
        <v>12</v>
      </c>
      <c r="B1" s="1001" t="str">
        <f>Translation!B195</f>
        <v>Szenarien für Risikofaktoren</v>
      </c>
      <c r="C1" s="1002"/>
      <c r="D1" s="1004"/>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row>
    <row r="2" spans="1:196" s="326" customFormat="1" ht="20.100000000000001" customHeight="1" x14ac:dyDescent="0.2">
      <c r="A2" s="325"/>
      <c r="B2" s="178" t="str">
        <f>Inputparam!C8</f>
        <v xml:space="preserve">0000 </v>
      </c>
      <c r="G2" s="681"/>
      <c r="H2" s="24"/>
      <c r="I2" s="681"/>
      <c r="J2" s="681"/>
      <c r="K2" s="681"/>
      <c r="L2" s="681"/>
      <c r="M2" s="681"/>
      <c r="N2" s="681"/>
      <c r="O2" s="237"/>
    </row>
    <row r="3" spans="1:196" s="24" customFormat="1" ht="1.35" customHeight="1" x14ac:dyDescent="0.3">
      <c r="A3" s="167"/>
      <c r="B3" s="14"/>
      <c r="D3" s="168"/>
      <c r="G3" s="169"/>
    </row>
    <row r="4" spans="1:196" s="24" customFormat="1" ht="21.6" customHeight="1" x14ac:dyDescent="0.3">
      <c r="A4" s="167"/>
      <c r="B4" s="450" t="str">
        <f>Translation!B202</f>
        <v>Resultat</v>
      </c>
      <c r="C4" s="521"/>
      <c r="D4" s="522"/>
      <c r="E4" s="521"/>
      <c r="F4" s="521"/>
      <c r="G4" s="523" t="str">
        <f>Translation!B197</f>
        <v>Änderung der Reserven [Mio. CHF]</v>
      </c>
      <c r="J4" s="1" t="str">
        <f>Translation!B198</f>
        <v xml:space="preserve">Hinweise: </v>
      </c>
    </row>
    <row r="5" spans="1:196" s="24" customFormat="1" ht="18" customHeight="1" x14ac:dyDescent="0.3">
      <c r="A5" s="167"/>
      <c r="B5" s="46" t="s">
        <v>254</v>
      </c>
      <c r="C5" s="24" t="str">
        <f>Translation!B204</f>
        <v>Equity Drop -60%</v>
      </c>
      <c r="D5" s="168"/>
      <c r="G5" s="228">
        <f>IF(ISBLANK(INDEX($22:$22,   MATCH($B5,$17:$17,0)    +8)),INDEX($23:$23,   MATCH($B5,$17:$17,0)    +8),INDEX($22:$22,   MATCH($B5,$17:$17,0)    +8))</f>
        <v>0</v>
      </c>
      <c r="J5" s="14" t="str">
        <f>Translation!B199</f>
        <v>- Auswirkungen auf Derivatpositionen sind unter "Aktiven" zu erfassen.</v>
      </c>
    </row>
    <row r="6" spans="1:196" s="24" customFormat="1" ht="12.75" customHeight="1" x14ac:dyDescent="0.3">
      <c r="A6" s="167"/>
      <c r="B6" s="46" t="s">
        <v>255</v>
      </c>
      <c r="C6" s="4" t="str">
        <f>Translation!B205</f>
        <v>Immobilien Crash</v>
      </c>
      <c r="D6" s="168"/>
      <c r="G6" s="228">
        <f t="shared" ref="G6:G15" si="0">IF(ISBLANK(INDEX($22:$22,   MATCH($B6,$17:$17,0)    +8)),INDEX($23:$23,   MATCH($B6,$17:$17,0)    +8),INDEX($22:$22,   MATCH($B6,$17:$17,0)    +8))</f>
        <v>0</v>
      </c>
      <c r="J6" s="14" t="str">
        <f>Translation!B200</f>
        <v>- Auswirkungen auf eingebettete Optionen sind unter "Passiven" zu erfassen.</v>
      </c>
    </row>
    <row r="7" spans="1:196" s="24" customFormat="1" ht="12.75" customHeight="1" x14ac:dyDescent="0.3">
      <c r="A7" s="167"/>
      <c r="B7" s="229" t="s">
        <v>256</v>
      </c>
      <c r="C7" s="4" t="str">
        <f>Translation!B206</f>
        <v>Aktienmarkt crash (1987)</v>
      </c>
      <c r="D7" s="168"/>
      <c r="G7" s="228">
        <f t="shared" si="0"/>
        <v>0</v>
      </c>
      <c r="J7" s="626" t="str">
        <f>Translation!B201</f>
        <v>- Die Szenarienzeiträume beziehen sich auf Tagesendwerte.</v>
      </c>
    </row>
    <row r="8" spans="1:196" s="24" customFormat="1" ht="12.75" customHeight="1" x14ac:dyDescent="0.3">
      <c r="A8" s="167"/>
      <c r="B8" s="229" t="s">
        <v>258</v>
      </c>
      <c r="C8" s="4" t="str">
        <f>Translation!B207</f>
        <v>Nikkei crash (1989/90)</v>
      </c>
      <c r="D8" s="168"/>
      <c r="G8" s="228">
        <f>IF(ISBLANK(INDEX($22:$22,   MATCH($B8,$17:$17,0)    +8)),INDEX($23:$23,   MATCH($B8,$17:$17,0)    +8),INDEX($22:$22,   MATCH($B8,$17:$17,0)    +8))</f>
        <v>0</v>
      </c>
    </row>
    <row r="9" spans="1:196" s="24" customFormat="1" ht="12.75" customHeight="1" x14ac:dyDescent="0.3">
      <c r="A9" s="167"/>
      <c r="B9" s="229" t="s">
        <v>260</v>
      </c>
      <c r="C9" s="4" t="str">
        <f>Translation!B208</f>
        <v>Europäische Währungskrise (1992)</v>
      </c>
      <c r="D9" s="168"/>
      <c r="G9" s="228">
        <f t="shared" si="0"/>
        <v>0</v>
      </c>
    </row>
    <row r="10" spans="1:196" s="24" customFormat="1" ht="12.75" customHeight="1" x14ac:dyDescent="0.3">
      <c r="A10" s="167"/>
      <c r="B10" s="229" t="s">
        <v>262</v>
      </c>
      <c r="C10" s="4" t="str">
        <f>Translation!B209</f>
        <v>US Zinskrise (1994)</v>
      </c>
      <c r="D10" s="168"/>
      <c r="G10" s="228">
        <f t="shared" si="0"/>
        <v>0</v>
      </c>
    </row>
    <row r="11" spans="1:196" s="24" customFormat="1" ht="12.75" customHeight="1" x14ac:dyDescent="0.3">
      <c r="A11" s="167"/>
      <c r="B11" s="229" t="s">
        <v>264</v>
      </c>
      <c r="C11" s="4" t="str">
        <f>Translation!B210</f>
        <v>Russland Krise / LTCM (1998)</v>
      </c>
      <c r="D11" s="168"/>
      <c r="G11" s="228">
        <f t="shared" si="0"/>
        <v>0</v>
      </c>
    </row>
    <row r="12" spans="1:196" s="24" customFormat="1" ht="12.75" customHeight="1" x14ac:dyDescent="0.3">
      <c r="A12" s="167"/>
      <c r="B12" s="229" t="s">
        <v>266</v>
      </c>
      <c r="C12" s="4" t="str">
        <f>Translation!B211</f>
        <v>Aktienmarkt crash (2000/2001)</v>
      </c>
      <c r="D12" s="168"/>
      <c r="G12" s="228">
        <f t="shared" si="0"/>
        <v>0</v>
      </c>
    </row>
    <row r="13" spans="1:196" s="24" customFormat="1" ht="12.75" customHeight="1" x14ac:dyDescent="0.3">
      <c r="A13" s="167"/>
      <c r="B13" s="46" t="s">
        <v>268</v>
      </c>
      <c r="C13" s="4" t="str">
        <f>Translation!B212</f>
        <v>Globale Deflation</v>
      </c>
      <c r="D13" s="168"/>
      <c r="G13" s="228">
        <f t="shared" si="0"/>
        <v>0</v>
      </c>
    </row>
    <row r="14" spans="1:196" s="24" customFormat="1" ht="12.75" customHeight="1" x14ac:dyDescent="0.3">
      <c r="A14" s="167"/>
      <c r="B14" s="46" t="s">
        <v>314</v>
      </c>
      <c r="C14" s="4" t="str">
        <f>Translation!B213</f>
        <v>Globale Inflation</v>
      </c>
      <c r="D14" s="168"/>
      <c r="G14" s="228">
        <f>IF(ISBLANK(INDEX($22:$22,   MATCH($B14,$17:$17,0)    +8)),INDEX($23:$23,   MATCH($B14,$17:$17,0)    +8),INDEX($22:$22,   MATCH($B14,$17:$17,0)    +8))</f>
        <v>0</v>
      </c>
    </row>
    <row r="15" spans="1:196" s="24" customFormat="1" ht="12.75" customHeight="1" x14ac:dyDescent="0.3">
      <c r="A15" s="167"/>
      <c r="B15" s="253" t="s">
        <v>492</v>
      </c>
      <c r="C15" s="230" t="str">
        <f>Translation!B214</f>
        <v>Finanzkrise 2008</v>
      </c>
      <c r="D15" s="227"/>
      <c r="E15" s="226"/>
      <c r="F15" s="226"/>
      <c r="G15" s="231">
        <f t="shared" si="0"/>
        <v>0</v>
      </c>
    </row>
    <row r="16" spans="1:196" s="24" customFormat="1" ht="8.1" customHeight="1" x14ac:dyDescent="0.3">
      <c r="A16" s="167"/>
      <c r="B16" s="14"/>
      <c r="D16" s="168"/>
      <c r="G16" s="169"/>
    </row>
    <row r="17" spans="1:144" s="233" customFormat="1" ht="18" x14ac:dyDescent="0.25">
      <c r="A17" s="232"/>
      <c r="C17" s="234"/>
      <c r="D17" s="235"/>
      <c r="E17" s="524" t="str">
        <f>Translation!B203</f>
        <v xml:space="preserve">Basisauslenkung </v>
      </c>
      <c r="F17" s="525"/>
      <c r="G17" s="661"/>
      <c r="H17" s="661"/>
      <c r="I17" s="661"/>
      <c r="J17" s="661"/>
      <c r="K17" s="661"/>
      <c r="L17" s="661"/>
      <c r="M17" s="525"/>
      <c r="N17" s="525"/>
      <c r="O17" s="236"/>
      <c r="P17" s="526" t="s">
        <v>254</v>
      </c>
      <c r="Q17" s="526"/>
      <c r="R17" s="526" t="str">
        <f>Translation!B204</f>
        <v>Equity Drop -60%</v>
      </c>
      <c r="S17" s="526"/>
      <c r="T17" s="526"/>
      <c r="U17" s="526"/>
      <c r="V17" s="526"/>
      <c r="W17" s="526"/>
      <c r="X17" s="526"/>
      <c r="Y17" s="236"/>
      <c r="Z17" s="526" t="s">
        <v>255</v>
      </c>
      <c r="AA17" s="526"/>
      <c r="AB17" s="526" t="str">
        <f>Translation!B205</f>
        <v>Immobilien Crash</v>
      </c>
      <c r="AC17" s="526"/>
      <c r="AD17" s="526"/>
      <c r="AE17" s="526"/>
      <c r="AF17" s="526"/>
      <c r="AG17" s="526"/>
      <c r="AH17" s="526"/>
      <c r="AJ17" s="526" t="s">
        <v>256</v>
      </c>
      <c r="AK17" s="526"/>
      <c r="AL17" s="526" t="str">
        <f>Translation!B206</f>
        <v>Aktienmarkt crash (1987)</v>
      </c>
      <c r="AM17" s="526"/>
      <c r="AN17" s="526"/>
      <c r="AO17" s="526"/>
      <c r="AP17" s="526"/>
      <c r="AQ17" s="526"/>
      <c r="AR17" s="526"/>
      <c r="AT17" s="526" t="s">
        <v>258</v>
      </c>
      <c r="AU17" s="526"/>
      <c r="AV17" s="526" t="str">
        <f>Translation!B207</f>
        <v>Nikkei crash (1989/90)</v>
      </c>
      <c r="AW17" s="526"/>
      <c r="AX17" s="526"/>
      <c r="AY17" s="526"/>
      <c r="AZ17" s="526"/>
      <c r="BA17" s="526"/>
      <c r="BB17" s="526"/>
      <c r="BD17" s="526" t="s">
        <v>260</v>
      </c>
      <c r="BE17" s="526"/>
      <c r="BF17" s="526" t="str">
        <f>Translation!B208</f>
        <v>Europäische Währungskrise (1992)</v>
      </c>
      <c r="BG17" s="526"/>
      <c r="BH17" s="526"/>
      <c r="BI17" s="526"/>
      <c r="BJ17" s="526"/>
      <c r="BK17" s="526"/>
      <c r="BL17" s="526"/>
      <c r="BN17" s="526" t="s">
        <v>262</v>
      </c>
      <c r="BO17" s="526"/>
      <c r="BP17" s="526" t="str">
        <f>Translation!B209</f>
        <v>US Zinskrise (1994)</v>
      </c>
      <c r="BQ17" s="526"/>
      <c r="BR17" s="526"/>
      <c r="BS17" s="526"/>
      <c r="BT17" s="526"/>
      <c r="BU17" s="526"/>
      <c r="BV17" s="526"/>
      <c r="BX17" s="526" t="s">
        <v>264</v>
      </c>
      <c r="BY17" s="526"/>
      <c r="BZ17" s="526" t="str">
        <f>Translation!B210</f>
        <v>Russland Krise / LTCM (1998)</v>
      </c>
      <c r="CA17" s="526"/>
      <c r="CB17" s="526"/>
      <c r="CC17" s="526"/>
      <c r="CD17" s="526"/>
      <c r="CE17" s="526"/>
      <c r="CF17" s="526"/>
      <c r="CH17" s="526" t="s">
        <v>266</v>
      </c>
      <c r="CI17" s="526"/>
      <c r="CJ17" s="526" t="str">
        <f>Translation!B211</f>
        <v>Aktienmarkt crash (2000/2001)</v>
      </c>
      <c r="CK17" s="526"/>
      <c r="CL17" s="526"/>
      <c r="CM17" s="526"/>
      <c r="CN17" s="526"/>
      <c r="CO17" s="526"/>
      <c r="CP17" s="526"/>
      <c r="CQ17" s="234"/>
      <c r="CR17" s="526" t="s">
        <v>268</v>
      </c>
      <c r="CS17" s="526"/>
      <c r="CT17" s="526" t="str">
        <f>Translation!B212</f>
        <v>Globale Deflation</v>
      </c>
      <c r="CU17" s="526"/>
      <c r="CV17" s="526"/>
      <c r="CW17" s="526"/>
      <c r="CX17" s="526"/>
      <c r="CY17" s="526"/>
      <c r="CZ17" s="526"/>
      <c r="DA17" s="234"/>
      <c r="DB17" s="526" t="s">
        <v>314</v>
      </c>
      <c r="DC17" s="526"/>
      <c r="DD17" s="526" t="str">
        <f>Translation!B213</f>
        <v>Globale Inflation</v>
      </c>
      <c r="DE17" s="526"/>
      <c r="DF17" s="526"/>
      <c r="DG17" s="526"/>
      <c r="DH17" s="526"/>
      <c r="DI17" s="526"/>
      <c r="DJ17" s="526"/>
      <c r="DK17" s="234"/>
      <c r="DL17" s="526" t="s">
        <v>492</v>
      </c>
      <c r="DM17" s="526"/>
      <c r="DN17" s="526" t="str">
        <f>Translation!B214</f>
        <v>Finanzkrise 2008</v>
      </c>
      <c r="DO17" s="526"/>
      <c r="DP17" s="526"/>
      <c r="DQ17" s="526"/>
      <c r="DR17" s="526"/>
      <c r="DS17" s="526"/>
      <c r="DT17" s="526"/>
      <c r="DU17" s="234"/>
      <c r="DV17" s="661" t="s">
        <v>728</v>
      </c>
      <c r="DW17" s="526"/>
      <c r="DX17" s="526" t="str">
        <f>Translation!B221</f>
        <v>Grippepandemie</v>
      </c>
      <c r="DY17" s="526"/>
      <c r="DZ17" s="526"/>
      <c r="EA17" s="526"/>
      <c r="EB17" s="526"/>
      <c r="EC17" s="526"/>
      <c r="ED17" s="526"/>
      <c r="EE17" s="234"/>
      <c r="EF17" s="661" t="s">
        <v>2127</v>
      </c>
      <c r="EG17" s="526"/>
      <c r="EH17" s="526" t="str">
        <f>Translation!B222</f>
        <v>Financial Distress</v>
      </c>
      <c r="EI17" s="526"/>
      <c r="EJ17" s="526"/>
      <c r="EK17" s="526"/>
      <c r="EL17" s="526"/>
      <c r="EM17" s="526"/>
      <c r="EN17" s="526"/>
    </row>
    <row r="18" spans="1:144" ht="8.1" customHeight="1" x14ac:dyDescent="0.3">
      <c r="A18" s="167"/>
      <c r="B18" s="1"/>
      <c r="C18" s="1"/>
      <c r="D18" s="42"/>
      <c r="E18" s="1"/>
      <c r="G18" s="171"/>
      <c r="H18" s="174"/>
      <c r="I18" s="174"/>
      <c r="J18" s="175"/>
      <c r="K18" s="175"/>
      <c r="L18" s="175"/>
      <c r="M18" s="176"/>
      <c r="N18" s="176"/>
      <c r="O18" s="177"/>
      <c r="P18" s="237"/>
      <c r="Q18" s="237"/>
      <c r="R18" s="238"/>
      <c r="S18" s="238"/>
      <c r="T18" s="238"/>
      <c r="U18" s="174"/>
      <c r="V18" s="238"/>
      <c r="W18" s="238"/>
      <c r="X18" s="238"/>
      <c r="Y18" s="171"/>
      <c r="Z18" s="237"/>
      <c r="AA18" s="237"/>
      <c r="AB18" s="238"/>
      <c r="AC18" s="238"/>
      <c r="AD18" s="238"/>
      <c r="AE18" s="174"/>
      <c r="AF18" s="238"/>
      <c r="AG18" s="238"/>
      <c r="AH18" s="238"/>
      <c r="AJ18" s="237"/>
      <c r="AK18" s="237"/>
      <c r="AL18" s="238"/>
      <c r="AM18" s="238"/>
      <c r="AN18" s="238"/>
      <c r="AO18" s="174"/>
      <c r="AP18" s="238"/>
      <c r="AQ18" s="238"/>
      <c r="AR18" s="238"/>
      <c r="AT18" s="237"/>
      <c r="AU18" s="237"/>
      <c r="AV18" s="238"/>
      <c r="AW18" s="238"/>
      <c r="AX18" s="238"/>
      <c r="AY18" s="174"/>
      <c r="AZ18" s="238"/>
      <c r="BA18" s="238"/>
      <c r="BB18" s="238"/>
      <c r="BD18" s="237"/>
      <c r="BE18" s="237"/>
      <c r="BF18" s="238"/>
      <c r="BG18" s="238"/>
      <c r="BH18" s="238"/>
      <c r="BI18" s="174"/>
      <c r="BJ18" s="238"/>
      <c r="BK18" s="238"/>
      <c r="BL18" s="238"/>
      <c r="BN18" s="237"/>
      <c r="BO18" s="237"/>
      <c r="BP18" s="238"/>
      <c r="BQ18" s="238"/>
      <c r="BR18" s="238"/>
      <c r="BS18" s="174"/>
      <c r="BT18" s="238"/>
      <c r="BU18" s="238"/>
      <c r="BV18" s="238"/>
      <c r="BX18" s="237"/>
      <c r="BY18" s="237"/>
      <c r="BZ18" s="238"/>
      <c r="CA18" s="238"/>
      <c r="CB18" s="238"/>
      <c r="CC18" s="174"/>
      <c r="CD18" s="238"/>
      <c r="CE18" s="238"/>
      <c r="CF18" s="238"/>
      <c r="CH18" s="237"/>
      <c r="CI18" s="237"/>
      <c r="CJ18" s="238"/>
      <c r="CK18" s="238"/>
      <c r="CL18" s="238"/>
      <c r="CM18" s="174"/>
      <c r="CN18" s="238"/>
      <c r="CO18" s="238"/>
      <c r="CP18" s="238"/>
      <c r="CR18" s="237"/>
      <c r="CS18" s="237"/>
      <c r="CT18" s="238"/>
      <c r="CU18" s="238"/>
      <c r="CV18" s="238"/>
      <c r="CW18" s="174"/>
      <c r="CX18" s="238"/>
      <c r="CY18" s="238"/>
      <c r="CZ18" s="238"/>
      <c r="DB18" s="237"/>
      <c r="DC18" s="237"/>
      <c r="DD18" s="238"/>
      <c r="DE18" s="238"/>
      <c r="DF18" s="238"/>
      <c r="DG18" s="174"/>
      <c r="DH18" s="238"/>
      <c r="DI18" s="238"/>
      <c r="DJ18" s="238"/>
      <c r="DL18" s="237"/>
      <c r="DM18" s="237"/>
      <c r="DN18" s="238"/>
      <c r="DO18" s="238"/>
      <c r="DP18" s="238"/>
      <c r="DQ18" s="174"/>
      <c r="DR18" s="238"/>
      <c r="DS18" s="238"/>
      <c r="DT18" s="238"/>
      <c r="DV18" s="237"/>
      <c r="DW18" s="237"/>
      <c r="DX18" s="238"/>
      <c r="DY18" s="238"/>
      <c r="DZ18" s="238"/>
      <c r="EA18" s="174"/>
      <c r="EB18" s="238"/>
      <c r="EC18" s="238"/>
      <c r="ED18" s="238"/>
      <c r="EF18" s="237"/>
      <c r="EG18" s="237"/>
      <c r="EH18" s="238"/>
      <c r="EI18" s="238"/>
      <c r="EJ18" s="238"/>
      <c r="EK18" s="174"/>
      <c r="EL18" s="238"/>
      <c r="EM18" s="238"/>
      <c r="EN18" s="238"/>
    </row>
    <row r="19" spans="1:144" s="184" customFormat="1" ht="56.25" customHeight="1" x14ac:dyDescent="0.2">
      <c r="A19" s="179" t="s">
        <v>270</v>
      </c>
      <c r="C19" s="520" t="str">
        <f>Translation!B223</f>
        <v>Risikofaktor (RF)</v>
      </c>
      <c r="D19" s="181"/>
      <c r="E19" s="2490" t="str">
        <f>Translation!B224</f>
        <v>Basisauslenkung</v>
      </c>
      <c r="F19" s="239"/>
      <c r="G19" s="2491" t="str">
        <f>Translation!$B$225</f>
        <v>Änderung der Aktiven</v>
      </c>
      <c r="H19" s="2492"/>
      <c r="I19" s="34"/>
      <c r="J19" s="2491" t="str">
        <f>Translation!$B$229</f>
        <v>Änderung der Passiven</v>
      </c>
      <c r="K19" s="2492"/>
      <c r="L19" s="33"/>
      <c r="M19" s="2487" t="str">
        <f>Translation!$B$230</f>
        <v>Änderung der Reserven</v>
      </c>
      <c r="N19" s="2488"/>
      <c r="O19" s="182"/>
      <c r="P19" s="2482" t="str">
        <f>Translation!$B$233</f>
        <v>Auslenkung</v>
      </c>
      <c r="Q19" s="179"/>
      <c r="R19" s="2484" t="str">
        <f>Translation!$B$235</f>
        <v>Auslenkung / Basisauslenkung</v>
      </c>
      <c r="S19" s="179"/>
      <c r="T19" s="958" t="str">
        <f>Translation!$B$225</f>
        <v>Änderung der Aktiven</v>
      </c>
      <c r="U19" s="931"/>
      <c r="V19" s="958" t="str">
        <f>Translation!$B$229</f>
        <v>Änderung der Passiven</v>
      </c>
      <c r="W19" s="2487" t="str">
        <f>Translation!$B$230</f>
        <v>Änderung der Reserven</v>
      </c>
      <c r="X19" s="2488"/>
      <c r="Y19" s="33"/>
      <c r="Z19" s="2482" t="str">
        <f>Translation!$B$233</f>
        <v>Auslenkung</v>
      </c>
      <c r="AA19" s="179"/>
      <c r="AB19" s="2484" t="str">
        <f>Translation!$B$235</f>
        <v>Auslenkung / Basisauslenkung</v>
      </c>
      <c r="AC19" s="179"/>
      <c r="AD19" s="958" t="str">
        <f>Translation!$B$225</f>
        <v>Änderung der Aktiven</v>
      </c>
      <c r="AE19" s="931"/>
      <c r="AF19" s="958" t="str">
        <f>Translation!$B$229</f>
        <v>Änderung der Passiven</v>
      </c>
      <c r="AG19" s="2487" t="str">
        <f>Translation!$B$230</f>
        <v>Änderung der Reserven</v>
      </c>
      <c r="AH19" s="2488"/>
      <c r="AI19" s="173"/>
      <c r="AJ19" s="2482" t="str">
        <f>Translation!$B$233</f>
        <v>Auslenkung</v>
      </c>
      <c r="AK19" s="179"/>
      <c r="AL19" s="2484" t="str">
        <f>Translation!$B$235</f>
        <v>Auslenkung / Basisauslenkung</v>
      </c>
      <c r="AM19" s="179"/>
      <c r="AN19" s="958" t="str">
        <f>Translation!$B$225</f>
        <v>Änderung der Aktiven</v>
      </c>
      <c r="AO19" s="931"/>
      <c r="AP19" s="958" t="str">
        <f>Translation!$B$229</f>
        <v>Änderung der Passiven</v>
      </c>
      <c r="AQ19" s="2487" t="str">
        <f>Translation!$B$230</f>
        <v>Änderung der Reserven</v>
      </c>
      <c r="AR19" s="2488"/>
      <c r="AS19" s="173"/>
      <c r="AT19" s="2482" t="str">
        <f>Translation!$B$233</f>
        <v>Auslenkung</v>
      </c>
      <c r="AU19" s="179"/>
      <c r="AV19" s="2484" t="str">
        <f>Translation!$B$235</f>
        <v>Auslenkung / Basisauslenkung</v>
      </c>
      <c r="AW19" s="179"/>
      <c r="AX19" s="958" t="str">
        <f>Translation!$B$225</f>
        <v>Änderung der Aktiven</v>
      </c>
      <c r="AY19" s="931"/>
      <c r="AZ19" s="958" t="str">
        <f>Translation!$B$229</f>
        <v>Änderung der Passiven</v>
      </c>
      <c r="BA19" s="2487" t="str">
        <f>Translation!$B$230</f>
        <v>Änderung der Reserven</v>
      </c>
      <c r="BB19" s="2488"/>
      <c r="BC19" s="173"/>
      <c r="BD19" s="2482" t="str">
        <f>Translation!$B$233</f>
        <v>Auslenkung</v>
      </c>
      <c r="BE19" s="179"/>
      <c r="BF19" s="2484" t="str">
        <f>Translation!$B$235</f>
        <v>Auslenkung / Basisauslenkung</v>
      </c>
      <c r="BG19" s="179"/>
      <c r="BH19" s="958" t="str">
        <f>Translation!$B$225</f>
        <v>Änderung der Aktiven</v>
      </c>
      <c r="BI19" s="931"/>
      <c r="BJ19" s="958" t="str">
        <f>Translation!$B$229</f>
        <v>Änderung der Passiven</v>
      </c>
      <c r="BK19" s="2487" t="str">
        <f>Translation!$B$230</f>
        <v>Änderung der Reserven</v>
      </c>
      <c r="BL19" s="2488"/>
      <c r="BM19" s="173"/>
      <c r="BN19" s="2482" t="str">
        <f>Translation!$B$233</f>
        <v>Auslenkung</v>
      </c>
      <c r="BO19" s="179"/>
      <c r="BP19" s="2484" t="str">
        <f>Translation!$B$235</f>
        <v>Auslenkung / Basisauslenkung</v>
      </c>
      <c r="BQ19" s="179"/>
      <c r="BR19" s="958" t="str">
        <f>Translation!$B$225</f>
        <v>Änderung der Aktiven</v>
      </c>
      <c r="BS19" s="931"/>
      <c r="BT19" s="958" t="str">
        <f>Translation!$B$229</f>
        <v>Änderung der Passiven</v>
      </c>
      <c r="BU19" s="2487" t="str">
        <f>Translation!$B$230</f>
        <v>Änderung der Reserven</v>
      </c>
      <c r="BV19" s="2488"/>
      <c r="BW19" s="173"/>
      <c r="BX19" s="2482" t="str">
        <f>Translation!$B$233</f>
        <v>Auslenkung</v>
      </c>
      <c r="BY19" s="179"/>
      <c r="BZ19" s="2484" t="str">
        <f>Translation!$B$235</f>
        <v>Auslenkung / Basisauslenkung</v>
      </c>
      <c r="CA19" s="179"/>
      <c r="CB19" s="958" t="str">
        <f>Translation!$B$225</f>
        <v>Änderung der Aktiven</v>
      </c>
      <c r="CC19" s="931"/>
      <c r="CD19" s="958" t="str">
        <f>Translation!$B$229</f>
        <v>Änderung der Passiven</v>
      </c>
      <c r="CE19" s="2487" t="str">
        <f>Translation!$B$230</f>
        <v>Änderung der Reserven</v>
      </c>
      <c r="CF19" s="2488"/>
      <c r="CG19" s="173"/>
      <c r="CH19" s="2482" t="str">
        <f>Translation!$B$233</f>
        <v>Auslenkung</v>
      </c>
      <c r="CI19" s="179"/>
      <c r="CJ19" s="2484" t="str">
        <f>Translation!$B$235</f>
        <v>Auslenkung / Basisauslenkung</v>
      </c>
      <c r="CK19" s="179"/>
      <c r="CL19" s="958" t="str">
        <f>Translation!$B$225</f>
        <v>Änderung der Aktiven</v>
      </c>
      <c r="CM19" s="931"/>
      <c r="CN19" s="958" t="str">
        <f>Translation!$B$229</f>
        <v>Änderung der Passiven</v>
      </c>
      <c r="CO19" s="2487" t="str">
        <f>Translation!$B$230</f>
        <v>Änderung der Reserven</v>
      </c>
      <c r="CP19" s="2488"/>
      <c r="CQ19" s="173"/>
      <c r="CR19" s="2482" t="str">
        <f>Translation!$B$233</f>
        <v>Auslenkung</v>
      </c>
      <c r="CS19" s="179"/>
      <c r="CT19" s="2484" t="str">
        <f>Translation!$B$235</f>
        <v>Auslenkung / Basisauslenkung</v>
      </c>
      <c r="CU19" s="179"/>
      <c r="CV19" s="958" t="str">
        <f>Translation!$B$225</f>
        <v>Änderung der Aktiven</v>
      </c>
      <c r="CW19" s="931"/>
      <c r="CX19" s="958" t="str">
        <f>Translation!$B$229</f>
        <v>Änderung der Passiven</v>
      </c>
      <c r="CY19" s="2487" t="str">
        <f>Translation!$B$230</f>
        <v>Änderung der Reserven</v>
      </c>
      <c r="CZ19" s="2488"/>
      <c r="DA19" s="173"/>
      <c r="DB19" s="2482" t="str">
        <f>Translation!$B$233</f>
        <v>Auslenkung</v>
      </c>
      <c r="DC19" s="179"/>
      <c r="DD19" s="2484" t="str">
        <f>Translation!$B$235</f>
        <v>Auslenkung / Basisauslenkung</v>
      </c>
      <c r="DE19" s="179"/>
      <c r="DF19" s="958" t="str">
        <f>Translation!$B$225</f>
        <v>Änderung der Aktiven</v>
      </c>
      <c r="DG19" s="931"/>
      <c r="DH19" s="958" t="str">
        <f>Translation!$B$229</f>
        <v>Änderung der Passiven</v>
      </c>
      <c r="DI19" s="2487" t="str">
        <f>Translation!$B$230</f>
        <v>Änderung der Reserven</v>
      </c>
      <c r="DJ19" s="2488"/>
      <c r="DK19" s="173"/>
      <c r="DL19" s="2482" t="str">
        <f>Translation!$B$233</f>
        <v>Auslenkung</v>
      </c>
      <c r="DM19" s="179"/>
      <c r="DN19" s="2484" t="str">
        <f>Translation!$B$235</f>
        <v>Auslenkung / Basisauslenkung</v>
      </c>
      <c r="DO19" s="179"/>
      <c r="DP19" s="958" t="str">
        <f>Translation!$B$225</f>
        <v>Änderung der Aktiven</v>
      </c>
      <c r="DQ19" s="931"/>
      <c r="DR19" s="958" t="str">
        <f>Translation!$B$229</f>
        <v>Änderung der Passiven</v>
      </c>
      <c r="DS19" s="2487" t="str">
        <f>Translation!$B$230</f>
        <v>Änderung der Reserven</v>
      </c>
      <c r="DT19" s="2488"/>
      <c r="DU19" s="173"/>
      <c r="DV19" s="2482" t="str">
        <f>Translation!$B$233</f>
        <v>Auslenkung</v>
      </c>
      <c r="DW19" s="179"/>
      <c r="DX19" s="2484" t="str">
        <f>Translation!$B$235</f>
        <v>Auslenkung / Basisauslenkung</v>
      </c>
      <c r="DY19" s="179"/>
      <c r="DZ19" s="958" t="str">
        <f>Translation!$B$225</f>
        <v>Änderung der Aktiven</v>
      </c>
      <c r="EA19" s="931"/>
      <c r="EB19" s="958" t="str">
        <f>Translation!$B$229</f>
        <v>Änderung der Passiven</v>
      </c>
      <c r="EC19" s="2487" t="str">
        <f>Translation!$B$230</f>
        <v>Änderung der Reserven</v>
      </c>
      <c r="ED19" s="2488"/>
      <c r="EE19" s="173"/>
      <c r="EF19" s="2482" t="str">
        <f>Translation!$B$233</f>
        <v>Auslenkung</v>
      </c>
      <c r="EG19" s="179"/>
      <c r="EH19" s="2484" t="str">
        <f>Translation!$B$235</f>
        <v>Auslenkung / Basisauslenkung</v>
      </c>
      <c r="EI19" s="179"/>
      <c r="EJ19" s="958" t="str">
        <f>Translation!$B$225</f>
        <v>Änderung der Aktiven</v>
      </c>
      <c r="EK19" s="931"/>
      <c r="EL19" s="958" t="str">
        <f>Translation!$B$229</f>
        <v>Änderung der Passiven</v>
      </c>
      <c r="EM19" s="2487" t="str">
        <f>Translation!$B$230</f>
        <v>Änderung der Reserven</v>
      </c>
      <c r="EN19" s="2488"/>
    </row>
    <row r="20" spans="1:144" s="506" customFormat="1" ht="13.5" customHeight="1" x14ac:dyDescent="0.2">
      <c r="E20" s="2490"/>
      <c r="F20" s="507"/>
      <c r="G20" s="2446" t="str">
        <f>Translation!$B$226</f>
        <v>bei Auslenkung des RF</v>
      </c>
      <c r="H20" s="2493"/>
      <c r="I20" s="170"/>
      <c r="J20" s="2446" t="str">
        <f>Translation!B226</f>
        <v>bei Auslenkung des RF</v>
      </c>
      <c r="K20" s="2493"/>
      <c r="L20" s="170"/>
      <c r="M20" s="2494" t="str">
        <f>Translation!B226</f>
        <v>bei Auslenkung des RF</v>
      </c>
      <c r="N20" s="2495"/>
      <c r="O20" s="959"/>
      <c r="P20" s="2483"/>
      <c r="Q20" s="324"/>
      <c r="R20" s="2485"/>
      <c r="S20" s="509"/>
      <c r="T20" s="2486" t="str">
        <f>Translation!$B$236</f>
        <v>Wert aus Sensitivität</v>
      </c>
      <c r="U20" s="508"/>
      <c r="V20" s="2489" t="str">
        <f>Translation!$B$236</f>
        <v>Wert aus Sensitivität</v>
      </c>
      <c r="W20" s="973"/>
      <c r="X20" s="974"/>
      <c r="Y20" s="508"/>
      <c r="Z20" s="2483"/>
      <c r="AA20" s="324"/>
      <c r="AB20" s="2485"/>
      <c r="AC20" s="509"/>
      <c r="AD20" s="2486" t="str">
        <f>Translation!$B$236</f>
        <v>Wert aus Sensitivität</v>
      </c>
      <c r="AE20" s="508"/>
      <c r="AF20" s="2489" t="str">
        <f>Translation!$B$236</f>
        <v>Wert aus Sensitivität</v>
      </c>
      <c r="AG20" s="973"/>
      <c r="AH20" s="974"/>
      <c r="AI20" s="511"/>
      <c r="AJ20" s="2483"/>
      <c r="AK20" s="324"/>
      <c r="AL20" s="2485"/>
      <c r="AM20" s="509"/>
      <c r="AN20" s="2486" t="str">
        <f>Translation!$B$236</f>
        <v>Wert aus Sensitivität</v>
      </c>
      <c r="AO20" s="508"/>
      <c r="AP20" s="2489" t="str">
        <f>Translation!$B$236</f>
        <v>Wert aus Sensitivität</v>
      </c>
      <c r="AQ20" s="973"/>
      <c r="AR20" s="974"/>
      <c r="AS20" s="511"/>
      <c r="AT20" s="2483"/>
      <c r="AU20" s="324"/>
      <c r="AV20" s="2485"/>
      <c r="AW20" s="509"/>
      <c r="AX20" s="2486" t="str">
        <f>Translation!$B$236</f>
        <v>Wert aus Sensitivität</v>
      </c>
      <c r="AY20" s="508"/>
      <c r="AZ20" s="2489" t="str">
        <f>Translation!$B$236</f>
        <v>Wert aus Sensitivität</v>
      </c>
      <c r="BA20" s="973"/>
      <c r="BB20" s="974"/>
      <c r="BC20" s="511"/>
      <c r="BD20" s="2483"/>
      <c r="BE20" s="324"/>
      <c r="BF20" s="2485"/>
      <c r="BG20" s="509"/>
      <c r="BH20" s="2486" t="str">
        <f>Translation!$B$236</f>
        <v>Wert aus Sensitivität</v>
      </c>
      <c r="BI20" s="508"/>
      <c r="BJ20" s="2489" t="str">
        <f>Translation!$B$236</f>
        <v>Wert aus Sensitivität</v>
      </c>
      <c r="BK20" s="973"/>
      <c r="BL20" s="974"/>
      <c r="BM20" s="511"/>
      <c r="BN20" s="2483"/>
      <c r="BO20" s="324"/>
      <c r="BP20" s="2485"/>
      <c r="BQ20" s="509"/>
      <c r="BR20" s="2486" t="str">
        <f>Translation!$B$236</f>
        <v>Wert aus Sensitivität</v>
      </c>
      <c r="BS20" s="508"/>
      <c r="BT20" s="2489" t="str">
        <f>Translation!$B$236</f>
        <v>Wert aus Sensitivität</v>
      </c>
      <c r="BU20" s="973"/>
      <c r="BV20" s="974"/>
      <c r="BW20" s="511"/>
      <c r="BX20" s="2483"/>
      <c r="BY20" s="324"/>
      <c r="BZ20" s="2485"/>
      <c r="CA20" s="509"/>
      <c r="CB20" s="2486" t="str">
        <f>Translation!$B$236</f>
        <v>Wert aus Sensitivität</v>
      </c>
      <c r="CC20" s="508"/>
      <c r="CD20" s="2489" t="str">
        <f>Translation!$B$236</f>
        <v>Wert aus Sensitivität</v>
      </c>
      <c r="CE20" s="973"/>
      <c r="CF20" s="974"/>
      <c r="CG20" s="511"/>
      <c r="CH20" s="2483"/>
      <c r="CI20" s="324"/>
      <c r="CJ20" s="2485"/>
      <c r="CK20" s="509"/>
      <c r="CL20" s="2486" t="str">
        <f>Translation!$B$236</f>
        <v>Wert aus Sensitivität</v>
      </c>
      <c r="CM20" s="508"/>
      <c r="CN20" s="2489" t="str">
        <f>Translation!$B$236</f>
        <v>Wert aus Sensitivität</v>
      </c>
      <c r="CO20" s="973"/>
      <c r="CP20" s="974"/>
      <c r="CQ20" s="511"/>
      <c r="CR20" s="2483"/>
      <c r="CS20" s="324"/>
      <c r="CT20" s="2485"/>
      <c r="CU20" s="509"/>
      <c r="CV20" s="2486" t="str">
        <f>Translation!$B$236</f>
        <v>Wert aus Sensitivität</v>
      </c>
      <c r="CW20" s="508"/>
      <c r="CX20" s="2489" t="str">
        <f>Translation!$B$236</f>
        <v>Wert aus Sensitivität</v>
      </c>
      <c r="CY20" s="973"/>
      <c r="CZ20" s="974"/>
      <c r="DA20" s="511"/>
      <c r="DB20" s="2483"/>
      <c r="DC20" s="324"/>
      <c r="DD20" s="2485"/>
      <c r="DE20" s="509"/>
      <c r="DF20" s="2486" t="str">
        <f>Translation!$B$236</f>
        <v>Wert aus Sensitivität</v>
      </c>
      <c r="DG20" s="508"/>
      <c r="DH20" s="2489" t="str">
        <f>Translation!$B$236</f>
        <v>Wert aus Sensitivität</v>
      </c>
      <c r="DI20" s="973"/>
      <c r="DJ20" s="974"/>
      <c r="DK20" s="511"/>
      <c r="DL20" s="2483"/>
      <c r="DM20" s="324"/>
      <c r="DN20" s="2485"/>
      <c r="DO20" s="509"/>
      <c r="DP20" s="2486" t="str">
        <f>Translation!$B$236</f>
        <v>Wert aus Sensitivität</v>
      </c>
      <c r="DQ20" s="508"/>
      <c r="DR20" s="2489" t="str">
        <f>Translation!$B$236</f>
        <v>Wert aus Sensitivität</v>
      </c>
      <c r="DS20" s="973"/>
      <c r="DT20" s="974"/>
      <c r="DU20" s="511"/>
      <c r="DV20" s="2483"/>
      <c r="DW20" s="324"/>
      <c r="DX20" s="2485"/>
      <c r="DY20" s="509"/>
      <c r="DZ20" s="2486" t="str">
        <f>Translation!$B$236</f>
        <v>Wert aus Sensitivität</v>
      </c>
      <c r="EA20" s="508"/>
      <c r="EB20" s="2489" t="str">
        <f>Translation!$B$236</f>
        <v>Wert aus Sensitivität</v>
      </c>
      <c r="EC20" s="973"/>
      <c r="ED20" s="974"/>
      <c r="EE20" s="511"/>
      <c r="EF20" s="2483"/>
      <c r="EG20" s="324"/>
      <c r="EH20" s="2485"/>
      <c r="EI20" s="509"/>
      <c r="EJ20" s="2486" t="str">
        <f>Translation!$B$236</f>
        <v>Wert aus Sensitivität</v>
      </c>
      <c r="EK20" s="508"/>
      <c r="EL20" s="2489" t="str">
        <f>Translation!$B$236</f>
        <v>Wert aus Sensitivität</v>
      </c>
      <c r="EM20" s="973"/>
      <c r="EN20" s="974"/>
    </row>
    <row r="21" spans="1:144" s="506" customFormat="1" ht="12.75" customHeight="1" x14ac:dyDescent="0.2">
      <c r="E21" s="2490"/>
      <c r="F21" s="507"/>
      <c r="G21" s="2446"/>
      <c r="H21" s="2493"/>
      <c r="I21" s="170"/>
      <c r="J21" s="2446"/>
      <c r="K21" s="2493"/>
      <c r="L21" s="170"/>
      <c r="M21" s="2494"/>
      <c r="N21" s="2495"/>
      <c r="O21" s="959"/>
      <c r="P21" s="2483"/>
      <c r="Q21" s="512"/>
      <c r="R21" s="2485"/>
      <c r="S21" s="513"/>
      <c r="T21" s="2486"/>
      <c r="U21" s="508"/>
      <c r="V21" s="2489"/>
      <c r="W21" s="975"/>
      <c r="X21" s="976" t="str">
        <f>Translation!$B$240</f>
        <v>Total</v>
      </c>
      <c r="Y21" s="513"/>
      <c r="Z21" s="2483"/>
      <c r="AA21" s="512"/>
      <c r="AB21" s="2485"/>
      <c r="AC21" s="513"/>
      <c r="AD21" s="2486"/>
      <c r="AE21" s="508"/>
      <c r="AF21" s="2489"/>
      <c r="AG21" s="975"/>
      <c r="AH21" s="976" t="str">
        <f>Translation!$B$240</f>
        <v>Total</v>
      </c>
      <c r="AI21" s="511"/>
      <c r="AJ21" s="2483"/>
      <c r="AK21" s="512"/>
      <c r="AL21" s="2485"/>
      <c r="AM21" s="513"/>
      <c r="AN21" s="2486"/>
      <c r="AO21" s="508"/>
      <c r="AP21" s="2489"/>
      <c r="AQ21" s="975"/>
      <c r="AR21" s="976" t="str">
        <f>Translation!$B$240</f>
        <v>Total</v>
      </c>
      <c r="AS21" s="511"/>
      <c r="AT21" s="2483"/>
      <c r="AU21" s="512"/>
      <c r="AV21" s="2485"/>
      <c r="AW21" s="513"/>
      <c r="AX21" s="2486"/>
      <c r="AY21" s="508"/>
      <c r="AZ21" s="2489"/>
      <c r="BA21" s="975"/>
      <c r="BB21" s="976" t="str">
        <f>Translation!$B$240</f>
        <v>Total</v>
      </c>
      <c r="BC21" s="511"/>
      <c r="BD21" s="2483"/>
      <c r="BE21" s="512"/>
      <c r="BF21" s="2485"/>
      <c r="BG21" s="513"/>
      <c r="BH21" s="2486"/>
      <c r="BI21" s="508"/>
      <c r="BJ21" s="2489"/>
      <c r="BK21" s="975"/>
      <c r="BL21" s="976" t="str">
        <f>Translation!$B$240</f>
        <v>Total</v>
      </c>
      <c r="BM21" s="511"/>
      <c r="BN21" s="2483"/>
      <c r="BO21" s="512"/>
      <c r="BP21" s="2485"/>
      <c r="BQ21" s="513"/>
      <c r="BR21" s="2486"/>
      <c r="BS21" s="508"/>
      <c r="BT21" s="2489"/>
      <c r="BU21" s="975"/>
      <c r="BV21" s="976" t="str">
        <f>Translation!$B$240</f>
        <v>Total</v>
      </c>
      <c r="BW21" s="511"/>
      <c r="BX21" s="2483"/>
      <c r="BY21" s="512"/>
      <c r="BZ21" s="2485"/>
      <c r="CA21" s="513"/>
      <c r="CB21" s="2486"/>
      <c r="CC21" s="508"/>
      <c r="CD21" s="2489"/>
      <c r="CE21" s="975"/>
      <c r="CF21" s="976" t="str">
        <f>Translation!$B$240</f>
        <v>Total</v>
      </c>
      <c r="CG21" s="511"/>
      <c r="CH21" s="2483"/>
      <c r="CI21" s="512"/>
      <c r="CJ21" s="2485"/>
      <c r="CK21" s="513"/>
      <c r="CL21" s="2486"/>
      <c r="CM21" s="508"/>
      <c r="CN21" s="2489"/>
      <c r="CO21" s="975"/>
      <c r="CP21" s="976" t="str">
        <f>Translation!$B$240</f>
        <v>Total</v>
      </c>
      <c r="CQ21" s="511"/>
      <c r="CR21" s="2483"/>
      <c r="CS21" s="512"/>
      <c r="CT21" s="2485"/>
      <c r="CU21" s="513"/>
      <c r="CV21" s="2486"/>
      <c r="CW21" s="508"/>
      <c r="CX21" s="2489"/>
      <c r="CY21" s="975"/>
      <c r="CZ21" s="976" t="str">
        <f>Translation!$B$240</f>
        <v>Total</v>
      </c>
      <c r="DA21" s="511"/>
      <c r="DB21" s="2483"/>
      <c r="DC21" s="512"/>
      <c r="DD21" s="2485"/>
      <c r="DE21" s="513"/>
      <c r="DF21" s="2486"/>
      <c r="DG21" s="508"/>
      <c r="DH21" s="2489"/>
      <c r="DI21" s="975"/>
      <c r="DJ21" s="976" t="str">
        <f>Translation!$B$240</f>
        <v>Total</v>
      </c>
      <c r="DK21" s="511"/>
      <c r="DL21" s="2483"/>
      <c r="DM21" s="512"/>
      <c r="DN21" s="2485"/>
      <c r="DO21" s="513"/>
      <c r="DP21" s="2486"/>
      <c r="DQ21" s="508"/>
      <c r="DR21" s="2489"/>
      <c r="DS21" s="975"/>
      <c r="DT21" s="976" t="str">
        <f>Translation!$B$240</f>
        <v>Total</v>
      </c>
      <c r="DU21" s="511"/>
      <c r="DV21" s="2483"/>
      <c r="DW21" s="512"/>
      <c r="DX21" s="2485"/>
      <c r="DY21" s="513"/>
      <c r="DZ21" s="2486"/>
      <c r="EA21" s="508"/>
      <c r="EB21" s="2489"/>
      <c r="EC21" s="975"/>
      <c r="ED21" s="976" t="str">
        <f>Translation!$B$240</f>
        <v>Total</v>
      </c>
      <c r="EE21" s="511"/>
      <c r="EF21" s="2483"/>
      <c r="EG21" s="512"/>
      <c r="EH21" s="2485"/>
      <c r="EI21" s="513"/>
      <c r="EJ21" s="2486"/>
      <c r="EK21" s="508"/>
      <c r="EL21" s="2489"/>
      <c r="EM21" s="975"/>
      <c r="EN21" s="976" t="str">
        <f>Translation!$B$240</f>
        <v>Total</v>
      </c>
    </row>
    <row r="22" spans="1:144" s="185" customFormat="1" ht="25.5" x14ac:dyDescent="0.2">
      <c r="B22" s="173"/>
      <c r="D22" s="186"/>
      <c r="E22" s="2490"/>
      <c r="F22" s="240"/>
      <c r="G22" s="960"/>
      <c r="H22" s="956"/>
      <c r="I22" s="172"/>
      <c r="J22" s="960"/>
      <c r="K22" s="956"/>
      <c r="L22" s="172"/>
      <c r="M22" s="961"/>
      <c r="N22" s="962"/>
      <c r="O22" s="963"/>
      <c r="P22" s="2483"/>
      <c r="Q22" s="191"/>
      <c r="R22" s="2485"/>
      <c r="S22" s="192"/>
      <c r="T22" s="2486"/>
      <c r="U22" s="188"/>
      <c r="V22" s="2489"/>
      <c r="W22" s="670" t="str">
        <f>Translation!$B$237</f>
        <v>exakter Wert (inkl. sämtlicher nichtlinearer Effekte)</v>
      </c>
      <c r="X22" s="1009"/>
      <c r="Y22" s="192"/>
      <c r="Z22" s="2483"/>
      <c r="AA22" s="191"/>
      <c r="AB22" s="2485"/>
      <c r="AC22" s="192"/>
      <c r="AD22" s="2486"/>
      <c r="AE22" s="188"/>
      <c r="AF22" s="2489"/>
      <c r="AG22" s="670" t="str">
        <f>Translation!$B$237</f>
        <v>exakter Wert (inkl. sämtlicher nichtlinearer Effekte)</v>
      </c>
      <c r="AH22" s="1009"/>
      <c r="AI22" s="187"/>
      <c r="AJ22" s="2483"/>
      <c r="AK22" s="191"/>
      <c r="AL22" s="2485"/>
      <c r="AM22" s="192"/>
      <c r="AN22" s="2486"/>
      <c r="AO22" s="188"/>
      <c r="AP22" s="2489"/>
      <c r="AQ22" s="670" t="str">
        <f>Translation!$B$237</f>
        <v>exakter Wert (inkl. sämtlicher nichtlinearer Effekte)</v>
      </c>
      <c r="AR22" s="1009"/>
      <c r="AS22" s="187"/>
      <c r="AT22" s="2483"/>
      <c r="AU22" s="191"/>
      <c r="AV22" s="2485"/>
      <c r="AW22" s="192"/>
      <c r="AX22" s="2486"/>
      <c r="AY22" s="188"/>
      <c r="AZ22" s="2489"/>
      <c r="BA22" s="670" t="str">
        <f>Translation!$B$237</f>
        <v>exakter Wert (inkl. sämtlicher nichtlinearer Effekte)</v>
      </c>
      <c r="BB22" s="1009"/>
      <c r="BC22" s="187"/>
      <c r="BD22" s="2483"/>
      <c r="BE22" s="191"/>
      <c r="BF22" s="2485"/>
      <c r="BG22" s="192"/>
      <c r="BH22" s="2486"/>
      <c r="BI22" s="188"/>
      <c r="BJ22" s="2489"/>
      <c r="BK22" s="670" t="str">
        <f>Translation!$B$237</f>
        <v>exakter Wert (inkl. sämtlicher nichtlinearer Effekte)</v>
      </c>
      <c r="BL22" s="1009"/>
      <c r="BM22" s="187"/>
      <c r="BN22" s="2483"/>
      <c r="BO22" s="191"/>
      <c r="BP22" s="2485"/>
      <c r="BQ22" s="192"/>
      <c r="BR22" s="2486"/>
      <c r="BS22" s="188"/>
      <c r="BT22" s="2489"/>
      <c r="BU22" s="670" t="str">
        <f>Translation!$B$237</f>
        <v>exakter Wert (inkl. sämtlicher nichtlinearer Effekte)</v>
      </c>
      <c r="BV22" s="1009"/>
      <c r="BW22" s="187"/>
      <c r="BX22" s="2483"/>
      <c r="BY22" s="191"/>
      <c r="BZ22" s="2485"/>
      <c r="CA22" s="192"/>
      <c r="CB22" s="2486"/>
      <c r="CC22" s="188"/>
      <c r="CD22" s="2489"/>
      <c r="CE22" s="670" t="str">
        <f>Translation!$B$237</f>
        <v>exakter Wert (inkl. sämtlicher nichtlinearer Effekte)</v>
      </c>
      <c r="CF22" s="1009"/>
      <c r="CG22" s="187"/>
      <c r="CH22" s="2483"/>
      <c r="CI22" s="191"/>
      <c r="CJ22" s="2485"/>
      <c r="CK22" s="192"/>
      <c r="CL22" s="2486"/>
      <c r="CM22" s="188"/>
      <c r="CN22" s="2489"/>
      <c r="CO22" s="670" t="str">
        <f>Translation!$B$237</f>
        <v>exakter Wert (inkl. sämtlicher nichtlinearer Effekte)</v>
      </c>
      <c r="CP22" s="1009"/>
      <c r="CQ22" s="187"/>
      <c r="CR22" s="2483"/>
      <c r="CS22" s="191"/>
      <c r="CT22" s="2485"/>
      <c r="CU22" s="192"/>
      <c r="CV22" s="2486"/>
      <c r="CW22" s="188"/>
      <c r="CX22" s="2489"/>
      <c r="CY22" s="670" t="str">
        <f>Translation!$B$237</f>
        <v>exakter Wert (inkl. sämtlicher nichtlinearer Effekte)</v>
      </c>
      <c r="CZ22" s="1009"/>
      <c r="DA22" s="187"/>
      <c r="DB22" s="2483"/>
      <c r="DC22" s="191"/>
      <c r="DD22" s="2485"/>
      <c r="DE22" s="192"/>
      <c r="DF22" s="2486"/>
      <c r="DG22" s="188"/>
      <c r="DH22" s="2489"/>
      <c r="DI22" s="670" t="str">
        <f>Translation!$B$237</f>
        <v>exakter Wert (inkl. sämtlicher nichtlinearer Effekte)</v>
      </c>
      <c r="DJ22" s="1009"/>
      <c r="DK22" s="187"/>
      <c r="DL22" s="2483"/>
      <c r="DM22" s="191"/>
      <c r="DN22" s="2485"/>
      <c r="DO22" s="192"/>
      <c r="DP22" s="2486"/>
      <c r="DQ22" s="188"/>
      <c r="DR22" s="2489"/>
      <c r="DS22" s="670" t="str">
        <f>Translation!$B$237</f>
        <v>exakter Wert (inkl. sämtlicher nichtlinearer Effekte)</v>
      </c>
      <c r="DT22" s="1009"/>
      <c r="DU22" s="187"/>
      <c r="DV22" s="2483"/>
      <c r="DW22" s="191"/>
      <c r="DX22" s="2485"/>
      <c r="DY22" s="192"/>
      <c r="DZ22" s="2486"/>
      <c r="EA22" s="188"/>
      <c r="EB22" s="2489"/>
      <c r="EC22" s="670" t="str">
        <f>Translation!$B$237</f>
        <v>exakter Wert (inkl. sämtlicher nichtlinearer Effekte)</v>
      </c>
      <c r="ED22" s="1009"/>
      <c r="EE22" s="187"/>
      <c r="EF22" s="2483"/>
      <c r="EG22" s="191"/>
      <c r="EH22" s="2485"/>
      <c r="EI22" s="192"/>
      <c r="EJ22" s="2486"/>
      <c r="EK22" s="188"/>
      <c r="EL22" s="2489"/>
      <c r="EM22" s="670" t="str">
        <f>Translation!$B$237</f>
        <v>exakter Wert (inkl. sämtlicher nichtlinearer Effekte)</v>
      </c>
      <c r="EN22" s="1009"/>
    </row>
    <row r="23" spans="1:144" ht="15.75" customHeight="1" x14ac:dyDescent="0.2">
      <c r="A23" s="24"/>
      <c r="E23" s="2490"/>
      <c r="F23" s="241"/>
      <c r="G23" s="957" t="str">
        <f>Translation!$B$227</f>
        <v>nach oben</v>
      </c>
      <c r="H23" s="955" t="str">
        <f>Translation!$B$228</f>
        <v>nach unten</v>
      </c>
      <c r="I23" s="192"/>
      <c r="J23" s="957" t="str">
        <f>Translation!$B$227</f>
        <v>nach oben</v>
      </c>
      <c r="K23" s="955" t="str">
        <f>Translation!$B$228</f>
        <v>nach unten</v>
      </c>
      <c r="L23" s="192"/>
      <c r="M23" s="971" t="str">
        <f>Translation!$B$227</f>
        <v>nach oben</v>
      </c>
      <c r="N23" s="972" t="str">
        <f>Translation!$B$228</f>
        <v>nach unten</v>
      </c>
      <c r="O23" s="193"/>
      <c r="P23" s="2483"/>
      <c r="Q23" s="191"/>
      <c r="R23" s="2485"/>
      <c r="S23" s="192"/>
      <c r="T23" s="419"/>
      <c r="U23" s="192"/>
      <c r="V23" s="505"/>
      <c r="W23" s="671" t="str">
        <f>Translation!$B$238</f>
        <v>Delta-Gamma-Wert</v>
      </c>
      <c r="X23" s="667">
        <f>X24</f>
        <v>0</v>
      </c>
      <c r="Y23" s="193"/>
      <c r="Z23" s="2483"/>
      <c r="AA23" s="191"/>
      <c r="AB23" s="2485"/>
      <c r="AC23" s="192"/>
      <c r="AD23" s="419"/>
      <c r="AE23" s="192"/>
      <c r="AF23" s="505"/>
      <c r="AG23" s="671" t="str">
        <f>Translation!$B$238</f>
        <v>Delta-Gamma-Wert</v>
      </c>
      <c r="AH23" s="667">
        <f>AH24</f>
        <v>0</v>
      </c>
      <c r="AJ23" s="2483"/>
      <c r="AK23" s="191"/>
      <c r="AL23" s="2485"/>
      <c r="AM23" s="192"/>
      <c r="AN23" s="419"/>
      <c r="AO23" s="192"/>
      <c r="AP23" s="505"/>
      <c r="AQ23" s="671" t="str">
        <f>Translation!$B$238</f>
        <v>Delta-Gamma-Wert</v>
      </c>
      <c r="AR23" s="667">
        <f>AR24</f>
        <v>0</v>
      </c>
      <c r="AT23" s="2483"/>
      <c r="AU23" s="191"/>
      <c r="AV23" s="2485"/>
      <c r="AW23" s="192"/>
      <c r="AX23" s="419"/>
      <c r="AY23" s="192"/>
      <c r="AZ23" s="505"/>
      <c r="BA23" s="671" t="str">
        <f>Translation!$B$238</f>
        <v>Delta-Gamma-Wert</v>
      </c>
      <c r="BB23" s="667">
        <f>BB24</f>
        <v>0</v>
      </c>
      <c r="BD23" s="2483"/>
      <c r="BE23" s="191"/>
      <c r="BF23" s="2485"/>
      <c r="BG23" s="192"/>
      <c r="BH23" s="419"/>
      <c r="BI23" s="192"/>
      <c r="BJ23" s="505"/>
      <c r="BK23" s="671" t="str">
        <f>Translation!$B$238</f>
        <v>Delta-Gamma-Wert</v>
      </c>
      <c r="BL23" s="667">
        <f>BL24</f>
        <v>0</v>
      </c>
      <c r="BN23" s="2483"/>
      <c r="BO23" s="191"/>
      <c r="BP23" s="2485"/>
      <c r="BQ23" s="192"/>
      <c r="BR23" s="419"/>
      <c r="BS23" s="192"/>
      <c r="BT23" s="505"/>
      <c r="BU23" s="671" t="str">
        <f>Translation!$B$238</f>
        <v>Delta-Gamma-Wert</v>
      </c>
      <c r="BV23" s="667">
        <f>BV24</f>
        <v>0</v>
      </c>
      <c r="BX23" s="2483"/>
      <c r="BY23" s="191"/>
      <c r="BZ23" s="2485"/>
      <c r="CA23" s="192"/>
      <c r="CB23" s="419"/>
      <c r="CC23" s="192"/>
      <c r="CD23" s="505"/>
      <c r="CE23" s="671" t="str">
        <f>Translation!$B$238</f>
        <v>Delta-Gamma-Wert</v>
      </c>
      <c r="CF23" s="667">
        <f>CF24</f>
        <v>0</v>
      </c>
      <c r="CG23" s="42"/>
      <c r="CH23" s="2483"/>
      <c r="CI23" s="191"/>
      <c r="CJ23" s="2485"/>
      <c r="CK23" s="192"/>
      <c r="CL23" s="419"/>
      <c r="CM23" s="192"/>
      <c r="CN23" s="505"/>
      <c r="CO23" s="671" t="str">
        <f>Translation!$B$238</f>
        <v>Delta-Gamma-Wert</v>
      </c>
      <c r="CP23" s="667">
        <f>CP24</f>
        <v>0</v>
      </c>
      <c r="CQ23" s="42"/>
      <c r="CR23" s="2483"/>
      <c r="CS23" s="191"/>
      <c r="CT23" s="2485"/>
      <c r="CU23" s="192"/>
      <c r="CV23" s="419"/>
      <c r="CW23" s="192"/>
      <c r="CX23" s="505"/>
      <c r="CY23" s="671" t="str">
        <f>Translation!$B$238</f>
        <v>Delta-Gamma-Wert</v>
      </c>
      <c r="CZ23" s="667">
        <f>CZ24</f>
        <v>0</v>
      </c>
      <c r="DA23" s="42"/>
      <c r="DB23" s="2483"/>
      <c r="DC23" s="191"/>
      <c r="DD23" s="2485"/>
      <c r="DE23" s="192"/>
      <c r="DF23" s="419"/>
      <c r="DG23" s="192"/>
      <c r="DH23" s="505"/>
      <c r="DI23" s="671" t="str">
        <f>Translation!$B$238</f>
        <v>Delta-Gamma-Wert</v>
      </c>
      <c r="DJ23" s="667">
        <f>DJ24</f>
        <v>0</v>
      </c>
      <c r="DK23" s="42"/>
      <c r="DL23" s="2483"/>
      <c r="DM23" s="191"/>
      <c r="DN23" s="2485"/>
      <c r="DO23" s="192"/>
      <c r="DP23" s="419"/>
      <c r="DQ23" s="192"/>
      <c r="DR23" s="505"/>
      <c r="DS23" s="671" t="str">
        <f>Translation!$B$238</f>
        <v>Delta-Gamma-Wert</v>
      </c>
      <c r="DT23" s="667">
        <f>DT24</f>
        <v>0</v>
      </c>
      <c r="DU23" s="42"/>
      <c r="DV23" s="2483"/>
      <c r="DW23" s="191"/>
      <c r="DX23" s="2485"/>
      <c r="DY23" s="192"/>
      <c r="DZ23" s="419"/>
      <c r="EA23" s="192"/>
      <c r="EB23" s="505"/>
      <c r="EC23" s="671" t="str">
        <f>Translation!$B$238</f>
        <v>Delta-Gamma-Wert</v>
      </c>
      <c r="ED23" s="667">
        <f>ED24</f>
        <v>0</v>
      </c>
      <c r="EE23" s="42"/>
      <c r="EF23" s="2483"/>
      <c r="EG23" s="191"/>
      <c r="EH23" s="2485"/>
      <c r="EI23" s="192"/>
      <c r="EJ23" s="419"/>
      <c r="EK23" s="192"/>
      <c r="EL23" s="505"/>
      <c r="EM23" s="671" t="str">
        <f>Translation!$B$238</f>
        <v>Delta-Gamma-Wert</v>
      </c>
      <c r="EN23" s="667">
        <f>EN24</f>
        <v>0</v>
      </c>
    </row>
    <row r="24" spans="1:144" ht="16.5" customHeight="1" x14ac:dyDescent="0.2">
      <c r="A24" s="24"/>
      <c r="E24" s="2490"/>
      <c r="F24" s="241"/>
      <c r="G24" s="419"/>
      <c r="H24" s="420"/>
      <c r="I24" s="192"/>
      <c r="J24" s="419"/>
      <c r="K24" s="420"/>
      <c r="L24" s="192"/>
      <c r="M24" s="500"/>
      <c r="N24" s="501"/>
      <c r="O24" s="193"/>
      <c r="P24" s="2483"/>
      <c r="Q24" s="191"/>
      <c r="R24" s="2485"/>
      <c r="S24" s="192"/>
      <c r="T24" s="419"/>
      <c r="U24" s="192"/>
      <c r="V24" s="505"/>
      <c r="W24" s="671" t="str">
        <f>Translation!$B$239</f>
        <v>Delta-Wert des Szenarios</v>
      </c>
      <c r="X24" s="667">
        <f>SUM(X27:X68)</f>
        <v>0</v>
      </c>
      <c r="Y24" s="193"/>
      <c r="Z24" s="2483"/>
      <c r="AA24" s="191"/>
      <c r="AB24" s="2485"/>
      <c r="AC24" s="192"/>
      <c r="AD24" s="419"/>
      <c r="AE24" s="192"/>
      <c r="AF24" s="505"/>
      <c r="AG24" s="671" t="str">
        <f>Translation!$B$239</f>
        <v>Delta-Wert des Szenarios</v>
      </c>
      <c r="AH24" s="667">
        <f>SUM(AH27:AH68)</f>
        <v>0</v>
      </c>
      <c r="AJ24" s="2483"/>
      <c r="AK24" s="191"/>
      <c r="AL24" s="2485"/>
      <c r="AM24" s="192"/>
      <c r="AN24" s="419"/>
      <c r="AO24" s="192"/>
      <c r="AP24" s="505"/>
      <c r="AQ24" s="671" t="str">
        <f>Translation!$B$239</f>
        <v>Delta-Wert des Szenarios</v>
      </c>
      <c r="AR24" s="667">
        <f>SUM(AR27:AR68)</f>
        <v>0</v>
      </c>
      <c r="AT24" s="2483"/>
      <c r="AU24" s="191"/>
      <c r="AV24" s="2485"/>
      <c r="AW24" s="192"/>
      <c r="AX24" s="419"/>
      <c r="AY24" s="192"/>
      <c r="AZ24" s="505"/>
      <c r="BA24" s="671" t="str">
        <f>Translation!$B$239</f>
        <v>Delta-Wert des Szenarios</v>
      </c>
      <c r="BB24" s="667">
        <f>SUM(BB27:BB68)</f>
        <v>0</v>
      </c>
      <c r="BD24" s="2483"/>
      <c r="BE24" s="191"/>
      <c r="BF24" s="2485"/>
      <c r="BG24" s="192"/>
      <c r="BH24" s="419"/>
      <c r="BI24" s="192"/>
      <c r="BJ24" s="505"/>
      <c r="BK24" s="671" t="str">
        <f>Translation!$B$239</f>
        <v>Delta-Wert des Szenarios</v>
      </c>
      <c r="BL24" s="667">
        <f>SUM(BL27:BL68)</f>
        <v>0</v>
      </c>
      <c r="BN24" s="2483"/>
      <c r="BO24" s="191"/>
      <c r="BP24" s="2485"/>
      <c r="BQ24" s="192"/>
      <c r="BR24" s="419"/>
      <c r="BS24" s="192"/>
      <c r="BT24" s="505"/>
      <c r="BU24" s="671" t="str">
        <f>Translation!$B$239</f>
        <v>Delta-Wert des Szenarios</v>
      </c>
      <c r="BV24" s="667">
        <f>SUM(BV27:BV68)</f>
        <v>0</v>
      </c>
      <c r="BX24" s="2483"/>
      <c r="BY24" s="191"/>
      <c r="BZ24" s="2485"/>
      <c r="CA24" s="192"/>
      <c r="CB24" s="419"/>
      <c r="CC24" s="192"/>
      <c r="CD24" s="505"/>
      <c r="CE24" s="671" t="str">
        <f>Translation!$B$239</f>
        <v>Delta-Wert des Szenarios</v>
      </c>
      <c r="CF24" s="667">
        <f>SUM(CF27:CF68)</f>
        <v>0</v>
      </c>
      <c r="CG24" s="42"/>
      <c r="CH24" s="2483"/>
      <c r="CI24" s="191"/>
      <c r="CJ24" s="2485"/>
      <c r="CK24" s="192"/>
      <c r="CL24" s="419"/>
      <c r="CM24" s="192"/>
      <c r="CN24" s="505"/>
      <c r="CO24" s="671" t="str">
        <f>Translation!$B$239</f>
        <v>Delta-Wert des Szenarios</v>
      </c>
      <c r="CP24" s="667">
        <f>SUM(CP27:CP68)</f>
        <v>0</v>
      </c>
      <c r="CQ24" s="42"/>
      <c r="CR24" s="2483"/>
      <c r="CS24" s="191"/>
      <c r="CT24" s="2485"/>
      <c r="CU24" s="192"/>
      <c r="CV24" s="419"/>
      <c r="CW24" s="192"/>
      <c r="CX24" s="505"/>
      <c r="CY24" s="671" t="str">
        <f>Translation!$B$239</f>
        <v>Delta-Wert des Szenarios</v>
      </c>
      <c r="CZ24" s="667">
        <f>SUM(CZ27:CZ68)</f>
        <v>0</v>
      </c>
      <c r="DA24" s="42"/>
      <c r="DB24" s="2483"/>
      <c r="DC24" s="191"/>
      <c r="DD24" s="2485"/>
      <c r="DE24" s="192"/>
      <c r="DF24" s="419"/>
      <c r="DG24" s="192"/>
      <c r="DH24" s="505"/>
      <c r="DI24" s="671" t="str">
        <f>Translation!$B$239</f>
        <v>Delta-Wert des Szenarios</v>
      </c>
      <c r="DJ24" s="667">
        <f>SUM(DJ27:DJ68)</f>
        <v>0</v>
      </c>
      <c r="DK24" s="42"/>
      <c r="DL24" s="2483"/>
      <c r="DM24" s="191"/>
      <c r="DN24" s="2485"/>
      <c r="DO24" s="192"/>
      <c r="DP24" s="419"/>
      <c r="DQ24" s="192"/>
      <c r="DR24" s="505"/>
      <c r="DS24" s="671" t="str">
        <f>Translation!$B$239</f>
        <v>Delta-Wert des Szenarios</v>
      </c>
      <c r="DT24" s="667">
        <f>SUM(DT27:DT68)</f>
        <v>0</v>
      </c>
      <c r="DU24" s="42"/>
      <c r="DV24" s="2483"/>
      <c r="DW24" s="191"/>
      <c r="DX24" s="2485"/>
      <c r="DY24" s="192"/>
      <c r="DZ24" s="419"/>
      <c r="EA24" s="192"/>
      <c r="EB24" s="505"/>
      <c r="EC24" s="671" t="str">
        <f>Translation!$B$239</f>
        <v>Delta-Wert des Szenarios</v>
      </c>
      <c r="ED24" s="667">
        <f>SUM(ED27:ED68)</f>
        <v>0</v>
      </c>
      <c r="EE24" s="42"/>
      <c r="EF24" s="2483"/>
      <c r="EG24" s="191"/>
      <c r="EH24" s="2485"/>
      <c r="EI24" s="192"/>
      <c r="EJ24" s="419"/>
      <c r="EK24" s="192"/>
      <c r="EL24" s="505"/>
      <c r="EM24" s="671" t="str">
        <f>Translation!$B$239</f>
        <v>Delta-Wert des Szenarios</v>
      </c>
      <c r="EN24" s="667">
        <f>SUM(EN27:EN68)</f>
        <v>0</v>
      </c>
    </row>
    <row r="25" spans="1:144" s="25" customFormat="1" ht="12.75" customHeight="1" x14ac:dyDescent="0.2">
      <c r="A25" s="324"/>
      <c r="B25" s="198"/>
      <c r="C25" s="198"/>
      <c r="D25" s="198"/>
      <c r="E25" s="2490"/>
      <c r="F25" s="515"/>
      <c r="G25" s="516" t="s">
        <v>98</v>
      </c>
      <c r="H25" s="510" t="s">
        <v>98</v>
      </c>
      <c r="I25" s="513"/>
      <c r="J25" s="516" t="s">
        <v>98</v>
      </c>
      <c r="K25" s="510" t="s">
        <v>98</v>
      </c>
      <c r="L25" s="40"/>
      <c r="M25" s="517" t="s">
        <v>98</v>
      </c>
      <c r="N25" s="518" t="s">
        <v>98</v>
      </c>
      <c r="O25" s="40"/>
      <c r="P25" s="2483"/>
      <c r="Q25" s="413"/>
      <c r="R25" s="2485"/>
      <c r="S25" s="513"/>
      <c r="T25" s="516" t="s">
        <v>98</v>
      </c>
      <c r="U25" s="513"/>
      <c r="V25" s="516" t="s">
        <v>98</v>
      </c>
      <c r="W25" s="516"/>
      <c r="X25" s="518" t="s">
        <v>98</v>
      </c>
      <c r="Y25" s="40"/>
      <c r="Z25" s="2483"/>
      <c r="AA25" s="413"/>
      <c r="AB25" s="2485"/>
      <c r="AC25" s="513"/>
      <c r="AD25" s="516" t="s">
        <v>98</v>
      </c>
      <c r="AE25" s="513"/>
      <c r="AF25" s="516" t="s">
        <v>98</v>
      </c>
      <c r="AG25" s="516"/>
      <c r="AH25" s="518" t="s">
        <v>98</v>
      </c>
      <c r="AJ25" s="2483"/>
      <c r="AK25" s="413"/>
      <c r="AL25" s="2485"/>
      <c r="AM25" s="513"/>
      <c r="AN25" s="516" t="s">
        <v>98</v>
      </c>
      <c r="AO25" s="513"/>
      <c r="AP25" s="516" t="s">
        <v>98</v>
      </c>
      <c r="AQ25" s="516"/>
      <c r="AR25" s="518" t="s">
        <v>98</v>
      </c>
      <c r="AT25" s="2483"/>
      <c r="AU25" s="413"/>
      <c r="AV25" s="2485"/>
      <c r="AW25" s="513"/>
      <c r="AX25" s="516" t="s">
        <v>98</v>
      </c>
      <c r="AY25" s="513"/>
      <c r="AZ25" s="516" t="s">
        <v>98</v>
      </c>
      <c r="BA25" s="516"/>
      <c r="BB25" s="518" t="s">
        <v>98</v>
      </c>
      <c r="BD25" s="2483"/>
      <c r="BE25" s="413"/>
      <c r="BF25" s="2485"/>
      <c r="BG25" s="513"/>
      <c r="BH25" s="516" t="s">
        <v>98</v>
      </c>
      <c r="BI25" s="513"/>
      <c r="BJ25" s="516" t="s">
        <v>98</v>
      </c>
      <c r="BK25" s="516"/>
      <c r="BL25" s="518" t="s">
        <v>98</v>
      </c>
      <c r="BN25" s="2483"/>
      <c r="BO25" s="413"/>
      <c r="BP25" s="2485"/>
      <c r="BQ25" s="513"/>
      <c r="BR25" s="516" t="s">
        <v>98</v>
      </c>
      <c r="BS25" s="513"/>
      <c r="BT25" s="516" t="s">
        <v>98</v>
      </c>
      <c r="BU25" s="516"/>
      <c r="BV25" s="518" t="s">
        <v>98</v>
      </c>
      <c r="BX25" s="2483"/>
      <c r="BY25" s="413"/>
      <c r="BZ25" s="2485"/>
      <c r="CA25" s="513"/>
      <c r="CB25" s="516" t="s">
        <v>98</v>
      </c>
      <c r="CC25" s="513"/>
      <c r="CD25" s="516" t="s">
        <v>98</v>
      </c>
      <c r="CE25" s="516"/>
      <c r="CF25" s="518" t="s">
        <v>98</v>
      </c>
      <c r="CH25" s="2483"/>
      <c r="CI25" s="413"/>
      <c r="CJ25" s="2485"/>
      <c r="CK25" s="513"/>
      <c r="CL25" s="516" t="s">
        <v>98</v>
      </c>
      <c r="CM25" s="513"/>
      <c r="CN25" s="516" t="s">
        <v>98</v>
      </c>
      <c r="CO25" s="516"/>
      <c r="CP25" s="518" t="s">
        <v>98</v>
      </c>
      <c r="CR25" s="2483"/>
      <c r="CS25" s="413"/>
      <c r="CT25" s="2485"/>
      <c r="CU25" s="513"/>
      <c r="CV25" s="516" t="s">
        <v>98</v>
      </c>
      <c r="CW25" s="513"/>
      <c r="CX25" s="516" t="s">
        <v>98</v>
      </c>
      <c r="CY25" s="516"/>
      <c r="CZ25" s="518" t="s">
        <v>98</v>
      </c>
      <c r="DB25" s="2483"/>
      <c r="DC25" s="413"/>
      <c r="DD25" s="2485"/>
      <c r="DE25" s="513"/>
      <c r="DF25" s="516" t="s">
        <v>98</v>
      </c>
      <c r="DG25" s="513"/>
      <c r="DH25" s="516" t="s">
        <v>98</v>
      </c>
      <c r="DI25" s="516"/>
      <c r="DJ25" s="518" t="s">
        <v>98</v>
      </c>
      <c r="DL25" s="2483"/>
      <c r="DM25" s="413"/>
      <c r="DN25" s="2485"/>
      <c r="DO25" s="513"/>
      <c r="DP25" s="516" t="s">
        <v>98</v>
      </c>
      <c r="DQ25" s="513"/>
      <c r="DR25" s="516" t="s">
        <v>98</v>
      </c>
      <c r="DS25" s="516"/>
      <c r="DT25" s="518" t="s">
        <v>98</v>
      </c>
      <c r="DV25" s="2483"/>
      <c r="DW25" s="413"/>
      <c r="DX25" s="2485"/>
      <c r="DY25" s="513"/>
      <c r="DZ25" s="516" t="s">
        <v>98</v>
      </c>
      <c r="EA25" s="513"/>
      <c r="EB25" s="516" t="s">
        <v>98</v>
      </c>
      <c r="EC25" s="516"/>
      <c r="ED25" s="518" t="s">
        <v>98</v>
      </c>
      <c r="EF25" s="2483"/>
      <c r="EG25" s="413"/>
      <c r="EH25" s="2485"/>
      <c r="EI25" s="513"/>
      <c r="EJ25" s="516" t="s">
        <v>98</v>
      </c>
      <c r="EK25" s="513"/>
      <c r="EL25" s="516" t="s">
        <v>98</v>
      </c>
      <c r="EM25" s="516"/>
      <c r="EN25" s="518" t="s">
        <v>98</v>
      </c>
    </row>
    <row r="26" spans="1:144" ht="12.75" customHeight="1" x14ac:dyDescent="0.2">
      <c r="A26" s="24"/>
      <c r="E26" s="242"/>
      <c r="F26" s="241"/>
      <c r="G26" s="216"/>
      <c r="H26" s="422"/>
      <c r="I26" s="193"/>
      <c r="J26" s="216"/>
      <c r="K26" s="422"/>
      <c r="L26" s="193"/>
      <c r="M26" s="502"/>
      <c r="N26" s="503"/>
      <c r="O26" s="193"/>
      <c r="P26" s="519"/>
      <c r="Q26" s="193"/>
      <c r="R26" s="504"/>
      <c r="S26" s="193"/>
      <c r="T26" s="216"/>
      <c r="U26" s="193"/>
      <c r="V26" s="216"/>
      <c r="W26" s="216"/>
      <c r="X26" s="503"/>
      <c r="Y26" s="193"/>
      <c r="Z26" s="519"/>
      <c r="AA26" s="193"/>
      <c r="AB26" s="504"/>
      <c r="AC26" s="193"/>
      <c r="AD26" s="216"/>
      <c r="AE26" s="193"/>
      <c r="AF26" s="216"/>
      <c r="AG26" s="216"/>
      <c r="AH26" s="503"/>
      <c r="AJ26" s="519"/>
      <c r="AK26" s="193"/>
      <c r="AL26" s="504"/>
      <c r="AM26" s="193"/>
      <c r="AN26" s="216"/>
      <c r="AO26" s="193"/>
      <c r="AP26" s="216"/>
      <c r="AQ26" s="216"/>
      <c r="AR26" s="503"/>
      <c r="AT26" s="519"/>
      <c r="AU26" s="193"/>
      <c r="AV26" s="504"/>
      <c r="AW26" s="193"/>
      <c r="AX26" s="216"/>
      <c r="AY26" s="193"/>
      <c r="AZ26" s="216"/>
      <c r="BA26" s="216"/>
      <c r="BB26" s="503"/>
      <c r="BD26" s="519"/>
      <c r="BE26" s="193"/>
      <c r="BF26" s="504"/>
      <c r="BG26" s="193"/>
      <c r="BH26" s="216"/>
      <c r="BI26" s="193"/>
      <c r="BJ26" s="216"/>
      <c r="BK26" s="216"/>
      <c r="BL26" s="503"/>
      <c r="BN26" s="519"/>
      <c r="BO26" s="193"/>
      <c r="BP26" s="504"/>
      <c r="BQ26" s="193"/>
      <c r="BR26" s="216"/>
      <c r="BS26" s="193"/>
      <c r="BT26" s="216"/>
      <c r="BU26" s="216"/>
      <c r="BV26" s="503"/>
      <c r="BX26" s="519"/>
      <c r="BY26" s="193"/>
      <c r="BZ26" s="504"/>
      <c r="CA26" s="193"/>
      <c r="CB26" s="216"/>
      <c r="CC26" s="193"/>
      <c r="CD26" s="216"/>
      <c r="CE26" s="216"/>
      <c r="CF26" s="503"/>
      <c r="CG26" s="42"/>
      <c r="CH26" s="519"/>
      <c r="CI26" s="193"/>
      <c r="CJ26" s="504"/>
      <c r="CK26" s="193"/>
      <c r="CL26" s="216"/>
      <c r="CM26" s="193"/>
      <c r="CN26" s="216"/>
      <c r="CO26" s="216"/>
      <c r="CP26" s="503"/>
      <c r="CQ26" s="42"/>
      <c r="CR26" s="519"/>
      <c r="CS26" s="193"/>
      <c r="CT26" s="504"/>
      <c r="CU26" s="193"/>
      <c r="CV26" s="216"/>
      <c r="CW26" s="193"/>
      <c r="CX26" s="216"/>
      <c r="CY26" s="216"/>
      <c r="CZ26" s="503"/>
      <c r="DA26" s="42"/>
      <c r="DB26" s="519"/>
      <c r="DC26" s="193"/>
      <c r="DD26" s="504"/>
      <c r="DE26" s="193"/>
      <c r="DF26" s="216"/>
      <c r="DG26" s="193"/>
      <c r="DH26" s="216"/>
      <c r="DI26" s="216"/>
      <c r="DJ26" s="503"/>
      <c r="DK26" s="42"/>
      <c r="DL26" s="519"/>
      <c r="DM26" s="193"/>
      <c r="DN26" s="504"/>
      <c r="DO26" s="193"/>
      <c r="DP26" s="216"/>
      <c r="DQ26" s="193"/>
      <c r="DR26" s="216"/>
      <c r="DS26" s="216"/>
      <c r="DT26" s="503"/>
      <c r="DU26" s="42"/>
      <c r="DV26" s="519"/>
      <c r="DW26" s="193"/>
      <c r="DX26" s="504"/>
      <c r="DY26" s="193"/>
      <c r="DZ26" s="216"/>
      <c r="EA26" s="193"/>
      <c r="EB26" s="216"/>
      <c r="EC26" s="216"/>
      <c r="ED26" s="503"/>
      <c r="EE26" s="42"/>
      <c r="EF26" s="519"/>
      <c r="EG26" s="193"/>
      <c r="EH26" s="504"/>
      <c r="EI26" s="193"/>
      <c r="EJ26" s="216"/>
      <c r="EK26" s="193"/>
      <c r="EL26" s="216"/>
      <c r="EM26" s="216"/>
      <c r="EN26" s="503"/>
    </row>
    <row r="27" spans="1:144" s="212" customFormat="1" ht="12.75" customHeight="1" x14ac:dyDescent="0.2">
      <c r="A27" s="259" t="s">
        <v>271</v>
      </c>
      <c r="B27" s="260"/>
      <c r="C27" s="1401" t="s">
        <v>1813</v>
      </c>
      <c r="D27" s="1402"/>
      <c r="E27" s="243">
        <f>'Sensitivitaeten Delta_Market'!D17</f>
        <v>100</v>
      </c>
      <c r="F27" s="1863" t="s">
        <v>250</v>
      </c>
      <c r="G27" s="966">
        <f>'Sensitivitaeten Delta_Market'!L17</f>
        <v>0</v>
      </c>
      <c r="H27" s="967">
        <f>'Sensitivitaeten Delta_Market'!M17</f>
        <v>0</v>
      </c>
      <c r="I27" s="966"/>
      <c r="J27" s="966">
        <f>'Sensitivitaeten Delta_Market'!U17</f>
        <v>0</v>
      </c>
      <c r="K27" s="966">
        <f>'Sensitivitaeten Delta_Market'!V17</f>
        <v>0</v>
      </c>
      <c r="L27" s="966"/>
      <c r="M27" s="262">
        <f t="shared" ref="M27:N35" si="1">G27-J27</f>
        <v>0</v>
      </c>
      <c r="N27" s="262">
        <f t="shared" si="1"/>
        <v>0</v>
      </c>
      <c r="O27" s="263"/>
      <c r="P27" s="246">
        <v>0</v>
      </c>
      <c r="Q27" s="261"/>
      <c r="R27" s="265">
        <f t="shared" ref="R27:R53" si="2">P27/$E27</f>
        <v>0</v>
      </c>
      <c r="S27" s="261"/>
      <c r="T27" s="966">
        <f t="shared" ref="T27:T53" si="3">IF(P27&gt;=0,R27*$G27,-R27*$H27)</f>
        <v>0</v>
      </c>
      <c r="U27" s="966"/>
      <c r="V27" s="966">
        <f t="shared" ref="V27:V53" si="4">IF(P27&gt;=0,R27*$J27,-R27*$K27)</f>
        <v>0</v>
      </c>
      <c r="W27" s="966"/>
      <c r="X27" s="246">
        <f>T27-V27</f>
        <v>0</v>
      </c>
      <c r="Z27" s="246">
        <v>0</v>
      </c>
      <c r="AA27" s="261"/>
      <c r="AB27" s="265">
        <f t="shared" ref="AB27:AB53" si="5">Z27/$E27</f>
        <v>0</v>
      </c>
      <c r="AC27" s="261"/>
      <c r="AD27" s="966">
        <f t="shared" ref="AD27:AD53" si="6">IF(Z27&gt;=0,AB27*$G27,-AB27*$H27)</f>
        <v>0</v>
      </c>
      <c r="AE27" s="966"/>
      <c r="AF27" s="966">
        <f t="shared" ref="AF27:AF53" si="7">IF(Z27&gt;=0,AB27*$J27,-AB27*$K27)</f>
        <v>0</v>
      </c>
      <c r="AG27" s="966"/>
      <c r="AH27" s="246">
        <f>AD27-AF27</f>
        <v>0</v>
      </c>
      <c r="AI27" s="264"/>
      <c r="AJ27" s="246">
        <v>-38.380001789604059</v>
      </c>
      <c r="AK27" s="261"/>
      <c r="AL27" s="265">
        <f t="shared" ref="AL27:AL53" si="8">AJ27/$E27</f>
        <v>-0.38380001789604057</v>
      </c>
      <c r="AM27" s="261"/>
      <c r="AN27" s="966">
        <f t="shared" ref="AN27:AN53" si="9">IF(AJ27&gt;=0,AL27*$G27,-AL27*$H27)</f>
        <v>0</v>
      </c>
      <c r="AO27" s="966"/>
      <c r="AP27" s="966">
        <f t="shared" ref="AP27:AP53" si="10">IF(AJ27&gt;=0,AL27*$J27,-AL27*$K27)</f>
        <v>0</v>
      </c>
      <c r="AQ27" s="966"/>
      <c r="AR27" s="246">
        <f>AN27-AP27</f>
        <v>0</v>
      </c>
      <c r="AS27" s="264"/>
      <c r="AT27" s="246">
        <v>109.8</v>
      </c>
      <c r="AU27" s="261"/>
      <c r="AV27" s="265">
        <f t="shared" ref="AV27:AV53" si="11">AT27/$E27</f>
        <v>1.0979999999999999</v>
      </c>
      <c r="AW27" s="261"/>
      <c r="AX27" s="966">
        <f t="shared" ref="AX27:AX53" si="12">IF(AT27&gt;=0,AV27*$G27,-AV27*$H27)</f>
        <v>0</v>
      </c>
      <c r="AY27" s="966"/>
      <c r="AZ27" s="966">
        <f t="shared" ref="AZ27:AZ53" si="13">IF(AT27&gt;=0,AV27*$J27,-AV27*$K27)</f>
        <v>0</v>
      </c>
      <c r="BA27" s="966"/>
      <c r="BB27" s="246">
        <f>AX27-AZ27</f>
        <v>0</v>
      </c>
      <c r="BC27" s="264"/>
      <c r="BD27" s="246">
        <v>-38.380001789604059</v>
      </c>
      <c r="BE27" s="261"/>
      <c r="BF27" s="265">
        <f t="shared" ref="BF27:BF53" si="14">BD27/$E27</f>
        <v>-0.38380001789604057</v>
      </c>
      <c r="BG27" s="261"/>
      <c r="BH27" s="966">
        <f t="shared" ref="BH27:BH53" si="15">IF(BD27&gt;=0,BF27*$G27,-BF27*$H27)</f>
        <v>0</v>
      </c>
      <c r="BI27" s="966"/>
      <c r="BJ27" s="966">
        <f t="shared" ref="BJ27:BJ53" si="16">IF(BD27&gt;=0,BF27*$J27,-BF27*$K27)</f>
        <v>0</v>
      </c>
      <c r="BK27" s="966"/>
      <c r="BL27" s="246">
        <f>BH27-BJ27</f>
        <v>0</v>
      </c>
      <c r="BM27" s="264"/>
      <c r="BN27" s="246">
        <v>140.6</v>
      </c>
      <c r="BO27" s="261"/>
      <c r="BP27" s="265">
        <f t="shared" ref="BP27:BP53" si="17">BN27/$E27</f>
        <v>1.4059999999999999</v>
      </c>
      <c r="BQ27" s="261"/>
      <c r="BR27" s="966">
        <f t="shared" ref="BR27:BR53" si="18">IF(BN27&gt;=0,BP27*$G27,-BP27*$H27)</f>
        <v>0</v>
      </c>
      <c r="BS27" s="966"/>
      <c r="BT27" s="966">
        <f t="shared" ref="BT27:BT53" si="19">IF(BN27&gt;=0,BP27*$J27,-BP27*$K27)</f>
        <v>0</v>
      </c>
      <c r="BU27" s="966"/>
      <c r="BV27" s="246">
        <f>BR27-BT27</f>
        <v>0</v>
      </c>
      <c r="BW27" s="264"/>
      <c r="BX27" s="246">
        <v>-24.084434791319342</v>
      </c>
      <c r="BY27" s="261"/>
      <c r="BZ27" s="265">
        <f t="shared" ref="BZ27:BZ53" si="20">BX27/$E27</f>
        <v>-0.24084434791319342</v>
      </c>
      <c r="CA27" s="261"/>
      <c r="CB27" s="966">
        <f t="shared" ref="CB27:CB53" si="21">IF(BX27&gt;=0,BZ27*$G27,-BZ27*$H27)</f>
        <v>0</v>
      </c>
      <c r="CC27" s="966"/>
      <c r="CD27" s="966">
        <f t="shared" ref="CD27:CD53" si="22">IF(BX27&gt;=0,BZ27*$J27,-BZ27*$K27)</f>
        <v>0</v>
      </c>
      <c r="CE27" s="966"/>
      <c r="CF27" s="246">
        <f>CB27-CD27</f>
        <v>0</v>
      </c>
      <c r="CG27" s="264"/>
      <c r="CH27" s="246">
        <v>-24.084434791319342</v>
      </c>
      <c r="CI27" s="261"/>
      <c r="CJ27" s="265">
        <f t="shared" ref="CJ27:CJ53" si="23">CH27/$E27</f>
        <v>-0.24084434791319342</v>
      </c>
      <c r="CK27" s="261"/>
      <c r="CL27" s="966">
        <f t="shared" ref="CL27:CL53" si="24">IF(CH27&gt;=0,CJ27*$G27,-CJ27*$H27)</f>
        <v>0</v>
      </c>
      <c r="CM27" s="966"/>
      <c r="CN27" s="966">
        <f t="shared" ref="CN27:CN53" si="25">IF(CH27&gt;=0,CJ27*$J27,-CJ27*$K27)</f>
        <v>0</v>
      </c>
      <c r="CO27" s="966"/>
      <c r="CP27" s="246">
        <f>CL27-CN27</f>
        <v>0</v>
      </c>
      <c r="CQ27" s="264"/>
      <c r="CR27" s="246">
        <v>-38.380001789604059</v>
      </c>
      <c r="CS27" s="261"/>
      <c r="CT27" s="265">
        <f t="shared" ref="CT27:CT53" si="26">CR27/$E27</f>
        <v>-0.38380001789604057</v>
      </c>
      <c r="CU27" s="261"/>
      <c r="CV27" s="966">
        <f t="shared" ref="CV27:CV53" si="27">IF(CR27&gt;=0,CT27*$G27,-CT27*$H27)</f>
        <v>0</v>
      </c>
      <c r="CW27" s="966"/>
      <c r="CX27" s="966">
        <f t="shared" ref="CX27:CX53" si="28">IF(CR27&gt;=0,CT27*$J27,-CT27*$K27)</f>
        <v>0</v>
      </c>
      <c r="CY27" s="966"/>
      <c r="CZ27" s="246">
        <f>CV27-CX27</f>
        <v>0</v>
      </c>
      <c r="DA27" s="264"/>
      <c r="DB27" s="246">
        <v>80</v>
      </c>
      <c r="DC27" s="261"/>
      <c r="DD27" s="265">
        <f t="shared" ref="DD27:DD53" si="29">DB27/$E27</f>
        <v>0.8</v>
      </c>
      <c r="DE27" s="261"/>
      <c r="DF27" s="966">
        <f t="shared" ref="DF27:DF53" si="30">IF(DB27&gt;=0,DD27*$G27,-DD27*$H27)</f>
        <v>0</v>
      </c>
      <c r="DG27" s="966"/>
      <c r="DH27" s="966">
        <f t="shared" ref="DH27:DH53" si="31">IF(DB27&gt;=0,DD27*$J27,-DD27*$K27)</f>
        <v>0</v>
      </c>
      <c r="DI27" s="966"/>
      <c r="DJ27" s="246">
        <f>DF27-DH27</f>
        <v>0</v>
      </c>
      <c r="DK27" s="264"/>
      <c r="DL27" s="246">
        <v>-24.084434791319342</v>
      </c>
      <c r="DM27" s="261"/>
      <c r="DN27" s="265">
        <f t="shared" ref="DN27:DN53" si="32">DL27/$E27</f>
        <v>-0.24084434791319342</v>
      </c>
      <c r="DO27" s="261"/>
      <c r="DP27" s="966">
        <f t="shared" ref="DP27:DP53" si="33">IF(DL27&gt;=0,DN27*$G27,-DN27*$H27)</f>
        <v>0</v>
      </c>
      <c r="DQ27" s="966"/>
      <c r="DR27" s="966">
        <f t="shared" ref="DR27:DR53" si="34">IF(DL27&gt;=0,DN27*$J27,-DN27*$K27)</f>
        <v>0</v>
      </c>
      <c r="DS27" s="966"/>
      <c r="DT27" s="246">
        <f>DP27-DR27</f>
        <v>0</v>
      </c>
      <c r="DU27" s="264"/>
      <c r="DV27" s="246">
        <v>-50</v>
      </c>
      <c r="DW27" s="261"/>
      <c r="DX27" s="265">
        <f t="shared" ref="DX27:DX53" si="35">DV27/$E27</f>
        <v>-0.5</v>
      </c>
      <c r="DY27" s="261"/>
      <c r="DZ27" s="966">
        <f t="shared" ref="DZ27:DZ53" si="36">IF(DV27&gt;=0,DX27*$G27,-DX27*$H27)</f>
        <v>0</v>
      </c>
      <c r="EA27" s="966"/>
      <c r="EB27" s="966">
        <f t="shared" ref="EB27:EB53" si="37">IF(DV27&gt;=0,DX27*$J27,-DX27*$K27)</f>
        <v>0</v>
      </c>
      <c r="EC27" s="966"/>
      <c r="ED27" s="246">
        <f>DZ27-EB27</f>
        <v>0</v>
      </c>
      <c r="EE27" s="264"/>
      <c r="EF27" s="246">
        <v>300</v>
      </c>
      <c r="EG27" s="261"/>
      <c r="EH27" s="265">
        <f t="shared" ref="EH27:EH53" si="38">EF27/$E27</f>
        <v>3</v>
      </c>
      <c r="EI27" s="261"/>
      <c r="EJ27" s="966">
        <f t="shared" ref="EJ27:EJ53" si="39">IF(EF27&gt;=0,EH27*$G27,-EH27*$H27)</f>
        <v>0</v>
      </c>
      <c r="EK27" s="966"/>
      <c r="EL27" s="966">
        <f t="shared" ref="EL27:EL53" si="40">IF(EF27&gt;=0,EH27*$J27,-EH27*$K27)</f>
        <v>0</v>
      </c>
      <c r="EM27" s="966"/>
      <c r="EN27" s="246">
        <f>EJ27-EL27</f>
        <v>0</v>
      </c>
    </row>
    <row r="28" spans="1:144" s="171" customFormat="1" ht="12.75" customHeight="1" x14ac:dyDescent="0.2">
      <c r="A28" s="259" t="s">
        <v>272</v>
      </c>
      <c r="B28" s="173"/>
      <c r="C28" s="1405" t="s">
        <v>2282</v>
      </c>
      <c r="D28" s="1406"/>
      <c r="E28" s="1452">
        <f>'Sensitivitaeten Delta_Market'!D18</f>
        <v>100</v>
      </c>
      <c r="F28" s="244" t="s">
        <v>250</v>
      </c>
      <c r="G28" s="966">
        <f>'Sensitivitaeten Delta_Market'!L18</f>
        <v>0</v>
      </c>
      <c r="H28" s="967">
        <f>'Sensitivitaeten Delta_Market'!M18</f>
        <v>0</v>
      </c>
      <c r="I28" s="966"/>
      <c r="J28" s="966">
        <f>'Sensitivitaeten Delta_Market'!U18</f>
        <v>0</v>
      </c>
      <c r="K28" s="966">
        <f>'Sensitivitaeten Delta_Market'!V18</f>
        <v>0</v>
      </c>
      <c r="L28" s="966"/>
      <c r="M28" s="245">
        <f t="shared" si="1"/>
        <v>0</v>
      </c>
      <c r="N28" s="245">
        <f t="shared" si="1"/>
        <v>0</v>
      </c>
      <c r="O28" s="208"/>
      <c r="P28" s="1452">
        <v>0</v>
      </c>
      <c r="Q28" s="1274"/>
      <c r="R28" s="967">
        <f t="shared" si="2"/>
        <v>0</v>
      </c>
      <c r="S28" s="1274"/>
      <c r="T28" s="966">
        <f t="shared" si="3"/>
        <v>0</v>
      </c>
      <c r="U28" s="966"/>
      <c r="V28" s="966">
        <f t="shared" si="4"/>
        <v>0</v>
      </c>
      <c r="W28" s="966"/>
      <c r="X28" s="246">
        <f t="shared" ref="X28:X55" si="41">T28-V28</f>
        <v>0</v>
      </c>
      <c r="Z28" s="1452">
        <v>0</v>
      </c>
      <c r="AA28" s="1274"/>
      <c r="AB28" s="967">
        <f t="shared" si="5"/>
        <v>0</v>
      </c>
      <c r="AC28" s="1274"/>
      <c r="AD28" s="966">
        <f t="shared" si="6"/>
        <v>0</v>
      </c>
      <c r="AE28" s="966"/>
      <c r="AF28" s="966">
        <f t="shared" si="7"/>
        <v>0</v>
      </c>
      <c r="AG28" s="966"/>
      <c r="AH28" s="246">
        <f t="shared" ref="AH28:AH55" si="42">AD28-AF28</f>
        <v>0</v>
      </c>
      <c r="AI28" s="209"/>
      <c r="AJ28" s="1452">
        <v>-63.000000000000078</v>
      </c>
      <c r="AK28" s="1274"/>
      <c r="AL28" s="967">
        <f t="shared" si="8"/>
        <v>-0.63000000000000078</v>
      </c>
      <c r="AM28" s="1274"/>
      <c r="AN28" s="966">
        <f t="shared" si="9"/>
        <v>0</v>
      </c>
      <c r="AO28" s="966"/>
      <c r="AP28" s="966">
        <f t="shared" si="10"/>
        <v>0</v>
      </c>
      <c r="AQ28" s="966"/>
      <c r="AR28" s="246">
        <f t="shared" ref="AR28:AR55" si="43">AN28-AP28</f>
        <v>0</v>
      </c>
      <c r="AS28" s="209"/>
      <c r="AT28" s="1452">
        <v>103.2</v>
      </c>
      <c r="AU28" s="1274"/>
      <c r="AV28" s="967">
        <f t="shared" si="11"/>
        <v>1.032</v>
      </c>
      <c r="AW28" s="1274"/>
      <c r="AX28" s="966">
        <f t="shared" si="12"/>
        <v>0</v>
      </c>
      <c r="AY28" s="966"/>
      <c r="AZ28" s="966">
        <f t="shared" si="13"/>
        <v>0</v>
      </c>
      <c r="BA28" s="966"/>
      <c r="BB28" s="246">
        <f t="shared" ref="BB28:BB55" si="44">AX28-AZ28</f>
        <v>0</v>
      </c>
      <c r="BC28" s="209"/>
      <c r="BD28" s="1452">
        <v>-66.3</v>
      </c>
      <c r="BE28" s="1274"/>
      <c r="BF28" s="967">
        <f t="shared" si="14"/>
        <v>-0.66299999999999992</v>
      </c>
      <c r="BG28" s="1274"/>
      <c r="BH28" s="966">
        <f t="shared" si="15"/>
        <v>0</v>
      </c>
      <c r="BI28" s="966"/>
      <c r="BJ28" s="966">
        <f t="shared" si="16"/>
        <v>0</v>
      </c>
      <c r="BK28" s="966"/>
      <c r="BL28" s="246">
        <f t="shared" ref="BL28:BL55" si="45">BH28-BJ28</f>
        <v>0</v>
      </c>
      <c r="BM28" s="209"/>
      <c r="BN28" s="1452">
        <v>151.4</v>
      </c>
      <c r="BO28" s="1274"/>
      <c r="BP28" s="967">
        <f t="shared" si="17"/>
        <v>1.514</v>
      </c>
      <c r="BQ28" s="1274"/>
      <c r="BR28" s="966">
        <f t="shared" si="18"/>
        <v>0</v>
      </c>
      <c r="BS28" s="966"/>
      <c r="BT28" s="966">
        <f t="shared" si="19"/>
        <v>0</v>
      </c>
      <c r="BU28" s="966"/>
      <c r="BV28" s="246">
        <f t="shared" ref="BV28:BV55" si="46">BR28-BT28</f>
        <v>0</v>
      </c>
      <c r="BW28" s="209"/>
      <c r="BX28" s="1452">
        <v>-28.5</v>
      </c>
      <c r="BY28" s="1274"/>
      <c r="BZ28" s="967">
        <f t="shared" si="20"/>
        <v>-0.28499999999999998</v>
      </c>
      <c r="CA28" s="1274"/>
      <c r="CB28" s="966">
        <f t="shared" si="21"/>
        <v>0</v>
      </c>
      <c r="CC28" s="966"/>
      <c r="CD28" s="966">
        <f t="shared" si="22"/>
        <v>0</v>
      </c>
      <c r="CE28" s="966"/>
      <c r="CF28" s="246">
        <f t="shared" ref="CF28:CF55" si="47">CB28-CD28</f>
        <v>0</v>
      </c>
      <c r="CG28" s="209"/>
      <c r="CH28" s="1452">
        <v>-63.000000000000078</v>
      </c>
      <c r="CI28" s="1274"/>
      <c r="CJ28" s="967">
        <f t="shared" si="23"/>
        <v>-0.63000000000000078</v>
      </c>
      <c r="CK28" s="1274"/>
      <c r="CL28" s="966">
        <f t="shared" si="24"/>
        <v>0</v>
      </c>
      <c r="CM28" s="966"/>
      <c r="CN28" s="966">
        <f t="shared" si="25"/>
        <v>0</v>
      </c>
      <c r="CO28" s="966"/>
      <c r="CP28" s="246">
        <f t="shared" ref="CP28:CP55" si="48">CL28-CN28</f>
        <v>0</v>
      </c>
      <c r="CQ28" s="209"/>
      <c r="CR28" s="1452">
        <v>-105.63517029823385</v>
      </c>
      <c r="CS28" s="1274"/>
      <c r="CT28" s="967">
        <f t="shared" si="26"/>
        <v>-1.0563517029823384</v>
      </c>
      <c r="CU28" s="1274"/>
      <c r="CV28" s="966">
        <f t="shared" si="27"/>
        <v>0</v>
      </c>
      <c r="CW28" s="966"/>
      <c r="CX28" s="966">
        <f t="shared" si="28"/>
        <v>0</v>
      </c>
      <c r="CY28" s="966"/>
      <c r="CZ28" s="246">
        <f t="shared" ref="CZ28:CZ55" si="49">CV28-CX28</f>
        <v>0</v>
      </c>
      <c r="DA28" s="209"/>
      <c r="DB28" s="1452">
        <v>170</v>
      </c>
      <c r="DC28" s="1274"/>
      <c r="DD28" s="967">
        <f t="shared" si="29"/>
        <v>1.7</v>
      </c>
      <c r="DE28" s="1274"/>
      <c r="DF28" s="966">
        <f t="shared" si="30"/>
        <v>0</v>
      </c>
      <c r="DG28" s="966"/>
      <c r="DH28" s="966">
        <f t="shared" si="31"/>
        <v>0</v>
      </c>
      <c r="DI28" s="966"/>
      <c r="DJ28" s="246">
        <f t="shared" ref="DJ28:DJ55" si="50">DF28-DH28</f>
        <v>0</v>
      </c>
      <c r="DK28" s="209"/>
      <c r="DL28" s="1452">
        <v>-87.503822033644326</v>
      </c>
      <c r="DM28" s="1274"/>
      <c r="DN28" s="967">
        <f t="shared" si="32"/>
        <v>-0.8750382203364433</v>
      </c>
      <c r="DO28" s="1274"/>
      <c r="DP28" s="966">
        <f t="shared" si="33"/>
        <v>0</v>
      </c>
      <c r="DQ28" s="966"/>
      <c r="DR28" s="966">
        <f t="shared" si="34"/>
        <v>0</v>
      </c>
      <c r="DS28" s="966"/>
      <c r="DT28" s="246">
        <f t="shared" ref="DT28:DT55" si="51">DP28-DR28</f>
        <v>0</v>
      </c>
      <c r="DU28" s="209"/>
      <c r="DV28" s="1452">
        <v>-45</v>
      </c>
      <c r="DW28" s="1274"/>
      <c r="DX28" s="967">
        <f t="shared" si="35"/>
        <v>-0.45</v>
      </c>
      <c r="DY28" s="1274"/>
      <c r="DZ28" s="966">
        <f t="shared" si="36"/>
        <v>0</v>
      </c>
      <c r="EA28" s="966"/>
      <c r="EB28" s="966">
        <f t="shared" si="37"/>
        <v>0</v>
      </c>
      <c r="EC28" s="966"/>
      <c r="ED28" s="246">
        <f t="shared" ref="ED28:ED55" si="52">DZ28-EB28</f>
        <v>0</v>
      </c>
      <c r="EE28" s="209"/>
      <c r="EF28" s="1452">
        <v>300</v>
      </c>
      <c r="EG28" s="1274"/>
      <c r="EH28" s="967">
        <f t="shared" si="38"/>
        <v>3</v>
      </c>
      <c r="EI28" s="1274"/>
      <c r="EJ28" s="966">
        <f t="shared" si="39"/>
        <v>0</v>
      </c>
      <c r="EK28" s="966"/>
      <c r="EL28" s="966">
        <f t="shared" si="40"/>
        <v>0</v>
      </c>
      <c r="EM28" s="966"/>
      <c r="EN28" s="246">
        <f t="shared" ref="EN28:EN55" si="53">EJ28-EL28</f>
        <v>0</v>
      </c>
    </row>
    <row r="29" spans="1:144" s="171" customFormat="1" ht="12.75" customHeight="1" x14ac:dyDescent="0.2">
      <c r="A29" s="259" t="s">
        <v>273</v>
      </c>
      <c r="B29" s="173"/>
      <c r="C29" s="674" t="s">
        <v>2283</v>
      </c>
      <c r="D29" s="1407"/>
      <c r="E29" s="1453">
        <f>'Sensitivitaeten Delta_Market'!D19</f>
        <v>100</v>
      </c>
      <c r="F29" s="247" t="s">
        <v>250</v>
      </c>
      <c r="G29" s="968">
        <f>'Sensitivitaeten Delta_Market'!L19</f>
        <v>0</v>
      </c>
      <c r="H29" s="968">
        <f>'Sensitivitaeten Delta_Market'!M19</f>
        <v>0</v>
      </c>
      <c r="I29" s="968"/>
      <c r="J29" s="968">
        <f>'Sensitivitaeten Delta_Market'!U19</f>
        <v>0</v>
      </c>
      <c r="K29" s="968">
        <f>'Sensitivitaeten Delta_Market'!V19</f>
        <v>0</v>
      </c>
      <c r="L29" s="968"/>
      <c r="M29" s="248">
        <f t="shared" si="1"/>
        <v>0</v>
      </c>
      <c r="N29" s="248">
        <f t="shared" si="1"/>
        <v>0</v>
      </c>
      <c r="O29" s="208"/>
      <c r="P29" s="1453">
        <v>0</v>
      </c>
      <c r="Q29" s="1456"/>
      <c r="R29" s="969">
        <f t="shared" si="2"/>
        <v>0</v>
      </c>
      <c r="S29" s="1456"/>
      <c r="T29" s="968">
        <f t="shared" si="3"/>
        <v>0</v>
      </c>
      <c r="U29" s="968"/>
      <c r="V29" s="968">
        <f t="shared" si="4"/>
        <v>0</v>
      </c>
      <c r="W29" s="968"/>
      <c r="X29" s="668">
        <f t="shared" si="41"/>
        <v>0</v>
      </c>
      <c r="Z29" s="1453">
        <v>0</v>
      </c>
      <c r="AA29" s="1456"/>
      <c r="AB29" s="969">
        <f t="shared" si="5"/>
        <v>0</v>
      </c>
      <c r="AC29" s="1456"/>
      <c r="AD29" s="968">
        <f t="shared" si="6"/>
        <v>0</v>
      </c>
      <c r="AE29" s="968"/>
      <c r="AF29" s="968">
        <f t="shared" si="7"/>
        <v>0</v>
      </c>
      <c r="AG29" s="968"/>
      <c r="AH29" s="668">
        <f t="shared" si="42"/>
        <v>0</v>
      </c>
      <c r="AJ29" s="1453">
        <v>-50.6</v>
      </c>
      <c r="AK29" s="1456"/>
      <c r="AL29" s="969">
        <f t="shared" si="8"/>
        <v>-0.50600000000000001</v>
      </c>
      <c r="AM29" s="1456"/>
      <c r="AN29" s="968">
        <f t="shared" si="9"/>
        <v>0</v>
      </c>
      <c r="AO29" s="968"/>
      <c r="AP29" s="968">
        <f t="shared" si="10"/>
        <v>0</v>
      </c>
      <c r="AQ29" s="968"/>
      <c r="AR29" s="668">
        <f t="shared" si="43"/>
        <v>0</v>
      </c>
      <c r="AT29" s="1453">
        <v>113</v>
      </c>
      <c r="AU29" s="1456"/>
      <c r="AV29" s="969">
        <f t="shared" si="11"/>
        <v>1.1299999999999999</v>
      </c>
      <c r="AW29" s="1456"/>
      <c r="AX29" s="968">
        <f t="shared" si="12"/>
        <v>0</v>
      </c>
      <c r="AY29" s="968"/>
      <c r="AZ29" s="968">
        <f t="shared" si="13"/>
        <v>0</v>
      </c>
      <c r="BA29" s="968"/>
      <c r="BB29" s="668">
        <f t="shared" si="44"/>
        <v>0</v>
      </c>
      <c r="BD29" s="1453">
        <v>-65</v>
      </c>
      <c r="BE29" s="1456"/>
      <c r="BF29" s="969">
        <f t="shared" si="14"/>
        <v>-0.65</v>
      </c>
      <c r="BG29" s="1456"/>
      <c r="BH29" s="968">
        <f t="shared" si="15"/>
        <v>0</v>
      </c>
      <c r="BI29" s="968"/>
      <c r="BJ29" s="968">
        <f t="shared" si="16"/>
        <v>0</v>
      </c>
      <c r="BK29" s="968"/>
      <c r="BL29" s="668">
        <f t="shared" si="45"/>
        <v>0</v>
      </c>
      <c r="BN29" s="1453">
        <v>171</v>
      </c>
      <c r="BO29" s="1456"/>
      <c r="BP29" s="969">
        <f t="shared" si="17"/>
        <v>1.71</v>
      </c>
      <c r="BQ29" s="1456"/>
      <c r="BR29" s="968">
        <f t="shared" si="18"/>
        <v>0</v>
      </c>
      <c r="BS29" s="968"/>
      <c r="BT29" s="968">
        <f t="shared" si="19"/>
        <v>0</v>
      </c>
      <c r="BU29" s="968"/>
      <c r="BV29" s="668">
        <f t="shared" si="46"/>
        <v>0</v>
      </c>
      <c r="BX29" s="1453">
        <v>-55.6</v>
      </c>
      <c r="BY29" s="1456"/>
      <c r="BZ29" s="969">
        <f t="shared" si="20"/>
        <v>-0.55600000000000005</v>
      </c>
      <c r="CA29" s="1456"/>
      <c r="CB29" s="968">
        <f t="shared" si="21"/>
        <v>0</v>
      </c>
      <c r="CC29" s="968"/>
      <c r="CD29" s="968">
        <f t="shared" si="22"/>
        <v>0</v>
      </c>
      <c r="CE29" s="968"/>
      <c r="CF29" s="668">
        <f t="shared" si="47"/>
        <v>0</v>
      </c>
      <c r="CH29" s="1453">
        <v>-50.6</v>
      </c>
      <c r="CI29" s="1456"/>
      <c r="CJ29" s="969">
        <f t="shared" si="23"/>
        <v>-0.50600000000000001</v>
      </c>
      <c r="CK29" s="1456"/>
      <c r="CL29" s="968">
        <f t="shared" si="24"/>
        <v>0</v>
      </c>
      <c r="CM29" s="968"/>
      <c r="CN29" s="968">
        <f t="shared" si="25"/>
        <v>0</v>
      </c>
      <c r="CO29" s="968"/>
      <c r="CP29" s="668">
        <f t="shared" si="48"/>
        <v>0</v>
      </c>
      <c r="CR29" s="1453">
        <v>-200</v>
      </c>
      <c r="CS29" s="1456"/>
      <c r="CT29" s="969">
        <f t="shared" si="26"/>
        <v>-2</v>
      </c>
      <c r="CU29" s="1456"/>
      <c r="CV29" s="968">
        <f t="shared" si="27"/>
        <v>0</v>
      </c>
      <c r="CW29" s="968"/>
      <c r="CX29" s="968">
        <f t="shared" si="28"/>
        <v>0</v>
      </c>
      <c r="CY29" s="968"/>
      <c r="CZ29" s="668">
        <f t="shared" si="49"/>
        <v>0</v>
      </c>
      <c r="DB29" s="1453">
        <v>200</v>
      </c>
      <c r="DC29" s="1456"/>
      <c r="DD29" s="969">
        <f t="shared" si="29"/>
        <v>2</v>
      </c>
      <c r="DE29" s="1456"/>
      <c r="DF29" s="968">
        <f t="shared" si="30"/>
        <v>0</v>
      </c>
      <c r="DG29" s="968"/>
      <c r="DH29" s="968">
        <f t="shared" si="31"/>
        <v>0</v>
      </c>
      <c r="DI29" s="968"/>
      <c r="DJ29" s="668">
        <f t="shared" si="50"/>
        <v>0</v>
      </c>
      <c r="DL29" s="1453">
        <v>-134.60000000000002</v>
      </c>
      <c r="DM29" s="1456"/>
      <c r="DN29" s="969">
        <f t="shared" si="32"/>
        <v>-1.3460000000000003</v>
      </c>
      <c r="DO29" s="1456"/>
      <c r="DP29" s="968">
        <f t="shared" si="33"/>
        <v>0</v>
      </c>
      <c r="DQ29" s="968"/>
      <c r="DR29" s="968">
        <f t="shared" si="34"/>
        <v>0</v>
      </c>
      <c r="DS29" s="968"/>
      <c r="DT29" s="668">
        <f t="shared" si="51"/>
        <v>0</v>
      </c>
      <c r="DV29" s="1453">
        <v>-45</v>
      </c>
      <c r="DW29" s="1456"/>
      <c r="DX29" s="969">
        <f t="shared" si="35"/>
        <v>-0.45</v>
      </c>
      <c r="DY29" s="1456"/>
      <c r="DZ29" s="968">
        <f t="shared" si="36"/>
        <v>0</v>
      </c>
      <c r="EA29" s="968"/>
      <c r="EB29" s="968">
        <f t="shared" si="37"/>
        <v>0</v>
      </c>
      <c r="EC29" s="968"/>
      <c r="ED29" s="668">
        <f t="shared" si="52"/>
        <v>0</v>
      </c>
      <c r="EF29" s="1453">
        <v>300</v>
      </c>
      <c r="EG29" s="1456"/>
      <c r="EH29" s="969">
        <f t="shared" si="38"/>
        <v>3</v>
      </c>
      <c r="EI29" s="1456"/>
      <c r="EJ29" s="968">
        <f t="shared" si="39"/>
        <v>0</v>
      </c>
      <c r="EK29" s="968"/>
      <c r="EL29" s="968">
        <f t="shared" si="40"/>
        <v>0</v>
      </c>
      <c r="EM29" s="968"/>
      <c r="EN29" s="668">
        <f t="shared" si="53"/>
        <v>0</v>
      </c>
    </row>
    <row r="30" spans="1:144" ht="12.75" customHeight="1" x14ac:dyDescent="0.2">
      <c r="A30" s="259" t="s">
        <v>274</v>
      </c>
      <c r="B30" s="1"/>
      <c r="C30" s="1409" t="s">
        <v>1814</v>
      </c>
      <c r="D30" s="220"/>
      <c r="E30" s="1452">
        <f>'Sensitivitaeten Delta_Market'!D20</f>
        <v>140</v>
      </c>
      <c r="F30" s="244" t="s">
        <v>250</v>
      </c>
      <c r="G30" s="966">
        <f>'Sensitivitaeten Delta_Market'!L20</f>
        <v>0</v>
      </c>
      <c r="H30" s="966">
        <f>'Sensitivitaeten Delta_Market'!M20</f>
        <v>0</v>
      </c>
      <c r="I30" s="966"/>
      <c r="J30" s="966">
        <f>'Sensitivitaeten Delta_Market'!U20</f>
        <v>0</v>
      </c>
      <c r="K30" s="966">
        <f>'Sensitivitaeten Delta_Market'!V20</f>
        <v>0</v>
      </c>
      <c r="L30" s="966"/>
      <c r="M30" s="245">
        <f t="shared" si="1"/>
        <v>0</v>
      </c>
      <c r="N30" s="245">
        <f t="shared" si="1"/>
        <v>0</v>
      </c>
      <c r="O30" s="208"/>
      <c r="P30" s="1452">
        <v>0</v>
      </c>
      <c r="Q30" s="1274"/>
      <c r="R30" s="967">
        <f t="shared" si="2"/>
        <v>0</v>
      </c>
      <c r="S30" s="1274"/>
      <c r="T30" s="966">
        <f t="shared" si="3"/>
        <v>0</v>
      </c>
      <c r="U30" s="966"/>
      <c r="V30" s="966">
        <f t="shared" si="4"/>
        <v>0</v>
      </c>
      <c r="W30" s="966"/>
      <c r="X30" s="246">
        <f t="shared" si="41"/>
        <v>0</v>
      </c>
      <c r="Y30" s="171"/>
      <c r="Z30" s="1452">
        <v>0</v>
      </c>
      <c r="AA30" s="1274"/>
      <c r="AB30" s="967">
        <f t="shared" si="5"/>
        <v>0</v>
      </c>
      <c r="AC30" s="1274"/>
      <c r="AD30" s="966">
        <f t="shared" si="6"/>
        <v>0</v>
      </c>
      <c r="AE30" s="966"/>
      <c r="AF30" s="966">
        <f t="shared" si="7"/>
        <v>0</v>
      </c>
      <c r="AG30" s="966"/>
      <c r="AH30" s="246">
        <f t="shared" si="42"/>
        <v>0</v>
      </c>
      <c r="AJ30" s="1452">
        <v>-57.59999999963901</v>
      </c>
      <c r="AK30" s="1274"/>
      <c r="AL30" s="967">
        <f t="shared" si="8"/>
        <v>-0.41142857142599293</v>
      </c>
      <c r="AM30" s="1274"/>
      <c r="AN30" s="966">
        <f t="shared" si="9"/>
        <v>0</v>
      </c>
      <c r="AO30" s="966"/>
      <c r="AP30" s="966">
        <f t="shared" si="10"/>
        <v>0</v>
      </c>
      <c r="AQ30" s="966"/>
      <c r="AR30" s="246">
        <f t="shared" si="43"/>
        <v>0</v>
      </c>
      <c r="AT30" s="1452">
        <v>129</v>
      </c>
      <c r="AU30" s="1274"/>
      <c r="AV30" s="967">
        <f t="shared" si="11"/>
        <v>0.92142857142857137</v>
      </c>
      <c r="AW30" s="1274"/>
      <c r="AX30" s="966">
        <f t="shared" si="12"/>
        <v>0</v>
      </c>
      <c r="AY30" s="966"/>
      <c r="AZ30" s="966">
        <f t="shared" si="13"/>
        <v>0</v>
      </c>
      <c r="BA30" s="966"/>
      <c r="BB30" s="246">
        <f t="shared" si="44"/>
        <v>0</v>
      </c>
      <c r="BD30" s="1452">
        <v>63.999999999999879</v>
      </c>
      <c r="BE30" s="1274"/>
      <c r="BF30" s="967">
        <f t="shared" si="14"/>
        <v>0.4571428571428563</v>
      </c>
      <c r="BG30" s="1274"/>
      <c r="BH30" s="966">
        <f t="shared" si="15"/>
        <v>0</v>
      </c>
      <c r="BI30" s="966"/>
      <c r="BJ30" s="966">
        <f t="shared" si="16"/>
        <v>0</v>
      </c>
      <c r="BK30" s="966"/>
      <c r="BL30" s="246">
        <f t="shared" si="45"/>
        <v>0</v>
      </c>
      <c r="BN30" s="1452">
        <v>116</v>
      </c>
      <c r="BO30" s="1274"/>
      <c r="BP30" s="967">
        <f t="shared" si="17"/>
        <v>0.82857142857142863</v>
      </c>
      <c r="BQ30" s="1274"/>
      <c r="BR30" s="966">
        <f t="shared" si="18"/>
        <v>0</v>
      </c>
      <c r="BS30" s="966"/>
      <c r="BT30" s="966">
        <f t="shared" si="19"/>
        <v>0</v>
      </c>
      <c r="BU30" s="966"/>
      <c r="BV30" s="246">
        <f t="shared" si="46"/>
        <v>0</v>
      </c>
      <c r="BX30" s="1452">
        <v>-40.299999999062706</v>
      </c>
      <c r="BY30" s="1274"/>
      <c r="BZ30" s="967">
        <f t="shared" si="20"/>
        <v>-0.28785714285044789</v>
      </c>
      <c r="CA30" s="1274"/>
      <c r="CB30" s="966">
        <f t="shared" si="21"/>
        <v>0</v>
      </c>
      <c r="CC30" s="966"/>
      <c r="CD30" s="966">
        <f t="shared" si="22"/>
        <v>0</v>
      </c>
      <c r="CE30" s="966"/>
      <c r="CF30" s="246">
        <f t="shared" si="47"/>
        <v>0</v>
      </c>
      <c r="CH30" s="1452">
        <v>-40.299999999062706</v>
      </c>
      <c r="CI30" s="1274"/>
      <c r="CJ30" s="967">
        <f t="shared" si="23"/>
        <v>-0.28785714285044789</v>
      </c>
      <c r="CK30" s="1274"/>
      <c r="CL30" s="966">
        <f t="shared" si="24"/>
        <v>0</v>
      </c>
      <c r="CM30" s="966"/>
      <c r="CN30" s="966">
        <f t="shared" si="25"/>
        <v>0</v>
      </c>
      <c r="CO30" s="966"/>
      <c r="CP30" s="246">
        <f t="shared" si="48"/>
        <v>0</v>
      </c>
      <c r="CR30" s="1452">
        <v>-57.59999999963901</v>
      </c>
      <c r="CS30" s="1274"/>
      <c r="CT30" s="967">
        <f t="shared" si="26"/>
        <v>-0.41142857142599293</v>
      </c>
      <c r="CU30" s="1274"/>
      <c r="CV30" s="966">
        <f t="shared" si="27"/>
        <v>0</v>
      </c>
      <c r="CW30" s="966"/>
      <c r="CX30" s="966">
        <f t="shared" si="28"/>
        <v>0</v>
      </c>
      <c r="CY30" s="966"/>
      <c r="CZ30" s="246">
        <f t="shared" si="49"/>
        <v>0</v>
      </c>
      <c r="DB30" s="246">
        <v>80</v>
      </c>
      <c r="DC30" s="1274"/>
      <c r="DD30" s="967">
        <f t="shared" si="29"/>
        <v>0.5714285714285714</v>
      </c>
      <c r="DE30" s="1274"/>
      <c r="DF30" s="966">
        <f t="shared" si="30"/>
        <v>0</v>
      </c>
      <c r="DG30" s="966"/>
      <c r="DH30" s="966">
        <f t="shared" si="31"/>
        <v>0</v>
      </c>
      <c r="DI30" s="966"/>
      <c r="DJ30" s="246">
        <f t="shared" si="50"/>
        <v>0</v>
      </c>
      <c r="DL30" s="1452">
        <v>-40.299999999062706</v>
      </c>
      <c r="DM30" s="1274"/>
      <c r="DN30" s="967">
        <f t="shared" si="32"/>
        <v>-0.28785714285044789</v>
      </c>
      <c r="DO30" s="1274"/>
      <c r="DP30" s="966">
        <f t="shared" si="33"/>
        <v>0</v>
      </c>
      <c r="DQ30" s="966"/>
      <c r="DR30" s="966">
        <f t="shared" si="34"/>
        <v>0</v>
      </c>
      <c r="DS30" s="966"/>
      <c r="DT30" s="246">
        <f t="shared" si="51"/>
        <v>0</v>
      </c>
      <c r="DV30" s="1452">
        <v>-50</v>
      </c>
      <c r="DW30" s="1274"/>
      <c r="DX30" s="967">
        <f t="shared" si="35"/>
        <v>-0.35714285714285715</v>
      </c>
      <c r="DY30" s="1274"/>
      <c r="DZ30" s="966">
        <f t="shared" si="36"/>
        <v>0</v>
      </c>
      <c r="EA30" s="966"/>
      <c r="EB30" s="966">
        <f t="shared" si="37"/>
        <v>0</v>
      </c>
      <c r="EC30" s="966"/>
      <c r="ED30" s="246">
        <f t="shared" si="52"/>
        <v>0</v>
      </c>
      <c r="EF30" s="1452">
        <v>300</v>
      </c>
      <c r="EG30" s="1274"/>
      <c r="EH30" s="967">
        <f t="shared" si="38"/>
        <v>2.1428571428571428</v>
      </c>
      <c r="EI30" s="1274"/>
      <c r="EJ30" s="966">
        <f t="shared" si="39"/>
        <v>0</v>
      </c>
      <c r="EK30" s="966"/>
      <c r="EL30" s="966">
        <f t="shared" si="40"/>
        <v>0</v>
      </c>
      <c r="EM30" s="966"/>
      <c r="EN30" s="246">
        <f t="shared" si="53"/>
        <v>0</v>
      </c>
    </row>
    <row r="31" spans="1:144" ht="12.75" customHeight="1" x14ac:dyDescent="0.2">
      <c r="A31" s="259" t="s">
        <v>275</v>
      </c>
      <c r="B31" s="1"/>
      <c r="C31" s="1409" t="s">
        <v>2284</v>
      </c>
      <c r="D31" s="220"/>
      <c r="E31" s="1452">
        <f>'Sensitivitaeten Delta_Market'!D21</f>
        <v>140</v>
      </c>
      <c r="F31" s="244" t="s">
        <v>250</v>
      </c>
      <c r="G31" s="966">
        <f>'Sensitivitaeten Delta_Market'!L21</f>
        <v>0</v>
      </c>
      <c r="H31" s="966">
        <f>'Sensitivitaeten Delta_Market'!M21</f>
        <v>0</v>
      </c>
      <c r="I31" s="966"/>
      <c r="J31" s="966">
        <f>'Sensitivitaeten Delta_Market'!U21</f>
        <v>0</v>
      </c>
      <c r="K31" s="966">
        <f>'Sensitivitaeten Delta_Market'!V21</f>
        <v>0</v>
      </c>
      <c r="L31" s="966"/>
      <c r="M31" s="245">
        <f t="shared" si="1"/>
        <v>0</v>
      </c>
      <c r="N31" s="245">
        <f t="shared" si="1"/>
        <v>0</v>
      </c>
      <c r="O31" s="208"/>
      <c r="P31" s="1452">
        <v>0</v>
      </c>
      <c r="Q31" s="1274"/>
      <c r="R31" s="967">
        <f t="shared" si="2"/>
        <v>0</v>
      </c>
      <c r="S31" s="1274"/>
      <c r="T31" s="966">
        <f t="shared" si="3"/>
        <v>0</v>
      </c>
      <c r="U31" s="966"/>
      <c r="V31" s="966">
        <f t="shared" si="4"/>
        <v>0</v>
      </c>
      <c r="W31" s="966"/>
      <c r="X31" s="246">
        <f t="shared" si="41"/>
        <v>0</v>
      </c>
      <c r="Y31" s="171"/>
      <c r="Z31" s="1452">
        <v>0</v>
      </c>
      <c r="AA31" s="1274"/>
      <c r="AB31" s="967">
        <f t="shared" si="5"/>
        <v>0</v>
      </c>
      <c r="AC31" s="1274"/>
      <c r="AD31" s="966">
        <f t="shared" si="6"/>
        <v>0</v>
      </c>
      <c r="AE31" s="966"/>
      <c r="AF31" s="966">
        <f t="shared" si="7"/>
        <v>0</v>
      </c>
      <c r="AG31" s="966"/>
      <c r="AH31" s="246">
        <f t="shared" si="42"/>
        <v>0</v>
      </c>
      <c r="AJ31" s="1452">
        <v>-63.000000000000078</v>
      </c>
      <c r="AK31" s="1274"/>
      <c r="AL31" s="967">
        <f t="shared" si="8"/>
        <v>-0.45000000000000057</v>
      </c>
      <c r="AM31" s="1274"/>
      <c r="AN31" s="966">
        <f t="shared" si="9"/>
        <v>0</v>
      </c>
      <c r="AO31" s="966"/>
      <c r="AP31" s="966">
        <f t="shared" si="10"/>
        <v>0</v>
      </c>
      <c r="AQ31" s="966"/>
      <c r="AR31" s="246">
        <f t="shared" si="43"/>
        <v>0</v>
      </c>
      <c r="AT31" s="1452">
        <v>178</v>
      </c>
      <c r="AU31" s="1274"/>
      <c r="AV31" s="967">
        <f t="shared" si="11"/>
        <v>1.2714285714285714</v>
      </c>
      <c r="AW31" s="1274"/>
      <c r="AX31" s="966">
        <f t="shared" si="12"/>
        <v>0</v>
      </c>
      <c r="AY31" s="966"/>
      <c r="AZ31" s="966">
        <f t="shared" si="13"/>
        <v>0</v>
      </c>
      <c r="BA31" s="966"/>
      <c r="BB31" s="246">
        <f t="shared" si="44"/>
        <v>0</v>
      </c>
      <c r="BD31" s="1452">
        <v>29</v>
      </c>
      <c r="BE31" s="1274"/>
      <c r="BF31" s="967">
        <f t="shared" si="14"/>
        <v>0.20714285714285716</v>
      </c>
      <c r="BG31" s="1274"/>
      <c r="BH31" s="966">
        <f t="shared" si="15"/>
        <v>0</v>
      </c>
      <c r="BI31" s="966"/>
      <c r="BJ31" s="966">
        <f t="shared" si="16"/>
        <v>0</v>
      </c>
      <c r="BK31" s="966"/>
      <c r="BL31" s="246">
        <f t="shared" si="45"/>
        <v>0</v>
      </c>
      <c r="BN31" s="1452">
        <v>134</v>
      </c>
      <c r="BO31" s="1274"/>
      <c r="BP31" s="967">
        <f t="shared" si="17"/>
        <v>0.95714285714285718</v>
      </c>
      <c r="BQ31" s="1274"/>
      <c r="BR31" s="966">
        <f t="shared" si="18"/>
        <v>0</v>
      </c>
      <c r="BS31" s="966"/>
      <c r="BT31" s="966">
        <f t="shared" si="19"/>
        <v>0</v>
      </c>
      <c r="BU31" s="966"/>
      <c r="BV31" s="246">
        <f t="shared" si="46"/>
        <v>0</v>
      </c>
      <c r="BX31" s="1452">
        <v>-70.100000000000051</v>
      </c>
      <c r="BY31" s="1274"/>
      <c r="BZ31" s="967">
        <f t="shared" si="20"/>
        <v>-0.50071428571428611</v>
      </c>
      <c r="CA31" s="1274"/>
      <c r="CB31" s="966">
        <f t="shared" si="21"/>
        <v>0</v>
      </c>
      <c r="CC31" s="966"/>
      <c r="CD31" s="966">
        <f t="shared" si="22"/>
        <v>0</v>
      </c>
      <c r="CE31" s="966"/>
      <c r="CF31" s="246">
        <f t="shared" si="47"/>
        <v>0</v>
      </c>
      <c r="CH31" s="1452">
        <v>-63.000000000000078</v>
      </c>
      <c r="CI31" s="1274"/>
      <c r="CJ31" s="967">
        <f t="shared" si="23"/>
        <v>-0.45000000000000057</v>
      </c>
      <c r="CK31" s="1274"/>
      <c r="CL31" s="966">
        <f t="shared" si="24"/>
        <v>0</v>
      </c>
      <c r="CM31" s="966"/>
      <c r="CN31" s="966">
        <f t="shared" si="25"/>
        <v>0</v>
      </c>
      <c r="CO31" s="966"/>
      <c r="CP31" s="246">
        <f t="shared" si="48"/>
        <v>0</v>
      </c>
      <c r="CR31" s="1452">
        <v>-170</v>
      </c>
      <c r="CS31" s="1274"/>
      <c r="CT31" s="967">
        <f t="shared" si="26"/>
        <v>-1.2142857142857142</v>
      </c>
      <c r="CU31" s="1274"/>
      <c r="CV31" s="966">
        <f t="shared" si="27"/>
        <v>0</v>
      </c>
      <c r="CW31" s="966"/>
      <c r="CX31" s="966">
        <f t="shared" si="28"/>
        <v>0</v>
      </c>
      <c r="CY31" s="966"/>
      <c r="CZ31" s="246">
        <f t="shared" si="49"/>
        <v>0</v>
      </c>
      <c r="DB31" s="1452">
        <v>170</v>
      </c>
      <c r="DC31" s="1274"/>
      <c r="DD31" s="967">
        <f t="shared" si="29"/>
        <v>1.2142857142857142</v>
      </c>
      <c r="DE31" s="1274"/>
      <c r="DF31" s="966">
        <f t="shared" si="30"/>
        <v>0</v>
      </c>
      <c r="DG31" s="966"/>
      <c r="DH31" s="966">
        <f t="shared" si="31"/>
        <v>0</v>
      </c>
      <c r="DI31" s="966"/>
      <c r="DJ31" s="246">
        <f t="shared" si="50"/>
        <v>0</v>
      </c>
      <c r="DL31" s="1452">
        <v>-107.59999999948695</v>
      </c>
      <c r="DM31" s="1274"/>
      <c r="DN31" s="967">
        <f t="shared" si="32"/>
        <v>-0.76857142856776395</v>
      </c>
      <c r="DO31" s="1274"/>
      <c r="DP31" s="966">
        <f t="shared" si="33"/>
        <v>0</v>
      </c>
      <c r="DQ31" s="966"/>
      <c r="DR31" s="966">
        <f t="shared" si="34"/>
        <v>0</v>
      </c>
      <c r="DS31" s="966"/>
      <c r="DT31" s="246">
        <f t="shared" si="51"/>
        <v>0</v>
      </c>
      <c r="DV31" s="1452">
        <v>-40</v>
      </c>
      <c r="DW31" s="1274"/>
      <c r="DX31" s="967">
        <f t="shared" si="35"/>
        <v>-0.2857142857142857</v>
      </c>
      <c r="DY31" s="1274"/>
      <c r="DZ31" s="966">
        <f t="shared" si="36"/>
        <v>0</v>
      </c>
      <c r="EA31" s="966"/>
      <c r="EB31" s="966">
        <f t="shared" si="37"/>
        <v>0</v>
      </c>
      <c r="EC31" s="966"/>
      <c r="ED31" s="246">
        <f t="shared" si="52"/>
        <v>0</v>
      </c>
      <c r="EF31" s="1452">
        <v>300</v>
      </c>
      <c r="EG31" s="1274"/>
      <c r="EH31" s="967">
        <f t="shared" si="38"/>
        <v>2.1428571428571428</v>
      </c>
      <c r="EI31" s="1274"/>
      <c r="EJ31" s="966">
        <f t="shared" si="39"/>
        <v>0</v>
      </c>
      <c r="EK31" s="966"/>
      <c r="EL31" s="966">
        <f t="shared" si="40"/>
        <v>0</v>
      </c>
      <c r="EM31" s="966"/>
      <c r="EN31" s="246">
        <f t="shared" si="53"/>
        <v>0</v>
      </c>
    </row>
    <row r="32" spans="1:144" ht="12.75" customHeight="1" x14ac:dyDescent="0.2">
      <c r="A32" s="259" t="s">
        <v>276</v>
      </c>
      <c r="B32" s="1"/>
      <c r="C32" s="1410" t="s">
        <v>2285</v>
      </c>
      <c r="D32" s="221"/>
      <c r="E32" s="1453">
        <f>'Sensitivitaeten Delta_Market'!D22</f>
        <v>140</v>
      </c>
      <c r="F32" s="247" t="s">
        <v>250</v>
      </c>
      <c r="G32" s="968">
        <f>'Sensitivitaeten Delta_Market'!L22</f>
        <v>0</v>
      </c>
      <c r="H32" s="968">
        <f>'Sensitivitaeten Delta_Market'!M22</f>
        <v>0</v>
      </c>
      <c r="I32" s="968"/>
      <c r="J32" s="968">
        <f>'Sensitivitaeten Delta_Market'!U22</f>
        <v>0</v>
      </c>
      <c r="K32" s="968">
        <f>'Sensitivitaeten Delta_Market'!V22</f>
        <v>0</v>
      </c>
      <c r="L32" s="968"/>
      <c r="M32" s="248">
        <f t="shared" si="1"/>
        <v>0</v>
      </c>
      <c r="N32" s="248">
        <f t="shared" si="1"/>
        <v>0</v>
      </c>
      <c r="O32" s="208"/>
      <c r="P32" s="1453">
        <v>0</v>
      </c>
      <c r="Q32" s="1456"/>
      <c r="R32" s="969">
        <f t="shared" si="2"/>
        <v>0</v>
      </c>
      <c r="S32" s="1456"/>
      <c r="T32" s="968">
        <f t="shared" si="3"/>
        <v>0</v>
      </c>
      <c r="U32" s="968"/>
      <c r="V32" s="968">
        <f t="shared" si="4"/>
        <v>0</v>
      </c>
      <c r="W32" s="968"/>
      <c r="X32" s="668">
        <f t="shared" si="41"/>
        <v>0</v>
      </c>
      <c r="Y32" s="171"/>
      <c r="Z32" s="1453">
        <v>0</v>
      </c>
      <c r="AA32" s="1456"/>
      <c r="AB32" s="969">
        <f t="shared" si="5"/>
        <v>0</v>
      </c>
      <c r="AC32" s="1456"/>
      <c r="AD32" s="968">
        <f t="shared" si="6"/>
        <v>0</v>
      </c>
      <c r="AE32" s="968"/>
      <c r="AF32" s="968">
        <f t="shared" si="7"/>
        <v>0</v>
      </c>
      <c r="AG32" s="968"/>
      <c r="AH32" s="668">
        <f t="shared" si="42"/>
        <v>0</v>
      </c>
      <c r="AJ32" s="1453">
        <v>-50.6</v>
      </c>
      <c r="AK32" s="1456"/>
      <c r="AL32" s="969">
        <f t="shared" si="8"/>
        <v>-0.36142857142857143</v>
      </c>
      <c r="AM32" s="1456"/>
      <c r="AN32" s="968">
        <f t="shared" si="9"/>
        <v>0</v>
      </c>
      <c r="AO32" s="968"/>
      <c r="AP32" s="968">
        <f t="shared" si="10"/>
        <v>0</v>
      </c>
      <c r="AQ32" s="968"/>
      <c r="AR32" s="668">
        <f t="shared" si="43"/>
        <v>0</v>
      </c>
      <c r="AT32" s="1453">
        <v>169.6</v>
      </c>
      <c r="AU32" s="1456"/>
      <c r="AV32" s="969">
        <f t="shared" si="11"/>
        <v>1.2114285714285713</v>
      </c>
      <c r="AW32" s="1456"/>
      <c r="AX32" s="968">
        <f t="shared" si="12"/>
        <v>0</v>
      </c>
      <c r="AY32" s="968"/>
      <c r="AZ32" s="968">
        <f t="shared" si="13"/>
        <v>0</v>
      </c>
      <c r="BA32" s="968"/>
      <c r="BB32" s="668">
        <f t="shared" si="44"/>
        <v>0</v>
      </c>
      <c r="BD32" s="1453">
        <v>7.6</v>
      </c>
      <c r="BE32" s="1456"/>
      <c r="BF32" s="969">
        <f t="shared" si="14"/>
        <v>5.4285714285714284E-2</v>
      </c>
      <c r="BG32" s="1456"/>
      <c r="BH32" s="968">
        <f t="shared" si="15"/>
        <v>0</v>
      </c>
      <c r="BI32" s="968"/>
      <c r="BJ32" s="968">
        <f t="shared" si="16"/>
        <v>0</v>
      </c>
      <c r="BK32" s="968"/>
      <c r="BL32" s="668">
        <f t="shared" si="45"/>
        <v>0</v>
      </c>
      <c r="BN32" s="1453">
        <v>116.6</v>
      </c>
      <c r="BO32" s="1456"/>
      <c r="BP32" s="969">
        <f t="shared" si="17"/>
        <v>0.83285714285714285</v>
      </c>
      <c r="BQ32" s="1456"/>
      <c r="BR32" s="968">
        <f t="shared" si="18"/>
        <v>0</v>
      </c>
      <c r="BS32" s="968"/>
      <c r="BT32" s="968">
        <f t="shared" si="19"/>
        <v>0</v>
      </c>
      <c r="BU32" s="968"/>
      <c r="BV32" s="668">
        <f t="shared" si="46"/>
        <v>0</v>
      </c>
      <c r="BX32" s="1453">
        <v>-44.8</v>
      </c>
      <c r="BY32" s="1456"/>
      <c r="BZ32" s="969">
        <f t="shared" si="20"/>
        <v>-0.32</v>
      </c>
      <c r="CA32" s="1456"/>
      <c r="CB32" s="968">
        <f t="shared" si="21"/>
        <v>0</v>
      </c>
      <c r="CC32" s="968"/>
      <c r="CD32" s="968">
        <f t="shared" si="22"/>
        <v>0</v>
      </c>
      <c r="CE32" s="968"/>
      <c r="CF32" s="668">
        <f t="shared" si="47"/>
        <v>0</v>
      </c>
      <c r="CH32" s="1453">
        <v>-50.6</v>
      </c>
      <c r="CI32" s="1456"/>
      <c r="CJ32" s="969">
        <f t="shared" si="23"/>
        <v>-0.36142857142857143</v>
      </c>
      <c r="CK32" s="1456"/>
      <c r="CL32" s="968">
        <f t="shared" si="24"/>
        <v>0</v>
      </c>
      <c r="CM32" s="968"/>
      <c r="CN32" s="968">
        <f t="shared" si="25"/>
        <v>0</v>
      </c>
      <c r="CO32" s="968"/>
      <c r="CP32" s="668">
        <f t="shared" si="48"/>
        <v>0</v>
      </c>
      <c r="CR32" s="1453">
        <v>-200</v>
      </c>
      <c r="CS32" s="1456"/>
      <c r="CT32" s="969">
        <f t="shared" si="26"/>
        <v>-1.4285714285714286</v>
      </c>
      <c r="CU32" s="1456"/>
      <c r="CV32" s="968">
        <f t="shared" si="27"/>
        <v>0</v>
      </c>
      <c r="CW32" s="968"/>
      <c r="CX32" s="968">
        <f t="shared" si="28"/>
        <v>0</v>
      </c>
      <c r="CY32" s="968"/>
      <c r="CZ32" s="668">
        <f t="shared" si="49"/>
        <v>0</v>
      </c>
      <c r="DB32" s="1453">
        <v>200</v>
      </c>
      <c r="DC32" s="1456"/>
      <c r="DD32" s="969">
        <f t="shared" si="29"/>
        <v>1.4285714285714286</v>
      </c>
      <c r="DE32" s="1456"/>
      <c r="DF32" s="968">
        <f t="shared" si="30"/>
        <v>0</v>
      </c>
      <c r="DG32" s="968"/>
      <c r="DH32" s="968">
        <f t="shared" si="31"/>
        <v>0</v>
      </c>
      <c r="DI32" s="968"/>
      <c r="DJ32" s="668">
        <f t="shared" si="50"/>
        <v>0</v>
      </c>
      <c r="DL32" s="1453">
        <v>-165.49999999999997</v>
      </c>
      <c r="DM32" s="1456"/>
      <c r="DN32" s="969">
        <f t="shared" si="32"/>
        <v>-1.1821428571428569</v>
      </c>
      <c r="DO32" s="1456"/>
      <c r="DP32" s="968">
        <f t="shared" si="33"/>
        <v>0</v>
      </c>
      <c r="DQ32" s="968"/>
      <c r="DR32" s="968">
        <f t="shared" si="34"/>
        <v>0</v>
      </c>
      <c r="DS32" s="968"/>
      <c r="DT32" s="668">
        <f t="shared" si="51"/>
        <v>0</v>
      </c>
      <c r="DV32" s="1453">
        <v>-25</v>
      </c>
      <c r="DW32" s="1456"/>
      <c r="DX32" s="969">
        <f t="shared" si="35"/>
        <v>-0.17857142857142858</v>
      </c>
      <c r="DY32" s="1456"/>
      <c r="DZ32" s="968">
        <f t="shared" si="36"/>
        <v>0</v>
      </c>
      <c r="EA32" s="968"/>
      <c r="EB32" s="968">
        <f t="shared" si="37"/>
        <v>0</v>
      </c>
      <c r="EC32" s="968"/>
      <c r="ED32" s="668">
        <f t="shared" si="52"/>
        <v>0</v>
      </c>
      <c r="EF32" s="1453">
        <v>300</v>
      </c>
      <c r="EG32" s="1456"/>
      <c r="EH32" s="969">
        <f t="shared" si="38"/>
        <v>2.1428571428571428</v>
      </c>
      <c r="EI32" s="1456"/>
      <c r="EJ32" s="968">
        <f t="shared" si="39"/>
        <v>0</v>
      </c>
      <c r="EK32" s="968"/>
      <c r="EL32" s="968">
        <f t="shared" si="40"/>
        <v>0</v>
      </c>
      <c r="EM32" s="968"/>
      <c r="EN32" s="668">
        <f t="shared" si="53"/>
        <v>0</v>
      </c>
    </row>
    <row r="33" spans="1:144" ht="12.75" customHeight="1" x14ac:dyDescent="0.2">
      <c r="A33" s="259" t="s">
        <v>277</v>
      </c>
      <c r="B33" s="1"/>
      <c r="C33" s="1403" t="s">
        <v>2447</v>
      </c>
      <c r="D33" s="206"/>
      <c r="E33" s="1452">
        <f>'Sensitivitaeten Delta_Market'!D23</f>
        <v>140</v>
      </c>
      <c r="F33" s="244" t="s">
        <v>250</v>
      </c>
      <c r="G33" s="966">
        <f>'Sensitivitaeten Delta_Market'!L23</f>
        <v>0</v>
      </c>
      <c r="H33" s="966">
        <f>'Sensitivitaeten Delta_Market'!M23</f>
        <v>0</v>
      </c>
      <c r="I33" s="966"/>
      <c r="J33" s="966">
        <f>'Sensitivitaeten Delta_Market'!U23</f>
        <v>0</v>
      </c>
      <c r="K33" s="966">
        <f>'Sensitivitaeten Delta_Market'!V23</f>
        <v>0</v>
      </c>
      <c r="L33" s="966"/>
      <c r="M33" s="245">
        <f t="shared" si="1"/>
        <v>0</v>
      </c>
      <c r="N33" s="245">
        <f t="shared" si="1"/>
        <v>0</v>
      </c>
      <c r="O33" s="208"/>
      <c r="P33" s="1452">
        <v>0</v>
      </c>
      <c r="Q33" s="1274"/>
      <c r="R33" s="967">
        <f t="shared" si="2"/>
        <v>0</v>
      </c>
      <c r="S33" s="1274"/>
      <c r="T33" s="966">
        <f t="shared" si="3"/>
        <v>0</v>
      </c>
      <c r="U33" s="966"/>
      <c r="V33" s="966">
        <f t="shared" si="4"/>
        <v>0</v>
      </c>
      <c r="W33" s="966"/>
      <c r="X33" s="246">
        <f t="shared" si="41"/>
        <v>0</v>
      </c>
      <c r="Y33" s="171"/>
      <c r="Z33" s="1452">
        <v>0</v>
      </c>
      <c r="AA33" s="1274"/>
      <c r="AB33" s="967">
        <f t="shared" si="5"/>
        <v>0</v>
      </c>
      <c r="AC33" s="1274"/>
      <c r="AD33" s="966">
        <f t="shared" si="6"/>
        <v>0</v>
      </c>
      <c r="AE33" s="966"/>
      <c r="AF33" s="966">
        <f t="shared" si="7"/>
        <v>0</v>
      </c>
      <c r="AG33" s="966"/>
      <c r="AH33" s="246">
        <f t="shared" si="42"/>
        <v>0</v>
      </c>
      <c r="AJ33" s="1452">
        <v>-75.099999999680378</v>
      </c>
      <c r="AK33" s="1274"/>
      <c r="AL33" s="967">
        <f t="shared" si="8"/>
        <v>-0.53642857142628841</v>
      </c>
      <c r="AM33" s="1274"/>
      <c r="AN33" s="966">
        <f t="shared" si="9"/>
        <v>0</v>
      </c>
      <c r="AO33" s="966"/>
      <c r="AP33" s="966">
        <f t="shared" si="10"/>
        <v>0</v>
      </c>
      <c r="AQ33" s="966"/>
      <c r="AR33" s="246">
        <f t="shared" si="43"/>
        <v>0</v>
      </c>
      <c r="AT33" s="1452">
        <v>130.1</v>
      </c>
      <c r="AU33" s="1274"/>
      <c r="AV33" s="967">
        <f t="shared" si="11"/>
        <v>0.92928571428571427</v>
      </c>
      <c r="AW33" s="1274"/>
      <c r="AX33" s="966">
        <f t="shared" si="12"/>
        <v>0</v>
      </c>
      <c r="AY33" s="966"/>
      <c r="AZ33" s="966">
        <f t="shared" si="13"/>
        <v>0</v>
      </c>
      <c r="BA33" s="966"/>
      <c r="BB33" s="246">
        <f t="shared" si="44"/>
        <v>0</v>
      </c>
      <c r="BD33" s="1452">
        <v>45</v>
      </c>
      <c r="BE33" s="1274"/>
      <c r="BF33" s="967">
        <f t="shared" si="14"/>
        <v>0.32142857142857145</v>
      </c>
      <c r="BG33" s="1274"/>
      <c r="BH33" s="966">
        <f t="shared" si="15"/>
        <v>0</v>
      </c>
      <c r="BI33" s="966"/>
      <c r="BJ33" s="966">
        <f t="shared" si="16"/>
        <v>0</v>
      </c>
      <c r="BK33" s="966"/>
      <c r="BL33" s="246">
        <f t="shared" si="45"/>
        <v>0</v>
      </c>
      <c r="BN33" s="1452">
        <v>348.9</v>
      </c>
      <c r="BO33" s="1274"/>
      <c r="BP33" s="967">
        <f t="shared" si="17"/>
        <v>2.492142857142857</v>
      </c>
      <c r="BQ33" s="1274"/>
      <c r="BR33" s="966">
        <f t="shared" si="18"/>
        <v>0</v>
      </c>
      <c r="BS33" s="966"/>
      <c r="BT33" s="966">
        <f t="shared" si="19"/>
        <v>0</v>
      </c>
      <c r="BU33" s="966"/>
      <c r="BV33" s="246">
        <f t="shared" si="46"/>
        <v>0</v>
      </c>
      <c r="BX33" s="1452">
        <v>-117.09999999999772</v>
      </c>
      <c r="BY33" s="1274"/>
      <c r="BZ33" s="967">
        <f t="shared" si="20"/>
        <v>-0.8364285714285552</v>
      </c>
      <c r="CA33" s="1274"/>
      <c r="CB33" s="966">
        <f t="shared" si="21"/>
        <v>0</v>
      </c>
      <c r="CC33" s="966"/>
      <c r="CD33" s="966">
        <f t="shared" si="22"/>
        <v>0</v>
      </c>
      <c r="CE33" s="966"/>
      <c r="CF33" s="246">
        <f t="shared" si="47"/>
        <v>0</v>
      </c>
      <c r="CH33" s="1452">
        <v>-100.2</v>
      </c>
      <c r="CI33" s="1274"/>
      <c r="CJ33" s="967">
        <f t="shared" si="23"/>
        <v>-0.71571428571428575</v>
      </c>
      <c r="CK33" s="1274"/>
      <c r="CL33" s="966">
        <f t="shared" si="24"/>
        <v>0</v>
      </c>
      <c r="CM33" s="966"/>
      <c r="CN33" s="966">
        <f t="shared" si="25"/>
        <v>0</v>
      </c>
      <c r="CO33" s="966"/>
      <c r="CP33" s="246">
        <f t="shared" si="48"/>
        <v>0</v>
      </c>
      <c r="CR33" s="1452">
        <v>-75.099999999680378</v>
      </c>
      <c r="CS33" s="1274"/>
      <c r="CT33" s="967">
        <f t="shared" si="26"/>
        <v>-0.53642857142628841</v>
      </c>
      <c r="CU33" s="1274"/>
      <c r="CV33" s="966">
        <f t="shared" si="27"/>
        <v>0</v>
      </c>
      <c r="CW33" s="966"/>
      <c r="CX33" s="966">
        <f t="shared" si="28"/>
        <v>0</v>
      </c>
      <c r="CY33" s="966"/>
      <c r="CZ33" s="246">
        <f t="shared" si="49"/>
        <v>0</v>
      </c>
      <c r="DB33" s="246">
        <v>80</v>
      </c>
      <c r="DC33" s="1274"/>
      <c r="DD33" s="967">
        <f t="shared" si="29"/>
        <v>0.5714285714285714</v>
      </c>
      <c r="DE33" s="1274"/>
      <c r="DF33" s="966">
        <f t="shared" si="30"/>
        <v>0</v>
      </c>
      <c r="DG33" s="966"/>
      <c r="DH33" s="966">
        <f t="shared" si="31"/>
        <v>0</v>
      </c>
      <c r="DI33" s="966"/>
      <c r="DJ33" s="246">
        <f t="shared" si="50"/>
        <v>0</v>
      </c>
      <c r="DL33" s="1452">
        <v>-117.09999999999772</v>
      </c>
      <c r="DM33" s="1274"/>
      <c r="DN33" s="967">
        <f t="shared" si="32"/>
        <v>-0.8364285714285552</v>
      </c>
      <c r="DO33" s="1274"/>
      <c r="DP33" s="966">
        <f t="shared" si="33"/>
        <v>0</v>
      </c>
      <c r="DQ33" s="966"/>
      <c r="DR33" s="966">
        <f t="shared" si="34"/>
        <v>0</v>
      </c>
      <c r="DS33" s="966"/>
      <c r="DT33" s="246">
        <f t="shared" si="51"/>
        <v>0</v>
      </c>
      <c r="DV33" s="1452">
        <v>-75</v>
      </c>
      <c r="DW33" s="1274"/>
      <c r="DX33" s="967">
        <f t="shared" si="35"/>
        <v>-0.5357142857142857</v>
      </c>
      <c r="DY33" s="1274"/>
      <c r="DZ33" s="966">
        <f t="shared" si="36"/>
        <v>0</v>
      </c>
      <c r="EA33" s="966"/>
      <c r="EB33" s="966">
        <f t="shared" si="37"/>
        <v>0</v>
      </c>
      <c r="EC33" s="966"/>
      <c r="ED33" s="246">
        <f t="shared" si="52"/>
        <v>0</v>
      </c>
      <c r="EF33" s="1452">
        <v>300</v>
      </c>
      <c r="EG33" s="1274"/>
      <c r="EH33" s="967">
        <f t="shared" si="38"/>
        <v>2.1428571428571428</v>
      </c>
      <c r="EI33" s="1274"/>
      <c r="EJ33" s="966">
        <f t="shared" si="39"/>
        <v>0</v>
      </c>
      <c r="EK33" s="966"/>
      <c r="EL33" s="966">
        <f t="shared" si="40"/>
        <v>0</v>
      </c>
      <c r="EM33" s="966"/>
      <c r="EN33" s="246">
        <f t="shared" si="53"/>
        <v>0</v>
      </c>
    </row>
    <row r="34" spans="1:144" ht="12.75" customHeight="1" x14ac:dyDescent="0.2">
      <c r="A34" s="259" t="s">
        <v>278</v>
      </c>
      <c r="B34" s="1"/>
      <c r="C34" s="1403" t="s">
        <v>2286</v>
      </c>
      <c r="D34" s="206"/>
      <c r="E34" s="1452">
        <f>'Sensitivitaeten Delta_Market'!D24</f>
        <v>140</v>
      </c>
      <c r="F34" s="244" t="s">
        <v>250</v>
      </c>
      <c r="G34" s="966">
        <f>'Sensitivitaeten Delta_Market'!L24</f>
        <v>0</v>
      </c>
      <c r="H34" s="966">
        <f>'Sensitivitaeten Delta_Market'!M24</f>
        <v>0</v>
      </c>
      <c r="I34" s="966"/>
      <c r="J34" s="966">
        <f>'Sensitivitaeten Delta_Market'!U24</f>
        <v>0</v>
      </c>
      <c r="K34" s="966">
        <f>'Sensitivitaeten Delta_Market'!V24</f>
        <v>0</v>
      </c>
      <c r="L34" s="966"/>
      <c r="M34" s="245">
        <f t="shared" si="1"/>
        <v>0</v>
      </c>
      <c r="N34" s="245">
        <f t="shared" si="1"/>
        <v>0</v>
      </c>
      <c r="O34" s="208"/>
      <c r="P34" s="1452">
        <v>0</v>
      </c>
      <c r="Q34" s="1274"/>
      <c r="R34" s="967">
        <f t="shared" si="2"/>
        <v>0</v>
      </c>
      <c r="S34" s="1274"/>
      <c r="T34" s="966">
        <f t="shared" si="3"/>
        <v>0</v>
      </c>
      <c r="U34" s="966"/>
      <c r="V34" s="966">
        <f t="shared" si="4"/>
        <v>0</v>
      </c>
      <c r="W34" s="966"/>
      <c r="X34" s="246">
        <f t="shared" si="41"/>
        <v>0</v>
      </c>
      <c r="Y34" s="171"/>
      <c r="Z34" s="1452">
        <v>0</v>
      </c>
      <c r="AA34" s="1274"/>
      <c r="AB34" s="967">
        <f t="shared" si="5"/>
        <v>0</v>
      </c>
      <c r="AC34" s="1274"/>
      <c r="AD34" s="966">
        <f t="shared" si="6"/>
        <v>0</v>
      </c>
      <c r="AE34" s="966"/>
      <c r="AF34" s="966">
        <f t="shared" si="7"/>
        <v>0</v>
      </c>
      <c r="AG34" s="966"/>
      <c r="AH34" s="246">
        <f t="shared" si="42"/>
        <v>0</v>
      </c>
      <c r="AJ34" s="1452">
        <v>-71.2</v>
      </c>
      <c r="AK34" s="1274"/>
      <c r="AL34" s="967">
        <f t="shared" si="8"/>
        <v>-0.50857142857142856</v>
      </c>
      <c r="AM34" s="1274"/>
      <c r="AN34" s="966">
        <f t="shared" si="9"/>
        <v>0</v>
      </c>
      <c r="AO34" s="966"/>
      <c r="AP34" s="966">
        <f t="shared" si="10"/>
        <v>0</v>
      </c>
      <c r="AQ34" s="966"/>
      <c r="AR34" s="246">
        <f t="shared" si="43"/>
        <v>0</v>
      </c>
      <c r="AT34" s="1452">
        <v>129.30000000000001</v>
      </c>
      <c r="AU34" s="1274"/>
      <c r="AV34" s="967">
        <f t="shared" si="11"/>
        <v>0.9235714285714286</v>
      </c>
      <c r="AW34" s="1274"/>
      <c r="AX34" s="966">
        <f t="shared" si="12"/>
        <v>0</v>
      </c>
      <c r="AY34" s="966"/>
      <c r="AZ34" s="966">
        <f t="shared" si="13"/>
        <v>0</v>
      </c>
      <c r="BA34" s="966"/>
      <c r="BB34" s="246">
        <f t="shared" si="44"/>
        <v>0</v>
      </c>
      <c r="BD34" s="1452">
        <v>34.6</v>
      </c>
      <c r="BE34" s="1274"/>
      <c r="BF34" s="967">
        <f t="shared" si="14"/>
        <v>0.24714285714285716</v>
      </c>
      <c r="BG34" s="1274"/>
      <c r="BH34" s="966">
        <f t="shared" si="15"/>
        <v>0</v>
      </c>
      <c r="BI34" s="966"/>
      <c r="BJ34" s="966">
        <f t="shared" si="16"/>
        <v>0</v>
      </c>
      <c r="BK34" s="966"/>
      <c r="BL34" s="246">
        <f t="shared" si="45"/>
        <v>0</v>
      </c>
      <c r="BN34" s="1452">
        <v>235.4</v>
      </c>
      <c r="BO34" s="1274"/>
      <c r="BP34" s="967">
        <f t="shared" si="17"/>
        <v>1.6814285714285715</v>
      </c>
      <c r="BQ34" s="1274"/>
      <c r="BR34" s="966">
        <f t="shared" si="18"/>
        <v>0</v>
      </c>
      <c r="BS34" s="966"/>
      <c r="BT34" s="966">
        <f t="shared" si="19"/>
        <v>0</v>
      </c>
      <c r="BU34" s="966"/>
      <c r="BV34" s="246">
        <f t="shared" si="46"/>
        <v>0</v>
      </c>
      <c r="BX34" s="1452">
        <v>-106.8</v>
      </c>
      <c r="BY34" s="1274"/>
      <c r="BZ34" s="967">
        <f t="shared" si="20"/>
        <v>-0.76285714285714279</v>
      </c>
      <c r="CA34" s="1274"/>
      <c r="CB34" s="966">
        <f t="shared" si="21"/>
        <v>0</v>
      </c>
      <c r="CC34" s="966"/>
      <c r="CD34" s="966">
        <f t="shared" si="22"/>
        <v>0</v>
      </c>
      <c r="CE34" s="966"/>
      <c r="CF34" s="246">
        <f t="shared" si="47"/>
        <v>0</v>
      </c>
      <c r="CH34" s="1452">
        <v>-71.2</v>
      </c>
      <c r="CI34" s="1274"/>
      <c r="CJ34" s="967">
        <f t="shared" si="23"/>
        <v>-0.50857142857142856</v>
      </c>
      <c r="CK34" s="1274"/>
      <c r="CL34" s="966">
        <f t="shared" si="24"/>
        <v>0</v>
      </c>
      <c r="CM34" s="966"/>
      <c r="CN34" s="966">
        <f t="shared" si="25"/>
        <v>0</v>
      </c>
      <c r="CO34" s="966"/>
      <c r="CP34" s="246">
        <f t="shared" si="48"/>
        <v>0</v>
      </c>
      <c r="CR34" s="1452">
        <v>-170</v>
      </c>
      <c r="CS34" s="1274"/>
      <c r="CT34" s="967">
        <f t="shared" si="26"/>
        <v>-1.2142857142857142</v>
      </c>
      <c r="CU34" s="1274"/>
      <c r="CV34" s="966">
        <f t="shared" si="27"/>
        <v>0</v>
      </c>
      <c r="CW34" s="966"/>
      <c r="CX34" s="966">
        <f t="shared" si="28"/>
        <v>0</v>
      </c>
      <c r="CY34" s="966"/>
      <c r="CZ34" s="246">
        <f t="shared" si="49"/>
        <v>0</v>
      </c>
      <c r="DB34" s="1452">
        <v>170</v>
      </c>
      <c r="DC34" s="1274"/>
      <c r="DD34" s="967">
        <f t="shared" si="29"/>
        <v>1.2142857142857142</v>
      </c>
      <c r="DE34" s="1274"/>
      <c r="DF34" s="966">
        <f t="shared" si="30"/>
        <v>0</v>
      </c>
      <c r="DG34" s="966"/>
      <c r="DH34" s="966">
        <f t="shared" si="31"/>
        <v>0</v>
      </c>
      <c r="DI34" s="966"/>
      <c r="DJ34" s="246">
        <f t="shared" si="50"/>
        <v>0</v>
      </c>
      <c r="DL34" s="1452">
        <v>-228.8</v>
      </c>
      <c r="DM34" s="1274"/>
      <c r="DN34" s="967">
        <f t="shared" si="32"/>
        <v>-1.6342857142857143</v>
      </c>
      <c r="DO34" s="1274"/>
      <c r="DP34" s="966">
        <f t="shared" si="33"/>
        <v>0</v>
      </c>
      <c r="DQ34" s="966"/>
      <c r="DR34" s="966">
        <f t="shared" si="34"/>
        <v>0</v>
      </c>
      <c r="DS34" s="966"/>
      <c r="DT34" s="246">
        <f t="shared" si="51"/>
        <v>0</v>
      </c>
      <c r="DV34" s="1452">
        <v>-40</v>
      </c>
      <c r="DW34" s="1274"/>
      <c r="DX34" s="967">
        <f t="shared" si="35"/>
        <v>-0.2857142857142857</v>
      </c>
      <c r="DY34" s="1274"/>
      <c r="DZ34" s="966">
        <f t="shared" si="36"/>
        <v>0</v>
      </c>
      <c r="EA34" s="966"/>
      <c r="EB34" s="966">
        <f t="shared" si="37"/>
        <v>0</v>
      </c>
      <c r="EC34" s="966"/>
      <c r="ED34" s="246">
        <f t="shared" si="52"/>
        <v>0</v>
      </c>
      <c r="EF34" s="1452">
        <v>300</v>
      </c>
      <c r="EG34" s="1274"/>
      <c r="EH34" s="967">
        <f t="shared" si="38"/>
        <v>2.1428571428571428</v>
      </c>
      <c r="EI34" s="1274"/>
      <c r="EJ34" s="966">
        <f t="shared" si="39"/>
        <v>0</v>
      </c>
      <c r="EK34" s="966"/>
      <c r="EL34" s="966">
        <f t="shared" si="40"/>
        <v>0</v>
      </c>
      <c r="EM34" s="966"/>
      <c r="EN34" s="246">
        <f t="shared" si="53"/>
        <v>0</v>
      </c>
    </row>
    <row r="35" spans="1:144" ht="12.75" customHeight="1" x14ac:dyDescent="0.2">
      <c r="A35" s="259" t="s">
        <v>279</v>
      </c>
      <c r="B35" s="1"/>
      <c r="C35" s="1850" t="s">
        <v>2287</v>
      </c>
      <c r="D35" s="1851"/>
      <c r="E35" s="1453">
        <f>'Sensitivitaeten Delta_Market'!D25</f>
        <v>140</v>
      </c>
      <c r="F35" s="247" t="s">
        <v>250</v>
      </c>
      <c r="G35" s="968">
        <f>'Sensitivitaeten Delta_Market'!L25</f>
        <v>0</v>
      </c>
      <c r="H35" s="968">
        <f>'Sensitivitaeten Delta_Market'!M25</f>
        <v>0</v>
      </c>
      <c r="I35" s="968"/>
      <c r="J35" s="968">
        <f>'Sensitivitaeten Delta_Market'!U25</f>
        <v>0</v>
      </c>
      <c r="K35" s="968">
        <f>'Sensitivitaeten Delta_Market'!V25</f>
        <v>0</v>
      </c>
      <c r="L35" s="968"/>
      <c r="M35" s="248">
        <f t="shared" si="1"/>
        <v>0</v>
      </c>
      <c r="N35" s="257">
        <f t="shared" si="1"/>
        <v>0</v>
      </c>
      <c r="O35" s="208"/>
      <c r="P35" s="1453">
        <v>0</v>
      </c>
      <c r="Q35" s="1456"/>
      <c r="R35" s="969">
        <f t="shared" si="2"/>
        <v>0</v>
      </c>
      <c r="S35" s="1456"/>
      <c r="T35" s="968">
        <f t="shared" si="3"/>
        <v>0</v>
      </c>
      <c r="U35" s="968"/>
      <c r="V35" s="968">
        <f t="shared" si="4"/>
        <v>0</v>
      </c>
      <c r="W35" s="968"/>
      <c r="X35" s="668">
        <f t="shared" si="41"/>
        <v>0</v>
      </c>
      <c r="Y35" s="171"/>
      <c r="Z35" s="1453">
        <v>0</v>
      </c>
      <c r="AA35" s="1456"/>
      <c r="AB35" s="969">
        <f t="shared" si="5"/>
        <v>0</v>
      </c>
      <c r="AC35" s="1456"/>
      <c r="AD35" s="968">
        <f t="shared" si="6"/>
        <v>0</v>
      </c>
      <c r="AE35" s="968"/>
      <c r="AF35" s="968">
        <f t="shared" si="7"/>
        <v>0</v>
      </c>
      <c r="AG35" s="968"/>
      <c r="AH35" s="668">
        <f t="shared" si="42"/>
        <v>0</v>
      </c>
      <c r="AJ35" s="1453">
        <v>-71.2</v>
      </c>
      <c r="AK35" s="1456"/>
      <c r="AL35" s="969">
        <f t="shared" si="8"/>
        <v>-0.50857142857142856</v>
      </c>
      <c r="AM35" s="1456"/>
      <c r="AN35" s="968">
        <f t="shared" si="9"/>
        <v>0</v>
      </c>
      <c r="AO35" s="968"/>
      <c r="AP35" s="968">
        <f t="shared" si="10"/>
        <v>0</v>
      </c>
      <c r="AQ35" s="968"/>
      <c r="AR35" s="668">
        <f t="shared" si="43"/>
        <v>0</v>
      </c>
      <c r="AT35" s="1453">
        <v>148.19999999999999</v>
      </c>
      <c r="AU35" s="1456"/>
      <c r="AV35" s="969">
        <f t="shared" si="11"/>
        <v>1.0585714285714285</v>
      </c>
      <c r="AW35" s="1456"/>
      <c r="AX35" s="968">
        <f t="shared" si="12"/>
        <v>0</v>
      </c>
      <c r="AY35" s="968"/>
      <c r="AZ35" s="968">
        <f t="shared" si="13"/>
        <v>0</v>
      </c>
      <c r="BA35" s="968"/>
      <c r="BB35" s="668">
        <f t="shared" si="44"/>
        <v>0</v>
      </c>
      <c r="BD35" s="1453">
        <v>64.8</v>
      </c>
      <c r="BE35" s="1456"/>
      <c r="BF35" s="969">
        <f t="shared" si="14"/>
        <v>0.46285714285714286</v>
      </c>
      <c r="BG35" s="1456"/>
      <c r="BH35" s="968">
        <f t="shared" si="15"/>
        <v>0</v>
      </c>
      <c r="BI35" s="968"/>
      <c r="BJ35" s="968">
        <f t="shared" si="16"/>
        <v>0</v>
      </c>
      <c r="BK35" s="968"/>
      <c r="BL35" s="668">
        <f t="shared" si="45"/>
        <v>0</v>
      </c>
      <c r="BN35" s="1453">
        <v>165.8</v>
      </c>
      <c r="BO35" s="1456"/>
      <c r="BP35" s="969">
        <f t="shared" si="17"/>
        <v>1.1842857142857144</v>
      </c>
      <c r="BQ35" s="1456"/>
      <c r="BR35" s="968">
        <f t="shared" si="18"/>
        <v>0</v>
      </c>
      <c r="BS35" s="968"/>
      <c r="BT35" s="968">
        <f t="shared" si="19"/>
        <v>0</v>
      </c>
      <c r="BU35" s="968"/>
      <c r="BV35" s="668">
        <f t="shared" si="46"/>
        <v>0</v>
      </c>
      <c r="BX35" s="1453">
        <v>-56.2</v>
      </c>
      <c r="BY35" s="1456"/>
      <c r="BZ35" s="969">
        <f t="shared" si="20"/>
        <v>-0.40142857142857147</v>
      </c>
      <c r="CA35" s="1456"/>
      <c r="CB35" s="968">
        <f t="shared" si="21"/>
        <v>0</v>
      </c>
      <c r="CC35" s="968"/>
      <c r="CD35" s="968">
        <f t="shared" si="22"/>
        <v>0</v>
      </c>
      <c r="CE35" s="968"/>
      <c r="CF35" s="668">
        <f t="shared" si="47"/>
        <v>0</v>
      </c>
      <c r="CH35" s="1453">
        <v>-71.2</v>
      </c>
      <c r="CI35" s="1456"/>
      <c r="CJ35" s="969">
        <f t="shared" si="23"/>
        <v>-0.50857142857142856</v>
      </c>
      <c r="CK35" s="1456"/>
      <c r="CL35" s="968">
        <f t="shared" si="24"/>
        <v>0</v>
      </c>
      <c r="CM35" s="968"/>
      <c r="CN35" s="968">
        <f t="shared" si="25"/>
        <v>0</v>
      </c>
      <c r="CO35" s="968"/>
      <c r="CP35" s="668">
        <f t="shared" si="48"/>
        <v>0</v>
      </c>
      <c r="CR35" s="1453">
        <v>-200</v>
      </c>
      <c r="CS35" s="1456"/>
      <c r="CT35" s="969">
        <f t="shared" si="26"/>
        <v>-1.4285714285714286</v>
      </c>
      <c r="CU35" s="1456"/>
      <c r="CV35" s="968">
        <f t="shared" si="27"/>
        <v>0</v>
      </c>
      <c r="CW35" s="968"/>
      <c r="CX35" s="968">
        <f t="shared" si="28"/>
        <v>0</v>
      </c>
      <c r="CY35" s="968"/>
      <c r="CZ35" s="668">
        <f t="shared" si="49"/>
        <v>0</v>
      </c>
      <c r="DB35" s="1453">
        <v>200</v>
      </c>
      <c r="DC35" s="1456"/>
      <c r="DD35" s="969">
        <f t="shared" si="29"/>
        <v>1.4285714285714286</v>
      </c>
      <c r="DE35" s="1456"/>
      <c r="DF35" s="968">
        <f t="shared" si="30"/>
        <v>0</v>
      </c>
      <c r="DG35" s="968"/>
      <c r="DH35" s="968">
        <f t="shared" si="31"/>
        <v>0</v>
      </c>
      <c r="DI35" s="968"/>
      <c r="DJ35" s="668">
        <f t="shared" si="50"/>
        <v>0</v>
      </c>
      <c r="DL35" s="1453">
        <v>-258.2</v>
      </c>
      <c r="DM35" s="1456"/>
      <c r="DN35" s="969">
        <f t="shared" si="32"/>
        <v>-1.8442857142857143</v>
      </c>
      <c r="DO35" s="1456"/>
      <c r="DP35" s="968">
        <f t="shared" si="33"/>
        <v>0</v>
      </c>
      <c r="DQ35" s="968"/>
      <c r="DR35" s="968">
        <f t="shared" si="34"/>
        <v>0</v>
      </c>
      <c r="DS35" s="968"/>
      <c r="DT35" s="668">
        <f t="shared" si="51"/>
        <v>0</v>
      </c>
      <c r="DV35" s="1453">
        <v>-30</v>
      </c>
      <c r="DW35" s="1456"/>
      <c r="DX35" s="969">
        <f t="shared" si="35"/>
        <v>-0.21428571428571427</v>
      </c>
      <c r="DY35" s="1456"/>
      <c r="DZ35" s="968">
        <f t="shared" si="36"/>
        <v>0</v>
      </c>
      <c r="EA35" s="968"/>
      <c r="EB35" s="968">
        <f t="shared" si="37"/>
        <v>0</v>
      </c>
      <c r="EC35" s="968"/>
      <c r="ED35" s="668">
        <f t="shared" si="52"/>
        <v>0</v>
      </c>
      <c r="EF35" s="1453">
        <v>300</v>
      </c>
      <c r="EG35" s="1456"/>
      <c r="EH35" s="969">
        <f t="shared" si="38"/>
        <v>2.1428571428571428</v>
      </c>
      <c r="EI35" s="1456"/>
      <c r="EJ35" s="968">
        <f t="shared" si="39"/>
        <v>0</v>
      </c>
      <c r="EK35" s="968"/>
      <c r="EL35" s="968">
        <f t="shared" si="40"/>
        <v>0</v>
      </c>
      <c r="EM35" s="968"/>
      <c r="EN35" s="668">
        <f t="shared" si="53"/>
        <v>0</v>
      </c>
    </row>
    <row r="36" spans="1:144" ht="12.75" customHeight="1" x14ac:dyDescent="0.2">
      <c r="A36" s="259" t="s">
        <v>280</v>
      </c>
      <c r="B36" s="1"/>
      <c r="C36" s="1408" t="s">
        <v>1816</v>
      </c>
      <c r="D36" s="219"/>
      <c r="E36" s="1452">
        <f>'Sensitivitaeten Delta_Market'!D26</f>
        <v>140</v>
      </c>
      <c r="F36" s="244" t="s">
        <v>250</v>
      </c>
      <c r="G36" s="966">
        <f>'Sensitivitaeten Delta_Market'!L26</f>
        <v>0</v>
      </c>
      <c r="H36" s="966">
        <f>'Sensitivitaeten Delta_Market'!M26</f>
        <v>0</v>
      </c>
      <c r="I36" s="966"/>
      <c r="J36" s="966">
        <f>'Sensitivitaeten Delta_Market'!U26</f>
        <v>0</v>
      </c>
      <c r="K36" s="966">
        <f>'Sensitivitaeten Delta_Market'!V26</f>
        <v>0</v>
      </c>
      <c r="L36" s="966"/>
      <c r="M36" s="245">
        <f t="shared" ref="M36:N47" si="54">G36-J36</f>
        <v>0</v>
      </c>
      <c r="N36" s="245">
        <f t="shared" si="54"/>
        <v>0</v>
      </c>
      <c r="O36" s="208"/>
      <c r="P36" s="1452">
        <v>0</v>
      </c>
      <c r="Q36" s="1274"/>
      <c r="R36" s="967">
        <f t="shared" si="2"/>
        <v>0</v>
      </c>
      <c r="S36" s="1274"/>
      <c r="T36" s="966">
        <f t="shared" si="3"/>
        <v>0</v>
      </c>
      <c r="U36" s="966"/>
      <c r="V36" s="966">
        <f t="shared" si="4"/>
        <v>0</v>
      </c>
      <c r="W36" s="966"/>
      <c r="X36" s="246">
        <f t="shared" si="41"/>
        <v>0</v>
      </c>
      <c r="Y36" s="171"/>
      <c r="Z36" s="1452">
        <v>0</v>
      </c>
      <c r="AA36" s="1274"/>
      <c r="AB36" s="967">
        <f t="shared" si="5"/>
        <v>0</v>
      </c>
      <c r="AC36" s="1274"/>
      <c r="AD36" s="966">
        <f t="shared" si="6"/>
        <v>0</v>
      </c>
      <c r="AE36" s="966"/>
      <c r="AF36" s="966">
        <f t="shared" si="7"/>
        <v>0</v>
      </c>
      <c r="AG36" s="966"/>
      <c r="AH36" s="246">
        <f t="shared" si="42"/>
        <v>0</v>
      </c>
      <c r="AJ36" s="1452">
        <v>-83.599999999955884</v>
      </c>
      <c r="AK36" s="1274"/>
      <c r="AL36" s="967">
        <f t="shared" si="8"/>
        <v>-0.59714285714254201</v>
      </c>
      <c r="AM36" s="1274"/>
      <c r="AN36" s="966">
        <f t="shared" si="9"/>
        <v>0</v>
      </c>
      <c r="AO36" s="966"/>
      <c r="AP36" s="966">
        <f t="shared" si="10"/>
        <v>0</v>
      </c>
      <c r="AQ36" s="966"/>
      <c r="AR36" s="246">
        <f t="shared" si="43"/>
        <v>0</v>
      </c>
      <c r="AT36" s="1452">
        <v>249.4</v>
      </c>
      <c r="AU36" s="1274"/>
      <c r="AV36" s="967">
        <f t="shared" si="11"/>
        <v>1.7814285714285714</v>
      </c>
      <c r="AW36" s="1274"/>
      <c r="AX36" s="966">
        <f t="shared" si="12"/>
        <v>0</v>
      </c>
      <c r="AY36" s="966"/>
      <c r="AZ36" s="966">
        <f t="shared" si="13"/>
        <v>0</v>
      </c>
      <c r="BA36" s="966"/>
      <c r="BB36" s="246">
        <f t="shared" si="44"/>
        <v>0</v>
      </c>
      <c r="BD36" s="1452">
        <v>-83.599999999955884</v>
      </c>
      <c r="BE36" s="1274"/>
      <c r="BF36" s="967">
        <f t="shared" si="14"/>
        <v>-0.59714285714254201</v>
      </c>
      <c r="BG36" s="1274"/>
      <c r="BH36" s="966">
        <f t="shared" si="15"/>
        <v>0</v>
      </c>
      <c r="BI36" s="966"/>
      <c r="BJ36" s="966">
        <f t="shared" si="16"/>
        <v>0</v>
      </c>
      <c r="BK36" s="966"/>
      <c r="BL36" s="246">
        <f t="shared" si="45"/>
        <v>0</v>
      </c>
      <c r="BN36" s="1452">
        <v>319.60000000000002</v>
      </c>
      <c r="BO36" s="1274"/>
      <c r="BP36" s="967">
        <f t="shared" si="17"/>
        <v>2.2828571428571429</v>
      </c>
      <c r="BQ36" s="1274"/>
      <c r="BR36" s="966">
        <f t="shared" si="18"/>
        <v>0</v>
      </c>
      <c r="BS36" s="966"/>
      <c r="BT36" s="966">
        <f t="shared" si="19"/>
        <v>0</v>
      </c>
      <c r="BU36" s="966"/>
      <c r="BV36" s="246">
        <f t="shared" si="46"/>
        <v>0</v>
      </c>
      <c r="BX36" s="1452">
        <v>-101.79999999994634</v>
      </c>
      <c r="BY36" s="1274"/>
      <c r="BZ36" s="967">
        <f t="shared" si="20"/>
        <v>-0.72714285714247384</v>
      </c>
      <c r="CA36" s="1274"/>
      <c r="CB36" s="966">
        <f t="shared" si="21"/>
        <v>0</v>
      </c>
      <c r="CC36" s="966"/>
      <c r="CD36" s="966">
        <f t="shared" si="22"/>
        <v>0</v>
      </c>
      <c r="CE36" s="966"/>
      <c r="CF36" s="246">
        <f t="shared" si="47"/>
        <v>0</v>
      </c>
      <c r="CH36" s="1452">
        <v>-101.79999999994634</v>
      </c>
      <c r="CI36" s="1274"/>
      <c r="CJ36" s="967">
        <f t="shared" si="23"/>
        <v>-0.72714285714247384</v>
      </c>
      <c r="CK36" s="1274"/>
      <c r="CL36" s="966">
        <f t="shared" si="24"/>
        <v>0</v>
      </c>
      <c r="CM36" s="966"/>
      <c r="CN36" s="966">
        <f t="shared" si="25"/>
        <v>0</v>
      </c>
      <c r="CO36" s="966"/>
      <c r="CP36" s="246">
        <f t="shared" si="48"/>
        <v>0</v>
      </c>
      <c r="CR36" s="1452">
        <v>-80</v>
      </c>
      <c r="CS36" s="1274"/>
      <c r="CT36" s="967">
        <f t="shared" si="26"/>
        <v>-0.5714285714285714</v>
      </c>
      <c r="CU36" s="1274"/>
      <c r="CV36" s="966">
        <f t="shared" si="27"/>
        <v>0</v>
      </c>
      <c r="CW36" s="966"/>
      <c r="CX36" s="966">
        <f t="shared" si="28"/>
        <v>0</v>
      </c>
      <c r="CY36" s="966"/>
      <c r="CZ36" s="246">
        <f t="shared" si="49"/>
        <v>0</v>
      </c>
      <c r="DB36" s="246">
        <v>80</v>
      </c>
      <c r="DC36" s="1274"/>
      <c r="DD36" s="967">
        <f t="shared" si="29"/>
        <v>0.5714285714285714</v>
      </c>
      <c r="DE36" s="1274"/>
      <c r="DF36" s="966">
        <f t="shared" si="30"/>
        <v>0</v>
      </c>
      <c r="DG36" s="966"/>
      <c r="DH36" s="966">
        <f t="shared" si="31"/>
        <v>0</v>
      </c>
      <c r="DI36" s="966"/>
      <c r="DJ36" s="246">
        <f t="shared" si="50"/>
        <v>0</v>
      </c>
      <c r="DL36" s="1452">
        <v>-101.79999999994634</v>
      </c>
      <c r="DM36" s="1274"/>
      <c r="DN36" s="967">
        <f t="shared" si="32"/>
        <v>-0.72714285714247384</v>
      </c>
      <c r="DO36" s="1274"/>
      <c r="DP36" s="966">
        <f t="shared" si="33"/>
        <v>0</v>
      </c>
      <c r="DQ36" s="966"/>
      <c r="DR36" s="966">
        <f t="shared" si="34"/>
        <v>0</v>
      </c>
      <c r="DS36" s="966"/>
      <c r="DT36" s="246">
        <f t="shared" si="51"/>
        <v>0</v>
      </c>
      <c r="DV36" s="1452">
        <v>-50</v>
      </c>
      <c r="DW36" s="1274"/>
      <c r="DX36" s="967">
        <f t="shared" si="35"/>
        <v>-0.35714285714285715</v>
      </c>
      <c r="DY36" s="1274"/>
      <c r="DZ36" s="966">
        <f t="shared" si="36"/>
        <v>0</v>
      </c>
      <c r="EA36" s="966"/>
      <c r="EB36" s="966">
        <f t="shared" si="37"/>
        <v>0</v>
      </c>
      <c r="EC36" s="966"/>
      <c r="ED36" s="246">
        <f t="shared" si="52"/>
        <v>0</v>
      </c>
      <c r="EF36" s="1452">
        <v>300</v>
      </c>
      <c r="EG36" s="1274"/>
      <c r="EH36" s="967">
        <f t="shared" si="38"/>
        <v>2.1428571428571428</v>
      </c>
      <c r="EI36" s="1274"/>
      <c r="EJ36" s="966">
        <f t="shared" si="39"/>
        <v>0</v>
      </c>
      <c r="EK36" s="966"/>
      <c r="EL36" s="966">
        <f t="shared" si="40"/>
        <v>0</v>
      </c>
      <c r="EM36" s="966"/>
      <c r="EN36" s="246">
        <f t="shared" si="53"/>
        <v>0</v>
      </c>
    </row>
    <row r="37" spans="1:144" ht="12.75" customHeight="1" x14ac:dyDescent="0.2">
      <c r="A37" s="259" t="s">
        <v>281</v>
      </c>
      <c r="B37" s="1"/>
      <c r="C37" s="1408" t="s">
        <v>2288</v>
      </c>
      <c r="D37" s="219"/>
      <c r="E37" s="1452">
        <f>'Sensitivitaeten Delta_Market'!D27</f>
        <v>140</v>
      </c>
      <c r="F37" s="244" t="s">
        <v>250</v>
      </c>
      <c r="G37" s="966">
        <f>'Sensitivitaeten Delta_Market'!L27</f>
        <v>0</v>
      </c>
      <c r="H37" s="966">
        <f>'Sensitivitaeten Delta_Market'!M27</f>
        <v>0</v>
      </c>
      <c r="I37" s="966"/>
      <c r="J37" s="966">
        <f>'Sensitivitaeten Delta_Market'!U27</f>
        <v>0</v>
      </c>
      <c r="K37" s="966">
        <f>'Sensitivitaeten Delta_Market'!V27</f>
        <v>0</v>
      </c>
      <c r="L37" s="966"/>
      <c r="M37" s="245">
        <f t="shared" si="54"/>
        <v>0</v>
      </c>
      <c r="N37" s="245">
        <f t="shared" si="54"/>
        <v>0</v>
      </c>
      <c r="O37" s="208"/>
      <c r="P37" s="1452">
        <v>0</v>
      </c>
      <c r="Q37" s="1274"/>
      <c r="R37" s="967">
        <f t="shared" si="2"/>
        <v>0</v>
      </c>
      <c r="S37" s="1274"/>
      <c r="T37" s="966">
        <f t="shared" si="3"/>
        <v>0</v>
      </c>
      <c r="U37" s="966"/>
      <c r="V37" s="966">
        <f t="shared" si="4"/>
        <v>0</v>
      </c>
      <c r="W37" s="966"/>
      <c r="X37" s="246">
        <f t="shared" si="41"/>
        <v>0</v>
      </c>
      <c r="Y37" s="171"/>
      <c r="Z37" s="1452">
        <v>0</v>
      </c>
      <c r="AA37" s="1274"/>
      <c r="AB37" s="967">
        <f t="shared" si="5"/>
        <v>0</v>
      </c>
      <c r="AC37" s="1274"/>
      <c r="AD37" s="966">
        <f t="shared" si="6"/>
        <v>0</v>
      </c>
      <c r="AE37" s="966"/>
      <c r="AF37" s="966">
        <f t="shared" si="7"/>
        <v>0</v>
      </c>
      <c r="AG37" s="966"/>
      <c r="AH37" s="246">
        <f t="shared" si="42"/>
        <v>0</v>
      </c>
      <c r="AJ37" s="1452">
        <v>-165.4</v>
      </c>
      <c r="AK37" s="1274"/>
      <c r="AL37" s="967">
        <f t="shared" si="8"/>
        <v>-1.1814285714285715</v>
      </c>
      <c r="AM37" s="1274"/>
      <c r="AN37" s="966">
        <f t="shared" si="9"/>
        <v>0</v>
      </c>
      <c r="AO37" s="966"/>
      <c r="AP37" s="966">
        <f t="shared" si="10"/>
        <v>0</v>
      </c>
      <c r="AQ37" s="966"/>
      <c r="AR37" s="246">
        <f t="shared" si="43"/>
        <v>0</v>
      </c>
      <c r="AT37" s="1452">
        <v>246.8</v>
      </c>
      <c r="AU37" s="1274"/>
      <c r="AV37" s="967">
        <f t="shared" si="11"/>
        <v>1.7628571428571429</v>
      </c>
      <c r="AW37" s="1274"/>
      <c r="AX37" s="966">
        <f t="shared" si="12"/>
        <v>0</v>
      </c>
      <c r="AY37" s="966"/>
      <c r="AZ37" s="966">
        <f t="shared" si="13"/>
        <v>0</v>
      </c>
      <c r="BA37" s="966"/>
      <c r="BB37" s="246">
        <f t="shared" si="44"/>
        <v>0</v>
      </c>
      <c r="BD37" s="1452">
        <v>-56.199999999999896</v>
      </c>
      <c r="BE37" s="1274"/>
      <c r="BF37" s="967">
        <f t="shared" si="14"/>
        <v>-0.40142857142857069</v>
      </c>
      <c r="BG37" s="1274"/>
      <c r="BH37" s="966">
        <f t="shared" si="15"/>
        <v>0</v>
      </c>
      <c r="BI37" s="966"/>
      <c r="BJ37" s="966">
        <f t="shared" si="16"/>
        <v>0</v>
      </c>
      <c r="BK37" s="966"/>
      <c r="BL37" s="246">
        <f t="shared" si="45"/>
        <v>0</v>
      </c>
      <c r="BN37" s="1452">
        <v>254.1</v>
      </c>
      <c r="BO37" s="1274"/>
      <c r="BP37" s="967">
        <f t="shared" si="17"/>
        <v>1.8149999999999999</v>
      </c>
      <c r="BQ37" s="1274"/>
      <c r="BR37" s="966">
        <f t="shared" si="18"/>
        <v>0</v>
      </c>
      <c r="BS37" s="966"/>
      <c r="BT37" s="966">
        <f t="shared" si="19"/>
        <v>0</v>
      </c>
      <c r="BU37" s="966"/>
      <c r="BV37" s="246">
        <f t="shared" si="46"/>
        <v>0</v>
      </c>
      <c r="BX37" s="1452">
        <v>-88.7</v>
      </c>
      <c r="BY37" s="1274"/>
      <c r="BZ37" s="967">
        <f t="shared" si="20"/>
        <v>-0.63357142857142856</v>
      </c>
      <c r="CA37" s="1274"/>
      <c r="CB37" s="966">
        <f t="shared" si="21"/>
        <v>0</v>
      </c>
      <c r="CC37" s="966"/>
      <c r="CD37" s="966">
        <f t="shared" si="22"/>
        <v>0</v>
      </c>
      <c r="CE37" s="966"/>
      <c r="CF37" s="246">
        <f t="shared" si="47"/>
        <v>0</v>
      </c>
      <c r="CH37" s="1452">
        <v>-165.4</v>
      </c>
      <c r="CI37" s="1274"/>
      <c r="CJ37" s="967">
        <f t="shared" si="23"/>
        <v>-1.1814285714285715</v>
      </c>
      <c r="CK37" s="1274"/>
      <c r="CL37" s="966">
        <f t="shared" si="24"/>
        <v>0</v>
      </c>
      <c r="CM37" s="966"/>
      <c r="CN37" s="966">
        <f t="shared" si="25"/>
        <v>0</v>
      </c>
      <c r="CO37" s="966"/>
      <c r="CP37" s="246">
        <f t="shared" si="48"/>
        <v>0</v>
      </c>
      <c r="CR37" s="1452">
        <v>-170</v>
      </c>
      <c r="CS37" s="1274"/>
      <c r="CT37" s="967">
        <f t="shared" si="26"/>
        <v>-1.2142857142857142</v>
      </c>
      <c r="CU37" s="1274"/>
      <c r="CV37" s="966">
        <f t="shared" si="27"/>
        <v>0</v>
      </c>
      <c r="CW37" s="966"/>
      <c r="CX37" s="966">
        <f t="shared" si="28"/>
        <v>0</v>
      </c>
      <c r="CY37" s="966"/>
      <c r="CZ37" s="246">
        <f t="shared" si="49"/>
        <v>0</v>
      </c>
      <c r="DB37" s="1452">
        <v>170</v>
      </c>
      <c r="DC37" s="1274"/>
      <c r="DD37" s="967">
        <f t="shared" si="29"/>
        <v>1.2142857142857142</v>
      </c>
      <c r="DE37" s="1274"/>
      <c r="DF37" s="966">
        <f t="shared" si="30"/>
        <v>0</v>
      </c>
      <c r="DG37" s="966"/>
      <c r="DH37" s="966">
        <f t="shared" si="31"/>
        <v>0</v>
      </c>
      <c r="DI37" s="966"/>
      <c r="DJ37" s="246">
        <f t="shared" si="50"/>
        <v>0</v>
      </c>
      <c r="DL37" s="1452">
        <v>-207.7</v>
      </c>
      <c r="DM37" s="1274"/>
      <c r="DN37" s="967">
        <f t="shared" si="32"/>
        <v>-1.4835714285714285</v>
      </c>
      <c r="DO37" s="1274"/>
      <c r="DP37" s="966">
        <f t="shared" si="33"/>
        <v>0</v>
      </c>
      <c r="DQ37" s="966"/>
      <c r="DR37" s="966">
        <f t="shared" si="34"/>
        <v>0</v>
      </c>
      <c r="DS37" s="966"/>
      <c r="DT37" s="246">
        <f t="shared" si="51"/>
        <v>0</v>
      </c>
      <c r="DV37" s="1452">
        <v>-60</v>
      </c>
      <c r="DW37" s="1274"/>
      <c r="DX37" s="967">
        <f t="shared" si="35"/>
        <v>-0.42857142857142855</v>
      </c>
      <c r="DY37" s="1274"/>
      <c r="DZ37" s="966">
        <f t="shared" si="36"/>
        <v>0</v>
      </c>
      <c r="EA37" s="966"/>
      <c r="EB37" s="966">
        <f t="shared" si="37"/>
        <v>0</v>
      </c>
      <c r="EC37" s="966"/>
      <c r="ED37" s="246">
        <f t="shared" si="52"/>
        <v>0</v>
      </c>
      <c r="EF37" s="1452">
        <v>300</v>
      </c>
      <c r="EG37" s="1274"/>
      <c r="EH37" s="967">
        <f t="shared" si="38"/>
        <v>2.1428571428571428</v>
      </c>
      <c r="EI37" s="1274"/>
      <c r="EJ37" s="966">
        <f t="shared" si="39"/>
        <v>0</v>
      </c>
      <c r="EK37" s="966"/>
      <c r="EL37" s="966">
        <f t="shared" si="40"/>
        <v>0</v>
      </c>
      <c r="EM37" s="966"/>
      <c r="EN37" s="246">
        <f t="shared" si="53"/>
        <v>0</v>
      </c>
    </row>
    <row r="38" spans="1:144" ht="12.75" customHeight="1" x14ac:dyDescent="0.2">
      <c r="A38" s="259" t="s">
        <v>282</v>
      </c>
      <c r="B38" s="1"/>
      <c r="C38" s="1853" t="s">
        <v>2289</v>
      </c>
      <c r="D38" s="1854"/>
      <c r="E38" s="1452">
        <f>'Sensitivitaeten Delta_Market'!D28</f>
        <v>140</v>
      </c>
      <c r="F38" s="244" t="s">
        <v>250</v>
      </c>
      <c r="G38" s="966">
        <f>'Sensitivitaeten Delta_Market'!L28</f>
        <v>0</v>
      </c>
      <c r="H38" s="966">
        <f>'Sensitivitaeten Delta_Market'!M28</f>
        <v>0</v>
      </c>
      <c r="I38" s="966"/>
      <c r="J38" s="966">
        <f>'Sensitivitaeten Delta_Market'!U28</f>
        <v>0</v>
      </c>
      <c r="K38" s="966">
        <f>'Sensitivitaeten Delta_Market'!V28</f>
        <v>0</v>
      </c>
      <c r="L38" s="966"/>
      <c r="M38" s="245">
        <f t="shared" si="54"/>
        <v>0</v>
      </c>
      <c r="N38" s="245">
        <f t="shared" si="54"/>
        <v>0</v>
      </c>
      <c r="O38" s="208"/>
      <c r="P38" s="1452">
        <v>0</v>
      </c>
      <c r="Q38" s="1274"/>
      <c r="R38" s="967">
        <f t="shared" si="2"/>
        <v>0</v>
      </c>
      <c r="S38" s="1274"/>
      <c r="T38" s="966">
        <f t="shared" si="3"/>
        <v>0</v>
      </c>
      <c r="U38" s="966"/>
      <c r="V38" s="966">
        <f t="shared" si="4"/>
        <v>0</v>
      </c>
      <c r="W38" s="966"/>
      <c r="X38" s="246">
        <f t="shared" si="41"/>
        <v>0</v>
      </c>
      <c r="Y38" s="171"/>
      <c r="Z38" s="1452">
        <v>0</v>
      </c>
      <c r="AA38" s="1274"/>
      <c r="AB38" s="967">
        <f t="shared" si="5"/>
        <v>0</v>
      </c>
      <c r="AC38" s="1274"/>
      <c r="AD38" s="966">
        <f t="shared" si="6"/>
        <v>0</v>
      </c>
      <c r="AE38" s="966"/>
      <c r="AF38" s="966">
        <f t="shared" si="7"/>
        <v>0</v>
      </c>
      <c r="AG38" s="966"/>
      <c r="AH38" s="246">
        <f t="shared" si="42"/>
        <v>0</v>
      </c>
      <c r="AJ38" s="1452">
        <v>-146.80000000000001</v>
      </c>
      <c r="AK38" s="1274"/>
      <c r="AL38" s="967">
        <f t="shared" si="8"/>
        <v>-1.0485714285714287</v>
      </c>
      <c r="AM38" s="1274"/>
      <c r="AN38" s="966">
        <f t="shared" si="9"/>
        <v>0</v>
      </c>
      <c r="AO38" s="966"/>
      <c r="AP38" s="966">
        <f t="shared" si="10"/>
        <v>0</v>
      </c>
      <c r="AQ38" s="966"/>
      <c r="AR38" s="246">
        <f t="shared" si="43"/>
        <v>0</v>
      </c>
      <c r="AT38" s="1452">
        <v>248.9</v>
      </c>
      <c r="AU38" s="1274"/>
      <c r="AV38" s="967">
        <f t="shared" si="11"/>
        <v>1.7778571428571428</v>
      </c>
      <c r="AW38" s="1274"/>
      <c r="AX38" s="966">
        <f t="shared" si="12"/>
        <v>0</v>
      </c>
      <c r="AY38" s="966"/>
      <c r="AZ38" s="966">
        <f t="shared" si="13"/>
        <v>0</v>
      </c>
      <c r="BA38" s="966"/>
      <c r="BB38" s="246">
        <f t="shared" si="44"/>
        <v>0</v>
      </c>
      <c r="BD38" s="1452">
        <v>80</v>
      </c>
      <c r="BE38" s="1274"/>
      <c r="BF38" s="967">
        <f t="shared" si="14"/>
        <v>0.5714285714285714</v>
      </c>
      <c r="BG38" s="1274"/>
      <c r="BH38" s="966">
        <f t="shared" si="15"/>
        <v>0</v>
      </c>
      <c r="BI38" s="966"/>
      <c r="BJ38" s="966">
        <f t="shared" si="16"/>
        <v>0</v>
      </c>
      <c r="BK38" s="966"/>
      <c r="BL38" s="246">
        <f t="shared" si="45"/>
        <v>0</v>
      </c>
      <c r="BN38" s="1452">
        <v>185</v>
      </c>
      <c r="BO38" s="1274"/>
      <c r="BP38" s="967">
        <f t="shared" si="17"/>
        <v>1.3214285714285714</v>
      </c>
      <c r="BQ38" s="1274"/>
      <c r="BR38" s="966">
        <f t="shared" si="18"/>
        <v>0</v>
      </c>
      <c r="BS38" s="966"/>
      <c r="BT38" s="966">
        <f t="shared" si="19"/>
        <v>0</v>
      </c>
      <c r="BU38" s="966"/>
      <c r="BV38" s="246">
        <f t="shared" si="46"/>
        <v>0</v>
      </c>
      <c r="BX38" s="1452">
        <v>-120</v>
      </c>
      <c r="BY38" s="1274"/>
      <c r="BZ38" s="967">
        <f t="shared" si="20"/>
        <v>-0.8571428571428571</v>
      </c>
      <c r="CA38" s="1274"/>
      <c r="CB38" s="966">
        <f t="shared" si="21"/>
        <v>0</v>
      </c>
      <c r="CC38" s="966"/>
      <c r="CD38" s="966">
        <f t="shared" si="22"/>
        <v>0</v>
      </c>
      <c r="CE38" s="966"/>
      <c r="CF38" s="246">
        <f t="shared" si="47"/>
        <v>0</v>
      </c>
      <c r="CH38" s="1452">
        <v>-146.80000000000001</v>
      </c>
      <c r="CI38" s="1274"/>
      <c r="CJ38" s="967">
        <f t="shared" si="23"/>
        <v>-1.0485714285714287</v>
      </c>
      <c r="CK38" s="1274"/>
      <c r="CL38" s="966">
        <f t="shared" si="24"/>
        <v>0</v>
      </c>
      <c r="CM38" s="966"/>
      <c r="CN38" s="966">
        <f t="shared" si="25"/>
        <v>0</v>
      </c>
      <c r="CO38" s="966"/>
      <c r="CP38" s="246">
        <f t="shared" si="48"/>
        <v>0</v>
      </c>
      <c r="CR38" s="1452">
        <v>-200</v>
      </c>
      <c r="CS38" s="1274"/>
      <c r="CT38" s="967">
        <f t="shared" si="26"/>
        <v>-1.4285714285714286</v>
      </c>
      <c r="CU38" s="1274"/>
      <c r="CV38" s="966">
        <f t="shared" si="27"/>
        <v>0</v>
      </c>
      <c r="CW38" s="966"/>
      <c r="CX38" s="966">
        <f t="shared" si="28"/>
        <v>0</v>
      </c>
      <c r="CY38" s="966"/>
      <c r="CZ38" s="246">
        <f t="shared" si="49"/>
        <v>0</v>
      </c>
      <c r="DB38" s="1453">
        <v>200</v>
      </c>
      <c r="DC38" s="1274"/>
      <c r="DD38" s="967">
        <f t="shared" si="29"/>
        <v>1.4285714285714286</v>
      </c>
      <c r="DE38" s="1274"/>
      <c r="DF38" s="966">
        <f t="shared" si="30"/>
        <v>0</v>
      </c>
      <c r="DG38" s="966"/>
      <c r="DH38" s="966">
        <f t="shared" si="31"/>
        <v>0</v>
      </c>
      <c r="DI38" s="966"/>
      <c r="DJ38" s="246">
        <f t="shared" si="50"/>
        <v>0</v>
      </c>
      <c r="DL38" s="1452">
        <v>-85.6</v>
      </c>
      <c r="DM38" s="1274"/>
      <c r="DN38" s="967">
        <f t="shared" si="32"/>
        <v>-0.61142857142857143</v>
      </c>
      <c r="DO38" s="1274"/>
      <c r="DP38" s="966">
        <f t="shared" si="33"/>
        <v>0</v>
      </c>
      <c r="DQ38" s="966"/>
      <c r="DR38" s="966">
        <f t="shared" si="34"/>
        <v>0</v>
      </c>
      <c r="DS38" s="966"/>
      <c r="DT38" s="246">
        <f t="shared" si="51"/>
        <v>0</v>
      </c>
      <c r="DV38" s="1452">
        <v>-75</v>
      </c>
      <c r="DW38" s="1274"/>
      <c r="DX38" s="967">
        <f t="shared" si="35"/>
        <v>-0.5357142857142857</v>
      </c>
      <c r="DY38" s="1274"/>
      <c r="DZ38" s="966">
        <f t="shared" si="36"/>
        <v>0</v>
      </c>
      <c r="EA38" s="966"/>
      <c r="EB38" s="966">
        <f t="shared" si="37"/>
        <v>0</v>
      </c>
      <c r="EC38" s="966"/>
      <c r="ED38" s="246">
        <f t="shared" si="52"/>
        <v>0</v>
      </c>
      <c r="EF38" s="1452">
        <v>300</v>
      </c>
      <c r="EG38" s="1274"/>
      <c r="EH38" s="967">
        <f t="shared" si="38"/>
        <v>2.1428571428571428</v>
      </c>
      <c r="EI38" s="1274"/>
      <c r="EJ38" s="966">
        <f t="shared" si="39"/>
        <v>0</v>
      </c>
      <c r="EK38" s="966"/>
      <c r="EL38" s="966">
        <f t="shared" si="40"/>
        <v>0</v>
      </c>
      <c r="EM38" s="966"/>
      <c r="EN38" s="246">
        <f t="shared" si="53"/>
        <v>0</v>
      </c>
    </row>
    <row r="39" spans="1:144" ht="12.75" customHeight="1" x14ac:dyDescent="0.2">
      <c r="A39" s="259" t="s">
        <v>283</v>
      </c>
      <c r="B39" s="1"/>
      <c r="C39" s="1460" t="s">
        <v>1817</v>
      </c>
      <c r="D39" s="395"/>
      <c r="E39" s="1875">
        <f>'Sensitivitaeten Delta_Market'!D29</f>
        <v>0.3</v>
      </c>
      <c r="F39" s="409"/>
      <c r="G39" s="970">
        <f>'Sensitivitaeten Delta_Market'!L29</f>
        <v>0</v>
      </c>
      <c r="H39" s="970">
        <f>'Sensitivitaeten Delta_Market'!M29</f>
        <v>0</v>
      </c>
      <c r="I39" s="970"/>
      <c r="J39" s="970">
        <f>'Sensitivitaeten Delta_Market'!U29</f>
        <v>0</v>
      </c>
      <c r="K39" s="1449">
        <f>'Sensitivitaeten Delta_Market'!V29</f>
        <v>0</v>
      </c>
      <c r="L39" s="970"/>
      <c r="M39" s="410">
        <f t="shared" si="54"/>
        <v>0</v>
      </c>
      <c r="N39" s="411">
        <f t="shared" si="54"/>
        <v>0</v>
      </c>
      <c r="O39" s="1461"/>
      <c r="P39" s="1875">
        <v>0</v>
      </c>
      <c r="Q39" s="1451"/>
      <c r="R39" s="1449">
        <f t="shared" si="2"/>
        <v>0</v>
      </c>
      <c r="S39" s="1451"/>
      <c r="T39" s="970">
        <f>IF(P39&gt;=0,R39*$G39,-R39*$H39)</f>
        <v>0</v>
      </c>
      <c r="U39" s="970"/>
      <c r="V39" s="970">
        <f>IF(P39&gt;=0,R39*$J39,-R39*$K39)</f>
        <v>0</v>
      </c>
      <c r="W39" s="970"/>
      <c r="X39" s="669">
        <f t="shared" si="41"/>
        <v>0</v>
      </c>
      <c r="Y39" s="171"/>
      <c r="Z39" s="1875">
        <v>0</v>
      </c>
      <c r="AA39" s="1451"/>
      <c r="AB39" s="1449">
        <f>Z39/$E39</f>
        <v>0</v>
      </c>
      <c r="AC39" s="1451"/>
      <c r="AD39" s="970">
        <f>IF(Z39&gt;=0,AB39*$G39,-AB39*$H39)</f>
        <v>0</v>
      </c>
      <c r="AE39" s="970"/>
      <c r="AF39" s="970">
        <f>IF(Z39&gt;=0,AB39*$J39,-AB39*$K39)</f>
        <v>0</v>
      </c>
      <c r="AG39" s="970"/>
      <c r="AH39" s="669">
        <f t="shared" si="42"/>
        <v>0</v>
      </c>
      <c r="AJ39" s="1875">
        <v>0.2</v>
      </c>
      <c r="AK39" s="1451"/>
      <c r="AL39" s="1449">
        <f>AJ39/$E39</f>
        <v>0.66666666666666674</v>
      </c>
      <c r="AM39" s="1451"/>
      <c r="AN39" s="970">
        <f>IF(AJ39&gt;=0,AL39*$G39,-AL39*$H39)</f>
        <v>0</v>
      </c>
      <c r="AO39" s="970"/>
      <c r="AP39" s="970">
        <f>IF(AJ39&gt;=0,AL39*$J39,-AL39*$K39)</f>
        <v>0</v>
      </c>
      <c r="AQ39" s="970"/>
      <c r="AR39" s="669">
        <f t="shared" si="43"/>
        <v>0</v>
      </c>
      <c r="AT39" s="1875">
        <v>0.2</v>
      </c>
      <c r="AU39" s="1451"/>
      <c r="AV39" s="1449">
        <f>AT39/$E39</f>
        <v>0.66666666666666674</v>
      </c>
      <c r="AW39" s="1451"/>
      <c r="AX39" s="970">
        <f>IF(AT39&gt;=0,AV39*$G39,-AV39*$H39)</f>
        <v>0</v>
      </c>
      <c r="AY39" s="970"/>
      <c r="AZ39" s="970">
        <f>IF(AT39&gt;=0,AV39*$J39,-AV39*$K39)</f>
        <v>0</v>
      </c>
      <c r="BA39" s="970"/>
      <c r="BB39" s="669">
        <f t="shared" si="44"/>
        <v>0</v>
      </c>
      <c r="BD39" s="1875">
        <v>0.2</v>
      </c>
      <c r="BE39" s="1451"/>
      <c r="BF39" s="1449">
        <f>BD39/$E39</f>
        <v>0.66666666666666674</v>
      </c>
      <c r="BG39" s="1451"/>
      <c r="BH39" s="970">
        <f>IF(BD39&gt;=0,BF39*$G39,-BF39*$H39)</f>
        <v>0</v>
      </c>
      <c r="BI39" s="970"/>
      <c r="BJ39" s="970">
        <f>IF(BD39&gt;=0,BF39*$J39,-BF39*$K39)</f>
        <v>0</v>
      </c>
      <c r="BK39" s="970"/>
      <c r="BL39" s="669">
        <f t="shared" si="45"/>
        <v>0</v>
      </c>
      <c r="BN39" s="1875">
        <v>0.2</v>
      </c>
      <c r="BO39" s="1451"/>
      <c r="BP39" s="1449">
        <f>BN39/$E39</f>
        <v>0.66666666666666674</v>
      </c>
      <c r="BQ39" s="1451"/>
      <c r="BR39" s="970">
        <f>IF(BN39&gt;=0,BP39*$G39,-BP39*$H39)</f>
        <v>0</v>
      </c>
      <c r="BS39" s="970"/>
      <c r="BT39" s="970">
        <f>IF(BN39&gt;=0,BP39*$J39,-BP39*$K39)</f>
        <v>0</v>
      </c>
      <c r="BU39" s="970"/>
      <c r="BV39" s="669">
        <f t="shared" si="46"/>
        <v>0</v>
      </c>
      <c r="BX39" s="1875">
        <v>0.2</v>
      </c>
      <c r="BY39" s="1451"/>
      <c r="BZ39" s="1449">
        <f>BX39/$E39</f>
        <v>0.66666666666666674</v>
      </c>
      <c r="CA39" s="1451"/>
      <c r="CB39" s="970">
        <f>IF(BX39&gt;=0,BZ39*$G39,-BZ39*$H39)</f>
        <v>0</v>
      </c>
      <c r="CC39" s="970"/>
      <c r="CD39" s="970">
        <f>IF(BX39&gt;=0,BZ39*$J39,-BZ39*$K39)</f>
        <v>0</v>
      </c>
      <c r="CE39" s="970"/>
      <c r="CF39" s="669">
        <f t="shared" si="47"/>
        <v>0</v>
      </c>
      <c r="CH39" s="1875">
        <v>0.2</v>
      </c>
      <c r="CI39" s="1451"/>
      <c r="CJ39" s="1449">
        <f>CH39/$E39</f>
        <v>0.66666666666666674</v>
      </c>
      <c r="CK39" s="1451"/>
      <c r="CL39" s="970">
        <f>IF(CH39&gt;=0,CJ39*$G39,-CJ39*$H39)</f>
        <v>0</v>
      </c>
      <c r="CM39" s="970"/>
      <c r="CN39" s="970">
        <f>IF(CH39&gt;=0,CJ39*$J39,-CJ39*$K39)</f>
        <v>0</v>
      </c>
      <c r="CO39" s="970"/>
      <c r="CP39" s="669">
        <f t="shared" si="48"/>
        <v>0</v>
      </c>
      <c r="CR39" s="1875">
        <v>0</v>
      </c>
      <c r="CS39" s="1451"/>
      <c r="CT39" s="1449">
        <f>CR39/$E39</f>
        <v>0</v>
      </c>
      <c r="CU39" s="1451"/>
      <c r="CV39" s="970">
        <f>IF(CR39&gt;=0,CT39*$G39,-CT39*$H39)</f>
        <v>0</v>
      </c>
      <c r="CW39" s="970"/>
      <c r="CX39" s="970">
        <f>IF(CR39&gt;=0,CT39*$J39,-CT39*$K39)</f>
        <v>0</v>
      </c>
      <c r="CY39" s="970"/>
      <c r="CZ39" s="669">
        <f t="shared" si="49"/>
        <v>0</v>
      </c>
      <c r="DB39" s="1875">
        <v>0</v>
      </c>
      <c r="DC39" s="1451"/>
      <c r="DD39" s="1449">
        <f t="shared" si="29"/>
        <v>0</v>
      </c>
      <c r="DE39" s="1451"/>
      <c r="DF39" s="970">
        <f t="shared" si="30"/>
        <v>0</v>
      </c>
      <c r="DG39" s="970"/>
      <c r="DH39" s="970">
        <f t="shared" si="31"/>
        <v>0</v>
      </c>
      <c r="DI39" s="970"/>
      <c r="DJ39" s="669">
        <f t="shared" si="50"/>
        <v>0</v>
      </c>
      <c r="DL39" s="1875">
        <v>1.2272727272727273</v>
      </c>
      <c r="DM39" s="1451"/>
      <c r="DN39" s="1449">
        <f t="shared" si="32"/>
        <v>4.0909090909090908</v>
      </c>
      <c r="DO39" s="1451"/>
      <c r="DP39" s="970">
        <f t="shared" si="33"/>
        <v>0</v>
      </c>
      <c r="DQ39" s="970"/>
      <c r="DR39" s="970">
        <f t="shared" si="34"/>
        <v>0</v>
      </c>
      <c r="DS39" s="970"/>
      <c r="DT39" s="669">
        <f t="shared" si="51"/>
        <v>0</v>
      </c>
      <c r="DV39" s="1875">
        <v>0.2</v>
      </c>
      <c r="DW39" s="1451"/>
      <c r="DX39" s="1449">
        <f t="shared" si="35"/>
        <v>0.66666666666666674</v>
      </c>
      <c r="DY39" s="1451"/>
      <c r="DZ39" s="970">
        <f t="shared" si="36"/>
        <v>0</v>
      </c>
      <c r="EA39" s="970"/>
      <c r="EB39" s="970">
        <f t="shared" si="37"/>
        <v>0</v>
      </c>
      <c r="EC39" s="970"/>
      <c r="ED39" s="669">
        <f t="shared" si="52"/>
        <v>0</v>
      </c>
      <c r="EF39" s="1875">
        <v>0</v>
      </c>
      <c r="EG39" s="1451"/>
      <c r="EH39" s="1449">
        <f t="shared" si="38"/>
        <v>0</v>
      </c>
      <c r="EI39" s="1451"/>
      <c r="EJ39" s="970">
        <f t="shared" si="39"/>
        <v>0</v>
      </c>
      <c r="EK39" s="970"/>
      <c r="EL39" s="970">
        <f t="shared" si="40"/>
        <v>0</v>
      </c>
      <c r="EM39" s="970"/>
      <c r="EN39" s="669">
        <f t="shared" si="53"/>
        <v>0</v>
      </c>
    </row>
    <row r="40" spans="1:144" ht="12.75" customHeight="1" x14ac:dyDescent="0.2">
      <c r="A40" s="259" t="s">
        <v>284</v>
      </c>
      <c r="B40" s="1"/>
      <c r="C40" s="1409" t="s">
        <v>1818</v>
      </c>
      <c r="D40" s="220"/>
      <c r="E40" s="1452">
        <f>'Sensitivitaeten Delta_Market'!D30</f>
        <v>100</v>
      </c>
      <c r="F40" s="244" t="s">
        <v>250</v>
      </c>
      <c r="G40" s="966">
        <f>'Sensitivitaeten Delta_Market'!L30</f>
        <v>0</v>
      </c>
      <c r="H40" s="966">
        <f>'Sensitivitaeten Delta_Market'!M30</f>
        <v>0</v>
      </c>
      <c r="I40" s="966"/>
      <c r="J40" s="966">
        <f>'Sensitivitaeten Delta_Market'!U30</f>
        <v>0</v>
      </c>
      <c r="K40" s="967">
        <f>'Sensitivitaeten Delta_Market'!V30</f>
        <v>0</v>
      </c>
      <c r="L40" s="966"/>
      <c r="M40" s="245">
        <f t="shared" si="54"/>
        <v>0</v>
      </c>
      <c r="N40" s="256">
        <f t="shared" si="54"/>
        <v>0</v>
      </c>
      <c r="O40" s="1461"/>
      <c r="P40" s="1452">
        <v>0</v>
      </c>
      <c r="Q40" s="1274"/>
      <c r="R40" s="967">
        <f t="shared" si="2"/>
        <v>0</v>
      </c>
      <c r="S40" s="1274"/>
      <c r="T40" s="966">
        <f>IF(P40&gt;=0,R40*$G40,-R40*$H40)</f>
        <v>0</v>
      </c>
      <c r="U40" s="966"/>
      <c r="V40" s="966">
        <f>IF(P40&gt;=0,R40*$J40,-R40*$K40)</f>
        <v>0</v>
      </c>
      <c r="W40" s="966"/>
      <c r="X40" s="246">
        <f t="shared" si="41"/>
        <v>0</v>
      </c>
      <c r="Y40" s="171"/>
      <c r="Z40" s="1452">
        <v>0</v>
      </c>
      <c r="AA40" s="1274"/>
      <c r="AB40" s="967">
        <f>Z40/$E40</f>
        <v>0</v>
      </c>
      <c r="AC40" s="1274"/>
      <c r="AD40" s="966">
        <f>IF(Z40&gt;=0,AB40*$G40,-AB40*$H40)</f>
        <v>0</v>
      </c>
      <c r="AE40" s="966"/>
      <c r="AF40" s="966">
        <f>IF(Z40&gt;=0,AB40*$J40,-AB40*$K40)</f>
        <v>0</v>
      </c>
      <c r="AG40" s="966"/>
      <c r="AH40" s="246">
        <f t="shared" si="42"/>
        <v>0</v>
      </c>
      <c r="AJ40" s="1452">
        <v>-47.000000000000064</v>
      </c>
      <c r="AK40" s="1274"/>
      <c r="AL40" s="967">
        <f>AJ40/$E40</f>
        <v>-0.47000000000000064</v>
      </c>
      <c r="AM40" s="1274"/>
      <c r="AN40" s="966">
        <f>IF(AJ40&gt;=0,AL40*$G40,-AL40*$H40)</f>
        <v>0</v>
      </c>
      <c r="AO40" s="966"/>
      <c r="AP40" s="966">
        <f>IF(AJ40&gt;=0,AL40*$J40,-AL40*$K40)</f>
        <v>0</v>
      </c>
      <c r="AQ40" s="966"/>
      <c r="AR40" s="246">
        <f t="shared" si="43"/>
        <v>0</v>
      </c>
      <c r="AT40" s="1452">
        <v>66</v>
      </c>
      <c r="AU40" s="1274"/>
      <c r="AV40" s="967">
        <f>AT40/$E40</f>
        <v>0.66</v>
      </c>
      <c r="AW40" s="1274"/>
      <c r="AX40" s="966">
        <f>IF(AT40&gt;=0,AV40*$G40,-AV40*$H40)</f>
        <v>0</v>
      </c>
      <c r="AY40" s="966"/>
      <c r="AZ40" s="966">
        <f>IF(AT40&gt;=0,AV40*$J40,-AV40*$K40)</f>
        <v>0</v>
      </c>
      <c r="BA40" s="966"/>
      <c r="BB40" s="246">
        <f t="shared" si="44"/>
        <v>0</v>
      </c>
      <c r="BD40" s="1452">
        <v>15</v>
      </c>
      <c r="BE40" s="1274"/>
      <c r="BF40" s="967">
        <f>BD40/$E40</f>
        <v>0.15</v>
      </c>
      <c r="BG40" s="1274"/>
      <c r="BH40" s="966">
        <f>IF(BD40&gt;=0,BF40*$G40,-BF40*$H40)</f>
        <v>0</v>
      </c>
      <c r="BI40" s="966"/>
      <c r="BJ40" s="966">
        <f>IF(BD40&gt;=0,BF40*$J40,-BF40*$K40)</f>
        <v>0</v>
      </c>
      <c r="BK40" s="966"/>
      <c r="BL40" s="246">
        <f t="shared" si="45"/>
        <v>0</v>
      </c>
      <c r="BN40" s="1452">
        <v>-22.375328083989498</v>
      </c>
      <c r="BO40" s="1274"/>
      <c r="BP40" s="967">
        <f>BN40/$E40</f>
        <v>-0.22375328083989499</v>
      </c>
      <c r="BQ40" s="1274"/>
      <c r="BR40" s="966">
        <f>IF(BN40&gt;=0,BP40*$G40,-BP40*$H40)</f>
        <v>0</v>
      </c>
      <c r="BS40" s="966"/>
      <c r="BT40" s="966">
        <f>IF(BN40&gt;=0,BP40*$J40,-BP40*$K40)</f>
        <v>0</v>
      </c>
      <c r="BU40" s="966"/>
      <c r="BV40" s="246">
        <f t="shared" si="46"/>
        <v>0</v>
      </c>
      <c r="BX40" s="1452">
        <v>78.150851581508491</v>
      </c>
      <c r="BY40" s="1274"/>
      <c r="BZ40" s="967">
        <f>BX40/$E40</f>
        <v>0.78150851581508496</v>
      </c>
      <c r="CA40" s="1274"/>
      <c r="CB40" s="966">
        <f>IF(BX40&gt;=0,BZ40*$G40,-BZ40*$H40)</f>
        <v>0</v>
      </c>
      <c r="CC40" s="966"/>
      <c r="CD40" s="966">
        <f>IF(BX40&gt;=0,BZ40*$J40,-BZ40*$K40)</f>
        <v>0</v>
      </c>
      <c r="CE40" s="966"/>
      <c r="CF40" s="246">
        <f t="shared" si="47"/>
        <v>0</v>
      </c>
      <c r="CH40" s="1452">
        <v>-17.96758476682907</v>
      </c>
      <c r="CI40" s="1274"/>
      <c r="CJ40" s="967">
        <f>CH40/$E40</f>
        <v>-0.1796758476682907</v>
      </c>
      <c r="CK40" s="1274"/>
      <c r="CL40" s="966">
        <f>IF(CH40&gt;=0,CJ40*$G40,-CJ40*$H40)</f>
        <v>0</v>
      </c>
      <c r="CM40" s="966"/>
      <c r="CN40" s="966">
        <f>IF(CH40&gt;=0,CJ40*$J40,-CJ40*$K40)</f>
        <v>0</v>
      </c>
      <c r="CO40" s="966"/>
      <c r="CP40" s="246">
        <f t="shared" si="48"/>
        <v>0</v>
      </c>
      <c r="CR40" s="1452">
        <v>0</v>
      </c>
      <c r="CS40" s="1274"/>
      <c r="CT40" s="967">
        <f>CR40/$E40</f>
        <v>0</v>
      </c>
      <c r="CU40" s="1274"/>
      <c r="CV40" s="966">
        <f>IF(CR40&gt;=0,CT40*$G40,-CT40*$H40)</f>
        <v>0</v>
      </c>
      <c r="CW40" s="966"/>
      <c r="CX40" s="966">
        <f>IF(CR40&gt;=0,CT40*$J40,-CT40*$K40)</f>
        <v>0</v>
      </c>
      <c r="CY40" s="966"/>
      <c r="CZ40" s="246">
        <f t="shared" si="49"/>
        <v>0</v>
      </c>
      <c r="DB40" s="1452">
        <v>0</v>
      </c>
      <c r="DC40" s="1274"/>
      <c r="DD40" s="967">
        <f t="shared" si="29"/>
        <v>0</v>
      </c>
      <c r="DE40" s="1274"/>
      <c r="DF40" s="966">
        <f t="shared" si="30"/>
        <v>0</v>
      </c>
      <c r="DG40" s="966"/>
      <c r="DH40" s="966">
        <f t="shared" si="31"/>
        <v>0</v>
      </c>
      <c r="DI40" s="966"/>
      <c r="DJ40" s="246">
        <f t="shared" si="50"/>
        <v>0</v>
      </c>
      <c r="DL40" s="1452">
        <v>151.9</v>
      </c>
      <c r="DM40" s="1274"/>
      <c r="DN40" s="967">
        <f t="shared" si="32"/>
        <v>1.5190000000000001</v>
      </c>
      <c r="DO40" s="1274"/>
      <c r="DP40" s="966">
        <f t="shared" si="33"/>
        <v>0</v>
      </c>
      <c r="DQ40" s="966"/>
      <c r="DR40" s="966">
        <f t="shared" si="34"/>
        <v>0</v>
      </c>
      <c r="DS40" s="966"/>
      <c r="DT40" s="246">
        <f t="shared" si="51"/>
        <v>0</v>
      </c>
      <c r="DV40" s="1452">
        <v>50</v>
      </c>
      <c r="DW40" s="1274"/>
      <c r="DX40" s="967">
        <f t="shared" si="35"/>
        <v>0.5</v>
      </c>
      <c r="DY40" s="1274"/>
      <c r="DZ40" s="966">
        <f t="shared" si="36"/>
        <v>0</v>
      </c>
      <c r="EA40" s="966"/>
      <c r="EB40" s="966">
        <f t="shared" si="37"/>
        <v>0</v>
      </c>
      <c r="EC40" s="966"/>
      <c r="ED40" s="246">
        <f t="shared" si="52"/>
        <v>0</v>
      </c>
      <c r="EF40" s="1452">
        <v>0</v>
      </c>
      <c r="EG40" s="1274"/>
      <c r="EH40" s="967">
        <f t="shared" si="38"/>
        <v>0</v>
      </c>
      <c r="EI40" s="1274"/>
      <c r="EJ40" s="966">
        <f t="shared" si="39"/>
        <v>0</v>
      </c>
      <c r="EK40" s="966"/>
      <c r="EL40" s="966">
        <f t="shared" si="40"/>
        <v>0</v>
      </c>
      <c r="EM40" s="966"/>
      <c r="EN40" s="246">
        <f t="shared" si="53"/>
        <v>0</v>
      </c>
    </row>
    <row r="41" spans="1:144" ht="12.75" customHeight="1" x14ac:dyDescent="0.2">
      <c r="A41" s="259" t="s">
        <v>285</v>
      </c>
      <c r="B41" s="1"/>
      <c r="C41" s="1409" t="s">
        <v>1819</v>
      </c>
      <c r="D41" s="220"/>
      <c r="E41" s="1452">
        <f>'Sensitivitaeten Delta_Market'!D31</f>
        <v>100</v>
      </c>
      <c r="F41" s="244" t="s">
        <v>250</v>
      </c>
      <c r="G41" s="966">
        <f>'Sensitivitaeten Delta_Market'!L31</f>
        <v>0</v>
      </c>
      <c r="H41" s="966">
        <f>'Sensitivitaeten Delta_Market'!M31</f>
        <v>0</v>
      </c>
      <c r="I41" s="966"/>
      <c r="J41" s="966">
        <f>'Sensitivitaeten Delta_Market'!U31</f>
        <v>0</v>
      </c>
      <c r="K41" s="967">
        <f>'Sensitivitaeten Delta_Market'!V31</f>
        <v>0</v>
      </c>
      <c r="L41" s="966"/>
      <c r="M41" s="245">
        <f t="shared" si="54"/>
        <v>0</v>
      </c>
      <c r="N41" s="256">
        <f t="shared" si="54"/>
        <v>0</v>
      </c>
      <c r="O41" s="1461"/>
      <c r="P41" s="1452">
        <v>0</v>
      </c>
      <c r="Q41" s="1274"/>
      <c r="R41" s="967">
        <f t="shared" si="2"/>
        <v>0</v>
      </c>
      <c r="S41" s="1274"/>
      <c r="T41" s="966">
        <f>IF(P41&gt;=0,R41*$G41,-R41*$H41)</f>
        <v>0</v>
      </c>
      <c r="U41" s="966"/>
      <c r="V41" s="966">
        <f>IF(P41&gt;=0,R41*$J41,-R41*$K41)</f>
        <v>0</v>
      </c>
      <c r="W41" s="966"/>
      <c r="X41" s="246">
        <f t="shared" si="41"/>
        <v>0</v>
      </c>
      <c r="Y41" s="171"/>
      <c r="Z41" s="1452">
        <v>0</v>
      </c>
      <c r="AA41" s="1274"/>
      <c r="AB41" s="967">
        <f>Z41/$E41</f>
        <v>0</v>
      </c>
      <c r="AC41" s="1274"/>
      <c r="AD41" s="966">
        <f>IF(Z41&gt;=0,AB41*$G41,-AB41*$H41)</f>
        <v>0</v>
      </c>
      <c r="AE41" s="966"/>
      <c r="AF41" s="966">
        <f>IF(Z41&gt;=0,AB41*$J41,-AB41*$K41)</f>
        <v>0</v>
      </c>
      <c r="AG41" s="966"/>
      <c r="AH41" s="246">
        <f t="shared" si="42"/>
        <v>0</v>
      </c>
      <c r="AJ41" s="1452">
        <v>-47.000000000000064</v>
      </c>
      <c r="AK41" s="1274"/>
      <c r="AL41" s="967">
        <f>AJ41/$E41</f>
        <v>-0.47000000000000064</v>
      </c>
      <c r="AM41" s="1274"/>
      <c r="AN41" s="966">
        <f>IF(AJ41&gt;=0,AL41*$G41,-AL41*$H41)</f>
        <v>0</v>
      </c>
      <c r="AO41" s="966"/>
      <c r="AP41" s="966">
        <f>IF(AJ41&gt;=0,AL41*$J41,-AL41*$K41)</f>
        <v>0</v>
      </c>
      <c r="AQ41" s="966"/>
      <c r="AR41" s="246">
        <f t="shared" si="43"/>
        <v>0</v>
      </c>
      <c r="AT41" s="1452">
        <v>66</v>
      </c>
      <c r="AU41" s="1274"/>
      <c r="AV41" s="967">
        <f>AT41/$E41</f>
        <v>0.66</v>
      </c>
      <c r="AW41" s="1274"/>
      <c r="AX41" s="966">
        <f>IF(AT41&gt;=0,AV41*$G41,-AV41*$H41)</f>
        <v>0</v>
      </c>
      <c r="AY41" s="966"/>
      <c r="AZ41" s="966">
        <f>IF(AT41&gt;=0,AV41*$J41,-AV41*$K41)</f>
        <v>0</v>
      </c>
      <c r="BA41" s="966"/>
      <c r="BB41" s="246">
        <f t="shared" si="44"/>
        <v>0</v>
      </c>
      <c r="BD41" s="1452">
        <v>15</v>
      </c>
      <c r="BE41" s="1274"/>
      <c r="BF41" s="967">
        <f>BD41/$E41</f>
        <v>0.15</v>
      </c>
      <c r="BG41" s="1274"/>
      <c r="BH41" s="966">
        <f>IF(BD41&gt;=0,BF41*$G41,-BF41*$H41)</f>
        <v>0</v>
      </c>
      <c r="BI41" s="966"/>
      <c r="BJ41" s="966">
        <f>IF(BD41&gt;=0,BF41*$J41,-BF41*$K41)</f>
        <v>0</v>
      </c>
      <c r="BK41" s="966"/>
      <c r="BL41" s="246">
        <f t="shared" si="45"/>
        <v>0</v>
      </c>
      <c r="BN41" s="1452">
        <v>4.8264766720294228</v>
      </c>
      <c r="BO41" s="1274"/>
      <c r="BP41" s="967">
        <f>BN41/$E41</f>
        <v>4.8264766720294228E-2</v>
      </c>
      <c r="BQ41" s="1274"/>
      <c r="BR41" s="966">
        <f>IF(BN41&gt;=0,BP41*$G41,-BP41*$H41)</f>
        <v>0</v>
      </c>
      <c r="BS41" s="966"/>
      <c r="BT41" s="966">
        <f>IF(BN41&gt;=0,BP41*$J41,-BP41*$K41)</f>
        <v>0</v>
      </c>
      <c r="BU41" s="966"/>
      <c r="BV41" s="246">
        <f t="shared" si="46"/>
        <v>0</v>
      </c>
      <c r="BX41" s="1452">
        <v>86.558942343004034</v>
      </c>
      <c r="BY41" s="1274"/>
      <c r="BZ41" s="967">
        <f>BX41/$E41</f>
        <v>0.86558942343004031</v>
      </c>
      <c r="CA41" s="1274"/>
      <c r="CB41" s="966">
        <f>IF(BX41&gt;=0,BZ41*$G41,-BZ41*$H41)</f>
        <v>0</v>
      </c>
      <c r="CC41" s="966"/>
      <c r="CD41" s="966">
        <f>IF(BX41&gt;=0,BZ41*$J41,-BZ41*$K41)</f>
        <v>0</v>
      </c>
      <c r="CE41" s="966"/>
      <c r="CF41" s="246">
        <f t="shared" si="47"/>
        <v>0</v>
      </c>
      <c r="CH41" s="1452">
        <v>-15.341264871634319</v>
      </c>
      <c r="CI41" s="1274"/>
      <c r="CJ41" s="967">
        <f>CH41/$E41</f>
        <v>-0.15341264871634319</v>
      </c>
      <c r="CK41" s="1274"/>
      <c r="CL41" s="966">
        <f>IF(CH41&gt;=0,CJ41*$G41,-CJ41*$H41)</f>
        <v>0</v>
      </c>
      <c r="CM41" s="966"/>
      <c r="CN41" s="966">
        <f>IF(CH41&gt;=0,CJ41*$J41,-CJ41*$K41)</f>
        <v>0</v>
      </c>
      <c r="CO41" s="966"/>
      <c r="CP41" s="246">
        <f t="shared" si="48"/>
        <v>0</v>
      </c>
      <c r="CR41" s="1452">
        <v>0</v>
      </c>
      <c r="CS41" s="1274"/>
      <c r="CT41" s="967">
        <f>CR41/$E41</f>
        <v>0</v>
      </c>
      <c r="CU41" s="1274"/>
      <c r="CV41" s="966">
        <f>IF(CR41&gt;=0,CT41*$G41,-CT41*$H41)</f>
        <v>0</v>
      </c>
      <c r="CW41" s="966"/>
      <c r="CX41" s="966">
        <f>IF(CR41&gt;=0,CT41*$J41,-CT41*$K41)</f>
        <v>0</v>
      </c>
      <c r="CY41" s="966"/>
      <c r="CZ41" s="246">
        <f t="shared" si="49"/>
        <v>0</v>
      </c>
      <c r="DB41" s="1452">
        <v>0</v>
      </c>
      <c r="DC41" s="1274"/>
      <c r="DD41" s="967">
        <f t="shared" si="29"/>
        <v>0</v>
      </c>
      <c r="DE41" s="1274"/>
      <c r="DF41" s="966">
        <f t="shared" si="30"/>
        <v>0</v>
      </c>
      <c r="DG41" s="966"/>
      <c r="DH41" s="966">
        <f t="shared" si="31"/>
        <v>0</v>
      </c>
      <c r="DI41" s="966"/>
      <c r="DJ41" s="246">
        <f t="shared" si="50"/>
        <v>0</v>
      </c>
      <c r="DL41" s="1452">
        <v>179.3</v>
      </c>
      <c r="DM41" s="1274"/>
      <c r="DN41" s="967">
        <f t="shared" si="32"/>
        <v>1.7930000000000001</v>
      </c>
      <c r="DO41" s="1274"/>
      <c r="DP41" s="966">
        <f t="shared" si="33"/>
        <v>0</v>
      </c>
      <c r="DQ41" s="966"/>
      <c r="DR41" s="966">
        <f t="shared" si="34"/>
        <v>0</v>
      </c>
      <c r="DS41" s="966"/>
      <c r="DT41" s="246">
        <f t="shared" si="51"/>
        <v>0</v>
      </c>
      <c r="DV41" s="1452">
        <v>50</v>
      </c>
      <c r="DW41" s="1274"/>
      <c r="DX41" s="967">
        <f t="shared" si="35"/>
        <v>0.5</v>
      </c>
      <c r="DY41" s="1274"/>
      <c r="DZ41" s="966">
        <f t="shared" si="36"/>
        <v>0</v>
      </c>
      <c r="EA41" s="966"/>
      <c r="EB41" s="966">
        <f t="shared" si="37"/>
        <v>0</v>
      </c>
      <c r="EC41" s="966"/>
      <c r="ED41" s="246">
        <f t="shared" si="52"/>
        <v>0</v>
      </c>
      <c r="EF41" s="1452">
        <v>0</v>
      </c>
      <c r="EG41" s="1274"/>
      <c r="EH41" s="967">
        <f t="shared" si="38"/>
        <v>0</v>
      </c>
      <c r="EI41" s="1274"/>
      <c r="EJ41" s="966">
        <f t="shared" si="39"/>
        <v>0</v>
      </c>
      <c r="EK41" s="966"/>
      <c r="EL41" s="966">
        <f t="shared" si="40"/>
        <v>0</v>
      </c>
      <c r="EM41" s="966"/>
      <c r="EN41" s="246">
        <f t="shared" si="53"/>
        <v>0</v>
      </c>
    </row>
    <row r="42" spans="1:144" ht="12.75" customHeight="1" x14ac:dyDescent="0.2">
      <c r="A42" s="259" t="s">
        <v>286</v>
      </c>
      <c r="B42" s="1"/>
      <c r="C42" s="1409" t="s">
        <v>1820</v>
      </c>
      <c r="D42" s="220"/>
      <c r="E42" s="1452">
        <f>'Sensitivitaeten Delta_Market'!D32</f>
        <v>120</v>
      </c>
      <c r="F42" s="244" t="s">
        <v>250</v>
      </c>
      <c r="G42" s="966">
        <f>'Sensitivitaeten Delta_Market'!L32</f>
        <v>0</v>
      </c>
      <c r="H42" s="966">
        <f>'Sensitivitaeten Delta_Market'!M32</f>
        <v>0</v>
      </c>
      <c r="I42" s="966"/>
      <c r="J42" s="966">
        <f>'Sensitivitaeten Delta_Market'!U32</f>
        <v>0</v>
      </c>
      <c r="K42" s="967">
        <f>'Sensitivitaeten Delta_Market'!V32</f>
        <v>0</v>
      </c>
      <c r="L42" s="966"/>
      <c r="M42" s="245">
        <f t="shared" si="54"/>
        <v>0</v>
      </c>
      <c r="N42" s="256">
        <f t="shared" si="54"/>
        <v>0</v>
      </c>
      <c r="O42" s="1461"/>
      <c r="P42" s="1452">
        <v>0</v>
      </c>
      <c r="Q42" s="1274"/>
      <c r="R42" s="967">
        <f t="shared" si="2"/>
        <v>0</v>
      </c>
      <c r="S42" s="1274"/>
      <c r="T42" s="966">
        <f>IF(P42&gt;=0,R42*$G42,-R42*$H42)</f>
        <v>0</v>
      </c>
      <c r="U42" s="966"/>
      <c r="V42" s="966">
        <f>IF(P42&gt;=0,R42*$J42,-R42*$K42)</f>
        <v>0</v>
      </c>
      <c r="W42" s="966"/>
      <c r="X42" s="246">
        <f t="shared" si="41"/>
        <v>0</v>
      </c>
      <c r="Y42" s="171"/>
      <c r="Z42" s="1452">
        <v>0</v>
      </c>
      <c r="AA42" s="1274"/>
      <c r="AB42" s="967">
        <f>Z42/$E42</f>
        <v>0</v>
      </c>
      <c r="AC42" s="1274"/>
      <c r="AD42" s="966">
        <f>IF(Z42&gt;=0,AB42*$G42,-AB42*$H42)</f>
        <v>0</v>
      </c>
      <c r="AE42" s="966"/>
      <c r="AF42" s="966">
        <f>IF(Z42&gt;=0,AB42*$J42,-AB42*$K42)</f>
        <v>0</v>
      </c>
      <c r="AG42" s="966"/>
      <c r="AH42" s="246">
        <f t="shared" si="42"/>
        <v>0</v>
      </c>
      <c r="AJ42" s="1452">
        <v>-47.000000000000064</v>
      </c>
      <c r="AK42" s="1274"/>
      <c r="AL42" s="967">
        <f>AJ42/$E42</f>
        <v>-0.39166666666666722</v>
      </c>
      <c r="AM42" s="1274"/>
      <c r="AN42" s="966">
        <f>IF(AJ42&gt;=0,AL42*$G42,-AL42*$H42)</f>
        <v>0</v>
      </c>
      <c r="AO42" s="966"/>
      <c r="AP42" s="966">
        <f>IF(AJ42&gt;=0,AL42*$J42,-AL42*$K42)</f>
        <v>0</v>
      </c>
      <c r="AQ42" s="966"/>
      <c r="AR42" s="246">
        <f t="shared" si="43"/>
        <v>0</v>
      </c>
      <c r="AT42" s="1452">
        <v>66</v>
      </c>
      <c r="AU42" s="1274"/>
      <c r="AV42" s="967">
        <f>AT42/$E42</f>
        <v>0.55000000000000004</v>
      </c>
      <c r="AW42" s="1274"/>
      <c r="AX42" s="966">
        <f>IF(AT42&gt;=0,AV42*$G42,-AV42*$H42)</f>
        <v>0</v>
      </c>
      <c r="AY42" s="966"/>
      <c r="AZ42" s="966">
        <f>IF(AT42&gt;=0,AV42*$J42,-AV42*$K42)</f>
        <v>0</v>
      </c>
      <c r="BA42" s="966"/>
      <c r="BB42" s="246">
        <f t="shared" si="44"/>
        <v>0</v>
      </c>
      <c r="BD42" s="1452">
        <v>15</v>
      </c>
      <c r="BE42" s="1274"/>
      <c r="BF42" s="967">
        <f>BD42/$E42</f>
        <v>0.125</v>
      </c>
      <c r="BG42" s="1274"/>
      <c r="BH42" s="966">
        <f>IF(BD42&gt;=0,BF42*$G42,-BF42*$H42)</f>
        <v>0</v>
      </c>
      <c r="BI42" s="966"/>
      <c r="BJ42" s="966">
        <f>IF(BD42&gt;=0,BF42*$J42,-BF42*$K42)</f>
        <v>0</v>
      </c>
      <c r="BK42" s="966"/>
      <c r="BL42" s="246">
        <f t="shared" si="45"/>
        <v>0</v>
      </c>
      <c r="BN42" s="1452">
        <v>-3.8726022439377394</v>
      </c>
      <c r="BO42" s="1274"/>
      <c r="BP42" s="967">
        <f>BN42/$E42</f>
        <v>-3.2271685366147829E-2</v>
      </c>
      <c r="BQ42" s="1274"/>
      <c r="BR42" s="966">
        <f>IF(BN42&gt;=0,BP42*$G42,-BP42*$H42)</f>
        <v>0</v>
      </c>
      <c r="BS42" s="966"/>
      <c r="BT42" s="966">
        <f>IF(BN42&gt;=0,BP42*$J42,-BP42*$K42)</f>
        <v>0</v>
      </c>
      <c r="BU42" s="966"/>
      <c r="BV42" s="246">
        <f t="shared" si="46"/>
        <v>0</v>
      </c>
      <c r="BX42" s="1452">
        <v>54.549675023212615</v>
      </c>
      <c r="BY42" s="1274"/>
      <c r="BZ42" s="967">
        <f>BX42/$E42</f>
        <v>0.45458062519343845</v>
      </c>
      <c r="CA42" s="1274"/>
      <c r="CB42" s="966">
        <f>IF(BX42&gt;=0,BZ42*$G42,-BZ42*$H42)</f>
        <v>0</v>
      </c>
      <c r="CC42" s="966"/>
      <c r="CD42" s="966">
        <f>IF(BX42&gt;=0,BZ42*$J42,-BZ42*$K42)</f>
        <v>0</v>
      </c>
      <c r="CE42" s="966"/>
      <c r="CF42" s="246">
        <f t="shared" si="47"/>
        <v>0</v>
      </c>
      <c r="CH42" s="1452">
        <v>20.483061480552077</v>
      </c>
      <c r="CI42" s="1274"/>
      <c r="CJ42" s="967">
        <f>CH42/$E42</f>
        <v>0.17069217900460065</v>
      </c>
      <c r="CK42" s="1274"/>
      <c r="CL42" s="966">
        <f>IF(CH42&gt;=0,CJ42*$G42,-CJ42*$H42)</f>
        <v>0</v>
      </c>
      <c r="CM42" s="966"/>
      <c r="CN42" s="966">
        <f>IF(CH42&gt;=0,CJ42*$J42,-CJ42*$K42)</f>
        <v>0</v>
      </c>
      <c r="CO42" s="966"/>
      <c r="CP42" s="246">
        <f t="shared" si="48"/>
        <v>0</v>
      </c>
      <c r="CR42" s="1452">
        <v>0</v>
      </c>
      <c r="CS42" s="1274"/>
      <c r="CT42" s="967">
        <f>CR42/$E42</f>
        <v>0</v>
      </c>
      <c r="CU42" s="1274"/>
      <c r="CV42" s="966">
        <f>IF(CR42&gt;=0,CT42*$G42,-CT42*$H42)</f>
        <v>0</v>
      </c>
      <c r="CW42" s="966"/>
      <c r="CX42" s="966">
        <f>IF(CR42&gt;=0,CT42*$J42,-CT42*$K42)</f>
        <v>0</v>
      </c>
      <c r="CY42" s="966"/>
      <c r="CZ42" s="246">
        <f t="shared" si="49"/>
        <v>0</v>
      </c>
      <c r="DB42" s="1452">
        <v>0</v>
      </c>
      <c r="DC42" s="1274"/>
      <c r="DD42" s="967">
        <f t="shared" si="29"/>
        <v>0</v>
      </c>
      <c r="DE42" s="1274"/>
      <c r="DF42" s="966">
        <f t="shared" si="30"/>
        <v>0</v>
      </c>
      <c r="DG42" s="966"/>
      <c r="DH42" s="966">
        <f t="shared" si="31"/>
        <v>0</v>
      </c>
      <c r="DI42" s="966"/>
      <c r="DJ42" s="246">
        <f t="shared" si="50"/>
        <v>0</v>
      </c>
      <c r="DL42" s="1452">
        <v>231.7</v>
      </c>
      <c r="DM42" s="1274"/>
      <c r="DN42" s="967">
        <f t="shared" si="32"/>
        <v>1.9308333333333332</v>
      </c>
      <c r="DO42" s="1274"/>
      <c r="DP42" s="966">
        <f t="shared" si="33"/>
        <v>0</v>
      </c>
      <c r="DQ42" s="966"/>
      <c r="DR42" s="966">
        <f t="shared" si="34"/>
        <v>0</v>
      </c>
      <c r="DS42" s="966"/>
      <c r="DT42" s="246">
        <f t="shared" si="51"/>
        <v>0</v>
      </c>
      <c r="DV42" s="1452">
        <v>100</v>
      </c>
      <c r="DW42" s="1274"/>
      <c r="DX42" s="967">
        <f t="shared" si="35"/>
        <v>0.83333333333333337</v>
      </c>
      <c r="DY42" s="1274"/>
      <c r="DZ42" s="966">
        <f t="shared" si="36"/>
        <v>0</v>
      </c>
      <c r="EA42" s="966"/>
      <c r="EB42" s="966">
        <f t="shared" si="37"/>
        <v>0</v>
      </c>
      <c r="EC42" s="966"/>
      <c r="ED42" s="246">
        <f t="shared" si="52"/>
        <v>0</v>
      </c>
      <c r="EF42" s="1452">
        <v>0</v>
      </c>
      <c r="EG42" s="1274"/>
      <c r="EH42" s="967">
        <f t="shared" si="38"/>
        <v>0</v>
      </c>
      <c r="EI42" s="1274"/>
      <c r="EJ42" s="966">
        <f t="shared" si="39"/>
        <v>0</v>
      </c>
      <c r="EK42" s="966"/>
      <c r="EL42" s="966">
        <f t="shared" si="40"/>
        <v>0</v>
      </c>
      <c r="EM42" s="966"/>
      <c r="EN42" s="246">
        <f t="shared" si="53"/>
        <v>0</v>
      </c>
    </row>
    <row r="43" spans="1:144" ht="12.75" customHeight="1" x14ac:dyDescent="0.2">
      <c r="A43" s="259" t="s">
        <v>288</v>
      </c>
      <c r="B43" s="1"/>
      <c r="C43" s="1409" t="s">
        <v>1821</v>
      </c>
      <c r="D43" s="220"/>
      <c r="E43" s="1453">
        <f>'Sensitivitaeten Delta_Market'!D33</f>
        <v>150</v>
      </c>
      <c r="F43" s="247" t="s">
        <v>250</v>
      </c>
      <c r="G43" s="968">
        <f>'Sensitivitaeten Delta_Market'!L33</f>
        <v>0</v>
      </c>
      <c r="H43" s="968">
        <f>'Sensitivitaeten Delta_Market'!M33</f>
        <v>0</v>
      </c>
      <c r="I43" s="968"/>
      <c r="J43" s="968">
        <f>'Sensitivitaeten Delta_Market'!U33</f>
        <v>0</v>
      </c>
      <c r="K43" s="968">
        <f>'Sensitivitaeten Delta_Market'!V33</f>
        <v>0</v>
      </c>
      <c r="L43" s="968"/>
      <c r="M43" s="248">
        <f t="shared" si="54"/>
        <v>0</v>
      </c>
      <c r="N43" s="257">
        <f t="shared" si="54"/>
        <v>0</v>
      </c>
      <c r="O43" s="1461"/>
      <c r="P43" s="1453">
        <v>0</v>
      </c>
      <c r="Q43" s="1456"/>
      <c r="R43" s="969">
        <f t="shared" si="2"/>
        <v>0</v>
      </c>
      <c r="S43" s="1456"/>
      <c r="T43" s="968">
        <f t="shared" si="3"/>
        <v>0</v>
      </c>
      <c r="U43" s="968"/>
      <c r="V43" s="968">
        <f t="shared" si="4"/>
        <v>0</v>
      </c>
      <c r="W43" s="968"/>
      <c r="X43" s="668">
        <f t="shared" si="41"/>
        <v>0</v>
      </c>
      <c r="Y43" s="171"/>
      <c r="Z43" s="1453">
        <v>0</v>
      </c>
      <c r="AA43" s="1456"/>
      <c r="AB43" s="969">
        <f t="shared" si="5"/>
        <v>0</v>
      </c>
      <c r="AC43" s="1456"/>
      <c r="AD43" s="968">
        <f t="shared" si="6"/>
        <v>0</v>
      </c>
      <c r="AE43" s="968"/>
      <c r="AF43" s="968">
        <f t="shared" si="7"/>
        <v>0</v>
      </c>
      <c r="AG43" s="968"/>
      <c r="AH43" s="668">
        <f t="shared" si="42"/>
        <v>0</v>
      </c>
      <c r="AJ43" s="1453">
        <v>-47.000000000000064</v>
      </c>
      <c r="AK43" s="1456"/>
      <c r="AL43" s="969">
        <f t="shared" si="8"/>
        <v>-0.31333333333333374</v>
      </c>
      <c r="AM43" s="1456"/>
      <c r="AN43" s="968">
        <f t="shared" si="9"/>
        <v>0</v>
      </c>
      <c r="AO43" s="968"/>
      <c r="AP43" s="968">
        <f t="shared" si="10"/>
        <v>0</v>
      </c>
      <c r="AQ43" s="968"/>
      <c r="AR43" s="668">
        <f t="shared" si="43"/>
        <v>0</v>
      </c>
      <c r="AT43" s="1453">
        <v>66</v>
      </c>
      <c r="AU43" s="1456"/>
      <c r="AV43" s="969">
        <f t="shared" si="11"/>
        <v>0.44</v>
      </c>
      <c r="AW43" s="1456"/>
      <c r="AX43" s="968">
        <f t="shared" si="12"/>
        <v>0</v>
      </c>
      <c r="AY43" s="968"/>
      <c r="AZ43" s="968">
        <f t="shared" si="13"/>
        <v>0</v>
      </c>
      <c r="BA43" s="968"/>
      <c r="BB43" s="668">
        <f t="shared" si="44"/>
        <v>0</v>
      </c>
      <c r="BD43" s="1453">
        <v>15</v>
      </c>
      <c r="BE43" s="1456"/>
      <c r="BF43" s="969">
        <f t="shared" si="14"/>
        <v>0.1</v>
      </c>
      <c r="BG43" s="1456"/>
      <c r="BH43" s="968">
        <f t="shared" si="15"/>
        <v>0</v>
      </c>
      <c r="BI43" s="968"/>
      <c r="BJ43" s="968">
        <f t="shared" si="16"/>
        <v>0</v>
      </c>
      <c r="BK43" s="968"/>
      <c r="BL43" s="668">
        <f t="shared" si="45"/>
        <v>0</v>
      </c>
      <c r="BN43" s="1453">
        <v>-25.721535045987942</v>
      </c>
      <c r="BO43" s="1456"/>
      <c r="BP43" s="969">
        <f t="shared" si="17"/>
        <v>-0.17147690030658627</v>
      </c>
      <c r="BQ43" s="1456"/>
      <c r="BR43" s="968">
        <f t="shared" si="18"/>
        <v>0</v>
      </c>
      <c r="BS43" s="968"/>
      <c r="BT43" s="968">
        <f t="shared" si="19"/>
        <v>0</v>
      </c>
      <c r="BU43" s="968"/>
      <c r="BV43" s="668">
        <f t="shared" si="46"/>
        <v>0</v>
      </c>
      <c r="BX43" s="1453">
        <v>43.274099990792749</v>
      </c>
      <c r="BY43" s="1456"/>
      <c r="BZ43" s="969">
        <f t="shared" si="20"/>
        <v>0.28849399993861835</v>
      </c>
      <c r="CA43" s="1456"/>
      <c r="CB43" s="968">
        <f t="shared" si="21"/>
        <v>0</v>
      </c>
      <c r="CC43" s="968"/>
      <c r="CD43" s="968">
        <f t="shared" si="22"/>
        <v>0</v>
      </c>
      <c r="CE43" s="968"/>
      <c r="CF43" s="668">
        <f t="shared" si="47"/>
        <v>0</v>
      </c>
      <c r="CH43" s="1453">
        <v>31.262875978574378</v>
      </c>
      <c r="CI43" s="1456"/>
      <c r="CJ43" s="969">
        <f t="shared" si="23"/>
        <v>0.20841917319049585</v>
      </c>
      <c r="CK43" s="1456"/>
      <c r="CL43" s="968">
        <f t="shared" si="24"/>
        <v>0</v>
      </c>
      <c r="CM43" s="968"/>
      <c r="CN43" s="968">
        <f t="shared" si="25"/>
        <v>0</v>
      </c>
      <c r="CO43" s="968"/>
      <c r="CP43" s="668">
        <f t="shared" si="48"/>
        <v>0</v>
      </c>
      <c r="CR43" s="1453">
        <v>0</v>
      </c>
      <c r="CS43" s="1456"/>
      <c r="CT43" s="969">
        <f t="shared" si="26"/>
        <v>0</v>
      </c>
      <c r="CU43" s="1456"/>
      <c r="CV43" s="968">
        <f t="shared" si="27"/>
        <v>0</v>
      </c>
      <c r="CW43" s="968"/>
      <c r="CX43" s="968">
        <f t="shared" si="28"/>
        <v>0</v>
      </c>
      <c r="CY43" s="968"/>
      <c r="CZ43" s="668">
        <f t="shared" si="49"/>
        <v>0</v>
      </c>
      <c r="DB43" s="1453">
        <v>0</v>
      </c>
      <c r="DC43" s="1456"/>
      <c r="DD43" s="969">
        <f t="shared" si="29"/>
        <v>0</v>
      </c>
      <c r="DE43" s="1456"/>
      <c r="DF43" s="968">
        <f t="shared" si="30"/>
        <v>0</v>
      </c>
      <c r="DG43" s="968"/>
      <c r="DH43" s="968">
        <f t="shared" si="31"/>
        <v>0</v>
      </c>
      <c r="DI43" s="968"/>
      <c r="DJ43" s="668">
        <f t="shared" si="50"/>
        <v>0</v>
      </c>
      <c r="DL43" s="1453">
        <v>365.1</v>
      </c>
      <c r="DM43" s="1456"/>
      <c r="DN43" s="969">
        <f t="shared" si="32"/>
        <v>2.4340000000000002</v>
      </c>
      <c r="DO43" s="1456"/>
      <c r="DP43" s="968">
        <f t="shared" si="33"/>
        <v>0</v>
      </c>
      <c r="DQ43" s="968"/>
      <c r="DR43" s="968">
        <f t="shared" si="34"/>
        <v>0</v>
      </c>
      <c r="DS43" s="968"/>
      <c r="DT43" s="668">
        <f t="shared" si="51"/>
        <v>0</v>
      </c>
      <c r="DV43" s="1453">
        <v>175</v>
      </c>
      <c r="DW43" s="1456"/>
      <c r="DX43" s="969">
        <f t="shared" si="35"/>
        <v>1.1666666666666667</v>
      </c>
      <c r="DY43" s="1456"/>
      <c r="DZ43" s="968">
        <f t="shared" si="36"/>
        <v>0</v>
      </c>
      <c r="EA43" s="968"/>
      <c r="EB43" s="968">
        <f t="shared" si="37"/>
        <v>0</v>
      </c>
      <c r="EC43" s="968"/>
      <c r="ED43" s="668">
        <f t="shared" si="52"/>
        <v>0</v>
      </c>
      <c r="EF43" s="1453">
        <v>0</v>
      </c>
      <c r="EG43" s="1456"/>
      <c r="EH43" s="969">
        <f t="shared" si="38"/>
        <v>0</v>
      </c>
      <c r="EI43" s="1456"/>
      <c r="EJ43" s="968">
        <f t="shared" si="39"/>
        <v>0</v>
      </c>
      <c r="EK43" s="968"/>
      <c r="EL43" s="968">
        <f t="shared" si="40"/>
        <v>0</v>
      </c>
      <c r="EM43" s="968"/>
      <c r="EN43" s="668">
        <f t="shared" si="53"/>
        <v>0</v>
      </c>
    </row>
    <row r="44" spans="1:144" ht="12.75" customHeight="1" x14ac:dyDescent="0.2">
      <c r="A44" s="259" t="s">
        <v>289</v>
      </c>
      <c r="B44" s="1"/>
      <c r="C44" s="1448" t="s">
        <v>1822</v>
      </c>
      <c r="D44" s="1411"/>
      <c r="E44" s="1868">
        <f>'Sensitivitaeten Delta_Market'!D34</f>
        <v>200</v>
      </c>
      <c r="F44" s="409" t="s">
        <v>250</v>
      </c>
      <c r="G44" s="970">
        <f>'Sensitivitaeten Delta_Market'!L34</f>
        <v>0</v>
      </c>
      <c r="H44" s="970">
        <f>'Sensitivitaeten Delta_Market'!M34</f>
        <v>0</v>
      </c>
      <c r="I44" s="970"/>
      <c r="J44" s="970">
        <f>'Sensitivitaeten Delta_Market'!U34</f>
        <v>0</v>
      </c>
      <c r="K44" s="1449">
        <f>'Sensitivitaeten Delta_Market'!V34</f>
        <v>0</v>
      </c>
      <c r="L44" s="970"/>
      <c r="M44" s="410">
        <f t="shared" si="54"/>
        <v>0</v>
      </c>
      <c r="N44" s="411">
        <f t="shared" si="54"/>
        <v>0</v>
      </c>
      <c r="O44" s="1461"/>
      <c r="P44" s="1868">
        <v>0</v>
      </c>
      <c r="Q44" s="1451"/>
      <c r="R44" s="1449">
        <f t="shared" si="2"/>
        <v>0</v>
      </c>
      <c r="S44" s="1451"/>
      <c r="T44" s="970">
        <f t="shared" si="3"/>
        <v>0</v>
      </c>
      <c r="U44" s="970"/>
      <c r="V44" s="970">
        <f t="shared" si="4"/>
        <v>0</v>
      </c>
      <c r="W44" s="970"/>
      <c r="X44" s="669">
        <f t="shared" si="41"/>
        <v>0</v>
      </c>
      <c r="Y44" s="1462"/>
      <c r="Z44" s="1868">
        <v>0</v>
      </c>
      <c r="AA44" s="1451"/>
      <c r="AB44" s="1449">
        <f t="shared" si="5"/>
        <v>0</v>
      </c>
      <c r="AC44" s="1451"/>
      <c r="AD44" s="970">
        <f t="shared" si="6"/>
        <v>0</v>
      </c>
      <c r="AE44" s="970"/>
      <c r="AF44" s="970">
        <f t="shared" si="7"/>
        <v>0</v>
      </c>
      <c r="AG44" s="970"/>
      <c r="AH44" s="669">
        <f t="shared" si="42"/>
        <v>0</v>
      </c>
      <c r="AI44" s="1463"/>
      <c r="AJ44" s="1868">
        <v>-47.000000000000064</v>
      </c>
      <c r="AK44" s="1451"/>
      <c r="AL44" s="1449">
        <f t="shared" si="8"/>
        <v>-0.23500000000000032</v>
      </c>
      <c r="AM44" s="1451"/>
      <c r="AN44" s="970">
        <f t="shared" si="9"/>
        <v>0</v>
      </c>
      <c r="AO44" s="970"/>
      <c r="AP44" s="970">
        <f t="shared" si="10"/>
        <v>0</v>
      </c>
      <c r="AQ44" s="970"/>
      <c r="AR44" s="669">
        <f t="shared" si="43"/>
        <v>0</v>
      </c>
      <c r="AS44" s="1463"/>
      <c r="AT44" s="1868">
        <v>66</v>
      </c>
      <c r="AU44" s="1451"/>
      <c r="AV44" s="1449">
        <f t="shared" si="11"/>
        <v>0.33</v>
      </c>
      <c r="AW44" s="1451"/>
      <c r="AX44" s="970">
        <f t="shared" si="12"/>
        <v>0</v>
      </c>
      <c r="AY44" s="970"/>
      <c r="AZ44" s="970">
        <f t="shared" si="13"/>
        <v>0</v>
      </c>
      <c r="BA44" s="970"/>
      <c r="BB44" s="669">
        <f t="shared" si="44"/>
        <v>0</v>
      </c>
      <c r="BC44" s="1463"/>
      <c r="BD44" s="1868">
        <v>15</v>
      </c>
      <c r="BE44" s="1451"/>
      <c r="BF44" s="1449">
        <f t="shared" si="14"/>
        <v>7.4999999999999997E-2</v>
      </c>
      <c r="BG44" s="1451"/>
      <c r="BH44" s="970">
        <f t="shared" si="15"/>
        <v>0</v>
      </c>
      <c r="BI44" s="970"/>
      <c r="BJ44" s="970">
        <f t="shared" si="16"/>
        <v>0</v>
      </c>
      <c r="BK44" s="970"/>
      <c r="BL44" s="669">
        <f t="shared" si="45"/>
        <v>0</v>
      </c>
      <c r="BM44" s="1463"/>
      <c r="BN44" s="1868">
        <v>-25.721535045987942</v>
      </c>
      <c r="BO44" s="1451"/>
      <c r="BP44" s="1449">
        <f t="shared" si="17"/>
        <v>-0.12860767522993971</v>
      </c>
      <c r="BQ44" s="1451"/>
      <c r="BR44" s="970">
        <f t="shared" si="18"/>
        <v>0</v>
      </c>
      <c r="BS44" s="970"/>
      <c r="BT44" s="970">
        <f t="shared" si="19"/>
        <v>0</v>
      </c>
      <c r="BU44" s="970"/>
      <c r="BV44" s="669">
        <f t="shared" si="46"/>
        <v>0</v>
      </c>
      <c r="BW44" s="1463"/>
      <c r="BX44" s="1868">
        <v>43.274099990792749</v>
      </c>
      <c r="BY44" s="1451"/>
      <c r="BZ44" s="1449">
        <f t="shared" si="20"/>
        <v>0.21637049995396374</v>
      </c>
      <c r="CA44" s="1451"/>
      <c r="CB44" s="970">
        <f t="shared" si="21"/>
        <v>0</v>
      </c>
      <c r="CC44" s="970"/>
      <c r="CD44" s="970">
        <f t="shared" si="22"/>
        <v>0</v>
      </c>
      <c r="CE44" s="970"/>
      <c r="CF44" s="669">
        <f t="shared" si="47"/>
        <v>0</v>
      </c>
      <c r="CG44" s="1463"/>
      <c r="CH44" s="1868">
        <v>31.262875978574378</v>
      </c>
      <c r="CI44" s="1451"/>
      <c r="CJ44" s="1449">
        <f t="shared" si="23"/>
        <v>0.15631437989287189</v>
      </c>
      <c r="CK44" s="1451"/>
      <c r="CL44" s="970">
        <f t="shared" si="24"/>
        <v>0</v>
      </c>
      <c r="CM44" s="970"/>
      <c r="CN44" s="970">
        <f t="shared" si="25"/>
        <v>0</v>
      </c>
      <c r="CO44" s="970"/>
      <c r="CP44" s="669">
        <f t="shared" si="48"/>
        <v>0</v>
      </c>
      <c r="CQ44" s="1463"/>
      <c r="CR44" s="1868">
        <v>0</v>
      </c>
      <c r="CS44" s="1451"/>
      <c r="CT44" s="1449">
        <f t="shared" si="26"/>
        <v>0</v>
      </c>
      <c r="CU44" s="1451"/>
      <c r="CV44" s="970">
        <f t="shared" si="27"/>
        <v>0</v>
      </c>
      <c r="CW44" s="970"/>
      <c r="CX44" s="970">
        <f t="shared" si="28"/>
        <v>0</v>
      </c>
      <c r="CY44" s="970"/>
      <c r="CZ44" s="669">
        <f t="shared" si="49"/>
        <v>0</v>
      </c>
      <c r="DA44" s="1463"/>
      <c r="DB44" s="1868">
        <v>0</v>
      </c>
      <c r="DC44" s="1451"/>
      <c r="DD44" s="1449">
        <f t="shared" si="29"/>
        <v>0</v>
      </c>
      <c r="DE44" s="1451"/>
      <c r="DF44" s="970">
        <f t="shared" si="30"/>
        <v>0</v>
      </c>
      <c r="DG44" s="970"/>
      <c r="DH44" s="970">
        <f t="shared" si="31"/>
        <v>0</v>
      </c>
      <c r="DI44" s="970"/>
      <c r="DJ44" s="669">
        <f t="shared" si="50"/>
        <v>0</v>
      </c>
      <c r="DK44" s="1463"/>
      <c r="DL44" s="1868">
        <v>616.44000000000005</v>
      </c>
      <c r="DM44" s="1451"/>
      <c r="DN44" s="1449">
        <f t="shared" si="32"/>
        <v>3.0822000000000003</v>
      </c>
      <c r="DO44" s="1451"/>
      <c r="DP44" s="970">
        <f t="shared" si="33"/>
        <v>0</v>
      </c>
      <c r="DQ44" s="970"/>
      <c r="DR44" s="970">
        <f t="shared" si="34"/>
        <v>0</v>
      </c>
      <c r="DS44" s="970"/>
      <c r="DT44" s="669">
        <f t="shared" si="51"/>
        <v>0</v>
      </c>
      <c r="DV44" s="1868">
        <v>250</v>
      </c>
      <c r="DW44" s="1451"/>
      <c r="DX44" s="1449">
        <f t="shared" si="35"/>
        <v>1.25</v>
      </c>
      <c r="DY44" s="1451"/>
      <c r="DZ44" s="970">
        <f t="shared" si="36"/>
        <v>0</v>
      </c>
      <c r="EA44" s="970"/>
      <c r="EB44" s="970">
        <f t="shared" si="37"/>
        <v>0</v>
      </c>
      <c r="EC44" s="970"/>
      <c r="ED44" s="669">
        <f t="shared" si="52"/>
        <v>0</v>
      </c>
      <c r="EF44" s="1868">
        <v>0</v>
      </c>
      <c r="EG44" s="1451"/>
      <c r="EH44" s="1449">
        <f t="shared" si="38"/>
        <v>0</v>
      </c>
      <c r="EI44" s="1451"/>
      <c r="EJ44" s="970">
        <f t="shared" si="39"/>
        <v>0</v>
      </c>
      <c r="EK44" s="970"/>
      <c r="EL44" s="970">
        <f t="shared" si="40"/>
        <v>0</v>
      </c>
      <c r="EM44" s="970"/>
      <c r="EN44" s="669">
        <f t="shared" si="53"/>
        <v>0</v>
      </c>
    </row>
    <row r="45" spans="1:144" ht="12.75" customHeight="1" x14ac:dyDescent="0.2">
      <c r="A45" s="259" t="s">
        <v>290</v>
      </c>
      <c r="B45" s="1"/>
      <c r="C45" s="1409" t="s">
        <v>1823</v>
      </c>
      <c r="D45" s="220"/>
      <c r="E45" s="1452">
        <f>'Sensitivitaeten Delta_Market'!D35</f>
        <v>100</v>
      </c>
      <c r="F45" s="244" t="s">
        <v>250</v>
      </c>
      <c r="G45" s="966">
        <f>'Sensitivitaeten Delta_Market'!L35</f>
        <v>0</v>
      </c>
      <c r="H45" s="966">
        <f>'Sensitivitaeten Delta_Market'!M35</f>
        <v>0</v>
      </c>
      <c r="I45" s="966"/>
      <c r="J45" s="966">
        <f>'Sensitivitaeten Delta_Market'!U35</f>
        <v>0</v>
      </c>
      <c r="K45" s="967">
        <f>'Sensitivitaeten Delta_Market'!V35</f>
        <v>0</v>
      </c>
      <c r="L45" s="966"/>
      <c r="M45" s="245">
        <f t="shared" si="54"/>
        <v>0</v>
      </c>
      <c r="N45" s="256">
        <f t="shared" si="54"/>
        <v>0</v>
      </c>
      <c r="O45" s="1461"/>
      <c r="P45" s="1452">
        <v>0</v>
      </c>
      <c r="Q45" s="1274"/>
      <c r="R45" s="967">
        <f t="shared" si="2"/>
        <v>0</v>
      </c>
      <c r="S45" s="1274"/>
      <c r="T45" s="966">
        <f t="shared" si="3"/>
        <v>0</v>
      </c>
      <c r="U45" s="966"/>
      <c r="V45" s="966">
        <f t="shared" si="4"/>
        <v>0</v>
      </c>
      <c r="W45" s="966"/>
      <c r="X45" s="246">
        <f t="shared" si="41"/>
        <v>0</v>
      </c>
      <c r="Y45" s="1462"/>
      <c r="Z45" s="1452">
        <v>0</v>
      </c>
      <c r="AA45" s="1274"/>
      <c r="AB45" s="967">
        <f t="shared" si="5"/>
        <v>0</v>
      </c>
      <c r="AC45" s="1274"/>
      <c r="AD45" s="966">
        <f t="shared" si="6"/>
        <v>0</v>
      </c>
      <c r="AE45" s="966"/>
      <c r="AF45" s="966">
        <f t="shared" si="7"/>
        <v>0</v>
      </c>
      <c r="AG45" s="966"/>
      <c r="AH45" s="246">
        <f t="shared" si="42"/>
        <v>0</v>
      </c>
      <c r="AI45" s="1463"/>
      <c r="AJ45" s="1452">
        <v>-47.000000000000064</v>
      </c>
      <c r="AK45" s="1274"/>
      <c r="AL45" s="967">
        <f t="shared" si="8"/>
        <v>-0.47000000000000064</v>
      </c>
      <c r="AM45" s="1274"/>
      <c r="AN45" s="966">
        <f t="shared" si="9"/>
        <v>0</v>
      </c>
      <c r="AO45" s="966"/>
      <c r="AP45" s="966">
        <f t="shared" si="10"/>
        <v>0</v>
      </c>
      <c r="AQ45" s="966"/>
      <c r="AR45" s="246">
        <f t="shared" si="43"/>
        <v>0</v>
      </c>
      <c r="AS45" s="1463"/>
      <c r="AT45" s="1452">
        <v>66</v>
      </c>
      <c r="AU45" s="1274"/>
      <c r="AV45" s="967">
        <f t="shared" si="11"/>
        <v>0.66</v>
      </c>
      <c r="AW45" s="1274"/>
      <c r="AX45" s="966">
        <f t="shared" si="12"/>
        <v>0</v>
      </c>
      <c r="AY45" s="966"/>
      <c r="AZ45" s="966">
        <f t="shared" si="13"/>
        <v>0</v>
      </c>
      <c r="BA45" s="966"/>
      <c r="BB45" s="246">
        <f t="shared" si="44"/>
        <v>0</v>
      </c>
      <c r="BC45" s="1463"/>
      <c r="BD45" s="1452">
        <v>15</v>
      </c>
      <c r="BE45" s="1274"/>
      <c r="BF45" s="967">
        <f t="shared" si="14"/>
        <v>0.15</v>
      </c>
      <c r="BG45" s="1274"/>
      <c r="BH45" s="966">
        <f t="shared" si="15"/>
        <v>0</v>
      </c>
      <c r="BI45" s="966"/>
      <c r="BJ45" s="966">
        <f t="shared" si="16"/>
        <v>0</v>
      </c>
      <c r="BK45" s="966"/>
      <c r="BL45" s="246">
        <f t="shared" si="45"/>
        <v>0</v>
      </c>
      <c r="BM45" s="1463"/>
      <c r="BN45" s="1452">
        <v>-27.798742138364773</v>
      </c>
      <c r="BO45" s="1274"/>
      <c r="BP45" s="967">
        <f t="shared" si="17"/>
        <v>-0.27798742138364774</v>
      </c>
      <c r="BQ45" s="1274"/>
      <c r="BR45" s="966">
        <f t="shared" si="18"/>
        <v>0</v>
      </c>
      <c r="BS45" s="966"/>
      <c r="BT45" s="966">
        <f t="shared" si="19"/>
        <v>0</v>
      </c>
      <c r="BU45" s="966"/>
      <c r="BV45" s="246">
        <f t="shared" si="46"/>
        <v>0</v>
      </c>
      <c r="BW45" s="1463"/>
      <c r="BX45" s="1452">
        <v>69.880906646177479</v>
      </c>
      <c r="BY45" s="1274"/>
      <c r="BZ45" s="967">
        <f t="shared" si="20"/>
        <v>0.69880906646177476</v>
      </c>
      <c r="CA45" s="1274"/>
      <c r="CB45" s="966">
        <f t="shared" si="21"/>
        <v>0</v>
      </c>
      <c r="CC45" s="966"/>
      <c r="CD45" s="966">
        <f t="shared" si="22"/>
        <v>0</v>
      </c>
      <c r="CE45" s="966"/>
      <c r="CF45" s="246">
        <f t="shared" si="47"/>
        <v>0</v>
      </c>
      <c r="CG45" s="1463"/>
      <c r="CH45" s="1452">
        <v>-22.387867883305489</v>
      </c>
      <c r="CI45" s="1274"/>
      <c r="CJ45" s="967">
        <f t="shared" si="23"/>
        <v>-0.2238786788330549</v>
      </c>
      <c r="CK45" s="1274"/>
      <c r="CL45" s="966">
        <f t="shared" si="24"/>
        <v>0</v>
      </c>
      <c r="CM45" s="966"/>
      <c r="CN45" s="966">
        <f t="shared" si="25"/>
        <v>0</v>
      </c>
      <c r="CO45" s="966"/>
      <c r="CP45" s="246">
        <f t="shared" si="48"/>
        <v>0</v>
      </c>
      <c r="CQ45" s="1463"/>
      <c r="CR45" s="1452">
        <v>0</v>
      </c>
      <c r="CS45" s="1274"/>
      <c r="CT45" s="967">
        <f t="shared" si="26"/>
        <v>0</v>
      </c>
      <c r="CU45" s="1274"/>
      <c r="CV45" s="966">
        <f t="shared" si="27"/>
        <v>0</v>
      </c>
      <c r="CW45" s="966"/>
      <c r="CX45" s="966">
        <f t="shared" si="28"/>
        <v>0</v>
      </c>
      <c r="CY45" s="966"/>
      <c r="CZ45" s="246">
        <f t="shared" si="49"/>
        <v>0</v>
      </c>
      <c r="DA45" s="1463"/>
      <c r="DB45" s="1452">
        <v>0</v>
      </c>
      <c r="DC45" s="1274"/>
      <c r="DD45" s="967">
        <f t="shared" si="29"/>
        <v>0</v>
      </c>
      <c r="DE45" s="1274"/>
      <c r="DF45" s="966">
        <f t="shared" si="30"/>
        <v>0</v>
      </c>
      <c r="DG45" s="966"/>
      <c r="DH45" s="966">
        <f t="shared" si="31"/>
        <v>0</v>
      </c>
      <c r="DI45" s="966"/>
      <c r="DJ45" s="246">
        <f t="shared" si="50"/>
        <v>0</v>
      </c>
      <c r="DK45" s="1463"/>
      <c r="DL45" s="1452">
        <v>147.80000000000001</v>
      </c>
      <c r="DM45" s="1274"/>
      <c r="DN45" s="967">
        <f t="shared" si="32"/>
        <v>1.4780000000000002</v>
      </c>
      <c r="DO45" s="1274"/>
      <c r="DP45" s="966">
        <f t="shared" si="33"/>
        <v>0</v>
      </c>
      <c r="DQ45" s="966"/>
      <c r="DR45" s="966">
        <f t="shared" si="34"/>
        <v>0</v>
      </c>
      <c r="DS45" s="966"/>
      <c r="DT45" s="246">
        <f t="shared" si="51"/>
        <v>0</v>
      </c>
      <c r="DV45" s="1452">
        <v>100</v>
      </c>
      <c r="DW45" s="1274"/>
      <c r="DX45" s="967">
        <f t="shared" si="35"/>
        <v>1</v>
      </c>
      <c r="DY45" s="1274"/>
      <c r="DZ45" s="966">
        <f t="shared" si="36"/>
        <v>0</v>
      </c>
      <c r="EA45" s="966"/>
      <c r="EB45" s="966">
        <f t="shared" si="37"/>
        <v>0</v>
      </c>
      <c r="EC45" s="966"/>
      <c r="ED45" s="246">
        <f t="shared" si="52"/>
        <v>0</v>
      </c>
      <c r="EF45" s="1452">
        <v>0</v>
      </c>
      <c r="EG45" s="1274"/>
      <c r="EH45" s="967">
        <f t="shared" si="38"/>
        <v>0</v>
      </c>
      <c r="EI45" s="1274"/>
      <c r="EJ45" s="966">
        <f t="shared" si="39"/>
        <v>0</v>
      </c>
      <c r="EK45" s="966"/>
      <c r="EL45" s="966">
        <f t="shared" si="40"/>
        <v>0</v>
      </c>
      <c r="EM45" s="966"/>
      <c r="EN45" s="246">
        <f t="shared" si="53"/>
        <v>0</v>
      </c>
    </row>
    <row r="46" spans="1:144" ht="12.75" customHeight="1" x14ac:dyDescent="0.2">
      <c r="A46" s="259" t="s">
        <v>291</v>
      </c>
      <c r="B46" s="1"/>
      <c r="C46" s="1409" t="s">
        <v>1824</v>
      </c>
      <c r="D46" s="220"/>
      <c r="E46" s="1452">
        <f>'Sensitivitaeten Delta_Market'!D36</f>
        <v>120</v>
      </c>
      <c r="F46" s="244" t="s">
        <v>250</v>
      </c>
      <c r="G46" s="966">
        <f>'Sensitivitaeten Delta_Market'!L36</f>
        <v>0</v>
      </c>
      <c r="H46" s="966">
        <f>'Sensitivitaeten Delta_Market'!M36</f>
        <v>0</v>
      </c>
      <c r="I46" s="966"/>
      <c r="J46" s="966">
        <f>'Sensitivitaeten Delta_Market'!U36</f>
        <v>0</v>
      </c>
      <c r="K46" s="967">
        <f>'Sensitivitaeten Delta_Market'!V36</f>
        <v>0</v>
      </c>
      <c r="L46" s="966"/>
      <c r="M46" s="245">
        <f t="shared" si="54"/>
        <v>0</v>
      </c>
      <c r="N46" s="256">
        <f t="shared" si="54"/>
        <v>0</v>
      </c>
      <c r="O46" s="1461"/>
      <c r="P46" s="1452">
        <v>0</v>
      </c>
      <c r="Q46" s="1274"/>
      <c r="R46" s="967">
        <f t="shared" si="2"/>
        <v>0</v>
      </c>
      <c r="S46" s="1274"/>
      <c r="T46" s="966">
        <f t="shared" si="3"/>
        <v>0</v>
      </c>
      <c r="U46" s="966"/>
      <c r="V46" s="966">
        <f t="shared" si="4"/>
        <v>0</v>
      </c>
      <c r="W46" s="966"/>
      <c r="X46" s="246">
        <f t="shared" si="41"/>
        <v>0</v>
      </c>
      <c r="Y46" s="1462"/>
      <c r="Z46" s="1452">
        <v>0</v>
      </c>
      <c r="AA46" s="1274"/>
      <c r="AB46" s="967">
        <f t="shared" si="5"/>
        <v>0</v>
      </c>
      <c r="AC46" s="1274"/>
      <c r="AD46" s="966">
        <f t="shared" si="6"/>
        <v>0</v>
      </c>
      <c r="AE46" s="966"/>
      <c r="AF46" s="966">
        <f t="shared" si="7"/>
        <v>0</v>
      </c>
      <c r="AG46" s="966"/>
      <c r="AH46" s="246">
        <f t="shared" si="42"/>
        <v>0</v>
      </c>
      <c r="AI46" s="1463"/>
      <c r="AJ46" s="1452">
        <v>-47.000000000000064</v>
      </c>
      <c r="AK46" s="1274"/>
      <c r="AL46" s="967">
        <f t="shared" si="8"/>
        <v>-0.39166666666666722</v>
      </c>
      <c r="AM46" s="1274"/>
      <c r="AN46" s="966">
        <f t="shared" si="9"/>
        <v>0</v>
      </c>
      <c r="AO46" s="966"/>
      <c r="AP46" s="966">
        <f t="shared" si="10"/>
        <v>0</v>
      </c>
      <c r="AQ46" s="966"/>
      <c r="AR46" s="246">
        <f t="shared" si="43"/>
        <v>0</v>
      </c>
      <c r="AS46" s="1463"/>
      <c r="AT46" s="1452">
        <v>66</v>
      </c>
      <c r="AU46" s="1274"/>
      <c r="AV46" s="967">
        <f t="shared" si="11"/>
        <v>0.55000000000000004</v>
      </c>
      <c r="AW46" s="1274"/>
      <c r="AX46" s="966">
        <f t="shared" si="12"/>
        <v>0</v>
      </c>
      <c r="AY46" s="966"/>
      <c r="AZ46" s="966">
        <f t="shared" si="13"/>
        <v>0</v>
      </c>
      <c r="BA46" s="966"/>
      <c r="BB46" s="246">
        <f t="shared" si="44"/>
        <v>0</v>
      </c>
      <c r="BC46" s="1463"/>
      <c r="BD46" s="1452">
        <v>15</v>
      </c>
      <c r="BE46" s="1274"/>
      <c r="BF46" s="967">
        <f t="shared" si="14"/>
        <v>0.125</v>
      </c>
      <c r="BG46" s="1274"/>
      <c r="BH46" s="966">
        <f t="shared" si="15"/>
        <v>0</v>
      </c>
      <c r="BI46" s="966"/>
      <c r="BJ46" s="966">
        <f t="shared" si="16"/>
        <v>0</v>
      </c>
      <c r="BK46" s="966"/>
      <c r="BL46" s="246">
        <f t="shared" si="45"/>
        <v>0</v>
      </c>
      <c r="BM46" s="1463"/>
      <c r="BN46" s="1452">
        <v>-33.075898801597873</v>
      </c>
      <c r="BO46" s="1274"/>
      <c r="BP46" s="967">
        <f t="shared" si="17"/>
        <v>-0.27563249001331563</v>
      </c>
      <c r="BQ46" s="1274"/>
      <c r="BR46" s="966">
        <f t="shared" si="18"/>
        <v>0</v>
      </c>
      <c r="BS46" s="966"/>
      <c r="BT46" s="966">
        <f t="shared" si="19"/>
        <v>0</v>
      </c>
      <c r="BU46" s="966"/>
      <c r="BV46" s="246">
        <f t="shared" si="46"/>
        <v>0</v>
      </c>
      <c r="BW46" s="1463"/>
      <c r="BX46" s="1452">
        <v>57.480314960629912</v>
      </c>
      <c r="BY46" s="1274"/>
      <c r="BZ46" s="967">
        <f t="shared" si="20"/>
        <v>0.47900262467191596</v>
      </c>
      <c r="CA46" s="1274"/>
      <c r="CB46" s="966">
        <f t="shared" si="21"/>
        <v>0</v>
      </c>
      <c r="CC46" s="966"/>
      <c r="CD46" s="966">
        <f t="shared" si="22"/>
        <v>0</v>
      </c>
      <c r="CE46" s="966"/>
      <c r="CF46" s="246">
        <f t="shared" si="47"/>
        <v>0</v>
      </c>
      <c r="CG46" s="1463"/>
      <c r="CH46" s="1452">
        <v>18.161007249141537</v>
      </c>
      <c r="CI46" s="1274"/>
      <c r="CJ46" s="967">
        <f t="shared" si="23"/>
        <v>0.15134172707617949</v>
      </c>
      <c r="CK46" s="1274"/>
      <c r="CL46" s="966">
        <f t="shared" si="24"/>
        <v>0</v>
      </c>
      <c r="CM46" s="966"/>
      <c r="CN46" s="966">
        <f t="shared" si="25"/>
        <v>0</v>
      </c>
      <c r="CO46" s="966"/>
      <c r="CP46" s="246">
        <f t="shared" si="48"/>
        <v>0</v>
      </c>
      <c r="CQ46" s="1463"/>
      <c r="CR46" s="1452">
        <v>0</v>
      </c>
      <c r="CS46" s="1274"/>
      <c r="CT46" s="967">
        <f t="shared" si="26"/>
        <v>0</v>
      </c>
      <c r="CU46" s="1274"/>
      <c r="CV46" s="966">
        <f t="shared" si="27"/>
        <v>0</v>
      </c>
      <c r="CW46" s="966"/>
      <c r="CX46" s="966">
        <f t="shared" si="28"/>
        <v>0</v>
      </c>
      <c r="CY46" s="966"/>
      <c r="CZ46" s="246">
        <f t="shared" si="49"/>
        <v>0</v>
      </c>
      <c r="DA46" s="1463"/>
      <c r="DB46" s="1452">
        <v>0</v>
      </c>
      <c r="DC46" s="1274"/>
      <c r="DD46" s="967">
        <f t="shared" si="29"/>
        <v>0</v>
      </c>
      <c r="DE46" s="1274"/>
      <c r="DF46" s="966">
        <f t="shared" si="30"/>
        <v>0</v>
      </c>
      <c r="DG46" s="966"/>
      <c r="DH46" s="966">
        <f t="shared" si="31"/>
        <v>0</v>
      </c>
      <c r="DI46" s="966"/>
      <c r="DJ46" s="246">
        <f t="shared" si="50"/>
        <v>0</v>
      </c>
      <c r="DK46" s="1463"/>
      <c r="DL46" s="1452">
        <v>198.89999999999995</v>
      </c>
      <c r="DM46" s="1274"/>
      <c r="DN46" s="967">
        <f t="shared" si="32"/>
        <v>1.6574999999999995</v>
      </c>
      <c r="DO46" s="1274"/>
      <c r="DP46" s="966">
        <f t="shared" si="33"/>
        <v>0</v>
      </c>
      <c r="DQ46" s="966"/>
      <c r="DR46" s="966">
        <f t="shared" si="34"/>
        <v>0</v>
      </c>
      <c r="DS46" s="966"/>
      <c r="DT46" s="246">
        <f t="shared" si="51"/>
        <v>0</v>
      </c>
      <c r="DV46" s="1452">
        <v>200</v>
      </c>
      <c r="DW46" s="1274"/>
      <c r="DX46" s="967">
        <f t="shared" si="35"/>
        <v>1.6666666666666667</v>
      </c>
      <c r="DY46" s="1274"/>
      <c r="DZ46" s="966">
        <f t="shared" si="36"/>
        <v>0</v>
      </c>
      <c r="EA46" s="966"/>
      <c r="EB46" s="966">
        <f t="shared" si="37"/>
        <v>0</v>
      </c>
      <c r="EC46" s="966"/>
      <c r="ED46" s="246">
        <f t="shared" si="52"/>
        <v>0</v>
      </c>
      <c r="EF46" s="1452">
        <v>0</v>
      </c>
      <c r="EG46" s="1274"/>
      <c r="EH46" s="967">
        <f t="shared" si="38"/>
        <v>0</v>
      </c>
      <c r="EI46" s="1274"/>
      <c r="EJ46" s="966">
        <f t="shared" si="39"/>
        <v>0</v>
      </c>
      <c r="EK46" s="966"/>
      <c r="EL46" s="966">
        <f t="shared" si="40"/>
        <v>0</v>
      </c>
      <c r="EM46" s="966"/>
      <c r="EN46" s="246">
        <f t="shared" si="53"/>
        <v>0</v>
      </c>
    </row>
    <row r="47" spans="1:144" ht="12.75" customHeight="1" x14ac:dyDescent="0.2">
      <c r="A47" s="259" t="s">
        <v>292</v>
      </c>
      <c r="B47" s="1"/>
      <c r="C47" s="1409" t="s">
        <v>1825</v>
      </c>
      <c r="D47" s="220"/>
      <c r="E47" s="1452">
        <f>'Sensitivitaeten Delta_Market'!D37</f>
        <v>150</v>
      </c>
      <c r="F47" s="244" t="s">
        <v>250</v>
      </c>
      <c r="G47" s="966">
        <f>'Sensitivitaeten Delta_Market'!L37</f>
        <v>0</v>
      </c>
      <c r="H47" s="966">
        <f>'Sensitivitaeten Delta_Market'!M37</f>
        <v>0</v>
      </c>
      <c r="I47" s="966"/>
      <c r="J47" s="966">
        <f>'Sensitivitaeten Delta_Market'!U37</f>
        <v>0</v>
      </c>
      <c r="K47" s="966">
        <f>'Sensitivitaeten Delta_Market'!V37</f>
        <v>0</v>
      </c>
      <c r="L47" s="966"/>
      <c r="M47" s="245">
        <f t="shared" si="54"/>
        <v>0</v>
      </c>
      <c r="N47" s="256">
        <f t="shared" si="54"/>
        <v>0</v>
      </c>
      <c r="O47" s="1461"/>
      <c r="P47" s="1452">
        <v>0</v>
      </c>
      <c r="Q47" s="1274"/>
      <c r="R47" s="967">
        <f t="shared" si="2"/>
        <v>0</v>
      </c>
      <c r="S47" s="1274"/>
      <c r="T47" s="966">
        <f t="shared" si="3"/>
        <v>0</v>
      </c>
      <c r="U47" s="966"/>
      <c r="V47" s="966">
        <f t="shared" si="4"/>
        <v>0</v>
      </c>
      <c r="W47" s="966"/>
      <c r="X47" s="246">
        <f t="shared" si="41"/>
        <v>0</v>
      </c>
      <c r="Y47" s="1462"/>
      <c r="Z47" s="1452">
        <v>0</v>
      </c>
      <c r="AA47" s="1274"/>
      <c r="AB47" s="967">
        <f t="shared" si="5"/>
        <v>0</v>
      </c>
      <c r="AC47" s="1274"/>
      <c r="AD47" s="966">
        <f t="shared" si="6"/>
        <v>0</v>
      </c>
      <c r="AE47" s="966"/>
      <c r="AF47" s="966">
        <f t="shared" si="7"/>
        <v>0</v>
      </c>
      <c r="AG47" s="966"/>
      <c r="AH47" s="246">
        <f t="shared" si="42"/>
        <v>0</v>
      </c>
      <c r="AI47" s="1463"/>
      <c r="AJ47" s="1452">
        <v>-47.000000000000064</v>
      </c>
      <c r="AK47" s="1274"/>
      <c r="AL47" s="967">
        <f t="shared" si="8"/>
        <v>-0.31333333333333374</v>
      </c>
      <c r="AM47" s="1274"/>
      <c r="AN47" s="966">
        <f t="shared" si="9"/>
        <v>0</v>
      </c>
      <c r="AO47" s="966"/>
      <c r="AP47" s="966">
        <f t="shared" si="10"/>
        <v>0</v>
      </c>
      <c r="AQ47" s="966"/>
      <c r="AR47" s="246">
        <f t="shared" si="43"/>
        <v>0</v>
      </c>
      <c r="AS47" s="1463"/>
      <c r="AT47" s="1452">
        <v>66</v>
      </c>
      <c r="AU47" s="1274"/>
      <c r="AV47" s="967">
        <f t="shared" si="11"/>
        <v>0.44</v>
      </c>
      <c r="AW47" s="1274"/>
      <c r="AX47" s="966">
        <f t="shared" si="12"/>
        <v>0</v>
      </c>
      <c r="AY47" s="966"/>
      <c r="AZ47" s="966">
        <f t="shared" si="13"/>
        <v>0</v>
      </c>
      <c r="BA47" s="966"/>
      <c r="BB47" s="246">
        <f t="shared" si="44"/>
        <v>0</v>
      </c>
      <c r="BC47" s="1463"/>
      <c r="BD47" s="1452">
        <v>15</v>
      </c>
      <c r="BE47" s="1274"/>
      <c r="BF47" s="967">
        <f t="shared" si="14"/>
        <v>0.1</v>
      </c>
      <c r="BG47" s="1274"/>
      <c r="BH47" s="966">
        <f t="shared" si="15"/>
        <v>0</v>
      </c>
      <c r="BI47" s="966"/>
      <c r="BJ47" s="966">
        <f t="shared" si="16"/>
        <v>0</v>
      </c>
      <c r="BK47" s="966"/>
      <c r="BL47" s="246">
        <f t="shared" si="45"/>
        <v>0</v>
      </c>
      <c r="BM47" s="1463"/>
      <c r="BN47" s="1452">
        <v>-16.574663835810345</v>
      </c>
      <c r="BO47" s="1274"/>
      <c r="BP47" s="967">
        <f t="shared" si="17"/>
        <v>-0.1104977589054023</v>
      </c>
      <c r="BQ47" s="1274"/>
      <c r="BR47" s="966">
        <f t="shared" si="18"/>
        <v>0</v>
      </c>
      <c r="BS47" s="966"/>
      <c r="BT47" s="966">
        <f t="shared" si="19"/>
        <v>0</v>
      </c>
      <c r="BU47" s="966"/>
      <c r="BV47" s="246">
        <f t="shared" si="46"/>
        <v>0</v>
      </c>
      <c r="BW47" s="1463"/>
      <c r="BX47" s="1452">
        <v>167.1673316122976</v>
      </c>
      <c r="BY47" s="1274"/>
      <c r="BZ47" s="967">
        <f t="shared" si="20"/>
        <v>1.1144488774153174</v>
      </c>
      <c r="CA47" s="1274"/>
      <c r="CB47" s="966">
        <f t="shared" si="21"/>
        <v>0</v>
      </c>
      <c r="CC47" s="966"/>
      <c r="CD47" s="966">
        <f t="shared" si="22"/>
        <v>0</v>
      </c>
      <c r="CE47" s="966"/>
      <c r="CF47" s="246">
        <f t="shared" si="47"/>
        <v>0</v>
      </c>
      <c r="CG47" s="1463"/>
      <c r="CH47" s="1452">
        <v>69.882611885546581</v>
      </c>
      <c r="CI47" s="1274"/>
      <c r="CJ47" s="967">
        <f t="shared" si="23"/>
        <v>0.46588407923697722</v>
      </c>
      <c r="CK47" s="1274"/>
      <c r="CL47" s="966">
        <f t="shared" si="24"/>
        <v>0</v>
      </c>
      <c r="CM47" s="966"/>
      <c r="CN47" s="966">
        <f t="shared" si="25"/>
        <v>0</v>
      </c>
      <c r="CO47" s="966"/>
      <c r="CP47" s="246">
        <f t="shared" si="48"/>
        <v>0</v>
      </c>
      <c r="CQ47" s="1463"/>
      <c r="CR47" s="1452">
        <v>0</v>
      </c>
      <c r="CS47" s="1274"/>
      <c r="CT47" s="967">
        <f t="shared" si="26"/>
        <v>0</v>
      </c>
      <c r="CU47" s="1274"/>
      <c r="CV47" s="966">
        <f t="shared" si="27"/>
        <v>0</v>
      </c>
      <c r="CW47" s="966"/>
      <c r="CX47" s="966">
        <f t="shared" si="28"/>
        <v>0</v>
      </c>
      <c r="CY47" s="966"/>
      <c r="CZ47" s="246">
        <f t="shared" si="49"/>
        <v>0</v>
      </c>
      <c r="DA47" s="1463"/>
      <c r="DB47" s="1452">
        <v>0</v>
      </c>
      <c r="DC47" s="1274"/>
      <c r="DD47" s="967">
        <f t="shared" si="29"/>
        <v>0</v>
      </c>
      <c r="DE47" s="1274"/>
      <c r="DF47" s="966">
        <f t="shared" si="30"/>
        <v>0</v>
      </c>
      <c r="DG47" s="966"/>
      <c r="DH47" s="966">
        <f t="shared" si="31"/>
        <v>0</v>
      </c>
      <c r="DI47" s="966"/>
      <c r="DJ47" s="246">
        <f t="shared" si="50"/>
        <v>0</v>
      </c>
      <c r="DK47" s="1463"/>
      <c r="DL47" s="1452">
        <v>332.59999999999997</v>
      </c>
      <c r="DM47" s="1274"/>
      <c r="DN47" s="967">
        <f t="shared" si="32"/>
        <v>2.2173333333333329</v>
      </c>
      <c r="DO47" s="1274"/>
      <c r="DP47" s="966">
        <f t="shared" si="33"/>
        <v>0</v>
      </c>
      <c r="DQ47" s="966"/>
      <c r="DR47" s="966">
        <f t="shared" si="34"/>
        <v>0</v>
      </c>
      <c r="DS47" s="966"/>
      <c r="DT47" s="246">
        <f t="shared" si="51"/>
        <v>0</v>
      </c>
      <c r="DV47" s="1452">
        <v>300</v>
      </c>
      <c r="DW47" s="1274"/>
      <c r="DX47" s="967">
        <f t="shared" si="35"/>
        <v>2</v>
      </c>
      <c r="DY47" s="1274"/>
      <c r="DZ47" s="966">
        <f t="shared" si="36"/>
        <v>0</v>
      </c>
      <c r="EA47" s="966"/>
      <c r="EB47" s="966">
        <f t="shared" si="37"/>
        <v>0</v>
      </c>
      <c r="EC47" s="966"/>
      <c r="ED47" s="246">
        <f t="shared" si="52"/>
        <v>0</v>
      </c>
      <c r="EF47" s="1452">
        <v>0</v>
      </c>
      <c r="EG47" s="1274"/>
      <c r="EH47" s="967">
        <f t="shared" si="38"/>
        <v>0</v>
      </c>
      <c r="EI47" s="1274"/>
      <c r="EJ47" s="966">
        <f t="shared" si="39"/>
        <v>0</v>
      </c>
      <c r="EK47" s="966"/>
      <c r="EL47" s="966">
        <f t="shared" si="40"/>
        <v>0</v>
      </c>
      <c r="EM47" s="966"/>
      <c r="EN47" s="246">
        <f t="shared" si="53"/>
        <v>0</v>
      </c>
    </row>
    <row r="48" spans="1:144" ht="12.75" customHeight="1" x14ac:dyDescent="0.2">
      <c r="A48" s="259" t="s">
        <v>293</v>
      </c>
      <c r="B48" s="1"/>
      <c r="C48" s="1409" t="s">
        <v>2290</v>
      </c>
      <c r="D48" s="220"/>
      <c r="E48" s="1453">
        <f>'Sensitivitaeten Delta_Market'!D38</f>
        <v>100</v>
      </c>
      <c r="F48" s="247" t="s">
        <v>250</v>
      </c>
      <c r="G48" s="968">
        <f>'Sensitivitaeten Delta_Market'!L38</f>
        <v>0</v>
      </c>
      <c r="H48" s="968">
        <f>'Sensitivitaeten Delta_Market'!M38</f>
        <v>0</v>
      </c>
      <c r="I48" s="968"/>
      <c r="J48" s="968">
        <f>'Sensitivitaeten Delta_Market'!U38</f>
        <v>0</v>
      </c>
      <c r="K48" s="968">
        <f>'Sensitivitaeten Delta_Market'!V38</f>
        <v>0</v>
      </c>
      <c r="L48" s="968"/>
      <c r="M48" s="248">
        <f t="shared" ref="M48:M50" si="55">G48-J48</f>
        <v>0</v>
      </c>
      <c r="N48" s="257">
        <f t="shared" ref="N48:N50" si="56">H48-K48</f>
        <v>0</v>
      </c>
      <c r="O48" s="1461"/>
      <c r="P48" s="1453">
        <v>0</v>
      </c>
      <c r="Q48" s="1456"/>
      <c r="R48" s="969">
        <f t="shared" ref="R48:R51" si="57">P48/$E48</f>
        <v>0</v>
      </c>
      <c r="S48" s="1456"/>
      <c r="T48" s="968">
        <f t="shared" ref="T48:T51" si="58">IF(P48&gt;=0,R48*$G48,-R48*$H48)</f>
        <v>0</v>
      </c>
      <c r="U48" s="968"/>
      <c r="V48" s="968">
        <f t="shared" ref="V48:V51" si="59">IF(P48&gt;=0,R48*$J48,-R48*$K48)</f>
        <v>0</v>
      </c>
      <c r="W48" s="968"/>
      <c r="X48" s="668">
        <f t="shared" ref="X48:X51" si="60">T48-V48</f>
        <v>0</v>
      </c>
      <c r="Y48" s="171"/>
      <c r="Z48" s="1453">
        <v>0</v>
      </c>
      <c r="AA48" s="1456"/>
      <c r="AB48" s="969">
        <f t="shared" ref="AB48:AB51" si="61">Z48/$E48</f>
        <v>0</v>
      </c>
      <c r="AC48" s="1456"/>
      <c r="AD48" s="968">
        <f t="shared" ref="AD48:AD51" si="62">IF(Z48&gt;=0,AB48*$G48,-AB48*$H48)</f>
        <v>0</v>
      </c>
      <c r="AE48" s="968"/>
      <c r="AF48" s="968">
        <f t="shared" ref="AF48:AF51" si="63">IF(Z48&gt;=0,AB48*$J48,-AB48*$K48)</f>
        <v>0</v>
      </c>
      <c r="AG48" s="968"/>
      <c r="AH48" s="668">
        <f t="shared" ref="AH48:AH51" si="64">AD48-AF48</f>
        <v>0</v>
      </c>
      <c r="AJ48" s="1453">
        <v>-47</v>
      </c>
      <c r="AK48" s="1456"/>
      <c r="AL48" s="969">
        <f t="shared" ref="AL48:AL51" si="65">AJ48/$E48</f>
        <v>-0.47</v>
      </c>
      <c r="AM48" s="1456"/>
      <c r="AN48" s="968">
        <f t="shared" ref="AN48:AN51" si="66">IF(AJ48&gt;=0,AL48*$G48,-AL48*$H48)</f>
        <v>0</v>
      </c>
      <c r="AO48" s="968"/>
      <c r="AP48" s="968">
        <f t="shared" ref="AP48:AP51" si="67">IF(AJ48&gt;=0,AL48*$J48,-AL48*$K48)</f>
        <v>0</v>
      </c>
      <c r="AQ48" s="968"/>
      <c r="AR48" s="668">
        <f t="shared" ref="AR48:AR51" si="68">AN48-AP48</f>
        <v>0</v>
      </c>
      <c r="AT48" s="1453">
        <v>66</v>
      </c>
      <c r="AU48" s="1456"/>
      <c r="AV48" s="969">
        <f t="shared" ref="AV48:AV51" si="69">AT48/$E48</f>
        <v>0.66</v>
      </c>
      <c r="AW48" s="1456"/>
      <c r="AX48" s="968">
        <f t="shared" ref="AX48:AX51" si="70">IF(AT48&gt;=0,AV48*$G48,-AV48*$H48)</f>
        <v>0</v>
      </c>
      <c r="AY48" s="968"/>
      <c r="AZ48" s="968">
        <f t="shared" ref="AZ48:AZ51" si="71">IF(AT48&gt;=0,AV48*$J48,-AV48*$K48)</f>
        <v>0</v>
      </c>
      <c r="BA48" s="968"/>
      <c r="BB48" s="668">
        <f t="shared" ref="BB48:BB51" si="72">AX48-AZ48</f>
        <v>0</v>
      </c>
      <c r="BD48" s="1453">
        <v>15</v>
      </c>
      <c r="BE48" s="1456"/>
      <c r="BF48" s="969">
        <f t="shared" ref="BF48:BF51" si="73">BD48/$E48</f>
        <v>0.15</v>
      </c>
      <c r="BG48" s="1456"/>
      <c r="BH48" s="968">
        <f t="shared" ref="BH48:BH51" si="74">IF(BD48&gt;=0,BF48*$G48,-BF48*$H48)</f>
        <v>0</v>
      </c>
      <c r="BI48" s="968"/>
      <c r="BJ48" s="968">
        <f t="shared" ref="BJ48:BJ51" si="75">IF(BD48&gt;=0,BF48*$J48,-BF48*$K48)</f>
        <v>0</v>
      </c>
      <c r="BK48" s="968"/>
      <c r="BL48" s="668">
        <f t="shared" ref="BL48:BL51" si="76">BH48-BJ48</f>
        <v>0</v>
      </c>
      <c r="BN48" s="1453">
        <v>-33.075898801597873</v>
      </c>
      <c r="BO48" s="1456"/>
      <c r="BP48" s="969">
        <f t="shared" ref="BP48:BP51" si="77">BN48/$E48</f>
        <v>-0.33075898801597875</v>
      </c>
      <c r="BQ48" s="1456"/>
      <c r="BR48" s="968">
        <f t="shared" ref="BR48:BR51" si="78">IF(BN48&gt;=0,BP48*$G48,-BP48*$H48)</f>
        <v>0</v>
      </c>
      <c r="BS48" s="968"/>
      <c r="BT48" s="968">
        <f t="shared" ref="BT48:BT51" si="79">IF(BN48&gt;=0,BP48*$J48,-BP48*$K48)</f>
        <v>0</v>
      </c>
      <c r="BU48" s="968"/>
      <c r="BV48" s="668">
        <f t="shared" ref="BV48:BV51" si="80">BR48-BT48</f>
        <v>0</v>
      </c>
      <c r="BX48" s="1453">
        <v>57.480314960629912</v>
      </c>
      <c r="BY48" s="1456"/>
      <c r="BZ48" s="969">
        <f t="shared" ref="BZ48:BZ51" si="81">BX48/$E48</f>
        <v>0.57480314960629908</v>
      </c>
      <c r="CA48" s="1456"/>
      <c r="CB48" s="968">
        <f t="shared" ref="CB48:CB51" si="82">IF(BX48&gt;=0,BZ48*$G48,-BZ48*$H48)</f>
        <v>0</v>
      </c>
      <c r="CC48" s="968"/>
      <c r="CD48" s="968">
        <f t="shared" ref="CD48:CD51" si="83">IF(BX48&gt;=0,BZ48*$J48,-BZ48*$K48)</f>
        <v>0</v>
      </c>
      <c r="CE48" s="968"/>
      <c r="CF48" s="668">
        <f t="shared" ref="CF48:CF51" si="84">CB48-CD48</f>
        <v>0</v>
      </c>
      <c r="CH48" s="1453">
        <v>18.161007249141537</v>
      </c>
      <c r="CI48" s="1456"/>
      <c r="CJ48" s="969">
        <f t="shared" ref="CJ48:CJ51" si="85">CH48/$E48</f>
        <v>0.18161007249141536</v>
      </c>
      <c r="CK48" s="1456"/>
      <c r="CL48" s="968">
        <f t="shared" ref="CL48:CL51" si="86">IF(CH48&gt;=0,CJ48*$G48,-CJ48*$H48)</f>
        <v>0</v>
      </c>
      <c r="CM48" s="968"/>
      <c r="CN48" s="968">
        <f t="shared" ref="CN48:CN51" si="87">IF(CH48&gt;=0,CJ48*$J48,-CJ48*$K48)</f>
        <v>0</v>
      </c>
      <c r="CO48" s="968"/>
      <c r="CP48" s="668">
        <f t="shared" ref="CP48:CP51" si="88">CL48-CN48</f>
        <v>0</v>
      </c>
      <c r="CR48" s="1453">
        <v>0</v>
      </c>
      <c r="CS48" s="1456"/>
      <c r="CT48" s="969">
        <f t="shared" si="26"/>
        <v>0</v>
      </c>
      <c r="CU48" s="1456"/>
      <c r="CV48" s="968">
        <f t="shared" si="27"/>
        <v>0</v>
      </c>
      <c r="CW48" s="968"/>
      <c r="CX48" s="968">
        <f t="shared" si="28"/>
        <v>0</v>
      </c>
      <c r="CY48" s="968"/>
      <c r="CZ48" s="668">
        <f t="shared" si="49"/>
        <v>0</v>
      </c>
      <c r="DB48" s="1453">
        <v>0</v>
      </c>
      <c r="DC48" s="1456"/>
      <c r="DD48" s="969">
        <f t="shared" ref="DD48:DD51" si="89">DB48/$E48</f>
        <v>0</v>
      </c>
      <c r="DE48" s="1456"/>
      <c r="DF48" s="968">
        <f t="shared" ref="DF48:DF51" si="90">IF(DB48&gt;=0,DD48*$G48,-DD48*$H48)</f>
        <v>0</v>
      </c>
      <c r="DG48" s="968"/>
      <c r="DH48" s="968">
        <f t="shared" ref="DH48:DH51" si="91">IF(DB48&gt;=0,DD48*$J48,-DD48*$K48)</f>
        <v>0</v>
      </c>
      <c r="DI48" s="968"/>
      <c r="DJ48" s="668">
        <f t="shared" ref="DJ48:DJ51" si="92">DF48-DH48</f>
        <v>0</v>
      </c>
      <c r="DL48" s="1453">
        <v>198.89999999999995</v>
      </c>
      <c r="DM48" s="1456"/>
      <c r="DN48" s="969">
        <f t="shared" ref="DN48:DN51" si="93">DL48/$E48</f>
        <v>1.9889999999999994</v>
      </c>
      <c r="DO48" s="1456"/>
      <c r="DP48" s="968">
        <f t="shared" ref="DP48:DP51" si="94">IF(DL48&gt;=0,DN48*$G48,-DN48*$H48)</f>
        <v>0</v>
      </c>
      <c r="DQ48" s="968"/>
      <c r="DR48" s="968">
        <f t="shared" ref="DR48:DR51" si="95">IF(DL48&gt;=0,DN48*$J48,-DN48*$K48)</f>
        <v>0</v>
      </c>
      <c r="DS48" s="968"/>
      <c r="DT48" s="668">
        <f t="shared" ref="DT48:DT51" si="96">DP48-DR48</f>
        <v>0</v>
      </c>
      <c r="DV48" s="1453">
        <v>200</v>
      </c>
      <c r="DW48" s="1456"/>
      <c r="DX48" s="969">
        <f t="shared" ref="DX48:DX51" si="97">DV48/$E48</f>
        <v>2</v>
      </c>
      <c r="DY48" s="1456"/>
      <c r="DZ48" s="968">
        <f t="shared" ref="DZ48:DZ51" si="98">IF(DV48&gt;=0,DX48*$G48,-DX48*$H48)</f>
        <v>0</v>
      </c>
      <c r="EA48" s="968"/>
      <c r="EB48" s="968">
        <f t="shared" ref="EB48:EB51" si="99">IF(DV48&gt;=0,DX48*$J48,-DX48*$K48)</f>
        <v>0</v>
      </c>
      <c r="EC48" s="968"/>
      <c r="ED48" s="668">
        <f t="shared" ref="ED48:ED51" si="100">DZ48-EB48</f>
        <v>0</v>
      </c>
      <c r="EF48" s="1453">
        <v>0</v>
      </c>
      <c r="EG48" s="1456"/>
      <c r="EH48" s="969">
        <f t="shared" ref="EH48:EH51" si="101">EF48/$E48</f>
        <v>0</v>
      </c>
      <c r="EI48" s="1456"/>
      <c r="EJ48" s="968">
        <f t="shared" ref="EJ48:EJ51" si="102">IF(EF48&gt;=0,EH48*$G48,-EH48*$H48)</f>
        <v>0</v>
      </c>
      <c r="EK48" s="968"/>
      <c r="EL48" s="968">
        <f t="shared" ref="EL48:EL51" si="103">IF(EF48&gt;=0,EH48*$J48,-EH48*$K48)</f>
        <v>0</v>
      </c>
      <c r="EM48" s="968"/>
      <c r="EN48" s="668">
        <f t="shared" ref="EN48:EN51" si="104">EJ48-EL48</f>
        <v>0</v>
      </c>
    </row>
    <row r="49" spans="1:144" ht="12.75" customHeight="1" x14ac:dyDescent="0.2">
      <c r="A49" s="259" t="s">
        <v>294</v>
      </c>
      <c r="B49" s="1"/>
      <c r="C49" s="1401" t="s">
        <v>2547</v>
      </c>
      <c r="D49" s="2132"/>
      <c r="E49" s="1452">
        <f>'Sensitivitaeten Delta_Market'!D39</f>
        <v>100</v>
      </c>
      <c r="F49" s="244" t="s">
        <v>250</v>
      </c>
      <c r="G49" s="966">
        <f>'Sensitivitaeten Delta_Market'!L39</f>
        <v>0</v>
      </c>
      <c r="H49" s="966">
        <f>'Sensitivitaeten Delta_Market'!M39</f>
        <v>0</v>
      </c>
      <c r="I49" s="966"/>
      <c r="J49" s="966">
        <f>'Sensitivitaeten Delta_Market'!U39</f>
        <v>0</v>
      </c>
      <c r="K49" s="966">
        <f>'Sensitivitaeten Delta_Market'!V39</f>
        <v>0</v>
      </c>
      <c r="L49" s="966"/>
      <c r="M49" s="245">
        <f t="shared" si="55"/>
        <v>0</v>
      </c>
      <c r="N49" s="245">
        <f t="shared" si="56"/>
        <v>0</v>
      </c>
      <c r="O49" s="208"/>
      <c r="P49" s="1452">
        <v>0</v>
      </c>
      <c r="Q49" s="1274"/>
      <c r="R49" s="967">
        <f t="shared" si="57"/>
        <v>0</v>
      </c>
      <c r="S49" s="1274"/>
      <c r="T49" s="966">
        <f t="shared" si="58"/>
        <v>0</v>
      </c>
      <c r="U49" s="966"/>
      <c r="V49" s="966">
        <f t="shared" si="59"/>
        <v>0</v>
      </c>
      <c r="W49" s="966"/>
      <c r="X49" s="246">
        <f t="shared" si="60"/>
        <v>0</v>
      </c>
      <c r="Y49" s="171"/>
      <c r="Z49" s="1452">
        <v>0</v>
      </c>
      <c r="AA49" s="1274"/>
      <c r="AB49" s="967">
        <f t="shared" si="61"/>
        <v>0</v>
      </c>
      <c r="AC49" s="1274"/>
      <c r="AD49" s="966">
        <f t="shared" si="62"/>
        <v>0</v>
      </c>
      <c r="AE49" s="966"/>
      <c r="AF49" s="966">
        <f t="shared" si="63"/>
        <v>0</v>
      </c>
      <c r="AG49" s="966"/>
      <c r="AH49" s="246">
        <f t="shared" si="64"/>
        <v>0</v>
      </c>
      <c r="AJ49" s="1452">
        <v>-47</v>
      </c>
      <c r="AK49" s="1274"/>
      <c r="AL49" s="967">
        <f t="shared" si="65"/>
        <v>-0.47</v>
      </c>
      <c r="AM49" s="1274"/>
      <c r="AN49" s="966">
        <f t="shared" si="66"/>
        <v>0</v>
      </c>
      <c r="AO49" s="966"/>
      <c r="AP49" s="966">
        <f t="shared" si="67"/>
        <v>0</v>
      </c>
      <c r="AQ49" s="966"/>
      <c r="AR49" s="246">
        <f t="shared" si="68"/>
        <v>0</v>
      </c>
      <c r="AT49" s="1452">
        <v>66</v>
      </c>
      <c r="AU49" s="1274"/>
      <c r="AV49" s="967">
        <f t="shared" si="69"/>
        <v>0.66</v>
      </c>
      <c r="AW49" s="1274"/>
      <c r="AX49" s="966">
        <f t="shared" si="70"/>
        <v>0</v>
      </c>
      <c r="AY49" s="966"/>
      <c r="AZ49" s="966">
        <f t="shared" si="71"/>
        <v>0</v>
      </c>
      <c r="BA49" s="966"/>
      <c r="BB49" s="246">
        <f t="shared" si="72"/>
        <v>0</v>
      </c>
      <c r="BD49" s="1452">
        <v>15</v>
      </c>
      <c r="BE49" s="1274"/>
      <c r="BF49" s="967">
        <f t="shared" si="73"/>
        <v>0.15</v>
      </c>
      <c r="BG49" s="1274"/>
      <c r="BH49" s="966">
        <f t="shared" si="74"/>
        <v>0</v>
      </c>
      <c r="BI49" s="966"/>
      <c r="BJ49" s="966">
        <f t="shared" si="75"/>
        <v>0</v>
      </c>
      <c r="BK49" s="966"/>
      <c r="BL49" s="246">
        <f t="shared" si="76"/>
        <v>0</v>
      </c>
      <c r="BN49" s="1452">
        <v>-27.798742138364773</v>
      </c>
      <c r="BO49" s="1274"/>
      <c r="BP49" s="967">
        <f t="shared" si="77"/>
        <v>-0.27798742138364774</v>
      </c>
      <c r="BQ49" s="1274"/>
      <c r="BR49" s="966">
        <f t="shared" si="78"/>
        <v>0</v>
      </c>
      <c r="BS49" s="966"/>
      <c r="BT49" s="966">
        <f t="shared" si="79"/>
        <v>0</v>
      </c>
      <c r="BU49" s="966"/>
      <c r="BV49" s="246">
        <f t="shared" si="80"/>
        <v>0</v>
      </c>
      <c r="BX49" s="1452">
        <v>69.880906646177479</v>
      </c>
      <c r="BY49" s="1274"/>
      <c r="BZ49" s="967">
        <f t="shared" si="81"/>
        <v>0.69880906646177476</v>
      </c>
      <c r="CA49" s="1274"/>
      <c r="CB49" s="966">
        <f t="shared" si="82"/>
        <v>0</v>
      </c>
      <c r="CC49" s="966"/>
      <c r="CD49" s="966">
        <f t="shared" si="83"/>
        <v>0</v>
      </c>
      <c r="CE49" s="966"/>
      <c r="CF49" s="246">
        <f t="shared" si="84"/>
        <v>0</v>
      </c>
      <c r="CH49" s="1452">
        <v>-22.387867883305489</v>
      </c>
      <c r="CI49" s="1274"/>
      <c r="CJ49" s="967">
        <f t="shared" si="85"/>
        <v>-0.2238786788330549</v>
      </c>
      <c r="CK49" s="1274"/>
      <c r="CL49" s="966">
        <f t="shared" si="86"/>
        <v>0</v>
      </c>
      <c r="CM49" s="966"/>
      <c r="CN49" s="966">
        <f t="shared" si="87"/>
        <v>0</v>
      </c>
      <c r="CO49" s="966"/>
      <c r="CP49" s="246">
        <f t="shared" si="88"/>
        <v>0</v>
      </c>
      <c r="CR49" s="1452">
        <v>0</v>
      </c>
      <c r="CS49" s="1274"/>
      <c r="CT49" s="967">
        <f t="shared" si="26"/>
        <v>0</v>
      </c>
      <c r="CU49" s="1274"/>
      <c r="CV49" s="966">
        <f t="shared" si="27"/>
        <v>0</v>
      </c>
      <c r="CW49" s="966"/>
      <c r="CX49" s="966">
        <f t="shared" si="28"/>
        <v>0</v>
      </c>
      <c r="CY49" s="966"/>
      <c r="CZ49" s="246">
        <f t="shared" si="49"/>
        <v>0</v>
      </c>
      <c r="DB49" s="1452">
        <v>0</v>
      </c>
      <c r="DC49" s="1274"/>
      <c r="DD49" s="967">
        <f t="shared" si="89"/>
        <v>0</v>
      </c>
      <c r="DE49" s="1274"/>
      <c r="DF49" s="966">
        <f t="shared" si="90"/>
        <v>0</v>
      </c>
      <c r="DG49" s="966"/>
      <c r="DH49" s="966">
        <f t="shared" si="91"/>
        <v>0</v>
      </c>
      <c r="DI49" s="966"/>
      <c r="DJ49" s="246">
        <f t="shared" si="92"/>
        <v>0</v>
      </c>
      <c r="DL49" s="1452">
        <v>147.80000000000001</v>
      </c>
      <c r="DM49" s="1274"/>
      <c r="DN49" s="967">
        <f t="shared" si="93"/>
        <v>1.4780000000000002</v>
      </c>
      <c r="DO49" s="1274"/>
      <c r="DP49" s="966">
        <f t="shared" si="94"/>
        <v>0</v>
      </c>
      <c r="DQ49" s="966"/>
      <c r="DR49" s="966">
        <f t="shared" si="95"/>
        <v>0</v>
      </c>
      <c r="DS49" s="966"/>
      <c r="DT49" s="246">
        <f t="shared" si="96"/>
        <v>0</v>
      </c>
      <c r="DV49" s="1452">
        <v>100</v>
      </c>
      <c r="DW49" s="1274"/>
      <c r="DX49" s="967">
        <f t="shared" si="97"/>
        <v>1</v>
      </c>
      <c r="DY49" s="1274"/>
      <c r="DZ49" s="966">
        <f t="shared" si="98"/>
        <v>0</v>
      </c>
      <c r="EA49" s="966"/>
      <c r="EB49" s="966">
        <f t="shared" si="99"/>
        <v>0</v>
      </c>
      <c r="EC49" s="966"/>
      <c r="ED49" s="246">
        <f t="shared" si="100"/>
        <v>0</v>
      </c>
      <c r="EF49" s="1452">
        <v>0</v>
      </c>
      <c r="EG49" s="1274"/>
      <c r="EH49" s="967">
        <f t="shared" si="101"/>
        <v>0</v>
      </c>
      <c r="EI49" s="1274"/>
      <c r="EJ49" s="966">
        <f t="shared" si="102"/>
        <v>0</v>
      </c>
      <c r="EK49" s="966"/>
      <c r="EL49" s="966">
        <f t="shared" si="103"/>
        <v>0</v>
      </c>
      <c r="EM49" s="966"/>
      <c r="EN49" s="246">
        <f t="shared" si="104"/>
        <v>0</v>
      </c>
    </row>
    <row r="50" spans="1:144" ht="12.75" customHeight="1" x14ac:dyDescent="0.2">
      <c r="A50" s="259" t="s">
        <v>295</v>
      </c>
      <c r="B50" s="1"/>
      <c r="C50" s="1850" t="s">
        <v>2548</v>
      </c>
      <c r="D50" s="1851"/>
      <c r="E50" s="1453">
        <f>'Sensitivitaeten Delta_Market'!D40</f>
        <v>100</v>
      </c>
      <c r="F50" s="247" t="s">
        <v>250</v>
      </c>
      <c r="G50" s="968">
        <f>'Sensitivitaeten Delta_Market'!L40</f>
        <v>0</v>
      </c>
      <c r="H50" s="968">
        <f>'Sensitivitaeten Delta_Market'!M40</f>
        <v>0</v>
      </c>
      <c r="I50" s="968"/>
      <c r="J50" s="968">
        <f>'Sensitivitaeten Delta_Market'!U40</f>
        <v>0</v>
      </c>
      <c r="K50" s="968">
        <f>'Sensitivitaeten Delta_Market'!V40</f>
        <v>0</v>
      </c>
      <c r="L50" s="968"/>
      <c r="M50" s="248">
        <f t="shared" si="55"/>
        <v>0</v>
      </c>
      <c r="N50" s="257">
        <f t="shared" si="56"/>
        <v>0</v>
      </c>
      <c r="O50" s="208"/>
      <c r="P50" s="1453">
        <v>0</v>
      </c>
      <c r="Q50" s="1456"/>
      <c r="R50" s="969">
        <f t="shared" si="57"/>
        <v>0</v>
      </c>
      <c r="S50" s="1456"/>
      <c r="T50" s="968">
        <f t="shared" si="58"/>
        <v>0</v>
      </c>
      <c r="U50" s="968"/>
      <c r="V50" s="968">
        <f t="shared" si="59"/>
        <v>0</v>
      </c>
      <c r="W50" s="968"/>
      <c r="X50" s="668">
        <f t="shared" si="60"/>
        <v>0</v>
      </c>
      <c r="Y50" s="171"/>
      <c r="Z50" s="1453">
        <v>0</v>
      </c>
      <c r="AA50" s="1456"/>
      <c r="AB50" s="969">
        <f t="shared" si="61"/>
        <v>0</v>
      </c>
      <c r="AC50" s="1456"/>
      <c r="AD50" s="968">
        <f t="shared" si="62"/>
        <v>0</v>
      </c>
      <c r="AE50" s="968"/>
      <c r="AF50" s="968">
        <f t="shared" si="63"/>
        <v>0</v>
      </c>
      <c r="AG50" s="968"/>
      <c r="AH50" s="668">
        <f t="shared" si="64"/>
        <v>0</v>
      </c>
      <c r="AJ50" s="1453">
        <v>-47</v>
      </c>
      <c r="AK50" s="1456"/>
      <c r="AL50" s="969">
        <f t="shared" si="65"/>
        <v>-0.47</v>
      </c>
      <c r="AM50" s="1456"/>
      <c r="AN50" s="968">
        <f t="shared" si="66"/>
        <v>0</v>
      </c>
      <c r="AO50" s="968"/>
      <c r="AP50" s="968">
        <f t="shared" si="67"/>
        <v>0</v>
      </c>
      <c r="AQ50" s="968"/>
      <c r="AR50" s="668">
        <f t="shared" si="68"/>
        <v>0</v>
      </c>
      <c r="AT50" s="1453">
        <v>66</v>
      </c>
      <c r="AU50" s="1456"/>
      <c r="AV50" s="969">
        <f t="shared" si="69"/>
        <v>0.66</v>
      </c>
      <c r="AW50" s="1456"/>
      <c r="AX50" s="968">
        <f t="shared" si="70"/>
        <v>0</v>
      </c>
      <c r="AY50" s="968"/>
      <c r="AZ50" s="968">
        <f t="shared" si="71"/>
        <v>0</v>
      </c>
      <c r="BA50" s="968"/>
      <c r="BB50" s="668">
        <f t="shared" si="72"/>
        <v>0</v>
      </c>
      <c r="BD50" s="1453">
        <v>15</v>
      </c>
      <c r="BE50" s="1456"/>
      <c r="BF50" s="969">
        <f t="shared" si="73"/>
        <v>0.15</v>
      </c>
      <c r="BG50" s="1456"/>
      <c r="BH50" s="968">
        <f t="shared" si="74"/>
        <v>0</v>
      </c>
      <c r="BI50" s="968"/>
      <c r="BJ50" s="968">
        <f t="shared" si="75"/>
        <v>0</v>
      </c>
      <c r="BK50" s="968"/>
      <c r="BL50" s="668">
        <f t="shared" si="76"/>
        <v>0</v>
      </c>
      <c r="BN50" s="1453">
        <v>-33.075898801597873</v>
      </c>
      <c r="BO50" s="1456"/>
      <c r="BP50" s="969">
        <f t="shared" si="77"/>
        <v>-0.33075898801597875</v>
      </c>
      <c r="BQ50" s="1456"/>
      <c r="BR50" s="968">
        <f t="shared" si="78"/>
        <v>0</v>
      </c>
      <c r="BS50" s="968"/>
      <c r="BT50" s="968">
        <f t="shared" si="79"/>
        <v>0</v>
      </c>
      <c r="BU50" s="968"/>
      <c r="BV50" s="668">
        <f t="shared" si="80"/>
        <v>0</v>
      </c>
      <c r="BX50" s="1453">
        <v>57.480314960629912</v>
      </c>
      <c r="BY50" s="1456"/>
      <c r="BZ50" s="969">
        <f t="shared" si="81"/>
        <v>0.57480314960629908</v>
      </c>
      <c r="CA50" s="1456"/>
      <c r="CB50" s="968">
        <f t="shared" si="82"/>
        <v>0</v>
      </c>
      <c r="CC50" s="968"/>
      <c r="CD50" s="968">
        <f t="shared" si="83"/>
        <v>0</v>
      </c>
      <c r="CE50" s="968"/>
      <c r="CF50" s="668">
        <f t="shared" si="84"/>
        <v>0</v>
      </c>
      <c r="CH50" s="1453">
        <v>18.161007249141537</v>
      </c>
      <c r="CI50" s="1456"/>
      <c r="CJ50" s="969">
        <f t="shared" si="85"/>
        <v>0.18161007249141536</v>
      </c>
      <c r="CK50" s="1456"/>
      <c r="CL50" s="968">
        <f t="shared" si="86"/>
        <v>0</v>
      </c>
      <c r="CM50" s="968"/>
      <c r="CN50" s="968">
        <f t="shared" si="87"/>
        <v>0</v>
      </c>
      <c r="CO50" s="968"/>
      <c r="CP50" s="668">
        <f t="shared" si="88"/>
        <v>0</v>
      </c>
      <c r="CR50" s="1453">
        <v>0</v>
      </c>
      <c r="CS50" s="1456"/>
      <c r="CT50" s="969">
        <f t="shared" si="26"/>
        <v>0</v>
      </c>
      <c r="CU50" s="1456"/>
      <c r="CV50" s="968">
        <f t="shared" si="27"/>
        <v>0</v>
      </c>
      <c r="CW50" s="968"/>
      <c r="CX50" s="968">
        <f t="shared" si="28"/>
        <v>0</v>
      </c>
      <c r="CY50" s="968"/>
      <c r="CZ50" s="668">
        <f t="shared" si="49"/>
        <v>0</v>
      </c>
      <c r="DB50" s="1453">
        <v>0</v>
      </c>
      <c r="DC50" s="1456"/>
      <c r="DD50" s="969">
        <f t="shared" si="89"/>
        <v>0</v>
      </c>
      <c r="DE50" s="1456"/>
      <c r="DF50" s="968">
        <f t="shared" si="90"/>
        <v>0</v>
      </c>
      <c r="DG50" s="968"/>
      <c r="DH50" s="968">
        <f t="shared" si="91"/>
        <v>0</v>
      </c>
      <c r="DI50" s="968"/>
      <c r="DJ50" s="668">
        <f t="shared" si="92"/>
        <v>0</v>
      </c>
      <c r="DL50" s="1453">
        <v>198.89999999999995</v>
      </c>
      <c r="DM50" s="1456"/>
      <c r="DN50" s="969">
        <f t="shared" si="93"/>
        <v>1.9889999999999994</v>
      </c>
      <c r="DO50" s="1456"/>
      <c r="DP50" s="968">
        <f t="shared" si="94"/>
        <v>0</v>
      </c>
      <c r="DQ50" s="968"/>
      <c r="DR50" s="968">
        <f t="shared" si="95"/>
        <v>0</v>
      </c>
      <c r="DS50" s="968"/>
      <c r="DT50" s="668">
        <f t="shared" si="96"/>
        <v>0</v>
      </c>
      <c r="DV50" s="1453">
        <v>200</v>
      </c>
      <c r="DW50" s="1456"/>
      <c r="DX50" s="969">
        <f t="shared" si="97"/>
        <v>2</v>
      </c>
      <c r="DY50" s="1456"/>
      <c r="DZ50" s="968">
        <f t="shared" si="98"/>
        <v>0</v>
      </c>
      <c r="EA50" s="968"/>
      <c r="EB50" s="968">
        <f t="shared" si="99"/>
        <v>0</v>
      </c>
      <c r="EC50" s="968"/>
      <c r="ED50" s="668">
        <f t="shared" si="100"/>
        <v>0</v>
      </c>
      <c r="EF50" s="1453">
        <v>0</v>
      </c>
      <c r="EG50" s="1456"/>
      <c r="EH50" s="969">
        <f t="shared" si="101"/>
        <v>0</v>
      </c>
      <c r="EI50" s="1456"/>
      <c r="EJ50" s="968">
        <f t="shared" si="102"/>
        <v>0</v>
      </c>
      <c r="EK50" s="968"/>
      <c r="EL50" s="968">
        <f t="shared" si="103"/>
        <v>0</v>
      </c>
      <c r="EM50" s="968"/>
      <c r="EN50" s="668">
        <f t="shared" si="104"/>
        <v>0</v>
      </c>
    </row>
    <row r="51" spans="1:144" s="25" customFormat="1" ht="12.75" customHeight="1" x14ac:dyDescent="0.2">
      <c r="A51" s="259" t="s">
        <v>296</v>
      </c>
      <c r="C51" s="1409" t="s">
        <v>1826</v>
      </c>
      <c r="D51" s="220"/>
      <c r="E51" s="1453">
        <f>'Sensitivitaeten Delta_Market'!D41</f>
        <v>60</v>
      </c>
      <c r="F51" s="247" t="s">
        <v>250</v>
      </c>
      <c r="G51" s="968">
        <f>'Sensitivitaeten Delta_Market'!L41</f>
        <v>0</v>
      </c>
      <c r="H51" s="968">
        <f>'Sensitivitaeten Delta_Market'!M41</f>
        <v>0</v>
      </c>
      <c r="I51" s="1864"/>
      <c r="J51" s="968">
        <f>'Sensitivitaeten Delta_Market'!U41</f>
        <v>0</v>
      </c>
      <c r="K51" s="968">
        <f>'Sensitivitaeten Delta_Market'!V41</f>
        <v>0</v>
      </c>
      <c r="L51" s="968"/>
      <c r="M51" s="248">
        <f t="shared" ref="M51" si="105">G51-J51</f>
        <v>0</v>
      </c>
      <c r="N51" s="248">
        <f t="shared" ref="N51" si="106">H51-K51</f>
        <v>0</v>
      </c>
      <c r="O51" s="1862"/>
      <c r="P51" s="1453">
        <v>0</v>
      </c>
      <c r="Q51" s="1869"/>
      <c r="R51" s="969">
        <f t="shared" si="57"/>
        <v>0</v>
      </c>
      <c r="S51" s="1456"/>
      <c r="T51" s="968">
        <f t="shared" si="58"/>
        <v>0</v>
      </c>
      <c r="U51" s="968"/>
      <c r="V51" s="968">
        <f t="shared" si="59"/>
        <v>0</v>
      </c>
      <c r="W51" s="968"/>
      <c r="X51" s="668">
        <f t="shared" si="60"/>
        <v>0</v>
      </c>
      <c r="Y51" s="40"/>
      <c r="Z51" s="1453">
        <v>0</v>
      </c>
      <c r="AA51" s="1869"/>
      <c r="AB51" s="969">
        <f t="shared" si="61"/>
        <v>0</v>
      </c>
      <c r="AC51" s="1456"/>
      <c r="AD51" s="968">
        <f t="shared" si="62"/>
        <v>0</v>
      </c>
      <c r="AE51" s="968"/>
      <c r="AF51" s="968">
        <f t="shared" si="63"/>
        <v>0</v>
      </c>
      <c r="AG51" s="968"/>
      <c r="AH51" s="668">
        <f t="shared" si="64"/>
        <v>0</v>
      </c>
      <c r="AJ51" s="1453">
        <v>-47.000000000000064</v>
      </c>
      <c r="AK51" s="1869"/>
      <c r="AL51" s="969">
        <f t="shared" si="65"/>
        <v>-0.78333333333333444</v>
      </c>
      <c r="AM51" s="1456"/>
      <c r="AN51" s="968">
        <f t="shared" si="66"/>
        <v>0</v>
      </c>
      <c r="AO51" s="968"/>
      <c r="AP51" s="968">
        <f t="shared" si="67"/>
        <v>0</v>
      </c>
      <c r="AQ51" s="968"/>
      <c r="AR51" s="668">
        <f t="shared" si="68"/>
        <v>0</v>
      </c>
      <c r="AT51" s="1453">
        <v>66</v>
      </c>
      <c r="AU51" s="1869"/>
      <c r="AV51" s="969">
        <f t="shared" si="69"/>
        <v>1.1000000000000001</v>
      </c>
      <c r="AW51" s="1456"/>
      <c r="AX51" s="968">
        <f t="shared" si="70"/>
        <v>0</v>
      </c>
      <c r="AY51" s="968"/>
      <c r="AZ51" s="968">
        <f t="shared" si="71"/>
        <v>0</v>
      </c>
      <c r="BA51" s="968"/>
      <c r="BB51" s="668">
        <f t="shared" si="72"/>
        <v>0</v>
      </c>
      <c r="BD51" s="1453">
        <v>15</v>
      </c>
      <c r="BE51" s="1869"/>
      <c r="BF51" s="969">
        <f t="shared" si="73"/>
        <v>0.25</v>
      </c>
      <c r="BG51" s="1456"/>
      <c r="BH51" s="968">
        <f t="shared" si="74"/>
        <v>0</v>
      </c>
      <c r="BI51" s="968"/>
      <c r="BJ51" s="968">
        <f t="shared" si="75"/>
        <v>0</v>
      </c>
      <c r="BK51" s="968"/>
      <c r="BL51" s="668">
        <f t="shared" si="76"/>
        <v>0</v>
      </c>
      <c r="BN51" s="1453">
        <v>4.8264766720294228</v>
      </c>
      <c r="BO51" s="1869"/>
      <c r="BP51" s="969">
        <f t="shared" si="77"/>
        <v>8.0441277867157046E-2</v>
      </c>
      <c r="BQ51" s="1456"/>
      <c r="BR51" s="968">
        <f t="shared" si="78"/>
        <v>0</v>
      </c>
      <c r="BS51" s="968"/>
      <c r="BT51" s="968">
        <f t="shared" si="79"/>
        <v>0</v>
      </c>
      <c r="BU51" s="968"/>
      <c r="BV51" s="668">
        <f t="shared" si="80"/>
        <v>0</v>
      </c>
      <c r="BX51" s="1453">
        <v>13.3</v>
      </c>
      <c r="BY51" s="1869"/>
      <c r="BZ51" s="969">
        <f t="shared" si="81"/>
        <v>0.22166666666666668</v>
      </c>
      <c r="CA51" s="1456"/>
      <c r="CB51" s="968">
        <f t="shared" si="82"/>
        <v>0</v>
      </c>
      <c r="CC51" s="968"/>
      <c r="CD51" s="968">
        <f t="shared" si="83"/>
        <v>0</v>
      </c>
      <c r="CE51" s="968"/>
      <c r="CF51" s="668">
        <f t="shared" si="84"/>
        <v>0</v>
      </c>
      <c r="CH51" s="2060">
        <v>18.100000000000005</v>
      </c>
      <c r="CI51" s="1869"/>
      <c r="CJ51" s="969">
        <f t="shared" si="85"/>
        <v>0.30166666666666675</v>
      </c>
      <c r="CK51" s="1456"/>
      <c r="CL51" s="968">
        <f t="shared" si="86"/>
        <v>0</v>
      </c>
      <c r="CM51" s="968"/>
      <c r="CN51" s="968">
        <f t="shared" si="87"/>
        <v>0</v>
      </c>
      <c r="CO51" s="968"/>
      <c r="CP51" s="668">
        <f t="shared" si="88"/>
        <v>0</v>
      </c>
      <c r="CR51" s="1453">
        <v>0</v>
      </c>
      <c r="CS51" s="1869"/>
      <c r="CT51" s="969">
        <f t="shared" si="26"/>
        <v>0</v>
      </c>
      <c r="CU51" s="1456"/>
      <c r="CV51" s="968">
        <f t="shared" si="27"/>
        <v>0</v>
      </c>
      <c r="CW51" s="968"/>
      <c r="CX51" s="968">
        <f t="shared" si="28"/>
        <v>0</v>
      </c>
      <c r="CY51" s="968"/>
      <c r="CZ51" s="668">
        <f t="shared" si="49"/>
        <v>0</v>
      </c>
      <c r="DB51" s="1453">
        <v>0</v>
      </c>
      <c r="DC51" s="1869"/>
      <c r="DD51" s="969">
        <f t="shared" si="89"/>
        <v>0</v>
      </c>
      <c r="DE51" s="1456"/>
      <c r="DF51" s="968">
        <f t="shared" si="90"/>
        <v>0</v>
      </c>
      <c r="DG51" s="968"/>
      <c r="DH51" s="968">
        <f t="shared" si="91"/>
        <v>0</v>
      </c>
      <c r="DI51" s="968"/>
      <c r="DJ51" s="668">
        <f t="shared" si="92"/>
        <v>0</v>
      </c>
      <c r="DL51" s="1453">
        <v>67.399999999999991</v>
      </c>
      <c r="DM51" s="1869"/>
      <c r="DN51" s="969">
        <f t="shared" si="93"/>
        <v>1.1233333333333333</v>
      </c>
      <c r="DO51" s="1456"/>
      <c r="DP51" s="968">
        <f t="shared" si="94"/>
        <v>0</v>
      </c>
      <c r="DQ51" s="968"/>
      <c r="DR51" s="968">
        <f t="shared" si="95"/>
        <v>0</v>
      </c>
      <c r="DS51" s="968"/>
      <c r="DT51" s="668">
        <f t="shared" si="96"/>
        <v>0</v>
      </c>
      <c r="DV51" s="1453">
        <v>50</v>
      </c>
      <c r="DW51" s="1869"/>
      <c r="DX51" s="969">
        <f t="shared" si="97"/>
        <v>0.83333333333333337</v>
      </c>
      <c r="DY51" s="1456"/>
      <c r="DZ51" s="968">
        <f t="shared" si="98"/>
        <v>0</v>
      </c>
      <c r="EA51" s="968"/>
      <c r="EB51" s="968">
        <f t="shared" si="99"/>
        <v>0</v>
      </c>
      <c r="EC51" s="968"/>
      <c r="ED51" s="668">
        <f t="shared" si="100"/>
        <v>0</v>
      </c>
      <c r="EF51" s="1453">
        <v>0</v>
      </c>
      <c r="EG51" s="1869"/>
      <c r="EH51" s="969">
        <f t="shared" si="101"/>
        <v>0</v>
      </c>
      <c r="EI51" s="1456"/>
      <c r="EJ51" s="968">
        <f t="shared" si="102"/>
        <v>0</v>
      </c>
      <c r="EK51" s="968"/>
      <c r="EL51" s="968">
        <f t="shared" si="103"/>
        <v>0</v>
      </c>
      <c r="EM51" s="968"/>
      <c r="EN51" s="668">
        <f t="shared" si="104"/>
        <v>0</v>
      </c>
    </row>
    <row r="52" spans="1:144" ht="12.75" customHeight="1" x14ac:dyDescent="0.2">
      <c r="A52" s="259" t="s">
        <v>297</v>
      </c>
      <c r="B52" s="1"/>
      <c r="C52" s="1401" t="s">
        <v>1827</v>
      </c>
      <c r="D52" s="201"/>
      <c r="E52" s="1454">
        <f>'Sensitivitaeten Delta_Market'!D42</f>
        <v>0.15</v>
      </c>
      <c r="F52" s="244"/>
      <c r="G52" s="966">
        <f>'Sensitivitaeten Delta_Market'!L42</f>
        <v>0</v>
      </c>
      <c r="H52" s="966">
        <f>'Sensitivitaeten Delta_Market'!M42</f>
        <v>0</v>
      </c>
      <c r="I52" s="966"/>
      <c r="J52" s="966">
        <f>'Sensitivitaeten Delta_Market'!U42</f>
        <v>0</v>
      </c>
      <c r="K52" s="966">
        <f>'Sensitivitaeten Delta_Market'!V42</f>
        <v>0</v>
      </c>
      <c r="L52" s="966"/>
      <c r="M52" s="245">
        <f t="shared" ref="M52:N65" si="107">G52-J52</f>
        <v>0</v>
      </c>
      <c r="N52" s="245">
        <f t="shared" si="107"/>
        <v>0</v>
      </c>
      <c r="O52" s="1461"/>
      <c r="P52" s="1454">
        <v>0</v>
      </c>
      <c r="Q52" s="1458"/>
      <c r="R52" s="967">
        <f t="shared" si="2"/>
        <v>0</v>
      </c>
      <c r="S52" s="1274"/>
      <c r="T52" s="966">
        <f t="shared" si="3"/>
        <v>0</v>
      </c>
      <c r="U52" s="966"/>
      <c r="V52" s="966">
        <f t="shared" si="4"/>
        <v>0</v>
      </c>
      <c r="W52" s="966"/>
      <c r="X52" s="246">
        <f t="shared" si="41"/>
        <v>0</v>
      </c>
      <c r="Y52" s="171"/>
      <c r="Z52" s="1454">
        <v>0</v>
      </c>
      <c r="AA52" s="1458"/>
      <c r="AB52" s="967">
        <f t="shared" si="5"/>
        <v>0</v>
      </c>
      <c r="AC52" s="1274"/>
      <c r="AD52" s="966">
        <f t="shared" si="6"/>
        <v>0</v>
      </c>
      <c r="AE52" s="966"/>
      <c r="AF52" s="966">
        <f t="shared" si="7"/>
        <v>0</v>
      </c>
      <c r="AG52" s="966"/>
      <c r="AH52" s="246">
        <f t="shared" si="42"/>
        <v>0</v>
      </c>
      <c r="AJ52" s="1454">
        <v>-1.792331996582841E-2</v>
      </c>
      <c r="AK52" s="1458"/>
      <c r="AL52" s="967">
        <f t="shared" si="8"/>
        <v>-0.1194887997721894</v>
      </c>
      <c r="AM52" s="1274"/>
      <c r="AN52" s="966">
        <f t="shared" si="9"/>
        <v>0</v>
      </c>
      <c r="AO52" s="966"/>
      <c r="AP52" s="966">
        <f t="shared" si="10"/>
        <v>0</v>
      </c>
      <c r="AQ52" s="966"/>
      <c r="AR52" s="246">
        <f t="shared" si="43"/>
        <v>0</v>
      </c>
      <c r="AT52" s="1454">
        <v>-9.2824509540446187E-2</v>
      </c>
      <c r="AU52" s="1458"/>
      <c r="AV52" s="967">
        <f t="shared" si="11"/>
        <v>-0.61883006360297466</v>
      </c>
      <c r="AW52" s="1274"/>
      <c r="AX52" s="966">
        <f t="shared" si="12"/>
        <v>0</v>
      </c>
      <c r="AY52" s="966"/>
      <c r="AZ52" s="966">
        <f t="shared" si="13"/>
        <v>0</v>
      </c>
      <c r="BA52" s="966"/>
      <c r="BB52" s="246">
        <f t="shared" si="44"/>
        <v>0</v>
      </c>
      <c r="BD52" s="1454">
        <v>-7.3093922651933707E-2</v>
      </c>
      <c r="BE52" s="1458"/>
      <c r="BF52" s="967">
        <f t="shared" si="14"/>
        <v>-0.48729281767955807</v>
      </c>
      <c r="BG52" s="1274"/>
      <c r="BH52" s="966">
        <f t="shared" si="15"/>
        <v>0</v>
      </c>
      <c r="BI52" s="966"/>
      <c r="BJ52" s="966">
        <f t="shared" si="16"/>
        <v>0</v>
      </c>
      <c r="BK52" s="966"/>
      <c r="BL52" s="246">
        <f t="shared" si="45"/>
        <v>0</v>
      </c>
      <c r="BN52" s="1454">
        <v>-4.4576343044031352E-2</v>
      </c>
      <c r="BO52" s="1458"/>
      <c r="BP52" s="967">
        <f t="shared" si="17"/>
        <v>-0.29717562029354239</v>
      </c>
      <c r="BQ52" s="1274"/>
      <c r="BR52" s="966">
        <f t="shared" si="18"/>
        <v>0</v>
      </c>
      <c r="BS52" s="966"/>
      <c r="BT52" s="966">
        <f t="shared" si="19"/>
        <v>0</v>
      </c>
      <c r="BU52" s="966"/>
      <c r="BV52" s="246">
        <f t="shared" si="46"/>
        <v>0</v>
      </c>
      <c r="BX52" s="1454">
        <v>-3.5720707222055781E-2</v>
      </c>
      <c r="BY52" s="1458"/>
      <c r="BZ52" s="967">
        <f t="shared" si="20"/>
        <v>-0.23813804814703854</v>
      </c>
      <c r="CA52" s="1274"/>
      <c r="CB52" s="966">
        <f t="shared" si="21"/>
        <v>0</v>
      </c>
      <c r="CC52" s="966"/>
      <c r="CD52" s="966">
        <f t="shared" si="22"/>
        <v>0</v>
      </c>
      <c r="CE52" s="966"/>
      <c r="CF52" s="246">
        <f t="shared" si="47"/>
        <v>0</v>
      </c>
      <c r="CH52" s="1454">
        <v>-6.3515700874069325E-2</v>
      </c>
      <c r="CI52" s="1458"/>
      <c r="CJ52" s="967">
        <f t="shared" si="23"/>
        <v>-0.42343800582712887</v>
      </c>
      <c r="CK52" s="1274"/>
      <c r="CL52" s="966">
        <f t="shared" si="24"/>
        <v>0</v>
      </c>
      <c r="CM52" s="966"/>
      <c r="CN52" s="966">
        <f t="shared" si="25"/>
        <v>0</v>
      </c>
      <c r="CO52" s="966"/>
      <c r="CP52" s="246">
        <f t="shared" si="48"/>
        <v>0</v>
      </c>
      <c r="CR52" s="1454">
        <v>0</v>
      </c>
      <c r="CS52" s="1458"/>
      <c r="CT52" s="967">
        <f t="shared" si="26"/>
        <v>0</v>
      </c>
      <c r="CU52" s="1274"/>
      <c r="CV52" s="966">
        <f t="shared" si="27"/>
        <v>0</v>
      </c>
      <c r="CW52" s="966"/>
      <c r="CX52" s="966">
        <f t="shared" si="28"/>
        <v>0</v>
      </c>
      <c r="CY52" s="966"/>
      <c r="CZ52" s="246">
        <f t="shared" si="49"/>
        <v>0</v>
      </c>
      <c r="DB52" s="1454">
        <v>0</v>
      </c>
      <c r="DC52" s="1458"/>
      <c r="DD52" s="967">
        <f t="shared" si="29"/>
        <v>0</v>
      </c>
      <c r="DE52" s="1274"/>
      <c r="DF52" s="966">
        <f t="shared" si="30"/>
        <v>0</v>
      </c>
      <c r="DG52" s="966"/>
      <c r="DH52" s="966">
        <f t="shared" si="31"/>
        <v>0</v>
      </c>
      <c r="DI52" s="966"/>
      <c r="DJ52" s="246">
        <f t="shared" si="50"/>
        <v>0</v>
      </c>
      <c r="DL52" s="1454">
        <v>-0.12626628075253243</v>
      </c>
      <c r="DM52" s="1458"/>
      <c r="DN52" s="967">
        <f t="shared" si="32"/>
        <v>-0.84177520501688297</v>
      </c>
      <c r="DO52" s="1274"/>
      <c r="DP52" s="966">
        <f t="shared" si="33"/>
        <v>0</v>
      </c>
      <c r="DQ52" s="966"/>
      <c r="DR52" s="966">
        <f t="shared" si="34"/>
        <v>0</v>
      </c>
      <c r="DS52" s="966"/>
      <c r="DT52" s="246">
        <f t="shared" si="51"/>
        <v>0</v>
      </c>
      <c r="DV52" s="1454">
        <v>-0.05</v>
      </c>
      <c r="DW52" s="1458"/>
      <c r="DX52" s="967">
        <f t="shared" si="35"/>
        <v>-0.33333333333333337</v>
      </c>
      <c r="DY52" s="1274"/>
      <c r="DZ52" s="966">
        <f t="shared" si="36"/>
        <v>0</v>
      </c>
      <c r="EA52" s="966"/>
      <c r="EB52" s="966">
        <f t="shared" si="37"/>
        <v>0</v>
      </c>
      <c r="EC52" s="966"/>
      <c r="ED52" s="246">
        <f t="shared" si="52"/>
        <v>0</v>
      </c>
      <c r="EF52" s="1454">
        <v>0</v>
      </c>
      <c r="EG52" s="1458"/>
      <c r="EH52" s="967">
        <f t="shared" si="38"/>
        <v>0</v>
      </c>
      <c r="EI52" s="1274"/>
      <c r="EJ52" s="966">
        <f t="shared" si="39"/>
        <v>0</v>
      </c>
      <c r="EK52" s="966"/>
      <c r="EL52" s="966">
        <f t="shared" si="40"/>
        <v>0</v>
      </c>
      <c r="EM52" s="966"/>
      <c r="EN52" s="246">
        <f t="shared" si="53"/>
        <v>0</v>
      </c>
    </row>
    <row r="53" spans="1:144" ht="12.75" customHeight="1" x14ac:dyDescent="0.2">
      <c r="A53" s="259" t="s">
        <v>298</v>
      </c>
      <c r="B53" s="1"/>
      <c r="C53" s="1403" t="s">
        <v>1828</v>
      </c>
      <c r="D53" s="206"/>
      <c r="E53" s="1454">
        <f>'Sensitivitaeten Delta_Market'!D43</f>
        <v>0.2</v>
      </c>
      <c r="F53" s="244"/>
      <c r="G53" s="966">
        <f>'Sensitivitaeten Delta_Market'!L43</f>
        <v>0</v>
      </c>
      <c r="H53" s="966">
        <f>'Sensitivitaeten Delta_Market'!M43</f>
        <v>0</v>
      </c>
      <c r="I53" s="966"/>
      <c r="J53" s="966">
        <f>'Sensitivitaeten Delta_Market'!U43</f>
        <v>0</v>
      </c>
      <c r="K53" s="966">
        <f>'Sensitivitaeten Delta_Market'!V43</f>
        <v>0</v>
      </c>
      <c r="L53" s="966"/>
      <c r="M53" s="245">
        <f t="shared" si="107"/>
        <v>0</v>
      </c>
      <c r="N53" s="245">
        <f t="shared" si="107"/>
        <v>0</v>
      </c>
      <c r="O53" s="1461"/>
      <c r="P53" s="1454">
        <v>0</v>
      </c>
      <c r="Q53" s="1458"/>
      <c r="R53" s="967">
        <f t="shared" si="2"/>
        <v>0</v>
      </c>
      <c r="S53" s="1274"/>
      <c r="T53" s="966">
        <f t="shared" si="3"/>
        <v>0</v>
      </c>
      <c r="U53" s="966"/>
      <c r="V53" s="966">
        <f t="shared" si="4"/>
        <v>0</v>
      </c>
      <c r="W53" s="966"/>
      <c r="X53" s="246">
        <f t="shared" si="41"/>
        <v>0</v>
      </c>
      <c r="Y53" s="171"/>
      <c r="Z53" s="1454">
        <v>0</v>
      </c>
      <c r="AA53" s="1458"/>
      <c r="AB53" s="967">
        <f t="shared" si="5"/>
        <v>0</v>
      </c>
      <c r="AC53" s="1274"/>
      <c r="AD53" s="966">
        <f t="shared" si="6"/>
        <v>0</v>
      </c>
      <c r="AE53" s="966"/>
      <c r="AF53" s="966">
        <f t="shared" si="7"/>
        <v>0</v>
      </c>
      <c r="AG53" s="966"/>
      <c r="AH53" s="246">
        <f t="shared" si="42"/>
        <v>0</v>
      </c>
      <c r="AJ53" s="1454">
        <v>-0.11071312276131562</v>
      </c>
      <c r="AK53" s="1458"/>
      <c r="AL53" s="967">
        <f t="shared" si="8"/>
        <v>-0.55356561380657809</v>
      </c>
      <c r="AM53" s="1274"/>
      <c r="AN53" s="966">
        <f t="shared" si="9"/>
        <v>0</v>
      </c>
      <c r="AO53" s="966"/>
      <c r="AP53" s="966">
        <f t="shared" si="10"/>
        <v>0</v>
      </c>
      <c r="AQ53" s="966"/>
      <c r="AR53" s="246">
        <f t="shared" si="43"/>
        <v>0</v>
      </c>
      <c r="AT53" s="1454">
        <v>-0.20145707950586</v>
      </c>
      <c r="AU53" s="1458"/>
      <c r="AV53" s="967">
        <f t="shared" si="11"/>
        <v>-1.0072853975292999</v>
      </c>
      <c r="AW53" s="1274"/>
      <c r="AX53" s="966">
        <f t="shared" si="12"/>
        <v>0</v>
      </c>
      <c r="AY53" s="966"/>
      <c r="AZ53" s="966">
        <f t="shared" si="13"/>
        <v>0</v>
      </c>
      <c r="BA53" s="966"/>
      <c r="BB53" s="246">
        <f t="shared" si="44"/>
        <v>0</v>
      </c>
      <c r="BD53" s="1454">
        <v>-7.3700075357950201E-2</v>
      </c>
      <c r="BE53" s="1458"/>
      <c r="BF53" s="967">
        <f t="shared" si="14"/>
        <v>-0.36850037678975101</v>
      </c>
      <c r="BG53" s="1274"/>
      <c r="BH53" s="966">
        <f t="shared" si="15"/>
        <v>0</v>
      </c>
      <c r="BI53" s="966"/>
      <c r="BJ53" s="966">
        <f t="shared" si="16"/>
        <v>0</v>
      </c>
      <c r="BK53" s="966"/>
      <c r="BL53" s="246">
        <f t="shared" si="45"/>
        <v>0</v>
      </c>
      <c r="BN53" s="1454">
        <v>-0.16323221403959198</v>
      </c>
      <c r="BO53" s="1458"/>
      <c r="BP53" s="967">
        <f t="shared" si="17"/>
        <v>-0.81616107019795991</v>
      </c>
      <c r="BQ53" s="1274"/>
      <c r="BR53" s="966">
        <f t="shared" si="18"/>
        <v>0</v>
      </c>
      <c r="BS53" s="966"/>
      <c r="BT53" s="966">
        <f t="shared" si="19"/>
        <v>0</v>
      </c>
      <c r="BU53" s="966"/>
      <c r="BV53" s="246">
        <f t="shared" si="46"/>
        <v>0</v>
      </c>
      <c r="BX53" s="1454">
        <v>-8.7146546586318707E-2</v>
      </c>
      <c r="BY53" s="1458"/>
      <c r="BZ53" s="967">
        <f t="shared" si="20"/>
        <v>-0.43573273293159354</v>
      </c>
      <c r="CA53" s="1274"/>
      <c r="CB53" s="966">
        <f t="shared" si="21"/>
        <v>0</v>
      </c>
      <c r="CC53" s="966"/>
      <c r="CD53" s="966">
        <f t="shared" si="22"/>
        <v>0</v>
      </c>
      <c r="CE53" s="966"/>
      <c r="CF53" s="246">
        <f t="shared" si="47"/>
        <v>0</v>
      </c>
      <c r="CH53" s="1454">
        <v>-0.13308444054024371</v>
      </c>
      <c r="CI53" s="1458"/>
      <c r="CJ53" s="967">
        <f t="shared" si="23"/>
        <v>-0.66542220270121855</v>
      </c>
      <c r="CK53" s="1274"/>
      <c r="CL53" s="966">
        <f t="shared" si="24"/>
        <v>0</v>
      </c>
      <c r="CM53" s="966"/>
      <c r="CN53" s="966">
        <f t="shared" si="25"/>
        <v>0</v>
      </c>
      <c r="CO53" s="966"/>
      <c r="CP53" s="246">
        <f t="shared" si="48"/>
        <v>0</v>
      </c>
      <c r="CR53" s="1454">
        <v>0</v>
      </c>
      <c r="CS53" s="1458"/>
      <c r="CT53" s="967">
        <f t="shared" si="26"/>
        <v>0</v>
      </c>
      <c r="CU53" s="1274"/>
      <c r="CV53" s="966">
        <f t="shared" si="27"/>
        <v>0</v>
      </c>
      <c r="CW53" s="966"/>
      <c r="CX53" s="966">
        <f t="shared" si="28"/>
        <v>0</v>
      </c>
      <c r="CY53" s="966"/>
      <c r="CZ53" s="246">
        <f t="shared" si="49"/>
        <v>0</v>
      </c>
      <c r="DB53" s="1454">
        <v>0</v>
      </c>
      <c r="DC53" s="1458"/>
      <c r="DD53" s="967">
        <f t="shared" si="29"/>
        <v>0</v>
      </c>
      <c r="DE53" s="1274"/>
      <c r="DF53" s="966">
        <f t="shared" si="30"/>
        <v>0</v>
      </c>
      <c r="DG53" s="966"/>
      <c r="DH53" s="966">
        <f t="shared" si="31"/>
        <v>0</v>
      </c>
      <c r="DI53" s="966"/>
      <c r="DJ53" s="246">
        <f t="shared" si="50"/>
        <v>0</v>
      </c>
      <c r="DL53" s="1454">
        <v>-0.19320594479830144</v>
      </c>
      <c r="DM53" s="1458"/>
      <c r="DN53" s="967">
        <f t="shared" si="32"/>
        <v>-0.96602972399150722</v>
      </c>
      <c r="DO53" s="1274"/>
      <c r="DP53" s="966">
        <f t="shared" si="33"/>
        <v>0</v>
      </c>
      <c r="DQ53" s="966"/>
      <c r="DR53" s="966">
        <f t="shared" si="34"/>
        <v>0</v>
      </c>
      <c r="DS53" s="966"/>
      <c r="DT53" s="246">
        <f t="shared" si="51"/>
        <v>0</v>
      </c>
      <c r="DV53" s="1454">
        <v>0.05</v>
      </c>
      <c r="DW53" s="1458"/>
      <c r="DX53" s="967">
        <f t="shared" si="35"/>
        <v>0.25</v>
      </c>
      <c r="DY53" s="1274"/>
      <c r="DZ53" s="966">
        <f t="shared" si="36"/>
        <v>0</v>
      </c>
      <c r="EA53" s="966"/>
      <c r="EB53" s="966">
        <f t="shared" si="37"/>
        <v>0</v>
      </c>
      <c r="EC53" s="966"/>
      <c r="ED53" s="246">
        <f t="shared" si="52"/>
        <v>0</v>
      </c>
      <c r="EF53" s="1454">
        <v>0</v>
      </c>
      <c r="EG53" s="1458"/>
      <c r="EH53" s="967">
        <f t="shared" si="38"/>
        <v>0</v>
      </c>
      <c r="EI53" s="1274"/>
      <c r="EJ53" s="966">
        <f t="shared" si="39"/>
        <v>0</v>
      </c>
      <c r="EK53" s="966"/>
      <c r="EL53" s="966">
        <f t="shared" si="40"/>
        <v>0</v>
      </c>
      <c r="EM53" s="966"/>
      <c r="EN53" s="246">
        <f t="shared" si="53"/>
        <v>0</v>
      </c>
    </row>
    <row r="54" spans="1:144" ht="12.75" customHeight="1" x14ac:dyDescent="0.2">
      <c r="A54" s="259" t="s">
        <v>299</v>
      </c>
      <c r="B54" s="1"/>
      <c r="C54" s="1403" t="s">
        <v>1829</v>
      </c>
      <c r="D54" s="206"/>
      <c r="E54" s="1454">
        <f>'Sensitivitaeten Delta_Market'!D44</f>
        <v>0.2</v>
      </c>
      <c r="F54" s="244"/>
      <c r="G54" s="966">
        <f>'Sensitivitaeten Delta_Market'!L44</f>
        <v>0</v>
      </c>
      <c r="H54" s="966">
        <f>'Sensitivitaeten Delta_Market'!M44</f>
        <v>0</v>
      </c>
      <c r="I54" s="966"/>
      <c r="J54" s="966">
        <f>'Sensitivitaeten Delta_Market'!U44</f>
        <v>0</v>
      </c>
      <c r="K54" s="966">
        <f>'Sensitivitaeten Delta_Market'!V44</f>
        <v>0</v>
      </c>
      <c r="L54" s="966"/>
      <c r="M54" s="245">
        <f t="shared" si="107"/>
        <v>0</v>
      </c>
      <c r="N54" s="245">
        <f t="shared" si="107"/>
        <v>0</v>
      </c>
      <c r="O54" s="1461"/>
      <c r="P54" s="1454">
        <v>0</v>
      </c>
      <c r="Q54" s="1458"/>
      <c r="R54" s="967">
        <f t="shared" ref="R54:R68" si="108">P54/$E54</f>
        <v>0</v>
      </c>
      <c r="S54" s="1274"/>
      <c r="T54" s="966">
        <f t="shared" ref="T54:T68" si="109">IF(P54&gt;=0,R54*$G54,-R54*$H54)</f>
        <v>0</v>
      </c>
      <c r="U54" s="966"/>
      <c r="V54" s="966">
        <f t="shared" ref="V54:V68" si="110">IF(P54&gt;=0,R54*$J54,-R54*$K54)</f>
        <v>0</v>
      </c>
      <c r="W54" s="966"/>
      <c r="X54" s="246">
        <f t="shared" si="41"/>
        <v>0</v>
      </c>
      <c r="Y54" s="171"/>
      <c r="Z54" s="1454">
        <v>0</v>
      </c>
      <c r="AA54" s="1458"/>
      <c r="AB54" s="967">
        <f t="shared" ref="AB54:AB68" si="111">Z54/$E54</f>
        <v>0</v>
      </c>
      <c r="AC54" s="1274"/>
      <c r="AD54" s="966">
        <f t="shared" ref="AD54:AD68" si="112">IF(Z54&gt;=0,AB54*$G54,-AB54*$H54)</f>
        <v>0</v>
      </c>
      <c r="AE54" s="966"/>
      <c r="AF54" s="966">
        <f t="shared" ref="AF54:AF68" si="113">IF(Z54&gt;=0,AB54*$J54,-AB54*$K54)</f>
        <v>0</v>
      </c>
      <c r="AG54" s="966"/>
      <c r="AH54" s="246">
        <f t="shared" si="42"/>
        <v>0</v>
      </c>
      <c r="AJ54" s="1454">
        <v>-2.4281942555404501E-2</v>
      </c>
      <c r="AK54" s="1458"/>
      <c r="AL54" s="967">
        <f t="shared" ref="AL54:AL68" si="114">AJ54/$E54</f>
        <v>-0.1214097127770225</v>
      </c>
      <c r="AM54" s="1274"/>
      <c r="AN54" s="966">
        <f t="shared" ref="AN54:AN68" si="115">IF(AJ54&gt;=0,AL54*$G54,-AL54*$H54)</f>
        <v>0</v>
      </c>
      <c r="AO54" s="966"/>
      <c r="AP54" s="966">
        <f t="shared" ref="AP54:AP68" si="116">IF(AJ54&gt;=0,AL54*$J54,-AL54*$K54)</f>
        <v>0</v>
      </c>
      <c r="AQ54" s="966"/>
      <c r="AR54" s="246">
        <f t="shared" si="43"/>
        <v>0</v>
      </c>
      <c r="AT54" s="1454">
        <v>-8.4759003202874772E-2</v>
      </c>
      <c r="AU54" s="1458"/>
      <c r="AV54" s="967">
        <f t="shared" ref="AV54:AV68" si="117">AT54/$E54</f>
        <v>-0.42379501601437386</v>
      </c>
      <c r="AW54" s="1274"/>
      <c r="AX54" s="966">
        <f t="shared" ref="AX54:AX68" si="118">IF(AT54&gt;=0,AV54*$G54,-AV54*$H54)</f>
        <v>0</v>
      </c>
      <c r="AY54" s="966"/>
      <c r="AZ54" s="966">
        <f t="shared" ref="AZ54:AZ68" si="119">IF(AT54&gt;=0,AV54*$J54,-AV54*$K54)</f>
        <v>0</v>
      </c>
      <c r="BA54" s="966"/>
      <c r="BB54" s="246">
        <f t="shared" si="44"/>
        <v>0</v>
      </c>
      <c r="BD54" s="1454">
        <v>-0.15737783455764931</v>
      </c>
      <c r="BE54" s="1458"/>
      <c r="BF54" s="967">
        <f t="shared" ref="BF54:BF68" si="120">BD54/$E54</f>
        <v>-0.78688917278824655</v>
      </c>
      <c r="BG54" s="1274"/>
      <c r="BH54" s="966">
        <f t="shared" ref="BH54:BH68" si="121">IF(BD54&gt;=0,BF54*$G54,-BF54*$H54)</f>
        <v>0</v>
      </c>
      <c r="BI54" s="966"/>
      <c r="BJ54" s="966">
        <f t="shared" ref="BJ54:BJ68" si="122">IF(BD54&gt;=0,BF54*$J54,-BF54*$K54)</f>
        <v>0</v>
      </c>
      <c r="BK54" s="966"/>
      <c r="BL54" s="246">
        <f t="shared" si="45"/>
        <v>0</v>
      </c>
      <c r="BN54" s="1454">
        <v>-8.6090294278925339E-2</v>
      </c>
      <c r="BO54" s="1458"/>
      <c r="BP54" s="967">
        <f t="shared" ref="BP54:BP68" si="123">BN54/$E54</f>
        <v>-0.43045147139462669</v>
      </c>
      <c r="BQ54" s="1274"/>
      <c r="BR54" s="966">
        <f t="shared" ref="BR54:BR68" si="124">IF(BN54&gt;=0,BP54*$G54,-BP54*$H54)</f>
        <v>0</v>
      </c>
      <c r="BS54" s="966"/>
      <c r="BT54" s="966">
        <f t="shared" ref="BT54:BT68" si="125">IF(BN54&gt;=0,BP54*$J54,-BP54*$K54)</f>
        <v>0</v>
      </c>
      <c r="BU54" s="966"/>
      <c r="BV54" s="246">
        <f t="shared" si="46"/>
        <v>0</v>
      </c>
      <c r="BX54" s="1454">
        <v>-5.6321466223339556E-2</v>
      </c>
      <c r="BY54" s="1458"/>
      <c r="BZ54" s="967">
        <f t="shared" ref="BZ54:BZ68" si="126">BX54/$E54</f>
        <v>-0.28160733111669778</v>
      </c>
      <c r="CA54" s="1274"/>
      <c r="CB54" s="966">
        <f t="shared" ref="CB54:CB68" si="127">IF(BX54&gt;=0,BZ54*$G54,-BZ54*$H54)</f>
        <v>0</v>
      </c>
      <c r="CC54" s="966"/>
      <c r="CD54" s="966">
        <f t="shared" ref="CD54:CD68" si="128">IF(BX54&gt;=0,BZ54*$J54,-BZ54*$K54)</f>
        <v>0</v>
      </c>
      <c r="CE54" s="966"/>
      <c r="CF54" s="246">
        <f t="shared" si="47"/>
        <v>0</v>
      </c>
      <c r="CH54" s="1454">
        <v>-0.12320578716923658</v>
      </c>
      <c r="CI54" s="1458"/>
      <c r="CJ54" s="967">
        <f t="shared" ref="CJ54:CJ68" si="129">CH54/$E54</f>
        <v>-0.6160289358461829</v>
      </c>
      <c r="CK54" s="1274"/>
      <c r="CL54" s="966">
        <f t="shared" ref="CL54:CL68" si="130">IF(CH54&gt;=0,CJ54*$G54,-CJ54*$H54)</f>
        <v>0</v>
      </c>
      <c r="CM54" s="966"/>
      <c r="CN54" s="966">
        <f t="shared" ref="CN54:CN68" si="131">IF(CH54&gt;=0,CJ54*$J54,-CJ54*$K54)</f>
        <v>0</v>
      </c>
      <c r="CO54" s="966"/>
      <c r="CP54" s="246">
        <f t="shared" si="48"/>
        <v>0</v>
      </c>
      <c r="CR54" s="1454">
        <v>0</v>
      </c>
      <c r="CS54" s="1458"/>
      <c r="CT54" s="967">
        <f t="shared" ref="CT54:CT68" si="132">CR54/$E54</f>
        <v>0</v>
      </c>
      <c r="CU54" s="1274"/>
      <c r="CV54" s="966">
        <f t="shared" ref="CV54:CV68" si="133">IF(CR54&gt;=0,CT54*$G54,-CT54*$H54)</f>
        <v>0</v>
      </c>
      <c r="CW54" s="966"/>
      <c r="CX54" s="966">
        <f t="shared" ref="CX54:CX68" si="134">IF(CR54&gt;=0,CT54*$J54,-CT54*$K54)</f>
        <v>0</v>
      </c>
      <c r="CY54" s="966"/>
      <c r="CZ54" s="246">
        <f t="shared" si="49"/>
        <v>0</v>
      </c>
      <c r="DB54" s="1454">
        <v>0</v>
      </c>
      <c r="DC54" s="1458"/>
      <c r="DD54" s="967">
        <f t="shared" ref="DD54:DD68" si="135">DB54/$E54</f>
        <v>0</v>
      </c>
      <c r="DE54" s="1274"/>
      <c r="DF54" s="966">
        <f t="shared" ref="DF54:DF68" si="136">IF(DB54&gt;=0,DD54*$G54,-DD54*$H54)</f>
        <v>0</v>
      </c>
      <c r="DG54" s="966"/>
      <c r="DH54" s="966">
        <f t="shared" ref="DH54:DH68" si="137">IF(DB54&gt;=0,DD54*$J54,-DD54*$K54)</f>
        <v>0</v>
      </c>
      <c r="DI54" s="966"/>
      <c r="DJ54" s="246">
        <f t="shared" si="50"/>
        <v>0</v>
      </c>
      <c r="DL54" s="1454">
        <v>-0.32472029834842842</v>
      </c>
      <c r="DM54" s="1458"/>
      <c r="DN54" s="967">
        <f t="shared" ref="DN54:DN68" si="138">DL54/$E54</f>
        <v>-1.623601491742142</v>
      </c>
      <c r="DO54" s="1274"/>
      <c r="DP54" s="966">
        <f t="shared" ref="DP54:DP68" si="139">IF(DL54&gt;=0,DN54*$G54,-DN54*$H54)</f>
        <v>0</v>
      </c>
      <c r="DQ54" s="966"/>
      <c r="DR54" s="966">
        <f t="shared" ref="DR54:DR68" si="140">IF(DL54&gt;=0,DN54*$J54,-DN54*$K54)</f>
        <v>0</v>
      </c>
      <c r="DS54" s="966"/>
      <c r="DT54" s="246">
        <f t="shared" si="51"/>
        <v>0</v>
      </c>
      <c r="DV54" s="1454">
        <v>0</v>
      </c>
      <c r="DW54" s="1458"/>
      <c r="DX54" s="967">
        <f t="shared" ref="DX54:DX68" si="141">DV54/$E54</f>
        <v>0</v>
      </c>
      <c r="DY54" s="1274"/>
      <c r="DZ54" s="966">
        <f t="shared" ref="DZ54:DZ68" si="142">IF(DV54&gt;=0,DX54*$G54,-DX54*$H54)</f>
        <v>0</v>
      </c>
      <c r="EA54" s="966"/>
      <c r="EB54" s="966">
        <f t="shared" ref="EB54:EB68" si="143">IF(DV54&gt;=0,DX54*$J54,-DX54*$K54)</f>
        <v>0</v>
      </c>
      <c r="EC54" s="966"/>
      <c r="ED54" s="246">
        <f t="shared" si="52"/>
        <v>0</v>
      </c>
      <c r="EF54" s="1454">
        <v>0</v>
      </c>
      <c r="EG54" s="1458"/>
      <c r="EH54" s="967">
        <f t="shared" ref="EH54:EH68" si="144">EF54/$E54</f>
        <v>0</v>
      </c>
      <c r="EI54" s="1274"/>
      <c r="EJ54" s="966">
        <f t="shared" ref="EJ54:EJ68" si="145">IF(EF54&gt;=0,EH54*$G54,-EH54*$H54)</f>
        <v>0</v>
      </c>
      <c r="EK54" s="966"/>
      <c r="EL54" s="966">
        <f t="shared" ref="EL54:EL68" si="146">IF(EF54&gt;=0,EH54*$J54,-EH54*$K54)</f>
        <v>0</v>
      </c>
      <c r="EM54" s="966"/>
      <c r="EN54" s="246">
        <f t="shared" si="53"/>
        <v>0</v>
      </c>
    </row>
    <row r="55" spans="1:144" ht="12.75" customHeight="1" x14ac:dyDescent="0.2">
      <c r="A55" s="259" t="s">
        <v>300</v>
      </c>
      <c r="B55" s="1"/>
      <c r="C55" s="1850" t="s">
        <v>1830</v>
      </c>
      <c r="D55" s="1851"/>
      <c r="E55" s="1455">
        <f>'Sensitivitaeten Delta_Market'!D45</f>
        <v>0.2</v>
      </c>
      <c r="F55" s="247"/>
      <c r="G55" s="968">
        <f>'Sensitivitaeten Delta_Market'!L45</f>
        <v>0</v>
      </c>
      <c r="H55" s="968">
        <f>'Sensitivitaeten Delta_Market'!M45</f>
        <v>0</v>
      </c>
      <c r="I55" s="968"/>
      <c r="J55" s="968">
        <f>'Sensitivitaeten Delta_Market'!U45</f>
        <v>0</v>
      </c>
      <c r="K55" s="968">
        <f>'Sensitivitaeten Delta_Market'!V45</f>
        <v>0</v>
      </c>
      <c r="L55" s="968"/>
      <c r="M55" s="248">
        <f>G55-J55</f>
        <v>0</v>
      </c>
      <c r="N55" s="257">
        <f>H55-K55</f>
        <v>0</v>
      </c>
      <c r="O55" s="1461"/>
      <c r="P55" s="1455">
        <v>0</v>
      </c>
      <c r="Q55" s="1459"/>
      <c r="R55" s="969">
        <f>P55/$E55</f>
        <v>0</v>
      </c>
      <c r="S55" s="1456"/>
      <c r="T55" s="968">
        <f>IF(P55&gt;=0,R55*$G55,-R55*$H55)</f>
        <v>0</v>
      </c>
      <c r="U55" s="968"/>
      <c r="V55" s="968">
        <f>IF(P55&gt;=0,R55*$J55,-R55*$K55)</f>
        <v>0</v>
      </c>
      <c r="W55" s="968"/>
      <c r="X55" s="668">
        <f t="shared" si="41"/>
        <v>0</v>
      </c>
      <c r="Y55" s="171"/>
      <c r="Z55" s="1455">
        <v>0</v>
      </c>
      <c r="AA55" s="1459"/>
      <c r="AB55" s="969">
        <f>Z55/$E55</f>
        <v>0</v>
      </c>
      <c r="AC55" s="1456"/>
      <c r="AD55" s="968">
        <f>IF(Z55&gt;=0,AB55*$G55,-AB55*$H55)</f>
        <v>0</v>
      </c>
      <c r="AE55" s="968"/>
      <c r="AF55" s="968">
        <f>IF(Z55&gt;=0,AB55*$J55,-AB55*$K55)</f>
        <v>0</v>
      </c>
      <c r="AG55" s="968"/>
      <c r="AH55" s="668">
        <f t="shared" si="42"/>
        <v>0</v>
      </c>
      <c r="AJ55" s="1455">
        <v>-3.4797490017113519E-2</v>
      </c>
      <c r="AK55" s="1459"/>
      <c r="AL55" s="969">
        <f>AJ55/$E55</f>
        <v>-0.1739874500855676</v>
      </c>
      <c r="AM55" s="1456"/>
      <c r="AN55" s="968">
        <f>IF(AJ55&gt;=0,AL55*$G55,-AL55*$H55)</f>
        <v>0</v>
      </c>
      <c r="AO55" s="968"/>
      <c r="AP55" s="968">
        <f>IF(AJ55&gt;=0,AL55*$J55,-AL55*$K55)</f>
        <v>0</v>
      </c>
      <c r="AQ55" s="968"/>
      <c r="AR55" s="668">
        <f t="shared" si="43"/>
        <v>0</v>
      </c>
      <c r="AT55" s="1455">
        <v>-0.20638729924312338</v>
      </c>
      <c r="AU55" s="1459"/>
      <c r="AV55" s="969">
        <f>AT55/$E55</f>
        <v>-1.0319364962156168</v>
      </c>
      <c r="AW55" s="1456"/>
      <c r="AX55" s="968">
        <f>IF(AT55&gt;=0,AV55*$G55,-AV55*$H55)</f>
        <v>0</v>
      </c>
      <c r="AY55" s="968"/>
      <c r="AZ55" s="968">
        <f>IF(AT55&gt;=0,AV55*$J55,-AV55*$K55)</f>
        <v>0</v>
      </c>
      <c r="BA55" s="968"/>
      <c r="BB55" s="668">
        <f t="shared" si="44"/>
        <v>0</v>
      </c>
      <c r="BD55" s="1455">
        <v>-8.1436797367699598E-2</v>
      </c>
      <c r="BE55" s="1459"/>
      <c r="BF55" s="969">
        <f>BD55/$E55</f>
        <v>-0.40718398683849799</v>
      </c>
      <c r="BG55" s="1456"/>
      <c r="BH55" s="968">
        <f>IF(BD55&gt;=0,BF55*$G55,-BF55*$H55)</f>
        <v>0</v>
      </c>
      <c r="BI55" s="968"/>
      <c r="BJ55" s="968">
        <f>IF(BD55&gt;=0,BF55*$J55,-BF55*$K55)</f>
        <v>0</v>
      </c>
      <c r="BK55" s="968"/>
      <c r="BL55" s="668">
        <f t="shared" si="45"/>
        <v>0</v>
      </c>
      <c r="BN55" s="1455">
        <v>-0.10851735015772879</v>
      </c>
      <c r="BO55" s="1459"/>
      <c r="BP55" s="969">
        <f>BN55/$E55</f>
        <v>-0.54258675078864393</v>
      </c>
      <c r="BQ55" s="1456"/>
      <c r="BR55" s="968">
        <f>IF(BN55&gt;=0,BP55*$G55,-BP55*$H55)</f>
        <v>0</v>
      </c>
      <c r="BS55" s="968"/>
      <c r="BT55" s="968">
        <f>IF(BN55&gt;=0,BP55*$J55,-BP55*$K55)</f>
        <v>0</v>
      </c>
      <c r="BU55" s="968"/>
      <c r="BV55" s="668">
        <f t="shared" si="46"/>
        <v>0</v>
      </c>
      <c r="BX55" s="1455">
        <v>-5.816450378115956E-2</v>
      </c>
      <c r="BY55" s="1459"/>
      <c r="BZ55" s="969">
        <f>BX55/$E55</f>
        <v>-0.2908225189057978</v>
      </c>
      <c r="CA55" s="1456"/>
      <c r="CB55" s="968">
        <f>IF(BX55&gt;=0,BZ55*$G55,-BZ55*$H55)</f>
        <v>0</v>
      </c>
      <c r="CC55" s="968"/>
      <c r="CD55" s="968">
        <f>IF(BX55&gt;=0,BZ55*$J55,-BZ55*$K55)</f>
        <v>0</v>
      </c>
      <c r="CE55" s="968"/>
      <c r="CF55" s="668">
        <f t="shared" si="47"/>
        <v>0</v>
      </c>
      <c r="CH55" s="1455">
        <v>-0.19946412622804399</v>
      </c>
      <c r="CI55" s="1459"/>
      <c r="CJ55" s="969">
        <f>CH55/$E55</f>
        <v>-0.99732063114021996</v>
      </c>
      <c r="CK55" s="1456"/>
      <c r="CL55" s="968">
        <f>IF(CH55&gt;=0,CJ55*$G55,-CJ55*$H55)</f>
        <v>0</v>
      </c>
      <c r="CM55" s="968"/>
      <c r="CN55" s="968">
        <f>IF(CH55&gt;=0,CJ55*$J55,-CJ55*$K55)</f>
        <v>0</v>
      </c>
      <c r="CO55" s="968"/>
      <c r="CP55" s="668">
        <f t="shared" si="48"/>
        <v>0</v>
      </c>
      <c r="CR55" s="1455">
        <v>0</v>
      </c>
      <c r="CS55" s="1459"/>
      <c r="CT55" s="969">
        <f>CR55/$E55</f>
        <v>0</v>
      </c>
      <c r="CU55" s="1456"/>
      <c r="CV55" s="968">
        <f>IF(CR55&gt;=0,CT55*$G55,-CT55*$H55)</f>
        <v>0</v>
      </c>
      <c r="CW55" s="968"/>
      <c r="CX55" s="968">
        <f>IF(CR55&gt;=0,CT55*$J55,-CT55*$K55)</f>
        <v>0</v>
      </c>
      <c r="CY55" s="968"/>
      <c r="CZ55" s="668">
        <f t="shared" si="49"/>
        <v>0</v>
      </c>
      <c r="DB55" s="1455">
        <v>0</v>
      </c>
      <c r="DC55" s="1459"/>
      <c r="DD55" s="969">
        <f t="shared" si="135"/>
        <v>0</v>
      </c>
      <c r="DE55" s="1456"/>
      <c r="DF55" s="968">
        <f t="shared" si="136"/>
        <v>0</v>
      </c>
      <c r="DG55" s="968"/>
      <c r="DH55" s="968">
        <f t="shared" si="137"/>
        <v>0</v>
      </c>
      <c r="DI55" s="968"/>
      <c r="DJ55" s="668">
        <f t="shared" si="50"/>
        <v>0</v>
      </c>
      <c r="DL55" s="1455">
        <v>0.28101970221085881</v>
      </c>
      <c r="DM55" s="1459"/>
      <c r="DN55" s="969">
        <f t="shared" si="138"/>
        <v>1.405098511054294</v>
      </c>
      <c r="DO55" s="1456"/>
      <c r="DP55" s="968">
        <f t="shared" si="139"/>
        <v>0</v>
      </c>
      <c r="DQ55" s="968"/>
      <c r="DR55" s="968">
        <f t="shared" si="140"/>
        <v>0</v>
      </c>
      <c r="DS55" s="968"/>
      <c r="DT55" s="668">
        <f t="shared" si="51"/>
        <v>0</v>
      </c>
      <c r="DV55" s="1455">
        <v>0</v>
      </c>
      <c r="DW55" s="1459"/>
      <c r="DX55" s="969">
        <f t="shared" si="141"/>
        <v>0</v>
      </c>
      <c r="DY55" s="1456"/>
      <c r="DZ55" s="968">
        <f t="shared" si="142"/>
        <v>0</v>
      </c>
      <c r="EA55" s="968"/>
      <c r="EB55" s="968">
        <f t="shared" si="143"/>
        <v>0</v>
      </c>
      <c r="EC55" s="968"/>
      <c r="ED55" s="668">
        <f t="shared" si="52"/>
        <v>0</v>
      </c>
      <c r="EF55" s="1455">
        <v>0</v>
      </c>
      <c r="EG55" s="1459"/>
      <c r="EH55" s="969">
        <f t="shared" si="144"/>
        <v>0</v>
      </c>
      <c r="EI55" s="1456"/>
      <c r="EJ55" s="968">
        <f t="shared" si="145"/>
        <v>0</v>
      </c>
      <c r="EK55" s="968"/>
      <c r="EL55" s="968">
        <f t="shared" si="146"/>
        <v>0</v>
      </c>
      <c r="EM55" s="968"/>
      <c r="EN55" s="668">
        <f t="shared" si="53"/>
        <v>0</v>
      </c>
    </row>
    <row r="56" spans="1:144" ht="12.75" customHeight="1" x14ac:dyDescent="0.2">
      <c r="A56" s="259" t="s">
        <v>301</v>
      </c>
      <c r="B56" s="1"/>
      <c r="C56" s="1409" t="s">
        <v>1831</v>
      </c>
      <c r="D56" s="220"/>
      <c r="E56" s="2170" t="str">
        <f>'Sensitivitaeten Delta_Market'!D46</f>
        <v>+100% / -0%</v>
      </c>
      <c r="F56" s="2171"/>
      <c r="G56" s="970">
        <f>'Sensitivitaeten Delta_Market'!L46</f>
        <v>0</v>
      </c>
      <c r="H56" s="970">
        <f>'Sensitivitaeten Delta_Market'!M46</f>
        <v>0</v>
      </c>
      <c r="I56" s="970"/>
      <c r="J56" s="970">
        <f>'Sensitivitaeten Delta_Market'!U46</f>
        <v>0</v>
      </c>
      <c r="K56" s="970">
        <f>'Sensitivitaeten Delta_Market'!V46</f>
        <v>0</v>
      </c>
      <c r="L56" s="970"/>
      <c r="M56" s="410">
        <f>G56-J56</f>
        <v>0</v>
      </c>
      <c r="N56" s="411">
        <f>H56-K56</f>
        <v>0</v>
      </c>
      <c r="O56" s="1461"/>
      <c r="P56" s="1870">
        <v>0</v>
      </c>
      <c r="Q56" s="1871"/>
      <c r="R56" s="1449">
        <f>P56/1</f>
        <v>0</v>
      </c>
      <c r="S56" s="1451"/>
      <c r="T56" s="970">
        <f>IF(P56&gt;=0,R56*$G56,-R56*$H56)</f>
        <v>0</v>
      </c>
      <c r="U56" s="970"/>
      <c r="V56" s="970">
        <f>IF(P56&gt;=0,R56*$J56,-R56*$K56)</f>
        <v>0</v>
      </c>
      <c r="W56" s="970"/>
      <c r="X56" s="669">
        <f t="shared" ref="X56:X63" si="147">T56-V56</f>
        <v>0</v>
      </c>
      <c r="Y56" s="171"/>
      <c r="Z56" s="1870">
        <v>0</v>
      </c>
      <c r="AA56" s="1871"/>
      <c r="AB56" s="1449">
        <f>Z56/1</f>
        <v>0</v>
      </c>
      <c r="AC56" s="1451"/>
      <c r="AD56" s="970">
        <f>IF(Z56&gt;=0,AB56*$G56,-AB56*$H56)</f>
        <v>0</v>
      </c>
      <c r="AE56" s="970"/>
      <c r="AF56" s="970">
        <f>IF(Z56&gt;=0,AB56*$J56,-AB56*$K56)</f>
        <v>0</v>
      </c>
      <c r="AG56" s="970"/>
      <c r="AH56" s="669">
        <f t="shared" ref="AH56:AH63" si="148">AD56-AF56</f>
        <v>0</v>
      </c>
      <c r="AJ56" s="1870">
        <v>0.12</v>
      </c>
      <c r="AK56" s="1871"/>
      <c r="AL56" s="1449">
        <f>AJ56/1</f>
        <v>0.12</v>
      </c>
      <c r="AM56" s="1451"/>
      <c r="AN56" s="970">
        <f>IF(AJ56&gt;=0,AL56*$G56,-AL56*$H56)</f>
        <v>0</v>
      </c>
      <c r="AO56" s="970"/>
      <c r="AP56" s="970">
        <f>IF(AJ56&gt;=0,AL56*$J56,-AL56*$K56)</f>
        <v>0</v>
      </c>
      <c r="AQ56" s="970"/>
      <c r="AR56" s="669">
        <f t="shared" ref="AR56:AR63" si="149">AN56-AP56</f>
        <v>0</v>
      </c>
      <c r="AT56" s="1870">
        <v>0.4</v>
      </c>
      <c r="AU56" s="1871"/>
      <c r="AV56" s="1449">
        <f>AT56/1</f>
        <v>0.4</v>
      </c>
      <c r="AW56" s="1451"/>
      <c r="AX56" s="970">
        <f>IF(AT56&gt;=0,AV56*$G56,-AV56*$H56)</f>
        <v>0</v>
      </c>
      <c r="AY56" s="970"/>
      <c r="AZ56" s="970">
        <f>IF(AT56&gt;=0,AV56*$J56,-AV56*$K56)</f>
        <v>0</v>
      </c>
      <c r="BA56" s="970"/>
      <c r="BB56" s="669">
        <f t="shared" ref="BB56:BB63" si="150">AX56-AZ56</f>
        <v>0</v>
      </c>
      <c r="BD56" s="1870">
        <v>0.15</v>
      </c>
      <c r="BE56" s="1871"/>
      <c r="BF56" s="2182">
        <f>BD56/1</f>
        <v>0.15</v>
      </c>
      <c r="BG56" s="1451"/>
      <c r="BH56" s="970">
        <f>IF(BD56&gt;=0,BF56*$G56,-BF56*$H56)</f>
        <v>0</v>
      </c>
      <c r="BI56" s="970"/>
      <c r="BJ56" s="970">
        <f>IF(BD56&gt;=0,BF56*$J56,-BF56*$K56)</f>
        <v>0</v>
      </c>
      <c r="BK56" s="970"/>
      <c r="BL56" s="669">
        <f t="shared" ref="BL56:BL63" si="151">BH56-BJ56</f>
        <v>0</v>
      </c>
      <c r="BN56" s="1870">
        <v>0.4</v>
      </c>
      <c r="BO56" s="1871"/>
      <c r="BP56" s="1449">
        <f>BN56/1</f>
        <v>0.4</v>
      </c>
      <c r="BQ56" s="1451"/>
      <c r="BR56" s="970">
        <f>IF(BN56&gt;=0,BP56*$G56,-BP56*$H56)</f>
        <v>0</v>
      </c>
      <c r="BS56" s="970"/>
      <c r="BT56" s="970">
        <f>IF(BN56&gt;=0,BP56*$J56,-BP56*$K56)</f>
        <v>0</v>
      </c>
      <c r="BU56" s="970"/>
      <c r="BV56" s="669">
        <f t="shared" ref="BV56:BV63" si="152">BR56-BT56</f>
        <v>0</v>
      </c>
      <c r="BX56" s="1870">
        <v>9.0497737556560987E-2</v>
      </c>
      <c r="BY56" s="1871"/>
      <c r="BZ56" s="1449">
        <f>BX56/1</f>
        <v>9.0497737556560987E-2</v>
      </c>
      <c r="CA56" s="1451"/>
      <c r="CB56" s="970">
        <f>IF(BX56&gt;=0,BZ56*$G56,-BZ56*$H56)</f>
        <v>0</v>
      </c>
      <c r="CC56" s="970"/>
      <c r="CD56" s="970">
        <f>IF(BX56&gt;=0,BZ56*$J56,-BZ56*$K56)</f>
        <v>0</v>
      </c>
      <c r="CE56" s="970"/>
      <c r="CF56" s="669">
        <f t="shared" ref="CF56:CF63" si="153">CB56-CD56</f>
        <v>0</v>
      </c>
      <c r="CH56" s="1870">
        <v>0.32363636363636372</v>
      </c>
      <c r="CI56" s="1871"/>
      <c r="CJ56" s="1449">
        <f>CH56/1</f>
        <v>0.32363636363636372</v>
      </c>
      <c r="CK56" s="1451"/>
      <c r="CL56" s="970">
        <f>IF(CH56&gt;=0,CJ56*$G56,-CJ56*$H56)</f>
        <v>0</v>
      </c>
      <c r="CM56" s="970"/>
      <c r="CN56" s="970">
        <f>IF(CH56&gt;=0,CJ56*$J56,-CJ56*$K56)</f>
        <v>0</v>
      </c>
      <c r="CO56" s="970"/>
      <c r="CP56" s="669">
        <f t="shared" ref="CP56:CP63" si="154">CL56-CN56</f>
        <v>0</v>
      </c>
      <c r="CR56" s="1870">
        <v>0</v>
      </c>
      <c r="CS56" s="1871"/>
      <c r="CT56" s="1449">
        <f>CR56/1</f>
        <v>0</v>
      </c>
      <c r="CU56" s="1451"/>
      <c r="CV56" s="970">
        <f>IF(CR56&gt;=0,CT56*$G56,-CT56*$H56)</f>
        <v>0</v>
      </c>
      <c r="CW56" s="970"/>
      <c r="CX56" s="970">
        <f>IF(CR56&gt;=0,CT56*$J56,-CT56*$K56)</f>
        <v>0</v>
      </c>
      <c r="CY56" s="970"/>
      <c r="CZ56" s="669">
        <f t="shared" ref="CZ56:CZ63" si="155">CV56-CX56</f>
        <v>0</v>
      </c>
      <c r="DB56" s="1870">
        <v>0</v>
      </c>
      <c r="DC56" s="1871"/>
      <c r="DD56" s="1449">
        <f>DB56/1</f>
        <v>0</v>
      </c>
      <c r="DE56" s="1451"/>
      <c r="DF56" s="970">
        <f t="shared" si="136"/>
        <v>0</v>
      </c>
      <c r="DG56" s="970"/>
      <c r="DH56" s="970">
        <f t="shared" si="137"/>
        <v>0</v>
      </c>
      <c r="DI56" s="970"/>
      <c r="DJ56" s="669">
        <f t="shared" ref="DJ56:DJ63" si="156">DF56-DH56</f>
        <v>0</v>
      </c>
      <c r="DL56" s="1870">
        <v>1.6143561643835618</v>
      </c>
      <c r="DM56" s="1871"/>
      <c r="DN56" s="1449">
        <f>DL56/1</f>
        <v>1.6143561643835618</v>
      </c>
      <c r="DO56" s="1451"/>
      <c r="DP56" s="970">
        <f t="shared" si="139"/>
        <v>0</v>
      </c>
      <c r="DQ56" s="970"/>
      <c r="DR56" s="970">
        <f t="shared" si="140"/>
        <v>0</v>
      </c>
      <c r="DS56" s="970"/>
      <c r="DT56" s="669">
        <f t="shared" ref="DT56:DT63" si="157">DP56-DR56</f>
        <v>0</v>
      </c>
      <c r="DV56" s="1870">
        <v>1.5</v>
      </c>
      <c r="DW56" s="1871"/>
      <c r="DX56" s="1449">
        <f>DV56/1</f>
        <v>1.5</v>
      </c>
      <c r="DY56" s="1451"/>
      <c r="DZ56" s="970">
        <f t="shared" si="142"/>
        <v>0</v>
      </c>
      <c r="EA56" s="970"/>
      <c r="EB56" s="970">
        <f t="shared" si="143"/>
        <v>0</v>
      </c>
      <c r="EC56" s="970"/>
      <c r="ED56" s="669">
        <f t="shared" ref="ED56:ED63" si="158">DZ56-EB56</f>
        <v>0</v>
      </c>
      <c r="EF56" s="1870">
        <v>0</v>
      </c>
      <c r="EG56" s="1871"/>
      <c r="EH56" s="1449">
        <f>EF56/1</f>
        <v>0</v>
      </c>
      <c r="EI56" s="1451"/>
      <c r="EJ56" s="970">
        <f t="shared" si="145"/>
        <v>0</v>
      </c>
      <c r="EK56" s="970"/>
      <c r="EL56" s="970">
        <f t="shared" si="146"/>
        <v>0</v>
      </c>
      <c r="EM56" s="970"/>
      <c r="EN56" s="669">
        <f t="shared" ref="EN56:EN63" si="159">EJ56-EL56</f>
        <v>0</v>
      </c>
    </row>
    <row r="57" spans="1:144" ht="12.75" customHeight="1" x14ac:dyDescent="0.2">
      <c r="A57" s="259" t="s">
        <v>302</v>
      </c>
      <c r="B57" s="1"/>
      <c r="C57" s="1401" t="s">
        <v>1832</v>
      </c>
      <c r="D57" s="201"/>
      <c r="E57" s="1454">
        <f>'Sensitivitaeten Delta_Market'!D47</f>
        <v>0.2</v>
      </c>
      <c r="F57" s="244"/>
      <c r="G57" s="966">
        <f>'Sensitivitaeten Delta_Market'!L47</f>
        <v>0</v>
      </c>
      <c r="H57" s="966">
        <f>'Sensitivitaeten Delta_Market'!M47</f>
        <v>0</v>
      </c>
      <c r="I57" s="966"/>
      <c r="J57" s="966">
        <f>'Sensitivitaeten Delta_Market'!U47</f>
        <v>0</v>
      </c>
      <c r="K57" s="966">
        <f>'Sensitivitaeten Delta_Market'!V47</f>
        <v>0</v>
      </c>
      <c r="L57" s="966"/>
      <c r="M57" s="245">
        <f t="shared" si="107"/>
        <v>0</v>
      </c>
      <c r="N57" s="245">
        <f t="shared" si="107"/>
        <v>0</v>
      </c>
      <c r="O57" s="1461"/>
      <c r="P57" s="1454">
        <v>-0.6</v>
      </c>
      <c r="Q57" s="1458"/>
      <c r="R57" s="967">
        <f t="shared" si="108"/>
        <v>-2.9999999999999996</v>
      </c>
      <c r="S57" s="1274"/>
      <c r="T57" s="966">
        <f t="shared" si="109"/>
        <v>0</v>
      </c>
      <c r="U57" s="966"/>
      <c r="V57" s="966">
        <f t="shared" si="110"/>
        <v>0</v>
      </c>
      <c r="W57" s="966"/>
      <c r="X57" s="246">
        <f t="shared" si="147"/>
        <v>0</v>
      </c>
      <c r="Y57" s="171"/>
      <c r="Z57" s="1454">
        <v>0</v>
      </c>
      <c r="AA57" s="1458"/>
      <c r="AB57" s="967">
        <f t="shared" si="111"/>
        <v>0</v>
      </c>
      <c r="AC57" s="1274"/>
      <c r="AD57" s="966">
        <f t="shared" si="112"/>
        <v>0</v>
      </c>
      <c r="AE57" s="966"/>
      <c r="AF57" s="966">
        <f t="shared" si="113"/>
        <v>0</v>
      </c>
      <c r="AG57" s="966"/>
      <c r="AH57" s="246">
        <f t="shared" si="148"/>
        <v>0</v>
      </c>
      <c r="AJ57" s="1454">
        <v>-0.23227352067414953</v>
      </c>
      <c r="AK57" s="1458"/>
      <c r="AL57" s="967">
        <f t="shared" si="114"/>
        <v>-1.1613676033707476</v>
      </c>
      <c r="AM57" s="1274"/>
      <c r="AN57" s="966">
        <f t="shared" si="115"/>
        <v>0</v>
      </c>
      <c r="AO57" s="966"/>
      <c r="AP57" s="966">
        <f t="shared" si="116"/>
        <v>0</v>
      </c>
      <c r="AQ57" s="966"/>
      <c r="AR57" s="246">
        <f t="shared" si="149"/>
        <v>0</v>
      </c>
      <c r="AT57" s="1454">
        <v>-0.26427482166067939</v>
      </c>
      <c r="AU57" s="1458"/>
      <c r="AV57" s="967">
        <f t="shared" si="117"/>
        <v>-1.321374108303397</v>
      </c>
      <c r="AW57" s="1274"/>
      <c r="AX57" s="966">
        <f t="shared" si="118"/>
        <v>0</v>
      </c>
      <c r="AY57" s="966"/>
      <c r="AZ57" s="966">
        <f t="shared" si="119"/>
        <v>0</v>
      </c>
      <c r="BA57" s="966"/>
      <c r="BB57" s="246">
        <f t="shared" si="150"/>
        <v>0</v>
      </c>
      <c r="BD57" s="1454">
        <v>-5.8009817045961642E-2</v>
      </c>
      <c r="BE57" s="1458"/>
      <c r="BF57" s="2183">
        <f t="shared" si="120"/>
        <v>-0.29004908522980821</v>
      </c>
      <c r="BG57" s="1274"/>
      <c r="BH57" s="966">
        <f t="shared" si="121"/>
        <v>0</v>
      </c>
      <c r="BI57" s="966"/>
      <c r="BJ57" s="966">
        <f t="shared" si="122"/>
        <v>0</v>
      </c>
      <c r="BK57" s="966"/>
      <c r="BL57" s="246">
        <f t="shared" si="151"/>
        <v>0</v>
      </c>
      <c r="BN57" s="1454">
        <v>-0.18523018567964722</v>
      </c>
      <c r="BO57" s="1458"/>
      <c r="BP57" s="967">
        <f t="shared" si="123"/>
        <v>-0.9261509283982361</v>
      </c>
      <c r="BQ57" s="1274"/>
      <c r="BR57" s="966">
        <f t="shared" si="124"/>
        <v>0</v>
      </c>
      <c r="BS57" s="966"/>
      <c r="BT57" s="966">
        <f t="shared" si="125"/>
        <v>0</v>
      </c>
      <c r="BU57" s="966"/>
      <c r="BV57" s="246">
        <f t="shared" si="152"/>
        <v>0</v>
      </c>
      <c r="BX57" s="1454">
        <v>-0.28410829717676467</v>
      </c>
      <c r="BY57" s="1458"/>
      <c r="BZ57" s="967">
        <f t="shared" si="126"/>
        <v>-1.4205414858838232</v>
      </c>
      <c r="CA57" s="1274"/>
      <c r="CB57" s="966">
        <f t="shared" si="127"/>
        <v>0</v>
      </c>
      <c r="CC57" s="966"/>
      <c r="CD57" s="966">
        <f t="shared" si="128"/>
        <v>0</v>
      </c>
      <c r="CE57" s="966"/>
      <c r="CF57" s="246">
        <f t="shared" si="153"/>
        <v>0</v>
      </c>
      <c r="CH57" s="1454">
        <v>-0.3566648132497422</v>
      </c>
      <c r="CI57" s="1458"/>
      <c r="CJ57" s="967">
        <f t="shared" si="129"/>
        <v>-1.7833240662487109</v>
      </c>
      <c r="CK57" s="1274"/>
      <c r="CL57" s="966">
        <f t="shared" si="130"/>
        <v>0</v>
      </c>
      <c r="CM57" s="966"/>
      <c r="CN57" s="966">
        <f t="shared" si="131"/>
        <v>0</v>
      </c>
      <c r="CO57" s="966"/>
      <c r="CP57" s="246">
        <f t="shared" si="154"/>
        <v>0</v>
      </c>
      <c r="CR57" s="1454">
        <v>0</v>
      </c>
      <c r="CS57" s="1458"/>
      <c r="CT57" s="967">
        <f t="shared" si="132"/>
        <v>0</v>
      </c>
      <c r="CU57" s="1274"/>
      <c r="CV57" s="966">
        <f t="shared" si="133"/>
        <v>0</v>
      </c>
      <c r="CW57" s="966"/>
      <c r="CX57" s="966">
        <f t="shared" si="134"/>
        <v>0</v>
      </c>
      <c r="CY57" s="966"/>
      <c r="CZ57" s="246">
        <f t="shared" si="155"/>
        <v>0</v>
      </c>
      <c r="DB57" s="1454">
        <v>0</v>
      </c>
      <c r="DC57" s="1458"/>
      <c r="DD57" s="967">
        <f t="shared" si="135"/>
        <v>0</v>
      </c>
      <c r="DE57" s="1274"/>
      <c r="DF57" s="966">
        <f t="shared" si="136"/>
        <v>0</v>
      </c>
      <c r="DG57" s="966"/>
      <c r="DH57" s="966">
        <f t="shared" si="137"/>
        <v>0</v>
      </c>
      <c r="DI57" s="966"/>
      <c r="DJ57" s="246">
        <f t="shared" si="156"/>
        <v>0</v>
      </c>
      <c r="DL57" s="1454">
        <v>-0.38808958377610825</v>
      </c>
      <c r="DM57" s="1458"/>
      <c r="DN57" s="967">
        <f t="shared" si="138"/>
        <v>-1.9404479188805412</v>
      </c>
      <c r="DO57" s="1274"/>
      <c r="DP57" s="966">
        <f t="shared" si="139"/>
        <v>0</v>
      </c>
      <c r="DQ57" s="966"/>
      <c r="DR57" s="966">
        <f t="shared" si="140"/>
        <v>0</v>
      </c>
      <c r="DS57" s="966"/>
      <c r="DT57" s="246">
        <f t="shared" si="157"/>
        <v>0</v>
      </c>
      <c r="DV57" s="1454">
        <v>-0.3</v>
      </c>
      <c r="DW57" s="1458"/>
      <c r="DX57" s="967">
        <f t="shared" si="141"/>
        <v>-1.4999999999999998</v>
      </c>
      <c r="DY57" s="1274"/>
      <c r="DZ57" s="966">
        <f t="shared" si="142"/>
        <v>0</v>
      </c>
      <c r="EA57" s="966"/>
      <c r="EB57" s="966">
        <f t="shared" si="143"/>
        <v>0</v>
      </c>
      <c r="EC57" s="966"/>
      <c r="ED57" s="246">
        <f t="shared" si="158"/>
        <v>0</v>
      </c>
      <c r="EF57" s="1454">
        <v>-0.3</v>
      </c>
      <c r="EG57" s="1458"/>
      <c r="EH57" s="967">
        <f t="shared" si="144"/>
        <v>-1.4999999999999998</v>
      </c>
      <c r="EI57" s="1274"/>
      <c r="EJ57" s="966">
        <f t="shared" si="145"/>
        <v>0</v>
      </c>
      <c r="EK57" s="966"/>
      <c r="EL57" s="966">
        <f t="shared" si="146"/>
        <v>0</v>
      </c>
      <c r="EM57" s="966"/>
      <c r="EN57" s="246">
        <f t="shared" si="159"/>
        <v>0</v>
      </c>
    </row>
    <row r="58" spans="1:144" ht="12.75" customHeight="1" x14ac:dyDescent="0.2">
      <c r="A58" s="259" t="s">
        <v>303</v>
      </c>
      <c r="B58" s="1"/>
      <c r="C58" s="1403" t="s">
        <v>1833</v>
      </c>
      <c r="D58" s="206"/>
      <c r="E58" s="1454">
        <f>'Sensitivitaeten Delta_Market'!D48</f>
        <v>0.2</v>
      </c>
      <c r="F58" s="244"/>
      <c r="G58" s="966">
        <f>'Sensitivitaeten Delta_Market'!L48</f>
        <v>0</v>
      </c>
      <c r="H58" s="966">
        <f>'Sensitivitaeten Delta_Market'!M48</f>
        <v>0</v>
      </c>
      <c r="I58" s="966"/>
      <c r="J58" s="966">
        <f>'Sensitivitaeten Delta_Market'!U48</f>
        <v>0</v>
      </c>
      <c r="K58" s="966">
        <f>'Sensitivitaeten Delta_Market'!V48</f>
        <v>0</v>
      </c>
      <c r="L58" s="966"/>
      <c r="M58" s="245">
        <f t="shared" si="107"/>
        <v>0</v>
      </c>
      <c r="N58" s="245">
        <f t="shared" si="107"/>
        <v>0</v>
      </c>
      <c r="O58" s="1461"/>
      <c r="P58" s="1454">
        <v>-0.6</v>
      </c>
      <c r="Q58" s="1458"/>
      <c r="R58" s="967">
        <f t="shared" si="108"/>
        <v>-2.9999999999999996</v>
      </c>
      <c r="S58" s="1274"/>
      <c r="T58" s="966">
        <f t="shared" si="109"/>
        <v>0</v>
      </c>
      <c r="U58" s="966"/>
      <c r="V58" s="966">
        <f t="shared" si="110"/>
        <v>0</v>
      </c>
      <c r="W58" s="966"/>
      <c r="X58" s="246">
        <f t="shared" si="147"/>
        <v>0</v>
      </c>
      <c r="Y58" s="171"/>
      <c r="Z58" s="1454">
        <v>0</v>
      </c>
      <c r="AA58" s="1458"/>
      <c r="AB58" s="967">
        <f t="shared" si="111"/>
        <v>0</v>
      </c>
      <c r="AC58" s="1274"/>
      <c r="AD58" s="966">
        <f t="shared" si="112"/>
        <v>0</v>
      </c>
      <c r="AE58" s="966"/>
      <c r="AF58" s="966">
        <f t="shared" si="113"/>
        <v>0</v>
      </c>
      <c r="AG58" s="966"/>
      <c r="AH58" s="246">
        <f t="shared" si="148"/>
        <v>0</v>
      </c>
      <c r="AJ58" s="1454">
        <v>-0.38701315533665992</v>
      </c>
      <c r="AK58" s="1458"/>
      <c r="AL58" s="967">
        <f t="shared" si="114"/>
        <v>-1.9350657766832995</v>
      </c>
      <c r="AM58" s="1274"/>
      <c r="AN58" s="966">
        <f t="shared" si="115"/>
        <v>0</v>
      </c>
      <c r="AO58" s="966"/>
      <c r="AP58" s="966">
        <f t="shared" si="116"/>
        <v>0</v>
      </c>
      <c r="AQ58" s="966"/>
      <c r="AR58" s="246">
        <f t="shared" si="149"/>
        <v>0</v>
      </c>
      <c r="AT58" s="1454">
        <v>-0.25550281962658561</v>
      </c>
      <c r="AU58" s="1458"/>
      <c r="AV58" s="967">
        <f t="shared" si="117"/>
        <v>-1.277514098132928</v>
      </c>
      <c r="AW58" s="1274"/>
      <c r="AX58" s="966">
        <f t="shared" si="118"/>
        <v>0</v>
      </c>
      <c r="AY58" s="966"/>
      <c r="AZ58" s="966">
        <f t="shared" si="119"/>
        <v>0</v>
      </c>
      <c r="BA58" s="966"/>
      <c r="BB58" s="246">
        <f t="shared" si="150"/>
        <v>0</v>
      </c>
      <c r="BD58" s="1454">
        <v>-3.6405326038859709E-3</v>
      </c>
      <c r="BE58" s="1458"/>
      <c r="BF58" s="2183">
        <f t="shared" si="120"/>
        <v>-1.8202663019429854E-2</v>
      </c>
      <c r="BG58" s="1274"/>
      <c r="BH58" s="966">
        <f t="shared" si="121"/>
        <v>0</v>
      </c>
      <c r="BI58" s="966"/>
      <c r="BJ58" s="966">
        <f t="shared" si="122"/>
        <v>0</v>
      </c>
      <c r="BK58" s="966"/>
      <c r="BL58" s="246">
        <f t="shared" si="151"/>
        <v>0</v>
      </c>
      <c r="BN58" s="1454">
        <v>-0.10999002386695111</v>
      </c>
      <c r="BO58" s="1458"/>
      <c r="BP58" s="967">
        <f t="shared" si="123"/>
        <v>-0.54995011933475557</v>
      </c>
      <c r="BQ58" s="1274"/>
      <c r="BR58" s="966">
        <f t="shared" si="124"/>
        <v>0</v>
      </c>
      <c r="BS58" s="966"/>
      <c r="BT58" s="966">
        <f t="shared" si="125"/>
        <v>0</v>
      </c>
      <c r="BU58" s="966"/>
      <c r="BV58" s="246">
        <f t="shared" si="152"/>
        <v>0</v>
      </c>
      <c r="BX58" s="1454">
        <v>-0.22499506855966545</v>
      </c>
      <c r="BY58" s="1458"/>
      <c r="BZ58" s="967">
        <f t="shared" si="126"/>
        <v>-1.1249753427983271</v>
      </c>
      <c r="CA58" s="1274"/>
      <c r="CB58" s="966">
        <f t="shared" si="127"/>
        <v>0</v>
      </c>
      <c r="CC58" s="966"/>
      <c r="CD58" s="966">
        <f t="shared" si="128"/>
        <v>0</v>
      </c>
      <c r="CE58" s="966"/>
      <c r="CF58" s="246">
        <f t="shared" si="153"/>
        <v>0</v>
      </c>
      <c r="CH58" s="1454">
        <v>-0.42067344596422218</v>
      </c>
      <c r="CI58" s="1458"/>
      <c r="CJ58" s="967">
        <f t="shared" si="129"/>
        <v>-2.1033672298211106</v>
      </c>
      <c r="CK58" s="1274"/>
      <c r="CL58" s="966">
        <f t="shared" si="130"/>
        <v>0</v>
      </c>
      <c r="CM58" s="966"/>
      <c r="CN58" s="966">
        <f t="shared" si="131"/>
        <v>0</v>
      </c>
      <c r="CO58" s="966"/>
      <c r="CP58" s="246">
        <f t="shared" si="154"/>
        <v>0</v>
      </c>
      <c r="CR58" s="1454">
        <v>0</v>
      </c>
      <c r="CS58" s="1458"/>
      <c r="CT58" s="967">
        <f t="shared" si="132"/>
        <v>0</v>
      </c>
      <c r="CU58" s="1274"/>
      <c r="CV58" s="966">
        <f t="shared" si="133"/>
        <v>0</v>
      </c>
      <c r="CW58" s="966"/>
      <c r="CX58" s="966">
        <f t="shared" si="134"/>
        <v>0</v>
      </c>
      <c r="CY58" s="966"/>
      <c r="CZ58" s="246">
        <f t="shared" si="155"/>
        <v>0</v>
      </c>
      <c r="DB58" s="1454">
        <v>0</v>
      </c>
      <c r="DC58" s="1458"/>
      <c r="DD58" s="967">
        <f t="shared" si="135"/>
        <v>0</v>
      </c>
      <c r="DE58" s="1274"/>
      <c r="DF58" s="966">
        <f t="shared" si="136"/>
        <v>0</v>
      </c>
      <c r="DG58" s="966"/>
      <c r="DH58" s="966">
        <f t="shared" si="137"/>
        <v>0</v>
      </c>
      <c r="DI58" s="966"/>
      <c r="DJ58" s="246">
        <f t="shared" si="156"/>
        <v>0</v>
      </c>
      <c r="DL58" s="1454">
        <v>-0.50256926250775202</v>
      </c>
      <c r="DM58" s="1458"/>
      <c r="DN58" s="967">
        <f t="shared" si="138"/>
        <v>-2.5128463125387599</v>
      </c>
      <c r="DO58" s="1274"/>
      <c r="DP58" s="966">
        <f t="shared" si="139"/>
        <v>0</v>
      </c>
      <c r="DQ58" s="966"/>
      <c r="DR58" s="966">
        <f t="shared" si="140"/>
        <v>0</v>
      </c>
      <c r="DS58" s="966"/>
      <c r="DT58" s="246">
        <f t="shared" si="157"/>
        <v>0</v>
      </c>
      <c r="DV58" s="1454">
        <v>-0.4</v>
      </c>
      <c r="DW58" s="1458"/>
      <c r="DX58" s="967">
        <f t="shared" si="141"/>
        <v>-2</v>
      </c>
      <c r="DY58" s="1274"/>
      <c r="DZ58" s="966">
        <f t="shared" si="142"/>
        <v>0</v>
      </c>
      <c r="EA58" s="966"/>
      <c r="EB58" s="966">
        <f t="shared" si="143"/>
        <v>0</v>
      </c>
      <c r="EC58" s="966"/>
      <c r="ED58" s="246">
        <f t="shared" si="158"/>
        <v>0</v>
      </c>
      <c r="EF58" s="1454">
        <v>-0.3</v>
      </c>
      <c r="EG58" s="1458"/>
      <c r="EH58" s="967">
        <f t="shared" si="144"/>
        <v>-1.4999999999999998</v>
      </c>
      <c r="EI58" s="1274"/>
      <c r="EJ58" s="966">
        <f t="shared" si="145"/>
        <v>0</v>
      </c>
      <c r="EK58" s="966"/>
      <c r="EL58" s="966">
        <f t="shared" si="146"/>
        <v>0</v>
      </c>
      <c r="EM58" s="966"/>
      <c r="EN58" s="246">
        <f t="shared" si="159"/>
        <v>0</v>
      </c>
    </row>
    <row r="59" spans="1:144" ht="12.75" customHeight="1" x14ac:dyDescent="0.2">
      <c r="A59" s="259" t="s">
        <v>304</v>
      </c>
      <c r="B59" s="1"/>
      <c r="C59" s="1403" t="s">
        <v>1834</v>
      </c>
      <c r="D59" s="206"/>
      <c r="E59" s="1454">
        <f>'Sensitivitaeten Delta_Market'!D49</f>
        <v>0.2</v>
      </c>
      <c r="F59" s="244"/>
      <c r="G59" s="966">
        <f>'Sensitivitaeten Delta_Market'!L49</f>
        <v>0</v>
      </c>
      <c r="H59" s="966">
        <f>'Sensitivitaeten Delta_Market'!M49</f>
        <v>0</v>
      </c>
      <c r="I59" s="966"/>
      <c r="J59" s="966">
        <f>'Sensitivitaeten Delta_Market'!U49</f>
        <v>0</v>
      </c>
      <c r="K59" s="966">
        <f>'Sensitivitaeten Delta_Market'!V49</f>
        <v>0</v>
      </c>
      <c r="L59" s="966"/>
      <c r="M59" s="245">
        <f t="shared" si="107"/>
        <v>0</v>
      </c>
      <c r="N59" s="245">
        <f t="shared" si="107"/>
        <v>0</v>
      </c>
      <c r="O59" s="1461"/>
      <c r="P59" s="1454">
        <v>-0.6</v>
      </c>
      <c r="Q59" s="1458"/>
      <c r="R59" s="967">
        <f t="shared" si="108"/>
        <v>-2.9999999999999996</v>
      </c>
      <c r="S59" s="1274"/>
      <c r="T59" s="966">
        <f t="shared" si="109"/>
        <v>0</v>
      </c>
      <c r="U59" s="966"/>
      <c r="V59" s="966">
        <f t="shared" si="110"/>
        <v>0</v>
      </c>
      <c r="W59" s="966"/>
      <c r="X59" s="246">
        <f t="shared" si="147"/>
        <v>0</v>
      </c>
      <c r="Y59" s="171"/>
      <c r="Z59" s="1454">
        <v>0</v>
      </c>
      <c r="AA59" s="1458"/>
      <c r="AB59" s="967">
        <f t="shared" si="111"/>
        <v>0</v>
      </c>
      <c r="AC59" s="1274"/>
      <c r="AD59" s="966">
        <f t="shared" si="112"/>
        <v>0</v>
      </c>
      <c r="AE59" s="966"/>
      <c r="AF59" s="966">
        <f t="shared" si="113"/>
        <v>0</v>
      </c>
      <c r="AG59" s="966"/>
      <c r="AH59" s="246">
        <f t="shared" si="148"/>
        <v>0</v>
      </c>
      <c r="AJ59" s="1454">
        <v>-0.21222794253653121</v>
      </c>
      <c r="AK59" s="1458"/>
      <c r="AL59" s="967">
        <f t="shared" si="114"/>
        <v>-1.0611397126826561</v>
      </c>
      <c r="AM59" s="1274"/>
      <c r="AN59" s="966">
        <f t="shared" si="115"/>
        <v>0</v>
      </c>
      <c r="AO59" s="966"/>
      <c r="AP59" s="966">
        <f t="shared" si="116"/>
        <v>0</v>
      </c>
      <c r="AQ59" s="966"/>
      <c r="AR59" s="246">
        <f t="shared" si="149"/>
        <v>0</v>
      </c>
      <c r="AT59" s="1454">
        <v>-0.13788872509643646</v>
      </c>
      <c r="AU59" s="1458"/>
      <c r="AV59" s="967">
        <f t="shared" si="117"/>
        <v>-0.6894436254821823</v>
      </c>
      <c r="AW59" s="1274"/>
      <c r="AX59" s="966">
        <f t="shared" si="118"/>
        <v>0</v>
      </c>
      <c r="AY59" s="966"/>
      <c r="AZ59" s="966">
        <f t="shared" si="119"/>
        <v>0</v>
      </c>
      <c r="BA59" s="966"/>
      <c r="BB59" s="246">
        <f t="shared" si="150"/>
        <v>0</v>
      </c>
      <c r="BD59" s="1454">
        <v>-1.0782403118111183E-2</v>
      </c>
      <c r="BE59" s="1458"/>
      <c r="BF59" s="2183">
        <f t="shared" si="120"/>
        <v>-5.3912015590555917E-2</v>
      </c>
      <c r="BG59" s="1274"/>
      <c r="BH59" s="966">
        <f t="shared" si="121"/>
        <v>0</v>
      </c>
      <c r="BI59" s="966"/>
      <c r="BJ59" s="966">
        <f t="shared" si="122"/>
        <v>0</v>
      </c>
      <c r="BK59" s="966"/>
      <c r="BL59" s="246">
        <f t="shared" si="151"/>
        <v>0</v>
      </c>
      <c r="BN59" s="1454">
        <v>-7.3468714021705517E-2</v>
      </c>
      <c r="BO59" s="1458"/>
      <c r="BP59" s="967">
        <f t="shared" si="123"/>
        <v>-0.36734357010852758</v>
      </c>
      <c r="BQ59" s="1274"/>
      <c r="BR59" s="966">
        <f t="shared" si="124"/>
        <v>0</v>
      </c>
      <c r="BS59" s="966"/>
      <c r="BT59" s="966">
        <f t="shared" si="125"/>
        <v>0</v>
      </c>
      <c r="BU59" s="966"/>
      <c r="BV59" s="246">
        <f t="shared" si="152"/>
        <v>0</v>
      </c>
      <c r="BX59" s="1454">
        <v>-0.13904778102175996</v>
      </c>
      <c r="BY59" s="1458"/>
      <c r="BZ59" s="967">
        <f t="shared" si="126"/>
        <v>-0.69523890510879982</v>
      </c>
      <c r="CA59" s="1274"/>
      <c r="CB59" s="966">
        <f t="shared" si="127"/>
        <v>0</v>
      </c>
      <c r="CC59" s="966"/>
      <c r="CD59" s="966">
        <f t="shared" si="128"/>
        <v>0</v>
      </c>
      <c r="CE59" s="966"/>
      <c r="CF59" s="246">
        <f t="shared" si="153"/>
        <v>0</v>
      </c>
      <c r="CH59" s="1454">
        <v>-0.32194239496811505</v>
      </c>
      <c r="CI59" s="1458"/>
      <c r="CJ59" s="967">
        <f t="shared" si="129"/>
        <v>-1.6097119748405753</v>
      </c>
      <c r="CK59" s="1274"/>
      <c r="CL59" s="966">
        <f t="shared" si="130"/>
        <v>0</v>
      </c>
      <c r="CM59" s="966"/>
      <c r="CN59" s="966">
        <f t="shared" si="131"/>
        <v>0</v>
      </c>
      <c r="CO59" s="966"/>
      <c r="CP59" s="246">
        <f t="shared" si="154"/>
        <v>0</v>
      </c>
      <c r="CR59" s="1454">
        <v>0</v>
      </c>
      <c r="CS59" s="1458"/>
      <c r="CT59" s="967">
        <f t="shared" si="132"/>
        <v>0</v>
      </c>
      <c r="CU59" s="1274"/>
      <c r="CV59" s="966">
        <f t="shared" si="133"/>
        <v>0</v>
      </c>
      <c r="CW59" s="966"/>
      <c r="CX59" s="966">
        <f t="shared" si="134"/>
        <v>0</v>
      </c>
      <c r="CY59" s="966"/>
      <c r="CZ59" s="246">
        <f t="shared" si="155"/>
        <v>0</v>
      </c>
      <c r="DB59" s="1454">
        <v>0</v>
      </c>
      <c r="DC59" s="1458"/>
      <c r="DD59" s="967">
        <f t="shared" si="135"/>
        <v>0</v>
      </c>
      <c r="DE59" s="1274"/>
      <c r="DF59" s="966">
        <f t="shared" si="136"/>
        <v>0</v>
      </c>
      <c r="DG59" s="966"/>
      <c r="DH59" s="966">
        <f t="shared" si="137"/>
        <v>0</v>
      </c>
      <c r="DI59" s="966"/>
      <c r="DJ59" s="246">
        <f t="shared" si="156"/>
        <v>0</v>
      </c>
      <c r="DL59" s="1454">
        <v>-0.48376621688538057</v>
      </c>
      <c r="DM59" s="1458"/>
      <c r="DN59" s="967">
        <f t="shared" si="138"/>
        <v>-2.4188310844269028</v>
      </c>
      <c r="DO59" s="1274"/>
      <c r="DP59" s="966">
        <f t="shared" si="139"/>
        <v>0</v>
      </c>
      <c r="DQ59" s="966"/>
      <c r="DR59" s="966">
        <f t="shared" si="140"/>
        <v>0</v>
      </c>
      <c r="DS59" s="966"/>
      <c r="DT59" s="246">
        <f t="shared" si="157"/>
        <v>0</v>
      </c>
      <c r="DV59" s="1454">
        <v>-0.3</v>
      </c>
      <c r="DW59" s="1458"/>
      <c r="DX59" s="967">
        <f t="shared" si="141"/>
        <v>-1.4999999999999998</v>
      </c>
      <c r="DY59" s="1274"/>
      <c r="DZ59" s="966">
        <f t="shared" si="142"/>
        <v>0</v>
      </c>
      <c r="EA59" s="966"/>
      <c r="EB59" s="966">
        <f t="shared" si="143"/>
        <v>0</v>
      </c>
      <c r="EC59" s="966"/>
      <c r="ED59" s="246">
        <f t="shared" si="158"/>
        <v>0</v>
      </c>
      <c r="EF59" s="1454">
        <v>-0.3</v>
      </c>
      <c r="EG59" s="1458"/>
      <c r="EH59" s="967">
        <f t="shared" si="144"/>
        <v>-1.4999999999999998</v>
      </c>
      <c r="EI59" s="1274"/>
      <c r="EJ59" s="966">
        <f t="shared" si="145"/>
        <v>0</v>
      </c>
      <c r="EK59" s="966"/>
      <c r="EL59" s="966">
        <f t="shared" si="146"/>
        <v>0</v>
      </c>
      <c r="EM59" s="966"/>
      <c r="EN59" s="246">
        <f t="shared" si="159"/>
        <v>0</v>
      </c>
    </row>
    <row r="60" spans="1:144" ht="12.75" customHeight="1" x14ac:dyDescent="0.2">
      <c r="A60" s="259" t="s">
        <v>305</v>
      </c>
      <c r="B60" s="1"/>
      <c r="C60" s="1403" t="s">
        <v>1835</v>
      </c>
      <c r="D60" s="206"/>
      <c r="E60" s="1454">
        <f>'Sensitivitaeten Delta_Market'!D50</f>
        <v>0.2</v>
      </c>
      <c r="F60" s="244"/>
      <c r="G60" s="966">
        <f>'Sensitivitaeten Delta_Market'!L50</f>
        <v>0</v>
      </c>
      <c r="H60" s="966">
        <f>'Sensitivitaeten Delta_Market'!M50</f>
        <v>0</v>
      </c>
      <c r="I60" s="966"/>
      <c r="J60" s="966">
        <f>'Sensitivitaeten Delta_Market'!U50</f>
        <v>0</v>
      </c>
      <c r="K60" s="966">
        <f>'Sensitivitaeten Delta_Market'!V50</f>
        <v>0</v>
      </c>
      <c r="L60" s="966"/>
      <c r="M60" s="245">
        <f t="shared" si="107"/>
        <v>0</v>
      </c>
      <c r="N60" s="245">
        <f t="shared" si="107"/>
        <v>0</v>
      </c>
      <c r="O60" s="1461"/>
      <c r="P60" s="1454">
        <v>-0.6</v>
      </c>
      <c r="Q60" s="1458"/>
      <c r="R60" s="967">
        <f t="shared" si="108"/>
        <v>-2.9999999999999996</v>
      </c>
      <c r="S60" s="1274"/>
      <c r="T60" s="966">
        <f t="shared" si="109"/>
        <v>0</v>
      </c>
      <c r="U60" s="966"/>
      <c r="V60" s="966">
        <f t="shared" si="110"/>
        <v>0</v>
      </c>
      <c r="W60" s="966"/>
      <c r="X60" s="246">
        <f t="shared" si="147"/>
        <v>0</v>
      </c>
      <c r="Y60" s="171"/>
      <c r="Z60" s="1454">
        <v>0</v>
      </c>
      <c r="AA60" s="1458"/>
      <c r="AB60" s="967">
        <f t="shared" si="111"/>
        <v>0</v>
      </c>
      <c r="AC60" s="1274"/>
      <c r="AD60" s="966">
        <f t="shared" si="112"/>
        <v>0</v>
      </c>
      <c r="AE60" s="966"/>
      <c r="AF60" s="966">
        <f t="shared" si="113"/>
        <v>0</v>
      </c>
      <c r="AG60" s="966"/>
      <c r="AH60" s="246">
        <f t="shared" si="148"/>
        <v>0</v>
      </c>
      <c r="AJ60" s="1454">
        <v>-0.2593049302440078</v>
      </c>
      <c r="AK60" s="1458"/>
      <c r="AL60" s="967">
        <f t="shared" si="114"/>
        <v>-1.296524651220039</v>
      </c>
      <c r="AM60" s="1274"/>
      <c r="AN60" s="966">
        <f t="shared" si="115"/>
        <v>0</v>
      </c>
      <c r="AO60" s="966"/>
      <c r="AP60" s="966">
        <f t="shared" si="116"/>
        <v>0</v>
      </c>
      <c r="AQ60" s="966"/>
      <c r="AR60" s="246">
        <f t="shared" si="149"/>
        <v>0</v>
      </c>
      <c r="AT60" s="1454">
        <v>-0.15994266780136646</v>
      </c>
      <c r="AU60" s="1458"/>
      <c r="AV60" s="967">
        <f t="shared" si="117"/>
        <v>-0.79971333900683228</v>
      </c>
      <c r="AW60" s="1274"/>
      <c r="AX60" s="966">
        <f t="shared" si="118"/>
        <v>0</v>
      </c>
      <c r="AY60" s="966"/>
      <c r="AZ60" s="966">
        <f t="shared" si="119"/>
        <v>0</v>
      </c>
      <c r="BA60" s="966"/>
      <c r="BB60" s="246">
        <f t="shared" si="150"/>
        <v>0</v>
      </c>
      <c r="BD60" s="1454">
        <v>-8.84947792703904E-2</v>
      </c>
      <c r="BE60" s="1458"/>
      <c r="BF60" s="2183">
        <f t="shared" si="120"/>
        <v>-0.442473896351952</v>
      </c>
      <c r="BG60" s="1274"/>
      <c r="BH60" s="966">
        <f t="shared" si="121"/>
        <v>0</v>
      </c>
      <c r="BI60" s="966"/>
      <c r="BJ60" s="966">
        <f t="shared" si="122"/>
        <v>0</v>
      </c>
      <c r="BK60" s="966"/>
      <c r="BL60" s="246">
        <f t="shared" si="151"/>
        <v>0</v>
      </c>
      <c r="BN60" s="1454">
        <v>-0.15111606266737931</v>
      </c>
      <c r="BO60" s="1458"/>
      <c r="BP60" s="967">
        <f t="shared" si="123"/>
        <v>-0.75558031333689657</v>
      </c>
      <c r="BQ60" s="1274"/>
      <c r="BR60" s="966">
        <f t="shared" si="124"/>
        <v>0</v>
      </c>
      <c r="BS60" s="966"/>
      <c r="BT60" s="966">
        <f t="shared" si="125"/>
        <v>0</v>
      </c>
      <c r="BU60" s="966"/>
      <c r="BV60" s="246">
        <f t="shared" si="152"/>
        <v>0</v>
      </c>
      <c r="BX60" s="1454">
        <v>-0.12527159120552034</v>
      </c>
      <c r="BY60" s="1458"/>
      <c r="BZ60" s="967">
        <f t="shared" si="126"/>
        <v>-0.62635795602760169</v>
      </c>
      <c r="CA60" s="1274"/>
      <c r="CB60" s="966">
        <f t="shared" si="127"/>
        <v>0</v>
      </c>
      <c r="CC60" s="966"/>
      <c r="CD60" s="966">
        <f t="shared" si="128"/>
        <v>0</v>
      </c>
      <c r="CE60" s="966"/>
      <c r="CF60" s="246">
        <f t="shared" si="153"/>
        <v>0</v>
      </c>
      <c r="CH60" s="1454">
        <v>-0.27969058788859824</v>
      </c>
      <c r="CI60" s="1458"/>
      <c r="CJ60" s="967">
        <f t="shared" si="129"/>
        <v>-1.3984529394429912</v>
      </c>
      <c r="CK60" s="1274"/>
      <c r="CL60" s="966">
        <f t="shared" si="130"/>
        <v>0</v>
      </c>
      <c r="CM60" s="966"/>
      <c r="CN60" s="966">
        <f t="shared" si="131"/>
        <v>0</v>
      </c>
      <c r="CO60" s="966"/>
      <c r="CP60" s="246">
        <f t="shared" si="154"/>
        <v>0</v>
      </c>
      <c r="CR60" s="1454">
        <v>0</v>
      </c>
      <c r="CS60" s="1458"/>
      <c r="CT60" s="967">
        <f t="shared" si="132"/>
        <v>0</v>
      </c>
      <c r="CU60" s="1274"/>
      <c r="CV60" s="966">
        <f t="shared" si="133"/>
        <v>0</v>
      </c>
      <c r="CW60" s="966"/>
      <c r="CX60" s="966">
        <f t="shared" si="134"/>
        <v>0</v>
      </c>
      <c r="CY60" s="966"/>
      <c r="CZ60" s="246">
        <f t="shared" si="155"/>
        <v>0</v>
      </c>
      <c r="DB60" s="1454">
        <v>0</v>
      </c>
      <c r="DC60" s="1458"/>
      <c r="DD60" s="967">
        <f t="shared" si="135"/>
        <v>0</v>
      </c>
      <c r="DE60" s="1274"/>
      <c r="DF60" s="966">
        <f t="shared" si="136"/>
        <v>0</v>
      </c>
      <c r="DG60" s="966"/>
      <c r="DH60" s="966">
        <f t="shared" si="137"/>
        <v>0</v>
      </c>
      <c r="DI60" s="966"/>
      <c r="DJ60" s="246">
        <f t="shared" si="156"/>
        <v>0</v>
      </c>
      <c r="DL60" s="1454">
        <v>-0.39435430546675021</v>
      </c>
      <c r="DM60" s="1458"/>
      <c r="DN60" s="967">
        <f t="shared" si="138"/>
        <v>-1.9717715273337511</v>
      </c>
      <c r="DO60" s="1274"/>
      <c r="DP60" s="966">
        <f t="shared" si="139"/>
        <v>0</v>
      </c>
      <c r="DQ60" s="966"/>
      <c r="DR60" s="966">
        <f t="shared" si="140"/>
        <v>0</v>
      </c>
      <c r="DS60" s="966"/>
      <c r="DT60" s="246">
        <f t="shared" si="157"/>
        <v>0</v>
      </c>
      <c r="DU60" s="1463"/>
      <c r="DV60" s="1454">
        <v>-0.3</v>
      </c>
      <c r="DW60" s="1458"/>
      <c r="DX60" s="967">
        <f t="shared" si="141"/>
        <v>-1.4999999999999998</v>
      </c>
      <c r="DY60" s="1274"/>
      <c r="DZ60" s="966">
        <f t="shared" si="142"/>
        <v>0</v>
      </c>
      <c r="EA60" s="966"/>
      <c r="EB60" s="966">
        <f t="shared" si="143"/>
        <v>0</v>
      </c>
      <c r="EC60" s="966"/>
      <c r="ED60" s="246">
        <f t="shared" si="158"/>
        <v>0</v>
      </c>
      <c r="EE60" s="1463"/>
      <c r="EF60" s="1454">
        <v>-0.3</v>
      </c>
      <c r="EG60" s="1458"/>
      <c r="EH60" s="967">
        <f t="shared" si="144"/>
        <v>-1.4999999999999998</v>
      </c>
      <c r="EI60" s="1274"/>
      <c r="EJ60" s="966">
        <f t="shared" si="145"/>
        <v>0</v>
      </c>
      <c r="EK60" s="966"/>
      <c r="EL60" s="966">
        <f t="shared" si="146"/>
        <v>0</v>
      </c>
      <c r="EM60" s="966"/>
      <c r="EN60" s="246">
        <f t="shared" si="159"/>
        <v>0</v>
      </c>
    </row>
    <row r="61" spans="1:144" ht="12.75" customHeight="1" x14ac:dyDescent="0.2">
      <c r="A61" s="259" t="s">
        <v>306</v>
      </c>
      <c r="B61" s="1"/>
      <c r="C61" s="1403" t="s">
        <v>1836</v>
      </c>
      <c r="D61" s="206"/>
      <c r="E61" s="1454">
        <f>'Sensitivitaeten Delta_Market'!D51</f>
        <v>0.2</v>
      </c>
      <c r="F61" s="244"/>
      <c r="G61" s="966">
        <f>'Sensitivitaeten Delta_Market'!L51</f>
        <v>0</v>
      </c>
      <c r="H61" s="966">
        <f>'Sensitivitaeten Delta_Market'!M51</f>
        <v>0</v>
      </c>
      <c r="I61" s="966"/>
      <c r="J61" s="966">
        <f>'Sensitivitaeten Delta_Market'!U51</f>
        <v>0</v>
      </c>
      <c r="K61" s="966">
        <f>'Sensitivitaeten Delta_Market'!V51</f>
        <v>0</v>
      </c>
      <c r="L61" s="966"/>
      <c r="M61" s="245">
        <f>G61-J61</f>
        <v>0</v>
      </c>
      <c r="N61" s="245">
        <f>H61-K61</f>
        <v>0</v>
      </c>
      <c r="O61" s="1461"/>
      <c r="P61" s="1454">
        <v>-0.6</v>
      </c>
      <c r="Q61" s="1458"/>
      <c r="R61" s="967">
        <f>P61/$E61</f>
        <v>-2.9999999999999996</v>
      </c>
      <c r="S61" s="1274"/>
      <c r="T61" s="966">
        <f>IF(P61&gt;=0,R61*$G61,-R61*$H61)</f>
        <v>0</v>
      </c>
      <c r="U61" s="966"/>
      <c r="V61" s="966">
        <f>IF(P61&gt;=0,R61*$J61,-R61*$K61)</f>
        <v>0</v>
      </c>
      <c r="W61" s="966"/>
      <c r="X61" s="246">
        <f t="shared" si="147"/>
        <v>0</v>
      </c>
      <c r="Y61" s="171"/>
      <c r="Z61" s="1454">
        <v>0</v>
      </c>
      <c r="AA61" s="1458"/>
      <c r="AB61" s="967">
        <f>Z61/$E61</f>
        <v>0</v>
      </c>
      <c r="AC61" s="1274"/>
      <c r="AD61" s="966">
        <f>IF(Z61&gt;=0,AB61*$G61,-AB61*$H61)</f>
        <v>0</v>
      </c>
      <c r="AE61" s="966"/>
      <c r="AF61" s="966">
        <f>IF(Z61&gt;=0,AB61*$J61,-AB61*$K61)</f>
        <v>0</v>
      </c>
      <c r="AG61" s="966"/>
      <c r="AH61" s="246">
        <f t="shared" si="148"/>
        <v>0</v>
      </c>
      <c r="AJ61" s="1454">
        <v>-0.12584689711939456</v>
      </c>
      <c r="AK61" s="1458"/>
      <c r="AL61" s="967">
        <f>AJ61/$E61</f>
        <v>-0.62923448559697281</v>
      </c>
      <c r="AM61" s="1274"/>
      <c r="AN61" s="966">
        <f>IF(AJ61&gt;=0,AL61*$G61,-AL61*$H61)</f>
        <v>0</v>
      </c>
      <c r="AO61" s="966"/>
      <c r="AP61" s="966">
        <f>IF(AJ61&gt;=0,AL61*$J61,-AL61*$K61)</f>
        <v>0</v>
      </c>
      <c r="AQ61" s="966"/>
      <c r="AR61" s="246">
        <f t="shared" si="149"/>
        <v>0</v>
      </c>
      <c r="AT61" s="1454">
        <v>-0.46411220302165102</v>
      </c>
      <c r="AU61" s="1458"/>
      <c r="AV61" s="967">
        <f>AT61/$E61</f>
        <v>-2.3205610151082547</v>
      </c>
      <c r="AW61" s="1274"/>
      <c r="AX61" s="966">
        <f>IF(AT61&gt;=0,AV61*$G61,-AV61*$H61)</f>
        <v>0</v>
      </c>
      <c r="AY61" s="966"/>
      <c r="AZ61" s="966">
        <f>IF(AT61&gt;=0,AV61*$J61,-AV61*$K61)</f>
        <v>0</v>
      </c>
      <c r="BA61" s="966"/>
      <c r="BB61" s="246">
        <f t="shared" si="150"/>
        <v>0</v>
      </c>
      <c r="BD61" s="1454">
        <v>-4.9180327868852403E-2</v>
      </c>
      <c r="BE61" s="1458"/>
      <c r="BF61" s="2183">
        <f>BD61/$E61</f>
        <v>-0.24590163934426201</v>
      </c>
      <c r="BG61" s="1274"/>
      <c r="BH61" s="966">
        <f>IF(BD61&gt;=0,BF61*$G61,-BF61*$H61)</f>
        <v>0</v>
      </c>
      <c r="BI61" s="966"/>
      <c r="BJ61" s="966">
        <f>IF(BD61&gt;=0,BF61*$J61,-BF61*$K61)</f>
        <v>0</v>
      </c>
      <c r="BK61" s="966"/>
      <c r="BL61" s="246">
        <f t="shared" si="151"/>
        <v>0</v>
      </c>
      <c r="BN61" s="1454">
        <v>-8.2913206591382127E-2</v>
      </c>
      <c r="BO61" s="1458"/>
      <c r="BP61" s="967">
        <f>BN61/$E61</f>
        <v>-0.41456603295691064</v>
      </c>
      <c r="BQ61" s="1274"/>
      <c r="BR61" s="966">
        <f>IF(BN61&gt;=0,BP61*$G61,-BP61*$H61)</f>
        <v>0</v>
      </c>
      <c r="BS61" s="966"/>
      <c r="BT61" s="966">
        <f>IF(BN61&gt;=0,BP61*$J61,-BP61*$K61)</f>
        <v>0</v>
      </c>
      <c r="BU61" s="966"/>
      <c r="BV61" s="246">
        <f t="shared" si="152"/>
        <v>0</v>
      </c>
      <c r="BX61" s="1454">
        <v>-0.18724126355185555</v>
      </c>
      <c r="BY61" s="1458"/>
      <c r="BZ61" s="967">
        <f>BX61/$E61</f>
        <v>-0.93620631775927776</v>
      </c>
      <c r="CA61" s="1274"/>
      <c r="CB61" s="966">
        <f>IF(BX61&gt;=0,BZ61*$G61,-BZ61*$H61)</f>
        <v>0</v>
      </c>
      <c r="CC61" s="966"/>
      <c r="CD61" s="966">
        <f>IF(BX61&gt;=0,BZ61*$J61,-BZ61*$K61)</f>
        <v>0</v>
      </c>
      <c r="CE61" s="966"/>
      <c r="CF61" s="246">
        <f t="shared" si="153"/>
        <v>0</v>
      </c>
      <c r="CH61" s="1454">
        <v>-0.33176752307308555</v>
      </c>
      <c r="CI61" s="1458"/>
      <c r="CJ61" s="967">
        <f>CH61/$E61</f>
        <v>-1.6588376153654276</v>
      </c>
      <c r="CK61" s="1274"/>
      <c r="CL61" s="966">
        <f>IF(CH61&gt;=0,CJ61*$G61,-CJ61*$H61)</f>
        <v>0</v>
      </c>
      <c r="CM61" s="966"/>
      <c r="CN61" s="966">
        <f>IF(CH61&gt;=0,CJ61*$J61,-CJ61*$K61)</f>
        <v>0</v>
      </c>
      <c r="CO61" s="966"/>
      <c r="CP61" s="246">
        <f t="shared" si="154"/>
        <v>0</v>
      </c>
      <c r="CR61" s="1454">
        <v>0</v>
      </c>
      <c r="CS61" s="1458"/>
      <c r="CT61" s="967">
        <f>CR61/$E61</f>
        <v>0</v>
      </c>
      <c r="CU61" s="1274"/>
      <c r="CV61" s="966">
        <f>IF(CR61&gt;=0,CT61*$G61,-CT61*$H61)</f>
        <v>0</v>
      </c>
      <c r="CW61" s="966"/>
      <c r="CX61" s="966">
        <f>IF(CR61&gt;=0,CT61*$J61,-CT61*$K61)</f>
        <v>0</v>
      </c>
      <c r="CY61" s="966"/>
      <c r="CZ61" s="246">
        <f t="shared" si="155"/>
        <v>0</v>
      </c>
      <c r="DB61" s="1454">
        <v>0</v>
      </c>
      <c r="DC61" s="1458"/>
      <c r="DD61" s="967">
        <f>DB61/$E61</f>
        <v>0</v>
      </c>
      <c r="DE61" s="1274"/>
      <c r="DF61" s="966">
        <f>IF(DB61&gt;=0,DD61*$G61,-DD61*$H61)</f>
        <v>0</v>
      </c>
      <c r="DG61" s="966"/>
      <c r="DH61" s="966">
        <f>IF(DB61&gt;=0,DD61*$J61,-DD61*$K61)</f>
        <v>0</v>
      </c>
      <c r="DI61" s="966"/>
      <c r="DJ61" s="246">
        <f t="shared" si="156"/>
        <v>0</v>
      </c>
      <c r="DL61" s="1454">
        <v>-0.49752374293538426</v>
      </c>
      <c r="DM61" s="1458"/>
      <c r="DN61" s="967">
        <f>DL61/$E61</f>
        <v>-2.4876187146769211</v>
      </c>
      <c r="DO61" s="1274"/>
      <c r="DP61" s="966">
        <f>IF(DL61&gt;=0,DN61*$G61,-DN61*$H61)</f>
        <v>0</v>
      </c>
      <c r="DQ61" s="966"/>
      <c r="DR61" s="966">
        <f>IF(DL61&gt;=0,DN61*$J61,-DN61*$K61)</f>
        <v>0</v>
      </c>
      <c r="DS61" s="966"/>
      <c r="DT61" s="246">
        <f t="shared" si="157"/>
        <v>0</v>
      </c>
      <c r="DU61" s="1463"/>
      <c r="DV61" s="1454">
        <v>-0.3</v>
      </c>
      <c r="DW61" s="1458"/>
      <c r="DX61" s="967">
        <f t="shared" si="141"/>
        <v>-1.4999999999999998</v>
      </c>
      <c r="DY61" s="1274"/>
      <c r="DZ61" s="966">
        <f t="shared" si="142"/>
        <v>0</v>
      </c>
      <c r="EA61" s="966"/>
      <c r="EB61" s="966">
        <f t="shared" si="143"/>
        <v>0</v>
      </c>
      <c r="EC61" s="966"/>
      <c r="ED61" s="246">
        <f t="shared" si="158"/>
        <v>0</v>
      </c>
      <c r="EE61" s="1463"/>
      <c r="EF61" s="1454">
        <v>-0.3</v>
      </c>
      <c r="EG61" s="1458"/>
      <c r="EH61" s="967">
        <f t="shared" si="144"/>
        <v>-1.4999999999999998</v>
      </c>
      <c r="EI61" s="1274"/>
      <c r="EJ61" s="966">
        <f t="shared" si="145"/>
        <v>0</v>
      </c>
      <c r="EK61" s="966"/>
      <c r="EL61" s="966">
        <f t="shared" si="146"/>
        <v>0</v>
      </c>
      <c r="EM61" s="966"/>
      <c r="EN61" s="246">
        <f t="shared" si="159"/>
        <v>0</v>
      </c>
    </row>
    <row r="62" spans="1:144" ht="12.75" customHeight="1" x14ac:dyDescent="0.2">
      <c r="A62" s="259" t="s">
        <v>307</v>
      </c>
      <c r="B62" s="1"/>
      <c r="C62" s="1457" t="s">
        <v>1837</v>
      </c>
      <c r="D62" s="408"/>
      <c r="E62" s="2170" t="str">
        <f>'Sensitivitaeten Delta_Market'!D52</f>
        <v>+100% / -0%</v>
      </c>
      <c r="F62" s="2171"/>
      <c r="G62" s="970">
        <f>'Sensitivitaeten Delta_Market'!L52</f>
        <v>0</v>
      </c>
      <c r="H62" s="970">
        <f>'Sensitivitaeten Delta_Market'!M52</f>
        <v>0</v>
      </c>
      <c r="I62" s="970"/>
      <c r="J62" s="970">
        <f>'Sensitivitaeten Delta_Market'!U52</f>
        <v>0</v>
      </c>
      <c r="K62" s="970">
        <f>'Sensitivitaeten Delta_Market'!V52</f>
        <v>0</v>
      </c>
      <c r="L62" s="970"/>
      <c r="M62" s="410">
        <f t="shared" si="107"/>
        <v>0</v>
      </c>
      <c r="N62" s="411">
        <f t="shared" si="107"/>
        <v>0</v>
      </c>
      <c r="O62" s="1461"/>
      <c r="P62" s="1870">
        <v>0</v>
      </c>
      <c r="Q62" s="1871"/>
      <c r="R62" s="1449">
        <f>P62/1</f>
        <v>0</v>
      </c>
      <c r="S62" s="1451"/>
      <c r="T62" s="970">
        <f t="shared" si="109"/>
        <v>0</v>
      </c>
      <c r="U62" s="970"/>
      <c r="V62" s="970">
        <f t="shared" si="110"/>
        <v>0</v>
      </c>
      <c r="W62" s="970"/>
      <c r="X62" s="669">
        <f t="shared" si="147"/>
        <v>0</v>
      </c>
      <c r="Y62" s="171"/>
      <c r="Z62" s="1870">
        <v>0</v>
      </c>
      <c r="AA62" s="1871"/>
      <c r="AB62" s="1449">
        <f>Z62/1</f>
        <v>0</v>
      </c>
      <c r="AC62" s="1451"/>
      <c r="AD62" s="970">
        <f t="shared" si="112"/>
        <v>0</v>
      </c>
      <c r="AE62" s="970"/>
      <c r="AF62" s="970">
        <f t="shared" si="113"/>
        <v>0</v>
      </c>
      <c r="AG62" s="970"/>
      <c r="AH62" s="669">
        <f t="shared" si="148"/>
        <v>0</v>
      </c>
      <c r="AJ62" s="1870">
        <v>1.4</v>
      </c>
      <c r="AK62" s="1871"/>
      <c r="AL62" s="1449">
        <f>AJ62/1</f>
        <v>1.4</v>
      </c>
      <c r="AM62" s="1451"/>
      <c r="AN62" s="970">
        <f t="shared" si="115"/>
        <v>0</v>
      </c>
      <c r="AO62" s="970"/>
      <c r="AP62" s="970">
        <f t="shared" si="116"/>
        <v>0</v>
      </c>
      <c r="AQ62" s="970"/>
      <c r="AR62" s="669">
        <f t="shared" si="149"/>
        <v>0</v>
      </c>
      <c r="AT62" s="1870">
        <v>0.5963805867836578</v>
      </c>
      <c r="AU62" s="1871"/>
      <c r="AV62" s="1449">
        <f>AT62/1</f>
        <v>0.5963805867836578</v>
      </c>
      <c r="AW62" s="1451"/>
      <c r="AX62" s="970">
        <f t="shared" si="118"/>
        <v>0</v>
      </c>
      <c r="AY62" s="970"/>
      <c r="AZ62" s="970">
        <f t="shared" si="119"/>
        <v>0</v>
      </c>
      <c r="BA62" s="970"/>
      <c r="BB62" s="669">
        <f t="shared" si="150"/>
        <v>0</v>
      </c>
      <c r="BD62" s="1870">
        <v>0.40675547098001896</v>
      </c>
      <c r="BE62" s="1871"/>
      <c r="BF62" s="2182">
        <f>BD62/1</f>
        <v>0.40675547098001896</v>
      </c>
      <c r="BG62" s="1451"/>
      <c r="BH62" s="970">
        <f t="shared" si="121"/>
        <v>0</v>
      </c>
      <c r="BI62" s="970"/>
      <c r="BJ62" s="970">
        <f t="shared" si="122"/>
        <v>0</v>
      </c>
      <c r="BK62" s="970"/>
      <c r="BL62" s="669">
        <f t="shared" si="151"/>
        <v>0</v>
      </c>
      <c r="BN62" s="1870">
        <v>0.55550900712191043</v>
      </c>
      <c r="BO62" s="1871"/>
      <c r="BP62" s="1449">
        <f>BN62/1</f>
        <v>0.55550900712191043</v>
      </c>
      <c r="BQ62" s="1451"/>
      <c r="BR62" s="970">
        <f t="shared" si="124"/>
        <v>0</v>
      </c>
      <c r="BS62" s="970"/>
      <c r="BT62" s="970">
        <f t="shared" si="125"/>
        <v>0</v>
      </c>
      <c r="BU62" s="970"/>
      <c r="BV62" s="669">
        <f t="shared" si="152"/>
        <v>0</v>
      </c>
      <c r="BX62" s="1870">
        <v>0.4524177522631927</v>
      </c>
      <c r="BY62" s="1871"/>
      <c r="BZ62" s="1449">
        <f>BX62/1</f>
        <v>0.4524177522631927</v>
      </c>
      <c r="CA62" s="1451"/>
      <c r="CB62" s="970">
        <f t="shared" si="127"/>
        <v>0</v>
      </c>
      <c r="CC62" s="970"/>
      <c r="CD62" s="970">
        <f t="shared" si="128"/>
        <v>0</v>
      </c>
      <c r="CE62" s="970"/>
      <c r="CF62" s="669">
        <f t="shared" si="153"/>
        <v>0</v>
      </c>
      <c r="CH62" s="1870">
        <v>0.57110196616369446</v>
      </c>
      <c r="CI62" s="1871"/>
      <c r="CJ62" s="1449">
        <f>CH62/1</f>
        <v>0.57110196616369446</v>
      </c>
      <c r="CK62" s="1451"/>
      <c r="CL62" s="970">
        <f t="shared" si="130"/>
        <v>0</v>
      </c>
      <c r="CM62" s="970"/>
      <c r="CN62" s="970">
        <f t="shared" si="131"/>
        <v>0</v>
      </c>
      <c r="CO62" s="970"/>
      <c r="CP62" s="669">
        <f t="shared" si="154"/>
        <v>0</v>
      </c>
      <c r="CR62" s="1870">
        <v>0</v>
      </c>
      <c r="CS62" s="1871"/>
      <c r="CT62" s="1449">
        <f>CR62/1</f>
        <v>0</v>
      </c>
      <c r="CU62" s="1451"/>
      <c r="CV62" s="970">
        <f t="shared" si="133"/>
        <v>0</v>
      </c>
      <c r="CW62" s="970"/>
      <c r="CX62" s="970">
        <f t="shared" si="134"/>
        <v>0</v>
      </c>
      <c r="CY62" s="970"/>
      <c r="CZ62" s="669">
        <f t="shared" si="155"/>
        <v>0</v>
      </c>
      <c r="DB62" s="1870">
        <v>0</v>
      </c>
      <c r="DC62" s="1871"/>
      <c r="DD62" s="1449">
        <f>DB62/1</f>
        <v>0</v>
      </c>
      <c r="DE62" s="1451"/>
      <c r="DF62" s="970">
        <f t="shared" si="136"/>
        <v>0</v>
      </c>
      <c r="DG62" s="970"/>
      <c r="DH62" s="970">
        <f t="shared" si="137"/>
        <v>0</v>
      </c>
      <c r="DI62" s="970"/>
      <c r="DJ62" s="669">
        <f t="shared" si="156"/>
        <v>0</v>
      </c>
      <c r="DL62" s="1870">
        <v>3.9607361963190182</v>
      </c>
      <c r="DM62" s="1871"/>
      <c r="DN62" s="1449">
        <f>DL62/1</f>
        <v>3.9607361963190182</v>
      </c>
      <c r="DO62" s="1451"/>
      <c r="DP62" s="970">
        <f t="shared" si="139"/>
        <v>0</v>
      </c>
      <c r="DQ62" s="970"/>
      <c r="DR62" s="970">
        <f t="shared" si="140"/>
        <v>0</v>
      </c>
      <c r="DS62" s="970"/>
      <c r="DT62" s="669">
        <f t="shared" si="157"/>
        <v>0</v>
      </c>
      <c r="DU62" s="1463"/>
      <c r="DV62" s="1870">
        <v>0.8</v>
      </c>
      <c r="DW62" s="1871"/>
      <c r="DX62" s="1449">
        <f>DV62/1</f>
        <v>0.8</v>
      </c>
      <c r="DY62" s="1451"/>
      <c r="DZ62" s="970">
        <f t="shared" si="142"/>
        <v>0</v>
      </c>
      <c r="EA62" s="970"/>
      <c r="EB62" s="970">
        <f t="shared" si="143"/>
        <v>0</v>
      </c>
      <c r="EC62" s="970"/>
      <c r="ED62" s="669">
        <f t="shared" si="158"/>
        <v>0</v>
      </c>
      <c r="EE62" s="1463"/>
      <c r="EF62" s="1870">
        <v>0</v>
      </c>
      <c r="EG62" s="1871"/>
      <c r="EH62" s="1449">
        <f>EF62/1</f>
        <v>0</v>
      </c>
      <c r="EI62" s="1451"/>
      <c r="EJ62" s="970">
        <f t="shared" si="145"/>
        <v>0</v>
      </c>
      <c r="EK62" s="970"/>
      <c r="EL62" s="970">
        <f t="shared" si="146"/>
        <v>0</v>
      </c>
      <c r="EM62" s="970"/>
      <c r="EN62" s="669">
        <f t="shared" si="159"/>
        <v>0</v>
      </c>
    </row>
    <row r="63" spans="1:144" ht="13.5" customHeight="1" x14ac:dyDescent="0.2">
      <c r="A63" s="259" t="s">
        <v>308</v>
      </c>
      <c r="B63" s="1"/>
      <c r="C63" s="1403" t="s">
        <v>1838</v>
      </c>
      <c r="D63" s="206"/>
      <c r="E63" s="1870">
        <f>'Sensitivitaeten Delta_Market'!D53</f>
        <v>0.2</v>
      </c>
      <c r="F63" s="409"/>
      <c r="G63" s="970">
        <f>'Sensitivitaeten Delta_Market'!L53</f>
        <v>0</v>
      </c>
      <c r="H63" s="970">
        <f>'Sensitivitaeten Delta_Market'!M53</f>
        <v>0</v>
      </c>
      <c r="I63" s="970"/>
      <c r="J63" s="970">
        <f>'Sensitivitaeten Delta_Market'!U53</f>
        <v>0</v>
      </c>
      <c r="K63" s="970">
        <f>'Sensitivitaeten Delta_Market'!V53</f>
        <v>0</v>
      </c>
      <c r="L63" s="970"/>
      <c r="M63" s="410">
        <f t="shared" si="107"/>
        <v>0</v>
      </c>
      <c r="N63" s="411">
        <f t="shared" si="107"/>
        <v>0</v>
      </c>
      <c r="O63" s="1461"/>
      <c r="P63" s="1870">
        <v>-0.3</v>
      </c>
      <c r="Q63" s="1871"/>
      <c r="R63" s="1449">
        <f t="shared" si="108"/>
        <v>-1.4999999999999998</v>
      </c>
      <c r="S63" s="1451"/>
      <c r="T63" s="970">
        <f t="shared" si="109"/>
        <v>0</v>
      </c>
      <c r="U63" s="970"/>
      <c r="V63" s="970">
        <f t="shared" si="110"/>
        <v>0</v>
      </c>
      <c r="W63" s="970"/>
      <c r="X63" s="669">
        <f t="shared" si="147"/>
        <v>0</v>
      </c>
      <c r="Y63" s="171"/>
      <c r="Z63" s="1870">
        <v>0</v>
      </c>
      <c r="AA63" s="1871"/>
      <c r="AB63" s="1449">
        <f t="shared" si="111"/>
        <v>0</v>
      </c>
      <c r="AC63" s="1451"/>
      <c r="AD63" s="970">
        <f t="shared" si="112"/>
        <v>0</v>
      </c>
      <c r="AE63" s="970"/>
      <c r="AF63" s="970">
        <f t="shared" si="113"/>
        <v>0</v>
      </c>
      <c r="AG63" s="970"/>
      <c r="AH63" s="669">
        <f t="shared" si="148"/>
        <v>0</v>
      </c>
      <c r="AJ63" s="1870">
        <v>-0.05</v>
      </c>
      <c r="AK63" s="1871"/>
      <c r="AL63" s="1449">
        <f t="shared" si="114"/>
        <v>-0.25</v>
      </c>
      <c r="AM63" s="1451"/>
      <c r="AN63" s="970">
        <f t="shared" si="115"/>
        <v>0</v>
      </c>
      <c r="AO63" s="970"/>
      <c r="AP63" s="970">
        <f t="shared" si="116"/>
        <v>0</v>
      </c>
      <c r="AQ63" s="970"/>
      <c r="AR63" s="669">
        <f t="shared" si="149"/>
        <v>0</v>
      </c>
      <c r="AT63" s="1870">
        <v>-8.2656501004181315E-3</v>
      </c>
      <c r="AU63" s="1871"/>
      <c r="AV63" s="1449">
        <f t="shared" si="117"/>
        <v>-4.1328250502090658E-2</v>
      </c>
      <c r="AW63" s="1451"/>
      <c r="AX63" s="970">
        <f t="shared" si="118"/>
        <v>0</v>
      </c>
      <c r="AY63" s="970"/>
      <c r="AZ63" s="970">
        <f t="shared" si="119"/>
        <v>0</v>
      </c>
      <c r="BA63" s="970"/>
      <c r="BB63" s="669">
        <f t="shared" si="150"/>
        <v>0</v>
      </c>
      <c r="BD63" s="1870">
        <v>5.0000000000000001E-3</v>
      </c>
      <c r="BE63" s="1871"/>
      <c r="BF63" s="2182">
        <f t="shared" si="120"/>
        <v>2.4999999999999998E-2</v>
      </c>
      <c r="BG63" s="1451"/>
      <c r="BH63" s="970">
        <f t="shared" si="121"/>
        <v>0</v>
      </c>
      <c r="BI63" s="970"/>
      <c r="BJ63" s="970">
        <f t="shared" si="122"/>
        <v>0</v>
      </c>
      <c r="BK63" s="970"/>
      <c r="BL63" s="669">
        <f t="shared" si="151"/>
        <v>0</v>
      </c>
      <c r="BN63" s="1870">
        <v>-3.6420227446261388E-2</v>
      </c>
      <c r="BO63" s="1871"/>
      <c r="BP63" s="1449">
        <f t="shared" si="123"/>
        <v>-0.18210113723130694</v>
      </c>
      <c r="BQ63" s="1451"/>
      <c r="BR63" s="970">
        <f t="shared" si="124"/>
        <v>0</v>
      </c>
      <c r="BS63" s="970"/>
      <c r="BT63" s="970">
        <f t="shared" si="125"/>
        <v>0</v>
      </c>
      <c r="BU63" s="970"/>
      <c r="BV63" s="669">
        <f t="shared" si="152"/>
        <v>0</v>
      </c>
      <c r="BX63" s="1870">
        <v>-0.11290216145590759</v>
      </c>
      <c r="BY63" s="1871"/>
      <c r="BZ63" s="1449">
        <f t="shared" si="126"/>
        <v>-0.56451080727953795</v>
      </c>
      <c r="CA63" s="1451"/>
      <c r="CB63" s="970">
        <f t="shared" si="127"/>
        <v>0</v>
      </c>
      <c r="CC63" s="970"/>
      <c r="CD63" s="970">
        <f t="shared" si="128"/>
        <v>0</v>
      </c>
      <c r="CE63" s="970"/>
      <c r="CF63" s="669">
        <f t="shared" si="153"/>
        <v>0</v>
      </c>
      <c r="CH63" s="1870">
        <v>-1.8722514914909394E-2</v>
      </c>
      <c r="CI63" s="1871"/>
      <c r="CJ63" s="1449">
        <f t="shared" si="129"/>
        <v>-9.361257457454697E-2</v>
      </c>
      <c r="CK63" s="1451"/>
      <c r="CL63" s="970">
        <f t="shared" si="130"/>
        <v>0</v>
      </c>
      <c r="CM63" s="970"/>
      <c r="CN63" s="970">
        <f t="shared" si="131"/>
        <v>0</v>
      </c>
      <c r="CO63" s="970"/>
      <c r="CP63" s="669">
        <f t="shared" si="154"/>
        <v>0</v>
      </c>
      <c r="CR63" s="1870">
        <v>0</v>
      </c>
      <c r="CS63" s="1871"/>
      <c r="CT63" s="1449">
        <f t="shared" si="132"/>
        <v>0</v>
      </c>
      <c r="CU63" s="1451"/>
      <c r="CV63" s="970">
        <f t="shared" si="133"/>
        <v>0</v>
      </c>
      <c r="CW63" s="970"/>
      <c r="CX63" s="970">
        <f t="shared" si="134"/>
        <v>0</v>
      </c>
      <c r="CY63" s="970"/>
      <c r="CZ63" s="669">
        <f t="shared" si="155"/>
        <v>0</v>
      </c>
      <c r="DB63" s="1870">
        <v>0</v>
      </c>
      <c r="DC63" s="1871"/>
      <c r="DD63" s="1449">
        <f t="shared" si="135"/>
        <v>0</v>
      </c>
      <c r="DE63" s="1451"/>
      <c r="DF63" s="970">
        <f t="shared" si="136"/>
        <v>0</v>
      </c>
      <c r="DG63" s="970"/>
      <c r="DH63" s="970">
        <f t="shared" si="137"/>
        <v>0</v>
      </c>
      <c r="DI63" s="970"/>
      <c r="DJ63" s="669">
        <f t="shared" si="156"/>
        <v>0</v>
      </c>
      <c r="DL63" s="1870">
        <v>-0.21369501397061355</v>
      </c>
      <c r="DM63" s="1871"/>
      <c r="DN63" s="1449">
        <f t="shared" si="138"/>
        <v>-1.0684750698530676</v>
      </c>
      <c r="DO63" s="1451"/>
      <c r="DP63" s="970">
        <f t="shared" si="139"/>
        <v>0</v>
      </c>
      <c r="DQ63" s="970"/>
      <c r="DR63" s="970">
        <f t="shared" si="140"/>
        <v>0</v>
      </c>
      <c r="DS63" s="970"/>
      <c r="DT63" s="669">
        <f t="shared" si="157"/>
        <v>0</v>
      </c>
      <c r="DU63" s="1463"/>
      <c r="DV63" s="1870">
        <v>-0.2</v>
      </c>
      <c r="DW63" s="1871"/>
      <c r="DX63" s="1449">
        <f t="shared" si="141"/>
        <v>-1</v>
      </c>
      <c r="DY63" s="1451"/>
      <c r="DZ63" s="970">
        <f t="shared" si="142"/>
        <v>0</v>
      </c>
      <c r="EA63" s="970"/>
      <c r="EB63" s="970">
        <f t="shared" si="143"/>
        <v>0</v>
      </c>
      <c r="EC63" s="970"/>
      <c r="ED63" s="669">
        <f t="shared" si="158"/>
        <v>0</v>
      </c>
      <c r="EF63" s="1870">
        <v>-0.25</v>
      </c>
      <c r="EG63" s="1871"/>
      <c r="EH63" s="1449">
        <f t="shared" si="144"/>
        <v>-1.25</v>
      </c>
      <c r="EI63" s="1451"/>
      <c r="EJ63" s="970">
        <f t="shared" si="145"/>
        <v>0</v>
      </c>
      <c r="EK63" s="970"/>
      <c r="EL63" s="970">
        <f t="shared" si="146"/>
        <v>0</v>
      </c>
      <c r="EM63" s="970"/>
      <c r="EN63" s="669">
        <f t="shared" si="159"/>
        <v>0</v>
      </c>
    </row>
    <row r="64" spans="1:144" ht="15" customHeight="1" x14ac:dyDescent="0.2">
      <c r="A64" s="259" t="s">
        <v>309</v>
      </c>
      <c r="B64" s="1"/>
      <c r="C64" s="1457" t="s">
        <v>135</v>
      </c>
      <c r="D64" s="408"/>
      <c r="E64" s="1870">
        <f>'Sensitivitaeten Delta_Market'!D54</f>
        <v>0.3</v>
      </c>
      <c r="F64" s="409"/>
      <c r="G64" s="970">
        <f>'Sensitivitaeten Delta_Market'!L54</f>
        <v>0</v>
      </c>
      <c r="H64" s="970">
        <f>'Sensitivitaeten Delta_Market'!M54</f>
        <v>0</v>
      </c>
      <c r="I64" s="970"/>
      <c r="J64" s="970">
        <f>'Sensitivitaeten Delta_Market'!U54</f>
        <v>0</v>
      </c>
      <c r="K64" s="970">
        <f>'Sensitivitaeten Delta_Market'!V54</f>
        <v>0</v>
      </c>
      <c r="L64" s="970"/>
      <c r="M64" s="410">
        <f t="shared" si="107"/>
        <v>0</v>
      </c>
      <c r="N64" s="411">
        <f t="shared" si="107"/>
        <v>0</v>
      </c>
      <c r="O64" s="1461"/>
      <c r="P64" s="1870">
        <v>-0.7</v>
      </c>
      <c r="Q64" s="1871"/>
      <c r="R64" s="1449">
        <f t="shared" si="108"/>
        <v>-2.3333333333333335</v>
      </c>
      <c r="S64" s="1451"/>
      <c r="T64" s="970">
        <f t="shared" si="109"/>
        <v>0</v>
      </c>
      <c r="U64" s="970"/>
      <c r="V64" s="970">
        <f t="shared" si="110"/>
        <v>0</v>
      </c>
      <c r="W64" s="970"/>
      <c r="X64" s="669">
        <f>T64-V64</f>
        <v>0</v>
      </c>
      <c r="Y64" s="171"/>
      <c r="Z64" s="1870">
        <v>0</v>
      </c>
      <c r="AA64" s="1871"/>
      <c r="AB64" s="1449">
        <f t="shared" si="111"/>
        <v>0</v>
      </c>
      <c r="AC64" s="1451"/>
      <c r="AD64" s="970">
        <f t="shared" si="112"/>
        <v>0</v>
      </c>
      <c r="AE64" s="970"/>
      <c r="AF64" s="970">
        <f t="shared" si="113"/>
        <v>0</v>
      </c>
      <c r="AG64" s="970"/>
      <c r="AH64" s="669">
        <f>AD64-AF64</f>
        <v>0</v>
      </c>
      <c r="AJ64" s="1870">
        <v>-0.25088886444707298</v>
      </c>
      <c r="AK64" s="1871"/>
      <c r="AL64" s="1449">
        <f t="shared" si="114"/>
        <v>-0.83629621482357663</v>
      </c>
      <c r="AM64" s="1451"/>
      <c r="AN64" s="970">
        <f t="shared" si="115"/>
        <v>0</v>
      </c>
      <c r="AO64" s="970"/>
      <c r="AP64" s="970">
        <f t="shared" si="116"/>
        <v>0</v>
      </c>
      <c r="AQ64" s="970"/>
      <c r="AR64" s="669">
        <f>AN64-AP64</f>
        <v>0</v>
      </c>
      <c r="AT64" s="1870">
        <v>-0.28728461661859017</v>
      </c>
      <c r="AU64" s="1871"/>
      <c r="AV64" s="1449">
        <f t="shared" si="117"/>
        <v>-0.95761538872863394</v>
      </c>
      <c r="AW64" s="1451"/>
      <c r="AX64" s="970">
        <f t="shared" si="118"/>
        <v>0</v>
      </c>
      <c r="AY64" s="970"/>
      <c r="AZ64" s="970">
        <f t="shared" si="119"/>
        <v>0</v>
      </c>
      <c r="BA64" s="970"/>
      <c r="BB64" s="669">
        <f>AX64-AZ64</f>
        <v>0</v>
      </c>
      <c r="BD64" s="1870">
        <v>-4.4449830022013977E-2</v>
      </c>
      <c r="BE64" s="1871"/>
      <c r="BF64" s="1449">
        <f t="shared" si="120"/>
        <v>-0.14816610007337994</v>
      </c>
      <c r="BG64" s="1451"/>
      <c r="BH64" s="970">
        <f t="shared" si="121"/>
        <v>0</v>
      </c>
      <c r="BI64" s="970"/>
      <c r="BJ64" s="970">
        <f t="shared" si="122"/>
        <v>0</v>
      </c>
      <c r="BK64" s="970"/>
      <c r="BL64" s="669">
        <f>BH64-BJ64</f>
        <v>0</v>
      </c>
      <c r="BN64" s="1870">
        <v>-0.11493747461452021</v>
      </c>
      <c r="BO64" s="1871"/>
      <c r="BP64" s="1449">
        <f t="shared" si="123"/>
        <v>-0.38312491538173404</v>
      </c>
      <c r="BQ64" s="1451"/>
      <c r="BR64" s="970">
        <f t="shared" si="124"/>
        <v>0</v>
      </c>
      <c r="BS64" s="970"/>
      <c r="BT64" s="970">
        <f t="shared" si="125"/>
        <v>0</v>
      </c>
      <c r="BU64" s="970"/>
      <c r="BV64" s="669">
        <f>BR64-BT64</f>
        <v>0</v>
      </c>
      <c r="BX64" s="1870">
        <v>-0.18586792008831177</v>
      </c>
      <c r="BY64" s="1871"/>
      <c r="BZ64" s="1449">
        <f t="shared" si="126"/>
        <v>-0.61955973362770589</v>
      </c>
      <c r="CA64" s="1451"/>
      <c r="CB64" s="970">
        <f t="shared" si="127"/>
        <v>0</v>
      </c>
      <c r="CC64" s="970"/>
      <c r="CD64" s="970">
        <f t="shared" si="128"/>
        <v>0</v>
      </c>
      <c r="CE64" s="970"/>
      <c r="CF64" s="669">
        <f>CB64-CD64</f>
        <v>0</v>
      </c>
      <c r="CH64" s="1870">
        <v>-0.34110581098967863</v>
      </c>
      <c r="CI64" s="1871"/>
      <c r="CJ64" s="1449">
        <f t="shared" si="129"/>
        <v>-1.1370193699655955</v>
      </c>
      <c r="CK64" s="1451"/>
      <c r="CL64" s="970">
        <f t="shared" si="130"/>
        <v>0</v>
      </c>
      <c r="CM64" s="970"/>
      <c r="CN64" s="970">
        <f t="shared" si="131"/>
        <v>0</v>
      </c>
      <c r="CO64" s="970"/>
      <c r="CP64" s="669">
        <f>CL64-CN64</f>
        <v>0</v>
      </c>
      <c r="CR64" s="1870">
        <v>0</v>
      </c>
      <c r="CS64" s="1871"/>
      <c r="CT64" s="1449">
        <f t="shared" si="132"/>
        <v>0</v>
      </c>
      <c r="CU64" s="1451"/>
      <c r="CV64" s="970">
        <f t="shared" si="133"/>
        <v>0</v>
      </c>
      <c r="CW64" s="970"/>
      <c r="CX64" s="970">
        <f t="shared" si="134"/>
        <v>0</v>
      </c>
      <c r="CY64" s="970"/>
      <c r="CZ64" s="669">
        <f>CV64-CX64</f>
        <v>0</v>
      </c>
      <c r="DB64" s="1870">
        <v>0</v>
      </c>
      <c r="DC64" s="1871"/>
      <c r="DD64" s="1449">
        <f t="shared" si="135"/>
        <v>0</v>
      </c>
      <c r="DE64" s="1451"/>
      <c r="DF64" s="970">
        <f t="shared" si="136"/>
        <v>0</v>
      </c>
      <c r="DG64" s="970"/>
      <c r="DH64" s="970">
        <f t="shared" si="137"/>
        <v>0</v>
      </c>
      <c r="DI64" s="970"/>
      <c r="DJ64" s="669">
        <f>DF64-DH64</f>
        <v>0</v>
      </c>
      <c r="DL64" s="1870">
        <v>-0.65635029074385942</v>
      </c>
      <c r="DM64" s="1871"/>
      <c r="DN64" s="1449">
        <f t="shared" si="138"/>
        <v>-2.1878343024795317</v>
      </c>
      <c r="DO64" s="1451"/>
      <c r="DP64" s="970">
        <f t="shared" si="139"/>
        <v>0</v>
      </c>
      <c r="DQ64" s="970"/>
      <c r="DR64" s="970">
        <f t="shared" si="140"/>
        <v>0</v>
      </c>
      <c r="DS64" s="970"/>
      <c r="DT64" s="669">
        <f>DP64-DR64</f>
        <v>0</v>
      </c>
      <c r="DV64" s="1870">
        <v>-0.4</v>
      </c>
      <c r="DW64" s="1871"/>
      <c r="DX64" s="1449">
        <f t="shared" si="141"/>
        <v>-1.3333333333333335</v>
      </c>
      <c r="DY64" s="1451"/>
      <c r="DZ64" s="970">
        <f t="shared" si="142"/>
        <v>0</v>
      </c>
      <c r="EA64" s="970"/>
      <c r="EB64" s="970">
        <f t="shared" si="143"/>
        <v>0</v>
      </c>
      <c r="EC64" s="970"/>
      <c r="ED64" s="669">
        <f>DZ64-EB64</f>
        <v>0</v>
      </c>
      <c r="EF64" s="1870">
        <v>-0.25</v>
      </c>
      <c r="EG64" s="1871"/>
      <c r="EH64" s="1449">
        <f t="shared" si="144"/>
        <v>-0.83333333333333337</v>
      </c>
      <c r="EI64" s="1451"/>
      <c r="EJ64" s="970">
        <f t="shared" si="145"/>
        <v>0</v>
      </c>
      <c r="EK64" s="970"/>
      <c r="EL64" s="970">
        <f t="shared" si="146"/>
        <v>0</v>
      </c>
      <c r="EM64" s="970"/>
      <c r="EN64" s="669">
        <f>EJ64-EL64</f>
        <v>0</v>
      </c>
    </row>
    <row r="65" spans="1:144" x14ac:dyDescent="0.2">
      <c r="A65" s="259" t="s">
        <v>310</v>
      </c>
      <c r="B65" s="1"/>
      <c r="C65" s="1403" t="s">
        <v>1840</v>
      </c>
      <c r="D65" s="206"/>
      <c r="E65" s="1872">
        <f>'Sensitivitaeten Delta_Market'!D55</f>
        <v>0.1</v>
      </c>
      <c r="F65" s="1865"/>
      <c r="G65" s="964">
        <f>'Sensitivitaeten Delta_Market'!L55</f>
        <v>0</v>
      </c>
      <c r="H65" s="964">
        <f>'Sensitivitaeten Delta_Market'!M55</f>
        <v>0</v>
      </c>
      <c r="I65" s="964"/>
      <c r="J65" s="964">
        <f>'Sensitivitaeten Delta_Market'!U55</f>
        <v>0</v>
      </c>
      <c r="K65" s="964">
        <f>'Sensitivitaeten Delta_Market'!V55</f>
        <v>0</v>
      </c>
      <c r="L65" s="964"/>
      <c r="M65" s="1866">
        <f t="shared" si="107"/>
        <v>0</v>
      </c>
      <c r="N65" s="1867">
        <f t="shared" si="107"/>
        <v>0</v>
      </c>
      <c r="O65" s="1461"/>
      <c r="P65" s="1872">
        <v>0</v>
      </c>
      <c r="Q65" s="1873"/>
      <c r="R65" s="965">
        <f t="shared" si="108"/>
        <v>0</v>
      </c>
      <c r="S65" s="1874"/>
      <c r="T65" s="964">
        <f t="shared" si="109"/>
        <v>0</v>
      </c>
      <c r="U65" s="964"/>
      <c r="V65" s="964">
        <f t="shared" si="110"/>
        <v>0</v>
      </c>
      <c r="W65" s="964"/>
      <c r="X65" s="243">
        <f>T65-V65</f>
        <v>0</v>
      </c>
      <c r="Y65" s="1462"/>
      <c r="Z65" s="1872">
        <v>-0.5</v>
      </c>
      <c r="AA65" s="1873"/>
      <c r="AB65" s="965">
        <f t="shared" si="111"/>
        <v>-5</v>
      </c>
      <c r="AC65" s="1874"/>
      <c r="AD65" s="964">
        <f t="shared" si="112"/>
        <v>0</v>
      </c>
      <c r="AE65" s="964"/>
      <c r="AF65" s="964">
        <f t="shared" si="113"/>
        <v>0</v>
      </c>
      <c r="AG65" s="964"/>
      <c r="AH65" s="243">
        <f>AD65-AF65</f>
        <v>0</v>
      </c>
      <c r="AI65" s="1463"/>
      <c r="AJ65" s="1872">
        <v>-3.1459569014336441E-2</v>
      </c>
      <c r="AK65" s="1873"/>
      <c r="AL65" s="965">
        <f t="shared" si="114"/>
        <v>-0.31459569014336441</v>
      </c>
      <c r="AM65" s="1874"/>
      <c r="AN65" s="964">
        <f t="shared" si="115"/>
        <v>0</v>
      </c>
      <c r="AO65" s="964"/>
      <c r="AP65" s="964">
        <f t="shared" si="116"/>
        <v>0</v>
      </c>
      <c r="AQ65" s="964"/>
      <c r="AR65" s="243">
        <f>AN65-AP65</f>
        <v>0</v>
      </c>
      <c r="AS65" s="1463"/>
      <c r="AT65" s="1872">
        <v>-2.190705957563388E-2</v>
      </c>
      <c r="AU65" s="1873"/>
      <c r="AV65" s="965">
        <f t="shared" si="117"/>
        <v>-0.2190705957563388</v>
      </c>
      <c r="AW65" s="1874"/>
      <c r="AX65" s="964">
        <f t="shared" si="118"/>
        <v>0</v>
      </c>
      <c r="AY65" s="964"/>
      <c r="AZ65" s="964">
        <f t="shared" si="119"/>
        <v>0</v>
      </c>
      <c r="BA65" s="964"/>
      <c r="BB65" s="243">
        <f>AX65-AZ65</f>
        <v>0</v>
      </c>
      <c r="BC65" s="1463"/>
      <c r="BD65" s="1454">
        <v>-1.1222946666398559E-2</v>
      </c>
      <c r="BE65" s="1873"/>
      <c r="BF65" s="965">
        <f t="shared" si="120"/>
        <v>-0.11222946666398559</v>
      </c>
      <c r="BG65" s="1874"/>
      <c r="BH65" s="964">
        <f t="shared" si="121"/>
        <v>0</v>
      </c>
      <c r="BI65" s="964"/>
      <c r="BJ65" s="964">
        <f t="shared" si="122"/>
        <v>0</v>
      </c>
      <c r="BK65" s="964"/>
      <c r="BL65" s="243">
        <f>BH65-BJ65</f>
        <v>0</v>
      </c>
      <c r="BM65" s="1463"/>
      <c r="BN65" s="1872">
        <v>-0.21495218324825272</v>
      </c>
      <c r="BO65" s="1873"/>
      <c r="BP65" s="965">
        <f t="shared" si="123"/>
        <v>-2.1495218324825269</v>
      </c>
      <c r="BQ65" s="1874"/>
      <c r="BR65" s="964">
        <f t="shared" si="124"/>
        <v>0</v>
      </c>
      <c r="BS65" s="964"/>
      <c r="BT65" s="964">
        <f t="shared" si="125"/>
        <v>0</v>
      </c>
      <c r="BU65" s="964"/>
      <c r="BV65" s="243">
        <f>BR65-BT65</f>
        <v>0</v>
      </c>
      <c r="BW65" s="1463"/>
      <c r="BX65" s="1872">
        <v>-3.8542714879376327E-2</v>
      </c>
      <c r="BY65" s="1873"/>
      <c r="BZ65" s="965">
        <f t="shared" si="126"/>
        <v>-0.38542714879376327</v>
      </c>
      <c r="CA65" s="1874"/>
      <c r="CB65" s="964">
        <f t="shared" si="127"/>
        <v>0</v>
      </c>
      <c r="CC65" s="964"/>
      <c r="CD65" s="964">
        <f t="shared" si="128"/>
        <v>0</v>
      </c>
      <c r="CE65" s="964"/>
      <c r="CF65" s="243">
        <f>CB65-CD65</f>
        <v>0</v>
      </c>
      <c r="CG65" s="1463"/>
      <c r="CH65" s="1872">
        <v>-7.7731977189072543E-2</v>
      </c>
      <c r="CI65" s="1873"/>
      <c r="CJ65" s="965">
        <f t="shared" si="129"/>
        <v>-0.77731977189072543</v>
      </c>
      <c r="CK65" s="1874"/>
      <c r="CL65" s="964">
        <f t="shared" si="130"/>
        <v>0</v>
      </c>
      <c r="CM65" s="964"/>
      <c r="CN65" s="964">
        <f t="shared" si="131"/>
        <v>0</v>
      </c>
      <c r="CO65" s="964"/>
      <c r="CP65" s="243">
        <f>CL65-CN65</f>
        <v>0</v>
      </c>
      <c r="CQ65" s="1463"/>
      <c r="CR65" s="1872">
        <v>0</v>
      </c>
      <c r="CS65" s="1873"/>
      <c r="CT65" s="965">
        <f t="shared" si="132"/>
        <v>0</v>
      </c>
      <c r="CU65" s="1874"/>
      <c r="CV65" s="964">
        <f t="shared" si="133"/>
        <v>0</v>
      </c>
      <c r="CW65" s="964"/>
      <c r="CX65" s="964">
        <f t="shared" si="134"/>
        <v>0</v>
      </c>
      <c r="CY65" s="964"/>
      <c r="CZ65" s="243">
        <f>CV65-CX65</f>
        <v>0</v>
      </c>
      <c r="DA65" s="1463"/>
      <c r="DB65" s="1872">
        <v>0</v>
      </c>
      <c r="DC65" s="1873"/>
      <c r="DD65" s="965">
        <f t="shared" si="135"/>
        <v>0</v>
      </c>
      <c r="DE65" s="1874"/>
      <c r="DF65" s="964">
        <f t="shared" si="136"/>
        <v>0</v>
      </c>
      <c r="DG65" s="964"/>
      <c r="DH65" s="964">
        <f t="shared" si="137"/>
        <v>0</v>
      </c>
      <c r="DI65" s="964"/>
      <c r="DJ65" s="243">
        <f>DF65-DH65</f>
        <v>0</v>
      </c>
      <c r="DK65" s="1463"/>
      <c r="DL65" s="1872">
        <v>-0.10811787883992401</v>
      </c>
      <c r="DM65" s="1873"/>
      <c r="DN65" s="965">
        <f t="shared" si="138"/>
        <v>-1.0811787883992401</v>
      </c>
      <c r="DO65" s="1874"/>
      <c r="DP65" s="964">
        <f t="shared" si="139"/>
        <v>0</v>
      </c>
      <c r="DQ65" s="964"/>
      <c r="DR65" s="964">
        <f t="shared" si="140"/>
        <v>0</v>
      </c>
      <c r="DS65" s="964"/>
      <c r="DT65" s="243">
        <f>DP65-DR65</f>
        <v>0</v>
      </c>
      <c r="DV65" s="1872">
        <v>-0.3</v>
      </c>
      <c r="DW65" s="1873"/>
      <c r="DX65" s="965">
        <f t="shared" si="141"/>
        <v>-2.9999999999999996</v>
      </c>
      <c r="DY65" s="1874"/>
      <c r="DZ65" s="964">
        <f t="shared" si="142"/>
        <v>0</v>
      </c>
      <c r="EA65" s="964"/>
      <c r="EB65" s="964">
        <f t="shared" si="143"/>
        <v>0</v>
      </c>
      <c r="EC65" s="964"/>
      <c r="ED65" s="243">
        <f>DZ65-EB65</f>
        <v>0</v>
      </c>
      <c r="EF65" s="1872">
        <v>-0.3</v>
      </c>
      <c r="EG65" s="1873"/>
      <c r="EH65" s="965">
        <f t="shared" si="144"/>
        <v>-2.9999999999999996</v>
      </c>
      <c r="EI65" s="1874"/>
      <c r="EJ65" s="964">
        <f t="shared" si="145"/>
        <v>0</v>
      </c>
      <c r="EK65" s="964"/>
      <c r="EL65" s="964">
        <f t="shared" si="146"/>
        <v>0</v>
      </c>
      <c r="EM65" s="964"/>
      <c r="EN65" s="243">
        <f>EJ65-EL65</f>
        <v>0</v>
      </c>
    </row>
    <row r="66" spans="1:144" ht="12.75" customHeight="1" x14ac:dyDescent="0.2">
      <c r="A66" s="259" t="s">
        <v>311</v>
      </c>
      <c r="B66" s="1"/>
      <c r="C66" s="1403" t="s">
        <v>1839</v>
      </c>
      <c r="D66" s="206"/>
      <c r="E66" s="1454">
        <f>'Sensitivitaeten Delta_Market'!D56</f>
        <v>0.1</v>
      </c>
      <c r="F66" s="244"/>
      <c r="G66" s="966">
        <f>'Sensitivitaeten Delta_Market'!L56</f>
        <v>0</v>
      </c>
      <c r="H66" s="966">
        <f>'Sensitivitaeten Delta_Market'!M56</f>
        <v>0</v>
      </c>
      <c r="I66" s="966"/>
      <c r="J66" s="966">
        <f>'Sensitivitaeten Delta_Market'!U56</f>
        <v>0</v>
      </c>
      <c r="K66" s="966">
        <f>'Sensitivitaeten Delta_Market'!V56</f>
        <v>0</v>
      </c>
      <c r="L66" s="966"/>
      <c r="M66" s="245">
        <f t="shared" ref="M66:N68" si="160">G66-J66</f>
        <v>0</v>
      </c>
      <c r="N66" s="256">
        <f t="shared" si="160"/>
        <v>0</v>
      </c>
      <c r="O66" s="1461"/>
      <c r="P66" s="1454">
        <v>0</v>
      </c>
      <c r="Q66" s="1458"/>
      <c r="R66" s="967">
        <f t="shared" si="108"/>
        <v>0</v>
      </c>
      <c r="S66" s="1274"/>
      <c r="T66" s="966">
        <f t="shared" si="109"/>
        <v>0</v>
      </c>
      <c r="U66" s="966"/>
      <c r="V66" s="966">
        <f t="shared" si="110"/>
        <v>0</v>
      </c>
      <c r="W66" s="966"/>
      <c r="X66" s="246">
        <f>T66-V66</f>
        <v>0</v>
      </c>
      <c r="Y66" s="171"/>
      <c r="Z66" s="1454">
        <v>-0.5</v>
      </c>
      <c r="AA66" s="1458"/>
      <c r="AB66" s="967">
        <f t="shared" si="111"/>
        <v>-5</v>
      </c>
      <c r="AC66" s="1274"/>
      <c r="AD66" s="966">
        <f t="shared" si="112"/>
        <v>0</v>
      </c>
      <c r="AE66" s="966"/>
      <c r="AF66" s="966">
        <f t="shared" si="113"/>
        <v>0</v>
      </c>
      <c r="AG66" s="966"/>
      <c r="AH66" s="246">
        <f>AD66-AF66</f>
        <v>0</v>
      </c>
      <c r="AJ66" s="1454">
        <v>1E-3</v>
      </c>
      <c r="AK66" s="1458"/>
      <c r="AL66" s="967">
        <f t="shared" si="114"/>
        <v>0.01</v>
      </c>
      <c r="AM66" s="1274"/>
      <c r="AN66" s="966">
        <f t="shared" si="115"/>
        <v>0</v>
      </c>
      <c r="AO66" s="966"/>
      <c r="AP66" s="966">
        <f t="shared" si="116"/>
        <v>0</v>
      </c>
      <c r="AQ66" s="966"/>
      <c r="AR66" s="246">
        <f>AN66-AP66</f>
        <v>0</v>
      </c>
      <c r="AT66" s="1454">
        <v>-2.551514083129014E-2</v>
      </c>
      <c r="AU66" s="1458"/>
      <c r="AV66" s="967">
        <f t="shared" si="117"/>
        <v>-0.2551514083129014</v>
      </c>
      <c r="AW66" s="1274"/>
      <c r="AX66" s="966">
        <f t="shared" si="118"/>
        <v>0</v>
      </c>
      <c r="AY66" s="966"/>
      <c r="AZ66" s="966">
        <f t="shared" si="119"/>
        <v>0</v>
      </c>
      <c r="BA66" s="966"/>
      <c r="BB66" s="246">
        <f>AX66-AZ66</f>
        <v>0</v>
      </c>
      <c r="BD66" s="1454">
        <v>-1.5220172136412691E-2</v>
      </c>
      <c r="BE66" s="1458"/>
      <c r="BF66" s="967">
        <f t="shared" si="120"/>
        <v>-0.15220172136412691</v>
      </c>
      <c r="BG66" s="1274"/>
      <c r="BH66" s="966">
        <f t="shared" si="121"/>
        <v>0</v>
      </c>
      <c r="BI66" s="966"/>
      <c r="BJ66" s="966">
        <f t="shared" si="122"/>
        <v>0</v>
      </c>
      <c r="BK66" s="966"/>
      <c r="BL66" s="246">
        <f>BH66-BJ66</f>
        <v>0</v>
      </c>
      <c r="BN66" s="1454">
        <v>-1.13508620523326E-2</v>
      </c>
      <c r="BO66" s="1458"/>
      <c r="BP66" s="967">
        <f t="shared" si="123"/>
        <v>-0.113508620523326</v>
      </c>
      <c r="BQ66" s="1274"/>
      <c r="BR66" s="966">
        <f t="shared" si="124"/>
        <v>0</v>
      </c>
      <c r="BS66" s="966"/>
      <c r="BT66" s="966">
        <f t="shared" si="125"/>
        <v>0</v>
      </c>
      <c r="BU66" s="966"/>
      <c r="BV66" s="246">
        <f>BR66-BT66</f>
        <v>0</v>
      </c>
      <c r="BX66" s="1454">
        <v>-2.7292011278195583E-2</v>
      </c>
      <c r="BY66" s="1458"/>
      <c r="BZ66" s="967">
        <f t="shared" si="126"/>
        <v>-0.27292011278195583</v>
      </c>
      <c r="CA66" s="1274"/>
      <c r="CB66" s="966">
        <f t="shared" si="127"/>
        <v>0</v>
      </c>
      <c r="CC66" s="966"/>
      <c r="CD66" s="966">
        <f t="shared" si="128"/>
        <v>0</v>
      </c>
      <c r="CE66" s="966"/>
      <c r="CF66" s="246">
        <f>CB66-CD66</f>
        <v>0</v>
      </c>
      <c r="CH66" s="1454">
        <v>-4.8307212170286773E-2</v>
      </c>
      <c r="CI66" s="1458"/>
      <c r="CJ66" s="967">
        <f t="shared" si="129"/>
        <v>-0.48307212170286773</v>
      </c>
      <c r="CK66" s="1274"/>
      <c r="CL66" s="966">
        <f t="shared" si="130"/>
        <v>0</v>
      </c>
      <c r="CM66" s="966"/>
      <c r="CN66" s="966">
        <f t="shared" si="131"/>
        <v>0</v>
      </c>
      <c r="CO66" s="966"/>
      <c r="CP66" s="246">
        <f>CL66-CN66</f>
        <v>0</v>
      </c>
      <c r="CR66" s="1454">
        <v>0</v>
      </c>
      <c r="CS66" s="1458"/>
      <c r="CT66" s="967">
        <f t="shared" si="132"/>
        <v>0</v>
      </c>
      <c r="CU66" s="1274"/>
      <c r="CV66" s="966">
        <f t="shared" si="133"/>
        <v>0</v>
      </c>
      <c r="CW66" s="966"/>
      <c r="CX66" s="966">
        <f t="shared" si="134"/>
        <v>0</v>
      </c>
      <c r="CY66" s="966"/>
      <c r="CZ66" s="246">
        <f>CV66-CX66</f>
        <v>0</v>
      </c>
      <c r="DB66" s="1454">
        <v>0</v>
      </c>
      <c r="DC66" s="1458"/>
      <c r="DD66" s="967">
        <f t="shared" si="135"/>
        <v>0</v>
      </c>
      <c r="DE66" s="1274"/>
      <c r="DF66" s="966">
        <f t="shared" si="136"/>
        <v>0</v>
      </c>
      <c r="DG66" s="966"/>
      <c r="DH66" s="966">
        <f t="shared" si="137"/>
        <v>0</v>
      </c>
      <c r="DI66" s="966"/>
      <c r="DJ66" s="246">
        <f>DF66-DH66</f>
        <v>0</v>
      </c>
      <c r="DK66" s="1463"/>
      <c r="DL66" s="1454">
        <v>-3.6999999999999998E-2</v>
      </c>
      <c r="DM66" s="1458"/>
      <c r="DN66" s="967">
        <f t="shared" si="138"/>
        <v>-0.36999999999999994</v>
      </c>
      <c r="DO66" s="1274"/>
      <c r="DP66" s="966">
        <f t="shared" si="139"/>
        <v>0</v>
      </c>
      <c r="DQ66" s="966"/>
      <c r="DR66" s="966">
        <f t="shared" si="140"/>
        <v>0</v>
      </c>
      <c r="DS66" s="966"/>
      <c r="DT66" s="246">
        <f>DP66-DR66</f>
        <v>0</v>
      </c>
      <c r="DV66" s="1454">
        <v>-0.2</v>
      </c>
      <c r="DW66" s="1458"/>
      <c r="DX66" s="967">
        <f t="shared" si="141"/>
        <v>-2</v>
      </c>
      <c r="DY66" s="1274"/>
      <c r="DZ66" s="966">
        <f t="shared" si="142"/>
        <v>0</v>
      </c>
      <c r="EA66" s="966"/>
      <c r="EB66" s="966">
        <f t="shared" si="143"/>
        <v>0</v>
      </c>
      <c r="EC66" s="966"/>
      <c r="ED66" s="246">
        <f>DZ66-EB66</f>
        <v>0</v>
      </c>
      <c r="EF66" s="1454">
        <v>-0.3</v>
      </c>
      <c r="EG66" s="1458"/>
      <c r="EH66" s="967">
        <f t="shared" si="144"/>
        <v>-2.9999999999999996</v>
      </c>
      <c r="EI66" s="1274"/>
      <c r="EJ66" s="966">
        <f t="shared" si="145"/>
        <v>0</v>
      </c>
      <c r="EK66" s="966"/>
      <c r="EL66" s="966">
        <f t="shared" si="146"/>
        <v>0</v>
      </c>
      <c r="EM66" s="966"/>
      <c r="EN66" s="246">
        <f>EJ66-EL66</f>
        <v>0</v>
      </c>
    </row>
    <row r="67" spans="1:144" ht="12.75" customHeight="1" x14ac:dyDescent="0.2">
      <c r="A67" s="259" t="s">
        <v>312</v>
      </c>
      <c r="C67" s="1403" t="s">
        <v>1841</v>
      </c>
      <c r="D67" s="206"/>
      <c r="E67" s="1455">
        <f>'Sensitivitaeten Delta_Market'!D57</f>
        <v>0.1</v>
      </c>
      <c r="F67" s="247"/>
      <c r="G67" s="968">
        <f>'Sensitivitaeten Delta_Market'!L57</f>
        <v>0</v>
      </c>
      <c r="H67" s="968">
        <f>'Sensitivitaeten Delta_Market'!M57</f>
        <v>0</v>
      </c>
      <c r="I67" s="968"/>
      <c r="J67" s="968">
        <f>'Sensitivitaeten Delta_Market'!U57</f>
        <v>0</v>
      </c>
      <c r="K67" s="968">
        <f>'Sensitivitaeten Delta_Market'!V57</f>
        <v>0</v>
      </c>
      <c r="L67" s="968"/>
      <c r="M67" s="248">
        <f t="shared" si="160"/>
        <v>0</v>
      </c>
      <c r="N67" s="257">
        <f t="shared" si="160"/>
        <v>0</v>
      </c>
      <c r="O67" s="1461"/>
      <c r="P67" s="1455">
        <v>0</v>
      </c>
      <c r="Q67" s="1459"/>
      <c r="R67" s="969">
        <f t="shared" si="108"/>
        <v>0</v>
      </c>
      <c r="S67" s="1456"/>
      <c r="T67" s="968">
        <f t="shared" si="109"/>
        <v>0</v>
      </c>
      <c r="U67" s="968"/>
      <c r="V67" s="968">
        <f t="shared" si="110"/>
        <v>0</v>
      </c>
      <c r="W67" s="968"/>
      <c r="X67" s="668">
        <f>T67-V67</f>
        <v>0</v>
      </c>
      <c r="Y67" s="171"/>
      <c r="Z67" s="1455">
        <v>-0.5</v>
      </c>
      <c r="AA67" s="1459"/>
      <c r="AB67" s="969">
        <f t="shared" si="111"/>
        <v>-5</v>
      </c>
      <c r="AC67" s="1456"/>
      <c r="AD67" s="968">
        <f t="shared" si="112"/>
        <v>0</v>
      </c>
      <c r="AE67" s="968"/>
      <c r="AF67" s="968">
        <f t="shared" si="113"/>
        <v>0</v>
      </c>
      <c r="AG67" s="968"/>
      <c r="AH67" s="668">
        <f>AD67-AF67</f>
        <v>0</v>
      </c>
      <c r="AJ67" s="1455">
        <v>-3.1459569014336441E-2</v>
      </c>
      <c r="AK67" s="1459"/>
      <c r="AL67" s="969">
        <f t="shared" si="114"/>
        <v>-0.31459569014336441</v>
      </c>
      <c r="AM67" s="1456"/>
      <c r="AN67" s="968">
        <f t="shared" si="115"/>
        <v>0</v>
      </c>
      <c r="AO67" s="968"/>
      <c r="AP67" s="968">
        <f t="shared" si="116"/>
        <v>0</v>
      </c>
      <c r="AQ67" s="968"/>
      <c r="AR67" s="668">
        <f>AN67-AP67</f>
        <v>0</v>
      </c>
      <c r="AT67" s="1455">
        <v>-2.371110020346201E-2</v>
      </c>
      <c r="AU67" s="1459"/>
      <c r="AV67" s="969">
        <f t="shared" si="117"/>
        <v>-0.2371110020346201</v>
      </c>
      <c r="AW67" s="1456"/>
      <c r="AX67" s="968">
        <f t="shared" si="118"/>
        <v>0</v>
      </c>
      <c r="AY67" s="968"/>
      <c r="AZ67" s="968">
        <f t="shared" si="119"/>
        <v>0</v>
      </c>
      <c r="BA67" s="968"/>
      <c r="BB67" s="668">
        <f>AX67-AZ67</f>
        <v>0</v>
      </c>
      <c r="BD67" s="1455">
        <v>-1.1222946666398559E-2</v>
      </c>
      <c r="BE67" s="1459"/>
      <c r="BF67" s="969">
        <f t="shared" si="120"/>
        <v>-0.11222946666398559</v>
      </c>
      <c r="BG67" s="1456"/>
      <c r="BH67" s="968">
        <f t="shared" si="121"/>
        <v>0</v>
      </c>
      <c r="BI67" s="968"/>
      <c r="BJ67" s="968">
        <f t="shared" si="122"/>
        <v>0</v>
      </c>
      <c r="BK67" s="968"/>
      <c r="BL67" s="668">
        <f>BH67-BJ67</f>
        <v>0</v>
      </c>
      <c r="BN67" s="1455">
        <v>-0.21495218324825272</v>
      </c>
      <c r="BO67" s="1459"/>
      <c r="BP67" s="969">
        <f t="shared" si="123"/>
        <v>-2.1495218324825269</v>
      </c>
      <c r="BQ67" s="1456"/>
      <c r="BR67" s="968">
        <f t="shared" si="124"/>
        <v>0</v>
      </c>
      <c r="BS67" s="968"/>
      <c r="BT67" s="968">
        <f t="shared" si="125"/>
        <v>0</v>
      </c>
      <c r="BU67" s="968"/>
      <c r="BV67" s="668">
        <f>BR67-BT67</f>
        <v>0</v>
      </c>
      <c r="BX67" s="1455">
        <v>-3.8542714879376327E-2</v>
      </c>
      <c r="BY67" s="1459"/>
      <c r="BZ67" s="969">
        <f t="shared" si="126"/>
        <v>-0.38542714879376327</v>
      </c>
      <c r="CA67" s="1456"/>
      <c r="CB67" s="968">
        <f t="shared" si="127"/>
        <v>0</v>
      </c>
      <c r="CC67" s="968"/>
      <c r="CD67" s="968">
        <f t="shared" si="128"/>
        <v>0</v>
      </c>
      <c r="CE67" s="968"/>
      <c r="CF67" s="668">
        <f>CB67-CD67</f>
        <v>0</v>
      </c>
      <c r="CH67" s="1455">
        <v>-7.7731977189072543E-2</v>
      </c>
      <c r="CI67" s="1459"/>
      <c r="CJ67" s="969">
        <f t="shared" si="129"/>
        <v>-0.77731977189072543</v>
      </c>
      <c r="CK67" s="1456"/>
      <c r="CL67" s="968">
        <f t="shared" si="130"/>
        <v>0</v>
      </c>
      <c r="CM67" s="968"/>
      <c r="CN67" s="968">
        <f t="shared" si="131"/>
        <v>0</v>
      </c>
      <c r="CO67" s="968"/>
      <c r="CP67" s="668">
        <f>CL67-CN67</f>
        <v>0</v>
      </c>
      <c r="CR67" s="1455">
        <v>0</v>
      </c>
      <c r="CS67" s="1459"/>
      <c r="CT67" s="969">
        <f t="shared" si="132"/>
        <v>0</v>
      </c>
      <c r="CU67" s="1456"/>
      <c r="CV67" s="968">
        <f t="shared" si="133"/>
        <v>0</v>
      </c>
      <c r="CW67" s="968"/>
      <c r="CX67" s="968">
        <f t="shared" si="134"/>
        <v>0</v>
      </c>
      <c r="CY67" s="968"/>
      <c r="CZ67" s="668">
        <f>CV67-CX67</f>
        <v>0</v>
      </c>
      <c r="DB67" s="1455">
        <v>0</v>
      </c>
      <c r="DC67" s="1459"/>
      <c r="DD67" s="969">
        <f t="shared" si="135"/>
        <v>0</v>
      </c>
      <c r="DE67" s="1456"/>
      <c r="DF67" s="968">
        <f t="shared" si="136"/>
        <v>0</v>
      </c>
      <c r="DG67" s="968"/>
      <c r="DH67" s="968">
        <f t="shared" si="137"/>
        <v>0</v>
      </c>
      <c r="DI67" s="968"/>
      <c r="DJ67" s="668">
        <f>DF67-DH67</f>
        <v>0</v>
      </c>
      <c r="DL67" s="1455">
        <v>-0.10811787883992401</v>
      </c>
      <c r="DM67" s="1459"/>
      <c r="DN67" s="969">
        <f t="shared" si="138"/>
        <v>-1.0811787883992401</v>
      </c>
      <c r="DO67" s="1456"/>
      <c r="DP67" s="968">
        <f t="shared" si="139"/>
        <v>0</v>
      </c>
      <c r="DQ67" s="968"/>
      <c r="DR67" s="968">
        <f t="shared" si="140"/>
        <v>0</v>
      </c>
      <c r="DS67" s="968"/>
      <c r="DT67" s="668">
        <f>DP67-DR67</f>
        <v>0</v>
      </c>
      <c r="DV67" s="1455">
        <v>-0.3</v>
      </c>
      <c r="DW67" s="1459"/>
      <c r="DX67" s="969">
        <f t="shared" si="141"/>
        <v>-2.9999999999999996</v>
      </c>
      <c r="DY67" s="1456"/>
      <c r="DZ67" s="968">
        <f t="shared" si="142"/>
        <v>0</v>
      </c>
      <c r="EA67" s="968"/>
      <c r="EB67" s="968">
        <f t="shared" si="143"/>
        <v>0</v>
      </c>
      <c r="EC67" s="968"/>
      <c r="ED67" s="668">
        <f>DZ67-EB67</f>
        <v>0</v>
      </c>
      <c r="EF67" s="1455">
        <v>-0.3</v>
      </c>
      <c r="EG67" s="1459"/>
      <c r="EH67" s="969">
        <f t="shared" si="144"/>
        <v>-2.9999999999999996</v>
      </c>
      <c r="EI67" s="1456"/>
      <c r="EJ67" s="968">
        <f t="shared" si="145"/>
        <v>0</v>
      </c>
      <c r="EK67" s="968"/>
      <c r="EL67" s="968">
        <f t="shared" si="146"/>
        <v>0</v>
      </c>
      <c r="EM67" s="968"/>
      <c r="EN67" s="668">
        <f>EJ67-EL67</f>
        <v>0</v>
      </c>
    </row>
    <row r="68" spans="1:144" ht="12.75" customHeight="1" x14ac:dyDescent="0.2">
      <c r="A68" s="259" t="s">
        <v>313</v>
      </c>
      <c r="B68" s="1"/>
      <c r="C68" s="1457" t="s">
        <v>224</v>
      </c>
      <c r="D68" s="408"/>
      <c r="E68" s="1455">
        <f>'Sensitivitaeten Delta_Market'!D58</f>
        <v>0.1</v>
      </c>
      <c r="F68" s="247"/>
      <c r="G68" s="968">
        <f>'Sensitivitaeten Delta_Market'!L58</f>
        <v>0</v>
      </c>
      <c r="H68" s="968">
        <f>'Sensitivitaeten Delta_Market'!M58</f>
        <v>0</v>
      </c>
      <c r="I68" s="968"/>
      <c r="J68" s="968">
        <f>'Sensitivitaeten Delta_Market'!U58</f>
        <v>0</v>
      </c>
      <c r="K68" s="968">
        <f>'Sensitivitaeten Delta_Market'!V58</f>
        <v>0</v>
      </c>
      <c r="L68" s="968"/>
      <c r="M68" s="248">
        <f t="shared" si="160"/>
        <v>0</v>
      </c>
      <c r="N68" s="248">
        <f t="shared" si="160"/>
        <v>0</v>
      </c>
      <c r="O68" s="1461"/>
      <c r="P68" s="1455">
        <v>-0.65</v>
      </c>
      <c r="Q68" s="1456"/>
      <c r="R68" s="969">
        <f t="shared" si="108"/>
        <v>-6.5</v>
      </c>
      <c r="S68" s="1456"/>
      <c r="T68" s="968">
        <f t="shared" si="109"/>
        <v>0</v>
      </c>
      <c r="U68" s="968"/>
      <c r="V68" s="968">
        <f t="shared" si="110"/>
        <v>0</v>
      </c>
      <c r="W68" s="968"/>
      <c r="X68" s="669">
        <f>T68-V68</f>
        <v>0</v>
      </c>
      <c r="Y68" s="171"/>
      <c r="Z68" s="1455">
        <v>0</v>
      </c>
      <c r="AA68" s="1456"/>
      <c r="AB68" s="969">
        <f t="shared" si="111"/>
        <v>0</v>
      </c>
      <c r="AC68" s="1456"/>
      <c r="AD68" s="968">
        <f t="shared" si="112"/>
        <v>0</v>
      </c>
      <c r="AE68" s="968"/>
      <c r="AF68" s="968">
        <f t="shared" si="113"/>
        <v>0</v>
      </c>
      <c r="AG68" s="968"/>
      <c r="AH68" s="669">
        <f>AD68-AF68</f>
        <v>0</v>
      </c>
      <c r="AJ68" s="1455">
        <v>-0.25088886444707298</v>
      </c>
      <c r="AK68" s="1456"/>
      <c r="AL68" s="969">
        <f t="shared" si="114"/>
        <v>-2.5088886444707295</v>
      </c>
      <c r="AM68" s="1456"/>
      <c r="AN68" s="968">
        <f t="shared" si="115"/>
        <v>0</v>
      </c>
      <c r="AO68" s="968"/>
      <c r="AP68" s="968">
        <f t="shared" si="116"/>
        <v>0</v>
      </c>
      <c r="AQ68" s="968"/>
      <c r="AR68" s="669">
        <f>AN68-AP68</f>
        <v>0</v>
      </c>
      <c r="AT68" s="1455">
        <v>-0.28728461661859017</v>
      </c>
      <c r="AU68" s="1456"/>
      <c r="AV68" s="969">
        <f t="shared" si="117"/>
        <v>-2.8728461661859015</v>
      </c>
      <c r="AW68" s="1456"/>
      <c r="AX68" s="968">
        <f t="shared" si="118"/>
        <v>0</v>
      </c>
      <c r="AY68" s="968"/>
      <c r="AZ68" s="968">
        <f t="shared" si="119"/>
        <v>0</v>
      </c>
      <c r="BA68" s="968"/>
      <c r="BB68" s="669">
        <f>AX68-AZ68</f>
        <v>0</v>
      </c>
      <c r="BD68" s="1455">
        <v>-4.3999999999999997E-2</v>
      </c>
      <c r="BE68" s="1456"/>
      <c r="BF68" s="969">
        <f t="shared" si="120"/>
        <v>-0.43999999999999995</v>
      </c>
      <c r="BG68" s="1456"/>
      <c r="BH68" s="968">
        <f t="shared" si="121"/>
        <v>0</v>
      </c>
      <c r="BI68" s="968"/>
      <c r="BJ68" s="968">
        <f t="shared" si="122"/>
        <v>0</v>
      </c>
      <c r="BK68" s="968"/>
      <c r="BL68" s="669">
        <f>BH68-BJ68</f>
        <v>0</v>
      </c>
      <c r="BN68" s="1455">
        <v>-0.11493747461452021</v>
      </c>
      <c r="BO68" s="1456"/>
      <c r="BP68" s="969">
        <f t="shared" si="123"/>
        <v>-1.149374746145202</v>
      </c>
      <c r="BQ68" s="1456"/>
      <c r="BR68" s="968">
        <f t="shared" si="124"/>
        <v>0</v>
      </c>
      <c r="BS68" s="968"/>
      <c r="BT68" s="968">
        <f t="shared" si="125"/>
        <v>0</v>
      </c>
      <c r="BU68" s="968"/>
      <c r="BV68" s="669">
        <f>BR68-BT68</f>
        <v>0</v>
      </c>
      <c r="BX68" s="1455">
        <v>-0.18586792008831177</v>
      </c>
      <c r="BY68" s="1456"/>
      <c r="BZ68" s="969">
        <f t="shared" si="126"/>
        <v>-1.8586792008831177</v>
      </c>
      <c r="CA68" s="1456"/>
      <c r="CB68" s="968">
        <f t="shared" si="127"/>
        <v>0</v>
      </c>
      <c r="CC68" s="968"/>
      <c r="CD68" s="968">
        <f t="shared" si="128"/>
        <v>0</v>
      </c>
      <c r="CE68" s="968"/>
      <c r="CF68" s="669">
        <f>CB68-CD68</f>
        <v>0</v>
      </c>
      <c r="CH68" s="1455">
        <v>-0.34110581098967863</v>
      </c>
      <c r="CI68" s="1456"/>
      <c r="CJ68" s="969">
        <f t="shared" si="129"/>
        <v>-3.411058109896786</v>
      </c>
      <c r="CK68" s="1456"/>
      <c r="CL68" s="968">
        <f t="shared" si="130"/>
        <v>0</v>
      </c>
      <c r="CM68" s="968"/>
      <c r="CN68" s="968">
        <f t="shared" si="131"/>
        <v>0</v>
      </c>
      <c r="CO68" s="968"/>
      <c r="CP68" s="669">
        <f>CL68-CN68</f>
        <v>0</v>
      </c>
      <c r="CR68" s="1455">
        <v>0</v>
      </c>
      <c r="CS68" s="1456"/>
      <c r="CT68" s="969">
        <f t="shared" si="132"/>
        <v>0</v>
      </c>
      <c r="CU68" s="1456"/>
      <c r="CV68" s="968">
        <f t="shared" si="133"/>
        <v>0</v>
      </c>
      <c r="CW68" s="968"/>
      <c r="CX68" s="968">
        <f t="shared" si="134"/>
        <v>0</v>
      </c>
      <c r="CY68" s="968"/>
      <c r="CZ68" s="669">
        <f>CV68-CX68</f>
        <v>0</v>
      </c>
      <c r="DB68" s="1455">
        <v>0</v>
      </c>
      <c r="DC68" s="1456"/>
      <c r="DD68" s="969">
        <f t="shared" si="135"/>
        <v>0</v>
      </c>
      <c r="DE68" s="1456"/>
      <c r="DF68" s="968">
        <f t="shared" si="136"/>
        <v>0</v>
      </c>
      <c r="DG68" s="968"/>
      <c r="DH68" s="968">
        <f t="shared" si="137"/>
        <v>0</v>
      </c>
      <c r="DI68" s="968"/>
      <c r="DJ68" s="669">
        <f>DF68-DH68</f>
        <v>0</v>
      </c>
      <c r="DL68" s="1455">
        <v>-0.47963679815594623</v>
      </c>
      <c r="DM68" s="1456"/>
      <c r="DN68" s="969">
        <f t="shared" si="138"/>
        <v>-4.7963679815594622</v>
      </c>
      <c r="DO68" s="1456"/>
      <c r="DP68" s="968">
        <f t="shared" si="139"/>
        <v>0</v>
      </c>
      <c r="DQ68" s="968"/>
      <c r="DR68" s="968">
        <f t="shared" si="140"/>
        <v>0</v>
      </c>
      <c r="DS68" s="968"/>
      <c r="DT68" s="669">
        <f>DP68-DR68</f>
        <v>0</v>
      </c>
      <c r="DV68" s="1455">
        <v>-0.3</v>
      </c>
      <c r="DW68" s="1456"/>
      <c r="DX68" s="969">
        <f t="shared" si="141"/>
        <v>-2.9999999999999996</v>
      </c>
      <c r="DY68" s="1456"/>
      <c r="DZ68" s="968">
        <f t="shared" si="142"/>
        <v>0</v>
      </c>
      <c r="EA68" s="968"/>
      <c r="EB68" s="968">
        <f t="shared" si="143"/>
        <v>0</v>
      </c>
      <c r="EC68" s="968"/>
      <c r="ED68" s="669">
        <f>DZ68-EB68</f>
        <v>0</v>
      </c>
      <c r="EF68" s="1455">
        <v>0</v>
      </c>
      <c r="EG68" s="1456"/>
      <c r="EH68" s="969">
        <f t="shared" si="144"/>
        <v>0</v>
      </c>
      <c r="EI68" s="1456"/>
      <c r="EJ68" s="968">
        <f t="shared" si="145"/>
        <v>0</v>
      </c>
      <c r="EK68" s="968"/>
      <c r="EL68" s="968">
        <f t="shared" si="146"/>
        <v>0</v>
      </c>
      <c r="EM68" s="968"/>
      <c r="EN68" s="669">
        <f>EJ68-EL68</f>
        <v>0</v>
      </c>
    </row>
  </sheetData>
  <sheetProtection sheet="1" objects="1" scenarios="1"/>
  <dataConsolidate/>
  <customSheetViews>
    <customSheetView guid="{F15DEFD8-B0F4-4CC3-8896-92BF7E7815B1}" scale="75" showPageBreaks="1" showGridLines="0" fitToPage="1" printArea="1">
      <pane xSplit="15" ySplit="26" topLeftCell="P27" activePane="bottomRight" state="frozen"/>
      <selection pane="bottomRight" activeCell="EO40" sqref="EO40"/>
      <pageMargins left="0.47244094488188981" right="0.47244094488188981" top="0.59055118110236227" bottom="0.59055118110236227" header="0.35433070866141736" footer="0.35433070866141736"/>
      <pageSetup paperSize="9" scale="34" fitToWidth="3" orientation="landscape" r:id="rId1"/>
      <headerFooter alignWithMargins="0">
        <oddHeader>&amp;R&amp;"Arial,Fett"&amp;12SST</oddHeader>
        <oddFooter>&amp;L&amp;F / &amp;A&amp;C&amp;P / &amp;N&amp;R&amp;D</oddFooter>
      </headerFooter>
    </customSheetView>
  </customSheetViews>
  <mergeCells count="72">
    <mergeCell ref="AG19:AH19"/>
    <mergeCell ref="AJ19:AJ25"/>
    <mergeCell ref="AL19:AL25"/>
    <mergeCell ref="G19:H19"/>
    <mergeCell ref="J19:K19"/>
    <mergeCell ref="M19:N19"/>
    <mergeCell ref="AF20:AF22"/>
    <mergeCell ref="V20:V22"/>
    <mergeCell ref="AD20:AD22"/>
    <mergeCell ref="AB19:AB25"/>
    <mergeCell ref="G20:H21"/>
    <mergeCell ref="J20:K21"/>
    <mergeCell ref="M20:N21"/>
    <mergeCell ref="T20:T22"/>
    <mergeCell ref="E19:E25"/>
    <mergeCell ref="R19:R25"/>
    <mergeCell ref="P19:P25"/>
    <mergeCell ref="W19:X19"/>
    <mergeCell ref="Z19:Z25"/>
    <mergeCell ref="EM19:EN19"/>
    <mergeCell ref="BZ19:BZ25"/>
    <mergeCell ref="BT20:BT22"/>
    <mergeCell ref="CE19:CF19"/>
    <mergeCell ref="CH19:CH25"/>
    <mergeCell ref="CJ19:CJ25"/>
    <mergeCell ref="CO19:CP19"/>
    <mergeCell ref="CB20:CB22"/>
    <mergeCell ref="CD20:CD22"/>
    <mergeCell ref="CL20:CL22"/>
    <mergeCell ref="DI19:DJ19"/>
    <mergeCell ref="DL19:DL25"/>
    <mergeCell ref="DN19:DN25"/>
    <mergeCell ref="DF20:DF22"/>
    <mergeCell ref="DH20:DH22"/>
    <mergeCell ref="EL20:EL22"/>
    <mergeCell ref="BJ20:BJ22"/>
    <mergeCell ref="CR19:CR25"/>
    <mergeCell ref="CT19:CT25"/>
    <mergeCell ref="CY19:CZ19"/>
    <mergeCell ref="DB19:DB25"/>
    <mergeCell ref="CN20:CN22"/>
    <mergeCell ref="BK19:BL19"/>
    <mergeCell ref="CV20:CV22"/>
    <mergeCell ref="BN19:BN25"/>
    <mergeCell ref="BP19:BP25"/>
    <mergeCell ref="BU19:BV19"/>
    <mergeCell ref="BX19:BX25"/>
    <mergeCell ref="BR20:BR22"/>
    <mergeCell ref="CX20:CX22"/>
    <mergeCell ref="AN20:AN22"/>
    <mergeCell ref="AP20:AP22"/>
    <mergeCell ref="AX20:AX22"/>
    <mergeCell ref="AZ20:AZ22"/>
    <mergeCell ref="BH20:BH22"/>
    <mergeCell ref="BF19:BF25"/>
    <mergeCell ref="AQ19:AR19"/>
    <mergeCell ref="AT19:AT25"/>
    <mergeCell ref="AV19:AV25"/>
    <mergeCell ref="BA19:BB19"/>
    <mergeCell ref="BD19:BD25"/>
    <mergeCell ref="DV19:DV25"/>
    <mergeCell ref="DD19:DD25"/>
    <mergeCell ref="EJ20:EJ22"/>
    <mergeCell ref="DS19:DT19"/>
    <mergeCell ref="EC19:ED19"/>
    <mergeCell ref="DP20:DP22"/>
    <mergeCell ref="DR20:DR22"/>
    <mergeCell ref="EF19:EF25"/>
    <mergeCell ref="EH19:EH25"/>
    <mergeCell ref="DZ20:DZ22"/>
    <mergeCell ref="EB20:EB22"/>
    <mergeCell ref="DX19:DX25"/>
  </mergeCells>
  <phoneticPr fontId="0" type="noConversion"/>
  <hyperlinks>
    <hyperlink ref="A1" location="list_of_sheets!A1" display="list_of_sheets!A1" xr:uid="{00000000-0004-0000-0A00-000000000000}"/>
  </hyperlinks>
  <pageMargins left="0.47244094488188981" right="0.47244094488188981" top="0.59055118110236227" bottom="0.59055118110236227" header="0.35433070866141736" footer="0.35433070866141736"/>
  <pageSetup paperSize="9" scale="32" fitToWidth="3" orientation="landscape" r:id="rId2"/>
  <headerFooter alignWithMargins="0">
    <oddHeader>&amp;R&amp;"Arial,Fett"&amp;12KVG-Solvenztest
Test de solvabilité LAMal</oddHeader>
    <oddFooter>&amp;L&amp;F / &amp;A&amp;C&amp;P / &amp;N&amp;R&amp;D</oddFooter>
  </headerFooter>
  <colBreaks count="4" manualBreakCount="4">
    <brk id="35" max="105" man="1"/>
    <brk id="65" max="105" man="1"/>
    <brk id="95" max="105" man="1"/>
    <brk id="125" max="10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tabColor rgb="FF00FFFF"/>
    <pageSetUpPr fitToPage="1"/>
  </sheetPr>
  <dimension ref="A1:AE31"/>
  <sheetViews>
    <sheetView zoomScale="90" zoomScaleNormal="90" workbookViewId="0"/>
  </sheetViews>
  <sheetFormatPr baseColWidth="10" defaultColWidth="11.42578125" defaultRowHeight="12.75" x14ac:dyDescent="0.2"/>
  <cols>
    <col min="1" max="1" width="22.5703125" style="1028" customWidth="1"/>
    <col min="2" max="2" width="59" style="1028" customWidth="1"/>
    <col min="3" max="3" width="17.42578125" style="1028" customWidth="1"/>
    <col min="4" max="4" width="17" style="1028" customWidth="1"/>
    <col min="5" max="5" width="17.28515625" style="1028" customWidth="1"/>
    <col min="6" max="9" width="14.42578125" style="1028" customWidth="1"/>
    <col min="10" max="10" width="14.28515625" style="1028" customWidth="1"/>
    <col min="11" max="18" width="11.5703125" style="1028" bestFit="1" customWidth="1"/>
    <col min="19" max="23" width="14.42578125" style="1028" bestFit="1" customWidth="1"/>
    <col min="24" max="24" width="13.42578125" style="1028" bestFit="1" customWidth="1"/>
    <col min="25" max="27" width="14.42578125" style="1028" bestFit="1" customWidth="1"/>
    <col min="28" max="28" width="15.42578125" style="1028" bestFit="1" customWidth="1"/>
    <col min="29" max="29" width="11.42578125" style="1028"/>
    <col min="30" max="30" width="11.42578125" style="1028" customWidth="1"/>
    <col min="31" max="16384" width="11.42578125" style="1028"/>
  </cols>
  <sheetData>
    <row r="1" spans="1:11" s="1275" customFormat="1" ht="21" thickBot="1" x14ac:dyDescent="0.35">
      <c r="A1" s="2181" t="s">
        <v>1543</v>
      </c>
      <c r="B1" s="1277" t="str">
        <f>Translation!B241</f>
        <v>Inputs für BAG-Szenarien</v>
      </c>
      <c r="C1" s="1277"/>
      <c r="D1" s="1278"/>
      <c r="E1" s="1278"/>
      <c r="F1" s="1278"/>
      <c r="G1" s="1279"/>
      <c r="H1" s="1278"/>
      <c r="I1" s="1278"/>
      <c r="J1" s="1278"/>
    </row>
    <row r="2" spans="1:11" s="1173" customFormat="1" ht="20.100000000000001" customHeight="1" x14ac:dyDescent="0.2">
      <c r="A2" s="1171"/>
      <c r="B2" s="1172" t="str">
        <f>Inputparam!C8</f>
        <v xml:space="preserve">0000 </v>
      </c>
    </row>
    <row r="3" spans="1:11" x14ac:dyDescent="0.2">
      <c r="C3" s="2234"/>
    </row>
    <row r="5" spans="1:11" x14ac:dyDescent="0.2">
      <c r="C5" s="2234"/>
      <c r="D5" s="2234"/>
      <c r="E5" s="2234"/>
    </row>
    <row r="6" spans="1:11" x14ac:dyDescent="0.2">
      <c r="C6" s="2250"/>
      <c r="E6" s="2234"/>
    </row>
    <row r="7" spans="1:11" ht="18" x14ac:dyDescent="0.25">
      <c r="A7" s="1025" t="str">
        <f>Translation!B242</f>
        <v>Die Eingaben für die Szenarien beziehen sich nur auf die OKP CH</v>
      </c>
    </row>
    <row r="8" spans="1:11" s="1176" customFormat="1" x14ac:dyDescent="0.2">
      <c r="A8" s="1627"/>
    </row>
    <row r="9" spans="1:11" ht="18" x14ac:dyDescent="0.25">
      <c r="A9" s="1025" t="str">
        <f>Translation!B243</f>
        <v xml:space="preserve">Anzahl Versicherte, Bruttoneueintritte und deren Risikoausgleich und Leistungen </v>
      </c>
    </row>
    <row r="10" spans="1:11" x14ac:dyDescent="0.2">
      <c r="A10" s="2498" t="str">
        <f>Translation!B244</f>
        <v>Versichertengruppe</v>
      </c>
      <c r="B10" s="2500"/>
      <c r="C10" s="2503" t="str">
        <f>Translation!B245</f>
        <v>Kinder</v>
      </c>
      <c r="D10" s="2505" t="str">
        <f>Translation!B246</f>
        <v>Jugendliche und Erwachsene mit wählbarer Jahresfranchise von ...</v>
      </c>
      <c r="E10" s="2506"/>
      <c r="F10" s="2506"/>
      <c r="G10" s="2506"/>
      <c r="H10" s="2506"/>
      <c r="I10" s="2506"/>
      <c r="J10" s="2496" t="str">
        <f>Translation!B247</f>
        <v>INSGESAMT</v>
      </c>
    </row>
    <row r="11" spans="1:11" x14ac:dyDescent="0.2">
      <c r="A11" s="2501"/>
      <c r="B11" s="2502"/>
      <c r="C11" s="2504"/>
      <c r="D11" s="1174">
        <v>300</v>
      </c>
      <c r="E11" s="1174">
        <v>500</v>
      </c>
      <c r="F11" s="1174">
        <v>1000</v>
      </c>
      <c r="G11" s="1174">
        <v>1500</v>
      </c>
      <c r="H11" s="1174">
        <v>2000</v>
      </c>
      <c r="I11" s="1175">
        <v>2500</v>
      </c>
      <c r="J11" s="2497" t="s">
        <v>136</v>
      </c>
    </row>
    <row r="12" spans="1:11" x14ac:dyDescent="0.2">
      <c r="A12" s="1811" t="str">
        <f>Translation!B248</f>
        <v>Anzahl Versicherte 2024 (Durchschnittsbestand)</v>
      </c>
      <c r="B12" s="1178"/>
      <c r="C12" s="1812"/>
      <c r="D12" s="1812"/>
      <c r="E12" s="1812"/>
      <c r="F12" s="1812"/>
      <c r="G12" s="1812"/>
      <c r="H12" s="1812"/>
      <c r="I12" s="1812"/>
      <c r="J12" s="2398">
        <f t="shared" ref="J12:J18" si="0">SUM(C12:I12)</f>
        <v>0</v>
      </c>
      <c r="K12" s="2224"/>
    </row>
    <row r="13" spans="1:11" x14ac:dyDescent="0.2">
      <c r="A13" s="1181" t="str">
        <f>Translation!B249</f>
        <v>Anzahl Versicherte 2025 (Durchschnittsbestand)</v>
      </c>
      <c r="B13" s="1179"/>
      <c r="C13" s="2394">
        <f t="shared" ref="C13:I13" si="1">IF(ISNUMBER(C14+C15),(C14+C15),"")</f>
        <v>0</v>
      </c>
      <c r="D13" s="2394">
        <f t="shared" si="1"/>
        <v>0</v>
      </c>
      <c r="E13" s="2394">
        <f t="shared" si="1"/>
        <v>0</v>
      </c>
      <c r="F13" s="2394">
        <f t="shared" si="1"/>
        <v>0</v>
      </c>
      <c r="G13" s="2394">
        <f t="shared" si="1"/>
        <v>0</v>
      </c>
      <c r="H13" s="2394">
        <f t="shared" si="1"/>
        <v>0</v>
      </c>
      <c r="I13" s="2400">
        <f t="shared" si="1"/>
        <v>0</v>
      </c>
      <c r="J13" s="2399">
        <f t="shared" si="0"/>
        <v>0</v>
      </c>
      <c r="K13" s="1628"/>
    </row>
    <row r="14" spans="1:11" x14ac:dyDescent="0.2">
      <c r="A14" s="2403"/>
      <c r="B14" s="1630" t="str">
        <f>Translation!B976</f>
        <v>davon : verbleibender Bestand (Durchschnitt)</v>
      </c>
      <c r="C14" s="2235"/>
      <c r="D14" s="2235"/>
      <c r="E14" s="2235"/>
      <c r="F14" s="2235"/>
      <c r="G14" s="2235"/>
      <c r="H14" s="2235"/>
      <c r="I14" s="2235"/>
      <c r="J14" s="2399">
        <f t="shared" si="0"/>
        <v>0</v>
      </c>
      <c r="K14" s="1628"/>
    </row>
    <row r="15" spans="1:11" x14ac:dyDescent="0.2">
      <c r="A15" s="1181"/>
      <c r="B15" s="1630" t="str">
        <f>Translation!B255</f>
        <v>davon : neuer Bestand (Durchschnitt)</v>
      </c>
      <c r="C15" s="2235"/>
      <c r="D15" s="2235"/>
      <c r="E15" s="2235"/>
      <c r="F15" s="2235"/>
      <c r="G15" s="2235"/>
      <c r="H15" s="2235"/>
      <c r="I15" s="2235"/>
      <c r="J15" s="2399">
        <f t="shared" si="0"/>
        <v>0</v>
      </c>
      <c r="K15" s="1628"/>
    </row>
    <row r="16" spans="1:11" x14ac:dyDescent="0.2">
      <c r="A16" s="1181" t="str">
        <f>Translation!B250</f>
        <v>Anzahl Bruttoneueintritte (per 01.01.2025)</v>
      </c>
      <c r="B16" s="1179"/>
      <c r="C16" s="2235"/>
      <c r="D16" s="2235"/>
      <c r="E16" s="2235"/>
      <c r="F16" s="2235"/>
      <c r="G16" s="2235"/>
      <c r="H16" s="2235"/>
      <c r="I16" s="2235"/>
      <c r="J16" s="2399">
        <f t="shared" si="0"/>
        <v>0</v>
      </c>
    </row>
    <row r="17" spans="1:31" x14ac:dyDescent="0.2">
      <c r="A17" s="1181" t="str">
        <f>Translation!B253</f>
        <v>Nettoleistungen und Risikoausgleich 2025 in Fr. (verbleibender Bestand)</v>
      </c>
      <c r="B17" s="1179"/>
      <c r="C17" s="2397"/>
      <c r="D17" s="2235"/>
      <c r="E17" s="2235"/>
      <c r="F17" s="2235"/>
      <c r="G17" s="2235"/>
      <c r="H17" s="2235"/>
      <c r="I17" s="2235"/>
      <c r="J17" s="2399">
        <f t="shared" si="0"/>
        <v>0</v>
      </c>
    </row>
    <row r="18" spans="1:31" x14ac:dyDescent="0.2">
      <c r="A18" s="1181" t="str">
        <f>Translation!B975</f>
        <v>Nettoleistungen und Risikoausgleich 2025 in Fr. (neuer Bestand)</v>
      </c>
      <c r="B18" s="1179"/>
      <c r="C18" s="2235"/>
      <c r="D18" s="2235"/>
      <c r="E18" s="2235"/>
      <c r="F18" s="2235"/>
      <c r="G18" s="2235"/>
      <c r="H18" s="2235"/>
      <c r="I18" s="2235"/>
      <c r="J18" s="2399">
        <f t="shared" si="0"/>
        <v>0</v>
      </c>
      <c r="K18" s="1628"/>
    </row>
    <row r="19" spans="1:31" x14ac:dyDescent="0.2">
      <c r="A19" s="1181" t="str">
        <f>Translation!B258</f>
        <v>durch. Nettoleistungen und Risikoausgleich pro Versicherten 2025 (verbleibender Bestand)</v>
      </c>
      <c r="B19" s="1179"/>
      <c r="C19" s="2394" t="str">
        <f>IF(ISNUMBER(C17/C14),(C17/C14),"")</f>
        <v/>
      </c>
      <c r="D19" s="2394" t="str">
        <f t="shared" ref="D19:J19" si="2">IF(ISNUMBER(D17/D14),(D17/D14),"")</f>
        <v/>
      </c>
      <c r="E19" s="2394" t="str">
        <f t="shared" si="2"/>
        <v/>
      </c>
      <c r="F19" s="2394" t="str">
        <f t="shared" si="2"/>
        <v/>
      </c>
      <c r="G19" s="2394" t="str">
        <f t="shared" si="2"/>
        <v/>
      </c>
      <c r="H19" s="2394" t="str">
        <f t="shared" si="2"/>
        <v/>
      </c>
      <c r="I19" s="2394" t="str">
        <f t="shared" si="2"/>
        <v/>
      </c>
      <c r="J19" s="2401" t="str">
        <f t="shared" si="2"/>
        <v/>
      </c>
      <c r="K19" s="1628"/>
    </row>
    <row r="20" spans="1:31" x14ac:dyDescent="0.2">
      <c r="A20" s="1183" t="str">
        <f>Translation!B259</f>
        <v>durch. Nettoleistungen und Risikoausgleich pro Versicherten 2025 (neuer Bestand)</v>
      </c>
      <c r="B20" s="1184"/>
      <c r="C20" s="2395" t="str">
        <f>IF(ISNUMBER(C18/C15),(C18/C15),"")</f>
        <v/>
      </c>
      <c r="D20" s="2395" t="str">
        <f t="shared" ref="D20:J20" si="3">IF(ISNUMBER(D18/D15),(D18/D15),"")</f>
        <v/>
      </c>
      <c r="E20" s="2395" t="str">
        <f t="shared" si="3"/>
        <v/>
      </c>
      <c r="F20" s="2395" t="str">
        <f t="shared" si="3"/>
        <v/>
      </c>
      <c r="G20" s="2395" t="str">
        <f t="shared" si="3"/>
        <v/>
      </c>
      <c r="H20" s="2395" t="str">
        <f t="shared" si="3"/>
        <v/>
      </c>
      <c r="I20" s="2395" t="str">
        <f t="shared" si="3"/>
        <v/>
      </c>
      <c r="J20" s="2402" t="str">
        <f t="shared" si="3"/>
        <v/>
      </c>
      <c r="K20" s="1179"/>
    </row>
    <row r="21" spans="1:31" x14ac:dyDescent="0.2">
      <c r="A21" s="1181"/>
      <c r="B21" s="1179"/>
      <c r="C21" s="1182"/>
      <c r="D21" s="1182"/>
      <c r="E21" s="1182"/>
      <c r="F21" s="1182"/>
      <c r="G21" s="1182"/>
      <c r="H21" s="1182"/>
      <c r="I21" s="1182"/>
      <c r="J21" s="1185"/>
    </row>
    <row r="22" spans="1:31" customFormat="1" x14ac:dyDescent="0.2">
      <c r="A22" s="2498" t="str">
        <f>A10</f>
        <v>Versichertengruppe</v>
      </c>
      <c r="B22" s="2499"/>
      <c r="C22" s="2337" t="s">
        <v>1877</v>
      </c>
      <c r="D22" s="2337" t="s">
        <v>1878</v>
      </c>
      <c r="E22" s="2337" t="s">
        <v>1879</v>
      </c>
      <c r="F22" s="2337" t="s">
        <v>1880</v>
      </c>
      <c r="G22" s="2337" t="s">
        <v>1881</v>
      </c>
      <c r="H22" s="2337" t="s">
        <v>1882</v>
      </c>
      <c r="I22" s="2337" t="s">
        <v>1883</v>
      </c>
      <c r="J22" s="2337" t="s">
        <v>1884</v>
      </c>
      <c r="K22" s="2337" t="s">
        <v>1885</v>
      </c>
      <c r="L22" s="2337" t="s">
        <v>1886</v>
      </c>
      <c r="M22" s="2337" t="s">
        <v>1887</v>
      </c>
      <c r="N22" s="2337" t="s">
        <v>1888</v>
      </c>
      <c r="O22" s="2337" t="s">
        <v>1889</v>
      </c>
      <c r="P22" s="2337" t="s">
        <v>1890</v>
      </c>
      <c r="Q22" s="2337" t="s">
        <v>1891</v>
      </c>
      <c r="R22" s="2337" t="s">
        <v>1892</v>
      </c>
      <c r="S22" s="2337" t="s">
        <v>1893</v>
      </c>
      <c r="T22" s="2337" t="s">
        <v>1894</v>
      </c>
      <c r="U22" s="2337" t="s">
        <v>1895</v>
      </c>
      <c r="V22" s="2337" t="s">
        <v>1896</v>
      </c>
      <c r="W22" s="2337" t="s">
        <v>1897</v>
      </c>
      <c r="X22" s="2337" t="s">
        <v>1898</v>
      </c>
      <c r="Y22" s="2337" t="s">
        <v>1899</v>
      </c>
      <c r="Z22" s="2337" t="s">
        <v>1900</v>
      </c>
      <c r="AA22" s="2337" t="s">
        <v>1901</v>
      </c>
      <c r="AB22" s="2337" t="s">
        <v>1902</v>
      </c>
      <c r="AC22" s="2337" t="s">
        <v>2682</v>
      </c>
      <c r="AD22" s="2336" t="s">
        <v>2683</v>
      </c>
      <c r="AE22" s="1028"/>
    </row>
    <row r="23" spans="1:31" customFormat="1" x14ac:dyDescent="0.2">
      <c r="A23" s="1183" t="str">
        <f>Translation!B977</f>
        <v>Anzahl Bruttoneueintritte per 01.01.2025 (nur JUG und ERW, ohne KIN)</v>
      </c>
      <c r="B23" s="1183"/>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9"/>
    </row>
    <row r="24" spans="1:31" x14ac:dyDescent="0.2">
      <c r="A24" s="2267"/>
      <c r="B24" s="1170"/>
      <c r="C24" s="2236" t="str">
        <f>IF(ABS(SUM(C23:AD23)-SUM(D16:I16))&lt;10, "OK", "ERROR")</f>
        <v>OK</v>
      </c>
      <c r="D24" s="1182"/>
      <c r="E24" s="1182"/>
      <c r="F24" s="1182"/>
      <c r="G24" s="1182"/>
      <c r="H24" s="1182"/>
      <c r="I24" s="1182"/>
      <c r="J24" s="1182"/>
      <c r="K24" s="1629"/>
    </row>
    <row r="25" spans="1:31" x14ac:dyDescent="0.2">
      <c r="C25" s="1628"/>
      <c r="D25" s="1628"/>
      <c r="J25" s="1628"/>
      <c r="K25" s="1631"/>
    </row>
    <row r="26" spans="1:31" ht="18" x14ac:dyDescent="0.25">
      <c r="A26" s="1177" t="str">
        <f>Translation!B260</f>
        <v>Einzelschadenrückversicherung (GR Rückversicherung)</v>
      </c>
      <c r="B26" s="1178"/>
      <c r="C26" s="1178"/>
      <c r="D26" s="1632"/>
      <c r="K26" s="1631"/>
    </row>
    <row r="27" spans="1:31" x14ac:dyDescent="0.2">
      <c r="A27" s="1633" t="str">
        <f>Translation!B261</f>
        <v xml:space="preserve">Selbstbehalt Einzelschaden </v>
      </c>
      <c r="B27" s="1179"/>
      <c r="C27" s="1185" t="str">
        <f>IF(HE_Insurance_Risk!R114="","",HE_Insurance_Risk!R114)</f>
        <v/>
      </c>
      <c r="D27" s="1180" t="str">
        <f>Translation!B262</f>
        <v>(Aus Blatt BAG 37)</v>
      </c>
      <c r="K27" s="1275"/>
    </row>
    <row r="28" spans="1:31" x14ac:dyDescent="0.2">
      <c r="A28" s="1634" t="str">
        <f>Translation!B263</f>
        <v>Gesamtleistungslimite</v>
      </c>
      <c r="B28" s="1184"/>
      <c r="C28" s="903"/>
      <c r="D28" s="1635"/>
      <c r="E28" s="1028" t="str">
        <f>IF(C27="","",IF(C28="",A28 &amp;" !",""))</f>
        <v/>
      </c>
    </row>
    <row r="30" spans="1:31" ht="18" x14ac:dyDescent="0.25">
      <c r="A30" s="1177" t="str">
        <f>A31</f>
        <v>Prämienvolumen des Vorjahres</v>
      </c>
      <c r="B30" s="1178"/>
      <c r="C30" s="1178"/>
      <c r="D30" s="1632"/>
    </row>
    <row r="31" spans="1:31" x14ac:dyDescent="0.2">
      <c r="A31" s="1634" t="str">
        <f>Translation!B978</f>
        <v>Prämienvolumen des Vorjahres</v>
      </c>
      <c r="B31" s="1184"/>
      <c r="C31" s="903"/>
      <c r="D31" s="1635"/>
    </row>
  </sheetData>
  <mergeCells count="5">
    <mergeCell ref="J10:J11"/>
    <mergeCell ref="A22:B22"/>
    <mergeCell ref="A10:B11"/>
    <mergeCell ref="C10:C11"/>
    <mergeCell ref="D10:I10"/>
  </mergeCells>
  <conditionalFormatting sqref="E28">
    <cfRule type="notContainsBlanks" dxfId="67" priority="2">
      <formula>LEN(TRIM(E28))&gt;0</formula>
    </cfRule>
  </conditionalFormatting>
  <conditionalFormatting sqref="C24">
    <cfRule type="containsText" dxfId="66" priority="1" operator="containsText" text="OK">
      <formula>NOT(ISERROR(SEARCH("OK",C24)))</formula>
    </cfRule>
  </conditionalFormatting>
  <hyperlinks>
    <hyperlink ref="A1" location="list_of_sheets!A1" display="BAG 0" xr:uid="{00000000-0004-0000-0B00-000000000000}"/>
  </hyperlinks>
  <pageMargins left="0.70866141732283472" right="0.70866141732283472" top="0.78740157480314965" bottom="0.78740157480314965" header="0.31496062992125984" footer="0.31496062992125984"/>
  <pageSetup paperSize="9" scale="55" orientation="landscape" r:id="rId1"/>
  <headerFooter>
    <oddHeader>&amp;R&amp;"Arial,Fett"&amp;12KVG-Solvenztest
Test de solvabilité LAMal</oddHeader>
    <oddFooter>&amp;L&amp;F / &amp;A&amp;R&amp;D / BAG-FAKV</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rgb="FF00FFFF"/>
    <pageSetUpPr fitToPage="1"/>
  </sheetPr>
  <dimension ref="A1:AG103"/>
  <sheetViews>
    <sheetView zoomScaleNormal="100" workbookViewId="0"/>
  </sheetViews>
  <sheetFormatPr baseColWidth="10" defaultColWidth="11.42578125" defaultRowHeight="12.75" x14ac:dyDescent="0.2"/>
  <cols>
    <col min="1" max="1" width="20.42578125" style="1028" customWidth="1"/>
    <col min="2" max="2" width="43.5703125" style="1028" customWidth="1"/>
    <col min="3" max="3" width="17.7109375" style="1028" customWidth="1"/>
    <col min="4" max="4" width="14.7109375" style="1028" customWidth="1"/>
    <col min="5" max="5" width="13.7109375" style="1028" customWidth="1"/>
    <col min="6" max="6" width="14.28515625" style="1028" customWidth="1"/>
    <col min="7" max="7" width="13.5703125" style="1028" customWidth="1"/>
    <col min="8" max="8" width="11.28515625" style="1028" customWidth="1"/>
    <col min="9" max="9" width="15.28515625" style="1028" bestFit="1" customWidth="1"/>
    <col min="10" max="10" width="11.28515625" style="1028" customWidth="1"/>
    <col min="11" max="11" width="11.42578125" style="1641"/>
    <col min="12" max="16384" width="11.42578125" style="1028"/>
  </cols>
  <sheetData>
    <row r="1" spans="1:33" s="1275" customFormat="1" ht="21" thickBot="1" x14ac:dyDescent="0.35">
      <c r="A1" s="2181" t="s">
        <v>2598</v>
      </c>
      <c r="B1" s="1277" t="str">
        <f>Translation!B270</f>
        <v>BAG Szenarien</v>
      </c>
      <c r="C1" s="1277"/>
      <c r="D1" s="1278"/>
      <c r="E1" s="1278"/>
      <c r="F1" s="1278"/>
      <c r="G1" s="1279"/>
      <c r="H1" s="1278"/>
      <c r="I1" s="1278"/>
      <c r="J1" s="1278"/>
      <c r="K1" s="1639"/>
    </row>
    <row r="2" spans="1:33" s="1173" customFormat="1" ht="20.100000000000001" customHeight="1" x14ac:dyDescent="0.2">
      <c r="A2" s="1171"/>
      <c r="B2" s="1172" t="str">
        <f>Inputparam!C8</f>
        <v xml:space="preserve">0000 </v>
      </c>
      <c r="K2" s="1640"/>
    </row>
    <row r="4" spans="1:33" x14ac:dyDescent="0.2">
      <c r="A4" s="1028" t="s">
        <v>722</v>
      </c>
      <c r="K4" s="1642"/>
    </row>
    <row r="5" spans="1:33" ht="18" x14ac:dyDescent="0.25">
      <c r="A5" s="1024" t="str">
        <f>Translation!B271</f>
        <v xml:space="preserve">BAG 1: ungünstige Risikostruktur des Neugeschäfts </v>
      </c>
      <c r="E5" s="26" t="str">
        <f>Translation!B969</f>
        <v>Durchschnittliche Nettoleistungen und Risikoausgleichsbeträge (NL+RA) pro Franchise</v>
      </c>
      <c r="F5"/>
      <c r="G5"/>
      <c r="H5"/>
      <c r="I5"/>
      <c r="J5"/>
      <c r="K5"/>
      <c r="L5"/>
      <c r="M5"/>
      <c r="N5"/>
      <c r="O5"/>
      <c r="P5"/>
      <c r="Q5"/>
      <c r="R5"/>
      <c r="S5"/>
      <c r="T5"/>
      <c r="U5"/>
      <c r="V5"/>
      <c r="W5"/>
      <c r="X5"/>
      <c r="Y5"/>
      <c r="Z5"/>
      <c r="AA5"/>
      <c r="AB5"/>
      <c r="AC5"/>
      <c r="AD5"/>
    </row>
    <row r="6" spans="1:33" x14ac:dyDescent="0.2">
      <c r="A6" s="2523" t="str">
        <f>Translation!B273</f>
        <v>Bruttoneueintritte</v>
      </c>
      <c r="B6" s="2524"/>
      <c r="C6" s="2503"/>
      <c r="D6" s="1642"/>
      <c r="E6" s="2227">
        <v>300</v>
      </c>
      <c r="F6" s="2227">
        <v>500</v>
      </c>
      <c r="G6" s="2227">
        <v>1000</v>
      </c>
      <c r="H6" s="2227">
        <v>1500</v>
      </c>
      <c r="I6" s="2227">
        <v>2000</v>
      </c>
      <c r="J6" s="2227">
        <v>2500</v>
      </c>
      <c r="K6"/>
      <c r="L6"/>
      <c r="M6"/>
      <c r="N6"/>
      <c r="O6"/>
      <c r="P6"/>
      <c r="Q6"/>
      <c r="R6"/>
      <c r="S6"/>
      <c r="T6"/>
      <c r="U6"/>
      <c r="V6"/>
      <c r="W6"/>
      <c r="X6"/>
      <c r="Y6"/>
      <c r="Z6"/>
      <c r="AA6"/>
      <c r="AB6"/>
      <c r="AC6"/>
      <c r="AD6"/>
    </row>
    <row r="7" spans="1:33" s="1176" customFormat="1" x14ac:dyDescent="0.2">
      <c r="A7" s="2525"/>
      <c r="B7" s="2526"/>
      <c r="C7" s="2504"/>
      <c r="D7" s="1641"/>
      <c r="E7" s="2228">
        <v>-448.8</v>
      </c>
      <c r="F7" s="2228">
        <v>-391.9</v>
      </c>
      <c r="G7" s="2228">
        <v>-322</v>
      </c>
      <c r="H7" s="2228">
        <v>-285.5</v>
      </c>
      <c r="I7" s="2228">
        <v>-267.8</v>
      </c>
      <c r="J7" s="2228">
        <v>-281.3</v>
      </c>
      <c r="K7" s="3"/>
      <c r="L7" s="3"/>
      <c r="M7" s="3"/>
      <c r="N7" s="3"/>
      <c r="O7" s="3"/>
      <c r="P7" s="3"/>
      <c r="Q7" s="3"/>
      <c r="R7" s="3"/>
      <c r="S7" s="3"/>
      <c r="T7" s="3"/>
      <c r="U7" s="3"/>
      <c r="V7" s="3"/>
      <c r="W7" s="3"/>
      <c r="X7" s="3"/>
      <c r="Y7" s="3"/>
      <c r="Z7" s="3"/>
      <c r="AA7" s="3"/>
      <c r="AB7" s="3"/>
      <c r="AC7" s="3"/>
      <c r="AD7" s="3"/>
    </row>
    <row r="8" spans="1:33" x14ac:dyDescent="0.2">
      <c r="A8" s="2509" t="str">
        <f>Translation!B963</f>
        <v>Anzahl Bruttoneueintritte per 01.01.2025 - (KIN)</v>
      </c>
      <c r="B8" s="2510"/>
      <c r="C8" s="1764">
        <f>SUM('BAG 0'!C16)</f>
        <v>0</v>
      </c>
      <c r="D8" s="1641"/>
      <c r="E8" s="2248" t="str">
        <f>Translation!B970</f>
        <v>Durchschnittliche Nettoleistungen und Risikoausgleichsbeträge (NL+RA) pro Kanton</v>
      </c>
      <c r="F8"/>
      <c r="G8"/>
      <c r="H8"/>
      <c r="I8"/>
      <c r="J8"/>
      <c r="K8"/>
      <c r="L8"/>
      <c r="M8"/>
      <c r="N8"/>
      <c r="O8"/>
      <c r="P8"/>
      <c r="Q8"/>
      <c r="R8"/>
      <c r="S8"/>
      <c r="T8"/>
      <c r="U8"/>
      <c r="V8"/>
      <c r="W8"/>
      <c r="X8"/>
      <c r="Y8"/>
      <c r="Z8"/>
      <c r="AA8"/>
      <c r="AB8"/>
      <c r="AC8"/>
      <c r="AD8"/>
    </row>
    <row r="9" spans="1:33" x14ac:dyDescent="0.2">
      <c r="A9" s="2511" t="str">
        <f>Translation!B965</f>
        <v>durchsch. NL pro Versicherten - (KIN) (Kasse)</v>
      </c>
      <c r="B9" s="2512"/>
      <c r="C9" s="2226">
        <f>IFERROR(-'BAG 0'!C18/'BAG 0'!C15,0)</f>
        <v>0</v>
      </c>
      <c r="D9" s="1641"/>
      <c r="E9" s="2229" t="s">
        <v>1877</v>
      </c>
      <c r="F9" s="2229" t="s">
        <v>1878</v>
      </c>
      <c r="G9" s="2229" t="s">
        <v>1879</v>
      </c>
      <c r="H9" s="2229" t="s">
        <v>1880</v>
      </c>
      <c r="I9" s="2229" t="s">
        <v>1881</v>
      </c>
      <c r="J9" s="2229" t="s">
        <v>1882</v>
      </c>
      <c r="K9" s="2229" t="s">
        <v>1883</v>
      </c>
      <c r="L9" s="2229" t="s">
        <v>1884</v>
      </c>
      <c r="M9" s="2230" t="s">
        <v>1885</v>
      </c>
      <c r="N9" s="2229" t="s">
        <v>1886</v>
      </c>
      <c r="O9" s="2229" t="s">
        <v>1887</v>
      </c>
      <c r="P9" s="2229" t="s">
        <v>1888</v>
      </c>
      <c r="Q9" s="2229" t="s">
        <v>1889</v>
      </c>
      <c r="R9" s="2229" t="s">
        <v>1890</v>
      </c>
      <c r="S9" s="2229" t="s">
        <v>1891</v>
      </c>
      <c r="T9" s="2229" t="s">
        <v>1892</v>
      </c>
      <c r="U9" s="2229" t="s">
        <v>1893</v>
      </c>
      <c r="V9" s="2229" t="s">
        <v>1894</v>
      </c>
      <c r="W9" s="2229" t="s">
        <v>1895</v>
      </c>
      <c r="X9" s="2229" t="s">
        <v>1896</v>
      </c>
      <c r="Y9" s="2229" t="s">
        <v>1897</v>
      </c>
      <c r="Z9" s="2229" t="s">
        <v>1898</v>
      </c>
      <c r="AA9" s="2229" t="s">
        <v>1899</v>
      </c>
      <c r="AB9" s="2229" t="s">
        <v>1900</v>
      </c>
      <c r="AC9" s="2229" t="s">
        <v>1901</v>
      </c>
      <c r="AD9" s="2229" t="s">
        <v>1902</v>
      </c>
    </row>
    <row r="10" spans="1:33" s="1179" customFormat="1" x14ac:dyDescent="0.2">
      <c r="A10" s="2513" t="str">
        <f>Translation!B966</f>
        <v>1.20*durchschn. NL pro Versicherten - (KIN) (CH)</v>
      </c>
      <c r="B10" s="2514"/>
      <c r="C10" s="2238">
        <f>1.2*1359.4*(1+E18)*(1+G18)</f>
        <v>1727.1847892429032</v>
      </c>
      <c r="D10" s="1641"/>
      <c r="E10" s="2228">
        <v>-343.5</v>
      </c>
      <c r="F10" s="2228">
        <v>-258.2</v>
      </c>
      <c r="G10" s="2228">
        <v>-321.7</v>
      </c>
      <c r="H10" s="2228">
        <v>-380</v>
      </c>
      <c r="I10" s="2228">
        <v>-416.6</v>
      </c>
      <c r="J10" s="2228">
        <v>-449.1</v>
      </c>
      <c r="K10" s="2228">
        <v>-347</v>
      </c>
      <c r="L10" s="2228">
        <v>-456.7</v>
      </c>
      <c r="M10" s="2228">
        <v>-324.5</v>
      </c>
      <c r="N10" s="2228">
        <v>-316</v>
      </c>
      <c r="O10" s="2228">
        <v>-410.5</v>
      </c>
      <c r="P10" s="2228">
        <v>-316.60000000000002</v>
      </c>
      <c r="Q10" s="2228">
        <v>-416.9</v>
      </c>
      <c r="R10" s="2228">
        <v>-300.5</v>
      </c>
      <c r="S10" s="2228">
        <v>-292</v>
      </c>
      <c r="T10" s="2228">
        <v>-322.7</v>
      </c>
      <c r="U10" s="2228">
        <v>-358.1</v>
      </c>
      <c r="V10" s="2228">
        <v>-374.9</v>
      </c>
      <c r="W10" s="2228">
        <v>-311.5</v>
      </c>
      <c r="X10" s="2228">
        <v>-326.5</v>
      </c>
      <c r="Y10" s="2228">
        <v>-453.6</v>
      </c>
      <c r="Z10" s="2228">
        <v>-289.5</v>
      </c>
      <c r="AA10" s="2228">
        <v>-402.5</v>
      </c>
      <c r="AB10" s="2228">
        <v>-342.9</v>
      </c>
      <c r="AC10" s="2228">
        <v>-297.60000000000002</v>
      </c>
      <c r="AD10" s="2228">
        <v>-352.7</v>
      </c>
    </row>
    <row r="11" spans="1:33" s="1179" customFormat="1" x14ac:dyDescent="0.2">
      <c r="A11" s="2309" t="str">
        <f>Translation!B984</f>
        <v>nicht kalkulierte Zusatzkosten Total - (KIN)</v>
      </c>
      <c r="B11" s="1184"/>
      <c r="C11" s="2252">
        <f>IF(C10&gt;C9,(C10-C9)*C8,0)</f>
        <v>0</v>
      </c>
      <c r="D11" s="1641"/>
      <c r="E11" s="2253"/>
      <c r="F11" s="2253"/>
      <c r="G11" s="2253"/>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1170"/>
      <c r="AF11" s="1170"/>
      <c r="AG11" s="1170"/>
    </row>
    <row r="12" spans="1:33" s="1179" customFormat="1" x14ac:dyDescent="0.2">
      <c r="A12" s="2511" t="str">
        <f>Translation!B964</f>
        <v>Anzahl Bruttoneueintritte per 01.01.2025 - (JUG+ERW)</v>
      </c>
      <c r="B12" s="2512"/>
      <c r="C12" s="2226">
        <f>SUM('BAG 0'!D16:I16)</f>
        <v>0</v>
      </c>
      <c r="D12" s="1641"/>
      <c r="E12" s="26" t="str">
        <f>Translation!B971</f>
        <v>Kantonale Kostenfaktoren</v>
      </c>
      <c r="F12" s="1683"/>
      <c r="G12"/>
      <c r="H12"/>
      <c r="I12"/>
      <c r="J12"/>
      <c r="K12"/>
      <c r="L12"/>
      <c r="M12"/>
      <c r="N12"/>
      <c r="O12"/>
      <c r="P12"/>
      <c r="Q12"/>
      <c r="R12"/>
      <c r="S12"/>
      <c r="T12"/>
      <c r="U12"/>
      <c r="V12"/>
      <c r="W12"/>
      <c r="X12"/>
      <c r="Y12"/>
      <c r="Z12"/>
      <c r="AA12"/>
      <c r="AB12"/>
      <c r="AC12"/>
      <c r="AD12"/>
    </row>
    <row r="13" spans="1:33" s="1179" customFormat="1" x14ac:dyDescent="0.2">
      <c r="A13" s="2511" t="str">
        <f>Translation!B967</f>
        <v>durchschn. NL+RA pro Versicherten - (JUG+ERW) (Kasse)</v>
      </c>
      <c r="B13" s="2512"/>
      <c r="C13" s="2226">
        <f>IFERROR(-(SUM('BAG 0'!D18:I18))/SUM('BAG 0'!D15:I15),0)</f>
        <v>0</v>
      </c>
      <c r="D13" s="1641"/>
      <c r="E13" s="2231">
        <f t="shared" ref="E13:AD13" si="0">E10/$E$15</f>
        <v>0.9344396082698585</v>
      </c>
      <c r="F13" s="2231">
        <f t="shared" si="0"/>
        <v>0.70239390642002164</v>
      </c>
      <c r="G13" s="2231">
        <f t="shared" si="0"/>
        <v>0.8751360174102284</v>
      </c>
      <c r="H13" s="2231">
        <f t="shared" si="0"/>
        <v>1.0337323177366702</v>
      </c>
      <c r="I13" s="2231">
        <f t="shared" si="0"/>
        <v>1.1332970620239391</v>
      </c>
      <c r="J13" s="2231">
        <f t="shared" si="0"/>
        <v>1.2217083786724701</v>
      </c>
      <c r="K13" s="2231">
        <f t="shared" si="0"/>
        <v>0.94396082698585415</v>
      </c>
      <c r="L13" s="2231">
        <f t="shared" si="0"/>
        <v>1.2423830250272034</v>
      </c>
      <c r="M13" s="2231">
        <f t="shared" si="0"/>
        <v>0.88275299238302496</v>
      </c>
      <c r="N13" s="2231">
        <f t="shared" si="0"/>
        <v>0.85963003264417837</v>
      </c>
      <c r="O13" s="2231">
        <f t="shared" si="0"/>
        <v>1.1167029379760609</v>
      </c>
      <c r="P13" s="2231">
        <f t="shared" si="0"/>
        <v>0.86126224156692055</v>
      </c>
      <c r="Q13" s="2231">
        <f t="shared" si="0"/>
        <v>1.1341131664853099</v>
      </c>
      <c r="R13" s="2231">
        <f t="shared" si="0"/>
        <v>0.81746463547334058</v>
      </c>
      <c r="S13" s="2231">
        <f t="shared" si="0"/>
        <v>0.79434167573449399</v>
      </c>
      <c r="T13" s="2231">
        <f t="shared" si="0"/>
        <v>0.87785636561479863</v>
      </c>
      <c r="U13" s="2231">
        <f t="shared" si="0"/>
        <v>0.97415669205658328</v>
      </c>
      <c r="V13" s="2231">
        <f t="shared" si="0"/>
        <v>1.0198585418933623</v>
      </c>
      <c r="W13" s="2231">
        <f t="shared" si="0"/>
        <v>0.84738846572361259</v>
      </c>
      <c r="X13" s="2231">
        <f t="shared" si="0"/>
        <v>0.88819368879216531</v>
      </c>
      <c r="Y13" s="2231">
        <f t="shared" si="0"/>
        <v>1.2339499455930358</v>
      </c>
      <c r="Z13" s="2231">
        <f t="shared" si="0"/>
        <v>0.78754080522306846</v>
      </c>
      <c r="AA13" s="2231">
        <f t="shared" si="0"/>
        <v>1.0949401523394995</v>
      </c>
      <c r="AB13" s="2231">
        <f t="shared" si="0"/>
        <v>0.93280739934711632</v>
      </c>
      <c r="AC13" s="2231">
        <f t="shared" si="0"/>
        <v>0.80957562568008701</v>
      </c>
      <c r="AD13" s="2231">
        <f t="shared" si="0"/>
        <v>0.95946681175190418</v>
      </c>
    </row>
    <row r="14" spans="1:33" s="1179" customFormat="1" x14ac:dyDescent="0.2">
      <c r="A14" s="2513" t="str">
        <f>Translation!B968</f>
        <v>1.2*durchschn. NL+RA pro Versicherten - (JUG+ERW) (CH)</v>
      </c>
      <c r="B14" s="2514"/>
      <c r="C14" s="2238">
        <f>IFERROR(-1.2*(SUMPRODUCT(E7:J7,'BAG 0'!D15:I15)/SUM('BAG 0'!D15:I15)*12)*G15*(1+E18)*(1+G18),0)</f>
        <v>0</v>
      </c>
      <c r="D14" s="1641"/>
      <c r="E14" s="2232" t="s">
        <v>2596</v>
      </c>
      <c r="F14" s="1683"/>
      <c r="G14" s="2249" t="str">
        <f>Translation!B972</f>
        <v>Kostenfaktor in Bezug auf die kantonale Versichertenstruktur</v>
      </c>
      <c r="H14"/>
      <c r="I14"/>
      <c r="J14"/>
      <c r="K14"/>
      <c r="L14"/>
      <c r="M14"/>
      <c r="N14"/>
      <c r="O14"/>
      <c r="P14"/>
      <c r="Q14"/>
      <c r="R14"/>
      <c r="S14"/>
      <c r="T14"/>
      <c r="U14"/>
      <c r="V14"/>
      <c r="W14"/>
      <c r="X14"/>
      <c r="Y14"/>
      <c r="Z14"/>
      <c r="AA14"/>
      <c r="AB14"/>
      <c r="AC14"/>
      <c r="AD14"/>
    </row>
    <row r="15" spans="1:33" s="1179" customFormat="1" x14ac:dyDescent="0.2">
      <c r="A15" s="2309" t="str">
        <f>Translation!B985</f>
        <v>nicht kalkulierte Zusatzkosten - (JUG+ERW)</v>
      </c>
      <c r="B15" s="1184"/>
      <c r="C15" s="2252">
        <f>IF(C14&gt;C13,(C14-C13)*C12,0)</f>
        <v>0</v>
      </c>
      <c r="D15" s="2261"/>
      <c r="E15" s="2228">
        <v>-367.6</v>
      </c>
      <c r="F15" s="2233"/>
      <c r="G15" s="2231" t="str">
        <f>IFERROR(SUMPRODUCT(E13:AD13,'BAG 0'!C23:AB23)/SUM('BAG 0'!C23:AB23),"")</f>
        <v/>
      </c>
      <c r="H15" s="2233"/>
      <c r="I15" s="2233"/>
      <c r="J15" s="2233"/>
      <c r="K15" s="2233"/>
      <c r="L15" s="2233"/>
      <c r="M15" s="2233"/>
      <c r="N15" s="2233"/>
      <c r="O15" s="2233"/>
      <c r="P15" s="2233"/>
      <c r="Q15" s="2233"/>
      <c r="R15" s="2233"/>
      <c r="S15" s="2233"/>
      <c r="T15" s="2233"/>
      <c r="U15" s="2233"/>
      <c r="V15" s="2233"/>
      <c r="W15" s="2233"/>
      <c r="X15" s="2233"/>
      <c r="Y15" s="2233"/>
      <c r="Z15" s="2233"/>
      <c r="AA15" s="2233"/>
      <c r="AB15" s="2233"/>
      <c r="AC15" s="2233"/>
      <c r="AD15" s="2233"/>
    </row>
    <row r="16" spans="1:33" s="1179" customFormat="1" x14ac:dyDescent="0.2">
      <c r="A16" s="1636" t="str">
        <f>Translation!B281</f>
        <v>nicht kalkulierte Zusatzkosten Total</v>
      </c>
      <c r="B16" s="1643"/>
      <c r="C16" s="1644">
        <f>C15+C11</f>
        <v>0</v>
      </c>
      <c r="D16" s="1641"/>
      <c r="E16" s="1028"/>
      <c r="F16" s="1028"/>
      <c r="G16" s="1028"/>
      <c r="H16" s="1028"/>
      <c r="I16" s="2233"/>
      <c r="J16" s="2233"/>
      <c r="K16" s="2233"/>
      <c r="L16" s="2233"/>
      <c r="M16" s="2233"/>
      <c r="N16" s="2233"/>
      <c r="O16" s="2233"/>
      <c r="P16" s="2233"/>
      <c r="Q16" s="2233"/>
      <c r="R16" s="2233"/>
      <c r="S16" s="2233"/>
      <c r="T16" s="2233"/>
      <c r="U16" s="2233"/>
      <c r="V16" s="2233"/>
      <c r="W16" s="2233"/>
      <c r="X16" s="2233"/>
      <c r="Y16" s="2233"/>
      <c r="Z16" s="2233"/>
      <c r="AA16" s="2233"/>
      <c r="AB16" s="2233"/>
      <c r="AC16" s="2233"/>
      <c r="AD16" s="2233"/>
    </row>
    <row r="17" spans="1:32" s="1179" customFormat="1" x14ac:dyDescent="0.2">
      <c r="A17" s="1627"/>
      <c r="B17" s="1645"/>
      <c r="C17" s="1646"/>
      <c r="D17" s="1641"/>
      <c r="E17" s="2406" t="str">
        <f>Translation!B986</f>
        <v>Teuerung 2024</v>
      </c>
      <c r="F17" s="1170"/>
      <c r="G17" s="2406" t="str">
        <f>Translation!B987</f>
        <v>Teuerung 2025</v>
      </c>
      <c r="H17" s="2407"/>
      <c r="I17" s="2408"/>
      <c r="J17" s="2233"/>
      <c r="K17" s="2233"/>
      <c r="L17" s="2233"/>
      <c r="M17" s="2233"/>
      <c r="N17" s="2233"/>
      <c r="O17" s="2233"/>
      <c r="P17" s="2233"/>
      <c r="Q17" s="2233"/>
      <c r="R17" s="2233"/>
      <c r="S17" s="2233"/>
      <c r="T17" s="2233"/>
      <c r="U17" s="2233"/>
      <c r="V17" s="2233"/>
      <c r="W17" s="2233"/>
      <c r="X17" s="2233"/>
      <c r="Y17" s="2233"/>
      <c r="Z17" s="2233"/>
      <c r="AA17" s="2233"/>
      <c r="AB17" s="2233"/>
      <c r="AC17" s="2233"/>
      <c r="AD17" s="2233"/>
    </row>
    <row r="18" spans="1:32" s="1179" customFormat="1" ht="15.75" x14ac:dyDescent="0.25">
      <c r="A18" s="1809"/>
      <c r="B18" s="1809"/>
      <c r="C18" s="1810"/>
      <c r="D18" s="1649"/>
      <c r="E18" s="2297">
        <v>2.8975765870544734E-2</v>
      </c>
      <c r="G18" s="2297">
        <v>2.8975765870544734E-2</v>
      </c>
      <c r="H18" s="1028"/>
      <c r="I18" s="2233"/>
      <c r="J18" s="2233"/>
      <c r="K18" s="1641"/>
      <c r="L18" s="1641"/>
      <c r="M18" s="1641"/>
      <c r="N18" s="2233"/>
      <c r="O18" s="2233"/>
      <c r="P18" s="2233"/>
      <c r="Q18" s="2233"/>
      <c r="R18" s="2233"/>
      <c r="S18" s="2233"/>
      <c r="T18" s="2233"/>
      <c r="U18" s="2233"/>
      <c r="V18" s="2233"/>
      <c r="W18" s="2233"/>
      <c r="X18" s="2233"/>
      <c r="Y18" s="2233"/>
      <c r="Z18" s="2233"/>
      <c r="AA18" s="2233"/>
      <c r="AB18" s="2233"/>
      <c r="AC18" s="2233"/>
      <c r="AD18" s="2233"/>
    </row>
    <row r="19" spans="1:32" ht="15.75" x14ac:dyDescent="0.25">
      <c r="A19" s="1647" t="str">
        <f>Translation!B299</f>
        <v>Veränderung der Aktiven</v>
      </c>
      <c r="B19" s="1647"/>
      <c r="C19" s="1648">
        <v>0</v>
      </c>
      <c r="D19" s="1641"/>
      <c r="L19" s="1641"/>
      <c r="M19" s="1641"/>
    </row>
    <row r="20" spans="1:32" ht="15.75" x14ac:dyDescent="0.25">
      <c r="A20" s="1647" t="str">
        <f>Translation!B300</f>
        <v>Veränderung der Passiven</v>
      </c>
      <c r="B20" s="1647"/>
      <c r="C20" s="1648">
        <f>C16</f>
        <v>0</v>
      </c>
      <c r="D20" s="1641"/>
      <c r="L20" s="1641"/>
      <c r="M20" s="1641"/>
    </row>
    <row r="21" spans="1:32" ht="15.75" x14ac:dyDescent="0.25">
      <c r="A21" s="1650" t="str">
        <f>Translation!B301</f>
        <v>Veränderung der Reserven</v>
      </c>
      <c r="B21" s="1650"/>
      <c r="C21" s="1651">
        <f>C19-C20</f>
        <v>0</v>
      </c>
      <c r="D21" s="1641"/>
      <c r="E21" s="1631"/>
      <c r="L21" s="1641"/>
      <c r="M21" s="1641"/>
      <c r="AE21" s="1179"/>
      <c r="AF21" s="1179"/>
    </row>
    <row r="22" spans="1:32" x14ac:dyDescent="0.2">
      <c r="D22" s="1642"/>
      <c r="K22" s="1028"/>
    </row>
    <row r="23" spans="1:32" x14ac:dyDescent="0.2">
      <c r="D23" s="1642"/>
      <c r="K23" s="1028"/>
    </row>
    <row r="24" spans="1:32" x14ac:dyDescent="0.2">
      <c r="A24" s="1631" t="s">
        <v>723</v>
      </c>
      <c r="K24" s="1028"/>
    </row>
    <row r="25" spans="1:32" ht="22.5" customHeight="1" x14ac:dyDescent="0.25">
      <c r="A25" s="1024" t="str">
        <f>Translation!B286</f>
        <v>BAG 2: unerwartete Zunahme Hochkostenfälle</v>
      </c>
      <c r="K25" s="1028"/>
    </row>
    <row r="26" spans="1:32" x14ac:dyDescent="0.2">
      <c r="A26" s="2523" t="str">
        <f>Translation!B288</f>
        <v>Hochkostenfälle</v>
      </c>
      <c r="B26" s="2524"/>
      <c r="C26" s="2496"/>
    </row>
    <row r="27" spans="1:32" x14ac:dyDescent="0.2">
      <c r="A27" s="2525"/>
      <c r="B27" s="2526"/>
      <c r="C27" s="2497"/>
      <c r="D27" s="1570"/>
      <c r="E27" s="2523" t="str">
        <f>Translation!B296</f>
        <v>GR Versicherung</v>
      </c>
      <c r="F27" s="2529"/>
    </row>
    <row r="28" spans="1:32" x14ac:dyDescent="0.2">
      <c r="A28" s="1762" t="str">
        <f>Translation!B289</f>
        <v>Anzahl Neueintritte</v>
      </c>
      <c r="B28" s="1763"/>
      <c r="C28" s="1767">
        <f>SUM('BAG 0'!C16:I16)</f>
        <v>0</v>
      </c>
      <c r="D28" s="1570"/>
      <c r="E28" s="2530"/>
      <c r="F28" s="2531"/>
      <c r="G28" s="1628"/>
    </row>
    <row r="29" spans="1:32" x14ac:dyDescent="0.2">
      <c r="A29" s="1653" t="str">
        <f>Translation!B290</f>
        <v>davon Anteil Hochkostenfälle in Prozent</v>
      </c>
      <c r="B29" s="1765"/>
      <c r="C29" s="2272">
        <f>IFERROR(_xlfn.BINOM.INV(C28,0.0003,0.99)/C28,0)</f>
        <v>0</v>
      </c>
      <c r="E29" s="2532" t="str">
        <f>Translation!B295</f>
        <v>Selbstbehalt</v>
      </c>
      <c r="F29" s="2534" t="str">
        <f>IF('BAG 0'!$C$27=0,"",'BAG 0'!$C$27)</f>
        <v/>
      </c>
      <c r="G29" s="1628"/>
    </row>
    <row r="30" spans="1:32" x14ac:dyDescent="0.2">
      <c r="A30" s="1653" t="str">
        <f>Translation!B291</f>
        <v>davon Anteil Hochkostenfälle absolut</v>
      </c>
      <c r="B30" s="1765"/>
      <c r="C30" s="1768">
        <f>IF(C28&gt;0,MAX(1,C29*C28),0)</f>
        <v>0</v>
      </c>
      <c r="E30" s="2533"/>
      <c r="F30" s="2527"/>
      <c r="G30" s="1654" t="str">
        <f>Translation!B262</f>
        <v>(Aus Blatt BAG 37)</v>
      </c>
    </row>
    <row r="31" spans="1:32" x14ac:dyDescent="0.2">
      <c r="A31" s="1653" t="str">
        <f>Translation!B292</f>
        <v>Zusatzkosten pro Hochkostenfall</v>
      </c>
      <c r="B31" s="1765"/>
      <c r="C31" s="2239">
        <v>215000</v>
      </c>
      <c r="E31" s="2533" t="str">
        <f>Translation!B263</f>
        <v>Gesamtleistungslimite</v>
      </c>
      <c r="F31" s="2527">
        <f>'BAG 0'!$C$28</f>
        <v>0</v>
      </c>
      <c r="G31" s="1631"/>
    </row>
    <row r="32" spans="1:32" x14ac:dyDescent="0.2">
      <c r="A32" s="1653" t="str">
        <f>Translation!B293</f>
        <v>Zusatzkosten pro Hochkostenfall nach Rückversicherung</v>
      </c>
      <c r="B32" s="1765"/>
      <c r="C32" s="1766">
        <f>MIN($F$29,215000)</f>
        <v>215000</v>
      </c>
      <c r="E32" s="2535"/>
      <c r="F32" s="2528"/>
      <c r="G32" s="1642"/>
    </row>
    <row r="33" spans="1:21" x14ac:dyDescent="0.2">
      <c r="A33" s="1653" t="str">
        <f>Translation!B294</f>
        <v>Gesamtleistung der Rückversicherung</v>
      </c>
      <c r="B33" s="1765"/>
      <c r="C33" s="1766">
        <f>MIN(C30*($C$31-$C$32),F31)</f>
        <v>0</v>
      </c>
      <c r="G33" s="1631"/>
    </row>
    <row r="34" spans="1:21" x14ac:dyDescent="0.2">
      <c r="A34" s="1769" t="str">
        <f>Translation!B281</f>
        <v>nicht kalkulierte Zusatzkosten Total</v>
      </c>
      <c r="B34" s="1770"/>
      <c r="C34" s="1771">
        <f>C30*C31-MIN(C33,F31)</f>
        <v>0</v>
      </c>
      <c r="G34" s="1631"/>
    </row>
    <row r="35" spans="1:21" x14ac:dyDescent="0.2">
      <c r="G35" s="1631"/>
    </row>
    <row r="36" spans="1:21" ht="15.75" x14ac:dyDescent="0.25">
      <c r="A36" s="1647" t="str">
        <f>Translation!$B$299</f>
        <v>Veränderung der Aktiven</v>
      </c>
      <c r="B36" s="1647"/>
      <c r="C36" s="1648">
        <v>0</v>
      </c>
      <c r="D36" s="1628"/>
      <c r="E36" s="1179"/>
      <c r="F36" s="1179"/>
      <c r="G36" s="1179"/>
    </row>
    <row r="37" spans="1:21" s="1179" customFormat="1" ht="15.75" x14ac:dyDescent="0.25">
      <c r="A37" s="1647" t="str">
        <f>Translation!$B$300</f>
        <v>Veränderung der Passiven</v>
      </c>
      <c r="B37" s="1647"/>
      <c r="C37" s="1648">
        <f>C34</f>
        <v>0</v>
      </c>
      <c r="K37" s="1649"/>
    </row>
    <row r="38" spans="1:21" s="1179" customFormat="1" ht="15.75" x14ac:dyDescent="0.25">
      <c r="A38" s="1650" t="str">
        <f>Translation!$B$301</f>
        <v>Veränderung der Reserven</v>
      </c>
      <c r="B38" s="1650"/>
      <c r="C38" s="1651">
        <f>C36-C37</f>
        <v>0</v>
      </c>
      <c r="E38" s="1028"/>
      <c r="F38" s="1028"/>
      <c r="G38" s="1028"/>
      <c r="K38" s="1649"/>
    </row>
    <row r="39" spans="1:21" x14ac:dyDescent="0.2">
      <c r="D39" s="1631"/>
      <c r="L39" s="1179"/>
      <c r="M39" s="1179"/>
      <c r="N39" s="1179"/>
      <c r="O39" s="1179"/>
      <c r="P39" s="1179"/>
      <c r="Q39" s="1179"/>
      <c r="R39" s="1179"/>
      <c r="S39" s="1179"/>
      <c r="T39" s="1179"/>
      <c r="U39" s="1179"/>
    </row>
    <row r="40" spans="1:21" x14ac:dyDescent="0.2">
      <c r="A40" s="1627"/>
      <c r="B40" s="1645"/>
      <c r="C40" s="1646"/>
      <c r="D40" s="1646"/>
      <c r="E40" s="1646"/>
      <c r="F40" s="1646"/>
      <c r="G40" s="407"/>
      <c r="H40" s="407"/>
      <c r="I40" s="407"/>
      <c r="L40" s="1179"/>
      <c r="M40" s="1179"/>
      <c r="N40" s="1179"/>
      <c r="O40" s="1179"/>
      <c r="P40" s="1179"/>
      <c r="Q40" s="1179"/>
      <c r="R40" s="1179"/>
      <c r="S40" s="1179"/>
      <c r="T40" s="1179"/>
      <c r="U40" s="1179"/>
    </row>
    <row r="41" spans="1:21" x14ac:dyDescent="0.2">
      <c r="A41" s="23" t="s">
        <v>724</v>
      </c>
      <c r="B41"/>
      <c r="C41"/>
      <c r="D41"/>
      <c r="F41"/>
      <c r="G41" s="407"/>
      <c r="M41" s="1179"/>
      <c r="N41" s="1179"/>
      <c r="O41" s="1179"/>
      <c r="P41" s="1179"/>
      <c r="Q41" s="1179"/>
      <c r="R41" s="1179"/>
      <c r="S41" s="1179"/>
      <c r="T41" s="1179"/>
      <c r="U41" s="1179"/>
    </row>
    <row r="42" spans="1:21" ht="18" x14ac:dyDescent="0.25">
      <c r="A42" s="1024" t="str">
        <f>Translation!B382</f>
        <v>BAG 3: Financial Distress</v>
      </c>
      <c r="G42" s="407"/>
      <c r="M42" s="1179"/>
      <c r="N42" s="1179"/>
      <c r="O42" s="1179"/>
      <c r="P42" s="1179"/>
      <c r="Q42" s="1179"/>
      <c r="R42" s="1179"/>
      <c r="S42" s="1179"/>
      <c r="T42" s="1179"/>
      <c r="U42" s="1179"/>
    </row>
    <row r="43" spans="1:21" ht="47.65" customHeight="1" x14ac:dyDescent="0.2">
      <c r="A43" s="2507" t="str">
        <f>Translation!B384</f>
        <v>Δ Assets aufgrund Finanzmarkt-Veränderungen</v>
      </c>
      <c r="B43" s="2508"/>
      <c r="C43" s="2508"/>
      <c r="D43" s="1686">
        <f>SUM(Szenarien_RiskFactors!$EJ$27:$EJ$68)*1000000</f>
        <v>0</v>
      </c>
      <c r="F43" s="1658"/>
      <c r="G43" s="407"/>
      <c r="M43" s="1179"/>
      <c r="N43" s="1179"/>
      <c r="O43" s="1179"/>
      <c r="P43" s="1179"/>
      <c r="Q43" s="1179"/>
      <c r="R43" s="1179"/>
      <c r="S43" s="1179"/>
      <c r="T43" s="1179"/>
      <c r="U43" s="1179"/>
    </row>
    <row r="44" spans="1:21" x14ac:dyDescent="0.2">
      <c r="A44" s="1687" t="str">
        <f>Translation!B385</f>
        <v>Δ Liabilities aufgrund Finanzmarkt-Veränderungen</v>
      </c>
      <c r="B44" s="1688"/>
      <c r="C44" s="1656"/>
      <c r="D44" s="1657">
        <f>SUM(Szenarien_RiskFactors!$EL$27:$EL$68)*1000000</f>
        <v>0</v>
      </c>
      <c r="F44" s="1658"/>
      <c r="G44" s="407"/>
      <c r="M44" s="1179"/>
      <c r="N44" s="1179"/>
      <c r="O44" s="1179"/>
      <c r="P44" s="1179"/>
      <c r="Q44" s="1179"/>
      <c r="R44" s="1179"/>
      <c r="S44" s="1179"/>
      <c r="T44" s="1179"/>
      <c r="U44" s="1179"/>
    </row>
    <row r="45" spans="1:21" x14ac:dyDescent="0.2">
      <c r="A45" s="1233"/>
      <c r="B45" s="1233"/>
      <c r="C45" s="1232"/>
      <c r="D45" s="23"/>
      <c r="F45" s="1232"/>
      <c r="G45" s="407"/>
      <c r="M45" s="1179"/>
      <c r="N45" s="1179"/>
      <c r="O45" s="1179"/>
      <c r="P45" s="1179"/>
      <c r="Q45" s="1179"/>
      <c r="R45" s="1179"/>
      <c r="S45" s="1179"/>
      <c r="T45" s="1179"/>
      <c r="U45" s="1179"/>
    </row>
    <row r="46" spans="1:21" ht="15.75" x14ac:dyDescent="0.25">
      <c r="A46" s="1647" t="str">
        <f>Translation!B299</f>
        <v>Veränderung der Aktiven</v>
      </c>
      <c r="B46" s="1647"/>
      <c r="C46" s="1647"/>
      <c r="D46" s="1648">
        <f>D43</f>
        <v>0</v>
      </c>
      <c r="F46" s="1232"/>
      <c r="G46" s="407"/>
      <c r="M46" s="1179"/>
      <c r="N46" s="1179"/>
      <c r="O46" s="1179"/>
      <c r="P46" s="1179"/>
      <c r="Q46" s="1179"/>
      <c r="R46" s="1179"/>
      <c r="S46" s="1179"/>
      <c r="T46" s="1179"/>
      <c r="U46" s="1179"/>
    </row>
    <row r="47" spans="1:21" ht="15.75" x14ac:dyDescent="0.25">
      <c r="A47" s="1647" t="str">
        <f>Translation!B300</f>
        <v>Veränderung der Passiven</v>
      </c>
      <c r="B47" s="1647"/>
      <c r="C47" s="1647"/>
      <c r="D47" s="1648">
        <f>D44</f>
        <v>0</v>
      </c>
      <c r="F47" s="1660"/>
      <c r="G47" s="407"/>
      <c r="M47" s="1179"/>
      <c r="N47" s="1179"/>
      <c r="O47" s="1179"/>
      <c r="P47" s="1179"/>
      <c r="Q47" s="1179"/>
      <c r="R47" s="1179"/>
      <c r="S47" s="1179"/>
      <c r="T47" s="1179"/>
      <c r="U47" s="1179"/>
    </row>
    <row r="48" spans="1:21" ht="15.75" x14ac:dyDescent="0.25">
      <c r="A48" s="1650" t="str">
        <f>Translation!B301</f>
        <v>Veränderung der Reserven</v>
      </c>
      <c r="B48" s="1650"/>
      <c r="C48" s="1650"/>
      <c r="D48" s="1651">
        <f>D46-D47</f>
        <v>0</v>
      </c>
      <c r="F48" s="1232"/>
      <c r="G48" s="407"/>
      <c r="M48" s="1179"/>
      <c r="N48" s="1179"/>
      <c r="O48" s="1179"/>
      <c r="P48" s="1179"/>
      <c r="Q48" s="1179"/>
      <c r="R48" s="1179"/>
      <c r="S48" s="1179"/>
      <c r="T48" s="1179"/>
      <c r="U48" s="1179"/>
    </row>
    <row r="49" spans="1:21" x14ac:dyDescent="0.2">
      <c r="F49" s="1232"/>
      <c r="G49" s="407"/>
      <c r="M49" s="1179"/>
      <c r="N49" s="1179"/>
      <c r="O49" s="1179"/>
      <c r="P49" s="1179"/>
      <c r="Q49" s="1179"/>
      <c r="R49" s="1179"/>
      <c r="S49" s="1179"/>
      <c r="T49" s="1179"/>
      <c r="U49" s="1179"/>
    </row>
    <row r="50" spans="1:21" x14ac:dyDescent="0.2">
      <c r="A50"/>
      <c r="B50"/>
      <c r="C50"/>
      <c r="D50"/>
      <c r="E50"/>
      <c r="F50"/>
      <c r="G50" s="407"/>
      <c r="H50" s="407"/>
      <c r="I50" s="407"/>
      <c r="L50" s="1179"/>
      <c r="M50" s="1179"/>
      <c r="N50" s="1179"/>
      <c r="O50" s="1179"/>
      <c r="P50" s="1179"/>
      <c r="Q50" s="1179"/>
      <c r="R50" s="1179"/>
      <c r="S50" s="1179"/>
      <c r="T50" s="1179"/>
      <c r="U50" s="1179"/>
    </row>
    <row r="51" spans="1:21" x14ac:dyDescent="0.2">
      <c r="A51" s="23" t="s">
        <v>725</v>
      </c>
      <c r="B51"/>
      <c r="C51"/>
      <c r="D51"/>
      <c r="E51"/>
      <c r="G51" s="407"/>
      <c r="N51" s="1179"/>
      <c r="O51" s="1179"/>
      <c r="P51" s="1179"/>
      <c r="Q51" s="1179"/>
      <c r="R51" s="1179"/>
      <c r="S51" s="1179"/>
      <c r="T51" s="1179"/>
      <c r="U51" s="1179"/>
    </row>
    <row r="52" spans="1:21" ht="18" x14ac:dyDescent="0.25">
      <c r="A52" s="1024" t="str">
        <f>Translation!B387</f>
        <v>BAG 4: Leistungsszenario EU</v>
      </c>
      <c r="C52" s="1631"/>
      <c r="E52" s="1027"/>
      <c r="G52" s="407"/>
      <c r="N52" s="1179"/>
      <c r="O52" s="1179"/>
      <c r="P52" s="1179"/>
      <c r="Q52" s="1179"/>
      <c r="R52" s="1179"/>
      <c r="S52" s="1179"/>
      <c r="T52" s="1179"/>
      <c r="U52" s="1179"/>
    </row>
    <row r="53" spans="1:21" ht="25.5" x14ac:dyDescent="0.2">
      <c r="A53" s="1689"/>
      <c r="B53" s="1849"/>
      <c r="C53" s="1690" t="str">
        <f>Translation!B262</f>
        <v>(Aus Blatt BAG 37)</v>
      </c>
      <c r="D53" s="1690"/>
      <c r="E53" s="1691" t="str">
        <f>Translation!B390</f>
        <v>Zusatzkosten TOTAL</v>
      </c>
      <c r="G53" s="407"/>
      <c r="N53" s="1179"/>
      <c r="O53" s="1179"/>
      <c r="P53" s="1179"/>
      <c r="Q53" s="1179"/>
      <c r="R53" s="1179"/>
      <c r="S53" s="1179"/>
      <c r="T53" s="1179"/>
      <c r="U53" s="1179"/>
    </row>
    <row r="54" spans="1:21" x14ac:dyDescent="0.2">
      <c r="A54" s="1674" t="str">
        <f>Translation!B389</f>
        <v>Erwarteter Schadenaufwand</v>
      </c>
      <c r="B54" s="2262"/>
      <c r="C54" s="1676">
        <f>-HE_Insurance_Risk!$P$42*10^6</f>
        <v>0</v>
      </c>
      <c r="D54" s="2264"/>
      <c r="E54" s="1692"/>
      <c r="G54" s="1666"/>
      <c r="N54" s="1179"/>
      <c r="O54" s="1179"/>
      <c r="P54" s="1179"/>
      <c r="Q54" s="1179"/>
      <c r="R54" s="1179"/>
      <c r="S54" s="1179"/>
      <c r="T54" s="1179"/>
      <c r="U54" s="1179"/>
    </row>
    <row r="55" spans="1:21" x14ac:dyDescent="0.2">
      <c r="A55" s="1674" t="s">
        <v>1957</v>
      </c>
      <c r="B55" s="2262"/>
      <c r="C55" s="1676">
        <f>HE_Insurance_Risk!$P$59</f>
        <v>0</v>
      </c>
      <c r="D55" s="2264"/>
      <c r="E55" s="1692"/>
      <c r="G55" s="1666"/>
      <c r="N55" s="1179"/>
      <c r="O55" s="1179"/>
      <c r="P55" s="1179"/>
      <c r="Q55" s="1179"/>
      <c r="R55" s="1179"/>
      <c r="S55" s="1179"/>
      <c r="T55" s="1179"/>
      <c r="U55" s="1179"/>
    </row>
    <row r="56" spans="1:21" x14ac:dyDescent="0.2">
      <c r="A56" s="1674" t="s">
        <v>2615</v>
      </c>
      <c r="B56" s="2262"/>
      <c r="C56" s="2266">
        <f>0.2+0.4*EXP(-$C$55/500)</f>
        <v>0.60000000000000009</v>
      </c>
      <c r="D56" s="2264"/>
      <c r="E56" s="1692"/>
      <c r="G56" s="165"/>
      <c r="N56" s="1179"/>
      <c r="O56" s="1179"/>
      <c r="P56" s="1179"/>
      <c r="Q56" s="1179"/>
      <c r="R56" s="1179"/>
      <c r="S56" s="1179"/>
      <c r="T56" s="1179"/>
      <c r="U56" s="1179"/>
    </row>
    <row r="57" spans="1:21" x14ac:dyDescent="0.2">
      <c r="A57" s="1687" t="s">
        <v>2616</v>
      </c>
      <c r="B57" s="2263"/>
      <c r="C57" s="1656"/>
      <c r="D57" s="2265"/>
      <c r="E57" s="1657">
        <f>C56*C54</f>
        <v>0</v>
      </c>
      <c r="G57" s="196"/>
      <c r="N57" s="1179"/>
      <c r="O57" s="1179"/>
      <c r="P57" s="1179"/>
      <c r="Q57" s="1179"/>
      <c r="R57" s="1179"/>
      <c r="S57" s="1179"/>
      <c r="T57" s="1179"/>
      <c r="U57" s="1179"/>
    </row>
    <row r="58" spans="1:21" x14ac:dyDescent="0.2">
      <c r="A58" s="1275"/>
      <c r="B58" s="1275"/>
      <c r="C58" s="1232"/>
      <c r="D58" s="23"/>
      <c r="E58" s="1232"/>
      <c r="G58" s="407"/>
      <c r="N58" s="1179"/>
      <c r="O58" s="1179"/>
      <c r="P58" s="1179"/>
      <c r="Q58" s="1179"/>
      <c r="R58" s="1179"/>
      <c r="S58" s="1179"/>
      <c r="T58" s="1179"/>
      <c r="U58" s="1179"/>
    </row>
    <row r="59" spans="1:21" ht="15.75" x14ac:dyDescent="0.25">
      <c r="A59" s="1647" t="str">
        <f>Translation!B299</f>
        <v>Veränderung der Aktiven</v>
      </c>
      <c r="B59" s="1647"/>
      <c r="C59" s="1647"/>
      <c r="D59" s="1647"/>
      <c r="E59" s="1648">
        <v>0</v>
      </c>
      <c r="G59" s="1232"/>
      <c r="N59" s="1179"/>
      <c r="O59" s="1179"/>
      <c r="P59" s="1179"/>
      <c r="Q59" s="1179"/>
      <c r="R59" s="1179"/>
      <c r="S59" s="1179"/>
      <c r="T59" s="1179"/>
      <c r="U59" s="1179"/>
    </row>
    <row r="60" spans="1:21" ht="15.75" x14ac:dyDescent="0.25">
      <c r="A60" s="1647" t="str">
        <f>Translation!B300</f>
        <v>Veränderung der Passiven</v>
      </c>
      <c r="B60" s="1647"/>
      <c r="C60" s="1647"/>
      <c r="D60" s="1647"/>
      <c r="E60" s="1648">
        <f>-SUM(E54:E57)</f>
        <v>0</v>
      </c>
      <c r="F60"/>
      <c r="G60"/>
      <c r="H60"/>
      <c r="I60"/>
      <c r="L60" s="1179"/>
      <c r="M60" s="1179"/>
      <c r="N60" s="1179"/>
      <c r="O60" s="1179"/>
      <c r="P60" s="1179"/>
      <c r="Q60" s="1179"/>
      <c r="R60" s="1179"/>
      <c r="S60" s="1179"/>
      <c r="T60" s="1179"/>
      <c r="U60" s="1179"/>
    </row>
    <row r="61" spans="1:21" ht="15.75" x14ac:dyDescent="0.25">
      <c r="A61" s="1650" t="str">
        <f>Translation!B301</f>
        <v>Veränderung der Reserven</v>
      </c>
      <c r="B61" s="1650"/>
      <c r="C61" s="1650"/>
      <c r="D61" s="1650"/>
      <c r="E61" s="1651">
        <f>E59-E60</f>
        <v>0</v>
      </c>
      <c r="F61"/>
      <c r="G61"/>
      <c r="H61"/>
      <c r="I61"/>
      <c r="L61" s="1179"/>
      <c r="M61" s="1179"/>
      <c r="N61" s="1179"/>
      <c r="O61" s="1179"/>
      <c r="P61" s="1179"/>
      <c r="Q61" s="1179"/>
      <c r="R61" s="1179"/>
      <c r="S61" s="1179"/>
      <c r="T61" s="1179"/>
      <c r="U61" s="1179"/>
    </row>
    <row r="62" spans="1:21" x14ac:dyDescent="0.2">
      <c r="L62" s="1179"/>
      <c r="M62" s="1179"/>
      <c r="N62" s="1179"/>
      <c r="O62" s="1179"/>
      <c r="P62" s="1179"/>
      <c r="Q62" s="1179"/>
      <c r="R62" s="1179"/>
      <c r="S62" s="1179"/>
      <c r="T62" s="1179"/>
      <c r="U62" s="1179"/>
    </row>
    <row r="64" spans="1:21" x14ac:dyDescent="0.2">
      <c r="A64" s="1631" t="s">
        <v>726</v>
      </c>
      <c r="C64" s="9"/>
      <c r="D64" s="9"/>
      <c r="E64"/>
    </row>
    <row r="65" spans="1:10" ht="18" x14ac:dyDescent="0.25">
      <c r="A65" s="1024" t="str">
        <f>Translation!B342</f>
        <v>BAG 5: Unterreservierung</v>
      </c>
      <c r="C65" s="1027"/>
      <c r="D65" s="1027"/>
    </row>
    <row r="66" spans="1:10" ht="51" x14ac:dyDescent="0.2">
      <c r="A66" s="2515" t="str">
        <f>Translation!B978</f>
        <v>Prämienvolumen des Vorjahres</v>
      </c>
      <c r="B66" s="2516"/>
      <c r="C66" s="2273" t="str">
        <f>Translation!B346</f>
        <v>Zuschlag</v>
      </c>
      <c r="D66" s="2274" t="str">
        <f>Translation!B281</f>
        <v>nicht kalkulierte Zusatzkosten Total</v>
      </c>
      <c r="E66" s="1658"/>
    </row>
    <row r="67" spans="1:10" x14ac:dyDescent="0.2">
      <c r="A67" s="1659"/>
      <c r="B67" s="2275"/>
      <c r="C67" s="2276">
        <f>1.5%+7.5%*EXP(-'BAG 0'!J12/10000)</f>
        <v>0.09</v>
      </c>
      <c r="D67" s="2277"/>
      <c r="E67" s="1638"/>
    </row>
    <row r="68" spans="1:10" x14ac:dyDescent="0.2">
      <c r="A68" s="2517">
        <f>'BAG 0'!C31</f>
        <v>0</v>
      </c>
      <c r="B68" s="2518"/>
      <c r="C68" s="2278"/>
      <c r="D68" s="1657">
        <f>A68*C67</f>
        <v>0</v>
      </c>
      <c r="E68" s="1232" t="str">
        <f>Translation!B347</f>
        <v>(aus Blatt 7)</v>
      </c>
    </row>
    <row r="69" spans="1:10" x14ac:dyDescent="0.2">
      <c r="A69" s="2279"/>
      <c r="B69" s="2279"/>
      <c r="C69" s="2280"/>
      <c r="D69" s="654"/>
      <c r="E69" s="1232"/>
    </row>
    <row r="70" spans="1:10" ht="15.75" x14ac:dyDescent="0.25">
      <c r="A70" s="1647" t="str">
        <f>Translation!B299</f>
        <v>Veränderung der Aktiven</v>
      </c>
      <c r="B70" s="1647"/>
      <c r="C70" s="1647"/>
      <c r="D70" s="1648">
        <v>0</v>
      </c>
      <c r="E70" s="1660"/>
    </row>
    <row r="71" spans="1:10" ht="15.75" x14ac:dyDescent="0.25">
      <c r="A71" s="1647" t="str">
        <f>Translation!B300</f>
        <v>Veränderung der Passiven</v>
      </c>
      <c r="B71" s="1647"/>
      <c r="C71" s="1647"/>
      <c r="D71" s="1648">
        <f>D68</f>
        <v>0</v>
      </c>
      <c r="E71" s="1232"/>
    </row>
    <row r="72" spans="1:10" ht="15.75" x14ac:dyDescent="0.25">
      <c r="A72" s="1650" t="str">
        <f>Translation!B301</f>
        <v>Veränderung der Reserven</v>
      </c>
      <c r="B72" s="1650"/>
      <c r="C72" s="1650"/>
      <c r="D72" s="1651">
        <f>D70-D71</f>
        <v>0</v>
      </c>
      <c r="E72" s="1232"/>
    </row>
    <row r="75" spans="1:10" x14ac:dyDescent="0.2">
      <c r="A75" s="1631" t="s">
        <v>727</v>
      </c>
      <c r="G75"/>
      <c r="H75"/>
      <c r="I75"/>
    </row>
    <row r="76" spans="1:10" ht="18" x14ac:dyDescent="0.25">
      <c r="A76" s="1024" t="str">
        <f>Translation!B348</f>
        <v>BAG 6: Konjunkturbaisse</v>
      </c>
      <c r="C76" s="1631" t="str">
        <f>Translation!B262</f>
        <v>(Aus Blatt BAG 37)</v>
      </c>
      <c r="E76" s="1027"/>
    </row>
    <row r="77" spans="1:10" ht="38.25" x14ac:dyDescent="0.2">
      <c r="A77" s="1661"/>
      <c r="B77" s="1655"/>
      <c r="C77" s="1662" t="str">
        <f>Translation!B354</f>
        <v>Einzel-Taggeld</v>
      </c>
      <c r="D77" s="1663" t="str">
        <f>Translation!B358</f>
        <v>Kollektiv-Taggeld</v>
      </c>
      <c r="E77" s="1664" t="str">
        <f>Translation!B353</f>
        <v>TOTAL Mengenausweitung</v>
      </c>
      <c r="F77" s="1665">
        <f>(1+F78)*(1+F79)-1</f>
        <v>0.5</v>
      </c>
      <c r="G77"/>
      <c r="H77"/>
      <c r="I77"/>
      <c r="J77"/>
    </row>
    <row r="78" spans="1:10" x14ac:dyDescent="0.2">
      <c r="A78" s="2519" t="str">
        <f>Translation!B355</f>
        <v>Leistungsvolumen 2025</v>
      </c>
      <c r="B78" s="2520"/>
      <c r="C78" s="1659">
        <f>(HE_Insurance_Risk!$L$42)*1000000</f>
        <v>0</v>
      </c>
      <c r="D78" s="1772">
        <f>(HE_Insurance_Risk!$N$42)*1000000</f>
        <v>0</v>
      </c>
      <c r="E78" s="1684" t="str">
        <f>Translation!B351</f>
        <v>Anstieg der Anzahl der Bezüger</v>
      </c>
      <c r="F78" s="2240">
        <v>0.25</v>
      </c>
    </row>
    <row r="79" spans="1:10" ht="38.25" x14ac:dyDescent="0.2">
      <c r="A79" s="2521" t="str">
        <f>Translation!B356</f>
        <v>Mengenausweitung gemäss Szenario</v>
      </c>
      <c r="B79" s="2522"/>
      <c r="C79" s="1667">
        <f>C78*$F$77</f>
        <v>0</v>
      </c>
      <c r="D79" s="1773">
        <f>D78*$F$77</f>
        <v>0</v>
      </c>
      <c r="E79" s="1848" t="str">
        <f>Translation!B352</f>
        <v>Erhöhung Taggeldbezugsdauer</v>
      </c>
      <c r="F79" s="2241">
        <v>0.2</v>
      </c>
      <c r="G79" s="1637"/>
      <c r="H79" s="23"/>
      <c r="I79" s="23"/>
      <c r="J79" s="23"/>
    </row>
    <row r="80" spans="1:10" x14ac:dyDescent="0.2">
      <c r="A80" s="1275"/>
      <c r="B80" s="1275"/>
      <c r="C80" s="1232"/>
      <c r="D80" s="23"/>
      <c r="E80" s="1232"/>
      <c r="F80" s="23"/>
      <c r="G80" s="1637"/>
      <c r="H80" s="23"/>
      <c r="I80" s="23"/>
      <c r="J80" s="23"/>
    </row>
    <row r="81" spans="1:19" ht="15.75" x14ac:dyDescent="0.25">
      <c r="A81" s="1647" t="str">
        <f>Translation!B299</f>
        <v>Veränderung der Aktiven</v>
      </c>
      <c r="B81" s="1647"/>
      <c r="C81" s="1647"/>
      <c r="D81" s="1647"/>
      <c r="E81" s="1647"/>
      <c r="F81" s="1648">
        <v>0</v>
      </c>
      <c r="G81" s="1232"/>
      <c r="H81" s="1685"/>
      <c r="I81" s="23"/>
      <c r="J81" s="23"/>
    </row>
    <row r="82" spans="1:19" ht="15.75" x14ac:dyDescent="0.25">
      <c r="A82" s="1647" t="str">
        <f>Translation!B300</f>
        <v>Veränderung der Passiven</v>
      </c>
      <c r="B82" s="1647"/>
      <c r="C82" s="1647"/>
      <c r="D82" s="1647"/>
      <c r="E82" s="1647"/>
      <c r="F82" s="1648">
        <f>SUM(C79,D79)</f>
        <v>0</v>
      </c>
      <c r="G82" s="1660"/>
      <c r="H82" s="1630"/>
      <c r="I82" s="23"/>
      <c r="J82" s="23"/>
    </row>
    <row r="83" spans="1:19" ht="15.75" x14ac:dyDescent="0.25">
      <c r="A83" s="1650" t="str">
        <f>Translation!B301</f>
        <v>Veränderung der Reserven</v>
      </c>
      <c r="B83" s="1650"/>
      <c r="C83" s="1650"/>
      <c r="D83" s="1650"/>
      <c r="E83" s="1650"/>
      <c r="F83" s="1651">
        <f>F81-F82</f>
        <v>0</v>
      </c>
      <c r="G83" s="1232"/>
      <c r="H83" s="1685"/>
      <c r="I83" s="23"/>
      <c r="J83" s="23"/>
    </row>
    <row r="84" spans="1:19" x14ac:dyDescent="0.2">
      <c r="E84" s="1232"/>
      <c r="F84" s="1232"/>
      <c r="G84" s="1232"/>
      <c r="H84" s="1232"/>
      <c r="I84" s="23"/>
      <c r="J84" s="23"/>
    </row>
    <row r="85" spans="1:19" x14ac:dyDescent="0.2">
      <c r="A85"/>
      <c r="B85"/>
      <c r="C85"/>
      <c r="D85"/>
      <c r="E85"/>
      <c r="F85"/>
      <c r="G85"/>
      <c r="H85"/>
      <c r="I85"/>
      <c r="J85"/>
    </row>
    <row r="86" spans="1:19" x14ac:dyDescent="0.2">
      <c r="A86" s="23" t="s">
        <v>728</v>
      </c>
      <c r="B86"/>
      <c r="C86"/>
      <c r="D86"/>
      <c r="E86"/>
      <c r="F86"/>
      <c r="G86"/>
      <c r="H86"/>
      <c r="I86"/>
      <c r="J86" s="23"/>
      <c r="K86" s="23"/>
      <c r="L86" s="23"/>
      <c r="M86" s="23"/>
      <c r="N86" s="23"/>
      <c r="O86" s="23"/>
      <c r="P86" s="23"/>
      <c r="Q86" s="23"/>
      <c r="R86" s="23"/>
      <c r="S86" s="23"/>
    </row>
    <row r="87" spans="1:19" ht="18" x14ac:dyDescent="0.25">
      <c r="A87" s="1024" t="str">
        <f>Translation!B362</f>
        <v>BAG 7: Grippe-Pandemie</v>
      </c>
      <c r="C87" s="1631" t="str">
        <f>Translation!B262</f>
        <v>(Aus Blatt BAG 37)</v>
      </c>
      <c r="E87" s="1027"/>
      <c r="G87"/>
      <c r="H87"/>
      <c r="I87"/>
      <c r="J87" s="23"/>
      <c r="K87" s="23"/>
      <c r="L87" s="23"/>
      <c r="M87" s="23"/>
      <c r="N87" s="23"/>
      <c r="O87" s="23"/>
      <c r="P87" s="23"/>
      <c r="Q87" s="23"/>
      <c r="R87" s="23"/>
      <c r="S87" s="23"/>
    </row>
    <row r="88" spans="1:19" ht="25.5" x14ac:dyDescent="0.2">
      <c r="A88" s="1186" t="str">
        <f>Translation!B364</f>
        <v>Versichertengruppe</v>
      </c>
      <c r="B88" s="1187"/>
      <c r="C88" s="1668" t="str">
        <f>Translation!B365</f>
        <v>OKP-Versicherte</v>
      </c>
      <c r="D88" s="1668" t="str">
        <f>Translation!B366</f>
        <v>Erkrankte</v>
      </c>
      <c r="E88" s="1668" t="str">
        <f>Translation!B367</f>
        <v>Arztbesuche</v>
      </c>
      <c r="F88" s="1668" t="str">
        <f>Translation!B368</f>
        <v>Hospitalisierungen</v>
      </c>
      <c r="G88" s="1668" t="str">
        <f>Translation!B369</f>
        <v>Intensivpflegefälle</v>
      </c>
      <c r="H88" s="1669" t="str">
        <f>Translation!B370</f>
        <v>Verstorbene</v>
      </c>
      <c r="I88" s="1670" t="str">
        <f>Translation!B371</f>
        <v>TOTAL</v>
      </c>
      <c r="J88" s="23"/>
      <c r="K88" s="23"/>
      <c r="L88" s="23"/>
      <c r="M88" s="23"/>
      <c r="N88" s="23"/>
      <c r="O88" s="23"/>
      <c r="P88" s="23"/>
      <c r="Q88" s="23"/>
      <c r="R88" s="23"/>
      <c r="S88" s="23"/>
    </row>
    <row r="89" spans="1:19" x14ac:dyDescent="0.2">
      <c r="A89" s="1672" t="str">
        <f>Translation!B372</f>
        <v>Wahrscheinlichkeiten gemäss BAG</v>
      </c>
      <c r="B89" s="1673"/>
      <c r="C89" s="2242">
        <v>1</v>
      </c>
      <c r="D89" s="2243">
        <v>0.25</v>
      </c>
      <c r="E89" s="2243">
        <v>0.125</v>
      </c>
      <c r="F89" s="2243">
        <v>6.2500000000000003E-3</v>
      </c>
      <c r="G89" s="2243">
        <v>9.3749999999999997E-4</v>
      </c>
      <c r="H89" s="2243">
        <v>1E-3</v>
      </c>
      <c r="I89" s="2244"/>
      <c r="J89" s="23"/>
      <c r="K89" s="23"/>
      <c r="L89" s="23"/>
      <c r="M89" s="23"/>
      <c r="N89" s="23"/>
      <c r="O89" s="23"/>
      <c r="P89" s="23"/>
      <c r="Q89" s="23"/>
      <c r="R89" s="23"/>
      <c r="S89" s="23"/>
    </row>
    <row r="90" spans="1:19" x14ac:dyDescent="0.2">
      <c r="A90" s="1674" t="str">
        <f>Translation!B373</f>
        <v>Anzahl Betroffene</v>
      </c>
      <c r="B90" s="1675"/>
      <c r="C90" s="1774">
        <f>HE_Insurance_Risk!R59</f>
        <v>0</v>
      </c>
      <c r="D90" s="1676">
        <f>$C90*D89</f>
        <v>0</v>
      </c>
      <c r="E90" s="1676">
        <f>$C90*E89</f>
        <v>0</v>
      </c>
      <c r="F90" s="1676">
        <f>$C90*F89</f>
        <v>0</v>
      </c>
      <c r="G90" s="1676">
        <f>$C90*G89</f>
        <v>0</v>
      </c>
      <c r="H90" s="1676">
        <f>$C90*H89</f>
        <v>0</v>
      </c>
      <c r="I90" s="1677"/>
      <c r="J90" s="23"/>
      <c r="K90" s="23"/>
      <c r="L90" s="23"/>
      <c r="M90" s="23"/>
      <c r="N90" s="23"/>
      <c r="O90" s="23"/>
      <c r="P90" s="23"/>
      <c r="Q90" s="23"/>
      <c r="R90" s="23"/>
      <c r="S90" s="23"/>
    </row>
    <row r="91" spans="1:19" x14ac:dyDescent="0.2">
      <c r="A91" s="1674" t="str">
        <f>Translation!B374</f>
        <v>Kosten pro Fall</v>
      </c>
      <c r="B91" s="1675"/>
      <c r="C91" s="2245">
        <v>0</v>
      </c>
      <c r="D91" s="2246">
        <v>0</v>
      </c>
      <c r="E91" s="2246">
        <v>100</v>
      </c>
      <c r="F91" s="2246">
        <v>6000</v>
      </c>
      <c r="G91" s="2246">
        <v>9000</v>
      </c>
      <c r="H91" s="2246">
        <v>0</v>
      </c>
      <c r="I91" s="2247"/>
      <c r="J91" s="23"/>
      <c r="K91" s="23"/>
      <c r="L91" s="23"/>
      <c r="M91" s="23"/>
      <c r="N91" s="23"/>
      <c r="O91" s="23"/>
      <c r="P91" s="23"/>
      <c r="Q91" s="23"/>
      <c r="R91" s="23"/>
      <c r="S91" s="23"/>
    </row>
    <row r="92" spans="1:19" x14ac:dyDescent="0.2">
      <c r="A92" s="1678" t="str">
        <f>Translation!B376</f>
        <v>Medizinische Zusatzkosten</v>
      </c>
      <c r="B92" s="1679"/>
      <c r="C92" s="1680">
        <f t="shared" ref="C92:H92" si="1">C91*C90</f>
        <v>0</v>
      </c>
      <c r="D92" s="1656">
        <f t="shared" si="1"/>
        <v>0</v>
      </c>
      <c r="E92" s="1656">
        <f t="shared" si="1"/>
        <v>0</v>
      </c>
      <c r="F92" s="1656">
        <f t="shared" si="1"/>
        <v>0</v>
      </c>
      <c r="G92" s="1656">
        <f t="shared" si="1"/>
        <v>0</v>
      </c>
      <c r="H92" s="1656">
        <f t="shared" si="1"/>
        <v>0</v>
      </c>
      <c r="I92" s="1657">
        <f>SUM(C92:H92)</f>
        <v>0</v>
      </c>
      <c r="J92" s="23"/>
      <c r="K92" s="23"/>
      <c r="L92" s="23"/>
      <c r="M92" s="23"/>
      <c r="N92" s="23"/>
      <c r="O92" s="23"/>
      <c r="P92" s="23"/>
      <c r="Q92" s="23"/>
      <c r="R92" s="23"/>
      <c r="S92" s="23"/>
    </row>
    <row r="93" spans="1:19" x14ac:dyDescent="0.2">
      <c r="A93" s="2508" t="str">
        <f>Translation!B377</f>
        <v>Δ Assets aufgrund Finanzmarkt-Veränderungen</v>
      </c>
      <c r="B93" s="2508"/>
      <c r="C93" s="2508"/>
      <c r="D93" s="1676"/>
      <c r="E93" s="1676"/>
      <c r="F93" s="1676"/>
      <c r="G93" s="1676"/>
      <c r="H93" s="1676"/>
      <c r="I93" s="1681">
        <f>SUM(Szenarien_RiskFactors!$DZ$27:$DZ$68)*1000000</f>
        <v>0</v>
      </c>
      <c r="J93" s="23"/>
      <c r="K93" s="23"/>
      <c r="L93" s="23"/>
      <c r="M93" s="23"/>
      <c r="N93" s="23"/>
      <c r="O93" s="23"/>
      <c r="P93" s="23"/>
      <c r="Q93" s="23"/>
      <c r="R93" s="23"/>
      <c r="S93" s="23"/>
    </row>
    <row r="94" spans="1:19" x14ac:dyDescent="0.2">
      <c r="A94" s="1682" t="str">
        <f>Translation!B378</f>
        <v>Δ Liabilities aufgrund Finanzmarkt-Veränderungen</v>
      </c>
      <c r="B94" s="1682"/>
      <c r="C94" s="1676"/>
      <c r="D94" s="1676"/>
      <c r="E94" s="1676"/>
      <c r="F94" s="1676"/>
      <c r="G94" s="1676"/>
      <c r="H94" s="1676"/>
      <c r="I94" s="1681">
        <f>SUM(Szenarien_RiskFactors!$EB$27:$EB$68)*1000000</f>
        <v>0</v>
      </c>
      <c r="J94" s="23"/>
      <c r="K94" s="23"/>
      <c r="L94" s="23"/>
      <c r="M94" s="23"/>
      <c r="N94" s="23"/>
      <c r="O94" s="23"/>
      <c r="P94" s="23"/>
      <c r="Q94" s="23"/>
      <c r="R94" s="23"/>
      <c r="S94" s="23"/>
    </row>
    <row r="95" spans="1:19" x14ac:dyDescent="0.2">
      <c r="A95" s="1275"/>
      <c r="B95" s="1275"/>
      <c r="C95" s="1232"/>
      <c r="D95" s="23"/>
      <c r="E95" s="1232"/>
      <c r="F95" s="23"/>
      <c r="G95"/>
      <c r="H95"/>
      <c r="I95"/>
      <c r="J95" s="23"/>
      <c r="K95" s="23"/>
      <c r="L95" s="23"/>
      <c r="M95" s="23"/>
      <c r="N95" s="23"/>
      <c r="O95" s="23"/>
      <c r="P95" s="23"/>
      <c r="Q95" s="23"/>
      <c r="R95" s="23"/>
      <c r="S95" s="23"/>
    </row>
    <row r="96" spans="1:19" ht="15.75" x14ac:dyDescent="0.25">
      <c r="A96" s="1647" t="str">
        <f>Translation!B299</f>
        <v>Veränderung der Aktiven</v>
      </c>
      <c r="B96" s="1647"/>
      <c r="C96" s="1647"/>
      <c r="D96" s="1647"/>
      <c r="E96" s="1647"/>
      <c r="F96" s="1647"/>
      <c r="G96" s="1647"/>
      <c r="H96" s="1647"/>
      <c r="I96" s="1648">
        <f>I93</f>
        <v>0</v>
      </c>
      <c r="J96" s="23"/>
      <c r="K96" s="23"/>
      <c r="L96" s="23"/>
      <c r="M96" s="23"/>
      <c r="N96" s="23"/>
      <c r="O96" s="23"/>
      <c r="P96" s="23"/>
      <c r="Q96" s="23"/>
      <c r="R96" s="23"/>
      <c r="S96" s="23"/>
    </row>
    <row r="97" spans="1:19" ht="15.75" x14ac:dyDescent="0.25">
      <c r="A97" s="1647" t="str">
        <f>Translation!B300</f>
        <v>Veränderung der Passiven</v>
      </c>
      <c r="B97" s="1647"/>
      <c r="C97" s="1647"/>
      <c r="D97" s="1647"/>
      <c r="E97" s="1647"/>
      <c r="F97" s="1647"/>
      <c r="G97" s="1647"/>
      <c r="H97" s="1647"/>
      <c r="I97" s="1648">
        <f>I94+I92</f>
        <v>0</v>
      </c>
      <c r="K97" s="23"/>
      <c r="L97" s="23"/>
      <c r="M97" s="23"/>
      <c r="N97" s="23"/>
      <c r="O97" s="23"/>
      <c r="P97" s="23"/>
      <c r="Q97" s="23"/>
      <c r="R97" s="23"/>
      <c r="S97" s="23"/>
    </row>
    <row r="98" spans="1:19" ht="15.75" x14ac:dyDescent="0.25">
      <c r="A98" s="1650" t="str">
        <f>Translation!B301</f>
        <v>Veränderung der Reserven</v>
      </c>
      <c r="B98" s="1650"/>
      <c r="C98" s="1650"/>
      <c r="D98" s="1650"/>
      <c r="E98" s="1650"/>
      <c r="F98" s="1650"/>
      <c r="G98" s="1650"/>
      <c r="H98" s="1650"/>
      <c r="I98" s="1651">
        <f>I96-I97</f>
        <v>0</v>
      </c>
      <c r="K98" s="23"/>
      <c r="L98" s="23"/>
      <c r="M98" s="23"/>
      <c r="N98" s="23"/>
      <c r="O98" s="23"/>
      <c r="P98" s="23"/>
      <c r="Q98" s="23"/>
      <c r="R98" s="23"/>
      <c r="S98" s="23"/>
    </row>
    <row r="99" spans="1:19" x14ac:dyDescent="0.2">
      <c r="K99" s="23"/>
      <c r="L99" s="23"/>
      <c r="M99" s="23"/>
      <c r="N99" s="23"/>
      <c r="O99" s="23"/>
      <c r="P99" s="23"/>
      <c r="Q99" s="23"/>
      <c r="R99" s="23"/>
      <c r="S99" s="23"/>
    </row>
    <row r="100" spans="1:19" x14ac:dyDescent="0.2">
      <c r="J100" s="3"/>
      <c r="K100" s="23"/>
      <c r="L100" s="23"/>
      <c r="M100" s="23"/>
      <c r="N100" s="23"/>
      <c r="O100" s="23"/>
      <c r="P100" s="23"/>
      <c r="Q100" s="23"/>
      <c r="R100" s="23"/>
      <c r="S100" s="23"/>
    </row>
    <row r="101" spans="1:19" x14ac:dyDescent="0.2">
      <c r="J101" s="23"/>
      <c r="K101" s="23"/>
      <c r="L101" s="23"/>
      <c r="M101" s="23"/>
      <c r="N101" s="23"/>
      <c r="O101" s="23"/>
      <c r="P101" s="23"/>
      <c r="Q101" s="23"/>
      <c r="R101" s="23"/>
      <c r="S101" s="23"/>
    </row>
    <row r="102" spans="1:19" x14ac:dyDescent="0.2">
      <c r="J102" s="23"/>
      <c r="K102" s="23"/>
      <c r="L102" s="23"/>
      <c r="M102" s="23"/>
      <c r="N102" s="23"/>
      <c r="O102" s="23"/>
      <c r="P102" s="23"/>
      <c r="Q102" s="23"/>
      <c r="R102" s="23"/>
      <c r="S102" s="23"/>
    </row>
    <row r="103" spans="1:19" x14ac:dyDescent="0.2">
      <c r="J103" s="23"/>
      <c r="K103" s="23"/>
      <c r="L103" s="23"/>
      <c r="M103" s="23"/>
      <c r="N103" s="23"/>
      <c r="O103" s="23"/>
      <c r="P103" s="23"/>
      <c r="Q103" s="23"/>
      <c r="R103" s="23"/>
      <c r="S103" s="23"/>
    </row>
  </sheetData>
  <mergeCells count="21">
    <mergeCell ref="A6:B7"/>
    <mergeCell ref="C6:C7"/>
    <mergeCell ref="F31:F32"/>
    <mergeCell ref="A26:B27"/>
    <mergeCell ref="C26:C27"/>
    <mergeCell ref="E27:F28"/>
    <mergeCell ref="E29:E30"/>
    <mergeCell ref="F29:F30"/>
    <mergeCell ref="E31:E32"/>
    <mergeCell ref="A66:B66"/>
    <mergeCell ref="A68:B68"/>
    <mergeCell ref="A78:B78"/>
    <mergeCell ref="A79:B79"/>
    <mergeCell ref="A93:C93"/>
    <mergeCell ref="A43:C43"/>
    <mergeCell ref="A8:B8"/>
    <mergeCell ref="A12:B12"/>
    <mergeCell ref="A9:B9"/>
    <mergeCell ref="A10:B10"/>
    <mergeCell ref="A13:B13"/>
    <mergeCell ref="A14:B14"/>
  </mergeCells>
  <hyperlinks>
    <hyperlink ref="A1" location="list_of_sheets!A1" display="BAG 1 - 3" xr:uid="{00000000-0004-0000-0C00-000000000000}"/>
  </hyperlinks>
  <pageMargins left="0.70866141732283472" right="0.70866141732283472" top="0.78740157480314965" bottom="0.78740157480314965" header="0.31496062992125984" footer="0.31496062992125984"/>
  <pageSetup paperSize="9" scale="55" orientation="portrait" r:id="rId1"/>
  <headerFooter>
    <oddHeader>&amp;R&amp;"Arial,Fett"&amp;12KVG-Solvenztest
Test de solvabilité LAMal</oddHeader>
    <oddFooter>&amp;L&amp;F / &amp;A&amp;R&amp;D / BAG-FAKV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tabColor rgb="FF00FFFF"/>
    <pageSetUpPr autoPageBreaks="0" fitToPage="1"/>
  </sheetPr>
  <dimension ref="A1:Z40"/>
  <sheetViews>
    <sheetView workbookViewId="0"/>
  </sheetViews>
  <sheetFormatPr baseColWidth="10" defaultColWidth="11.42578125" defaultRowHeight="12.75" outlineLevelCol="1" x14ac:dyDescent="0.2"/>
  <cols>
    <col min="1" max="1" width="5.5703125" customWidth="1"/>
    <col min="2" max="3" width="11.42578125" customWidth="1"/>
    <col min="4" max="4" width="9.5703125" customWidth="1"/>
    <col min="5" max="5" width="14.5703125" customWidth="1"/>
    <col min="6" max="6" width="5.5703125" customWidth="1"/>
    <col min="7" max="7" width="20.5703125" customWidth="1"/>
    <col min="8" max="8" width="14.5703125" customWidth="1"/>
    <col min="9" max="13" width="11.42578125" customWidth="1"/>
    <col min="14" max="15" width="11.42578125" customWidth="1" outlineLevel="1"/>
  </cols>
  <sheetData>
    <row r="1" spans="1:26" s="1269" customFormat="1" ht="21" thickBot="1" x14ac:dyDescent="0.35">
      <c r="A1" s="2181">
        <v>13</v>
      </c>
      <c r="B1" s="1001" t="str">
        <f>Translation!B391</f>
        <v>Aggregation der Szenarien</v>
      </c>
      <c r="C1" s="1000"/>
      <c r="D1" s="1000"/>
      <c r="E1" s="1000"/>
      <c r="F1" s="1001"/>
      <c r="G1" s="1001"/>
      <c r="H1" s="1001"/>
      <c r="I1" s="1001"/>
      <c r="J1" s="1001"/>
      <c r="K1" s="1001"/>
      <c r="L1" s="1001"/>
      <c r="M1" s="1001"/>
      <c r="N1" s="1001"/>
      <c r="O1" s="1001"/>
      <c r="P1" s="1001"/>
      <c r="Q1" s="1001"/>
      <c r="R1" s="1001"/>
      <c r="S1" s="1001"/>
      <c r="T1" s="1001"/>
      <c r="U1" s="1001"/>
      <c r="V1" s="1001"/>
      <c r="W1" s="1001"/>
      <c r="X1" s="1001"/>
      <c r="Y1" s="1001"/>
      <c r="Z1" s="1001"/>
    </row>
    <row r="2" spans="1:26" s="681" customFormat="1" ht="20.100000000000001" customHeight="1" x14ac:dyDescent="0.2">
      <c r="A2" s="682"/>
      <c r="B2" s="176" t="str">
        <f>Inputparam!C8</f>
        <v xml:space="preserve">0000 </v>
      </c>
    </row>
    <row r="3" spans="1:26" s="572" customFormat="1" ht="12.75" customHeight="1" x14ac:dyDescent="0.2">
      <c r="A3" s="170"/>
      <c r="H3" s="591"/>
    </row>
    <row r="4" spans="1:26" s="258" customFormat="1" ht="12.75" customHeight="1" x14ac:dyDescent="0.2">
      <c r="A4" s="389"/>
      <c r="B4" s="399"/>
      <c r="C4" s="400"/>
      <c r="D4" s="400"/>
      <c r="E4" s="396" t="str">
        <f>Translation!B393</f>
        <v>Aggregation nach Szenarien</v>
      </c>
      <c r="F4" s="400"/>
      <c r="G4" s="400"/>
      <c r="H4" s="396" t="str">
        <f>Translation!B394</f>
        <v>Analytisches Modell</v>
      </c>
      <c r="I4" s="401"/>
    </row>
    <row r="5" spans="1:26" s="572" customFormat="1" ht="12.75" customHeight="1" x14ac:dyDescent="0.2">
      <c r="A5" s="170"/>
      <c r="B5" s="1280"/>
      <c r="C5" s="141"/>
      <c r="D5" s="573" t="str">
        <f>Translation!B395</f>
        <v>Standardabweichung [MCHF]</v>
      </c>
      <c r="E5" s="574"/>
      <c r="F5" s="141"/>
      <c r="G5" s="141"/>
      <c r="H5" s="382">
        <f>IF(type_i_of_insurer=3,HE_MindesthöheReserven!I122,0)</f>
        <v>0</v>
      </c>
      <c r="I5" s="575"/>
      <c r="K5" s="572" t="str">
        <f>Translation!B392</f>
        <v>Auswirkungen der Szenarien haben in der Regel ein negatives Vorzeichen.</v>
      </c>
    </row>
    <row r="6" spans="1:26" s="572" customFormat="1" ht="12.75" customHeight="1" x14ac:dyDescent="0.2">
      <c r="A6" s="170"/>
      <c r="B6" s="1280"/>
      <c r="C6" s="576"/>
      <c r="D6" s="576" t="s">
        <v>325</v>
      </c>
      <c r="E6" s="2349" t="e">
        <f>C38</f>
        <v>#NUM!</v>
      </c>
      <c r="F6" s="141"/>
      <c r="G6" s="141"/>
      <c r="H6" s="1281" t="e">
        <f>NORMINV(alpha,0,StDev_HE)</f>
        <v>#NUM!</v>
      </c>
      <c r="I6" s="575"/>
    </row>
    <row r="7" spans="1:26" s="572" customFormat="1" ht="12.75" customHeight="1" x14ac:dyDescent="0.2">
      <c r="A7" s="170"/>
      <c r="B7" s="1280"/>
      <c r="C7" s="577"/>
      <c r="D7" s="577" t="s">
        <v>326</v>
      </c>
      <c r="E7" s="2349" t="e">
        <f>E40</f>
        <v>#NUM!</v>
      </c>
      <c r="F7" s="141"/>
      <c r="G7" s="1282"/>
      <c r="H7" s="1281">
        <f>-NORMDIST(NORMINV(alpha,0,1),0,1,0)/alpha*StDev_HE</f>
        <v>0</v>
      </c>
      <c r="I7" s="575"/>
    </row>
    <row r="8" spans="1:26" s="572" customFormat="1" ht="12.75" customHeight="1" x14ac:dyDescent="0.2">
      <c r="A8" s="170"/>
      <c r="B8" s="1283"/>
      <c r="C8" s="397"/>
      <c r="D8" s="397" t="str">
        <f>Translation!B396</f>
        <v>Verhältnis (ES total / ES ohne Szenarien)</v>
      </c>
      <c r="E8" s="398" t="e">
        <f>E7/H7</f>
        <v>#NUM!</v>
      </c>
      <c r="F8" s="578"/>
      <c r="G8" s="578"/>
      <c r="H8" s="579"/>
      <c r="I8" s="580"/>
    </row>
    <row r="9" spans="1:26" s="572" customFormat="1" ht="12.75" customHeight="1" x14ac:dyDescent="0.2">
      <c r="A9" s="170"/>
      <c r="C9" s="363"/>
      <c r="D9" s="1284"/>
      <c r="E9" s="386"/>
      <c r="H9" s="581"/>
    </row>
    <row r="10" spans="1:26" s="23" customFormat="1" ht="12.75" customHeight="1" x14ac:dyDescent="0.2">
      <c r="B10" s="390" t="s">
        <v>62</v>
      </c>
      <c r="C10" s="391">
        <f>alpha</f>
        <v>0.01</v>
      </c>
      <c r="D10" s="53"/>
      <c r="E10" s="582"/>
      <c r="G10" s="390" t="s">
        <v>270</v>
      </c>
      <c r="H10" s="583"/>
      <c r="I10" s="2288" t="s">
        <v>730</v>
      </c>
      <c r="J10" s="2289" t="s">
        <v>731</v>
      </c>
      <c r="K10" s="2289" t="s">
        <v>2628</v>
      </c>
      <c r="L10" s="2289" t="s">
        <v>2629</v>
      </c>
      <c r="M10" s="2289" t="s">
        <v>732</v>
      </c>
      <c r="N10" s="2289" t="s">
        <v>733</v>
      </c>
      <c r="O10" s="2290" t="s">
        <v>734</v>
      </c>
      <c r="P10" s="584" t="s">
        <v>254</v>
      </c>
      <c r="Q10" s="584" t="s">
        <v>255</v>
      </c>
      <c r="R10" s="584" t="s">
        <v>256</v>
      </c>
      <c r="S10" s="584" t="s">
        <v>258</v>
      </c>
      <c r="T10" s="584" t="s">
        <v>260</v>
      </c>
      <c r="U10" s="585" t="s">
        <v>262</v>
      </c>
      <c r="V10" s="585" t="s">
        <v>264</v>
      </c>
      <c r="W10" s="585" t="s">
        <v>266</v>
      </c>
      <c r="X10" s="585" t="s">
        <v>268</v>
      </c>
      <c r="Y10" s="585" t="s">
        <v>314</v>
      </c>
      <c r="Z10" s="585" t="s">
        <v>492</v>
      </c>
    </row>
    <row r="11" spans="1:26" s="172" customFormat="1" ht="60" x14ac:dyDescent="0.2">
      <c r="E11" s="586"/>
      <c r="F11" s="587"/>
      <c r="G11" s="588" t="str">
        <f>Translation!B399</f>
        <v>Szenarioname</v>
      </c>
      <c r="H11" s="589" t="str">
        <f>Translation!B402</f>
        <v>Analytisches Modell 
= Kein Szenario tritt ein.</v>
      </c>
      <c r="I11" s="1010" t="str">
        <f>INDEX(Scenarios!$B:$B,MATCH(I$10,Scenarios!$A:$A,0))</f>
        <v>Ungünstige Risikostruktur</v>
      </c>
      <c r="J11" s="1011" t="str">
        <f>INDEX(Scenarios!$B:$B,MATCH(J$10,Scenarios!$A:$A,0))</f>
        <v>Zunahme Hochkostenfälle</v>
      </c>
      <c r="K11" s="1011" t="str">
        <f>INDEX(Scenarios!$B:$B,MATCH(K$10,Scenarios!$A:$A,0))</f>
        <v>Financial Distress</v>
      </c>
      <c r="L11" s="1011" t="str">
        <f>INDEX(Scenarios!$B:$B,MATCH(L$10,Scenarios!$A:$A,0))</f>
        <v>Leistungsszenario EU</v>
      </c>
      <c r="M11" s="1011" t="str">
        <f>INDEX(Scenarios!$B:$B,MATCH(M$10,Scenarios!$A:$A,0))</f>
        <v>Unterreservierung</v>
      </c>
      <c r="N11" s="1011" t="str">
        <f>INDEX(Scenarios!$B:$B,MATCH(N$10,Scenarios!$A:$A,0))</f>
        <v>Konjunkturbaisse</v>
      </c>
      <c r="O11" s="2291" t="str">
        <f>INDEX(Scenarios!$B:$B,MATCH(O$10,Scenarios!$A:$A,0))</f>
        <v>Pandemie</v>
      </c>
      <c r="P11" s="1011" t="str">
        <f>INDEX(Scenarios!$B:$B,MATCH(P$10,Scenarios!$A:$A,0))</f>
        <v>Equity Drop -60%</v>
      </c>
      <c r="Q11" s="1011" t="str">
        <f>INDEX(Scenarios!$B:$B,MATCH(Q$10,Scenarios!$A:$A,0))</f>
        <v>Immobilien Crash</v>
      </c>
      <c r="R11" s="1011" t="str">
        <f>INDEX(Scenarios!$B:$B,MATCH(R$10,Scenarios!$A:$A,0))</f>
        <v>Aktienmarkt crash (1987)</v>
      </c>
      <c r="S11" s="1011" t="str">
        <f>INDEX(Scenarios!$B:$B,MATCH(S$10,Scenarios!$A:$A,0))</f>
        <v>Nikkei crash (1989/90)</v>
      </c>
      <c r="T11" s="1011" t="str">
        <f>INDEX(Scenarios!$B:$B,MATCH(T$10,Scenarios!$A:$A,0))</f>
        <v>Europäische Währungskrise (1992)</v>
      </c>
      <c r="U11" s="1012" t="str">
        <f>INDEX(Scenarios!$B:$B,MATCH(U$10,Scenarios!$A:$A,0))</f>
        <v>US Zinskrise (1994)</v>
      </c>
      <c r="V11" s="1012" t="str">
        <f>INDEX(Scenarios!$B:$B,MATCH(V$10,Scenarios!$A:$A,0))</f>
        <v>Russland Krise / LTCM (1998)</v>
      </c>
      <c r="W11" s="1012" t="str">
        <f>INDEX(Scenarios!$B:$B,MATCH(W$10,Scenarios!$A:$A,0))</f>
        <v>Aktienmarkt crash (2000/2001)</v>
      </c>
      <c r="X11" s="1012" t="str">
        <f>INDEX(Scenarios!$B:$B,MATCH(X$10,Scenarios!$A:$A,0))</f>
        <v>Globale Deflation</v>
      </c>
      <c r="Y11" s="1012" t="str">
        <f>INDEX(Scenarios!$B:$B,MATCH(Y$10,Scenarios!$A:$A,0))</f>
        <v>Globale Inflation</v>
      </c>
      <c r="Z11" s="1012" t="str">
        <f>INDEX(Scenarios!$B:$B,MATCH(Z$10,Scenarios!$A:$A,0))</f>
        <v>Finanzkrise 2008</v>
      </c>
    </row>
    <row r="12" spans="1:26" s="373" customFormat="1" ht="26.1" customHeight="1" x14ac:dyDescent="0.2">
      <c r="A12" s="365"/>
      <c r="B12" s="2536" t="str">
        <f>Translation!B397</f>
        <v>Bestimmung des VaR unter Verwendung von Newton/Raphson</v>
      </c>
      <c r="C12" s="2537"/>
      <c r="D12" s="2537"/>
      <c r="E12" s="392"/>
      <c r="F12" s="365"/>
      <c r="G12" s="367" t="str">
        <f>Translation!B400</f>
        <v>Szenariowirkung [MCHF]</v>
      </c>
      <c r="H12" s="1019">
        <v>0</v>
      </c>
      <c r="I12" s="368">
        <f>INDEX(Scenarios!$P:$P,2+MATCH(I$10,Scenarios!$A:$A,0))</f>
        <v>0</v>
      </c>
      <c r="J12" s="366">
        <f>INDEX(Scenarios!$P:$P,2+MATCH(J$10,Scenarios!$A:$A,0))</f>
        <v>0</v>
      </c>
      <c r="K12" s="366">
        <f>INDEX(Scenarios!$P:$P,2+MATCH(K$10,Scenarios!$A:$A,0))</f>
        <v>0</v>
      </c>
      <c r="L12" s="366">
        <f>INDEX(Scenarios!$P:$P,2+MATCH(L$10,Scenarios!$A:$A,0))</f>
        <v>0</v>
      </c>
      <c r="M12" s="366">
        <f>INDEX(Scenarios!$P:$P,2+MATCH(M$10,Scenarios!$A:$A,0))</f>
        <v>0</v>
      </c>
      <c r="N12" s="366">
        <f>INDEX(Scenarios!$P:$P,2+MATCH(N$10,Scenarios!$A:$A,0))</f>
        <v>0</v>
      </c>
      <c r="O12" s="2292">
        <f>INDEX(Scenarios!$P:$P,2+MATCH(O$10,Scenarios!$A:$A,0))</f>
        <v>0</v>
      </c>
      <c r="P12" s="366">
        <f>INDEX(Scenarios!$P:$P,MATCH(P$10,Scenarios!$A:$A,0))</f>
        <v>0</v>
      </c>
      <c r="Q12" s="366">
        <f>INDEX(Scenarios!$P:$P,MATCH(Q$10,Scenarios!$A:$A,0))</f>
        <v>0</v>
      </c>
      <c r="R12" s="366">
        <f>INDEX(Scenarios!$P:$P,MATCH(R$10,Scenarios!$A:$A,0))</f>
        <v>0</v>
      </c>
      <c r="S12" s="366">
        <f>INDEX(Scenarios!$P:$P,MATCH(S$10,Scenarios!$A:$A,0))</f>
        <v>0</v>
      </c>
      <c r="T12" s="366">
        <f>INDEX(Scenarios!$P:$P,MATCH(T$10,Scenarios!$A:$A,0))</f>
        <v>0</v>
      </c>
      <c r="U12" s="369">
        <f>INDEX(Scenarios!$P:$P,MATCH(U$10,Scenarios!$A:$A,0))</f>
        <v>0</v>
      </c>
      <c r="V12" s="369">
        <f>INDEX(Scenarios!$P:$P,MATCH(V$10,Scenarios!$A:$A,0))</f>
        <v>0</v>
      </c>
      <c r="W12" s="369">
        <f>INDEX(Scenarios!$P:$P,MATCH(W$10,Scenarios!$A:$A,0))</f>
        <v>0</v>
      </c>
      <c r="X12" s="369">
        <f>INDEX(Scenarios!$P:$P,MATCH(X$10,Scenarios!$A:$A,0))</f>
        <v>0</v>
      </c>
      <c r="Y12" s="369">
        <f>INDEX(Scenarios!$P:$P,MATCH(Y$10,Scenarios!$A:$A,0))</f>
        <v>0</v>
      </c>
      <c r="Z12" s="369">
        <f>INDEX(Scenarios!$P:$P,MATCH(Z$10,Scenarios!$A:$A,0))</f>
        <v>0</v>
      </c>
    </row>
    <row r="13" spans="1:26" s="1285" customFormat="1" ht="26.1" customHeight="1" x14ac:dyDescent="0.2">
      <c r="B13" s="590"/>
      <c r="D13" s="1286"/>
      <c r="E13" s="1287"/>
      <c r="F13" s="1286"/>
      <c r="G13" s="1288" t="str">
        <f>Translation!B401</f>
        <v>Szenariogewicht</v>
      </c>
      <c r="H13" s="1289">
        <f>1-SUM(I13:Z13)</f>
        <v>0.87</v>
      </c>
      <c r="I13" s="2333">
        <f>Scenarios!$D22</f>
        <v>0.01</v>
      </c>
      <c r="J13" s="2333">
        <f>Scenarios!$D26</f>
        <v>0.01</v>
      </c>
      <c r="K13" s="2333">
        <f>Scenarios!$D30</f>
        <v>5.0000000000000001E-3</v>
      </c>
      <c r="L13" s="2333">
        <f>Scenarios!$D34</f>
        <v>5.0000000000000001E-3</v>
      </c>
      <c r="M13" s="2333">
        <f>Scenarios!$D38</f>
        <v>0.01</v>
      </c>
      <c r="N13" s="2333">
        <f>Scenarios!$D42</f>
        <v>0.01</v>
      </c>
      <c r="O13" s="2334">
        <f>Scenarios!$D46</f>
        <v>0.01</v>
      </c>
      <c r="P13" s="2333">
        <f>Scenarios!$D96</f>
        <v>0.01</v>
      </c>
      <c r="Q13" s="2333">
        <f>Scenarios!$D97</f>
        <v>0.01</v>
      </c>
      <c r="R13" s="2333">
        <f>Scenarios!$D98</f>
        <v>0</v>
      </c>
      <c r="S13" s="2333">
        <f>Scenarios!$D99</f>
        <v>0.01</v>
      </c>
      <c r="T13" s="2333">
        <f>Scenarios!$D100</f>
        <v>0</v>
      </c>
      <c r="U13" s="2333">
        <f>Scenarios!$D101</f>
        <v>0.01</v>
      </c>
      <c r="V13" s="2333">
        <f>Scenarios!$D102</f>
        <v>0</v>
      </c>
      <c r="W13" s="2333">
        <f>Scenarios!$D103</f>
        <v>0.01</v>
      </c>
      <c r="X13" s="2333">
        <f>Scenarios!$D104</f>
        <v>0</v>
      </c>
      <c r="Y13" s="2333">
        <f>Scenarios!$D105</f>
        <v>0.01</v>
      </c>
      <c r="Z13" s="2333">
        <f>Scenarios!$D106</f>
        <v>0.01</v>
      </c>
    </row>
    <row r="14" spans="1:26" s="6" customFormat="1" x14ac:dyDescent="0.2">
      <c r="B14" s="393"/>
      <c r="C14" s="115"/>
      <c r="D14" s="115"/>
      <c r="E14" s="394"/>
      <c r="H14" s="383"/>
      <c r="I14" s="370"/>
      <c r="J14" s="108"/>
      <c r="K14" s="108"/>
      <c r="L14" s="108"/>
      <c r="M14" s="108"/>
      <c r="N14" s="108"/>
      <c r="O14" s="658"/>
      <c r="P14" s="108"/>
      <c r="Q14" s="108"/>
      <c r="R14" s="108"/>
      <c r="S14" s="108"/>
      <c r="T14" s="108"/>
      <c r="U14" s="332"/>
      <c r="V14" s="332"/>
      <c r="W14" s="332"/>
      <c r="X14" s="332"/>
      <c r="Y14" s="332"/>
      <c r="Z14" s="332"/>
    </row>
    <row r="15" spans="1:26" s="1236" customFormat="1" ht="25.5" x14ac:dyDescent="0.2">
      <c r="B15" s="596" t="str">
        <f>Translation!B398</f>
        <v xml:space="preserve">Iteration i </v>
      </c>
      <c r="C15" s="902" t="s">
        <v>2132</v>
      </c>
      <c r="D15" s="902" t="s">
        <v>2133</v>
      </c>
      <c r="E15" s="1290" t="s">
        <v>328</v>
      </c>
      <c r="F15" s="1291"/>
      <c r="G15" s="1291"/>
      <c r="H15" s="589" t="s">
        <v>328</v>
      </c>
      <c r="I15" s="1292" t="s">
        <v>328</v>
      </c>
      <c r="J15" s="1293" t="s">
        <v>328</v>
      </c>
      <c r="K15" s="1293" t="s">
        <v>328</v>
      </c>
      <c r="L15" s="1293" t="s">
        <v>328</v>
      </c>
      <c r="M15" s="1293" t="s">
        <v>328</v>
      </c>
      <c r="N15" s="1293" t="s">
        <v>328</v>
      </c>
      <c r="O15" s="2293" t="s">
        <v>328</v>
      </c>
      <c r="P15" s="1293" t="s">
        <v>328</v>
      </c>
      <c r="Q15" s="1293" t="s">
        <v>328</v>
      </c>
      <c r="R15" s="1293" t="s">
        <v>328</v>
      </c>
      <c r="S15" s="1293" t="s">
        <v>328</v>
      </c>
      <c r="T15" s="1293" t="s">
        <v>328</v>
      </c>
      <c r="U15" s="1294" t="s">
        <v>328</v>
      </c>
      <c r="V15" s="1294" t="s">
        <v>328</v>
      </c>
      <c r="W15" s="1294" t="s">
        <v>328</v>
      </c>
      <c r="X15" s="1294" t="s">
        <v>328</v>
      </c>
      <c r="Y15" s="1294" t="s">
        <v>328</v>
      </c>
      <c r="Z15" s="1294" t="s">
        <v>328</v>
      </c>
    </row>
    <row r="16" spans="1:26" s="32" customFormat="1" ht="8.1" customHeight="1" x14ac:dyDescent="0.2">
      <c r="B16" s="371"/>
      <c r="C16" s="104"/>
      <c r="D16" s="142"/>
      <c r="E16" s="387"/>
      <c r="H16" s="384"/>
      <c r="I16" s="371"/>
      <c r="J16" s="104"/>
      <c r="K16" s="104"/>
      <c r="L16" s="104"/>
      <c r="M16" s="104"/>
      <c r="N16" s="104"/>
      <c r="O16" s="2294"/>
      <c r="P16" s="104"/>
      <c r="Q16" s="104"/>
      <c r="R16" s="104"/>
      <c r="S16" s="104"/>
      <c r="T16" s="104"/>
      <c r="U16" s="372"/>
      <c r="V16" s="372"/>
      <c r="W16" s="372"/>
      <c r="X16" s="372"/>
      <c r="Y16" s="372"/>
      <c r="Z16" s="372"/>
    </row>
    <row r="17" spans="2:26" ht="20.100000000000001" customHeight="1" x14ac:dyDescent="0.2">
      <c r="B17" s="377">
        <v>0</v>
      </c>
      <c r="C17" s="381">
        <v>0</v>
      </c>
      <c r="D17" s="379"/>
      <c r="E17" s="1295" t="e">
        <f t="shared" ref="E17:E38" si="0">SUM(H17:Z17)</f>
        <v>#NUM!</v>
      </c>
      <c r="F17" s="329"/>
      <c r="G17" s="328"/>
      <c r="H17" s="385" t="e">
        <f t="shared" ref="H17:Z17" si="1" xml:space="preserve"> IF( ISBLANK(H$12), "", H$13*NORMDIST($C17,H$12,StDev_HE,1) )</f>
        <v>#NUM!</v>
      </c>
      <c r="I17" s="1296" t="e">
        <f t="shared" si="1"/>
        <v>#NUM!</v>
      </c>
      <c r="J17" s="1297" t="e">
        <f t="shared" si="1"/>
        <v>#NUM!</v>
      </c>
      <c r="K17" s="1297" t="e">
        <f t="shared" si="1"/>
        <v>#NUM!</v>
      </c>
      <c r="L17" s="1297" t="e">
        <f t="shared" si="1"/>
        <v>#NUM!</v>
      </c>
      <c r="M17" s="1297" t="e">
        <f t="shared" si="1"/>
        <v>#NUM!</v>
      </c>
      <c r="N17" s="1297" t="e">
        <f t="shared" si="1"/>
        <v>#NUM!</v>
      </c>
      <c r="O17" s="2295" t="e">
        <f t="shared" si="1"/>
        <v>#NUM!</v>
      </c>
      <c r="P17" s="1297" t="e">
        <f t="shared" si="1"/>
        <v>#NUM!</v>
      </c>
      <c r="Q17" s="1297" t="e">
        <f t="shared" si="1"/>
        <v>#NUM!</v>
      </c>
      <c r="R17" s="1297" t="e">
        <f t="shared" si="1"/>
        <v>#NUM!</v>
      </c>
      <c r="S17" s="1297" t="e">
        <f t="shared" si="1"/>
        <v>#NUM!</v>
      </c>
      <c r="T17" s="1297" t="e">
        <f t="shared" si="1"/>
        <v>#NUM!</v>
      </c>
      <c r="U17" s="1298" t="e">
        <f t="shared" si="1"/>
        <v>#NUM!</v>
      </c>
      <c r="V17" s="1298" t="e">
        <f t="shared" si="1"/>
        <v>#NUM!</v>
      </c>
      <c r="W17" s="1298" t="e">
        <f t="shared" si="1"/>
        <v>#NUM!</v>
      </c>
      <c r="X17" s="1298" t="e">
        <f t="shared" si="1"/>
        <v>#NUM!</v>
      </c>
      <c r="Y17" s="1298" t="e">
        <f xml:space="preserve"> IF( ISBLANK(Y$12), "", Y$13*NORMDIST($C17,Y$12,StDev_HE,1) )</f>
        <v>#NUM!</v>
      </c>
      <c r="Z17" s="1298" t="e">
        <f t="shared" si="1"/>
        <v>#NUM!</v>
      </c>
    </row>
    <row r="18" spans="2:26" x14ac:dyDescent="0.2">
      <c r="B18" s="377"/>
      <c r="C18" s="381">
        <f>C17</f>
        <v>0</v>
      </c>
      <c r="D18" s="379"/>
      <c r="E18" s="1295" t="e">
        <f t="shared" si="0"/>
        <v>#NUM!</v>
      </c>
      <c r="G18" s="328"/>
      <c r="H18" s="385" t="e">
        <f t="shared" ref="H18:Z18" si="2" xml:space="preserve"> IF( ISBLANK(H$12), "", H$13*NORMDIST($C18,H$12,StDev_HE,) )</f>
        <v>#NUM!</v>
      </c>
      <c r="I18" s="1296" t="e">
        <f t="shared" si="2"/>
        <v>#NUM!</v>
      </c>
      <c r="J18" s="1297" t="e">
        <f t="shared" si="2"/>
        <v>#NUM!</v>
      </c>
      <c r="K18" s="1297" t="e">
        <f t="shared" si="2"/>
        <v>#NUM!</v>
      </c>
      <c r="L18" s="1297" t="e">
        <f t="shared" si="2"/>
        <v>#NUM!</v>
      </c>
      <c r="M18" s="1297" t="e">
        <f t="shared" si="2"/>
        <v>#NUM!</v>
      </c>
      <c r="N18" s="1297" t="e">
        <f t="shared" si="2"/>
        <v>#NUM!</v>
      </c>
      <c r="O18" s="2295" t="e">
        <f t="shared" si="2"/>
        <v>#NUM!</v>
      </c>
      <c r="P18" s="1297" t="e">
        <f t="shared" si="2"/>
        <v>#NUM!</v>
      </c>
      <c r="Q18" s="1297" t="e">
        <f t="shared" si="2"/>
        <v>#NUM!</v>
      </c>
      <c r="R18" s="1297" t="e">
        <f t="shared" si="2"/>
        <v>#NUM!</v>
      </c>
      <c r="S18" s="1297" t="e">
        <f t="shared" si="2"/>
        <v>#NUM!</v>
      </c>
      <c r="T18" s="1297" t="e">
        <f t="shared" si="2"/>
        <v>#NUM!</v>
      </c>
      <c r="U18" s="1298" t="e">
        <f t="shared" si="2"/>
        <v>#NUM!</v>
      </c>
      <c r="V18" s="1298" t="e">
        <f t="shared" si="2"/>
        <v>#NUM!</v>
      </c>
      <c r="W18" s="1298" t="e">
        <f t="shared" si="2"/>
        <v>#NUM!</v>
      </c>
      <c r="X18" s="1298" t="e">
        <f t="shared" si="2"/>
        <v>#NUM!</v>
      </c>
      <c r="Y18" s="1298" t="e">
        <f t="shared" si="2"/>
        <v>#NUM!</v>
      </c>
      <c r="Z18" s="1298" t="e">
        <f t="shared" si="2"/>
        <v>#NUM!</v>
      </c>
    </row>
    <row r="19" spans="2:26" ht="20.100000000000001" customHeight="1" x14ac:dyDescent="0.2">
      <c r="B19" s="377">
        <f>B17+1</f>
        <v>1</v>
      </c>
      <c r="C19" s="381" t="e">
        <f>C17-(E17-alpha)/E18</f>
        <v>#NUM!</v>
      </c>
      <c r="D19" s="379" t="e">
        <f>ABS(C17-C19)</f>
        <v>#NUM!</v>
      </c>
      <c r="E19" s="1295" t="e">
        <f t="shared" si="0"/>
        <v>#NUM!</v>
      </c>
      <c r="F19" s="329"/>
      <c r="G19" s="328"/>
      <c r="H19" s="385" t="e">
        <f t="shared" ref="H19:Z19" si="3" xml:space="preserve"> IF( ISBLANK(H$12), "", H$13*NORMDIST($C19,H$12,StDev_HE,1) )</f>
        <v>#NUM!</v>
      </c>
      <c r="I19" s="1296" t="e">
        <f t="shared" si="3"/>
        <v>#NUM!</v>
      </c>
      <c r="J19" s="1297" t="e">
        <f t="shared" si="3"/>
        <v>#NUM!</v>
      </c>
      <c r="K19" s="1297" t="e">
        <f t="shared" si="3"/>
        <v>#NUM!</v>
      </c>
      <c r="L19" s="1297" t="e">
        <f t="shared" si="3"/>
        <v>#NUM!</v>
      </c>
      <c r="M19" s="1297" t="e">
        <f t="shared" si="3"/>
        <v>#NUM!</v>
      </c>
      <c r="N19" s="1297" t="e">
        <f t="shared" si="3"/>
        <v>#NUM!</v>
      </c>
      <c r="O19" s="2295" t="e">
        <f t="shared" si="3"/>
        <v>#NUM!</v>
      </c>
      <c r="P19" s="1297" t="e">
        <f t="shared" si="3"/>
        <v>#NUM!</v>
      </c>
      <c r="Q19" s="1297" t="e">
        <f t="shared" si="3"/>
        <v>#NUM!</v>
      </c>
      <c r="R19" s="1297" t="e">
        <f t="shared" si="3"/>
        <v>#NUM!</v>
      </c>
      <c r="S19" s="1297" t="e">
        <f t="shared" si="3"/>
        <v>#NUM!</v>
      </c>
      <c r="T19" s="1297" t="e">
        <f t="shared" si="3"/>
        <v>#NUM!</v>
      </c>
      <c r="U19" s="1298" t="e">
        <f t="shared" si="3"/>
        <v>#NUM!</v>
      </c>
      <c r="V19" s="1298" t="e">
        <f t="shared" si="3"/>
        <v>#NUM!</v>
      </c>
      <c r="W19" s="1298" t="e">
        <f t="shared" si="3"/>
        <v>#NUM!</v>
      </c>
      <c r="X19" s="1298" t="e">
        <f t="shared" si="3"/>
        <v>#NUM!</v>
      </c>
      <c r="Y19" s="1298" t="e">
        <f t="shared" si="3"/>
        <v>#NUM!</v>
      </c>
      <c r="Z19" s="1298" t="e">
        <f t="shared" si="3"/>
        <v>#NUM!</v>
      </c>
    </row>
    <row r="20" spans="2:26" x14ac:dyDescent="0.2">
      <c r="B20" s="377"/>
      <c r="C20" s="381" t="e">
        <f>C19</f>
        <v>#NUM!</v>
      </c>
      <c r="D20" s="379"/>
      <c r="E20" s="1295" t="e">
        <f t="shared" si="0"/>
        <v>#NUM!</v>
      </c>
      <c r="G20" s="328"/>
      <c r="H20" s="385" t="e">
        <f t="shared" ref="H20:Z20" si="4" xml:space="preserve"> IF( ISBLANK(H$12), "", H$13*NORMDIST($C20,H$12,StDev_HE,) )</f>
        <v>#NUM!</v>
      </c>
      <c r="I20" s="1296" t="e">
        <f t="shared" si="4"/>
        <v>#NUM!</v>
      </c>
      <c r="J20" s="1297" t="e">
        <f t="shared" si="4"/>
        <v>#NUM!</v>
      </c>
      <c r="K20" s="1297" t="e">
        <f t="shared" si="4"/>
        <v>#NUM!</v>
      </c>
      <c r="L20" s="1297" t="e">
        <f t="shared" si="4"/>
        <v>#NUM!</v>
      </c>
      <c r="M20" s="1297" t="e">
        <f t="shared" si="4"/>
        <v>#NUM!</v>
      </c>
      <c r="N20" s="1297" t="e">
        <f t="shared" si="4"/>
        <v>#NUM!</v>
      </c>
      <c r="O20" s="2295" t="e">
        <f t="shared" si="4"/>
        <v>#NUM!</v>
      </c>
      <c r="P20" s="1297" t="e">
        <f t="shared" si="4"/>
        <v>#NUM!</v>
      </c>
      <c r="Q20" s="1297" t="e">
        <f t="shared" si="4"/>
        <v>#NUM!</v>
      </c>
      <c r="R20" s="1297" t="e">
        <f t="shared" si="4"/>
        <v>#NUM!</v>
      </c>
      <c r="S20" s="1297" t="e">
        <f t="shared" si="4"/>
        <v>#NUM!</v>
      </c>
      <c r="T20" s="1297" t="e">
        <f t="shared" si="4"/>
        <v>#NUM!</v>
      </c>
      <c r="U20" s="1298" t="e">
        <f t="shared" si="4"/>
        <v>#NUM!</v>
      </c>
      <c r="V20" s="1298" t="e">
        <f t="shared" si="4"/>
        <v>#NUM!</v>
      </c>
      <c r="W20" s="1298" t="e">
        <f t="shared" si="4"/>
        <v>#NUM!</v>
      </c>
      <c r="X20" s="1298" t="e">
        <f t="shared" si="4"/>
        <v>#NUM!</v>
      </c>
      <c r="Y20" s="1298" t="e">
        <f t="shared" si="4"/>
        <v>#NUM!</v>
      </c>
      <c r="Z20" s="1298" t="e">
        <f t="shared" si="4"/>
        <v>#NUM!</v>
      </c>
    </row>
    <row r="21" spans="2:26" ht="20.100000000000001" customHeight="1" x14ac:dyDescent="0.2">
      <c r="B21" s="377">
        <f>B19+1</f>
        <v>2</v>
      </c>
      <c r="C21" s="381" t="e">
        <f>C19-(E19-alpha)/E20</f>
        <v>#NUM!</v>
      </c>
      <c r="D21" s="379" t="e">
        <f>ABS(C19-C21)</f>
        <v>#NUM!</v>
      </c>
      <c r="E21" s="1295" t="e">
        <f t="shared" si="0"/>
        <v>#NUM!</v>
      </c>
      <c r="F21" s="329"/>
      <c r="G21" s="328"/>
      <c r="H21" s="385" t="e">
        <f t="shared" ref="H21:Z21" si="5" xml:space="preserve"> IF( ISBLANK(H$12), "", H$13*NORMDIST($C21,H$12,StDev_HE,1) )</f>
        <v>#NUM!</v>
      </c>
      <c r="I21" s="1296" t="e">
        <f t="shared" si="5"/>
        <v>#NUM!</v>
      </c>
      <c r="J21" s="1297" t="e">
        <f t="shared" si="5"/>
        <v>#NUM!</v>
      </c>
      <c r="K21" s="1297" t="e">
        <f t="shared" si="5"/>
        <v>#NUM!</v>
      </c>
      <c r="L21" s="1297" t="e">
        <f t="shared" si="5"/>
        <v>#NUM!</v>
      </c>
      <c r="M21" s="1297" t="e">
        <f t="shared" si="5"/>
        <v>#NUM!</v>
      </c>
      <c r="N21" s="1297" t="e">
        <f t="shared" si="5"/>
        <v>#NUM!</v>
      </c>
      <c r="O21" s="2295" t="e">
        <f t="shared" si="5"/>
        <v>#NUM!</v>
      </c>
      <c r="P21" s="1297" t="e">
        <f t="shared" si="5"/>
        <v>#NUM!</v>
      </c>
      <c r="Q21" s="1297" t="e">
        <f t="shared" si="5"/>
        <v>#NUM!</v>
      </c>
      <c r="R21" s="1297" t="e">
        <f t="shared" si="5"/>
        <v>#NUM!</v>
      </c>
      <c r="S21" s="1297" t="e">
        <f t="shared" si="5"/>
        <v>#NUM!</v>
      </c>
      <c r="T21" s="1297" t="e">
        <f t="shared" si="5"/>
        <v>#NUM!</v>
      </c>
      <c r="U21" s="1298" t="e">
        <f t="shared" si="5"/>
        <v>#NUM!</v>
      </c>
      <c r="V21" s="1298" t="e">
        <f t="shared" si="5"/>
        <v>#NUM!</v>
      </c>
      <c r="W21" s="1298" t="e">
        <f t="shared" si="5"/>
        <v>#NUM!</v>
      </c>
      <c r="X21" s="1298" t="e">
        <f t="shared" si="5"/>
        <v>#NUM!</v>
      </c>
      <c r="Y21" s="1298" t="e">
        <f t="shared" si="5"/>
        <v>#NUM!</v>
      </c>
      <c r="Z21" s="1298" t="e">
        <f t="shared" si="5"/>
        <v>#NUM!</v>
      </c>
    </row>
    <row r="22" spans="2:26" x14ac:dyDescent="0.2">
      <c r="B22" s="377"/>
      <c r="C22" s="381" t="e">
        <f>C21</f>
        <v>#NUM!</v>
      </c>
      <c r="D22" s="379"/>
      <c r="E22" s="1295" t="e">
        <f t="shared" si="0"/>
        <v>#NUM!</v>
      </c>
      <c r="F22" s="329"/>
      <c r="G22" s="328"/>
      <c r="H22" s="385" t="e">
        <f t="shared" ref="H22:Z22" si="6" xml:space="preserve"> IF( ISBLANK(H$12), "", H$13*NORMDIST($C22,H$12,StDev_HE,) )</f>
        <v>#NUM!</v>
      </c>
      <c r="I22" s="1296" t="e">
        <f t="shared" si="6"/>
        <v>#NUM!</v>
      </c>
      <c r="J22" s="1297" t="e">
        <f t="shared" si="6"/>
        <v>#NUM!</v>
      </c>
      <c r="K22" s="1297" t="e">
        <f t="shared" si="6"/>
        <v>#NUM!</v>
      </c>
      <c r="L22" s="1297" t="e">
        <f t="shared" si="6"/>
        <v>#NUM!</v>
      </c>
      <c r="M22" s="1297" t="e">
        <f t="shared" si="6"/>
        <v>#NUM!</v>
      </c>
      <c r="N22" s="1297" t="e">
        <f t="shared" si="6"/>
        <v>#NUM!</v>
      </c>
      <c r="O22" s="2295" t="e">
        <f t="shared" si="6"/>
        <v>#NUM!</v>
      </c>
      <c r="P22" s="1297" t="e">
        <f t="shared" si="6"/>
        <v>#NUM!</v>
      </c>
      <c r="Q22" s="1297" t="e">
        <f t="shared" si="6"/>
        <v>#NUM!</v>
      </c>
      <c r="R22" s="1297" t="e">
        <f t="shared" si="6"/>
        <v>#NUM!</v>
      </c>
      <c r="S22" s="1297" t="e">
        <f t="shared" si="6"/>
        <v>#NUM!</v>
      </c>
      <c r="T22" s="1297" t="e">
        <f t="shared" si="6"/>
        <v>#NUM!</v>
      </c>
      <c r="U22" s="1298" t="e">
        <f t="shared" si="6"/>
        <v>#NUM!</v>
      </c>
      <c r="V22" s="1298" t="e">
        <f t="shared" si="6"/>
        <v>#NUM!</v>
      </c>
      <c r="W22" s="1298" t="e">
        <f t="shared" si="6"/>
        <v>#NUM!</v>
      </c>
      <c r="X22" s="1298" t="e">
        <f t="shared" si="6"/>
        <v>#NUM!</v>
      </c>
      <c r="Y22" s="1298" t="e">
        <f t="shared" si="6"/>
        <v>#NUM!</v>
      </c>
      <c r="Z22" s="1298" t="e">
        <f t="shared" si="6"/>
        <v>#NUM!</v>
      </c>
    </row>
    <row r="23" spans="2:26" ht="20.100000000000001" customHeight="1" x14ac:dyDescent="0.2">
      <c r="B23" s="377">
        <f>B21+1</f>
        <v>3</v>
      </c>
      <c r="C23" s="381" t="e">
        <f>C21-(E21-alpha)/E22</f>
        <v>#NUM!</v>
      </c>
      <c r="D23" s="379" t="e">
        <f>ABS(C21-C23)</f>
        <v>#NUM!</v>
      </c>
      <c r="E23" s="1295" t="e">
        <f t="shared" si="0"/>
        <v>#NUM!</v>
      </c>
      <c r="F23" s="329"/>
      <c r="G23" s="328"/>
      <c r="H23" s="385" t="e">
        <f t="shared" ref="H23:Z23" si="7" xml:space="preserve"> IF( ISBLANK(H$12), "", H$13*NORMDIST($C23,H$12,StDev_HE,1) )</f>
        <v>#NUM!</v>
      </c>
      <c r="I23" s="1296" t="e">
        <f t="shared" si="7"/>
        <v>#NUM!</v>
      </c>
      <c r="J23" s="1297" t="e">
        <f t="shared" si="7"/>
        <v>#NUM!</v>
      </c>
      <c r="K23" s="1297" t="e">
        <f t="shared" si="7"/>
        <v>#NUM!</v>
      </c>
      <c r="L23" s="1297" t="e">
        <f t="shared" si="7"/>
        <v>#NUM!</v>
      </c>
      <c r="M23" s="1297" t="e">
        <f t="shared" si="7"/>
        <v>#NUM!</v>
      </c>
      <c r="N23" s="1297" t="e">
        <f t="shared" si="7"/>
        <v>#NUM!</v>
      </c>
      <c r="O23" s="2295" t="e">
        <f t="shared" si="7"/>
        <v>#NUM!</v>
      </c>
      <c r="P23" s="1297" t="e">
        <f t="shared" si="7"/>
        <v>#NUM!</v>
      </c>
      <c r="Q23" s="1297" t="e">
        <f t="shared" si="7"/>
        <v>#NUM!</v>
      </c>
      <c r="R23" s="1297" t="e">
        <f t="shared" si="7"/>
        <v>#NUM!</v>
      </c>
      <c r="S23" s="1297" t="e">
        <f t="shared" si="7"/>
        <v>#NUM!</v>
      </c>
      <c r="T23" s="1297" t="e">
        <f t="shared" si="7"/>
        <v>#NUM!</v>
      </c>
      <c r="U23" s="1298" t="e">
        <f t="shared" si="7"/>
        <v>#NUM!</v>
      </c>
      <c r="V23" s="1298" t="e">
        <f t="shared" si="7"/>
        <v>#NUM!</v>
      </c>
      <c r="W23" s="1298" t="e">
        <f t="shared" si="7"/>
        <v>#NUM!</v>
      </c>
      <c r="X23" s="1298" t="e">
        <f t="shared" si="7"/>
        <v>#NUM!</v>
      </c>
      <c r="Y23" s="1298" t="e">
        <f t="shared" si="7"/>
        <v>#NUM!</v>
      </c>
      <c r="Z23" s="1298" t="e">
        <f t="shared" si="7"/>
        <v>#NUM!</v>
      </c>
    </row>
    <row r="24" spans="2:26" x14ac:dyDescent="0.2">
      <c r="B24" s="377"/>
      <c r="C24" s="381" t="e">
        <f>C23</f>
        <v>#NUM!</v>
      </c>
      <c r="D24" s="379"/>
      <c r="E24" s="1295" t="e">
        <f t="shared" si="0"/>
        <v>#NUM!</v>
      </c>
      <c r="F24" s="329"/>
      <c r="G24" s="328"/>
      <c r="H24" s="385" t="e">
        <f t="shared" ref="H24:Z24" si="8" xml:space="preserve"> IF( ISBLANK(H$12), "", H$13*NORMDIST($C24,H$12,StDev_HE,) )</f>
        <v>#NUM!</v>
      </c>
      <c r="I24" s="1296" t="e">
        <f t="shared" si="8"/>
        <v>#NUM!</v>
      </c>
      <c r="J24" s="1297" t="e">
        <f t="shared" si="8"/>
        <v>#NUM!</v>
      </c>
      <c r="K24" s="1297" t="e">
        <f t="shared" si="8"/>
        <v>#NUM!</v>
      </c>
      <c r="L24" s="1297" t="e">
        <f t="shared" si="8"/>
        <v>#NUM!</v>
      </c>
      <c r="M24" s="1297" t="e">
        <f t="shared" si="8"/>
        <v>#NUM!</v>
      </c>
      <c r="N24" s="1297" t="e">
        <f t="shared" si="8"/>
        <v>#NUM!</v>
      </c>
      <c r="O24" s="2295" t="e">
        <f t="shared" si="8"/>
        <v>#NUM!</v>
      </c>
      <c r="P24" s="1297" t="e">
        <f t="shared" si="8"/>
        <v>#NUM!</v>
      </c>
      <c r="Q24" s="1297" t="e">
        <f t="shared" si="8"/>
        <v>#NUM!</v>
      </c>
      <c r="R24" s="1297" t="e">
        <f t="shared" si="8"/>
        <v>#NUM!</v>
      </c>
      <c r="S24" s="1297" t="e">
        <f t="shared" si="8"/>
        <v>#NUM!</v>
      </c>
      <c r="T24" s="1297" t="e">
        <f t="shared" si="8"/>
        <v>#NUM!</v>
      </c>
      <c r="U24" s="1298" t="e">
        <f t="shared" si="8"/>
        <v>#NUM!</v>
      </c>
      <c r="V24" s="1298" t="e">
        <f t="shared" si="8"/>
        <v>#NUM!</v>
      </c>
      <c r="W24" s="1298" t="e">
        <f t="shared" si="8"/>
        <v>#NUM!</v>
      </c>
      <c r="X24" s="1298" t="e">
        <f t="shared" si="8"/>
        <v>#NUM!</v>
      </c>
      <c r="Y24" s="1298" t="e">
        <f t="shared" si="8"/>
        <v>#NUM!</v>
      </c>
      <c r="Z24" s="1298" t="e">
        <f t="shared" si="8"/>
        <v>#NUM!</v>
      </c>
    </row>
    <row r="25" spans="2:26" ht="20.100000000000001" customHeight="1" x14ac:dyDescent="0.2">
      <c r="B25" s="377">
        <f>B23+1</f>
        <v>4</v>
      </c>
      <c r="C25" s="381" t="e">
        <f>C23-(E23-alpha)/E24</f>
        <v>#NUM!</v>
      </c>
      <c r="D25" s="379" t="e">
        <f>ABS(C23-C25)</f>
        <v>#NUM!</v>
      </c>
      <c r="E25" s="1295" t="e">
        <f t="shared" si="0"/>
        <v>#NUM!</v>
      </c>
      <c r="F25" s="329"/>
      <c r="G25" s="328"/>
      <c r="H25" s="385" t="e">
        <f t="shared" ref="H25:Z25" si="9" xml:space="preserve"> IF( ISBLANK(H$12), "", H$13*NORMDIST($C25,H$12,StDev_HE,1) )</f>
        <v>#NUM!</v>
      </c>
      <c r="I25" s="1296" t="e">
        <f t="shared" si="9"/>
        <v>#NUM!</v>
      </c>
      <c r="J25" s="1297" t="e">
        <f t="shared" si="9"/>
        <v>#NUM!</v>
      </c>
      <c r="K25" s="1297" t="e">
        <f t="shared" si="9"/>
        <v>#NUM!</v>
      </c>
      <c r="L25" s="1297" t="e">
        <f t="shared" si="9"/>
        <v>#NUM!</v>
      </c>
      <c r="M25" s="1297" t="e">
        <f t="shared" si="9"/>
        <v>#NUM!</v>
      </c>
      <c r="N25" s="1297" t="e">
        <f t="shared" si="9"/>
        <v>#NUM!</v>
      </c>
      <c r="O25" s="2295" t="e">
        <f t="shared" si="9"/>
        <v>#NUM!</v>
      </c>
      <c r="P25" s="1297" t="e">
        <f t="shared" si="9"/>
        <v>#NUM!</v>
      </c>
      <c r="Q25" s="1297" t="e">
        <f t="shared" si="9"/>
        <v>#NUM!</v>
      </c>
      <c r="R25" s="1297" t="e">
        <f t="shared" si="9"/>
        <v>#NUM!</v>
      </c>
      <c r="S25" s="1297" t="e">
        <f t="shared" si="9"/>
        <v>#NUM!</v>
      </c>
      <c r="T25" s="1297" t="e">
        <f t="shared" si="9"/>
        <v>#NUM!</v>
      </c>
      <c r="U25" s="1298" t="e">
        <f t="shared" si="9"/>
        <v>#NUM!</v>
      </c>
      <c r="V25" s="1298" t="e">
        <f t="shared" si="9"/>
        <v>#NUM!</v>
      </c>
      <c r="W25" s="1298" t="e">
        <f t="shared" si="9"/>
        <v>#NUM!</v>
      </c>
      <c r="X25" s="1298" t="e">
        <f t="shared" si="9"/>
        <v>#NUM!</v>
      </c>
      <c r="Y25" s="1298" t="e">
        <f t="shared" si="9"/>
        <v>#NUM!</v>
      </c>
      <c r="Z25" s="1298" t="e">
        <f t="shared" si="9"/>
        <v>#NUM!</v>
      </c>
    </row>
    <row r="26" spans="2:26" x14ac:dyDescent="0.2">
      <c r="B26" s="377"/>
      <c r="C26" s="381" t="e">
        <f>C25</f>
        <v>#NUM!</v>
      </c>
      <c r="D26" s="379"/>
      <c r="E26" s="1295" t="e">
        <f t="shared" si="0"/>
        <v>#NUM!</v>
      </c>
      <c r="F26" s="329"/>
      <c r="G26" s="328"/>
      <c r="H26" s="385" t="e">
        <f t="shared" ref="H26:Z26" si="10" xml:space="preserve"> IF( ISBLANK(H$12), "", H$13*NORMDIST($C26,H$12,StDev_HE,) )</f>
        <v>#NUM!</v>
      </c>
      <c r="I26" s="1296" t="e">
        <f t="shared" si="10"/>
        <v>#NUM!</v>
      </c>
      <c r="J26" s="1297" t="e">
        <f t="shared" si="10"/>
        <v>#NUM!</v>
      </c>
      <c r="K26" s="1297" t="e">
        <f t="shared" si="10"/>
        <v>#NUM!</v>
      </c>
      <c r="L26" s="1297" t="e">
        <f t="shared" si="10"/>
        <v>#NUM!</v>
      </c>
      <c r="M26" s="1297" t="e">
        <f t="shared" si="10"/>
        <v>#NUM!</v>
      </c>
      <c r="N26" s="1297" t="e">
        <f t="shared" si="10"/>
        <v>#NUM!</v>
      </c>
      <c r="O26" s="2295" t="e">
        <f t="shared" si="10"/>
        <v>#NUM!</v>
      </c>
      <c r="P26" s="1297" t="e">
        <f t="shared" si="10"/>
        <v>#NUM!</v>
      </c>
      <c r="Q26" s="1297" t="e">
        <f t="shared" si="10"/>
        <v>#NUM!</v>
      </c>
      <c r="R26" s="1297" t="e">
        <f t="shared" si="10"/>
        <v>#NUM!</v>
      </c>
      <c r="S26" s="1297" t="e">
        <f t="shared" si="10"/>
        <v>#NUM!</v>
      </c>
      <c r="T26" s="1297" t="e">
        <f t="shared" si="10"/>
        <v>#NUM!</v>
      </c>
      <c r="U26" s="1298" t="e">
        <f t="shared" si="10"/>
        <v>#NUM!</v>
      </c>
      <c r="V26" s="1298" t="e">
        <f t="shared" si="10"/>
        <v>#NUM!</v>
      </c>
      <c r="W26" s="1298" t="e">
        <f t="shared" si="10"/>
        <v>#NUM!</v>
      </c>
      <c r="X26" s="1298" t="e">
        <f t="shared" si="10"/>
        <v>#NUM!</v>
      </c>
      <c r="Y26" s="1298" t="e">
        <f t="shared" si="10"/>
        <v>#NUM!</v>
      </c>
      <c r="Z26" s="1298" t="e">
        <f t="shared" si="10"/>
        <v>#NUM!</v>
      </c>
    </row>
    <row r="27" spans="2:26" ht="20.100000000000001" customHeight="1" x14ac:dyDescent="0.2">
      <c r="B27" s="377">
        <f>B25+1</f>
        <v>5</v>
      </c>
      <c r="C27" s="381" t="e">
        <f>C25-(E25-alpha)/E26</f>
        <v>#NUM!</v>
      </c>
      <c r="D27" s="379" t="e">
        <f>ABS(C25-C27)</f>
        <v>#NUM!</v>
      </c>
      <c r="E27" s="1295" t="e">
        <f t="shared" si="0"/>
        <v>#NUM!</v>
      </c>
      <c r="F27" s="329"/>
      <c r="G27" s="328"/>
      <c r="H27" s="385" t="e">
        <f t="shared" ref="H27:Z27" si="11" xml:space="preserve"> IF( ISBLANK(H$12), "", H$13*NORMDIST($C27,H$12,StDev_HE,1) )</f>
        <v>#NUM!</v>
      </c>
      <c r="I27" s="1296" t="e">
        <f t="shared" si="11"/>
        <v>#NUM!</v>
      </c>
      <c r="J27" s="1297" t="e">
        <f t="shared" si="11"/>
        <v>#NUM!</v>
      </c>
      <c r="K27" s="1297" t="e">
        <f t="shared" si="11"/>
        <v>#NUM!</v>
      </c>
      <c r="L27" s="1297" t="e">
        <f t="shared" si="11"/>
        <v>#NUM!</v>
      </c>
      <c r="M27" s="1297" t="e">
        <f t="shared" si="11"/>
        <v>#NUM!</v>
      </c>
      <c r="N27" s="1297" t="e">
        <f t="shared" si="11"/>
        <v>#NUM!</v>
      </c>
      <c r="O27" s="2295" t="e">
        <f t="shared" si="11"/>
        <v>#NUM!</v>
      </c>
      <c r="P27" s="1297" t="e">
        <f t="shared" si="11"/>
        <v>#NUM!</v>
      </c>
      <c r="Q27" s="1297" t="e">
        <f t="shared" si="11"/>
        <v>#NUM!</v>
      </c>
      <c r="R27" s="1297" t="e">
        <f t="shared" si="11"/>
        <v>#NUM!</v>
      </c>
      <c r="S27" s="1297" t="e">
        <f t="shared" si="11"/>
        <v>#NUM!</v>
      </c>
      <c r="T27" s="1297" t="e">
        <f t="shared" si="11"/>
        <v>#NUM!</v>
      </c>
      <c r="U27" s="1298" t="e">
        <f t="shared" si="11"/>
        <v>#NUM!</v>
      </c>
      <c r="V27" s="1298" t="e">
        <f t="shared" si="11"/>
        <v>#NUM!</v>
      </c>
      <c r="W27" s="1298" t="e">
        <f t="shared" si="11"/>
        <v>#NUM!</v>
      </c>
      <c r="X27" s="1298" t="e">
        <f t="shared" si="11"/>
        <v>#NUM!</v>
      </c>
      <c r="Y27" s="1298" t="e">
        <f t="shared" si="11"/>
        <v>#NUM!</v>
      </c>
      <c r="Z27" s="1298" t="e">
        <f t="shared" si="11"/>
        <v>#NUM!</v>
      </c>
    </row>
    <row r="28" spans="2:26" x14ac:dyDescent="0.2">
      <c r="B28" s="377"/>
      <c r="C28" s="381" t="e">
        <f>C27</f>
        <v>#NUM!</v>
      </c>
      <c r="D28" s="379"/>
      <c r="E28" s="1295" t="e">
        <f t="shared" si="0"/>
        <v>#NUM!</v>
      </c>
      <c r="F28" s="329"/>
      <c r="G28" s="328"/>
      <c r="H28" s="385" t="e">
        <f t="shared" ref="H28:Z28" si="12" xml:space="preserve"> IF( ISBLANK(H$12), "", H$13*NORMDIST($C28,H$12,StDev_HE,) )</f>
        <v>#NUM!</v>
      </c>
      <c r="I28" s="1296" t="e">
        <f t="shared" si="12"/>
        <v>#NUM!</v>
      </c>
      <c r="J28" s="1297" t="e">
        <f t="shared" si="12"/>
        <v>#NUM!</v>
      </c>
      <c r="K28" s="1297" t="e">
        <f t="shared" si="12"/>
        <v>#NUM!</v>
      </c>
      <c r="L28" s="1297" t="e">
        <f t="shared" si="12"/>
        <v>#NUM!</v>
      </c>
      <c r="M28" s="1297" t="e">
        <f t="shared" si="12"/>
        <v>#NUM!</v>
      </c>
      <c r="N28" s="1297" t="e">
        <f t="shared" si="12"/>
        <v>#NUM!</v>
      </c>
      <c r="O28" s="2295" t="e">
        <f t="shared" si="12"/>
        <v>#NUM!</v>
      </c>
      <c r="P28" s="1297" t="e">
        <f t="shared" si="12"/>
        <v>#NUM!</v>
      </c>
      <c r="Q28" s="1297" t="e">
        <f t="shared" si="12"/>
        <v>#NUM!</v>
      </c>
      <c r="R28" s="1297" t="e">
        <f t="shared" si="12"/>
        <v>#NUM!</v>
      </c>
      <c r="S28" s="1297" t="e">
        <f t="shared" si="12"/>
        <v>#NUM!</v>
      </c>
      <c r="T28" s="1297" t="e">
        <f t="shared" si="12"/>
        <v>#NUM!</v>
      </c>
      <c r="U28" s="1298" t="e">
        <f t="shared" si="12"/>
        <v>#NUM!</v>
      </c>
      <c r="V28" s="1298" t="e">
        <f t="shared" si="12"/>
        <v>#NUM!</v>
      </c>
      <c r="W28" s="1298" t="e">
        <f t="shared" si="12"/>
        <v>#NUM!</v>
      </c>
      <c r="X28" s="1298" t="e">
        <f t="shared" si="12"/>
        <v>#NUM!</v>
      </c>
      <c r="Y28" s="1298" t="e">
        <f t="shared" si="12"/>
        <v>#NUM!</v>
      </c>
      <c r="Z28" s="1298" t="e">
        <f t="shared" si="12"/>
        <v>#NUM!</v>
      </c>
    </row>
    <row r="29" spans="2:26" ht="20.100000000000001" customHeight="1" x14ac:dyDescent="0.2">
      <c r="B29" s="377">
        <f>B27+1</f>
        <v>6</v>
      </c>
      <c r="C29" s="381" t="e">
        <f>C27-(E27-alpha)/E28</f>
        <v>#NUM!</v>
      </c>
      <c r="D29" s="379" t="e">
        <f>ABS(C27-C29)</f>
        <v>#NUM!</v>
      </c>
      <c r="E29" s="1295" t="e">
        <f t="shared" si="0"/>
        <v>#NUM!</v>
      </c>
      <c r="F29" s="329"/>
      <c r="G29" s="328"/>
      <c r="H29" s="385" t="e">
        <f t="shared" ref="H29:Z29" si="13" xml:space="preserve"> IF( ISBLANK(H$12), "", H$13*NORMDIST($C29,H$12,StDev_HE,1) )</f>
        <v>#NUM!</v>
      </c>
      <c r="I29" s="1296" t="e">
        <f t="shared" si="13"/>
        <v>#NUM!</v>
      </c>
      <c r="J29" s="1297" t="e">
        <f t="shared" si="13"/>
        <v>#NUM!</v>
      </c>
      <c r="K29" s="1297" t="e">
        <f t="shared" si="13"/>
        <v>#NUM!</v>
      </c>
      <c r="L29" s="1297" t="e">
        <f t="shared" si="13"/>
        <v>#NUM!</v>
      </c>
      <c r="M29" s="1297" t="e">
        <f t="shared" si="13"/>
        <v>#NUM!</v>
      </c>
      <c r="N29" s="1297" t="e">
        <f t="shared" si="13"/>
        <v>#NUM!</v>
      </c>
      <c r="O29" s="2295" t="e">
        <f t="shared" si="13"/>
        <v>#NUM!</v>
      </c>
      <c r="P29" s="1297" t="e">
        <f t="shared" si="13"/>
        <v>#NUM!</v>
      </c>
      <c r="Q29" s="1297" t="e">
        <f t="shared" si="13"/>
        <v>#NUM!</v>
      </c>
      <c r="R29" s="1297" t="e">
        <f t="shared" si="13"/>
        <v>#NUM!</v>
      </c>
      <c r="S29" s="1297" t="e">
        <f t="shared" si="13"/>
        <v>#NUM!</v>
      </c>
      <c r="T29" s="1297" t="e">
        <f t="shared" si="13"/>
        <v>#NUM!</v>
      </c>
      <c r="U29" s="1298" t="e">
        <f t="shared" si="13"/>
        <v>#NUM!</v>
      </c>
      <c r="V29" s="1298" t="e">
        <f t="shared" si="13"/>
        <v>#NUM!</v>
      </c>
      <c r="W29" s="1298" t="e">
        <f t="shared" si="13"/>
        <v>#NUM!</v>
      </c>
      <c r="X29" s="1298" t="e">
        <f t="shared" si="13"/>
        <v>#NUM!</v>
      </c>
      <c r="Y29" s="1298" t="e">
        <f t="shared" si="13"/>
        <v>#NUM!</v>
      </c>
      <c r="Z29" s="1298" t="e">
        <f t="shared" si="13"/>
        <v>#NUM!</v>
      </c>
    </row>
    <row r="30" spans="2:26" x14ac:dyDescent="0.2">
      <c r="B30" s="377"/>
      <c r="C30" s="381" t="e">
        <f>C29</f>
        <v>#NUM!</v>
      </c>
      <c r="D30" s="379"/>
      <c r="E30" s="1295" t="e">
        <f t="shared" si="0"/>
        <v>#NUM!</v>
      </c>
      <c r="F30" s="329"/>
      <c r="G30" s="328"/>
      <c r="H30" s="385" t="e">
        <f t="shared" ref="H30:Z30" si="14" xml:space="preserve"> IF( ISBLANK(H$12), "", H$13*NORMDIST($C30,H$12,StDev_HE,) )</f>
        <v>#NUM!</v>
      </c>
      <c r="I30" s="1296" t="e">
        <f t="shared" si="14"/>
        <v>#NUM!</v>
      </c>
      <c r="J30" s="1297" t="e">
        <f t="shared" si="14"/>
        <v>#NUM!</v>
      </c>
      <c r="K30" s="1297" t="e">
        <f t="shared" si="14"/>
        <v>#NUM!</v>
      </c>
      <c r="L30" s="1297" t="e">
        <f t="shared" si="14"/>
        <v>#NUM!</v>
      </c>
      <c r="M30" s="1297" t="e">
        <f t="shared" si="14"/>
        <v>#NUM!</v>
      </c>
      <c r="N30" s="1297" t="e">
        <f t="shared" si="14"/>
        <v>#NUM!</v>
      </c>
      <c r="O30" s="2295" t="e">
        <f t="shared" si="14"/>
        <v>#NUM!</v>
      </c>
      <c r="P30" s="1297" t="e">
        <f t="shared" si="14"/>
        <v>#NUM!</v>
      </c>
      <c r="Q30" s="1297" t="e">
        <f t="shared" si="14"/>
        <v>#NUM!</v>
      </c>
      <c r="R30" s="1297" t="e">
        <f t="shared" si="14"/>
        <v>#NUM!</v>
      </c>
      <c r="S30" s="1297" t="e">
        <f t="shared" si="14"/>
        <v>#NUM!</v>
      </c>
      <c r="T30" s="1297" t="e">
        <f t="shared" si="14"/>
        <v>#NUM!</v>
      </c>
      <c r="U30" s="1298" t="e">
        <f t="shared" si="14"/>
        <v>#NUM!</v>
      </c>
      <c r="V30" s="1298" t="e">
        <f t="shared" si="14"/>
        <v>#NUM!</v>
      </c>
      <c r="W30" s="1298" t="e">
        <f t="shared" si="14"/>
        <v>#NUM!</v>
      </c>
      <c r="X30" s="1298" t="e">
        <f t="shared" si="14"/>
        <v>#NUM!</v>
      </c>
      <c r="Y30" s="1298" t="e">
        <f t="shared" si="14"/>
        <v>#NUM!</v>
      </c>
      <c r="Z30" s="1298" t="e">
        <f t="shared" si="14"/>
        <v>#NUM!</v>
      </c>
    </row>
    <row r="31" spans="2:26" ht="20.100000000000001" customHeight="1" x14ac:dyDescent="0.2">
      <c r="B31" s="377">
        <f>B29+1</f>
        <v>7</v>
      </c>
      <c r="C31" s="381" t="e">
        <f>C29-(E29-alpha)/E30</f>
        <v>#NUM!</v>
      </c>
      <c r="D31" s="379" t="e">
        <f>ABS(C29-C31)</f>
        <v>#NUM!</v>
      </c>
      <c r="E31" s="1295" t="e">
        <f t="shared" si="0"/>
        <v>#NUM!</v>
      </c>
      <c r="F31" s="329"/>
      <c r="G31" s="328"/>
      <c r="H31" s="385" t="e">
        <f t="shared" ref="H31:Z31" si="15" xml:space="preserve"> IF( ISBLANK(H$12), "", H$13*NORMDIST($C31,H$12,StDev_HE,1) )</f>
        <v>#NUM!</v>
      </c>
      <c r="I31" s="1296" t="e">
        <f t="shared" si="15"/>
        <v>#NUM!</v>
      </c>
      <c r="J31" s="1297" t="e">
        <f t="shared" si="15"/>
        <v>#NUM!</v>
      </c>
      <c r="K31" s="1297" t="e">
        <f t="shared" si="15"/>
        <v>#NUM!</v>
      </c>
      <c r="L31" s="1297" t="e">
        <f t="shared" si="15"/>
        <v>#NUM!</v>
      </c>
      <c r="M31" s="1297" t="e">
        <f t="shared" si="15"/>
        <v>#NUM!</v>
      </c>
      <c r="N31" s="1297" t="e">
        <f t="shared" si="15"/>
        <v>#NUM!</v>
      </c>
      <c r="O31" s="2295" t="e">
        <f t="shared" si="15"/>
        <v>#NUM!</v>
      </c>
      <c r="P31" s="1297" t="e">
        <f t="shared" si="15"/>
        <v>#NUM!</v>
      </c>
      <c r="Q31" s="1297" t="e">
        <f t="shared" si="15"/>
        <v>#NUM!</v>
      </c>
      <c r="R31" s="1297" t="e">
        <f t="shared" si="15"/>
        <v>#NUM!</v>
      </c>
      <c r="S31" s="1297" t="e">
        <f t="shared" si="15"/>
        <v>#NUM!</v>
      </c>
      <c r="T31" s="1297" t="e">
        <f t="shared" si="15"/>
        <v>#NUM!</v>
      </c>
      <c r="U31" s="1298" t="e">
        <f t="shared" si="15"/>
        <v>#NUM!</v>
      </c>
      <c r="V31" s="1298" t="e">
        <f t="shared" si="15"/>
        <v>#NUM!</v>
      </c>
      <c r="W31" s="1298" t="e">
        <f t="shared" si="15"/>
        <v>#NUM!</v>
      </c>
      <c r="X31" s="1298" t="e">
        <f t="shared" si="15"/>
        <v>#NUM!</v>
      </c>
      <c r="Y31" s="1298" t="e">
        <f t="shared" si="15"/>
        <v>#NUM!</v>
      </c>
      <c r="Z31" s="1298" t="e">
        <f t="shared" si="15"/>
        <v>#NUM!</v>
      </c>
    </row>
    <row r="32" spans="2:26" x14ac:dyDescent="0.2">
      <c r="B32" s="377"/>
      <c r="C32" s="381" t="e">
        <f>C31</f>
        <v>#NUM!</v>
      </c>
      <c r="D32" s="379"/>
      <c r="E32" s="1295" t="e">
        <f t="shared" si="0"/>
        <v>#NUM!</v>
      </c>
      <c r="F32" s="329"/>
      <c r="G32" s="328"/>
      <c r="H32" s="385" t="e">
        <f t="shared" ref="H32:Z32" si="16" xml:space="preserve"> IF( ISBLANK(H$12), "", H$13*NORMDIST($C32,H$12,StDev_HE,) )</f>
        <v>#NUM!</v>
      </c>
      <c r="I32" s="1296" t="e">
        <f t="shared" si="16"/>
        <v>#NUM!</v>
      </c>
      <c r="J32" s="1297" t="e">
        <f t="shared" si="16"/>
        <v>#NUM!</v>
      </c>
      <c r="K32" s="1297" t="e">
        <f t="shared" si="16"/>
        <v>#NUM!</v>
      </c>
      <c r="L32" s="1297" t="e">
        <f t="shared" si="16"/>
        <v>#NUM!</v>
      </c>
      <c r="M32" s="1297" t="e">
        <f t="shared" si="16"/>
        <v>#NUM!</v>
      </c>
      <c r="N32" s="1297" t="e">
        <f t="shared" si="16"/>
        <v>#NUM!</v>
      </c>
      <c r="O32" s="2295" t="e">
        <f t="shared" si="16"/>
        <v>#NUM!</v>
      </c>
      <c r="P32" s="1297" t="e">
        <f t="shared" si="16"/>
        <v>#NUM!</v>
      </c>
      <c r="Q32" s="1297" t="e">
        <f t="shared" si="16"/>
        <v>#NUM!</v>
      </c>
      <c r="R32" s="1297" t="e">
        <f t="shared" si="16"/>
        <v>#NUM!</v>
      </c>
      <c r="S32" s="1297" t="e">
        <f t="shared" si="16"/>
        <v>#NUM!</v>
      </c>
      <c r="T32" s="1297" t="e">
        <f t="shared" si="16"/>
        <v>#NUM!</v>
      </c>
      <c r="U32" s="1298" t="e">
        <f t="shared" si="16"/>
        <v>#NUM!</v>
      </c>
      <c r="V32" s="1298" t="e">
        <f t="shared" si="16"/>
        <v>#NUM!</v>
      </c>
      <c r="W32" s="1298" t="e">
        <f t="shared" si="16"/>
        <v>#NUM!</v>
      </c>
      <c r="X32" s="1298" t="e">
        <f t="shared" si="16"/>
        <v>#NUM!</v>
      </c>
      <c r="Y32" s="1298" t="e">
        <f t="shared" si="16"/>
        <v>#NUM!</v>
      </c>
      <c r="Z32" s="1298" t="e">
        <f t="shared" si="16"/>
        <v>#NUM!</v>
      </c>
    </row>
    <row r="33" spans="2:26" ht="20.100000000000001" customHeight="1" x14ac:dyDescent="0.2">
      <c r="B33" s="377">
        <f>B31+1</f>
        <v>8</v>
      </c>
      <c r="C33" s="381" t="e">
        <f>C31-(E31-alpha)/E32</f>
        <v>#NUM!</v>
      </c>
      <c r="D33" s="379" t="e">
        <f>ABS(C31-C33)</f>
        <v>#NUM!</v>
      </c>
      <c r="E33" s="1295" t="e">
        <f t="shared" si="0"/>
        <v>#NUM!</v>
      </c>
      <c r="F33" s="329"/>
      <c r="G33" s="328"/>
      <c r="H33" s="385" t="e">
        <f t="shared" ref="H33:Z33" si="17" xml:space="preserve"> IF( ISBLANK(H$12), "", H$13*NORMDIST($C33,H$12,StDev_HE,1) )</f>
        <v>#NUM!</v>
      </c>
      <c r="I33" s="1296" t="e">
        <f t="shared" si="17"/>
        <v>#NUM!</v>
      </c>
      <c r="J33" s="1297" t="e">
        <f t="shared" si="17"/>
        <v>#NUM!</v>
      </c>
      <c r="K33" s="1297" t="e">
        <f t="shared" si="17"/>
        <v>#NUM!</v>
      </c>
      <c r="L33" s="1297" t="e">
        <f t="shared" si="17"/>
        <v>#NUM!</v>
      </c>
      <c r="M33" s="1297" t="e">
        <f t="shared" si="17"/>
        <v>#NUM!</v>
      </c>
      <c r="N33" s="1297" t="e">
        <f t="shared" si="17"/>
        <v>#NUM!</v>
      </c>
      <c r="O33" s="2295" t="e">
        <f t="shared" si="17"/>
        <v>#NUM!</v>
      </c>
      <c r="P33" s="1297" t="e">
        <f t="shared" si="17"/>
        <v>#NUM!</v>
      </c>
      <c r="Q33" s="1297" t="e">
        <f t="shared" si="17"/>
        <v>#NUM!</v>
      </c>
      <c r="R33" s="1297" t="e">
        <f t="shared" si="17"/>
        <v>#NUM!</v>
      </c>
      <c r="S33" s="1297" t="e">
        <f t="shared" si="17"/>
        <v>#NUM!</v>
      </c>
      <c r="T33" s="1297" t="e">
        <f t="shared" si="17"/>
        <v>#NUM!</v>
      </c>
      <c r="U33" s="1298" t="e">
        <f t="shared" si="17"/>
        <v>#NUM!</v>
      </c>
      <c r="V33" s="1298" t="e">
        <f t="shared" si="17"/>
        <v>#NUM!</v>
      </c>
      <c r="W33" s="1298" t="e">
        <f t="shared" si="17"/>
        <v>#NUM!</v>
      </c>
      <c r="X33" s="1298" t="e">
        <f t="shared" si="17"/>
        <v>#NUM!</v>
      </c>
      <c r="Y33" s="1298" t="e">
        <f t="shared" si="17"/>
        <v>#NUM!</v>
      </c>
      <c r="Z33" s="1298" t="e">
        <f t="shared" si="17"/>
        <v>#NUM!</v>
      </c>
    </row>
    <row r="34" spans="2:26" x14ac:dyDescent="0.2">
      <c r="B34" s="377"/>
      <c r="C34" s="381" t="e">
        <f>C33</f>
        <v>#NUM!</v>
      </c>
      <c r="D34" s="379"/>
      <c r="E34" s="1295" t="e">
        <f t="shared" si="0"/>
        <v>#NUM!</v>
      </c>
      <c r="F34" s="329"/>
      <c r="G34" s="328"/>
      <c r="H34" s="385" t="e">
        <f t="shared" ref="H34:Z34" si="18" xml:space="preserve"> IF( ISBLANK(H$12), "", H$13*NORMDIST($C34,H$12,StDev_HE,) )</f>
        <v>#NUM!</v>
      </c>
      <c r="I34" s="1296" t="e">
        <f t="shared" si="18"/>
        <v>#NUM!</v>
      </c>
      <c r="J34" s="1297" t="e">
        <f t="shared" si="18"/>
        <v>#NUM!</v>
      </c>
      <c r="K34" s="1297" t="e">
        <f t="shared" si="18"/>
        <v>#NUM!</v>
      </c>
      <c r="L34" s="1297" t="e">
        <f t="shared" si="18"/>
        <v>#NUM!</v>
      </c>
      <c r="M34" s="1297" t="e">
        <f t="shared" si="18"/>
        <v>#NUM!</v>
      </c>
      <c r="N34" s="1297" t="e">
        <f t="shared" si="18"/>
        <v>#NUM!</v>
      </c>
      <c r="O34" s="2295" t="e">
        <f t="shared" si="18"/>
        <v>#NUM!</v>
      </c>
      <c r="P34" s="1297" t="e">
        <f t="shared" si="18"/>
        <v>#NUM!</v>
      </c>
      <c r="Q34" s="1297" t="e">
        <f t="shared" si="18"/>
        <v>#NUM!</v>
      </c>
      <c r="R34" s="1297" t="e">
        <f t="shared" si="18"/>
        <v>#NUM!</v>
      </c>
      <c r="S34" s="1297" t="e">
        <f t="shared" si="18"/>
        <v>#NUM!</v>
      </c>
      <c r="T34" s="1297" t="e">
        <f t="shared" si="18"/>
        <v>#NUM!</v>
      </c>
      <c r="U34" s="1298" t="e">
        <f t="shared" si="18"/>
        <v>#NUM!</v>
      </c>
      <c r="V34" s="1298" t="e">
        <f t="shared" si="18"/>
        <v>#NUM!</v>
      </c>
      <c r="W34" s="1298" t="e">
        <f t="shared" si="18"/>
        <v>#NUM!</v>
      </c>
      <c r="X34" s="1298" t="e">
        <f t="shared" si="18"/>
        <v>#NUM!</v>
      </c>
      <c r="Y34" s="1298" t="e">
        <f t="shared" si="18"/>
        <v>#NUM!</v>
      </c>
      <c r="Z34" s="1298" t="e">
        <f t="shared" si="18"/>
        <v>#NUM!</v>
      </c>
    </row>
    <row r="35" spans="2:26" ht="20.100000000000001" customHeight="1" x14ac:dyDescent="0.2">
      <c r="B35" s="377">
        <f>B33+1</f>
        <v>9</v>
      </c>
      <c r="C35" s="381" t="e">
        <f>C33-(E33-alpha)/E34</f>
        <v>#NUM!</v>
      </c>
      <c r="D35" s="379" t="e">
        <f>ABS(C33-C35)</f>
        <v>#NUM!</v>
      </c>
      <c r="E35" s="1295" t="e">
        <f t="shared" si="0"/>
        <v>#NUM!</v>
      </c>
      <c r="F35" s="329"/>
      <c r="G35" s="328"/>
      <c r="H35" s="385" t="e">
        <f t="shared" ref="H35:Z35" si="19" xml:space="preserve"> IF( ISBLANK(H$12), "", H$13*NORMDIST($C35,H$12,StDev_HE,1) )</f>
        <v>#NUM!</v>
      </c>
      <c r="I35" s="1296" t="e">
        <f t="shared" si="19"/>
        <v>#NUM!</v>
      </c>
      <c r="J35" s="1297" t="e">
        <f t="shared" si="19"/>
        <v>#NUM!</v>
      </c>
      <c r="K35" s="1297" t="e">
        <f t="shared" si="19"/>
        <v>#NUM!</v>
      </c>
      <c r="L35" s="1297" t="e">
        <f t="shared" si="19"/>
        <v>#NUM!</v>
      </c>
      <c r="M35" s="1297" t="e">
        <f t="shared" si="19"/>
        <v>#NUM!</v>
      </c>
      <c r="N35" s="1297" t="e">
        <f t="shared" si="19"/>
        <v>#NUM!</v>
      </c>
      <c r="O35" s="2295" t="e">
        <f t="shared" si="19"/>
        <v>#NUM!</v>
      </c>
      <c r="P35" s="1297" t="e">
        <f t="shared" si="19"/>
        <v>#NUM!</v>
      </c>
      <c r="Q35" s="1297" t="e">
        <f t="shared" si="19"/>
        <v>#NUM!</v>
      </c>
      <c r="R35" s="1297" t="e">
        <f t="shared" si="19"/>
        <v>#NUM!</v>
      </c>
      <c r="S35" s="1297" t="e">
        <f t="shared" si="19"/>
        <v>#NUM!</v>
      </c>
      <c r="T35" s="1297" t="e">
        <f t="shared" si="19"/>
        <v>#NUM!</v>
      </c>
      <c r="U35" s="1298" t="e">
        <f t="shared" si="19"/>
        <v>#NUM!</v>
      </c>
      <c r="V35" s="1298" t="e">
        <f t="shared" si="19"/>
        <v>#NUM!</v>
      </c>
      <c r="W35" s="1298" t="e">
        <f t="shared" si="19"/>
        <v>#NUM!</v>
      </c>
      <c r="X35" s="1298" t="e">
        <f t="shared" si="19"/>
        <v>#NUM!</v>
      </c>
      <c r="Y35" s="1298" t="e">
        <f t="shared" si="19"/>
        <v>#NUM!</v>
      </c>
      <c r="Z35" s="1298" t="e">
        <f t="shared" si="19"/>
        <v>#NUM!</v>
      </c>
    </row>
    <row r="36" spans="2:26" x14ac:dyDescent="0.2">
      <c r="B36" s="377"/>
      <c r="C36" s="381" t="e">
        <f>C35</f>
        <v>#NUM!</v>
      </c>
      <c r="D36" s="379"/>
      <c r="E36" s="1295" t="e">
        <f t="shared" si="0"/>
        <v>#NUM!</v>
      </c>
      <c r="F36" s="329"/>
      <c r="G36" s="328"/>
      <c r="H36" s="385" t="e">
        <f t="shared" ref="H36:Z36" si="20" xml:space="preserve"> IF( ISBLANK(H$12), "", H$13*NORMDIST($C36,H$12,StDev_HE,) )</f>
        <v>#NUM!</v>
      </c>
      <c r="I36" s="1296" t="e">
        <f t="shared" si="20"/>
        <v>#NUM!</v>
      </c>
      <c r="J36" s="1297" t="e">
        <f t="shared" si="20"/>
        <v>#NUM!</v>
      </c>
      <c r="K36" s="1297" t="e">
        <f t="shared" si="20"/>
        <v>#NUM!</v>
      </c>
      <c r="L36" s="1297" t="e">
        <f t="shared" si="20"/>
        <v>#NUM!</v>
      </c>
      <c r="M36" s="1297" t="e">
        <f t="shared" si="20"/>
        <v>#NUM!</v>
      </c>
      <c r="N36" s="1297" t="e">
        <f t="shared" si="20"/>
        <v>#NUM!</v>
      </c>
      <c r="O36" s="2295" t="e">
        <f t="shared" si="20"/>
        <v>#NUM!</v>
      </c>
      <c r="P36" s="1297" t="e">
        <f t="shared" si="20"/>
        <v>#NUM!</v>
      </c>
      <c r="Q36" s="1297" t="e">
        <f t="shared" si="20"/>
        <v>#NUM!</v>
      </c>
      <c r="R36" s="1297" t="e">
        <f t="shared" si="20"/>
        <v>#NUM!</v>
      </c>
      <c r="S36" s="1297" t="e">
        <f t="shared" si="20"/>
        <v>#NUM!</v>
      </c>
      <c r="T36" s="1297" t="e">
        <f t="shared" si="20"/>
        <v>#NUM!</v>
      </c>
      <c r="U36" s="1298" t="e">
        <f t="shared" si="20"/>
        <v>#NUM!</v>
      </c>
      <c r="V36" s="1298" t="e">
        <f t="shared" si="20"/>
        <v>#NUM!</v>
      </c>
      <c r="W36" s="1298" t="e">
        <f t="shared" si="20"/>
        <v>#NUM!</v>
      </c>
      <c r="X36" s="1298" t="e">
        <f t="shared" si="20"/>
        <v>#NUM!</v>
      </c>
      <c r="Y36" s="1298" t="e">
        <f t="shared" si="20"/>
        <v>#NUM!</v>
      </c>
      <c r="Z36" s="1298" t="e">
        <f t="shared" si="20"/>
        <v>#NUM!</v>
      </c>
    </row>
    <row r="37" spans="2:26" ht="20.100000000000001" customHeight="1" x14ac:dyDescent="0.2">
      <c r="B37" s="377">
        <f>B35+1</f>
        <v>10</v>
      </c>
      <c r="C37" s="381" t="e">
        <f>C35-(E35-alpha)/E36</f>
        <v>#NUM!</v>
      </c>
      <c r="D37" s="379" t="e">
        <f>ABS(C35-C37)</f>
        <v>#NUM!</v>
      </c>
      <c r="E37" s="1295" t="e">
        <f t="shared" si="0"/>
        <v>#NUM!</v>
      </c>
      <c r="F37" s="329"/>
      <c r="G37" s="328"/>
      <c r="H37" s="385" t="e">
        <f t="shared" ref="H37:Z37" si="21" xml:space="preserve"> IF( ISBLANK(H$12), "", H$13*NORMDIST($C37,H$12,StDev_HE,1) )</f>
        <v>#NUM!</v>
      </c>
      <c r="I37" s="1296" t="e">
        <f t="shared" si="21"/>
        <v>#NUM!</v>
      </c>
      <c r="J37" s="1297" t="e">
        <f t="shared" si="21"/>
        <v>#NUM!</v>
      </c>
      <c r="K37" s="1297" t="e">
        <f t="shared" si="21"/>
        <v>#NUM!</v>
      </c>
      <c r="L37" s="1297" t="e">
        <f t="shared" si="21"/>
        <v>#NUM!</v>
      </c>
      <c r="M37" s="1297" t="e">
        <f t="shared" si="21"/>
        <v>#NUM!</v>
      </c>
      <c r="N37" s="1297" t="e">
        <f t="shared" si="21"/>
        <v>#NUM!</v>
      </c>
      <c r="O37" s="2295" t="e">
        <f t="shared" si="21"/>
        <v>#NUM!</v>
      </c>
      <c r="P37" s="1297" t="e">
        <f t="shared" si="21"/>
        <v>#NUM!</v>
      </c>
      <c r="Q37" s="1297" t="e">
        <f t="shared" si="21"/>
        <v>#NUM!</v>
      </c>
      <c r="R37" s="1297" t="e">
        <f t="shared" si="21"/>
        <v>#NUM!</v>
      </c>
      <c r="S37" s="1297" t="e">
        <f t="shared" si="21"/>
        <v>#NUM!</v>
      </c>
      <c r="T37" s="1297" t="e">
        <f t="shared" si="21"/>
        <v>#NUM!</v>
      </c>
      <c r="U37" s="1298" t="e">
        <f t="shared" si="21"/>
        <v>#NUM!</v>
      </c>
      <c r="V37" s="1298" t="e">
        <f t="shared" si="21"/>
        <v>#NUM!</v>
      </c>
      <c r="W37" s="1298" t="e">
        <f t="shared" si="21"/>
        <v>#NUM!</v>
      </c>
      <c r="X37" s="1298" t="e">
        <f t="shared" si="21"/>
        <v>#NUM!</v>
      </c>
      <c r="Y37" s="1298" t="e">
        <f t="shared" si="21"/>
        <v>#NUM!</v>
      </c>
      <c r="Z37" s="1298" t="e">
        <f t="shared" si="21"/>
        <v>#NUM!</v>
      </c>
    </row>
    <row r="38" spans="2:26" x14ac:dyDescent="0.2">
      <c r="B38" s="377" t="s">
        <v>61</v>
      </c>
      <c r="C38" s="364" t="e">
        <f>C37</f>
        <v>#NUM!</v>
      </c>
      <c r="D38" s="379"/>
      <c r="E38" s="1295" t="e">
        <f t="shared" si="0"/>
        <v>#NUM!</v>
      </c>
      <c r="F38" s="329"/>
      <c r="G38" s="328"/>
      <c r="H38" s="385" t="e">
        <f t="shared" ref="H38:Z38" si="22" xml:space="preserve"> IF( ISBLANK(H$12), "", H$13*NORMDIST($C38,H$12,StDev_HE,) )</f>
        <v>#NUM!</v>
      </c>
      <c r="I38" s="1296" t="e">
        <f t="shared" si="22"/>
        <v>#NUM!</v>
      </c>
      <c r="J38" s="1297" t="e">
        <f t="shared" si="22"/>
        <v>#NUM!</v>
      </c>
      <c r="K38" s="1297" t="e">
        <f t="shared" si="22"/>
        <v>#NUM!</v>
      </c>
      <c r="L38" s="1297" t="e">
        <f t="shared" si="22"/>
        <v>#NUM!</v>
      </c>
      <c r="M38" s="1297" t="e">
        <f t="shared" si="22"/>
        <v>#NUM!</v>
      </c>
      <c r="N38" s="1297" t="e">
        <f t="shared" si="22"/>
        <v>#NUM!</v>
      </c>
      <c r="O38" s="2295" t="e">
        <f t="shared" si="22"/>
        <v>#NUM!</v>
      </c>
      <c r="P38" s="1297" t="e">
        <f t="shared" si="22"/>
        <v>#NUM!</v>
      </c>
      <c r="Q38" s="1297" t="e">
        <f t="shared" si="22"/>
        <v>#NUM!</v>
      </c>
      <c r="R38" s="1297" t="e">
        <f t="shared" si="22"/>
        <v>#NUM!</v>
      </c>
      <c r="S38" s="1297" t="e">
        <f t="shared" si="22"/>
        <v>#NUM!</v>
      </c>
      <c r="T38" s="1297" t="e">
        <f t="shared" si="22"/>
        <v>#NUM!</v>
      </c>
      <c r="U38" s="1298" t="e">
        <f t="shared" si="22"/>
        <v>#NUM!</v>
      </c>
      <c r="V38" s="1298" t="e">
        <f t="shared" si="22"/>
        <v>#NUM!</v>
      </c>
      <c r="W38" s="1298" t="e">
        <f t="shared" si="22"/>
        <v>#NUM!</v>
      </c>
      <c r="X38" s="1298" t="e">
        <f t="shared" si="22"/>
        <v>#NUM!</v>
      </c>
      <c r="Y38" s="1298" t="e">
        <f t="shared" si="22"/>
        <v>#NUM!</v>
      </c>
      <c r="Z38" s="1298" t="e">
        <f t="shared" si="22"/>
        <v>#NUM!</v>
      </c>
    </row>
    <row r="39" spans="2:26" x14ac:dyDescent="0.2">
      <c r="B39" s="377"/>
      <c r="C39" s="378"/>
      <c r="D39" s="379"/>
      <c r="E39" s="1295"/>
      <c r="F39" s="329"/>
      <c r="G39" s="328"/>
      <c r="H39" s="385"/>
      <c r="I39" s="1296"/>
      <c r="J39" s="1297"/>
      <c r="K39" s="1297"/>
      <c r="L39" s="1297"/>
      <c r="M39" s="1297"/>
      <c r="N39" s="1297"/>
      <c r="O39" s="2295"/>
      <c r="P39" s="1297"/>
      <c r="Q39" s="1297"/>
      <c r="R39" s="1297"/>
      <c r="S39" s="1297"/>
      <c r="T39" s="1297"/>
      <c r="U39" s="1298"/>
      <c r="V39" s="1298"/>
      <c r="W39" s="1298"/>
      <c r="X39" s="1298"/>
      <c r="Y39" s="1298"/>
      <c r="Z39" s="1298"/>
    </row>
    <row r="40" spans="2:26" s="374" customFormat="1" ht="51" x14ac:dyDescent="0.2">
      <c r="B40" s="375"/>
      <c r="C40" s="376"/>
      <c r="D40" s="380" t="s">
        <v>326</v>
      </c>
      <c r="E40" s="388" t="e">
        <f>SUM(H40:Z40)</f>
        <v>#NUM!</v>
      </c>
      <c r="G40" s="596" t="str">
        <f>Translation!B403</f>
        <v>Additiver Beitrag zum Expected Shortfall der Gesamtverteilung [MCHF]</v>
      </c>
      <c r="H40" s="1299" t="e">
        <f t="shared" ref="H40:X40" si="23" xml:space="preserve"> IF( ISBLANK(H$12), "",  (H12*H37-StDev_HE^2*H38) / alpha )</f>
        <v>#NUM!</v>
      </c>
      <c r="I40" s="1300" t="e">
        <f t="shared" si="23"/>
        <v>#NUM!</v>
      </c>
      <c r="J40" s="1301" t="e">
        <f t="shared" si="23"/>
        <v>#NUM!</v>
      </c>
      <c r="K40" s="1301" t="e">
        <f t="shared" si="23"/>
        <v>#NUM!</v>
      </c>
      <c r="L40" s="1301" t="e">
        <f t="shared" si="23"/>
        <v>#NUM!</v>
      </c>
      <c r="M40" s="1301" t="e">
        <f t="shared" ref="M40:O40" si="24" xml:space="preserve"> IF( ISBLANK(M$12), "",  (M12*M37-StDev_HE^2*M38) / alpha )</f>
        <v>#NUM!</v>
      </c>
      <c r="N40" s="1301" t="e">
        <f t="shared" si="24"/>
        <v>#NUM!</v>
      </c>
      <c r="O40" s="2296" t="e">
        <f t="shared" si="24"/>
        <v>#NUM!</v>
      </c>
      <c r="P40" s="1301" t="e">
        <f t="shared" si="23"/>
        <v>#NUM!</v>
      </c>
      <c r="Q40" s="1301" t="e">
        <f t="shared" si="23"/>
        <v>#NUM!</v>
      </c>
      <c r="R40" s="1301" t="e">
        <f t="shared" si="23"/>
        <v>#NUM!</v>
      </c>
      <c r="S40" s="1301" t="e">
        <f t="shared" si="23"/>
        <v>#NUM!</v>
      </c>
      <c r="T40" s="1301" t="e">
        <f t="shared" si="23"/>
        <v>#NUM!</v>
      </c>
      <c r="U40" s="1302" t="e">
        <f t="shared" si="23"/>
        <v>#NUM!</v>
      </c>
      <c r="V40" s="1302" t="e">
        <f t="shared" si="23"/>
        <v>#NUM!</v>
      </c>
      <c r="W40" s="1302" t="e">
        <f t="shared" si="23"/>
        <v>#NUM!</v>
      </c>
      <c r="X40" s="1302" t="e">
        <f t="shared" si="23"/>
        <v>#NUM!</v>
      </c>
      <c r="Y40" s="1302" t="e">
        <f xml:space="preserve"> IF( ISBLANK(Y$12), "",  (Y12*Y37-StDev_HE^2*Y38) / alpha )</f>
        <v>#NUM!</v>
      </c>
      <c r="Z40" s="1302" t="e">
        <f xml:space="preserve"> IF( ISBLANK(Z$12), "",  (Z12*Z37-StDev_HE^2*Z38) / alpha )</f>
        <v>#NUM!</v>
      </c>
    </row>
  </sheetData>
  <customSheetViews>
    <customSheetView guid="{F15DEFD8-B0F4-4CC3-8896-92BF7E7815B1}" scale="75" showGridLines="0" fitToPage="1" printArea="1" hiddenColumns="1" topLeftCell="N1">
      <selection activeCell="O3" sqref="O3"/>
      <colBreaks count="1" manualBreakCount="1">
        <brk id="21" max="39" man="1"/>
      </colBreaks>
      <pageMargins left="0.47244094488188981" right="0.47244094488188981" top="0.59055118110236227" bottom="0.59055118110236227" header="0.35433070866141736" footer="0.35433070866141736"/>
      <pageSetup paperSize="9" scale="61" fitToWidth="3" orientation="landscape" r:id="rId1"/>
      <headerFooter alignWithMargins="0">
        <oddHeader>&amp;R&amp;"Arial,Fett"&amp;12SST</oddHeader>
        <oddFooter>&amp;L&amp;F / &amp;A&amp;C&amp;P / &amp;N&amp;R&amp;D</oddFooter>
      </headerFooter>
    </customSheetView>
  </customSheetViews>
  <mergeCells count="1">
    <mergeCell ref="B12:D12"/>
  </mergeCells>
  <phoneticPr fontId="11" type="noConversion"/>
  <conditionalFormatting sqref="D37">
    <cfRule type="expression" dxfId="65" priority="7" stopIfTrue="1">
      <formula>$D$37&gt;0.0001</formula>
    </cfRule>
    <cfRule type="expression" dxfId="64" priority="8" stopIfTrue="1">
      <formula>$D$37&gt;0.0000000001</formula>
    </cfRule>
  </conditionalFormatting>
  <conditionalFormatting sqref="E37">
    <cfRule type="expression" dxfId="63" priority="6" stopIfTrue="1">
      <formula>ABS($E$37-$C$10)&gt;0.00000000001</formula>
    </cfRule>
  </conditionalFormatting>
  <conditionalFormatting sqref="H13:Z13">
    <cfRule type="cellIs" dxfId="62" priority="5" stopIfTrue="1" operator="greaterThan">
      <formula>0</formula>
    </cfRule>
  </conditionalFormatting>
  <conditionalFormatting sqref="E37">
    <cfRule type="expression" dxfId="61" priority="2" stopIfTrue="1">
      <formula>ABS($E$37-$C$10)&gt;0.00000000001</formula>
    </cfRule>
  </conditionalFormatting>
  <conditionalFormatting sqref="V13:Z13">
    <cfRule type="cellIs" dxfId="60" priority="1" stopIfTrue="1" operator="greaterThan">
      <formula>0</formula>
    </cfRule>
  </conditionalFormatting>
  <hyperlinks>
    <hyperlink ref="A1" location="list_of_sheets!A1" display="list_of_sheets!A1" xr:uid="{00000000-0004-0000-0F00-000000000000}"/>
  </hyperlinks>
  <pageMargins left="0.47244094488188981" right="0.47244094488188981" top="0.6692913385826772" bottom="0.59055118110236227" header="0.35433070866141736" footer="0.35433070866141736"/>
  <pageSetup paperSize="9" fitToWidth="3" orientation="landscape" r:id="rId2"/>
  <headerFooter alignWithMargins="0">
    <oddHeader>&amp;R&amp;"Arial,Fett"&amp;12KVG-Solvenztest
Test de solvabilité LAMal</oddHeader>
    <oddFooter>&amp;L&amp;F / &amp;A&amp;C&amp;P /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tabColor rgb="FF00FFFF"/>
    <pageSetUpPr autoPageBreaks="0" fitToPage="1"/>
  </sheetPr>
  <dimension ref="A1:Q2803"/>
  <sheetViews>
    <sheetView workbookViewId="0"/>
  </sheetViews>
  <sheetFormatPr baseColWidth="10" defaultColWidth="11.42578125" defaultRowHeight="12.75" outlineLevelRow="1" outlineLevelCol="1" x14ac:dyDescent="0.2"/>
  <cols>
    <col min="1" max="1" width="8.28515625" customWidth="1"/>
    <col min="2" max="2" width="40.5703125" customWidth="1"/>
    <col min="3" max="3" width="1.5703125" customWidth="1"/>
    <col min="4" max="4" width="20.5703125" style="333" customWidth="1"/>
    <col min="5" max="5" width="1.5703125" customWidth="1"/>
    <col min="6" max="6" width="13.42578125" style="27" customWidth="1"/>
    <col min="7" max="7" width="1.5703125" customWidth="1"/>
    <col min="8" max="10" width="8.42578125" style="27" hidden="1" customWidth="1" outlineLevel="1"/>
    <col min="11" max="11" width="1.5703125" hidden="1" customWidth="1" outlineLevel="1"/>
    <col min="12" max="12" width="25.5703125" style="19" customWidth="1" collapsed="1"/>
    <col min="13" max="13" width="1.5703125" customWidth="1"/>
    <col min="14" max="14" width="15.5703125" style="31" customWidth="1"/>
    <col min="15" max="15" width="1.5703125" customWidth="1"/>
    <col min="16" max="16" width="15.5703125" style="31" customWidth="1"/>
    <col min="17" max="16384" width="11.42578125" style="1"/>
  </cols>
  <sheetData>
    <row r="1" spans="1:16" s="1269" customFormat="1" ht="21" thickBot="1" x14ac:dyDescent="0.35">
      <c r="A1" s="2181">
        <v>14</v>
      </c>
      <c r="B1" s="1001" t="str">
        <f>Translation!B404</f>
        <v>Szenarien</v>
      </c>
      <c r="C1" s="1002"/>
      <c r="D1" s="1003"/>
      <c r="E1" s="1002"/>
      <c r="F1" s="1004"/>
      <c r="G1" s="1002"/>
      <c r="H1" s="1004"/>
      <c r="I1" s="1001"/>
      <c r="J1" s="1004"/>
      <c r="K1" s="1002"/>
      <c r="L1" s="1005"/>
      <c r="M1" s="1002"/>
      <c r="N1" s="1006"/>
      <c r="O1" s="1001"/>
      <c r="P1" s="1007"/>
    </row>
    <row r="2" spans="1:16" s="681" customFormat="1" ht="20.100000000000001" customHeight="1" x14ac:dyDescent="0.2">
      <c r="A2" s="682"/>
      <c r="B2" s="176" t="str">
        <f>Inputparam!C8</f>
        <v xml:space="preserve">0000 </v>
      </c>
      <c r="D2" s="1303"/>
      <c r="L2" s="1304"/>
    </row>
    <row r="3" spans="1:16" x14ac:dyDescent="0.2">
      <c r="B3">
        <v>6</v>
      </c>
    </row>
    <row r="4" spans="1:16" x14ac:dyDescent="0.2">
      <c r="B4" t="str">
        <f>Translation!B406</f>
        <v xml:space="preserve">Bemerkungen: </v>
      </c>
    </row>
    <row r="5" spans="1:16" x14ac:dyDescent="0.2">
      <c r="B5" t="str">
        <f>Translation!B407</f>
        <v>"Änderung der Aktiven" = Wertveränderung der Aktiven aufgrund des Szenarios.</v>
      </c>
    </row>
    <row r="6" spans="1:16" x14ac:dyDescent="0.2">
      <c r="B6" t="str">
        <f>Translation!B408</f>
        <v>"Änderung der Passiven" = Wertveränderung der Passiven aufgrund des Szenarios.</v>
      </c>
    </row>
    <row r="7" spans="1:16" x14ac:dyDescent="0.2">
      <c r="B7" t="str">
        <f>Translation!B409</f>
        <v>"Änderung der Reserven" = "Änderung der Aktiven" - "Änderung der Passiven"</v>
      </c>
    </row>
    <row r="8" spans="1:16" x14ac:dyDescent="0.2">
      <c r="B8" t="str">
        <f>Translation!B410</f>
        <v>negatives Vorzeichen der Änderungen: Wert nimmt ab; positives Vorzeichen: Wert nimmt zu.</v>
      </c>
    </row>
    <row r="10" spans="1:16" x14ac:dyDescent="0.2">
      <c r="B10" s="339" t="str">
        <f>Translation!B411</f>
        <v>gewählte Art des Versicherers</v>
      </c>
      <c r="C10" s="529"/>
      <c r="D10" s="529">
        <f>type_i_of_insurer</f>
        <v>3</v>
      </c>
      <c r="E10" s="529"/>
      <c r="F10" s="529"/>
      <c r="G10" s="108"/>
      <c r="H10" s="117"/>
      <c r="I10" s="137" t="str">
        <f>IF(type_i_of_insurer&gt;0,UPPER(Inputparam!C13),"Versicherungstypus ist nicht gewählt!")</f>
        <v>HEALTH</v>
      </c>
      <c r="J10" s="340"/>
      <c r="K10" s="6"/>
    </row>
    <row r="11" spans="1:16" ht="8.1" customHeight="1" x14ac:dyDescent="0.2">
      <c r="B11" s="55"/>
    </row>
    <row r="12" spans="1:16" x14ac:dyDescent="0.2">
      <c r="B12" s="347"/>
      <c r="C12" s="114"/>
      <c r="D12" s="331"/>
      <c r="E12" s="114"/>
      <c r="F12" s="349"/>
      <c r="G12" s="114"/>
      <c r="H12" s="1305"/>
      <c r="I12" s="1306" t="str">
        <f>Translation!B415</f>
        <v>Szenario ist relevant für:</v>
      </c>
      <c r="J12" s="1307"/>
      <c r="K12" s="114"/>
      <c r="L12" s="114"/>
      <c r="M12" s="114"/>
      <c r="N12" s="348"/>
      <c r="O12" s="114"/>
      <c r="P12" s="360"/>
    </row>
    <row r="13" spans="1:16" s="82" customFormat="1" ht="76.5" x14ac:dyDescent="0.2">
      <c r="B13" s="350" t="str">
        <f>Translation!B412</f>
        <v>Szenario</v>
      </c>
      <c r="C13" s="351"/>
      <c r="D13" s="352" t="str">
        <f>Translation!B413</f>
        <v>Eintritts-wahrscheinlichkeit</v>
      </c>
      <c r="E13" s="351"/>
      <c r="F13" s="321" t="str">
        <f>Translation!B414</f>
        <v>Szenario ist relevant für die Mindesthöhe der Reserven</v>
      </c>
      <c r="G13" s="351"/>
      <c r="H13" s="286" t="s">
        <v>352</v>
      </c>
      <c r="I13" s="287" t="s">
        <v>353</v>
      </c>
      <c r="J13" s="288" t="s">
        <v>354</v>
      </c>
      <c r="K13" s="351"/>
      <c r="L13" s="353"/>
      <c r="M13" s="351"/>
      <c r="N13" s="354" t="str">
        <f>Translation!B416</f>
        <v>Änderungen</v>
      </c>
      <c r="O13" s="355"/>
      <c r="P13" s="361" t="str">
        <f>Translation!B417</f>
        <v>Relevanter Wert für die Mindesthöhe der Reserven</v>
      </c>
    </row>
    <row r="14" spans="1:16" s="27" customFormat="1" x14ac:dyDescent="0.2">
      <c r="B14" s="356"/>
      <c r="C14" s="285"/>
      <c r="D14" s="337"/>
      <c r="E14" s="285"/>
      <c r="F14" s="285"/>
      <c r="G14" s="285"/>
      <c r="H14" s="356"/>
      <c r="I14" s="285"/>
      <c r="J14" s="357"/>
      <c r="K14" s="285"/>
      <c r="L14" s="330"/>
      <c r="M14" s="285"/>
      <c r="N14" s="358" t="s">
        <v>82</v>
      </c>
      <c r="O14" s="285"/>
      <c r="P14" s="359" t="s">
        <v>82</v>
      </c>
    </row>
    <row r="15" spans="1:16" ht="8.1" customHeight="1" x14ac:dyDescent="0.2">
      <c r="H15" s="289"/>
      <c r="I15" s="39"/>
      <c r="J15" s="290"/>
      <c r="P15" s="75"/>
    </row>
    <row r="16" spans="1:16" ht="8.1" customHeight="1" x14ac:dyDescent="0.2">
      <c r="B16" s="21"/>
      <c r="C16" s="21"/>
      <c r="D16" s="334"/>
      <c r="E16" s="21"/>
      <c r="F16" s="79"/>
      <c r="G16" s="21"/>
      <c r="H16" s="291"/>
      <c r="I16" s="79"/>
      <c r="J16" s="292"/>
      <c r="K16" s="21"/>
      <c r="L16" s="341"/>
      <c r="M16" s="21"/>
      <c r="N16" s="78"/>
      <c r="O16" s="21"/>
      <c r="P16" s="305"/>
    </row>
    <row r="17" spans="1:16" s="134" customFormat="1" x14ac:dyDescent="0.2">
      <c r="B17" s="143" t="str">
        <f>Translation!B418</f>
        <v>Beispiel</v>
      </c>
      <c r="C17" s="144"/>
      <c r="D17" s="335">
        <v>0</v>
      </c>
      <c r="E17" s="144"/>
      <c r="F17" s="147">
        <v>1</v>
      </c>
      <c r="G17" s="144"/>
      <c r="H17" s="293">
        <v>1</v>
      </c>
      <c r="I17" s="145">
        <v>1</v>
      </c>
      <c r="J17" s="294">
        <v>1</v>
      </c>
      <c r="K17" s="146"/>
      <c r="L17" s="342" t="str">
        <f>Translation!$B$435</f>
        <v>Änderung der Aktiven</v>
      </c>
      <c r="M17" s="144"/>
      <c r="N17" s="440">
        <v>-300</v>
      </c>
      <c r="O17" s="146"/>
      <c r="P17" s="306">
        <f>IF(type_i_of_insurer&gt;0,F17*N17*INDEX(H17:J17,type_i_of_insurer),F17*N17)</f>
        <v>-300</v>
      </c>
    </row>
    <row r="18" spans="1:16" s="134" customFormat="1" x14ac:dyDescent="0.2">
      <c r="B18" s="143"/>
      <c r="C18" s="144"/>
      <c r="D18" s="335"/>
      <c r="E18" s="144"/>
      <c r="F18" s="147">
        <v>1</v>
      </c>
      <c r="G18" s="144"/>
      <c r="H18" s="293"/>
      <c r="I18" s="145"/>
      <c r="J18" s="294"/>
      <c r="K18" s="146"/>
      <c r="L18" s="342" t="str">
        <f>Translation!$B$436</f>
        <v>Änderung der Passiven</v>
      </c>
      <c r="M18" s="144"/>
      <c r="N18" s="448">
        <v>50</v>
      </c>
      <c r="O18" s="146"/>
      <c r="P18" s="306">
        <f>IF(type_i_of_insurer&gt;0,F18*N18*INDEX(H17:J17,type_i_of_insurer),F18*N18)</f>
        <v>50</v>
      </c>
    </row>
    <row r="19" spans="1:16" s="134" customFormat="1" ht="13.5" thickBot="1" x14ac:dyDescent="0.25">
      <c r="B19" s="143"/>
      <c r="C19" s="144"/>
      <c r="D19" s="335"/>
      <c r="E19" s="144"/>
      <c r="F19" s="147">
        <v>1</v>
      </c>
      <c r="G19" s="144"/>
      <c r="H19" s="293"/>
      <c r="I19" s="145"/>
      <c r="J19" s="294"/>
      <c r="K19" s="146"/>
      <c r="L19" s="343" t="str">
        <f>Translation!$B$437</f>
        <v>Änderung der Reserven</v>
      </c>
      <c r="M19" s="144"/>
      <c r="N19" s="449">
        <v>-350</v>
      </c>
      <c r="O19" s="146"/>
      <c r="P19" s="307">
        <f>IF(type_i_of_insurer&gt;0,F19*N19*INDEX(H17:J17,type_i_of_insurer),F19*N19)</f>
        <v>-350</v>
      </c>
    </row>
    <row r="20" spans="1:16" ht="8.1" customHeight="1" x14ac:dyDescent="0.2">
      <c r="B20" s="12"/>
      <c r="C20" s="12"/>
      <c r="D20" s="336"/>
      <c r="E20" s="12"/>
      <c r="F20" s="81"/>
      <c r="G20" s="12"/>
      <c r="H20" s="295"/>
      <c r="I20" s="81"/>
      <c r="J20" s="296"/>
      <c r="K20" s="12"/>
      <c r="L20" s="344"/>
      <c r="M20" s="12"/>
      <c r="N20" s="80"/>
      <c r="O20" s="12"/>
      <c r="P20" s="308"/>
    </row>
    <row r="21" spans="1:16" ht="8.1" customHeight="1" x14ac:dyDescent="0.2">
      <c r="H21" s="289"/>
      <c r="I21" s="39"/>
      <c r="J21" s="290"/>
      <c r="P21" s="75"/>
    </row>
    <row r="22" spans="1:16" x14ac:dyDescent="0.2">
      <c r="A22" t="s">
        <v>730</v>
      </c>
      <c r="B22" s="278" t="str">
        <f>Translation!B272</f>
        <v>Ungünstige Risikostruktur</v>
      </c>
      <c r="C22" s="114"/>
      <c r="D22" s="1693">
        <v>0.01</v>
      </c>
      <c r="E22" s="114"/>
      <c r="F22" s="281">
        <v>1</v>
      </c>
      <c r="G22" s="114"/>
      <c r="H22" s="297">
        <v>0</v>
      </c>
      <c r="I22" s="279">
        <v>0</v>
      </c>
      <c r="J22" s="298">
        <v>1</v>
      </c>
      <c r="K22" s="280"/>
      <c r="L22" s="942" t="str">
        <f>Translation!$B$435</f>
        <v>Änderung der Aktiven</v>
      </c>
      <c r="M22" s="114"/>
      <c r="N22" s="893">
        <f>BAG_Scenarios!$C19/1000000</f>
        <v>0</v>
      </c>
      <c r="O22" s="280"/>
      <c r="P22" s="1308">
        <f>IF(type_i_of_insurer&gt;0,F22*N22*INDEX(H22:J22,type_i_of_insurer),F22*N22)</f>
        <v>0</v>
      </c>
    </row>
    <row r="23" spans="1:16" x14ac:dyDescent="0.2">
      <c r="B23" s="26"/>
      <c r="F23" s="27">
        <f>F22</f>
        <v>1</v>
      </c>
      <c r="H23" s="299"/>
      <c r="I23" s="25"/>
      <c r="J23" s="300"/>
      <c r="K23" s="9"/>
      <c r="L23" s="942" t="str">
        <f>Translation!$B$436</f>
        <v>Änderung der Passiven</v>
      </c>
      <c r="N23" s="929">
        <f>BAG_Scenarios!$C20/1000000</f>
        <v>0</v>
      </c>
      <c r="O23" s="9"/>
      <c r="P23" s="1309">
        <f>IF(type_i_of_insurer&gt;0,F23*N23*INDEX(H22:J22,type_i_of_insurer),F23*N23)</f>
        <v>0</v>
      </c>
    </row>
    <row r="24" spans="1:16" ht="13.5" thickBot="1" x14ac:dyDescent="0.25">
      <c r="B24" s="282"/>
      <c r="C24" s="115"/>
      <c r="D24" s="337"/>
      <c r="E24" s="115"/>
      <c r="F24" s="285">
        <f>F22</f>
        <v>1</v>
      </c>
      <c r="G24" s="115"/>
      <c r="H24" s="301"/>
      <c r="I24" s="283"/>
      <c r="J24" s="302"/>
      <c r="K24" s="284"/>
      <c r="L24" s="943" t="str">
        <f>Translation!$B$437</f>
        <v>Änderung der Reserven</v>
      </c>
      <c r="M24" s="115"/>
      <c r="N24" s="362">
        <f>BAG_Scenarios!$C21/1000000</f>
        <v>0</v>
      </c>
      <c r="O24" s="284"/>
      <c r="P24" s="309">
        <f>IF(type_i_of_insurer&gt;0,F24*N24*INDEX(H22:J22,type_i_of_insurer),F24*N24)</f>
        <v>0</v>
      </c>
    </row>
    <row r="25" spans="1:16" ht="8.1" customHeight="1" x14ac:dyDescent="0.2">
      <c r="H25" s="289"/>
      <c r="I25" s="39"/>
      <c r="J25" s="290"/>
      <c r="N25" s="77"/>
      <c r="P25" s="1310"/>
    </row>
    <row r="26" spans="1:16" x14ac:dyDescent="0.2">
      <c r="A26" s="23" t="s">
        <v>731</v>
      </c>
      <c r="B26" s="278" t="str">
        <f>Translation!B287</f>
        <v>Zunahme Hochkostenfälle</v>
      </c>
      <c r="C26" s="114"/>
      <c r="D26" s="1693">
        <v>0.01</v>
      </c>
      <c r="E26" s="114"/>
      <c r="F26" s="281">
        <v>1</v>
      </c>
      <c r="G26" s="114"/>
      <c r="H26" s="297">
        <v>0</v>
      </c>
      <c r="I26" s="279">
        <v>0</v>
      </c>
      <c r="J26" s="298">
        <v>1</v>
      </c>
      <c r="K26" s="280"/>
      <c r="L26" s="942" t="str">
        <f>Translation!$B$435</f>
        <v>Änderung der Aktiven</v>
      </c>
      <c r="M26" s="114"/>
      <c r="N26" s="893">
        <f>BAG_Scenarios!C36/10^6</f>
        <v>0</v>
      </c>
      <c r="O26" s="280"/>
      <c r="P26" s="1308">
        <f>IF(type_i_of_insurer&gt;0,F26*N26*INDEX(H26:J26,type_i_of_insurer),F26*N26)</f>
        <v>0</v>
      </c>
    </row>
    <row r="27" spans="1:16" x14ac:dyDescent="0.2">
      <c r="B27" s="26"/>
      <c r="F27" s="27">
        <v>1</v>
      </c>
      <c r="H27" s="299"/>
      <c r="I27" s="25"/>
      <c r="J27" s="300"/>
      <c r="K27" s="9"/>
      <c r="L27" s="942" t="str">
        <f>Translation!$B$436</f>
        <v>Änderung der Passiven</v>
      </c>
      <c r="N27" s="929">
        <f>BAG_Scenarios!C37/10^6</f>
        <v>0</v>
      </c>
      <c r="O27" s="9"/>
      <c r="P27" s="1309">
        <f>IF(type_i_of_insurer&gt;0,F27*N27*INDEX(H26:J26,type_i_of_insurer),F27*N27)</f>
        <v>0</v>
      </c>
    </row>
    <row r="28" spans="1:16" ht="13.5" thickBot="1" x14ac:dyDescent="0.25">
      <c r="B28" s="26"/>
      <c r="F28" s="27">
        <v>1</v>
      </c>
      <c r="H28" s="299"/>
      <c r="I28" s="25"/>
      <c r="J28" s="300"/>
      <c r="K28" s="9"/>
      <c r="L28" s="943" t="str">
        <f>Translation!$B$437</f>
        <v>Änderung der Reserven</v>
      </c>
      <c r="N28" s="362">
        <f>BAG_Scenarios!C38/10^6</f>
        <v>0</v>
      </c>
      <c r="O28" s="9"/>
      <c r="P28" s="309">
        <f>IF(type_i_of_insurer&gt;0,F28*N28*INDEX(H26:J26,type_i_of_insurer),F28*N28)</f>
        <v>0</v>
      </c>
    </row>
    <row r="29" spans="1:16" ht="8.1" customHeight="1" x14ac:dyDescent="0.2">
      <c r="B29" s="26"/>
      <c r="H29" s="299"/>
      <c r="I29" s="25"/>
      <c r="J29" s="300"/>
      <c r="N29" s="77"/>
      <c r="P29" s="311"/>
    </row>
    <row r="30" spans="1:16" x14ac:dyDescent="0.2">
      <c r="A30" s="23" t="s">
        <v>2628</v>
      </c>
      <c r="B30" s="278" t="str">
        <f>Translation!B434</f>
        <v>Financial Distress</v>
      </c>
      <c r="C30" s="114"/>
      <c r="D30" s="1693">
        <v>5.0000000000000001E-3</v>
      </c>
      <c r="E30" s="114"/>
      <c r="F30" s="281">
        <v>1</v>
      </c>
      <c r="G30" s="114"/>
      <c r="H30" s="297">
        <v>0</v>
      </c>
      <c r="I30" s="279">
        <v>0</v>
      </c>
      <c r="J30" s="298">
        <v>1</v>
      </c>
      <c r="K30" s="280"/>
      <c r="L30" s="942" t="str">
        <f>Translation!$B$435</f>
        <v>Änderung der Aktiven</v>
      </c>
      <c r="M30" s="114"/>
      <c r="N30" s="893">
        <f>BAG_Scenarios!D46/10^6</f>
        <v>0</v>
      </c>
      <c r="O30" s="280"/>
      <c r="P30" s="1308">
        <f>IF(type_i_of_insurer&gt;0,F30*N30*INDEX(H30:J30,type_i_of_insurer),F30*N30)</f>
        <v>0</v>
      </c>
    </row>
    <row r="31" spans="1:16" x14ac:dyDescent="0.2">
      <c r="B31" s="26"/>
      <c r="F31" s="27">
        <f>F30</f>
        <v>1</v>
      </c>
      <c r="H31" s="299"/>
      <c r="I31" s="25"/>
      <c r="J31" s="300"/>
      <c r="K31" s="9"/>
      <c r="L31" s="942" t="str">
        <f>Translation!$B$436</f>
        <v>Änderung der Passiven</v>
      </c>
      <c r="N31" s="929">
        <f>BAG_Scenarios!D47/10^6</f>
        <v>0</v>
      </c>
      <c r="O31" s="9"/>
      <c r="P31" s="1309">
        <f>IF(type_i_of_insurer&gt;0,F31*N31*INDEX(H30:J30,type_i_of_insurer),F31*N31)</f>
        <v>0</v>
      </c>
    </row>
    <row r="32" spans="1:16" ht="13.5" thickBot="1" x14ac:dyDescent="0.25">
      <c r="B32" s="282"/>
      <c r="C32" s="115"/>
      <c r="D32" s="337"/>
      <c r="E32" s="115"/>
      <c r="F32" s="285">
        <f>F30</f>
        <v>1</v>
      </c>
      <c r="G32" s="115"/>
      <c r="H32" s="301"/>
      <c r="I32" s="283"/>
      <c r="J32" s="302"/>
      <c r="K32" s="284"/>
      <c r="L32" s="943" t="str">
        <f>Translation!$B$437</f>
        <v>Änderung der Reserven</v>
      </c>
      <c r="M32" s="115"/>
      <c r="N32" s="362">
        <f>BAG_Scenarios!D48/10^6</f>
        <v>0</v>
      </c>
      <c r="O32" s="284"/>
      <c r="P32" s="309">
        <f>IF(type_i_of_insurer&gt;0,F32*N32*INDEX(H30:J30,type_i_of_insurer),F32*N32)</f>
        <v>0</v>
      </c>
    </row>
    <row r="33" spans="1:16" s="9" customFormat="1" ht="8.1" customHeight="1" x14ac:dyDescent="0.2">
      <c r="A33"/>
      <c r="B33" s="26"/>
      <c r="D33" s="338"/>
      <c r="F33" s="28"/>
      <c r="H33" s="299"/>
      <c r="I33" s="25"/>
      <c r="J33" s="300"/>
      <c r="L33" s="20"/>
      <c r="N33" s="77"/>
      <c r="P33" s="312"/>
    </row>
    <row r="34" spans="1:16" x14ac:dyDescent="0.2">
      <c r="A34" s="23" t="s">
        <v>2629</v>
      </c>
      <c r="B34" s="278" t="str">
        <f>Translation!B388</f>
        <v>Leistungsszenario EU</v>
      </c>
      <c r="C34" s="114"/>
      <c r="D34" s="2335">
        <v>5.0000000000000001E-3</v>
      </c>
      <c r="E34" s="114"/>
      <c r="F34" s="281">
        <v>1</v>
      </c>
      <c r="G34" s="114"/>
      <c r="H34" s="297">
        <v>0</v>
      </c>
      <c r="I34" s="279">
        <v>0</v>
      </c>
      <c r="J34" s="298">
        <v>1</v>
      </c>
      <c r="K34" s="280"/>
      <c r="L34" s="942" t="str">
        <f>Translation!$B$435</f>
        <v>Änderung der Aktiven</v>
      </c>
      <c r="M34" s="114"/>
      <c r="N34" s="893">
        <f>BAG_Scenarios!E59/10^6</f>
        <v>0</v>
      </c>
      <c r="O34" s="280"/>
      <c r="P34" s="1308">
        <f>IF(type_i_of_insurer&gt;0,F34*N34*INDEX(H34:J34,type_i_of_insurer),F34*N34)</f>
        <v>0</v>
      </c>
    </row>
    <row r="35" spans="1:16" x14ac:dyDescent="0.2">
      <c r="B35" s="26"/>
      <c r="F35" s="27">
        <v>1</v>
      </c>
      <c r="H35" s="299"/>
      <c r="I35" s="25"/>
      <c r="J35" s="300"/>
      <c r="K35" s="9"/>
      <c r="L35" s="942" t="str">
        <f>Translation!$B$436</f>
        <v>Änderung der Passiven</v>
      </c>
      <c r="N35" s="929">
        <f>BAG_Scenarios!E60/10^6</f>
        <v>0</v>
      </c>
      <c r="O35" s="9"/>
      <c r="P35" s="1309">
        <f>IF(type_i_of_insurer&gt;0,F35*N35*INDEX(H34:J34,type_i_of_insurer),F35*N35)</f>
        <v>0</v>
      </c>
    </row>
    <row r="36" spans="1:16" ht="13.5" thickBot="1" x14ac:dyDescent="0.25">
      <c r="B36" s="282"/>
      <c r="C36" s="115"/>
      <c r="D36" s="337"/>
      <c r="E36" s="115"/>
      <c r="F36" s="285">
        <v>1</v>
      </c>
      <c r="G36" s="115"/>
      <c r="H36" s="301"/>
      <c r="I36" s="283"/>
      <c r="J36" s="302"/>
      <c r="K36" s="284"/>
      <c r="L36" s="943" t="str">
        <f>Translation!$B$437</f>
        <v>Änderung der Reserven</v>
      </c>
      <c r="M36" s="115"/>
      <c r="N36" s="362">
        <f>BAG_Scenarios!E61/10^6</f>
        <v>0</v>
      </c>
      <c r="O36" s="284"/>
      <c r="P36" s="309">
        <f>IF(type_i_of_insurer&gt;0,F36*N36*INDEX(H34:J34,type_i_of_insurer),F36*N36)</f>
        <v>0</v>
      </c>
    </row>
    <row r="37" spans="1:16" ht="8.1" customHeight="1" x14ac:dyDescent="0.2">
      <c r="H37" s="289"/>
      <c r="I37" s="39"/>
      <c r="J37" s="290"/>
      <c r="N37" s="77"/>
      <c r="P37" s="1310"/>
    </row>
    <row r="38" spans="1:16" x14ac:dyDescent="0.2">
      <c r="A38" s="23" t="s">
        <v>732</v>
      </c>
      <c r="B38" s="278" t="str">
        <f>Translation!B420</f>
        <v>Unterreservierung</v>
      </c>
      <c r="C38" s="114"/>
      <c r="D38" s="2335">
        <v>0.01</v>
      </c>
      <c r="E38" s="114"/>
      <c r="F38" s="281">
        <v>1</v>
      </c>
      <c r="G38" s="114"/>
      <c r="H38" s="297">
        <v>0</v>
      </c>
      <c r="I38" s="279">
        <v>0</v>
      </c>
      <c r="J38" s="298">
        <v>1</v>
      </c>
      <c r="K38" s="280"/>
      <c r="L38" s="942" t="str">
        <f>Translation!$B$435</f>
        <v>Änderung der Aktiven</v>
      </c>
      <c r="M38" s="114"/>
      <c r="N38" s="893">
        <f>BAG_Scenarios!D70/10^6</f>
        <v>0</v>
      </c>
      <c r="O38" s="280"/>
      <c r="P38" s="1308">
        <f>IF(type_i_of_insurer&gt;0,F38*N38*INDEX(H38:J38,type_i_of_insurer),F38*N38)</f>
        <v>0</v>
      </c>
    </row>
    <row r="39" spans="1:16" x14ac:dyDescent="0.2">
      <c r="B39" s="26"/>
      <c r="F39" s="27">
        <f>F38</f>
        <v>1</v>
      </c>
      <c r="H39" s="299"/>
      <c r="I39" s="25"/>
      <c r="J39" s="300"/>
      <c r="K39" s="9"/>
      <c r="L39" s="942" t="str">
        <f>Translation!$B$436</f>
        <v>Änderung der Passiven</v>
      </c>
      <c r="N39" s="893">
        <f>BAG_Scenarios!D71/10^6</f>
        <v>0</v>
      </c>
      <c r="O39" s="9"/>
      <c r="P39" s="1309">
        <f>IF(type_i_of_insurer&gt;0,F39*N39*INDEX(H38:J38,type_i_of_insurer),F39*N39)</f>
        <v>0</v>
      </c>
    </row>
    <row r="40" spans="1:16" ht="13.5" thickBot="1" x14ac:dyDescent="0.25">
      <c r="B40" s="282"/>
      <c r="C40" s="115"/>
      <c r="D40" s="337"/>
      <c r="E40" s="115"/>
      <c r="F40" s="285">
        <f>F38</f>
        <v>1</v>
      </c>
      <c r="G40" s="115"/>
      <c r="H40" s="301"/>
      <c r="I40" s="283"/>
      <c r="J40" s="302"/>
      <c r="K40" s="284"/>
      <c r="L40" s="943" t="str">
        <f>Translation!$B$437</f>
        <v>Änderung der Reserven</v>
      </c>
      <c r="M40" s="115"/>
      <c r="N40" s="362">
        <f>BAG_Scenarios!D72/10^6</f>
        <v>0</v>
      </c>
      <c r="O40" s="284"/>
      <c r="P40" s="309">
        <f>IF(type_i_of_insurer&gt;0,F40*N40*INDEX(H38:J38,type_i_of_insurer),F40*N40)</f>
        <v>0</v>
      </c>
    </row>
    <row r="41" spans="1:16" ht="8.1" customHeight="1" x14ac:dyDescent="0.2">
      <c r="H41" s="289"/>
      <c r="I41" s="39"/>
      <c r="J41" s="290"/>
      <c r="N41" s="77"/>
      <c r="P41" s="1310"/>
    </row>
    <row r="42" spans="1:16" x14ac:dyDescent="0.2">
      <c r="A42" s="23" t="s">
        <v>733</v>
      </c>
      <c r="B42" s="278" t="str">
        <f>Translation!B421</f>
        <v>Konjunkturbaisse</v>
      </c>
      <c r="C42" s="114"/>
      <c r="D42" s="1693">
        <v>0.01</v>
      </c>
      <c r="E42" s="114"/>
      <c r="F42" s="281">
        <v>1</v>
      </c>
      <c r="G42" s="114"/>
      <c r="H42" s="297">
        <v>0</v>
      </c>
      <c r="I42" s="279">
        <v>0</v>
      </c>
      <c r="J42" s="298">
        <v>1</v>
      </c>
      <c r="K42" s="280"/>
      <c r="L42" s="942" t="str">
        <f>Translation!$B$435</f>
        <v>Änderung der Aktiven</v>
      </c>
      <c r="M42" s="114"/>
      <c r="N42" s="893">
        <f>BAG_Scenarios!F81/10^6</f>
        <v>0</v>
      </c>
      <c r="O42" s="280"/>
      <c r="P42" s="1308">
        <f>IF(type_i_of_insurer&gt;0,F42*N42*INDEX(H42:J42,type_i_of_insurer),F42*N42)</f>
        <v>0</v>
      </c>
    </row>
    <row r="43" spans="1:16" x14ac:dyDescent="0.2">
      <c r="B43" s="26"/>
      <c r="F43" s="27">
        <f>F42</f>
        <v>1</v>
      </c>
      <c r="H43" s="299"/>
      <c r="I43" s="25"/>
      <c r="J43" s="300"/>
      <c r="K43" s="9"/>
      <c r="L43" s="942" t="str">
        <f>Translation!$B$436</f>
        <v>Änderung der Passiven</v>
      </c>
      <c r="N43" s="893">
        <f>BAG_Scenarios!F82/10^6</f>
        <v>0</v>
      </c>
      <c r="O43" s="9"/>
      <c r="P43" s="1309">
        <f>IF(type_i_of_insurer&gt;0,F43*N43*INDEX(H42:J42,type_i_of_insurer),F43*N43)</f>
        <v>0</v>
      </c>
    </row>
    <row r="44" spans="1:16" ht="13.5" thickBot="1" x14ac:dyDescent="0.25">
      <c r="B44" s="282"/>
      <c r="C44" s="115"/>
      <c r="D44" s="337"/>
      <c r="E44" s="115"/>
      <c r="F44" s="285">
        <f>F42</f>
        <v>1</v>
      </c>
      <c r="G44" s="115"/>
      <c r="H44" s="301"/>
      <c r="I44" s="283"/>
      <c r="J44" s="302"/>
      <c r="K44" s="284"/>
      <c r="L44" s="943" t="str">
        <f>Translation!$B$437</f>
        <v>Änderung der Reserven</v>
      </c>
      <c r="M44" s="115"/>
      <c r="N44" s="362">
        <f>BAG_Scenarios!F83/10^6</f>
        <v>0</v>
      </c>
      <c r="O44" s="284"/>
      <c r="P44" s="309">
        <f>IF(type_i_of_insurer&gt;0,F44*N44*INDEX(H42:J42,type_i_of_insurer),F44*N44)</f>
        <v>0</v>
      </c>
    </row>
    <row r="45" spans="1:16" ht="8.1" customHeight="1" x14ac:dyDescent="0.2">
      <c r="B45" s="26"/>
      <c r="H45" s="299"/>
      <c r="I45" s="25"/>
      <c r="J45" s="300"/>
      <c r="N45" s="77"/>
      <c r="P45" s="311"/>
    </row>
    <row r="46" spans="1:16" x14ac:dyDescent="0.2">
      <c r="A46" s="23" t="s">
        <v>734</v>
      </c>
      <c r="B46" s="278" t="str">
        <f>Translation!B422</f>
        <v>Pandemie</v>
      </c>
      <c r="C46" s="114"/>
      <c r="D46" s="1693">
        <v>0.01</v>
      </c>
      <c r="E46" s="114"/>
      <c r="F46" s="281">
        <v>1</v>
      </c>
      <c r="G46" s="114"/>
      <c r="H46" s="297">
        <v>0</v>
      </c>
      <c r="I46" s="279">
        <v>0</v>
      </c>
      <c r="J46" s="298">
        <v>1</v>
      </c>
      <c r="K46" s="280"/>
      <c r="L46" s="942" t="str">
        <f>Translation!$B$435</f>
        <v>Änderung der Aktiven</v>
      </c>
      <c r="M46" s="114"/>
      <c r="N46" s="893">
        <f>BAG_Scenarios!I96/10^6</f>
        <v>0</v>
      </c>
      <c r="O46" s="280"/>
      <c r="P46" s="1308">
        <f>IF(type_i_of_insurer&gt;0,F46*N46*INDEX(H46:J46,type_i_of_insurer),F46*N46)</f>
        <v>0</v>
      </c>
    </row>
    <row r="47" spans="1:16" x14ac:dyDescent="0.2">
      <c r="B47" s="26"/>
      <c r="F47" s="27">
        <f>F46</f>
        <v>1</v>
      </c>
      <c r="H47" s="299"/>
      <c r="I47" s="25"/>
      <c r="J47" s="300"/>
      <c r="K47" s="9"/>
      <c r="L47" s="942" t="str">
        <f>Translation!$B$436</f>
        <v>Änderung der Passiven</v>
      </c>
      <c r="N47" s="929">
        <f>BAG_Scenarios!I97/10^6</f>
        <v>0</v>
      </c>
      <c r="O47" s="9"/>
      <c r="P47" s="1309">
        <f>IF(type_i_of_insurer&gt;0,F47*N47*INDEX(H46:J46,type_i_of_insurer),F47*N47)</f>
        <v>0</v>
      </c>
    </row>
    <row r="48" spans="1:16" ht="13.5" thickBot="1" x14ac:dyDescent="0.25">
      <c r="B48" s="282"/>
      <c r="C48" s="115"/>
      <c r="D48" s="337"/>
      <c r="E48" s="115"/>
      <c r="F48" s="285">
        <f>F46</f>
        <v>1</v>
      </c>
      <c r="G48" s="115"/>
      <c r="H48" s="301"/>
      <c r="I48" s="283"/>
      <c r="J48" s="302"/>
      <c r="K48" s="284"/>
      <c r="L48" s="943" t="str">
        <f>Translation!$B$437</f>
        <v>Änderung der Reserven</v>
      </c>
      <c r="M48" s="115"/>
      <c r="N48" s="362">
        <f>BAG_Scenarios!I98/10^6</f>
        <v>0</v>
      </c>
      <c r="O48" s="284"/>
      <c r="P48" s="309">
        <f>IF(type_i_of_insurer&gt;0,F48*N48*INDEX(H46:J46,type_i_of_insurer),F48*N48)</f>
        <v>0</v>
      </c>
    </row>
    <row r="49" spans="1:16" s="9" customFormat="1" ht="8.1" customHeight="1" x14ac:dyDescent="0.2">
      <c r="A49"/>
      <c r="B49" s="26"/>
      <c r="D49" s="338"/>
      <c r="F49" s="28"/>
      <c r="H49" s="299"/>
      <c r="I49" s="25"/>
      <c r="J49" s="300"/>
      <c r="L49" s="20"/>
      <c r="N49" s="77"/>
      <c r="P49" s="312"/>
    </row>
    <row r="50" spans="1:16" x14ac:dyDescent="0.2">
      <c r="A50" s="1"/>
      <c r="B50" s="2"/>
      <c r="C50" s="1"/>
      <c r="D50" s="1694"/>
      <c r="E50" s="1"/>
      <c r="F50" s="25"/>
      <c r="G50" s="1"/>
      <c r="H50" s="25"/>
      <c r="I50" s="25"/>
      <c r="J50" s="25"/>
      <c r="K50" s="1"/>
      <c r="L50" s="1695"/>
      <c r="M50" s="1"/>
      <c r="N50" s="30"/>
      <c r="O50" s="1"/>
      <c r="P50" s="1696"/>
    </row>
    <row r="51" spans="1:16" ht="8.1" customHeight="1" x14ac:dyDescent="0.2">
      <c r="A51" s="9"/>
      <c r="B51" s="26"/>
      <c r="H51" s="299"/>
      <c r="I51" s="25"/>
      <c r="J51" s="300"/>
      <c r="N51" s="77"/>
      <c r="P51" s="311"/>
    </row>
    <row r="52" spans="1:16" hidden="1" outlineLevel="1" x14ac:dyDescent="0.2">
      <c r="A52" t="s">
        <v>330</v>
      </c>
      <c r="B52" s="278" t="s">
        <v>729</v>
      </c>
      <c r="C52" s="114"/>
      <c r="D52" s="331">
        <v>0</v>
      </c>
      <c r="E52" s="114"/>
      <c r="F52" s="281">
        <v>1</v>
      </c>
      <c r="G52" s="114"/>
      <c r="H52" s="297">
        <v>0</v>
      </c>
      <c r="I52" s="279">
        <v>1</v>
      </c>
      <c r="J52" s="298">
        <v>1</v>
      </c>
      <c r="K52" s="280"/>
      <c r="L52" s="327" t="s">
        <v>362</v>
      </c>
      <c r="M52" s="114"/>
      <c r="N52" s="893"/>
      <c r="O52" s="280"/>
      <c r="P52" s="1308">
        <f>IF(type_i_of_insurer&gt;0,F52*N52*INDEX(H52:J52,type_i_of_insurer),F52*N52)</f>
        <v>0</v>
      </c>
    </row>
    <row r="53" spans="1:16" hidden="1" outlineLevel="1" x14ac:dyDescent="0.2">
      <c r="B53" s="26"/>
      <c r="F53" s="27">
        <f>F52</f>
        <v>1</v>
      </c>
      <c r="H53" s="299"/>
      <c r="I53" s="25"/>
      <c r="J53" s="300"/>
      <c r="K53" s="9"/>
      <c r="L53" s="19" t="s">
        <v>363</v>
      </c>
      <c r="N53" s="893"/>
      <c r="O53" s="9"/>
      <c r="P53" s="1309">
        <f>IF(type_i_of_insurer&gt;0,F53*N53*INDEX(H52:J52,type_i_of_insurer),F53*N53)</f>
        <v>0</v>
      </c>
    </row>
    <row r="54" spans="1:16" ht="13.5" hidden="1" outlineLevel="1" thickBot="1" x14ac:dyDescent="0.25">
      <c r="B54" s="282"/>
      <c r="C54" s="115"/>
      <c r="D54" s="337"/>
      <c r="E54" s="115"/>
      <c r="F54" s="285">
        <f>F52</f>
        <v>1</v>
      </c>
      <c r="G54" s="115"/>
      <c r="H54" s="301"/>
      <c r="I54" s="283"/>
      <c r="J54" s="302"/>
      <c r="K54" s="284"/>
      <c r="L54" s="345" t="s">
        <v>364</v>
      </c>
      <c r="M54" s="115"/>
      <c r="N54" s="362">
        <f>N52-N53</f>
        <v>0</v>
      </c>
      <c r="O54" s="284"/>
      <c r="P54" s="309">
        <f>IF(type_i_of_insurer&gt;0,F54*N54*INDEX(H52:J52,type_i_of_insurer),F54*N54)</f>
        <v>0</v>
      </c>
    </row>
    <row r="55" spans="1:16" ht="8.1" hidden="1" customHeight="1" outlineLevel="1" thickBot="1" x14ac:dyDescent="0.25">
      <c r="B55" s="26"/>
      <c r="H55" s="299"/>
      <c r="I55" s="25"/>
      <c r="J55" s="300"/>
      <c r="N55" s="77"/>
      <c r="P55" s="311"/>
    </row>
    <row r="56" spans="1:16" hidden="1" outlineLevel="1" x14ac:dyDescent="0.2">
      <c r="A56" t="s">
        <v>685</v>
      </c>
      <c r="B56" s="278" t="s">
        <v>68</v>
      </c>
      <c r="C56" s="114"/>
      <c r="D56" s="331">
        <v>0</v>
      </c>
      <c r="E56" s="114"/>
      <c r="F56" s="281">
        <v>1</v>
      </c>
      <c r="G56" s="114"/>
      <c r="H56" s="297">
        <v>0</v>
      </c>
      <c r="I56" s="279">
        <v>1</v>
      </c>
      <c r="J56" s="298">
        <v>1</v>
      </c>
      <c r="K56" s="280"/>
      <c r="L56" s="327" t="s">
        <v>362</v>
      </c>
      <c r="M56" s="114"/>
      <c r="N56" s="893"/>
      <c r="O56" s="280"/>
      <c r="P56" s="1308">
        <f>IF(type_i_of_insurer&gt;0,F56*N56*INDEX(H56:J56,type_i_of_insurer),F56*N56)</f>
        <v>0</v>
      </c>
    </row>
    <row r="57" spans="1:16" hidden="1" outlineLevel="1" x14ac:dyDescent="0.2">
      <c r="B57" s="26"/>
      <c r="F57" s="27">
        <f>F56</f>
        <v>1</v>
      </c>
      <c r="H57" s="299"/>
      <c r="I57" s="25"/>
      <c r="J57" s="300"/>
      <c r="K57" s="9"/>
      <c r="L57" s="19" t="s">
        <v>363</v>
      </c>
      <c r="N57" s="929"/>
      <c r="O57" s="9"/>
      <c r="P57" s="1309">
        <f>IF(type_i_of_insurer&gt;0,F57*N57*INDEX(H56:J56,type_i_of_insurer),F57*N57)</f>
        <v>0</v>
      </c>
    </row>
    <row r="58" spans="1:16" ht="13.5" hidden="1" outlineLevel="1" thickBot="1" x14ac:dyDescent="0.25">
      <c r="B58" s="282"/>
      <c r="C58" s="115"/>
      <c r="D58" s="337"/>
      <c r="E58" s="115"/>
      <c r="F58" s="285">
        <f>F56</f>
        <v>1</v>
      </c>
      <c r="G58" s="115"/>
      <c r="H58" s="301"/>
      <c r="I58" s="283"/>
      <c r="J58" s="302"/>
      <c r="K58" s="284"/>
      <c r="L58" s="345" t="s">
        <v>364</v>
      </c>
      <c r="M58" s="115"/>
      <c r="N58" s="362">
        <f>N56-N57</f>
        <v>0</v>
      </c>
      <c r="O58" s="284"/>
      <c r="P58" s="309">
        <f>IF(type_i_of_insurer&gt;0,F58*N58*INDEX(H56:J56,type_i_of_insurer),F58*N58)</f>
        <v>0</v>
      </c>
    </row>
    <row r="59" spans="1:16" ht="8.1" hidden="1" customHeight="1" outlineLevel="1" thickBot="1" x14ac:dyDescent="0.25">
      <c r="B59" s="26"/>
      <c r="F59" s="28"/>
      <c r="H59" s="299"/>
      <c r="I59" s="25"/>
      <c r="J59" s="300"/>
      <c r="K59" s="9"/>
      <c r="N59" s="77"/>
      <c r="O59" s="9"/>
      <c r="P59" s="310"/>
    </row>
    <row r="60" spans="1:16" hidden="1" outlineLevel="1" x14ac:dyDescent="0.2">
      <c r="A60" t="s">
        <v>331</v>
      </c>
      <c r="B60" s="278" t="s">
        <v>60</v>
      </c>
      <c r="C60" s="114"/>
      <c r="D60" s="331">
        <v>0</v>
      </c>
      <c r="E60" s="114"/>
      <c r="F60" s="281">
        <v>1</v>
      </c>
      <c r="G60" s="114"/>
      <c r="H60" s="297">
        <v>1</v>
      </c>
      <c r="I60" s="279">
        <v>1</v>
      </c>
      <c r="J60" s="298">
        <v>1</v>
      </c>
      <c r="K60" s="280"/>
      <c r="L60" s="327" t="s">
        <v>362</v>
      </c>
      <c r="M60" s="114"/>
      <c r="N60" s="893"/>
      <c r="O60" s="280"/>
      <c r="P60" s="1308">
        <f>IF(type_i_of_insurer&gt;0,F60*N60*INDEX(H60:J60,type_i_of_insurer),F60*N60)</f>
        <v>0</v>
      </c>
    </row>
    <row r="61" spans="1:16" hidden="1" outlineLevel="1" x14ac:dyDescent="0.2">
      <c r="B61" s="26"/>
      <c r="F61" s="27">
        <f>F60</f>
        <v>1</v>
      </c>
      <c r="H61" s="299"/>
      <c r="I61" s="25"/>
      <c r="J61" s="300"/>
      <c r="K61" s="9"/>
      <c r="L61" s="19" t="s">
        <v>363</v>
      </c>
      <c r="N61" s="929"/>
      <c r="O61" s="9"/>
      <c r="P61" s="1309">
        <f>IF(type_i_of_insurer&gt;0,F61*N61*INDEX(H60:J60,type_i_of_insurer),F61*N61)</f>
        <v>0</v>
      </c>
    </row>
    <row r="62" spans="1:16" ht="13.5" hidden="1" outlineLevel="1" thickBot="1" x14ac:dyDescent="0.25">
      <c r="B62" s="282"/>
      <c r="C62" s="115"/>
      <c r="D62" s="337"/>
      <c r="E62" s="115"/>
      <c r="F62" s="285">
        <f>F60</f>
        <v>1</v>
      </c>
      <c r="G62" s="115"/>
      <c r="H62" s="301"/>
      <c r="I62" s="283"/>
      <c r="J62" s="302"/>
      <c r="K62" s="284"/>
      <c r="L62" s="345" t="s">
        <v>364</v>
      </c>
      <c r="M62" s="115"/>
      <c r="N62" s="362">
        <f>N60-N61</f>
        <v>0</v>
      </c>
      <c r="O62" s="284"/>
      <c r="P62" s="309">
        <f>IF(type_i_of_insurer&gt;0,F62*N62*INDEX(H60:J60,type_i_of_insurer),F62*N62)</f>
        <v>0</v>
      </c>
    </row>
    <row r="63" spans="1:16" ht="8.1" hidden="1" customHeight="1" outlineLevel="1" thickBot="1" x14ac:dyDescent="0.25">
      <c r="H63" s="289"/>
      <c r="I63" s="39"/>
      <c r="J63" s="290"/>
      <c r="N63" s="77"/>
      <c r="P63" s="311"/>
    </row>
    <row r="64" spans="1:16" hidden="1" outlineLevel="1" x14ac:dyDescent="0.2">
      <c r="A64" t="s">
        <v>332</v>
      </c>
      <c r="B64" s="278" t="s">
        <v>72</v>
      </c>
      <c r="C64" s="114"/>
      <c r="D64" s="331">
        <v>0</v>
      </c>
      <c r="E64" s="114"/>
      <c r="F64" s="281">
        <v>1</v>
      </c>
      <c r="G64" s="114"/>
      <c r="H64" s="297">
        <v>1</v>
      </c>
      <c r="I64" s="279">
        <v>1</v>
      </c>
      <c r="J64" s="298">
        <v>1</v>
      </c>
      <c r="K64" s="280"/>
      <c r="L64" s="327" t="s">
        <v>362</v>
      </c>
      <c r="M64" s="114"/>
      <c r="N64" s="893"/>
      <c r="O64" s="280"/>
      <c r="P64" s="1308">
        <f>IF(type_i_of_insurer&gt;0,F64*N64*INDEX(H64:J64,type_i_of_insurer),F64*N64)</f>
        <v>0</v>
      </c>
    </row>
    <row r="65" spans="1:17" hidden="1" outlineLevel="1" x14ac:dyDescent="0.2">
      <c r="B65" s="26"/>
      <c r="F65" s="27">
        <f>F64</f>
        <v>1</v>
      </c>
      <c r="H65" s="299"/>
      <c r="I65" s="25"/>
      <c r="J65" s="300"/>
      <c r="K65" s="9"/>
      <c r="L65" s="19" t="s">
        <v>363</v>
      </c>
      <c r="N65" s="929"/>
      <c r="O65" s="9"/>
      <c r="P65" s="1309">
        <f>IF(type_i_of_insurer&gt;0,F65*N65*INDEX(H64:J64,type_i_of_insurer),F65*N65)</f>
        <v>0</v>
      </c>
    </row>
    <row r="66" spans="1:17" ht="13.5" hidden="1" outlineLevel="1" thickBot="1" x14ac:dyDescent="0.25">
      <c r="B66" s="282"/>
      <c r="C66" s="115"/>
      <c r="D66" s="337"/>
      <c r="E66" s="115"/>
      <c r="F66" s="285">
        <f>F64</f>
        <v>1</v>
      </c>
      <c r="G66" s="115"/>
      <c r="H66" s="301"/>
      <c r="I66" s="283"/>
      <c r="J66" s="302"/>
      <c r="K66" s="284"/>
      <c r="L66" s="345" t="s">
        <v>364</v>
      </c>
      <c r="M66" s="115"/>
      <c r="N66" s="362">
        <f>N64-N65</f>
        <v>0</v>
      </c>
      <c r="O66" s="284"/>
      <c r="P66" s="309">
        <f>IF(type_i_of_insurer&gt;0,F66*N66*INDEX(H64:J64,type_i_of_insurer),F66*N66)</f>
        <v>0</v>
      </c>
    </row>
    <row r="67" spans="1:17" s="9" customFormat="1" ht="8.1" hidden="1" customHeight="1" outlineLevel="1" x14ac:dyDescent="0.2">
      <c r="B67" s="26"/>
      <c r="D67" s="338"/>
      <c r="F67" s="28"/>
      <c r="H67" s="299"/>
      <c r="I67" s="25"/>
      <c r="J67" s="300"/>
      <c r="L67" s="20"/>
      <c r="N67" s="77"/>
      <c r="P67" s="312"/>
    </row>
    <row r="68" spans="1:17" hidden="1" outlineLevel="1" x14ac:dyDescent="0.2">
      <c r="A68" t="s">
        <v>333</v>
      </c>
      <c r="B68" s="600" t="s">
        <v>71</v>
      </c>
      <c r="C68" s="601"/>
      <c r="D68" s="602"/>
      <c r="E68" s="601"/>
      <c r="F68" s="603">
        <v>0</v>
      </c>
      <c r="G68" s="601"/>
      <c r="H68" s="604">
        <v>0</v>
      </c>
      <c r="I68" s="603">
        <v>0</v>
      </c>
      <c r="J68" s="605">
        <v>0</v>
      </c>
      <c r="K68" s="601"/>
      <c r="L68" s="606" t="s">
        <v>362</v>
      </c>
      <c r="M68" s="601"/>
      <c r="N68" s="624"/>
      <c r="O68" s="601"/>
      <c r="P68" s="1311">
        <f>IF(type_i_of_insurer&gt;0,F68*N68*INDEX(H68:J68,type_i_of_insurer),F68*N68)</f>
        <v>0</v>
      </c>
    </row>
    <row r="69" spans="1:17" hidden="1" outlineLevel="1" x14ac:dyDescent="0.2">
      <c r="B69" s="607"/>
      <c r="C69" s="608"/>
      <c r="D69" s="609"/>
      <c r="E69" s="608"/>
      <c r="F69" s="610">
        <f>F68</f>
        <v>0</v>
      </c>
      <c r="G69" s="608"/>
      <c r="H69" s="611"/>
      <c r="I69" s="612"/>
      <c r="J69" s="613"/>
      <c r="K69" s="608"/>
      <c r="L69" s="614" t="s">
        <v>363</v>
      </c>
      <c r="M69" s="608"/>
      <c r="N69" s="625"/>
      <c r="O69" s="608"/>
      <c r="P69" s="1312">
        <f>IF(type_i_of_insurer&gt;0,F69*N69*INDEX(H68:J68,type_i_of_insurer),F69*N69)</f>
        <v>0</v>
      </c>
    </row>
    <row r="70" spans="1:17" ht="13.5" hidden="1" outlineLevel="1" thickBot="1" x14ac:dyDescent="0.25">
      <c r="B70" s="615"/>
      <c r="C70" s="616"/>
      <c r="D70" s="617"/>
      <c r="E70" s="616"/>
      <c r="F70" s="618">
        <f>F68</f>
        <v>0</v>
      </c>
      <c r="G70" s="616"/>
      <c r="H70" s="619"/>
      <c r="I70" s="618"/>
      <c r="J70" s="620"/>
      <c r="K70" s="616"/>
      <c r="L70" s="621" t="s">
        <v>364</v>
      </c>
      <c r="M70" s="616"/>
      <c r="N70" s="622">
        <f>N68-N69</f>
        <v>0</v>
      </c>
      <c r="O70" s="616"/>
      <c r="P70" s="623">
        <f>IF(type_i_of_insurer&gt;0,F70*N70*INDEX(H68:J68,type_i_of_insurer),F70*N70)</f>
        <v>0</v>
      </c>
    </row>
    <row r="71" spans="1:17" ht="8.1" hidden="1" customHeight="1" outlineLevel="1" x14ac:dyDescent="0.2">
      <c r="H71" s="289"/>
      <c r="I71" s="39"/>
      <c r="J71" s="290"/>
      <c r="P71" s="311"/>
    </row>
    <row r="72" spans="1:17" hidden="1" outlineLevel="1" x14ac:dyDescent="0.2">
      <c r="A72" t="s">
        <v>503</v>
      </c>
      <c r="B72" s="278" t="s">
        <v>73</v>
      </c>
      <c r="C72" s="114"/>
      <c r="D72" s="331">
        <v>0</v>
      </c>
      <c r="E72" s="114"/>
      <c r="F72" s="281">
        <v>1</v>
      </c>
      <c r="G72" s="114"/>
      <c r="H72" s="297">
        <v>1</v>
      </c>
      <c r="I72" s="279">
        <v>1</v>
      </c>
      <c r="J72" s="298">
        <v>1</v>
      </c>
      <c r="K72" s="280"/>
      <c r="L72" s="327" t="s">
        <v>362</v>
      </c>
      <c r="M72" s="114"/>
      <c r="N72" s="893"/>
      <c r="O72" s="280"/>
      <c r="P72" s="1308">
        <f>IF(type_i_of_insurer&gt;0,F72*N72*INDEX(H72:J72,type_i_of_insurer),F72*N72)</f>
        <v>0</v>
      </c>
    </row>
    <row r="73" spans="1:17" hidden="1" outlineLevel="1" x14ac:dyDescent="0.2">
      <c r="B73" s="26"/>
      <c r="F73" s="27">
        <f>F72</f>
        <v>1</v>
      </c>
      <c r="H73" s="299"/>
      <c r="I73" s="25"/>
      <c r="J73" s="300"/>
      <c r="K73" s="9"/>
      <c r="L73" s="19" t="s">
        <v>363</v>
      </c>
      <c r="N73" s="929"/>
      <c r="O73" s="9"/>
      <c r="P73" s="1309">
        <f>IF(type_i_of_insurer&gt;0,F73*N73*INDEX(H72:J72,type_i_of_insurer),F73*N73)</f>
        <v>0</v>
      </c>
    </row>
    <row r="74" spans="1:17" ht="13.5" hidden="1" outlineLevel="1" thickBot="1" x14ac:dyDescent="0.25">
      <c r="B74" s="282"/>
      <c r="C74" s="115"/>
      <c r="D74" s="337"/>
      <c r="E74" s="115"/>
      <c r="F74" s="285">
        <f>F72</f>
        <v>1</v>
      </c>
      <c r="G74" s="115"/>
      <c r="H74" s="301"/>
      <c r="I74" s="283"/>
      <c r="J74" s="302"/>
      <c r="K74" s="284"/>
      <c r="L74" s="345" t="s">
        <v>364</v>
      </c>
      <c r="M74" s="115"/>
      <c r="N74" s="362">
        <f>N72-N73</f>
        <v>0</v>
      </c>
      <c r="O74" s="284"/>
      <c r="P74" s="309">
        <f>IF(type_i_of_insurer&gt;0,F74*N74*INDEX(H72:J72,type_i_of_insurer),F74*N74)</f>
        <v>0</v>
      </c>
    </row>
    <row r="75" spans="1:17" ht="6" hidden="1" customHeight="1" outlineLevel="1" x14ac:dyDescent="0.2">
      <c r="B75" s="101"/>
      <c r="C75" s="12"/>
      <c r="D75" s="336"/>
      <c r="E75" s="12"/>
      <c r="F75" s="255"/>
      <c r="G75" s="12"/>
      <c r="H75" s="303"/>
      <c r="I75" s="255"/>
      <c r="J75" s="304"/>
      <c r="K75" s="48"/>
      <c r="L75" s="346"/>
      <c r="M75" s="12"/>
      <c r="N75" s="80"/>
      <c r="O75" s="48"/>
      <c r="P75" s="313"/>
    </row>
    <row r="76" spans="1:17" ht="6" hidden="1" customHeight="1" outlineLevel="1" x14ac:dyDescent="0.2">
      <c r="A76" s="134"/>
      <c r="B76" s="1697"/>
      <c r="C76" s="134"/>
      <c r="D76" s="1698"/>
      <c r="E76" s="134"/>
      <c r="F76" s="1699"/>
      <c r="G76" s="134"/>
      <c r="H76" s="293"/>
      <c r="I76" s="145"/>
      <c r="J76" s="294"/>
      <c r="K76" s="1700"/>
      <c r="L76" s="1701"/>
      <c r="M76" s="134"/>
      <c r="N76" s="1702"/>
      <c r="O76" s="1700"/>
      <c r="P76" s="1703"/>
      <c r="Q76" s="146"/>
    </row>
    <row r="77" spans="1:17" hidden="1" outlineLevel="1" x14ac:dyDescent="0.2">
      <c r="A77" s="134" t="s">
        <v>334</v>
      </c>
      <c r="B77" s="1704" t="s">
        <v>80</v>
      </c>
      <c r="C77" s="1705"/>
      <c r="D77" s="1706">
        <v>0</v>
      </c>
      <c r="E77" s="1705"/>
      <c r="F77" s="1707">
        <v>1</v>
      </c>
      <c r="G77" s="1705"/>
      <c r="H77" s="1708">
        <v>1</v>
      </c>
      <c r="I77" s="1709">
        <v>1</v>
      </c>
      <c r="J77" s="1710">
        <v>1</v>
      </c>
      <c r="K77" s="1711"/>
      <c r="L77" s="1712" t="s">
        <v>362</v>
      </c>
      <c r="M77" s="1705"/>
      <c r="N77" s="1713"/>
      <c r="O77" s="1711"/>
      <c r="P77" s="1714">
        <f>IF(type_i_of_insurer&gt;0,F77*N77*INDEX(H77:J77,type_i_of_insurer),F77*N77)</f>
        <v>0</v>
      </c>
      <c r="Q77" s="146"/>
    </row>
    <row r="78" spans="1:17" hidden="1" outlineLevel="1" x14ac:dyDescent="0.2">
      <c r="A78" s="134"/>
      <c r="B78" s="1697"/>
      <c r="C78" s="134"/>
      <c r="D78" s="1698"/>
      <c r="E78" s="134"/>
      <c r="F78" s="1715">
        <f>F77</f>
        <v>1</v>
      </c>
      <c r="G78" s="134"/>
      <c r="H78" s="293"/>
      <c r="I78" s="145"/>
      <c r="J78" s="294"/>
      <c r="K78" s="1700"/>
      <c r="L78" s="1716" t="s">
        <v>363</v>
      </c>
      <c r="M78" s="134"/>
      <c r="N78" s="1717"/>
      <c r="O78" s="1700"/>
      <c r="P78" s="306">
        <f>IF(type_i_of_insurer&gt;0,F78*N78*INDEX(H77:J77,type_i_of_insurer),F78*N78)</f>
        <v>0</v>
      </c>
      <c r="Q78" s="146"/>
    </row>
    <row r="79" spans="1:17" ht="13.5" hidden="1" outlineLevel="1" thickBot="1" x14ac:dyDescent="0.25">
      <c r="A79" s="134"/>
      <c r="B79" s="1718"/>
      <c r="C79" s="1719"/>
      <c r="D79" s="1720"/>
      <c r="E79" s="1719"/>
      <c r="F79" s="1721">
        <f>F77</f>
        <v>1</v>
      </c>
      <c r="G79" s="1719"/>
      <c r="H79" s="1722"/>
      <c r="I79" s="1723"/>
      <c r="J79" s="1724"/>
      <c r="K79" s="1725"/>
      <c r="L79" s="1726" t="s">
        <v>364</v>
      </c>
      <c r="M79" s="1719"/>
      <c r="N79" s="1727">
        <f>N77-N78</f>
        <v>0</v>
      </c>
      <c r="O79" s="1725"/>
      <c r="P79" s="307">
        <f>IF(type_i_of_insurer&gt;0,F79*N79*INDEX(H77:J77,type_i_of_insurer),F79*N79)</f>
        <v>0</v>
      </c>
      <c r="Q79" s="146"/>
    </row>
    <row r="80" spans="1:17" ht="8.1" hidden="1" customHeight="1" outlineLevel="1" x14ac:dyDescent="0.2">
      <c r="A80" s="134"/>
      <c r="B80" s="1700"/>
      <c r="C80" s="134"/>
      <c r="D80" s="1698"/>
      <c r="E80" s="134"/>
      <c r="F80" s="1699"/>
      <c r="G80" s="134"/>
      <c r="H80" s="293"/>
      <c r="I80" s="145"/>
      <c r="J80" s="294"/>
      <c r="K80" s="1700"/>
      <c r="L80" s="1728"/>
      <c r="M80" s="134"/>
      <c r="N80" s="1702"/>
      <c r="O80" s="1700"/>
      <c r="P80" s="1703"/>
      <c r="Q80" s="146"/>
    </row>
    <row r="81" spans="1:17" hidden="1" outlineLevel="1" x14ac:dyDescent="0.2">
      <c r="A81" s="134" t="s">
        <v>335</v>
      </c>
      <c r="B81" s="1704" t="s">
        <v>80</v>
      </c>
      <c r="C81" s="1705"/>
      <c r="D81" s="1706">
        <v>0</v>
      </c>
      <c r="E81" s="1705"/>
      <c r="F81" s="1707">
        <v>1</v>
      </c>
      <c r="G81" s="1705"/>
      <c r="H81" s="1708">
        <v>1</v>
      </c>
      <c r="I81" s="1709">
        <v>1</v>
      </c>
      <c r="J81" s="1710">
        <v>1</v>
      </c>
      <c r="K81" s="1711"/>
      <c r="L81" s="1712" t="s">
        <v>362</v>
      </c>
      <c r="M81" s="1705"/>
      <c r="N81" s="1713"/>
      <c r="O81" s="1711"/>
      <c r="P81" s="1714">
        <f>IF(type_i_of_insurer&gt;0,F81*N81*INDEX(H81:J81,type_i_of_insurer),F81*N81)</f>
        <v>0</v>
      </c>
      <c r="Q81" s="146"/>
    </row>
    <row r="82" spans="1:17" hidden="1" outlineLevel="1" x14ac:dyDescent="0.2">
      <c r="A82" s="134"/>
      <c r="B82" s="1697"/>
      <c r="C82" s="134"/>
      <c r="D82" s="1698"/>
      <c r="E82" s="134"/>
      <c r="F82" s="1715">
        <f>F81</f>
        <v>1</v>
      </c>
      <c r="G82" s="134"/>
      <c r="H82" s="293"/>
      <c r="I82" s="145"/>
      <c r="J82" s="294"/>
      <c r="K82" s="1700"/>
      <c r="L82" s="1716" t="s">
        <v>363</v>
      </c>
      <c r="M82" s="134"/>
      <c r="N82" s="1717"/>
      <c r="O82" s="1700"/>
      <c r="P82" s="306">
        <f>IF(type_i_of_insurer&gt;0,F82*N82*INDEX(H81:J81,type_i_of_insurer),F82*N82)</f>
        <v>0</v>
      </c>
      <c r="Q82" s="146"/>
    </row>
    <row r="83" spans="1:17" ht="13.5" hidden="1" outlineLevel="1" thickBot="1" x14ac:dyDescent="0.25">
      <c r="A83" s="134"/>
      <c r="B83" s="1718"/>
      <c r="C83" s="1719"/>
      <c r="D83" s="1720"/>
      <c r="E83" s="1719"/>
      <c r="F83" s="1721">
        <f>F81</f>
        <v>1</v>
      </c>
      <c r="G83" s="1719"/>
      <c r="H83" s="1722"/>
      <c r="I83" s="1723"/>
      <c r="J83" s="1724"/>
      <c r="K83" s="1725"/>
      <c r="L83" s="1726" t="s">
        <v>364</v>
      </c>
      <c r="M83" s="1719"/>
      <c r="N83" s="1727">
        <f>N81-N82</f>
        <v>0</v>
      </c>
      <c r="O83" s="1725"/>
      <c r="P83" s="307">
        <f>IF(type_i_of_insurer&gt;0,F83*N83*INDEX(H81:J81,type_i_of_insurer),F83*N83)</f>
        <v>0</v>
      </c>
      <c r="Q83" s="146"/>
    </row>
    <row r="84" spans="1:17" ht="8.1" hidden="1" customHeight="1" outlineLevel="1" x14ac:dyDescent="0.2">
      <c r="A84" s="134"/>
      <c r="B84" s="1700"/>
      <c r="C84" s="134"/>
      <c r="D84" s="1698"/>
      <c r="E84" s="134"/>
      <c r="F84" s="1699"/>
      <c r="G84" s="134"/>
      <c r="H84" s="293"/>
      <c r="I84" s="145"/>
      <c r="J84" s="294"/>
      <c r="K84" s="1700"/>
      <c r="L84" s="1728"/>
      <c r="M84" s="134"/>
      <c r="N84" s="1702"/>
      <c r="O84" s="1700"/>
      <c r="P84" s="1703"/>
      <c r="Q84" s="146"/>
    </row>
    <row r="85" spans="1:17" hidden="1" outlineLevel="1" x14ac:dyDescent="0.2">
      <c r="A85" s="134" t="s">
        <v>336</v>
      </c>
      <c r="B85" s="1704" t="s">
        <v>80</v>
      </c>
      <c r="C85" s="1705"/>
      <c r="D85" s="1706">
        <v>0</v>
      </c>
      <c r="E85" s="1705"/>
      <c r="F85" s="1707">
        <v>1</v>
      </c>
      <c r="G85" s="1705"/>
      <c r="H85" s="1708">
        <v>1</v>
      </c>
      <c r="I85" s="1709">
        <v>1</v>
      </c>
      <c r="J85" s="1710">
        <v>1</v>
      </c>
      <c r="K85" s="1711"/>
      <c r="L85" s="1712" t="s">
        <v>362</v>
      </c>
      <c r="M85" s="1705"/>
      <c r="N85" s="1713"/>
      <c r="O85" s="1711"/>
      <c r="P85" s="1714">
        <f>IF(type_i_of_insurer&gt;0,F85*N85*INDEX(H85:J85,type_i_of_insurer),F85*N85)</f>
        <v>0</v>
      </c>
      <c r="Q85" s="146"/>
    </row>
    <row r="86" spans="1:17" hidden="1" outlineLevel="1" x14ac:dyDescent="0.2">
      <c r="A86" s="134"/>
      <c r="B86" s="1697"/>
      <c r="C86" s="134"/>
      <c r="D86" s="1698"/>
      <c r="E86" s="134"/>
      <c r="F86" s="1715">
        <f>F85</f>
        <v>1</v>
      </c>
      <c r="G86" s="134"/>
      <c r="H86" s="293"/>
      <c r="I86" s="145"/>
      <c r="J86" s="294"/>
      <c r="K86" s="1700"/>
      <c r="L86" s="1716" t="s">
        <v>363</v>
      </c>
      <c r="M86" s="134"/>
      <c r="N86" s="1717"/>
      <c r="O86" s="1700"/>
      <c r="P86" s="306">
        <f>IF(type_i_of_insurer&gt;0,F86*N86*INDEX(H85:J85,type_i_of_insurer),F86*N86)</f>
        <v>0</v>
      </c>
      <c r="Q86" s="146"/>
    </row>
    <row r="87" spans="1:17" ht="13.5" hidden="1" outlineLevel="1" thickBot="1" x14ac:dyDescent="0.25">
      <c r="A87" s="134"/>
      <c r="B87" s="1718"/>
      <c r="C87" s="1719"/>
      <c r="D87" s="1720"/>
      <c r="E87" s="1719"/>
      <c r="F87" s="1721">
        <f>F85</f>
        <v>1</v>
      </c>
      <c r="G87" s="1719"/>
      <c r="H87" s="1722"/>
      <c r="I87" s="1723"/>
      <c r="J87" s="1724"/>
      <c r="K87" s="1725"/>
      <c r="L87" s="1726" t="s">
        <v>364</v>
      </c>
      <c r="M87" s="1719"/>
      <c r="N87" s="1727">
        <f>N85-N86</f>
        <v>0</v>
      </c>
      <c r="O87" s="1725"/>
      <c r="P87" s="307">
        <f>IF(type_i_of_insurer&gt;0,F87*N87*INDEX(H85:J85,type_i_of_insurer),F87*N87)</f>
        <v>0</v>
      </c>
      <c r="Q87" s="146"/>
    </row>
    <row r="88" spans="1:17" ht="8.1" hidden="1" customHeight="1" outlineLevel="1" x14ac:dyDescent="0.2">
      <c r="A88" s="134"/>
      <c r="B88" s="1700"/>
      <c r="C88" s="134"/>
      <c r="D88" s="1698"/>
      <c r="E88" s="134"/>
      <c r="F88" s="1699"/>
      <c r="G88" s="134"/>
      <c r="H88" s="293"/>
      <c r="I88" s="145"/>
      <c r="J88" s="294"/>
      <c r="K88" s="1700"/>
      <c r="L88" s="1728"/>
      <c r="M88" s="134"/>
      <c r="N88" s="1702"/>
      <c r="O88" s="1700"/>
      <c r="P88" s="1703"/>
      <c r="Q88" s="146"/>
    </row>
    <row r="89" spans="1:17" hidden="1" outlineLevel="1" x14ac:dyDescent="0.2">
      <c r="A89" s="134" t="s">
        <v>337</v>
      </c>
      <c r="B89" s="1704" t="s">
        <v>80</v>
      </c>
      <c r="C89" s="1705"/>
      <c r="D89" s="1706">
        <v>0</v>
      </c>
      <c r="E89" s="1705"/>
      <c r="F89" s="1707">
        <v>1</v>
      </c>
      <c r="G89" s="1705"/>
      <c r="H89" s="1708">
        <v>1</v>
      </c>
      <c r="I89" s="1709">
        <v>1</v>
      </c>
      <c r="J89" s="1710">
        <v>1</v>
      </c>
      <c r="K89" s="1711"/>
      <c r="L89" s="1712" t="s">
        <v>362</v>
      </c>
      <c r="M89" s="1705"/>
      <c r="N89" s="1713"/>
      <c r="O89" s="1711"/>
      <c r="P89" s="1714">
        <f>IF(type_i_of_insurer&gt;0,F89*N89*INDEX(H89:J89,type_i_of_insurer),F89*N89)</f>
        <v>0</v>
      </c>
      <c r="Q89" s="146"/>
    </row>
    <row r="90" spans="1:17" hidden="1" outlineLevel="1" x14ac:dyDescent="0.2">
      <c r="A90" s="134"/>
      <c r="B90" s="1697"/>
      <c r="C90" s="134"/>
      <c r="D90" s="1698"/>
      <c r="E90" s="134"/>
      <c r="F90" s="1715">
        <f>F89</f>
        <v>1</v>
      </c>
      <c r="G90" s="134"/>
      <c r="H90" s="293"/>
      <c r="I90" s="145"/>
      <c r="J90" s="294"/>
      <c r="K90" s="1700"/>
      <c r="L90" s="1716" t="s">
        <v>363</v>
      </c>
      <c r="M90" s="134"/>
      <c r="N90" s="1717"/>
      <c r="O90" s="1700"/>
      <c r="P90" s="306">
        <f>IF(type_i_of_insurer&gt;0,F90*N90*INDEX(H89:J89,type_i_of_insurer),F90*N90)</f>
        <v>0</v>
      </c>
      <c r="Q90" s="146"/>
    </row>
    <row r="91" spans="1:17" ht="13.5" hidden="1" outlineLevel="1" thickBot="1" x14ac:dyDescent="0.25">
      <c r="A91" s="134"/>
      <c r="B91" s="1718"/>
      <c r="C91" s="1719"/>
      <c r="D91" s="1720"/>
      <c r="E91" s="1719"/>
      <c r="F91" s="1721">
        <f>F89</f>
        <v>1</v>
      </c>
      <c r="G91" s="1719"/>
      <c r="H91" s="1722"/>
      <c r="I91" s="1723"/>
      <c r="J91" s="1724"/>
      <c r="K91" s="1725"/>
      <c r="L91" s="1726" t="s">
        <v>364</v>
      </c>
      <c r="M91" s="1719"/>
      <c r="N91" s="1727">
        <f>N89-N90</f>
        <v>0</v>
      </c>
      <c r="O91" s="1725"/>
      <c r="P91" s="307">
        <f>IF(type_i_of_insurer&gt;0,F91*N91*INDEX(H89:J89,type_i_of_insurer),F91*N91)</f>
        <v>0</v>
      </c>
      <c r="Q91" s="146"/>
    </row>
    <row r="92" spans="1:17" ht="6" hidden="1" customHeight="1" outlineLevel="1" x14ac:dyDescent="0.2">
      <c r="A92" s="134"/>
      <c r="B92" s="1729"/>
      <c r="C92" s="1730"/>
      <c r="D92" s="1731"/>
      <c r="E92" s="1730"/>
      <c r="F92" s="1732"/>
      <c r="G92" s="1730"/>
      <c r="H92" s="1733"/>
      <c r="I92" s="1732"/>
      <c r="J92" s="1734"/>
      <c r="K92" s="1729"/>
      <c r="L92" s="1735"/>
      <c r="M92" s="1730"/>
      <c r="N92" s="1736"/>
      <c r="O92" s="1729"/>
      <c r="P92" s="1737"/>
      <c r="Q92" s="146"/>
    </row>
    <row r="93" spans="1:17" ht="6" customHeight="1" collapsed="1" x14ac:dyDescent="0.2">
      <c r="A93" s="134"/>
      <c r="B93" s="1700"/>
      <c r="C93" s="134"/>
      <c r="D93" s="1698"/>
      <c r="E93" s="134"/>
      <c r="F93" s="1699"/>
      <c r="G93" s="134"/>
      <c r="H93" s="293"/>
      <c r="I93" s="145"/>
      <c r="J93" s="294"/>
      <c r="K93" s="1700"/>
      <c r="L93" s="1728"/>
      <c r="M93" s="134"/>
      <c r="N93" s="1702"/>
      <c r="O93" s="1700"/>
      <c r="P93" s="1738"/>
      <c r="Q93" s="146"/>
    </row>
    <row r="94" spans="1:17" x14ac:dyDescent="0.2">
      <c r="B94" s="254" t="str">
        <f>Translation!B438</f>
        <v>Szenarien basierend auf Risikofaktoren</v>
      </c>
      <c r="C94" s="12"/>
      <c r="D94" s="336"/>
      <c r="E94" s="12"/>
      <c r="F94" s="255"/>
      <c r="G94" s="12"/>
      <c r="H94" s="303"/>
      <c r="I94" s="255"/>
      <c r="J94" s="304"/>
      <c r="K94" s="48"/>
      <c r="L94" s="344"/>
      <c r="M94" s="12"/>
      <c r="N94" s="80"/>
      <c r="O94" s="48"/>
      <c r="P94" s="314"/>
    </row>
    <row r="95" spans="1:17" ht="8.1" customHeight="1" x14ac:dyDescent="0.2">
      <c r="F95" s="28"/>
      <c r="H95" s="299"/>
      <c r="I95" s="25"/>
      <c r="J95" s="300"/>
      <c r="K95" s="9"/>
      <c r="O95" s="9"/>
      <c r="P95" s="316"/>
    </row>
    <row r="96" spans="1:17" x14ac:dyDescent="0.2">
      <c r="A96" t="s">
        <v>254</v>
      </c>
      <c r="B96" s="120" t="str">
        <f>INDEX(Szenarien_RiskFactors!$C:$C,MATCH($A96,Szenarien_RiskFactors!$B:$B,0))</f>
        <v>Equity Drop -60%</v>
      </c>
      <c r="C96" s="108"/>
      <c r="D96" s="1739">
        <v>0.01</v>
      </c>
      <c r="E96" s="332"/>
      <c r="F96" s="117">
        <v>1</v>
      </c>
      <c r="G96" s="6"/>
      <c r="H96" s="299">
        <v>1</v>
      </c>
      <c r="I96" s="25">
        <v>1</v>
      </c>
      <c r="J96" s="300">
        <v>1</v>
      </c>
      <c r="K96" s="118"/>
      <c r="L96" s="576" t="str">
        <f>Translation!$B$439</f>
        <v>Änderung der Reserven</v>
      </c>
      <c r="M96" s="108"/>
      <c r="N96" s="1313">
        <f>IF(ISBLANK(Szenarien_RiskFactors!X22),Szenarien_RiskFactors!X23,Szenarien_RiskFactors!X22)</f>
        <v>0</v>
      </c>
      <c r="O96" s="118"/>
      <c r="P96" s="1314">
        <f t="shared" ref="P96:P106" si="0">IF(type_i_of_insurer&gt;0,F96*N96*INDEX(H96:J96,type_i_of_insurer),F96*N96)</f>
        <v>0</v>
      </c>
    </row>
    <row r="97" spans="1:16" x14ac:dyDescent="0.2">
      <c r="A97" t="s">
        <v>255</v>
      </c>
      <c r="B97" s="120" t="str">
        <f>INDEX(Szenarien_RiskFactors!$C:$C,MATCH($A97,Szenarien_RiskFactors!$B:$B,0))</f>
        <v>Immobilien Crash</v>
      </c>
      <c r="C97" s="108"/>
      <c r="D97" s="1739">
        <v>0.01</v>
      </c>
      <c r="E97" s="332"/>
      <c r="F97" s="117">
        <v>1</v>
      </c>
      <c r="G97" s="6"/>
      <c r="H97" s="299">
        <v>1</v>
      </c>
      <c r="I97" s="25">
        <v>1</v>
      </c>
      <c r="J97" s="300">
        <v>1</v>
      </c>
      <c r="K97" s="118"/>
      <c r="L97" s="576" t="str">
        <f>Translation!$B$439</f>
        <v>Änderung der Reserven</v>
      </c>
      <c r="M97" s="108"/>
      <c r="N97" s="1313">
        <f>IF(ISBLANK(Szenarien_RiskFactors!AH22),Szenarien_RiskFactors!AH23,Szenarien_RiskFactors!AH22)</f>
        <v>0</v>
      </c>
      <c r="O97" s="118"/>
      <c r="P97" s="1314">
        <f t="shared" si="0"/>
        <v>0</v>
      </c>
    </row>
    <row r="98" spans="1:16" x14ac:dyDescent="0.2">
      <c r="A98" t="s">
        <v>256</v>
      </c>
      <c r="B98" s="120" t="str">
        <f>INDEX(Szenarien_RiskFactors!$C:$C,MATCH($A98,Szenarien_RiskFactors!$B:$B,0))</f>
        <v>Aktienmarkt crash (1987)</v>
      </c>
      <c r="C98" s="108"/>
      <c r="D98" s="1739">
        <v>0</v>
      </c>
      <c r="E98" s="332"/>
      <c r="F98" s="117">
        <v>1</v>
      </c>
      <c r="G98" s="6"/>
      <c r="H98" s="299">
        <v>1</v>
      </c>
      <c r="I98" s="25">
        <v>1</v>
      </c>
      <c r="J98" s="300">
        <v>1</v>
      </c>
      <c r="K98" s="118"/>
      <c r="L98" s="576" t="str">
        <f>Translation!$B$439</f>
        <v>Änderung der Reserven</v>
      </c>
      <c r="M98" s="108"/>
      <c r="N98" s="1313">
        <f>IF(ISBLANK(Szenarien_RiskFactors!AR22),Szenarien_RiskFactors!AR23,Szenarien_RiskFactors!AR22)</f>
        <v>0</v>
      </c>
      <c r="O98" s="118"/>
      <c r="P98" s="1314">
        <f t="shared" si="0"/>
        <v>0</v>
      </c>
    </row>
    <row r="99" spans="1:16" x14ac:dyDescent="0.2">
      <c r="A99" t="s">
        <v>258</v>
      </c>
      <c r="B99" s="120" t="str">
        <f>INDEX(Szenarien_RiskFactors!$C:$C,MATCH($A99,Szenarien_RiskFactors!$B:$B,0))</f>
        <v>Nikkei crash (1989/90)</v>
      </c>
      <c r="C99" s="108"/>
      <c r="D99" s="1739">
        <v>0.01</v>
      </c>
      <c r="E99" s="332"/>
      <c r="F99" s="117">
        <v>1</v>
      </c>
      <c r="G99" s="6"/>
      <c r="H99" s="299">
        <v>1</v>
      </c>
      <c r="I99" s="25">
        <v>1</v>
      </c>
      <c r="J99" s="300">
        <v>1</v>
      </c>
      <c r="K99" s="118"/>
      <c r="L99" s="576" t="str">
        <f>Translation!$B$439</f>
        <v>Änderung der Reserven</v>
      </c>
      <c r="M99" s="108"/>
      <c r="N99" s="1313">
        <f>IF(ISBLANK(Szenarien_RiskFactors!BB22),Szenarien_RiskFactors!BB23,Szenarien_RiskFactors!BB22)</f>
        <v>0</v>
      </c>
      <c r="O99" s="118"/>
      <c r="P99" s="1314">
        <f t="shared" si="0"/>
        <v>0</v>
      </c>
    </row>
    <row r="100" spans="1:16" x14ac:dyDescent="0.2">
      <c r="A100" t="s">
        <v>260</v>
      </c>
      <c r="B100" s="120" t="str">
        <f>INDEX(Szenarien_RiskFactors!$C:$C,MATCH($A100,Szenarien_RiskFactors!$B:$B,0))</f>
        <v>Europäische Währungskrise (1992)</v>
      </c>
      <c r="C100" s="108"/>
      <c r="D100" s="1739">
        <v>0</v>
      </c>
      <c r="E100" s="332"/>
      <c r="F100" s="117">
        <v>1</v>
      </c>
      <c r="G100" s="6"/>
      <c r="H100" s="299">
        <v>1</v>
      </c>
      <c r="I100" s="25">
        <v>1</v>
      </c>
      <c r="J100" s="300">
        <v>1</v>
      </c>
      <c r="K100" s="118"/>
      <c r="L100" s="576" t="str">
        <f>Translation!$B$439</f>
        <v>Änderung der Reserven</v>
      </c>
      <c r="M100" s="108"/>
      <c r="N100" s="1313">
        <f>IF(ISBLANK(Szenarien_RiskFactors!BL22),Szenarien_RiskFactors!BL23,Szenarien_RiskFactors!BL22)</f>
        <v>0</v>
      </c>
      <c r="O100" s="118"/>
      <c r="P100" s="1314">
        <f t="shared" si="0"/>
        <v>0</v>
      </c>
    </row>
    <row r="101" spans="1:16" x14ac:dyDescent="0.2">
      <c r="A101" t="s">
        <v>262</v>
      </c>
      <c r="B101" s="120" t="str">
        <f>INDEX(Szenarien_RiskFactors!$C:$C,MATCH($A101,Szenarien_RiskFactors!$B:$B,0))</f>
        <v>US Zinskrise (1994)</v>
      </c>
      <c r="C101" s="108"/>
      <c r="D101" s="1739">
        <v>0.01</v>
      </c>
      <c r="E101" s="332"/>
      <c r="F101" s="117">
        <v>1</v>
      </c>
      <c r="G101" s="6"/>
      <c r="H101" s="299">
        <v>1</v>
      </c>
      <c r="I101" s="25">
        <v>1</v>
      </c>
      <c r="J101" s="300">
        <v>1</v>
      </c>
      <c r="K101" s="118"/>
      <c r="L101" s="576" t="str">
        <f>Translation!$B$439</f>
        <v>Änderung der Reserven</v>
      </c>
      <c r="M101" s="108"/>
      <c r="N101" s="1313">
        <f>IF(ISBLANK(Szenarien_RiskFactors!BV22),Szenarien_RiskFactors!BV23,Szenarien_RiskFactors!BV22)</f>
        <v>0</v>
      </c>
      <c r="O101" s="118"/>
      <c r="P101" s="1314">
        <f t="shared" si="0"/>
        <v>0</v>
      </c>
    </row>
    <row r="102" spans="1:16" x14ac:dyDescent="0.2">
      <c r="A102" t="s">
        <v>264</v>
      </c>
      <c r="B102" s="120" t="str">
        <f>INDEX(Szenarien_RiskFactors!$C:$C,MATCH($A102,Szenarien_RiskFactors!$B:$B,0))</f>
        <v>Russland Krise / LTCM (1998)</v>
      </c>
      <c r="C102" s="108"/>
      <c r="D102" s="1739">
        <v>0</v>
      </c>
      <c r="E102" s="332"/>
      <c r="F102" s="117">
        <v>1</v>
      </c>
      <c r="G102" s="6"/>
      <c r="H102" s="299">
        <v>1</v>
      </c>
      <c r="I102" s="25">
        <v>1</v>
      </c>
      <c r="J102" s="300">
        <v>1</v>
      </c>
      <c r="K102" s="118"/>
      <c r="L102" s="576" t="str">
        <f>Translation!$B$439</f>
        <v>Änderung der Reserven</v>
      </c>
      <c r="M102" s="108"/>
      <c r="N102" s="1313">
        <f>IF(ISBLANK(Szenarien_RiskFactors!CF22),Szenarien_RiskFactors!CF23,Szenarien_RiskFactors!CF22)</f>
        <v>0</v>
      </c>
      <c r="O102" s="118"/>
      <c r="P102" s="1314">
        <f t="shared" si="0"/>
        <v>0</v>
      </c>
    </row>
    <row r="103" spans="1:16" x14ac:dyDescent="0.2">
      <c r="A103" t="s">
        <v>266</v>
      </c>
      <c r="B103" s="120" t="str">
        <f>INDEX(Szenarien_RiskFactors!$C:$C,MATCH($A103,Szenarien_RiskFactors!$B:$B,0))</f>
        <v>Aktienmarkt crash (2000/2001)</v>
      </c>
      <c r="C103" s="108"/>
      <c r="D103" s="1739">
        <v>0.01</v>
      </c>
      <c r="E103" s="332"/>
      <c r="F103" s="117">
        <v>1</v>
      </c>
      <c r="G103" s="6"/>
      <c r="H103" s="299">
        <v>1</v>
      </c>
      <c r="I103" s="25">
        <v>1</v>
      </c>
      <c r="J103" s="300">
        <v>1</v>
      </c>
      <c r="K103" s="118"/>
      <c r="L103" s="576" t="str">
        <f>Translation!$B$439</f>
        <v>Änderung der Reserven</v>
      </c>
      <c r="M103" s="108"/>
      <c r="N103" s="1313">
        <f>IF(ISBLANK(Szenarien_RiskFactors!CP22),Szenarien_RiskFactors!CP23,Szenarien_RiskFactors!CP22)</f>
        <v>0</v>
      </c>
      <c r="O103" s="118"/>
      <c r="P103" s="1314">
        <f t="shared" si="0"/>
        <v>0</v>
      </c>
    </row>
    <row r="104" spans="1:16" x14ac:dyDescent="0.2">
      <c r="A104" t="s">
        <v>268</v>
      </c>
      <c r="B104" s="120" t="str">
        <f>INDEX(Szenarien_RiskFactors!$C:$C,MATCH($A104,Szenarien_RiskFactors!$B:$B,0))</f>
        <v>Globale Deflation</v>
      </c>
      <c r="C104" s="108"/>
      <c r="D104" s="1739">
        <v>0</v>
      </c>
      <c r="E104" s="332"/>
      <c r="F104" s="117">
        <v>1</v>
      </c>
      <c r="G104" s="6"/>
      <c r="H104" s="299">
        <v>1</v>
      </c>
      <c r="I104" s="25">
        <v>1</v>
      </c>
      <c r="J104" s="300">
        <v>1</v>
      </c>
      <c r="K104" s="118"/>
      <c r="L104" s="576" t="str">
        <f>Translation!$B$439</f>
        <v>Änderung der Reserven</v>
      </c>
      <c r="M104" s="108"/>
      <c r="N104" s="1313">
        <f>IF(ISBLANK(Szenarien_RiskFactors!CZ22),Szenarien_RiskFactors!CZ23,Szenarien_RiskFactors!CZ22)</f>
        <v>0</v>
      </c>
      <c r="O104" s="118"/>
      <c r="P104" s="1314">
        <f t="shared" si="0"/>
        <v>0</v>
      </c>
    </row>
    <row r="105" spans="1:16" x14ac:dyDescent="0.2">
      <c r="A105" t="s">
        <v>314</v>
      </c>
      <c r="B105" s="527" t="str">
        <f>INDEX(Szenarien_RiskFactors!$C:$C,MATCH($A105,Szenarien_RiskFactors!$B:$B,0))</f>
        <v>Globale Inflation</v>
      </c>
      <c r="C105" s="114"/>
      <c r="D105" s="1739">
        <v>0.01</v>
      </c>
      <c r="E105" s="647"/>
      <c r="F105" s="281">
        <v>1</v>
      </c>
      <c r="G105" s="6"/>
      <c r="H105" s="299">
        <v>1</v>
      </c>
      <c r="I105" s="25">
        <v>1</v>
      </c>
      <c r="J105" s="300">
        <v>1</v>
      </c>
      <c r="K105" s="280"/>
      <c r="L105" s="576" t="str">
        <f>Translation!$B$439</f>
        <v>Änderung der Reserven</v>
      </c>
      <c r="M105" s="114"/>
      <c r="N105" s="1313">
        <f>IF(ISBLANK(Szenarien_RiskFactors!DJ22),Szenarien_RiskFactors!DJ23,Szenarien_RiskFactors!DJ22)</f>
        <v>0</v>
      </c>
      <c r="O105" s="280"/>
      <c r="P105" s="1308">
        <f t="shared" si="0"/>
        <v>0</v>
      </c>
    </row>
    <row r="106" spans="1:16" x14ac:dyDescent="0.2">
      <c r="A106" t="s">
        <v>492</v>
      </c>
      <c r="B106" s="527" t="str">
        <f>INDEX(Szenarien_RiskFactors!$C:$C,MATCH($A106,Szenarien_RiskFactors!$B:$B,0))</f>
        <v>Finanzkrise 2008</v>
      </c>
      <c r="C106" s="6"/>
      <c r="D106" s="1739">
        <v>0.01</v>
      </c>
      <c r="E106" s="647"/>
      <c r="F106" s="281">
        <v>1</v>
      </c>
      <c r="G106" s="6"/>
      <c r="H106" s="299">
        <v>1</v>
      </c>
      <c r="I106" s="25">
        <v>1</v>
      </c>
      <c r="J106" s="300">
        <v>1</v>
      </c>
      <c r="K106" s="1"/>
      <c r="L106" s="327" t="str">
        <f>Translation!$B$439</f>
        <v>Änderung der Reserven</v>
      </c>
      <c r="M106" s="6"/>
      <c r="N106" s="1315">
        <f>IF(ISBLANK(Szenarien_RiskFactors!DT22),Szenarien_RiskFactors!DT23,Szenarien_RiskFactors!DT22)</f>
        <v>0</v>
      </c>
      <c r="O106" s="1"/>
      <c r="P106" s="1308">
        <f t="shared" si="0"/>
        <v>0</v>
      </c>
    </row>
    <row r="107" spans="1:16" x14ac:dyDescent="0.2">
      <c r="A107" s="21"/>
      <c r="B107" s="21"/>
      <c r="C107" s="21"/>
      <c r="D107" s="21"/>
      <c r="E107" s="21"/>
      <c r="F107" s="21"/>
      <c r="G107" s="21"/>
      <c r="H107" s="21"/>
      <c r="I107" s="21"/>
      <c r="J107" s="21"/>
      <c r="K107" s="21"/>
      <c r="L107" s="21"/>
      <c r="M107" s="21"/>
      <c r="N107" s="21"/>
      <c r="O107" s="21"/>
      <c r="P107" s="21"/>
    </row>
    <row r="108" spans="1:16" x14ac:dyDescent="0.2">
      <c r="A108" s="6"/>
      <c r="D108"/>
      <c r="F108"/>
      <c r="H108"/>
      <c r="I108"/>
      <c r="J108"/>
      <c r="L108"/>
      <c r="N108"/>
      <c r="P108"/>
    </row>
    <row r="109" spans="1:16" x14ac:dyDescent="0.2">
      <c r="D109"/>
      <c r="F109"/>
      <c r="H109"/>
      <c r="I109"/>
      <c r="J109"/>
      <c r="L109"/>
      <c r="N109"/>
      <c r="P109"/>
    </row>
    <row r="110" spans="1:16" x14ac:dyDescent="0.2">
      <c r="D110"/>
      <c r="F110"/>
      <c r="H110"/>
      <c r="I110"/>
      <c r="J110"/>
      <c r="L110"/>
      <c r="N110"/>
      <c r="P110"/>
    </row>
    <row r="111" spans="1:16" x14ac:dyDescent="0.2">
      <c r="D111"/>
      <c r="F111"/>
      <c r="H111"/>
      <c r="I111"/>
      <c r="J111"/>
      <c r="L111"/>
      <c r="N111"/>
      <c r="P111"/>
    </row>
    <row r="112" spans="1:16" x14ac:dyDescent="0.2">
      <c r="D112"/>
      <c r="F112"/>
      <c r="H112"/>
      <c r="I112"/>
      <c r="J112"/>
      <c r="L112"/>
      <c r="N112"/>
      <c r="P112"/>
    </row>
    <row r="113" spans="4:16" x14ac:dyDescent="0.2">
      <c r="D113" s="107"/>
      <c r="F113" s="28"/>
      <c r="H113" s="28"/>
      <c r="I113" s="28"/>
      <c r="J113" s="28"/>
      <c r="K113" s="9"/>
      <c r="O113" s="9"/>
      <c r="P113" s="77"/>
    </row>
    <row r="114" spans="4:16" x14ac:dyDescent="0.2">
      <c r="F114" s="28"/>
      <c r="H114" s="28"/>
      <c r="I114" s="28"/>
      <c r="J114" s="28"/>
      <c r="K114" s="9"/>
      <c r="O114" s="9"/>
      <c r="P114" s="77"/>
    </row>
    <row r="115" spans="4:16" x14ac:dyDescent="0.2">
      <c r="F115" s="28"/>
      <c r="H115" s="28"/>
      <c r="I115" s="28"/>
      <c r="J115" s="28"/>
      <c r="K115" s="9"/>
      <c r="O115" s="9"/>
      <c r="P115" s="77"/>
    </row>
    <row r="116" spans="4:16" x14ac:dyDescent="0.2">
      <c r="F116" s="28"/>
      <c r="H116" s="28"/>
      <c r="I116" s="28"/>
      <c r="J116" s="28"/>
      <c r="K116" s="9"/>
      <c r="O116" s="9"/>
      <c r="P116" s="77"/>
    </row>
    <row r="117" spans="4:16" x14ac:dyDescent="0.2">
      <c r="F117" s="28"/>
      <c r="H117" s="28"/>
      <c r="I117" s="28"/>
      <c r="J117" s="28"/>
      <c r="K117" s="9"/>
      <c r="O117" s="9"/>
      <c r="P117" s="77"/>
    </row>
    <row r="118" spans="4:16" x14ac:dyDescent="0.2">
      <c r="F118" s="28"/>
      <c r="H118" s="28"/>
      <c r="I118" s="28"/>
      <c r="J118" s="28"/>
      <c r="K118" s="9"/>
      <c r="O118" s="9"/>
      <c r="P118" s="77"/>
    </row>
    <row r="119" spans="4:16" x14ac:dyDescent="0.2">
      <c r="F119" s="28"/>
      <c r="H119" s="28"/>
      <c r="I119" s="28"/>
      <c r="J119" s="28"/>
      <c r="K119" s="9"/>
      <c r="O119" s="9"/>
      <c r="P119" s="77"/>
    </row>
    <row r="120" spans="4:16" x14ac:dyDescent="0.2">
      <c r="F120" s="28"/>
      <c r="H120" s="28"/>
      <c r="I120" s="28"/>
      <c r="J120" s="28"/>
      <c r="K120" s="9"/>
      <c r="O120" s="9"/>
      <c r="P120" s="77"/>
    </row>
    <row r="121" spans="4:16" x14ac:dyDescent="0.2">
      <c r="F121" s="28"/>
      <c r="H121" s="28"/>
      <c r="I121" s="28"/>
      <c r="J121" s="28"/>
      <c r="K121" s="9"/>
      <c r="O121" s="9"/>
      <c r="P121" s="77"/>
    </row>
    <row r="122" spans="4:16" x14ac:dyDescent="0.2">
      <c r="F122" s="28"/>
      <c r="H122" s="28"/>
      <c r="I122" s="28"/>
      <c r="J122" s="28"/>
      <c r="K122" s="9"/>
      <c r="O122" s="9"/>
      <c r="P122" s="77"/>
    </row>
    <row r="123" spans="4:16" x14ac:dyDescent="0.2">
      <c r="F123" s="28"/>
      <c r="H123" s="28"/>
      <c r="I123" s="28"/>
      <c r="J123" s="28"/>
      <c r="K123" s="9"/>
      <c r="O123" s="9"/>
      <c r="P123" s="77"/>
    </row>
    <row r="124" spans="4:16" x14ac:dyDescent="0.2">
      <c r="F124" s="28"/>
      <c r="H124" s="28"/>
      <c r="I124" s="28"/>
      <c r="J124" s="28"/>
      <c r="K124" s="9"/>
      <c r="O124" s="9"/>
      <c r="P124" s="77"/>
    </row>
    <row r="125" spans="4:16" x14ac:dyDescent="0.2">
      <c r="F125" s="28"/>
      <c r="H125" s="28"/>
      <c r="I125" s="28"/>
      <c r="J125" s="28"/>
      <c r="K125" s="9"/>
      <c r="O125" s="9"/>
      <c r="P125" s="77"/>
    </row>
    <row r="126" spans="4:16" x14ac:dyDescent="0.2">
      <c r="F126" s="28"/>
      <c r="H126" s="28"/>
      <c r="I126" s="28"/>
      <c r="J126" s="28"/>
      <c r="K126" s="9"/>
      <c r="O126" s="9"/>
      <c r="P126" s="77"/>
    </row>
    <row r="127" spans="4:16" x14ac:dyDescent="0.2">
      <c r="F127" s="28"/>
      <c r="H127" s="28"/>
      <c r="I127" s="28"/>
      <c r="J127" s="28"/>
      <c r="K127" s="9"/>
      <c r="O127" s="9"/>
      <c r="P127" s="77"/>
    </row>
    <row r="128" spans="4:16" x14ac:dyDescent="0.2">
      <c r="F128" s="28"/>
      <c r="H128" s="28"/>
      <c r="I128" s="28"/>
      <c r="J128" s="28"/>
      <c r="K128" s="9"/>
      <c r="O128" s="9"/>
      <c r="P128" s="77"/>
    </row>
    <row r="129" spans="6:16" x14ac:dyDescent="0.2">
      <c r="F129" s="28"/>
      <c r="H129" s="28"/>
      <c r="I129" s="28"/>
      <c r="J129" s="28"/>
      <c r="K129" s="9"/>
      <c r="O129" s="9"/>
      <c r="P129" s="77"/>
    </row>
    <row r="130" spans="6:16" x14ac:dyDescent="0.2">
      <c r="F130" s="28"/>
      <c r="H130" s="28"/>
      <c r="I130" s="28"/>
      <c r="J130" s="28"/>
      <c r="K130" s="9"/>
      <c r="O130" s="9"/>
      <c r="P130" s="77"/>
    </row>
    <row r="131" spans="6:16" x14ac:dyDescent="0.2">
      <c r="F131" s="28"/>
      <c r="H131" s="28"/>
      <c r="I131" s="28"/>
      <c r="J131" s="28"/>
      <c r="K131" s="9"/>
      <c r="O131" s="9"/>
      <c r="P131" s="77"/>
    </row>
    <row r="132" spans="6:16" x14ac:dyDescent="0.2">
      <c r="F132" s="28"/>
      <c r="H132" s="28"/>
      <c r="I132" s="28"/>
      <c r="J132" s="28"/>
      <c r="K132" s="9"/>
      <c r="O132" s="9"/>
      <c r="P132" s="77"/>
    </row>
    <row r="133" spans="6:16" x14ac:dyDescent="0.2">
      <c r="F133" s="28"/>
      <c r="H133" s="28"/>
      <c r="I133" s="28"/>
      <c r="J133" s="28"/>
      <c r="K133" s="9"/>
      <c r="O133" s="9"/>
      <c r="P133" s="77"/>
    </row>
    <row r="134" spans="6:16" x14ac:dyDescent="0.2">
      <c r="F134" s="28"/>
      <c r="H134" s="28"/>
      <c r="I134" s="28"/>
      <c r="J134" s="28"/>
      <c r="K134" s="9"/>
      <c r="O134" s="9"/>
      <c r="P134" s="77"/>
    </row>
    <row r="135" spans="6:16" x14ac:dyDescent="0.2">
      <c r="F135" s="28"/>
      <c r="H135" s="28"/>
      <c r="I135" s="28"/>
      <c r="J135" s="28"/>
      <c r="K135" s="9"/>
      <c r="O135" s="9"/>
      <c r="P135" s="77"/>
    </row>
    <row r="136" spans="6:16" x14ac:dyDescent="0.2">
      <c r="F136" s="28"/>
      <c r="H136" s="28"/>
      <c r="I136" s="28"/>
      <c r="J136" s="28"/>
      <c r="K136" s="9"/>
      <c r="O136" s="9"/>
      <c r="P136" s="77"/>
    </row>
    <row r="137" spans="6:16" x14ac:dyDescent="0.2">
      <c r="F137" s="28"/>
      <c r="H137" s="28"/>
      <c r="I137" s="28"/>
      <c r="J137" s="28"/>
      <c r="K137" s="9"/>
      <c r="O137" s="9"/>
      <c r="P137" s="77"/>
    </row>
    <row r="138" spans="6:16" x14ac:dyDescent="0.2">
      <c r="F138" s="28"/>
      <c r="H138" s="28"/>
      <c r="I138" s="28"/>
      <c r="J138" s="28"/>
      <c r="K138" s="9"/>
      <c r="O138" s="9"/>
      <c r="P138" s="77"/>
    </row>
    <row r="139" spans="6:16" x14ac:dyDescent="0.2">
      <c r="F139" s="28"/>
      <c r="H139" s="28"/>
      <c r="I139" s="28"/>
      <c r="J139" s="28"/>
      <c r="K139" s="9"/>
      <c r="O139" s="9"/>
      <c r="P139" s="77"/>
    </row>
    <row r="140" spans="6:16" x14ac:dyDescent="0.2">
      <c r="F140" s="28"/>
      <c r="H140" s="28"/>
      <c r="I140" s="28"/>
      <c r="J140" s="28"/>
      <c r="K140" s="9"/>
      <c r="O140" s="9"/>
      <c r="P140" s="77"/>
    </row>
    <row r="141" spans="6:16" x14ac:dyDescent="0.2">
      <c r="F141" s="28"/>
      <c r="H141" s="28"/>
      <c r="I141" s="28"/>
      <c r="J141" s="28"/>
      <c r="K141" s="9"/>
      <c r="O141" s="9"/>
      <c r="P141" s="77"/>
    </row>
    <row r="142" spans="6:16" x14ac:dyDescent="0.2">
      <c r="F142" s="28"/>
      <c r="H142" s="28"/>
      <c r="I142" s="28"/>
      <c r="J142" s="28"/>
      <c r="K142" s="9"/>
      <c r="O142" s="9"/>
      <c r="P142" s="77"/>
    </row>
    <row r="143" spans="6:16" x14ac:dyDescent="0.2">
      <c r="F143" s="28"/>
      <c r="H143" s="28"/>
      <c r="I143" s="28"/>
      <c r="J143" s="28"/>
      <c r="K143" s="9"/>
      <c r="O143" s="9"/>
      <c r="P143" s="77"/>
    </row>
    <row r="144" spans="6:16" x14ac:dyDescent="0.2">
      <c r="F144" s="28"/>
      <c r="H144" s="28"/>
      <c r="I144" s="28"/>
      <c r="J144" s="28"/>
      <c r="K144" s="9"/>
      <c r="O144" s="9"/>
      <c r="P144" s="77"/>
    </row>
    <row r="145" spans="6:16" x14ac:dyDescent="0.2">
      <c r="F145" s="28"/>
      <c r="H145" s="28"/>
      <c r="I145" s="28"/>
      <c r="J145" s="28"/>
      <c r="K145" s="9"/>
      <c r="O145" s="9"/>
      <c r="P145" s="77"/>
    </row>
    <row r="146" spans="6:16" x14ac:dyDescent="0.2">
      <c r="F146" s="28"/>
      <c r="H146" s="28"/>
      <c r="I146" s="28"/>
      <c r="J146" s="28"/>
      <c r="K146" s="9"/>
      <c r="O146" s="9"/>
      <c r="P146" s="77"/>
    </row>
    <row r="147" spans="6:16" x14ac:dyDescent="0.2">
      <c r="F147" s="28"/>
      <c r="H147" s="28"/>
      <c r="I147" s="28"/>
      <c r="J147" s="28"/>
      <c r="K147" s="9"/>
      <c r="O147" s="9"/>
      <c r="P147" s="77"/>
    </row>
    <row r="148" spans="6:16" x14ac:dyDescent="0.2">
      <c r="F148" s="28"/>
      <c r="H148" s="28"/>
      <c r="I148" s="28"/>
      <c r="J148" s="28"/>
      <c r="K148" s="9"/>
      <c r="O148" s="9"/>
      <c r="P148" s="77"/>
    </row>
    <row r="149" spans="6:16" x14ac:dyDescent="0.2">
      <c r="F149" s="28"/>
      <c r="H149" s="28"/>
      <c r="I149" s="28"/>
      <c r="J149" s="28"/>
      <c r="K149" s="9"/>
      <c r="O149" s="9"/>
      <c r="P149" s="77"/>
    </row>
    <row r="150" spans="6:16" x14ac:dyDescent="0.2">
      <c r="F150" s="28"/>
      <c r="H150" s="28"/>
      <c r="I150" s="28"/>
      <c r="J150" s="28"/>
      <c r="K150" s="9"/>
      <c r="O150" s="9"/>
      <c r="P150" s="77"/>
    </row>
    <row r="151" spans="6:16" x14ac:dyDescent="0.2">
      <c r="F151" s="28"/>
      <c r="H151" s="28"/>
      <c r="I151" s="28"/>
      <c r="J151" s="28"/>
      <c r="K151" s="9"/>
      <c r="O151" s="9"/>
      <c r="P151" s="77"/>
    </row>
    <row r="152" spans="6:16" x14ac:dyDescent="0.2">
      <c r="F152" s="28"/>
      <c r="H152" s="28"/>
      <c r="I152" s="28"/>
      <c r="J152" s="28"/>
      <c r="K152" s="9"/>
      <c r="O152" s="9"/>
      <c r="P152" s="77"/>
    </row>
    <row r="153" spans="6:16" x14ac:dyDescent="0.2">
      <c r="F153" s="28"/>
      <c r="H153" s="28"/>
      <c r="I153" s="28"/>
      <c r="J153" s="28"/>
      <c r="K153" s="9"/>
      <c r="O153" s="9"/>
      <c r="P153" s="77"/>
    </row>
    <row r="154" spans="6:16" x14ac:dyDescent="0.2">
      <c r="F154" s="28"/>
      <c r="H154" s="28"/>
      <c r="I154" s="28"/>
      <c r="J154" s="28"/>
      <c r="K154" s="9"/>
      <c r="O154" s="9"/>
      <c r="P154" s="77"/>
    </row>
    <row r="155" spans="6:16" x14ac:dyDescent="0.2">
      <c r="F155" s="28"/>
      <c r="H155" s="28"/>
      <c r="I155" s="28"/>
      <c r="J155" s="28"/>
      <c r="K155" s="9"/>
      <c r="O155" s="9"/>
      <c r="P155" s="77"/>
    </row>
    <row r="156" spans="6:16" x14ac:dyDescent="0.2">
      <c r="F156" s="28"/>
      <c r="H156" s="28"/>
      <c r="I156" s="28"/>
      <c r="J156" s="28"/>
      <c r="K156" s="9"/>
      <c r="O156" s="9"/>
      <c r="P156" s="77"/>
    </row>
    <row r="157" spans="6:16" x14ac:dyDescent="0.2">
      <c r="F157" s="28"/>
      <c r="H157" s="28"/>
      <c r="I157" s="28"/>
      <c r="J157" s="28"/>
      <c r="K157" s="9"/>
      <c r="O157" s="9"/>
      <c r="P157" s="77"/>
    </row>
    <row r="158" spans="6:16" x14ac:dyDescent="0.2">
      <c r="F158" s="28"/>
      <c r="H158" s="28"/>
      <c r="I158" s="28"/>
      <c r="J158" s="28"/>
      <c r="K158" s="9"/>
      <c r="O158" s="9"/>
      <c r="P158" s="77"/>
    </row>
    <row r="159" spans="6:16" x14ac:dyDescent="0.2">
      <c r="F159" s="28"/>
      <c r="H159" s="28"/>
      <c r="I159" s="28"/>
      <c r="J159" s="28"/>
      <c r="K159" s="9"/>
      <c r="O159" s="9"/>
      <c r="P159" s="77"/>
    </row>
    <row r="160" spans="6:16" x14ac:dyDescent="0.2">
      <c r="F160" s="28"/>
      <c r="H160" s="28"/>
      <c r="I160" s="28"/>
      <c r="J160" s="28"/>
      <c r="K160" s="9"/>
      <c r="O160" s="9"/>
      <c r="P160" s="77"/>
    </row>
    <row r="161" spans="6:16" x14ac:dyDescent="0.2">
      <c r="F161" s="28"/>
      <c r="H161" s="28"/>
      <c r="I161" s="28"/>
      <c r="J161" s="28"/>
      <c r="K161" s="9"/>
      <c r="O161" s="9"/>
      <c r="P161" s="77"/>
    </row>
    <row r="162" spans="6:16" x14ac:dyDescent="0.2">
      <c r="F162" s="28"/>
      <c r="H162" s="28"/>
      <c r="I162" s="28"/>
      <c r="J162" s="28"/>
      <c r="K162" s="9"/>
      <c r="O162" s="9"/>
      <c r="P162" s="77"/>
    </row>
    <row r="163" spans="6:16" x14ac:dyDescent="0.2">
      <c r="F163" s="28"/>
      <c r="H163" s="28"/>
      <c r="I163" s="28"/>
      <c r="J163" s="28"/>
      <c r="K163" s="9"/>
      <c r="O163" s="9"/>
      <c r="P163" s="77"/>
    </row>
    <row r="164" spans="6:16" x14ac:dyDescent="0.2">
      <c r="F164" s="28"/>
      <c r="H164" s="28"/>
      <c r="I164" s="28"/>
      <c r="J164" s="28"/>
      <c r="K164" s="9"/>
      <c r="O164" s="9"/>
      <c r="P164" s="77"/>
    </row>
    <row r="165" spans="6:16" x14ac:dyDescent="0.2">
      <c r="F165" s="28"/>
      <c r="H165" s="28"/>
      <c r="I165" s="28"/>
      <c r="J165" s="28"/>
      <c r="K165" s="9"/>
      <c r="O165" s="9"/>
      <c r="P165" s="77"/>
    </row>
    <row r="166" spans="6:16" x14ac:dyDescent="0.2">
      <c r="F166" s="28"/>
      <c r="H166" s="28"/>
      <c r="I166" s="28"/>
      <c r="J166" s="28"/>
      <c r="K166" s="9"/>
      <c r="O166" s="9"/>
      <c r="P166" s="77"/>
    </row>
    <row r="167" spans="6:16" x14ac:dyDescent="0.2">
      <c r="F167" s="28"/>
      <c r="H167" s="28"/>
      <c r="I167" s="28"/>
      <c r="J167" s="28"/>
      <c r="K167" s="9"/>
      <c r="O167" s="9"/>
      <c r="P167" s="77"/>
    </row>
    <row r="168" spans="6:16" x14ac:dyDescent="0.2">
      <c r="F168" s="28"/>
      <c r="H168" s="28"/>
      <c r="I168" s="28"/>
      <c r="J168" s="28"/>
      <c r="K168" s="9"/>
      <c r="O168" s="9"/>
      <c r="P168" s="77"/>
    </row>
    <row r="169" spans="6:16" x14ac:dyDescent="0.2">
      <c r="F169" s="28"/>
      <c r="H169" s="28"/>
      <c r="I169" s="28"/>
      <c r="J169" s="28"/>
      <c r="K169" s="9"/>
      <c r="O169" s="9"/>
      <c r="P169" s="77"/>
    </row>
    <row r="170" spans="6:16" x14ac:dyDescent="0.2">
      <c r="F170" s="28"/>
      <c r="H170" s="28"/>
      <c r="I170" s="28"/>
      <c r="J170" s="28"/>
      <c r="K170" s="9"/>
      <c r="O170" s="9"/>
      <c r="P170" s="77"/>
    </row>
    <row r="171" spans="6:16" x14ac:dyDescent="0.2">
      <c r="F171" s="28"/>
      <c r="H171" s="28"/>
      <c r="I171" s="28"/>
      <c r="J171" s="28"/>
      <c r="K171" s="9"/>
      <c r="O171" s="9"/>
      <c r="P171" s="77"/>
    </row>
    <row r="172" spans="6:16" x14ac:dyDescent="0.2">
      <c r="F172" s="28"/>
      <c r="H172" s="28"/>
      <c r="I172" s="28"/>
      <c r="J172" s="28"/>
      <c r="K172" s="9"/>
      <c r="O172" s="9"/>
      <c r="P172" s="77"/>
    </row>
    <row r="173" spans="6:16" x14ac:dyDescent="0.2">
      <c r="F173" s="28"/>
      <c r="H173" s="28"/>
      <c r="I173" s="28"/>
      <c r="J173" s="28"/>
      <c r="K173" s="9"/>
      <c r="O173" s="9"/>
      <c r="P173" s="77"/>
    </row>
    <row r="174" spans="6:16" x14ac:dyDescent="0.2">
      <c r="F174" s="28"/>
      <c r="H174" s="28"/>
      <c r="I174" s="28"/>
      <c r="J174" s="28"/>
      <c r="K174" s="9"/>
      <c r="O174" s="9"/>
      <c r="P174" s="77"/>
    </row>
    <row r="175" spans="6:16" x14ac:dyDescent="0.2">
      <c r="F175" s="28"/>
      <c r="H175" s="28"/>
      <c r="I175" s="28"/>
      <c r="J175" s="28"/>
      <c r="K175" s="9"/>
      <c r="O175" s="9"/>
      <c r="P175" s="77"/>
    </row>
    <row r="176" spans="6:16" x14ac:dyDescent="0.2">
      <c r="F176" s="28"/>
      <c r="H176" s="28"/>
      <c r="I176" s="28"/>
      <c r="J176" s="28"/>
      <c r="K176" s="9"/>
      <c r="O176" s="9"/>
      <c r="P176" s="77"/>
    </row>
    <row r="177" spans="6:16" x14ac:dyDescent="0.2">
      <c r="F177" s="28"/>
      <c r="H177" s="28"/>
      <c r="I177" s="28"/>
      <c r="J177" s="28"/>
      <c r="K177" s="9"/>
      <c r="O177" s="9"/>
      <c r="P177" s="77"/>
    </row>
    <row r="178" spans="6:16" x14ac:dyDescent="0.2">
      <c r="F178" s="28"/>
      <c r="H178" s="28"/>
      <c r="I178" s="28"/>
      <c r="J178" s="28"/>
      <c r="K178" s="9"/>
      <c r="O178" s="9"/>
      <c r="P178" s="77"/>
    </row>
    <row r="179" spans="6:16" x14ac:dyDescent="0.2">
      <c r="F179" s="28"/>
      <c r="H179" s="28"/>
      <c r="I179" s="28"/>
      <c r="J179" s="28"/>
      <c r="K179" s="9"/>
      <c r="O179" s="9"/>
      <c r="P179" s="77"/>
    </row>
    <row r="180" spans="6:16" x14ac:dyDescent="0.2">
      <c r="F180" s="28"/>
      <c r="H180" s="28"/>
      <c r="I180" s="28"/>
      <c r="J180" s="28"/>
      <c r="K180" s="9"/>
      <c r="O180" s="9"/>
      <c r="P180" s="77"/>
    </row>
    <row r="181" spans="6:16" x14ac:dyDescent="0.2">
      <c r="F181" s="28"/>
      <c r="H181" s="28"/>
      <c r="I181" s="28"/>
      <c r="J181" s="28"/>
      <c r="K181" s="9"/>
      <c r="O181" s="9"/>
      <c r="P181" s="77"/>
    </row>
    <row r="182" spans="6:16" x14ac:dyDescent="0.2">
      <c r="F182" s="28"/>
      <c r="H182" s="28"/>
      <c r="I182" s="28"/>
      <c r="J182" s="28"/>
      <c r="K182" s="9"/>
      <c r="O182" s="9"/>
      <c r="P182" s="77"/>
    </row>
    <row r="183" spans="6:16" x14ac:dyDescent="0.2">
      <c r="F183" s="28"/>
      <c r="H183" s="28"/>
      <c r="I183" s="28"/>
      <c r="J183" s="28"/>
      <c r="K183" s="9"/>
      <c r="O183" s="9"/>
      <c r="P183" s="77"/>
    </row>
    <row r="184" spans="6:16" x14ac:dyDescent="0.2">
      <c r="F184" s="28"/>
      <c r="H184" s="28"/>
      <c r="I184" s="28"/>
      <c r="J184" s="28"/>
      <c r="K184" s="9"/>
      <c r="O184" s="9"/>
      <c r="P184" s="77"/>
    </row>
    <row r="185" spans="6:16" x14ac:dyDescent="0.2">
      <c r="F185" s="28"/>
      <c r="H185" s="28"/>
      <c r="I185" s="28"/>
      <c r="J185" s="28"/>
      <c r="K185" s="9"/>
      <c r="O185" s="9"/>
      <c r="P185" s="77"/>
    </row>
    <row r="186" spans="6:16" x14ac:dyDescent="0.2">
      <c r="F186" s="28"/>
      <c r="H186" s="28"/>
      <c r="I186" s="28"/>
      <c r="J186" s="28"/>
      <c r="K186" s="9"/>
      <c r="O186" s="9"/>
      <c r="P186" s="77"/>
    </row>
    <row r="187" spans="6:16" x14ac:dyDescent="0.2">
      <c r="F187" s="28"/>
      <c r="H187" s="28"/>
      <c r="I187" s="28"/>
      <c r="J187" s="28"/>
      <c r="K187" s="9"/>
      <c r="O187" s="9"/>
      <c r="P187" s="77"/>
    </row>
    <row r="188" spans="6:16" x14ac:dyDescent="0.2">
      <c r="F188" s="28"/>
      <c r="H188" s="28"/>
      <c r="I188" s="28"/>
      <c r="J188" s="28"/>
      <c r="K188" s="9"/>
      <c r="O188" s="9"/>
      <c r="P188" s="77"/>
    </row>
    <row r="189" spans="6:16" x14ac:dyDescent="0.2">
      <c r="F189" s="28"/>
      <c r="H189" s="28"/>
      <c r="I189" s="28"/>
      <c r="J189" s="28"/>
      <c r="K189" s="9"/>
      <c r="O189" s="9"/>
      <c r="P189" s="77"/>
    </row>
    <row r="190" spans="6:16" x14ac:dyDescent="0.2">
      <c r="F190" s="28"/>
      <c r="H190" s="28"/>
      <c r="I190" s="28"/>
      <c r="J190" s="28"/>
      <c r="K190" s="9"/>
      <c r="O190" s="9"/>
      <c r="P190" s="77"/>
    </row>
    <row r="191" spans="6:16" x14ac:dyDescent="0.2">
      <c r="F191" s="28"/>
      <c r="H191" s="28"/>
      <c r="I191" s="28"/>
      <c r="J191" s="28"/>
      <c r="K191" s="9"/>
      <c r="O191" s="9"/>
      <c r="P191" s="77"/>
    </row>
    <row r="192" spans="6:16" x14ac:dyDescent="0.2">
      <c r="F192" s="28"/>
      <c r="H192" s="28"/>
      <c r="I192" s="28"/>
      <c r="J192" s="28"/>
      <c r="K192" s="9"/>
      <c r="O192" s="9"/>
      <c r="P192" s="77"/>
    </row>
    <row r="193" spans="6:16" x14ac:dyDescent="0.2">
      <c r="F193" s="28"/>
      <c r="H193" s="28"/>
      <c r="I193" s="28"/>
      <c r="J193" s="28"/>
      <c r="K193" s="9"/>
      <c r="O193" s="9"/>
      <c r="P193" s="77"/>
    </row>
    <row r="194" spans="6:16" x14ac:dyDescent="0.2">
      <c r="F194" s="28"/>
      <c r="H194" s="28"/>
      <c r="I194" s="28"/>
      <c r="J194" s="28"/>
      <c r="K194" s="9"/>
      <c r="O194" s="9"/>
      <c r="P194" s="77"/>
    </row>
    <row r="195" spans="6:16" x14ac:dyDescent="0.2">
      <c r="F195" s="28"/>
      <c r="H195" s="28"/>
      <c r="I195" s="28"/>
      <c r="J195" s="28"/>
      <c r="K195" s="9"/>
      <c r="O195" s="9"/>
      <c r="P195" s="77"/>
    </row>
    <row r="196" spans="6:16" x14ac:dyDescent="0.2">
      <c r="F196" s="28"/>
      <c r="H196" s="28"/>
      <c r="I196" s="28"/>
      <c r="J196" s="28"/>
      <c r="K196" s="9"/>
      <c r="O196" s="9"/>
      <c r="P196" s="77"/>
    </row>
    <row r="197" spans="6:16" x14ac:dyDescent="0.2">
      <c r="F197" s="28"/>
      <c r="H197" s="28"/>
      <c r="I197" s="28"/>
      <c r="J197" s="28"/>
      <c r="K197" s="9"/>
      <c r="O197" s="9"/>
      <c r="P197" s="77"/>
    </row>
    <row r="198" spans="6:16" x14ac:dyDescent="0.2">
      <c r="F198" s="28"/>
      <c r="H198" s="28"/>
      <c r="I198" s="28"/>
      <c r="J198" s="28"/>
      <c r="K198" s="9"/>
      <c r="O198" s="9"/>
      <c r="P198" s="77"/>
    </row>
    <row r="199" spans="6:16" x14ac:dyDescent="0.2">
      <c r="F199" s="28"/>
      <c r="H199" s="28"/>
      <c r="I199" s="28"/>
      <c r="J199" s="28"/>
      <c r="K199" s="9"/>
      <c r="O199" s="9"/>
      <c r="P199" s="77"/>
    </row>
    <row r="200" spans="6:16" x14ac:dyDescent="0.2">
      <c r="F200" s="28"/>
      <c r="H200" s="28"/>
      <c r="I200" s="28"/>
      <c r="J200" s="28"/>
      <c r="K200" s="9"/>
      <c r="O200" s="9"/>
      <c r="P200" s="77"/>
    </row>
    <row r="201" spans="6:16" x14ac:dyDescent="0.2">
      <c r="F201" s="28"/>
      <c r="H201" s="28"/>
      <c r="I201" s="28"/>
      <c r="J201" s="28"/>
      <c r="K201" s="9"/>
      <c r="O201" s="9"/>
      <c r="P201" s="77"/>
    </row>
    <row r="202" spans="6:16" x14ac:dyDescent="0.2">
      <c r="F202" s="28"/>
      <c r="H202" s="28"/>
      <c r="I202" s="28"/>
      <c r="J202" s="28"/>
      <c r="K202" s="9"/>
      <c r="O202" s="9"/>
      <c r="P202" s="77"/>
    </row>
    <row r="203" spans="6:16" x14ac:dyDescent="0.2">
      <c r="F203" s="28"/>
      <c r="H203" s="28"/>
      <c r="I203" s="28"/>
      <c r="J203" s="28"/>
      <c r="K203" s="9"/>
      <c r="O203" s="9"/>
      <c r="P203" s="77"/>
    </row>
    <row r="204" spans="6:16" x14ac:dyDescent="0.2">
      <c r="F204" s="28"/>
      <c r="H204" s="28"/>
      <c r="I204" s="28"/>
      <c r="J204" s="28"/>
      <c r="K204" s="9"/>
      <c r="O204" s="9"/>
      <c r="P204" s="77"/>
    </row>
    <row r="205" spans="6:16" x14ac:dyDescent="0.2">
      <c r="F205" s="28"/>
      <c r="H205" s="28"/>
      <c r="I205" s="28"/>
      <c r="J205" s="28"/>
      <c r="K205" s="9"/>
      <c r="O205" s="9"/>
      <c r="P205" s="77"/>
    </row>
    <row r="206" spans="6:16" x14ac:dyDescent="0.2">
      <c r="F206" s="28"/>
      <c r="H206" s="28"/>
      <c r="I206" s="28"/>
      <c r="J206" s="28"/>
      <c r="K206" s="9"/>
      <c r="O206" s="9"/>
      <c r="P206" s="77"/>
    </row>
    <row r="207" spans="6:16" x14ac:dyDescent="0.2">
      <c r="F207" s="28"/>
      <c r="H207" s="28"/>
      <c r="I207" s="28"/>
      <c r="J207" s="28"/>
      <c r="K207" s="9"/>
      <c r="O207" s="9"/>
      <c r="P207" s="77"/>
    </row>
    <row r="208" spans="6:16" x14ac:dyDescent="0.2">
      <c r="F208" s="28"/>
      <c r="H208" s="28"/>
      <c r="I208" s="28"/>
      <c r="J208" s="28"/>
      <c r="K208" s="9"/>
      <c r="O208" s="9"/>
      <c r="P208" s="77"/>
    </row>
    <row r="209" spans="6:16" x14ac:dyDescent="0.2">
      <c r="F209" s="28"/>
      <c r="H209" s="28"/>
      <c r="I209" s="28"/>
      <c r="J209" s="28"/>
      <c r="K209" s="9"/>
      <c r="O209" s="9"/>
      <c r="P209" s="77"/>
    </row>
    <row r="210" spans="6:16" x14ac:dyDescent="0.2">
      <c r="F210" s="28"/>
      <c r="H210" s="28"/>
      <c r="I210" s="28"/>
      <c r="J210" s="28"/>
      <c r="K210" s="9"/>
      <c r="O210" s="9"/>
      <c r="P210" s="77"/>
    </row>
    <row r="211" spans="6:16" x14ac:dyDescent="0.2">
      <c r="F211" s="28"/>
      <c r="H211" s="28"/>
      <c r="I211" s="28"/>
      <c r="J211" s="28"/>
      <c r="K211" s="9"/>
      <c r="O211" s="9"/>
      <c r="P211" s="77"/>
    </row>
    <row r="212" spans="6:16" x14ac:dyDescent="0.2">
      <c r="F212" s="28"/>
      <c r="H212" s="28"/>
      <c r="I212" s="28"/>
      <c r="J212" s="28"/>
      <c r="K212" s="9"/>
      <c r="O212" s="9"/>
      <c r="P212" s="77"/>
    </row>
    <row r="213" spans="6:16" x14ac:dyDescent="0.2">
      <c r="F213" s="28"/>
      <c r="H213" s="28"/>
      <c r="I213" s="28"/>
      <c r="J213" s="28"/>
      <c r="K213" s="9"/>
      <c r="O213" s="9"/>
      <c r="P213" s="77"/>
    </row>
    <row r="214" spans="6:16" x14ac:dyDescent="0.2">
      <c r="F214" s="28"/>
      <c r="H214" s="28"/>
      <c r="I214" s="28"/>
      <c r="J214" s="28"/>
      <c r="K214" s="9"/>
      <c r="O214" s="9"/>
      <c r="P214" s="77"/>
    </row>
    <row r="215" spans="6:16" x14ac:dyDescent="0.2">
      <c r="F215" s="28"/>
      <c r="H215" s="28"/>
      <c r="I215" s="28"/>
      <c r="J215" s="28"/>
      <c r="K215" s="9"/>
      <c r="O215" s="9"/>
      <c r="P215" s="77"/>
    </row>
    <row r="216" spans="6:16" x14ac:dyDescent="0.2">
      <c r="F216" s="28"/>
      <c r="H216" s="28"/>
      <c r="I216" s="28"/>
      <c r="J216" s="28"/>
      <c r="K216" s="9"/>
      <c r="O216" s="9"/>
      <c r="P216" s="77"/>
    </row>
    <row r="217" spans="6:16" x14ac:dyDescent="0.2">
      <c r="F217" s="28"/>
      <c r="H217" s="28"/>
      <c r="I217" s="28"/>
      <c r="J217" s="28"/>
      <c r="K217" s="9"/>
      <c r="O217" s="9"/>
      <c r="P217" s="77"/>
    </row>
    <row r="218" spans="6:16" x14ac:dyDescent="0.2">
      <c r="F218" s="28"/>
      <c r="H218" s="28"/>
      <c r="I218" s="28"/>
      <c r="J218" s="28"/>
      <c r="K218" s="9"/>
      <c r="O218" s="9"/>
      <c r="P218" s="77"/>
    </row>
    <row r="219" spans="6:16" x14ac:dyDescent="0.2">
      <c r="F219" s="28"/>
      <c r="H219" s="28"/>
      <c r="I219" s="28"/>
      <c r="J219" s="28"/>
      <c r="K219" s="9"/>
      <c r="O219" s="9"/>
      <c r="P219" s="77"/>
    </row>
    <row r="220" spans="6:16" x14ac:dyDescent="0.2">
      <c r="F220" s="28"/>
      <c r="H220" s="28"/>
      <c r="I220" s="28"/>
      <c r="J220" s="28"/>
      <c r="K220" s="9"/>
      <c r="O220" s="9"/>
      <c r="P220" s="77"/>
    </row>
    <row r="221" spans="6:16" x14ac:dyDescent="0.2">
      <c r="F221" s="28"/>
      <c r="H221" s="28"/>
      <c r="I221" s="28"/>
      <c r="J221" s="28"/>
      <c r="K221" s="9"/>
      <c r="O221" s="9"/>
      <c r="P221" s="77"/>
    </row>
    <row r="222" spans="6:16" x14ac:dyDescent="0.2">
      <c r="F222" s="28"/>
      <c r="H222" s="28"/>
      <c r="I222" s="28"/>
      <c r="J222" s="28"/>
      <c r="K222" s="9"/>
      <c r="O222" s="9"/>
      <c r="P222" s="77"/>
    </row>
    <row r="223" spans="6:16" x14ac:dyDescent="0.2">
      <c r="F223" s="28"/>
      <c r="H223" s="28"/>
      <c r="I223" s="28"/>
      <c r="J223" s="28"/>
      <c r="K223" s="9"/>
      <c r="O223" s="9"/>
      <c r="P223" s="77"/>
    </row>
    <row r="224" spans="6:16" x14ac:dyDescent="0.2">
      <c r="F224" s="28"/>
      <c r="H224" s="28"/>
      <c r="I224" s="28"/>
      <c r="J224" s="28"/>
      <c r="K224" s="9"/>
      <c r="O224" s="9"/>
      <c r="P224" s="77"/>
    </row>
    <row r="225" spans="6:16" x14ac:dyDescent="0.2">
      <c r="F225" s="28"/>
      <c r="H225" s="28"/>
      <c r="I225" s="28"/>
      <c r="J225" s="28"/>
      <c r="K225" s="9"/>
      <c r="O225" s="9"/>
      <c r="P225" s="77"/>
    </row>
    <row r="226" spans="6:16" x14ac:dyDescent="0.2">
      <c r="F226" s="28"/>
      <c r="H226" s="28"/>
      <c r="I226" s="28"/>
      <c r="J226" s="28"/>
      <c r="K226" s="9"/>
      <c r="O226" s="9"/>
      <c r="P226" s="77"/>
    </row>
    <row r="227" spans="6:16" x14ac:dyDescent="0.2">
      <c r="F227" s="28"/>
      <c r="H227" s="28"/>
      <c r="I227" s="28"/>
      <c r="J227" s="28"/>
      <c r="K227" s="9"/>
      <c r="O227" s="9"/>
      <c r="P227" s="77"/>
    </row>
    <row r="228" spans="6:16" x14ac:dyDescent="0.2">
      <c r="F228" s="28"/>
      <c r="H228" s="28"/>
      <c r="I228" s="28"/>
      <c r="J228" s="28"/>
      <c r="K228" s="9"/>
      <c r="O228" s="9"/>
      <c r="P228" s="77"/>
    </row>
    <row r="229" spans="6:16" x14ac:dyDescent="0.2">
      <c r="F229" s="28"/>
      <c r="H229" s="28"/>
      <c r="I229" s="28"/>
      <c r="J229" s="28"/>
      <c r="K229" s="9"/>
      <c r="O229" s="9"/>
      <c r="P229" s="77"/>
    </row>
    <row r="230" spans="6:16" x14ac:dyDescent="0.2">
      <c r="F230" s="28"/>
      <c r="H230" s="28"/>
      <c r="I230" s="28"/>
      <c r="J230" s="28"/>
      <c r="K230" s="9"/>
      <c r="O230" s="9"/>
      <c r="P230" s="77"/>
    </row>
    <row r="231" spans="6:16" x14ac:dyDescent="0.2">
      <c r="F231" s="28"/>
      <c r="H231" s="28"/>
      <c r="I231" s="28"/>
      <c r="J231" s="28"/>
      <c r="K231" s="9"/>
      <c r="O231" s="9"/>
      <c r="P231" s="77"/>
    </row>
    <row r="232" spans="6:16" x14ac:dyDescent="0.2">
      <c r="F232" s="28"/>
      <c r="H232" s="28"/>
      <c r="I232" s="28"/>
      <c r="J232" s="28"/>
      <c r="K232" s="9"/>
      <c r="O232" s="9"/>
      <c r="P232" s="77"/>
    </row>
    <row r="233" spans="6:16" x14ac:dyDescent="0.2">
      <c r="F233" s="28"/>
      <c r="H233" s="28"/>
      <c r="I233" s="28"/>
      <c r="J233" s="28"/>
      <c r="K233" s="9"/>
      <c r="O233" s="9"/>
      <c r="P233" s="77"/>
    </row>
    <row r="234" spans="6:16" x14ac:dyDescent="0.2">
      <c r="F234" s="28"/>
      <c r="H234" s="28"/>
      <c r="I234" s="28"/>
      <c r="J234" s="28"/>
      <c r="K234" s="9"/>
      <c r="O234" s="9"/>
      <c r="P234" s="77"/>
    </row>
    <row r="235" spans="6:16" x14ac:dyDescent="0.2">
      <c r="F235" s="28"/>
      <c r="H235" s="28"/>
      <c r="I235" s="28"/>
      <c r="J235" s="28"/>
      <c r="K235" s="9"/>
      <c r="O235" s="9"/>
      <c r="P235" s="77"/>
    </row>
    <row r="236" spans="6:16" x14ac:dyDescent="0.2">
      <c r="F236" s="28"/>
      <c r="H236" s="28"/>
      <c r="I236" s="28"/>
      <c r="J236" s="28"/>
      <c r="K236" s="9"/>
      <c r="O236" s="9"/>
      <c r="P236" s="77"/>
    </row>
    <row r="237" spans="6:16" x14ac:dyDescent="0.2">
      <c r="F237" s="28"/>
      <c r="H237" s="28"/>
      <c r="I237" s="28"/>
      <c r="J237" s="28"/>
      <c r="K237" s="9"/>
      <c r="O237" s="9"/>
      <c r="P237" s="77"/>
    </row>
    <row r="238" spans="6:16" x14ac:dyDescent="0.2">
      <c r="F238" s="28"/>
      <c r="H238" s="28"/>
      <c r="I238" s="28"/>
      <c r="J238" s="28"/>
      <c r="K238" s="9"/>
      <c r="O238" s="9"/>
      <c r="P238" s="77"/>
    </row>
    <row r="239" spans="6:16" x14ac:dyDescent="0.2">
      <c r="F239" s="28"/>
      <c r="H239" s="28"/>
      <c r="I239" s="28"/>
      <c r="J239" s="28"/>
      <c r="K239" s="9"/>
      <c r="O239" s="9"/>
      <c r="P239" s="77"/>
    </row>
    <row r="240" spans="6:16" x14ac:dyDescent="0.2">
      <c r="F240" s="28"/>
      <c r="H240" s="28"/>
      <c r="I240" s="28"/>
      <c r="J240" s="28"/>
      <c r="K240" s="9"/>
      <c r="O240" s="9"/>
      <c r="P240" s="77"/>
    </row>
    <row r="241" spans="6:16" x14ac:dyDescent="0.2">
      <c r="F241" s="28"/>
      <c r="H241" s="28"/>
      <c r="I241" s="28"/>
      <c r="J241" s="28"/>
      <c r="K241" s="9"/>
      <c r="O241" s="9"/>
      <c r="P241" s="77"/>
    </row>
    <row r="242" spans="6:16" x14ac:dyDescent="0.2">
      <c r="F242" s="28"/>
      <c r="H242" s="28"/>
      <c r="I242" s="28"/>
      <c r="J242" s="28"/>
      <c r="K242" s="9"/>
      <c r="O242" s="9"/>
      <c r="P242" s="77"/>
    </row>
    <row r="243" spans="6:16" x14ac:dyDescent="0.2">
      <c r="F243" s="28"/>
      <c r="H243" s="28"/>
      <c r="I243" s="28"/>
      <c r="J243" s="28"/>
      <c r="K243" s="9"/>
      <c r="O243" s="9"/>
      <c r="P243" s="77"/>
    </row>
    <row r="244" spans="6:16" x14ac:dyDescent="0.2">
      <c r="F244" s="28"/>
      <c r="H244" s="28"/>
      <c r="I244" s="28"/>
      <c r="J244" s="28"/>
      <c r="K244" s="9"/>
      <c r="O244" s="9"/>
      <c r="P244" s="77"/>
    </row>
    <row r="245" spans="6:16" x14ac:dyDescent="0.2">
      <c r="F245" s="28"/>
      <c r="H245" s="28"/>
      <c r="I245" s="28"/>
      <c r="J245" s="28"/>
      <c r="K245" s="9"/>
      <c r="O245" s="9"/>
      <c r="P245" s="77"/>
    </row>
    <row r="246" spans="6:16" x14ac:dyDescent="0.2">
      <c r="F246" s="28"/>
      <c r="H246" s="28"/>
      <c r="I246" s="28"/>
      <c r="J246" s="28"/>
      <c r="K246" s="9"/>
      <c r="O246" s="9"/>
      <c r="P246" s="77"/>
    </row>
    <row r="247" spans="6:16" x14ac:dyDescent="0.2">
      <c r="F247" s="28"/>
      <c r="H247" s="28"/>
      <c r="I247" s="28"/>
      <c r="J247" s="28"/>
      <c r="K247" s="9"/>
      <c r="O247" s="9"/>
      <c r="P247" s="77"/>
    </row>
    <row r="248" spans="6:16" x14ac:dyDescent="0.2">
      <c r="F248" s="28"/>
      <c r="H248" s="28"/>
      <c r="I248" s="28"/>
      <c r="J248" s="28"/>
      <c r="K248" s="9"/>
      <c r="O248" s="9"/>
      <c r="P248" s="77"/>
    </row>
    <row r="249" spans="6:16" x14ac:dyDescent="0.2">
      <c r="F249" s="28"/>
      <c r="H249" s="28"/>
      <c r="I249" s="28"/>
      <c r="J249" s="28"/>
      <c r="K249" s="9"/>
      <c r="O249" s="9"/>
      <c r="P249" s="77"/>
    </row>
    <row r="250" spans="6:16" x14ac:dyDescent="0.2">
      <c r="F250" s="28"/>
      <c r="H250" s="28"/>
      <c r="I250" s="28"/>
      <c r="J250" s="28"/>
      <c r="K250" s="9"/>
      <c r="O250" s="9"/>
      <c r="P250" s="77"/>
    </row>
    <row r="251" spans="6:16" x14ac:dyDescent="0.2">
      <c r="F251" s="28"/>
      <c r="H251" s="28"/>
      <c r="I251" s="28"/>
      <c r="J251" s="28"/>
      <c r="K251" s="9"/>
      <c r="O251" s="9"/>
      <c r="P251" s="77"/>
    </row>
    <row r="252" spans="6:16" x14ac:dyDescent="0.2">
      <c r="F252" s="28"/>
      <c r="H252" s="28"/>
      <c r="I252" s="28"/>
      <c r="J252" s="28"/>
      <c r="K252" s="9"/>
      <c r="O252" s="9"/>
      <c r="P252" s="77"/>
    </row>
    <row r="253" spans="6:16" x14ac:dyDescent="0.2">
      <c r="F253" s="28"/>
      <c r="H253" s="28"/>
      <c r="I253" s="28"/>
      <c r="J253" s="28"/>
      <c r="K253" s="9"/>
      <c r="O253" s="9"/>
      <c r="P253" s="77"/>
    </row>
    <row r="254" spans="6:16" x14ac:dyDescent="0.2">
      <c r="F254" s="28"/>
      <c r="H254" s="28"/>
      <c r="I254" s="28"/>
      <c r="J254" s="28"/>
      <c r="K254" s="9"/>
      <c r="O254" s="9"/>
      <c r="P254" s="77"/>
    </row>
    <row r="255" spans="6:16" x14ac:dyDescent="0.2">
      <c r="F255" s="28"/>
      <c r="H255" s="28"/>
      <c r="I255" s="28"/>
      <c r="J255" s="28"/>
      <c r="K255" s="9"/>
      <c r="O255" s="9"/>
      <c r="P255" s="77"/>
    </row>
    <row r="256" spans="6:16" x14ac:dyDescent="0.2">
      <c r="F256" s="28"/>
      <c r="H256" s="28"/>
      <c r="I256" s="28"/>
      <c r="J256" s="28"/>
      <c r="K256" s="9"/>
      <c r="O256" s="9"/>
      <c r="P256" s="77"/>
    </row>
    <row r="257" spans="6:16" x14ac:dyDescent="0.2">
      <c r="F257" s="28"/>
      <c r="H257" s="28"/>
      <c r="I257" s="28"/>
      <c r="J257" s="28"/>
      <c r="K257" s="9"/>
      <c r="O257" s="9"/>
      <c r="P257" s="77"/>
    </row>
    <row r="258" spans="6:16" x14ac:dyDescent="0.2">
      <c r="F258" s="28"/>
      <c r="H258" s="28"/>
      <c r="I258" s="28"/>
      <c r="J258" s="28"/>
      <c r="K258" s="9"/>
      <c r="O258" s="9"/>
      <c r="P258" s="77"/>
    </row>
    <row r="259" spans="6:16" x14ac:dyDescent="0.2">
      <c r="F259" s="28"/>
      <c r="H259" s="28"/>
      <c r="I259" s="28"/>
      <c r="J259" s="28"/>
      <c r="K259" s="9"/>
      <c r="O259" s="9"/>
      <c r="P259" s="77"/>
    </row>
    <row r="260" spans="6:16" x14ac:dyDescent="0.2">
      <c r="F260" s="28"/>
      <c r="H260" s="28"/>
      <c r="I260" s="28"/>
      <c r="J260" s="28"/>
      <c r="K260" s="9"/>
      <c r="O260" s="9"/>
      <c r="P260" s="77"/>
    </row>
    <row r="261" spans="6:16" x14ac:dyDescent="0.2">
      <c r="F261" s="28"/>
      <c r="H261" s="28"/>
      <c r="I261" s="28"/>
      <c r="J261" s="28"/>
      <c r="K261" s="9"/>
      <c r="O261" s="9"/>
      <c r="P261" s="77"/>
    </row>
    <row r="262" spans="6:16" x14ac:dyDescent="0.2">
      <c r="F262" s="28"/>
      <c r="H262" s="28"/>
      <c r="I262" s="28"/>
      <c r="J262" s="28"/>
      <c r="K262" s="9"/>
      <c r="O262" s="9"/>
      <c r="P262" s="77"/>
    </row>
    <row r="263" spans="6:16" x14ac:dyDescent="0.2">
      <c r="F263" s="28"/>
      <c r="H263" s="28"/>
      <c r="I263" s="28"/>
      <c r="J263" s="28"/>
      <c r="K263" s="9"/>
      <c r="O263" s="9"/>
      <c r="P263" s="77"/>
    </row>
    <row r="264" spans="6:16" x14ac:dyDescent="0.2">
      <c r="F264" s="28"/>
      <c r="H264" s="28"/>
      <c r="I264" s="28"/>
      <c r="J264" s="28"/>
      <c r="K264" s="9"/>
      <c r="O264" s="9"/>
      <c r="P264" s="77"/>
    </row>
    <row r="265" spans="6:16" x14ac:dyDescent="0.2">
      <c r="F265" s="28"/>
      <c r="H265" s="28"/>
      <c r="I265" s="28"/>
      <c r="J265" s="28"/>
      <c r="K265" s="9"/>
      <c r="O265" s="9"/>
      <c r="P265" s="77"/>
    </row>
    <row r="266" spans="6:16" x14ac:dyDescent="0.2">
      <c r="F266" s="28"/>
      <c r="H266" s="28"/>
      <c r="I266" s="28"/>
      <c r="J266" s="28"/>
      <c r="K266" s="9"/>
      <c r="O266" s="9"/>
      <c r="P266" s="77"/>
    </row>
    <row r="267" spans="6:16" x14ac:dyDescent="0.2">
      <c r="F267" s="28"/>
      <c r="H267" s="28"/>
      <c r="I267" s="28"/>
      <c r="J267" s="28"/>
      <c r="K267" s="9"/>
      <c r="O267" s="9"/>
      <c r="P267" s="77"/>
    </row>
    <row r="268" spans="6:16" x14ac:dyDescent="0.2">
      <c r="F268" s="28"/>
      <c r="H268" s="28"/>
      <c r="I268" s="28"/>
      <c r="J268" s="28"/>
      <c r="K268" s="9"/>
      <c r="O268" s="9"/>
      <c r="P268" s="77"/>
    </row>
    <row r="269" spans="6:16" x14ac:dyDescent="0.2">
      <c r="F269" s="28"/>
      <c r="H269" s="28"/>
      <c r="I269" s="28"/>
      <c r="J269" s="28"/>
      <c r="K269" s="9"/>
      <c r="O269" s="9"/>
      <c r="P269" s="77"/>
    </row>
    <row r="270" spans="6:16" x14ac:dyDescent="0.2">
      <c r="F270" s="28"/>
      <c r="H270" s="28"/>
      <c r="I270" s="28"/>
      <c r="J270" s="28"/>
      <c r="K270" s="9"/>
      <c r="O270" s="9"/>
      <c r="P270" s="77"/>
    </row>
    <row r="271" spans="6:16" x14ac:dyDescent="0.2">
      <c r="F271" s="28"/>
      <c r="H271" s="28"/>
      <c r="I271" s="28"/>
      <c r="J271" s="28"/>
      <c r="K271" s="9"/>
      <c r="O271" s="9"/>
      <c r="P271" s="77"/>
    </row>
    <row r="272" spans="6:16" x14ac:dyDescent="0.2">
      <c r="F272" s="28"/>
      <c r="H272" s="28"/>
      <c r="I272" s="28"/>
      <c r="J272" s="28"/>
      <c r="K272" s="9"/>
      <c r="O272" s="9"/>
      <c r="P272" s="77"/>
    </row>
    <row r="273" spans="6:16" x14ac:dyDescent="0.2">
      <c r="F273" s="28"/>
      <c r="H273" s="28"/>
      <c r="I273" s="28"/>
      <c r="J273" s="28"/>
      <c r="K273" s="9"/>
      <c r="O273" s="9"/>
      <c r="P273" s="77"/>
    </row>
    <row r="274" spans="6:16" x14ac:dyDescent="0.2">
      <c r="F274" s="28"/>
      <c r="H274" s="28"/>
      <c r="I274" s="28"/>
      <c r="J274" s="28"/>
      <c r="K274" s="9"/>
      <c r="O274" s="9"/>
      <c r="P274" s="77"/>
    </row>
    <row r="275" spans="6:16" x14ac:dyDescent="0.2">
      <c r="F275" s="28"/>
      <c r="H275" s="28"/>
      <c r="I275" s="28"/>
      <c r="J275" s="28"/>
      <c r="K275" s="9"/>
      <c r="O275" s="9"/>
      <c r="P275" s="77"/>
    </row>
    <row r="276" spans="6:16" x14ac:dyDescent="0.2">
      <c r="F276" s="28"/>
      <c r="H276" s="28"/>
      <c r="I276" s="28"/>
      <c r="J276" s="28"/>
      <c r="K276" s="9"/>
      <c r="O276" s="9"/>
      <c r="P276" s="77"/>
    </row>
    <row r="277" spans="6:16" x14ac:dyDescent="0.2">
      <c r="F277" s="28"/>
      <c r="H277" s="28"/>
      <c r="I277" s="28"/>
      <c r="J277" s="28"/>
      <c r="K277" s="9"/>
      <c r="O277" s="9"/>
      <c r="P277" s="77"/>
    </row>
    <row r="278" spans="6:16" x14ac:dyDescent="0.2">
      <c r="F278" s="28"/>
      <c r="H278" s="28"/>
      <c r="I278" s="28"/>
      <c r="J278" s="28"/>
      <c r="K278" s="9"/>
      <c r="O278" s="9"/>
      <c r="P278" s="77"/>
    </row>
    <row r="279" spans="6:16" x14ac:dyDescent="0.2">
      <c r="F279" s="28"/>
      <c r="H279" s="28"/>
      <c r="I279" s="28"/>
      <c r="J279" s="28"/>
      <c r="K279" s="9"/>
      <c r="O279" s="9"/>
      <c r="P279" s="77"/>
    </row>
    <row r="280" spans="6:16" x14ac:dyDescent="0.2">
      <c r="F280" s="28"/>
      <c r="H280" s="28"/>
      <c r="I280" s="28"/>
      <c r="J280" s="28"/>
      <c r="K280" s="9"/>
      <c r="O280" s="9"/>
      <c r="P280" s="77"/>
    </row>
    <row r="281" spans="6:16" x14ac:dyDescent="0.2">
      <c r="F281" s="28"/>
      <c r="H281" s="28"/>
      <c r="I281" s="28"/>
      <c r="J281" s="28"/>
      <c r="K281" s="9"/>
      <c r="O281" s="9"/>
      <c r="P281" s="77"/>
    </row>
    <row r="282" spans="6:16" x14ac:dyDescent="0.2">
      <c r="F282" s="28"/>
      <c r="H282" s="28"/>
      <c r="I282" s="28"/>
      <c r="J282" s="28"/>
      <c r="K282" s="9"/>
      <c r="O282" s="9"/>
      <c r="P282" s="77"/>
    </row>
    <row r="283" spans="6:16" x14ac:dyDescent="0.2">
      <c r="F283" s="28"/>
      <c r="H283" s="28"/>
      <c r="I283" s="28"/>
      <c r="J283" s="28"/>
      <c r="K283" s="9"/>
      <c r="O283" s="9"/>
      <c r="P283" s="77"/>
    </row>
    <row r="284" spans="6:16" x14ac:dyDescent="0.2">
      <c r="F284" s="28"/>
      <c r="H284" s="28"/>
      <c r="I284" s="28"/>
      <c r="J284" s="28"/>
      <c r="K284" s="9"/>
      <c r="O284" s="9"/>
      <c r="P284" s="77"/>
    </row>
    <row r="285" spans="6:16" x14ac:dyDescent="0.2">
      <c r="F285" s="28"/>
      <c r="H285" s="28"/>
      <c r="I285" s="28"/>
      <c r="J285" s="28"/>
      <c r="K285" s="9"/>
      <c r="O285" s="9"/>
      <c r="P285" s="77"/>
    </row>
    <row r="286" spans="6:16" x14ac:dyDescent="0.2">
      <c r="F286" s="28"/>
      <c r="H286" s="28"/>
      <c r="I286" s="28"/>
      <c r="J286" s="28"/>
      <c r="K286" s="9"/>
      <c r="O286" s="9"/>
      <c r="P286" s="77"/>
    </row>
    <row r="287" spans="6:16" x14ac:dyDescent="0.2">
      <c r="F287" s="28"/>
      <c r="H287" s="28"/>
      <c r="I287" s="28"/>
      <c r="J287" s="28"/>
      <c r="K287" s="9"/>
      <c r="O287" s="9"/>
      <c r="P287" s="77"/>
    </row>
    <row r="288" spans="6:16" x14ac:dyDescent="0.2">
      <c r="F288" s="28"/>
      <c r="H288" s="28"/>
      <c r="I288" s="28"/>
      <c r="J288" s="28"/>
      <c r="K288" s="9"/>
      <c r="O288" s="9"/>
      <c r="P288" s="77"/>
    </row>
    <row r="289" spans="6:16" x14ac:dyDescent="0.2">
      <c r="F289" s="28"/>
      <c r="H289" s="28"/>
      <c r="I289" s="28"/>
      <c r="J289" s="28"/>
      <c r="K289" s="9"/>
      <c r="O289" s="9"/>
      <c r="P289" s="77"/>
    </row>
    <row r="290" spans="6:16" x14ac:dyDescent="0.2">
      <c r="F290" s="28"/>
      <c r="H290" s="28"/>
      <c r="I290" s="28"/>
      <c r="J290" s="28"/>
      <c r="K290" s="9"/>
      <c r="O290" s="9"/>
      <c r="P290" s="77"/>
    </row>
    <row r="291" spans="6:16" x14ac:dyDescent="0.2">
      <c r="F291" s="28"/>
      <c r="H291" s="28"/>
      <c r="I291" s="28"/>
      <c r="J291" s="28"/>
      <c r="K291" s="9"/>
      <c r="O291" s="9"/>
      <c r="P291" s="77"/>
    </row>
    <row r="292" spans="6:16" x14ac:dyDescent="0.2">
      <c r="F292" s="28"/>
      <c r="H292" s="28"/>
      <c r="I292" s="28"/>
      <c r="J292" s="28"/>
      <c r="K292" s="9"/>
      <c r="O292" s="9"/>
      <c r="P292" s="77"/>
    </row>
    <row r="293" spans="6:16" x14ac:dyDescent="0.2">
      <c r="F293" s="28"/>
      <c r="H293" s="28"/>
      <c r="I293" s="28"/>
      <c r="J293" s="28"/>
      <c r="K293" s="9"/>
      <c r="O293" s="9"/>
      <c r="P293" s="77"/>
    </row>
    <row r="294" spans="6:16" x14ac:dyDescent="0.2">
      <c r="F294" s="28"/>
      <c r="H294" s="28"/>
      <c r="I294" s="28"/>
      <c r="J294" s="28"/>
      <c r="K294" s="9"/>
      <c r="O294" s="9"/>
      <c r="P294" s="77"/>
    </row>
    <row r="295" spans="6:16" x14ac:dyDescent="0.2">
      <c r="F295" s="28"/>
      <c r="H295" s="28"/>
      <c r="I295" s="28"/>
      <c r="J295" s="28"/>
      <c r="K295" s="9"/>
      <c r="O295" s="9"/>
      <c r="P295" s="77"/>
    </row>
    <row r="296" spans="6:16" x14ac:dyDescent="0.2">
      <c r="F296" s="28"/>
      <c r="H296" s="28"/>
      <c r="I296" s="28"/>
      <c r="J296" s="28"/>
      <c r="K296" s="9"/>
      <c r="O296" s="9"/>
      <c r="P296" s="77"/>
    </row>
    <row r="297" spans="6:16" x14ac:dyDescent="0.2">
      <c r="F297" s="28"/>
      <c r="H297" s="28"/>
      <c r="I297" s="28"/>
      <c r="J297" s="28"/>
      <c r="K297" s="9"/>
      <c r="O297" s="9"/>
      <c r="P297" s="77"/>
    </row>
    <row r="298" spans="6:16" x14ac:dyDescent="0.2">
      <c r="F298" s="28"/>
      <c r="H298" s="28"/>
      <c r="I298" s="28"/>
      <c r="J298" s="28"/>
      <c r="K298" s="9"/>
      <c r="O298" s="9"/>
      <c r="P298" s="77"/>
    </row>
    <row r="299" spans="6:16" x14ac:dyDescent="0.2">
      <c r="F299" s="28"/>
      <c r="H299" s="28"/>
      <c r="I299" s="28"/>
      <c r="J299" s="28"/>
      <c r="K299" s="9"/>
      <c r="O299" s="9"/>
      <c r="P299" s="77"/>
    </row>
    <row r="300" spans="6:16" x14ac:dyDescent="0.2">
      <c r="F300" s="28"/>
      <c r="H300" s="28"/>
      <c r="I300" s="28"/>
      <c r="J300" s="28"/>
      <c r="K300" s="9"/>
      <c r="O300" s="9"/>
      <c r="P300" s="77"/>
    </row>
    <row r="301" spans="6:16" x14ac:dyDescent="0.2">
      <c r="F301" s="28"/>
      <c r="H301" s="28"/>
      <c r="I301" s="28"/>
      <c r="J301" s="28"/>
      <c r="K301" s="9"/>
      <c r="O301" s="9"/>
      <c r="P301" s="77"/>
    </row>
    <row r="302" spans="6:16" x14ac:dyDescent="0.2">
      <c r="F302" s="28"/>
      <c r="H302" s="28"/>
      <c r="I302" s="28"/>
      <c r="J302" s="28"/>
      <c r="K302" s="9"/>
      <c r="O302" s="9"/>
      <c r="P302" s="77"/>
    </row>
    <row r="303" spans="6:16" x14ac:dyDescent="0.2">
      <c r="F303" s="28"/>
      <c r="H303" s="28"/>
      <c r="I303" s="28"/>
      <c r="J303" s="28"/>
      <c r="K303" s="9"/>
      <c r="O303" s="9"/>
      <c r="P303" s="77"/>
    </row>
    <row r="304" spans="6:16" x14ac:dyDescent="0.2">
      <c r="F304" s="28"/>
      <c r="H304" s="28"/>
      <c r="I304" s="28"/>
      <c r="J304" s="28"/>
      <c r="K304" s="9"/>
      <c r="O304" s="9"/>
      <c r="P304" s="77"/>
    </row>
    <row r="305" spans="6:16" x14ac:dyDescent="0.2">
      <c r="F305" s="28"/>
      <c r="H305" s="28"/>
      <c r="I305" s="28"/>
      <c r="J305" s="28"/>
      <c r="K305" s="9"/>
      <c r="O305" s="9"/>
      <c r="P305" s="77"/>
    </row>
    <row r="306" spans="6:16" x14ac:dyDescent="0.2">
      <c r="F306" s="28"/>
      <c r="H306" s="28"/>
      <c r="I306" s="28"/>
      <c r="J306" s="28"/>
      <c r="K306" s="9"/>
      <c r="O306" s="9"/>
      <c r="P306" s="77"/>
    </row>
    <row r="307" spans="6:16" x14ac:dyDescent="0.2">
      <c r="F307" s="28"/>
      <c r="H307" s="28"/>
      <c r="I307" s="28"/>
      <c r="J307" s="28"/>
      <c r="K307" s="9"/>
      <c r="O307" s="9"/>
      <c r="P307" s="77"/>
    </row>
    <row r="308" spans="6:16" x14ac:dyDescent="0.2">
      <c r="F308" s="28"/>
      <c r="H308" s="28"/>
      <c r="I308" s="28"/>
      <c r="J308" s="28"/>
      <c r="K308" s="9"/>
      <c r="O308" s="9"/>
      <c r="P308" s="77"/>
    </row>
    <row r="309" spans="6:16" x14ac:dyDescent="0.2">
      <c r="F309" s="28"/>
      <c r="H309" s="28"/>
      <c r="I309" s="28"/>
      <c r="J309" s="28"/>
      <c r="K309" s="9"/>
      <c r="O309" s="9"/>
      <c r="P309" s="77"/>
    </row>
    <row r="310" spans="6:16" x14ac:dyDescent="0.2">
      <c r="F310" s="28"/>
      <c r="H310" s="28"/>
      <c r="I310" s="28"/>
      <c r="J310" s="28"/>
      <c r="K310" s="9"/>
      <c r="O310" s="9"/>
      <c r="P310" s="77"/>
    </row>
    <row r="311" spans="6:16" x14ac:dyDescent="0.2">
      <c r="F311" s="28"/>
      <c r="H311" s="28"/>
      <c r="I311" s="28"/>
      <c r="J311" s="28"/>
      <c r="K311" s="9"/>
      <c r="O311" s="9"/>
      <c r="P311" s="77"/>
    </row>
    <row r="312" spans="6:16" x14ac:dyDescent="0.2">
      <c r="F312" s="28"/>
      <c r="H312" s="28"/>
      <c r="I312" s="28"/>
      <c r="J312" s="28"/>
      <c r="K312" s="9"/>
      <c r="O312" s="9"/>
      <c r="P312" s="77"/>
    </row>
    <row r="313" spans="6:16" x14ac:dyDescent="0.2">
      <c r="F313" s="28"/>
      <c r="H313" s="28"/>
      <c r="I313" s="28"/>
      <c r="J313" s="28"/>
      <c r="K313" s="9"/>
      <c r="O313" s="9"/>
      <c r="P313" s="77"/>
    </row>
    <row r="314" spans="6:16" x14ac:dyDescent="0.2">
      <c r="F314" s="28"/>
      <c r="H314" s="28"/>
      <c r="I314" s="28"/>
      <c r="J314" s="28"/>
      <c r="K314" s="9"/>
      <c r="O314" s="9"/>
      <c r="P314" s="77"/>
    </row>
    <row r="315" spans="6:16" x14ac:dyDescent="0.2">
      <c r="F315" s="28"/>
      <c r="H315" s="28"/>
      <c r="I315" s="28"/>
      <c r="J315" s="28"/>
      <c r="K315" s="9"/>
      <c r="O315" s="9"/>
      <c r="P315" s="77"/>
    </row>
    <row r="316" spans="6:16" x14ac:dyDescent="0.2">
      <c r="F316" s="28"/>
      <c r="H316" s="28"/>
      <c r="I316" s="28"/>
      <c r="J316" s="28"/>
      <c r="K316" s="9"/>
      <c r="O316" s="9"/>
      <c r="P316" s="77"/>
    </row>
    <row r="317" spans="6:16" x14ac:dyDescent="0.2">
      <c r="F317" s="28"/>
      <c r="H317" s="28"/>
      <c r="I317" s="28"/>
      <c r="J317" s="28"/>
      <c r="K317" s="9"/>
      <c r="O317" s="9"/>
      <c r="P317" s="77"/>
    </row>
    <row r="318" spans="6:16" x14ac:dyDescent="0.2">
      <c r="F318" s="28"/>
      <c r="H318" s="28"/>
      <c r="I318" s="28"/>
      <c r="J318" s="28"/>
      <c r="K318" s="9"/>
      <c r="O318" s="9"/>
      <c r="P318" s="77"/>
    </row>
    <row r="319" spans="6:16" x14ac:dyDescent="0.2">
      <c r="F319" s="28"/>
      <c r="H319" s="28"/>
      <c r="I319" s="28"/>
      <c r="J319" s="28"/>
      <c r="K319" s="9"/>
      <c r="O319" s="9"/>
      <c r="P319" s="77"/>
    </row>
    <row r="320" spans="6:16" x14ac:dyDescent="0.2">
      <c r="F320" s="28"/>
      <c r="H320" s="28"/>
      <c r="I320" s="28"/>
      <c r="J320" s="28"/>
      <c r="K320" s="9"/>
      <c r="O320" s="9"/>
      <c r="P320" s="77"/>
    </row>
    <row r="321" spans="6:16" x14ac:dyDescent="0.2">
      <c r="F321" s="28"/>
      <c r="H321" s="28"/>
      <c r="I321" s="28"/>
      <c r="J321" s="28"/>
      <c r="K321" s="9"/>
      <c r="O321" s="9"/>
      <c r="P321" s="77"/>
    </row>
    <row r="322" spans="6:16" x14ac:dyDescent="0.2">
      <c r="F322" s="28"/>
      <c r="H322" s="28"/>
      <c r="I322" s="28"/>
      <c r="J322" s="28"/>
      <c r="K322" s="9"/>
      <c r="O322" s="9"/>
      <c r="P322" s="77"/>
    </row>
    <row r="323" spans="6:16" x14ac:dyDescent="0.2">
      <c r="F323" s="28"/>
      <c r="H323" s="28"/>
      <c r="I323" s="28"/>
      <c r="J323" s="28"/>
      <c r="K323" s="9"/>
      <c r="O323" s="9"/>
      <c r="P323" s="77"/>
    </row>
    <row r="324" spans="6:16" x14ac:dyDescent="0.2">
      <c r="F324" s="28"/>
      <c r="H324" s="28"/>
      <c r="I324" s="28"/>
      <c r="J324" s="28"/>
      <c r="K324" s="9"/>
      <c r="O324" s="9"/>
      <c r="P324" s="77"/>
    </row>
    <row r="325" spans="6:16" x14ac:dyDescent="0.2">
      <c r="F325" s="28"/>
      <c r="H325" s="28"/>
      <c r="I325" s="28"/>
      <c r="J325" s="28"/>
      <c r="K325" s="9"/>
      <c r="O325" s="9"/>
      <c r="P325" s="77"/>
    </row>
    <row r="326" spans="6:16" x14ac:dyDescent="0.2">
      <c r="F326" s="28"/>
      <c r="H326" s="28"/>
      <c r="I326" s="28"/>
      <c r="J326" s="28"/>
      <c r="K326" s="9"/>
      <c r="O326" s="9"/>
      <c r="P326" s="77"/>
    </row>
    <row r="327" spans="6:16" x14ac:dyDescent="0.2">
      <c r="F327" s="28"/>
      <c r="H327" s="28"/>
      <c r="I327" s="28"/>
      <c r="J327" s="28"/>
      <c r="K327" s="9"/>
      <c r="O327" s="9"/>
      <c r="P327" s="77"/>
    </row>
    <row r="328" spans="6:16" x14ac:dyDescent="0.2">
      <c r="F328" s="28"/>
      <c r="H328" s="28"/>
      <c r="I328" s="28"/>
      <c r="J328" s="28"/>
      <c r="K328" s="9"/>
      <c r="O328" s="9"/>
      <c r="P328" s="77"/>
    </row>
    <row r="329" spans="6:16" x14ac:dyDescent="0.2">
      <c r="F329" s="28"/>
      <c r="H329" s="28"/>
      <c r="I329" s="28"/>
      <c r="J329" s="28"/>
      <c r="K329" s="9"/>
      <c r="O329" s="9"/>
      <c r="P329" s="77"/>
    </row>
    <row r="330" spans="6:16" x14ac:dyDescent="0.2">
      <c r="F330" s="28"/>
      <c r="H330" s="28"/>
      <c r="I330" s="28"/>
      <c r="J330" s="28"/>
      <c r="K330" s="9"/>
      <c r="O330" s="9"/>
      <c r="P330" s="77"/>
    </row>
    <row r="331" spans="6:16" x14ac:dyDescent="0.2">
      <c r="F331" s="28"/>
      <c r="H331" s="28"/>
      <c r="I331" s="28"/>
      <c r="J331" s="28"/>
      <c r="K331" s="9"/>
      <c r="O331" s="9"/>
      <c r="P331" s="77"/>
    </row>
    <row r="332" spans="6:16" x14ac:dyDescent="0.2">
      <c r="F332" s="28"/>
      <c r="H332" s="28"/>
      <c r="I332" s="28"/>
      <c r="J332" s="28"/>
      <c r="K332" s="9"/>
      <c r="O332" s="9"/>
      <c r="P332" s="77"/>
    </row>
    <row r="333" spans="6:16" x14ac:dyDescent="0.2">
      <c r="F333" s="28"/>
      <c r="H333" s="28"/>
      <c r="I333" s="28"/>
      <c r="J333" s="28"/>
      <c r="K333" s="9"/>
      <c r="O333" s="9"/>
      <c r="P333" s="77"/>
    </row>
    <row r="334" spans="6:16" x14ac:dyDescent="0.2">
      <c r="F334" s="28"/>
      <c r="H334" s="28"/>
      <c r="I334" s="28"/>
      <c r="J334" s="28"/>
      <c r="K334" s="9"/>
      <c r="O334" s="9"/>
      <c r="P334" s="77"/>
    </row>
    <row r="335" spans="6:16" x14ac:dyDescent="0.2">
      <c r="F335" s="28"/>
      <c r="H335" s="28"/>
      <c r="I335" s="28"/>
      <c r="J335" s="28"/>
      <c r="K335" s="9"/>
      <c r="O335" s="9"/>
      <c r="P335" s="77"/>
    </row>
    <row r="336" spans="6:16" x14ac:dyDescent="0.2">
      <c r="F336" s="28"/>
      <c r="H336" s="28"/>
      <c r="I336" s="28"/>
      <c r="J336" s="28"/>
      <c r="K336" s="9"/>
      <c r="O336" s="9"/>
      <c r="P336" s="77"/>
    </row>
    <row r="337" spans="6:16" x14ac:dyDescent="0.2">
      <c r="F337" s="28"/>
      <c r="H337" s="28"/>
      <c r="I337" s="28"/>
      <c r="J337" s="28"/>
      <c r="K337" s="9"/>
      <c r="O337" s="9"/>
      <c r="P337" s="77"/>
    </row>
    <row r="338" spans="6:16" x14ac:dyDescent="0.2">
      <c r="F338" s="28"/>
      <c r="H338" s="28"/>
      <c r="I338" s="28"/>
      <c r="J338" s="28"/>
      <c r="K338" s="9"/>
      <c r="O338" s="9"/>
      <c r="P338" s="77"/>
    </row>
    <row r="339" spans="6:16" x14ac:dyDescent="0.2">
      <c r="F339" s="28"/>
      <c r="H339" s="28"/>
      <c r="I339" s="28"/>
      <c r="J339" s="28"/>
      <c r="K339" s="9"/>
      <c r="O339" s="9"/>
      <c r="P339" s="77"/>
    </row>
    <row r="340" spans="6:16" x14ac:dyDescent="0.2">
      <c r="F340" s="28"/>
      <c r="H340" s="28"/>
      <c r="I340" s="28"/>
      <c r="J340" s="28"/>
      <c r="K340" s="9"/>
      <c r="O340" s="9"/>
      <c r="P340" s="77"/>
    </row>
    <row r="341" spans="6:16" x14ac:dyDescent="0.2">
      <c r="F341" s="28"/>
      <c r="H341" s="28"/>
      <c r="I341" s="28"/>
      <c r="J341" s="28"/>
      <c r="K341" s="9"/>
      <c r="O341" s="9"/>
      <c r="P341" s="77"/>
    </row>
    <row r="342" spans="6:16" x14ac:dyDescent="0.2">
      <c r="F342" s="28"/>
      <c r="H342" s="28"/>
      <c r="I342" s="28"/>
      <c r="J342" s="28"/>
      <c r="K342" s="9"/>
      <c r="O342" s="9"/>
      <c r="P342" s="77"/>
    </row>
    <row r="343" spans="6:16" x14ac:dyDescent="0.2">
      <c r="F343" s="28"/>
      <c r="H343" s="28"/>
      <c r="I343" s="28"/>
      <c r="J343" s="28"/>
      <c r="K343" s="9"/>
      <c r="O343" s="9"/>
      <c r="P343" s="77"/>
    </row>
    <row r="344" spans="6:16" x14ac:dyDescent="0.2">
      <c r="F344" s="28"/>
      <c r="H344" s="28"/>
      <c r="I344" s="28"/>
      <c r="J344" s="28"/>
      <c r="K344" s="9"/>
      <c r="O344" s="9"/>
      <c r="P344" s="77"/>
    </row>
    <row r="345" spans="6:16" x14ac:dyDescent="0.2">
      <c r="F345" s="28"/>
      <c r="H345" s="28"/>
      <c r="I345" s="28"/>
      <c r="J345" s="28"/>
      <c r="K345" s="9"/>
      <c r="O345" s="9"/>
      <c r="P345" s="77"/>
    </row>
    <row r="346" spans="6:16" x14ac:dyDescent="0.2">
      <c r="F346" s="28"/>
      <c r="H346" s="28"/>
      <c r="I346" s="28"/>
      <c r="J346" s="28"/>
      <c r="K346" s="9"/>
      <c r="O346" s="9"/>
      <c r="P346" s="77"/>
    </row>
    <row r="347" spans="6:16" x14ac:dyDescent="0.2">
      <c r="F347" s="28"/>
      <c r="H347" s="28"/>
      <c r="I347" s="28"/>
      <c r="J347" s="28"/>
      <c r="K347" s="9"/>
      <c r="O347" s="9"/>
      <c r="P347" s="77"/>
    </row>
    <row r="348" spans="6:16" x14ac:dyDescent="0.2">
      <c r="F348" s="28"/>
      <c r="H348" s="28"/>
      <c r="I348" s="28"/>
      <c r="J348" s="28"/>
      <c r="K348" s="9"/>
      <c r="O348" s="9"/>
      <c r="P348" s="77"/>
    </row>
    <row r="349" spans="6:16" x14ac:dyDescent="0.2">
      <c r="F349" s="28"/>
      <c r="H349" s="28"/>
      <c r="I349" s="28"/>
      <c r="J349" s="28"/>
      <c r="K349" s="9"/>
      <c r="O349" s="9"/>
      <c r="P349" s="77"/>
    </row>
    <row r="350" spans="6:16" x14ac:dyDescent="0.2">
      <c r="F350" s="28"/>
      <c r="H350" s="28"/>
      <c r="I350" s="28"/>
      <c r="J350" s="28"/>
      <c r="K350" s="9"/>
      <c r="O350" s="9"/>
      <c r="P350" s="77"/>
    </row>
    <row r="351" spans="6:16" x14ac:dyDescent="0.2">
      <c r="F351" s="28"/>
      <c r="H351" s="28"/>
      <c r="I351" s="28"/>
      <c r="J351" s="28"/>
      <c r="K351" s="9"/>
      <c r="O351" s="9"/>
      <c r="P351" s="77"/>
    </row>
    <row r="352" spans="6:16" x14ac:dyDescent="0.2">
      <c r="F352" s="28"/>
      <c r="H352" s="28"/>
      <c r="I352" s="28"/>
      <c r="J352" s="28"/>
      <c r="K352" s="9"/>
      <c r="O352" s="9"/>
      <c r="P352" s="77"/>
    </row>
    <row r="353" spans="6:16" x14ac:dyDescent="0.2">
      <c r="F353" s="28"/>
      <c r="H353" s="28"/>
      <c r="I353" s="28"/>
      <c r="J353" s="28"/>
      <c r="K353" s="9"/>
      <c r="O353" s="9"/>
      <c r="P353" s="77"/>
    </row>
    <row r="354" spans="6:16" x14ac:dyDescent="0.2">
      <c r="F354" s="28"/>
      <c r="H354" s="28"/>
      <c r="I354" s="28"/>
      <c r="J354" s="28"/>
      <c r="K354" s="9"/>
      <c r="O354" s="9"/>
      <c r="P354" s="77"/>
    </row>
    <row r="355" spans="6:16" x14ac:dyDescent="0.2">
      <c r="F355" s="28"/>
      <c r="H355" s="28"/>
      <c r="I355" s="28"/>
      <c r="J355" s="28"/>
      <c r="K355" s="9"/>
      <c r="O355" s="9"/>
      <c r="P355" s="77"/>
    </row>
    <row r="356" spans="6:16" x14ac:dyDescent="0.2">
      <c r="F356" s="28"/>
      <c r="H356" s="28"/>
      <c r="I356" s="28"/>
      <c r="J356" s="28"/>
      <c r="K356" s="9"/>
      <c r="O356" s="9"/>
      <c r="P356" s="77"/>
    </row>
    <row r="357" spans="6:16" x14ac:dyDescent="0.2">
      <c r="F357" s="28"/>
      <c r="H357" s="28"/>
      <c r="I357" s="28"/>
      <c r="J357" s="28"/>
      <c r="K357" s="9"/>
      <c r="O357" s="9"/>
      <c r="P357" s="77"/>
    </row>
    <row r="358" spans="6:16" x14ac:dyDescent="0.2">
      <c r="F358" s="28"/>
      <c r="H358" s="28"/>
      <c r="I358" s="28"/>
      <c r="J358" s="28"/>
      <c r="K358" s="9"/>
      <c r="O358" s="9"/>
      <c r="P358" s="77"/>
    </row>
    <row r="359" spans="6:16" x14ac:dyDescent="0.2">
      <c r="F359" s="28"/>
      <c r="H359" s="28"/>
      <c r="I359" s="28"/>
      <c r="J359" s="28"/>
      <c r="K359" s="9"/>
      <c r="O359" s="9"/>
      <c r="P359" s="77"/>
    </row>
    <row r="360" spans="6:16" x14ac:dyDescent="0.2">
      <c r="F360" s="28"/>
      <c r="H360" s="28"/>
      <c r="I360" s="28"/>
      <c r="J360" s="28"/>
      <c r="K360" s="9"/>
      <c r="O360" s="9"/>
      <c r="P360" s="77"/>
    </row>
    <row r="361" spans="6:16" x14ac:dyDescent="0.2">
      <c r="F361" s="28"/>
      <c r="H361" s="28"/>
      <c r="I361" s="28"/>
      <c r="J361" s="28"/>
      <c r="K361" s="9"/>
      <c r="O361" s="9"/>
      <c r="P361" s="77"/>
    </row>
    <row r="362" spans="6:16" x14ac:dyDescent="0.2">
      <c r="F362" s="28"/>
      <c r="H362" s="28"/>
      <c r="I362" s="28"/>
      <c r="J362" s="28"/>
      <c r="K362" s="9"/>
      <c r="O362" s="9"/>
      <c r="P362" s="77"/>
    </row>
    <row r="363" spans="6:16" x14ac:dyDescent="0.2">
      <c r="F363" s="28"/>
      <c r="H363" s="28"/>
      <c r="I363" s="28"/>
      <c r="J363" s="28"/>
      <c r="K363" s="9"/>
      <c r="O363" s="9"/>
      <c r="P363" s="77"/>
    </row>
    <row r="364" spans="6:16" x14ac:dyDescent="0.2">
      <c r="F364" s="28"/>
      <c r="H364" s="28"/>
      <c r="I364" s="28"/>
      <c r="J364" s="28"/>
      <c r="K364" s="9"/>
      <c r="O364" s="9"/>
      <c r="P364" s="77"/>
    </row>
    <row r="365" spans="6:16" x14ac:dyDescent="0.2">
      <c r="F365" s="28"/>
      <c r="H365" s="28"/>
      <c r="I365" s="28"/>
      <c r="J365" s="28"/>
      <c r="K365" s="9"/>
      <c r="O365" s="9"/>
      <c r="P365" s="77"/>
    </row>
    <row r="366" spans="6:16" x14ac:dyDescent="0.2">
      <c r="F366" s="28"/>
      <c r="H366" s="28"/>
      <c r="I366" s="28"/>
      <c r="J366" s="28"/>
      <c r="K366" s="9"/>
      <c r="O366" s="9"/>
      <c r="P366" s="77"/>
    </row>
    <row r="367" spans="6:16" x14ac:dyDescent="0.2">
      <c r="F367" s="28"/>
      <c r="H367" s="28"/>
      <c r="I367" s="28"/>
      <c r="J367" s="28"/>
      <c r="K367" s="9"/>
      <c r="O367" s="9"/>
      <c r="P367" s="77"/>
    </row>
    <row r="368" spans="6:16" x14ac:dyDescent="0.2">
      <c r="F368" s="28"/>
      <c r="H368" s="28"/>
      <c r="I368" s="28"/>
      <c r="J368" s="28"/>
      <c r="K368" s="9"/>
      <c r="O368" s="9"/>
      <c r="P368" s="77"/>
    </row>
    <row r="369" spans="6:16" x14ac:dyDescent="0.2">
      <c r="F369" s="28"/>
      <c r="H369" s="28"/>
      <c r="I369" s="28"/>
      <c r="J369" s="28"/>
      <c r="K369" s="9"/>
      <c r="O369" s="9"/>
      <c r="P369" s="77"/>
    </row>
    <row r="370" spans="6:16" x14ac:dyDescent="0.2">
      <c r="F370" s="28"/>
      <c r="H370" s="28"/>
      <c r="I370" s="28"/>
      <c r="J370" s="28"/>
      <c r="K370" s="9"/>
      <c r="O370" s="9"/>
      <c r="P370" s="77"/>
    </row>
    <row r="371" spans="6:16" x14ac:dyDescent="0.2">
      <c r="F371" s="28"/>
      <c r="H371" s="28"/>
      <c r="I371" s="28"/>
      <c r="J371" s="28"/>
      <c r="K371" s="9"/>
      <c r="O371" s="9"/>
      <c r="P371" s="77"/>
    </row>
    <row r="372" spans="6:16" x14ac:dyDescent="0.2">
      <c r="F372" s="28"/>
      <c r="H372" s="28"/>
      <c r="I372" s="28"/>
      <c r="J372" s="28"/>
      <c r="K372" s="9"/>
      <c r="O372" s="9"/>
      <c r="P372" s="77"/>
    </row>
    <row r="373" spans="6:16" x14ac:dyDescent="0.2">
      <c r="F373" s="28"/>
      <c r="H373" s="28"/>
      <c r="I373" s="28"/>
      <c r="J373" s="28"/>
      <c r="K373" s="9"/>
      <c r="O373" s="9"/>
      <c r="P373" s="77"/>
    </row>
    <row r="374" spans="6:16" x14ac:dyDescent="0.2">
      <c r="F374" s="28"/>
      <c r="H374" s="28"/>
      <c r="I374" s="28"/>
      <c r="J374" s="28"/>
      <c r="K374" s="9"/>
      <c r="O374" s="9"/>
      <c r="P374" s="77"/>
    </row>
    <row r="375" spans="6:16" x14ac:dyDescent="0.2">
      <c r="F375" s="28"/>
      <c r="H375" s="28"/>
      <c r="I375" s="28"/>
      <c r="J375" s="28"/>
      <c r="K375" s="9"/>
      <c r="O375" s="9"/>
      <c r="P375" s="77"/>
    </row>
    <row r="376" spans="6:16" x14ac:dyDescent="0.2">
      <c r="F376" s="28"/>
      <c r="H376" s="28"/>
      <c r="I376" s="28"/>
      <c r="J376" s="28"/>
      <c r="K376" s="9"/>
      <c r="O376" s="9"/>
      <c r="P376" s="77"/>
    </row>
    <row r="377" spans="6:16" x14ac:dyDescent="0.2">
      <c r="F377" s="28"/>
      <c r="H377" s="28"/>
      <c r="I377" s="28"/>
      <c r="J377" s="28"/>
      <c r="K377" s="9"/>
      <c r="O377" s="9"/>
      <c r="P377" s="77"/>
    </row>
    <row r="378" spans="6:16" x14ac:dyDescent="0.2">
      <c r="F378" s="28"/>
      <c r="H378" s="28"/>
      <c r="I378" s="28"/>
      <c r="J378" s="28"/>
      <c r="K378" s="9"/>
      <c r="O378" s="9"/>
      <c r="P378" s="77"/>
    </row>
    <row r="379" spans="6:16" x14ac:dyDescent="0.2">
      <c r="F379" s="28"/>
      <c r="H379" s="28"/>
      <c r="I379" s="28"/>
      <c r="J379" s="28"/>
      <c r="K379" s="9"/>
      <c r="O379" s="9"/>
      <c r="P379" s="77"/>
    </row>
    <row r="380" spans="6:16" x14ac:dyDescent="0.2">
      <c r="F380" s="28"/>
      <c r="H380" s="28"/>
      <c r="I380" s="28"/>
      <c r="J380" s="28"/>
      <c r="K380" s="9"/>
      <c r="O380" s="9"/>
      <c r="P380" s="77"/>
    </row>
    <row r="381" spans="6:16" x14ac:dyDescent="0.2">
      <c r="F381" s="28"/>
      <c r="H381" s="28"/>
      <c r="I381" s="28"/>
      <c r="J381" s="28"/>
      <c r="K381" s="9"/>
      <c r="O381" s="9"/>
      <c r="P381" s="77"/>
    </row>
    <row r="382" spans="6:16" x14ac:dyDescent="0.2">
      <c r="F382" s="28"/>
      <c r="H382" s="28"/>
      <c r="I382" s="28"/>
      <c r="J382" s="28"/>
      <c r="K382" s="9"/>
      <c r="O382" s="9"/>
      <c r="P382" s="77"/>
    </row>
    <row r="383" spans="6:16" x14ac:dyDescent="0.2">
      <c r="F383" s="28"/>
      <c r="H383" s="28"/>
      <c r="I383" s="28"/>
      <c r="J383" s="28"/>
      <c r="K383" s="9"/>
      <c r="O383" s="9"/>
      <c r="P383" s="77"/>
    </row>
    <row r="384" spans="6:16" x14ac:dyDescent="0.2">
      <c r="F384" s="28"/>
      <c r="H384" s="28"/>
      <c r="I384" s="28"/>
      <c r="J384" s="28"/>
      <c r="K384" s="9"/>
      <c r="O384" s="9"/>
      <c r="P384" s="77"/>
    </row>
    <row r="385" spans="6:16" x14ac:dyDescent="0.2">
      <c r="F385" s="28"/>
      <c r="H385" s="28"/>
      <c r="I385" s="28"/>
      <c r="J385" s="28"/>
      <c r="K385" s="9"/>
      <c r="O385" s="9"/>
      <c r="P385" s="77"/>
    </row>
    <row r="386" spans="6:16" x14ac:dyDescent="0.2">
      <c r="F386" s="28"/>
      <c r="H386" s="28"/>
      <c r="I386" s="28"/>
      <c r="J386" s="28"/>
      <c r="K386" s="9"/>
      <c r="O386" s="9"/>
      <c r="P386" s="77"/>
    </row>
    <row r="387" spans="6:16" x14ac:dyDescent="0.2">
      <c r="F387" s="28"/>
      <c r="H387" s="28"/>
      <c r="I387" s="28"/>
      <c r="J387" s="28"/>
      <c r="K387" s="9"/>
      <c r="O387" s="9"/>
      <c r="P387" s="77"/>
    </row>
    <row r="388" spans="6:16" x14ac:dyDescent="0.2">
      <c r="F388" s="28"/>
      <c r="H388" s="28"/>
      <c r="I388" s="28"/>
      <c r="J388" s="28"/>
      <c r="K388" s="9"/>
      <c r="O388" s="9"/>
      <c r="P388" s="77"/>
    </row>
    <row r="389" spans="6:16" x14ac:dyDescent="0.2">
      <c r="F389" s="28"/>
      <c r="H389" s="28"/>
      <c r="I389" s="28"/>
      <c r="J389" s="28"/>
      <c r="K389" s="9"/>
      <c r="O389" s="9"/>
      <c r="P389" s="77"/>
    </row>
    <row r="390" spans="6:16" x14ac:dyDescent="0.2">
      <c r="F390" s="28"/>
      <c r="H390" s="28"/>
      <c r="I390" s="28"/>
      <c r="J390" s="28"/>
      <c r="K390" s="9"/>
      <c r="O390" s="9"/>
      <c r="P390" s="77"/>
    </row>
    <row r="391" spans="6:16" x14ac:dyDescent="0.2">
      <c r="F391" s="28"/>
      <c r="H391" s="28"/>
      <c r="I391" s="28"/>
      <c r="J391" s="28"/>
      <c r="K391" s="9"/>
      <c r="O391" s="9"/>
      <c r="P391" s="77"/>
    </row>
    <row r="392" spans="6:16" x14ac:dyDescent="0.2">
      <c r="F392" s="28"/>
      <c r="H392" s="28"/>
      <c r="I392" s="28"/>
      <c r="J392" s="28"/>
      <c r="K392" s="9"/>
      <c r="O392" s="9"/>
      <c r="P392" s="77"/>
    </row>
    <row r="393" spans="6:16" x14ac:dyDescent="0.2">
      <c r="F393" s="28"/>
      <c r="H393" s="28"/>
      <c r="I393" s="28"/>
      <c r="J393" s="28"/>
      <c r="K393" s="9"/>
      <c r="O393" s="9"/>
      <c r="P393" s="77"/>
    </row>
    <row r="394" spans="6:16" x14ac:dyDescent="0.2">
      <c r="F394" s="28"/>
      <c r="H394" s="28"/>
      <c r="I394" s="28"/>
      <c r="J394" s="28"/>
      <c r="K394" s="9"/>
      <c r="O394" s="9"/>
      <c r="P394" s="77"/>
    </row>
    <row r="395" spans="6:16" x14ac:dyDescent="0.2">
      <c r="F395" s="28"/>
      <c r="H395" s="28"/>
      <c r="I395" s="28"/>
      <c r="J395" s="28"/>
      <c r="K395" s="9"/>
      <c r="O395" s="9"/>
      <c r="P395" s="77"/>
    </row>
    <row r="396" spans="6:16" x14ac:dyDescent="0.2">
      <c r="F396" s="28"/>
      <c r="H396" s="28"/>
      <c r="I396" s="28"/>
      <c r="J396" s="28"/>
      <c r="K396" s="9"/>
      <c r="O396" s="9"/>
      <c r="P396" s="77"/>
    </row>
    <row r="397" spans="6:16" x14ac:dyDescent="0.2">
      <c r="F397" s="28"/>
      <c r="H397" s="28"/>
      <c r="I397" s="28"/>
      <c r="J397" s="28"/>
      <c r="K397" s="9"/>
      <c r="O397" s="9"/>
      <c r="P397" s="77"/>
    </row>
    <row r="398" spans="6:16" x14ac:dyDescent="0.2">
      <c r="F398" s="28"/>
      <c r="H398" s="28"/>
      <c r="I398" s="28"/>
      <c r="J398" s="28"/>
      <c r="K398" s="9"/>
      <c r="O398" s="9"/>
      <c r="P398" s="77"/>
    </row>
    <row r="399" spans="6:16" x14ac:dyDescent="0.2">
      <c r="F399" s="28"/>
      <c r="H399" s="28"/>
      <c r="I399" s="28"/>
      <c r="J399" s="28"/>
      <c r="K399" s="9"/>
      <c r="O399" s="9"/>
      <c r="P399" s="77"/>
    </row>
    <row r="400" spans="6:16" x14ac:dyDescent="0.2">
      <c r="F400" s="28"/>
      <c r="H400" s="28"/>
      <c r="I400" s="28"/>
      <c r="J400" s="28"/>
      <c r="K400" s="9"/>
      <c r="O400" s="9"/>
      <c r="P400" s="77"/>
    </row>
    <row r="401" spans="6:16" x14ac:dyDescent="0.2">
      <c r="F401" s="28"/>
      <c r="H401" s="28"/>
      <c r="I401" s="28"/>
      <c r="J401" s="28"/>
      <c r="K401" s="9"/>
      <c r="O401" s="9"/>
      <c r="P401" s="77"/>
    </row>
    <row r="402" spans="6:16" x14ac:dyDescent="0.2">
      <c r="F402" s="28"/>
      <c r="H402" s="28"/>
      <c r="I402" s="28"/>
      <c r="J402" s="28"/>
      <c r="K402" s="9"/>
      <c r="O402" s="9"/>
      <c r="P402" s="77"/>
    </row>
    <row r="403" spans="6:16" x14ac:dyDescent="0.2">
      <c r="F403" s="28"/>
      <c r="H403" s="28"/>
      <c r="I403" s="28"/>
      <c r="J403" s="28"/>
      <c r="K403" s="9"/>
      <c r="O403" s="9"/>
      <c r="P403" s="77"/>
    </row>
    <row r="404" spans="6:16" x14ac:dyDescent="0.2">
      <c r="F404" s="28"/>
      <c r="H404" s="28"/>
      <c r="I404" s="28"/>
      <c r="J404" s="28"/>
      <c r="K404" s="9"/>
      <c r="O404" s="9"/>
      <c r="P404" s="77"/>
    </row>
    <row r="405" spans="6:16" x14ac:dyDescent="0.2">
      <c r="F405" s="28"/>
      <c r="H405" s="28"/>
      <c r="I405" s="28"/>
      <c r="J405" s="28"/>
      <c r="K405" s="9"/>
      <c r="O405" s="9"/>
      <c r="P405" s="77"/>
    </row>
    <row r="406" spans="6:16" x14ac:dyDescent="0.2">
      <c r="F406" s="28"/>
      <c r="H406" s="28"/>
      <c r="I406" s="28"/>
      <c r="J406" s="28"/>
      <c r="K406" s="9"/>
      <c r="O406" s="9"/>
      <c r="P406" s="77"/>
    </row>
    <row r="407" spans="6:16" x14ac:dyDescent="0.2">
      <c r="F407" s="28"/>
      <c r="H407" s="28"/>
      <c r="I407" s="28"/>
      <c r="J407" s="28"/>
      <c r="K407" s="9"/>
      <c r="O407" s="9"/>
      <c r="P407" s="77"/>
    </row>
    <row r="408" spans="6:16" x14ac:dyDescent="0.2">
      <c r="F408" s="28"/>
      <c r="H408" s="28"/>
      <c r="I408" s="28"/>
      <c r="J408" s="28"/>
      <c r="K408" s="9"/>
      <c r="O408" s="9"/>
      <c r="P408" s="77"/>
    </row>
    <row r="409" spans="6:16" x14ac:dyDescent="0.2">
      <c r="F409" s="28"/>
      <c r="H409" s="28"/>
      <c r="I409" s="28"/>
      <c r="J409" s="28"/>
      <c r="K409" s="9"/>
      <c r="O409" s="9"/>
      <c r="P409" s="77"/>
    </row>
    <row r="410" spans="6:16" x14ac:dyDescent="0.2">
      <c r="F410" s="28"/>
      <c r="H410" s="28"/>
      <c r="I410" s="28"/>
      <c r="J410" s="28"/>
      <c r="K410" s="9"/>
      <c r="O410" s="9"/>
      <c r="P410" s="77"/>
    </row>
    <row r="411" spans="6:16" x14ac:dyDescent="0.2">
      <c r="F411" s="28"/>
      <c r="H411" s="28"/>
      <c r="I411" s="28"/>
      <c r="J411" s="28"/>
      <c r="K411" s="9"/>
      <c r="O411" s="9"/>
      <c r="P411" s="77"/>
    </row>
    <row r="412" spans="6:16" x14ac:dyDescent="0.2">
      <c r="F412" s="28"/>
      <c r="H412" s="28"/>
      <c r="I412" s="28"/>
      <c r="J412" s="28"/>
      <c r="K412" s="9"/>
      <c r="O412" s="9"/>
      <c r="P412" s="77"/>
    </row>
    <row r="413" spans="6:16" x14ac:dyDescent="0.2">
      <c r="F413" s="28"/>
      <c r="H413" s="28"/>
      <c r="I413" s="28"/>
      <c r="J413" s="28"/>
      <c r="K413" s="9"/>
      <c r="O413" s="9"/>
      <c r="P413" s="77"/>
    </row>
    <row r="414" spans="6:16" x14ac:dyDescent="0.2">
      <c r="F414" s="28"/>
      <c r="H414" s="28"/>
      <c r="I414" s="28"/>
      <c r="J414" s="28"/>
      <c r="K414" s="9"/>
      <c r="O414" s="9"/>
      <c r="P414" s="77"/>
    </row>
    <row r="415" spans="6:16" x14ac:dyDescent="0.2">
      <c r="F415" s="28"/>
      <c r="H415" s="28"/>
      <c r="I415" s="28"/>
      <c r="J415" s="28"/>
      <c r="K415" s="9"/>
      <c r="O415" s="9"/>
      <c r="P415" s="77"/>
    </row>
    <row r="416" spans="6:16" x14ac:dyDescent="0.2">
      <c r="F416" s="28"/>
      <c r="H416" s="28"/>
      <c r="I416" s="28"/>
      <c r="J416" s="28"/>
      <c r="K416" s="9"/>
      <c r="O416" s="9"/>
      <c r="P416" s="77"/>
    </row>
    <row r="417" spans="6:16" x14ac:dyDescent="0.2">
      <c r="F417" s="28"/>
      <c r="H417" s="28"/>
      <c r="I417" s="28"/>
      <c r="J417" s="28"/>
      <c r="K417" s="9"/>
      <c r="O417" s="9"/>
      <c r="P417" s="77"/>
    </row>
    <row r="418" spans="6:16" x14ac:dyDescent="0.2">
      <c r="F418" s="28"/>
      <c r="H418" s="28"/>
      <c r="I418" s="28"/>
      <c r="J418" s="28"/>
      <c r="K418" s="9"/>
      <c r="O418" s="9"/>
      <c r="P418" s="77"/>
    </row>
    <row r="419" spans="6:16" x14ac:dyDescent="0.2">
      <c r="F419" s="28"/>
      <c r="H419" s="28"/>
      <c r="I419" s="28"/>
      <c r="J419" s="28"/>
      <c r="K419" s="9"/>
      <c r="O419" s="9"/>
      <c r="P419" s="77"/>
    </row>
    <row r="420" spans="6:16" x14ac:dyDescent="0.2">
      <c r="F420" s="28"/>
      <c r="H420" s="28"/>
      <c r="I420" s="28"/>
      <c r="J420" s="28"/>
      <c r="K420" s="9"/>
      <c r="O420" s="9"/>
      <c r="P420" s="77"/>
    </row>
    <row r="421" spans="6:16" x14ac:dyDescent="0.2">
      <c r="F421" s="28"/>
      <c r="H421" s="28"/>
      <c r="I421" s="28"/>
      <c r="J421" s="28"/>
      <c r="K421" s="9"/>
      <c r="O421" s="9"/>
      <c r="P421" s="77"/>
    </row>
    <row r="422" spans="6:16" x14ac:dyDescent="0.2">
      <c r="F422" s="28"/>
      <c r="H422" s="28"/>
      <c r="I422" s="28"/>
      <c r="J422" s="28"/>
      <c r="K422" s="9"/>
      <c r="O422" s="9"/>
      <c r="P422" s="77"/>
    </row>
    <row r="423" spans="6:16" x14ac:dyDescent="0.2">
      <c r="F423" s="28"/>
      <c r="H423" s="28"/>
      <c r="I423" s="28"/>
      <c r="J423" s="28"/>
      <c r="K423" s="9"/>
      <c r="O423" s="9"/>
      <c r="P423" s="77"/>
    </row>
    <row r="424" spans="6:16" x14ac:dyDescent="0.2">
      <c r="F424" s="28"/>
      <c r="H424" s="28"/>
      <c r="I424" s="28"/>
      <c r="J424" s="28"/>
      <c r="K424" s="9"/>
      <c r="O424" s="9"/>
      <c r="P424" s="77"/>
    </row>
    <row r="425" spans="6:16" x14ac:dyDescent="0.2">
      <c r="F425" s="28"/>
      <c r="H425" s="28"/>
      <c r="I425" s="28"/>
      <c r="J425" s="28"/>
      <c r="K425" s="9"/>
      <c r="O425" s="9"/>
      <c r="P425" s="77"/>
    </row>
    <row r="426" spans="6:16" x14ac:dyDescent="0.2">
      <c r="F426" s="28"/>
      <c r="H426" s="28"/>
      <c r="I426" s="28"/>
      <c r="J426" s="28"/>
      <c r="K426" s="9"/>
      <c r="O426" s="9"/>
      <c r="P426" s="77"/>
    </row>
    <row r="427" spans="6:16" x14ac:dyDescent="0.2">
      <c r="F427" s="28"/>
      <c r="H427" s="28"/>
      <c r="I427" s="28"/>
      <c r="J427" s="28"/>
      <c r="K427" s="9"/>
      <c r="O427" s="9"/>
      <c r="P427" s="77"/>
    </row>
    <row r="428" spans="6:16" x14ac:dyDescent="0.2">
      <c r="F428" s="28"/>
      <c r="H428" s="28"/>
      <c r="I428" s="28"/>
      <c r="J428" s="28"/>
      <c r="K428" s="9"/>
      <c r="O428" s="9"/>
      <c r="P428" s="77"/>
    </row>
    <row r="429" spans="6:16" x14ac:dyDescent="0.2">
      <c r="F429" s="28"/>
      <c r="H429" s="28"/>
      <c r="I429" s="28"/>
      <c r="J429" s="28"/>
      <c r="K429" s="9"/>
      <c r="O429" s="9"/>
      <c r="P429" s="77"/>
    </row>
    <row r="430" spans="6:16" x14ac:dyDescent="0.2">
      <c r="F430" s="28"/>
      <c r="H430" s="28"/>
      <c r="I430" s="28"/>
      <c r="J430" s="28"/>
      <c r="K430" s="9"/>
      <c r="O430" s="9"/>
      <c r="P430" s="77"/>
    </row>
    <row r="431" spans="6:16" x14ac:dyDescent="0.2">
      <c r="F431" s="28"/>
      <c r="H431" s="28"/>
      <c r="I431" s="28"/>
      <c r="J431" s="28"/>
      <c r="K431" s="9"/>
      <c r="O431" s="9"/>
      <c r="P431" s="77"/>
    </row>
    <row r="432" spans="6:16" x14ac:dyDescent="0.2">
      <c r="F432" s="28"/>
      <c r="H432" s="28"/>
      <c r="I432" s="28"/>
      <c r="J432" s="28"/>
      <c r="K432" s="9"/>
      <c r="O432" s="9"/>
      <c r="P432" s="77"/>
    </row>
    <row r="433" spans="6:16" x14ac:dyDescent="0.2">
      <c r="F433" s="28"/>
      <c r="H433" s="28"/>
      <c r="I433" s="28"/>
      <c r="J433" s="28"/>
      <c r="K433" s="9"/>
      <c r="O433" s="9"/>
      <c r="P433" s="77"/>
    </row>
    <row r="434" spans="6:16" x14ac:dyDescent="0.2">
      <c r="F434" s="28"/>
      <c r="H434" s="28"/>
      <c r="I434" s="28"/>
      <c r="J434" s="28"/>
      <c r="K434" s="9"/>
      <c r="O434" s="9"/>
      <c r="P434" s="77"/>
    </row>
    <row r="435" spans="6:16" x14ac:dyDescent="0.2">
      <c r="F435" s="28"/>
      <c r="H435" s="28"/>
      <c r="I435" s="28"/>
      <c r="J435" s="28"/>
      <c r="K435" s="9"/>
      <c r="O435" s="9"/>
      <c r="P435" s="77"/>
    </row>
    <row r="436" spans="6:16" x14ac:dyDescent="0.2">
      <c r="F436" s="28"/>
      <c r="H436" s="28"/>
      <c r="I436" s="28"/>
      <c r="J436" s="28"/>
      <c r="K436" s="9"/>
      <c r="O436" s="9"/>
      <c r="P436" s="77"/>
    </row>
    <row r="437" spans="6:16" x14ac:dyDescent="0.2">
      <c r="F437" s="28"/>
      <c r="H437" s="28"/>
      <c r="I437" s="28"/>
      <c r="J437" s="28"/>
      <c r="K437" s="9"/>
      <c r="O437" s="9"/>
      <c r="P437" s="77"/>
    </row>
    <row r="438" spans="6:16" x14ac:dyDescent="0.2">
      <c r="F438" s="28"/>
      <c r="H438" s="28"/>
      <c r="I438" s="28"/>
      <c r="J438" s="28"/>
      <c r="K438" s="9"/>
      <c r="O438" s="9"/>
      <c r="P438" s="77"/>
    </row>
    <row r="439" spans="6:16" x14ac:dyDescent="0.2">
      <c r="F439" s="28"/>
      <c r="H439" s="28"/>
      <c r="I439" s="28"/>
      <c r="J439" s="28"/>
      <c r="K439" s="9"/>
      <c r="O439" s="9"/>
      <c r="P439" s="77"/>
    </row>
    <row r="440" spans="6:16" x14ac:dyDescent="0.2">
      <c r="F440" s="28"/>
      <c r="H440" s="28"/>
      <c r="I440" s="28"/>
      <c r="J440" s="28"/>
      <c r="K440" s="9"/>
      <c r="O440" s="9"/>
      <c r="P440" s="77"/>
    </row>
    <row r="441" spans="6:16" x14ac:dyDescent="0.2">
      <c r="F441" s="28"/>
      <c r="H441" s="28"/>
      <c r="I441" s="28"/>
      <c r="J441" s="28"/>
      <c r="K441" s="9"/>
      <c r="O441" s="9"/>
      <c r="P441" s="77"/>
    </row>
    <row r="442" spans="6:16" x14ac:dyDescent="0.2">
      <c r="F442" s="28"/>
      <c r="H442" s="28"/>
      <c r="I442" s="28"/>
      <c r="J442" s="28"/>
      <c r="K442" s="9"/>
      <c r="O442" s="9"/>
      <c r="P442" s="77"/>
    </row>
    <row r="443" spans="6:16" x14ac:dyDescent="0.2">
      <c r="F443" s="28"/>
      <c r="H443" s="28"/>
      <c r="I443" s="28"/>
      <c r="J443" s="28"/>
      <c r="K443" s="9"/>
      <c r="O443" s="9"/>
      <c r="P443" s="77"/>
    </row>
    <row r="444" spans="6:16" x14ac:dyDescent="0.2">
      <c r="F444" s="28"/>
      <c r="H444" s="28"/>
      <c r="I444" s="28"/>
      <c r="J444" s="28"/>
      <c r="K444" s="9"/>
      <c r="O444" s="9"/>
      <c r="P444" s="77"/>
    </row>
    <row r="445" spans="6:16" x14ac:dyDescent="0.2">
      <c r="F445" s="28"/>
      <c r="H445" s="28"/>
      <c r="I445" s="28"/>
      <c r="J445" s="28"/>
      <c r="K445" s="9"/>
      <c r="O445" s="9"/>
      <c r="P445" s="77"/>
    </row>
    <row r="446" spans="6:16" x14ac:dyDescent="0.2">
      <c r="F446" s="28"/>
      <c r="H446" s="28"/>
      <c r="I446" s="28"/>
      <c r="J446" s="28"/>
      <c r="K446" s="9"/>
      <c r="O446" s="9"/>
      <c r="P446" s="77"/>
    </row>
    <row r="447" spans="6:16" x14ac:dyDescent="0.2">
      <c r="F447" s="28"/>
      <c r="H447" s="28"/>
      <c r="I447" s="28"/>
      <c r="J447" s="28"/>
      <c r="K447" s="9"/>
      <c r="O447" s="9"/>
      <c r="P447" s="77"/>
    </row>
    <row r="448" spans="6:16" x14ac:dyDescent="0.2">
      <c r="F448" s="28"/>
      <c r="H448" s="28"/>
      <c r="I448" s="28"/>
      <c r="J448" s="28"/>
      <c r="K448" s="9"/>
      <c r="O448" s="9"/>
      <c r="P448" s="77"/>
    </row>
    <row r="449" spans="6:16" x14ac:dyDescent="0.2">
      <c r="F449" s="28"/>
      <c r="H449" s="28"/>
      <c r="I449" s="28"/>
      <c r="J449" s="28"/>
      <c r="K449" s="9"/>
      <c r="O449" s="9"/>
      <c r="P449" s="77"/>
    </row>
    <row r="450" spans="6:16" x14ac:dyDescent="0.2">
      <c r="F450" s="28"/>
      <c r="H450" s="28"/>
      <c r="I450" s="28"/>
      <c r="J450" s="28"/>
      <c r="K450" s="9"/>
      <c r="O450" s="9"/>
      <c r="P450" s="77"/>
    </row>
    <row r="451" spans="6:16" x14ac:dyDescent="0.2">
      <c r="F451" s="28"/>
      <c r="H451" s="28"/>
      <c r="I451" s="28"/>
      <c r="J451" s="28"/>
      <c r="K451" s="9"/>
      <c r="O451" s="9"/>
      <c r="P451" s="77"/>
    </row>
    <row r="452" spans="6:16" x14ac:dyDescent="0.2">
      <c r="F452" s="28"/>
      <c r="H452" s="28"/>
      <c r="I452" s="28"/>
      <c r="J452" s="28"/>
      <c r="K452" s="9"/>
      <c r="O452" s="9"/>
      <c r="P452" s="77"/>
    </row>
    <row r="453" spans="6:16" x14ac:dyDescent="0.2">
      <c r="F453" s="28"/>
      <c r="H453" s="28"/>
      <c r="I453" s="28"/>
      <c r="J453" s="28"/>
      <c r="K453" s="9"/>
      <c r="O453" s="9"/>
      <c r="P453" s="77"/>
    </row>
    <row r="454" spans="6:16" x14ac:dyDescent="0.2">
      <c r="F454" s="28"/>
      <c r="H454" s="28"/>
      <c r="I454" s="28"/>
      <c r="J454" s="28"/>
      <c r="K454" s="9"/>
      <c r="O454" s="9"/>
      <c r="P454" s="77"/>
    </row>
    <row r="455" spans="6:16" x14ac:dyDescent="0.2">
      <c r="F455" s="28"/>
      <c r="H455" s="28"/>
      <c r="I455" s="28"/>
      <c r="J455" s="28"/>
      <c r="K455" s="9"/>
      <c r="O455" s="9"/>
      <c r="P455" s="77"/>
    </row>
    <row r="456" spans="6:16" x14ac:dyDescent="0.2">
      <c r="F456" s="28"/>
      <c r="H456" s="28"/>
      <c r="I456" s="28"/>
      <c r="J456" s="28"/>
      <c r="K456" s="9"/>
      <c r="O456" s="9"/>
      <c r="P456" s="77"/>
    </row>
    <row r="457" spans="6:16" x14ac:dyDescent="0.2">
      <c r="F457" s="28"/>
      <c r="H457" s="28"/>
      <c r="I457" s="28"/>
      <c r="J457" s="28"/>
      <c r="K457" s="9"/>
      <c r="O457" s="9"/>
      <c r="P457" s="77"/>
    </row>
    <row r="458" spans="6:16" x14ac:dyDescent="0.2">
      <c r="F458" s="28"/>
      <c r="H458" s="28"/>
      <c r="I458" s="28"/>
      <c r="J458" s="28"/>
      <c r="K458" s="9"/>
      <c r="O458" s="9"/>
      <c r="P458" s="77"/>
    </row>
    <row r="459" spans="6:16" x14ac:dyDescent="0.2">
      <c r="F459" s="28"/>
      <c r="H459" s="28"/>
      <c r="I459" s="28"/>
      <c r="J459" s="28"/>
      <c r="K459" s="9"/>
      <c r="O459" s="9"/>
      <c r="P459" s="77"/>
    </row>
    <row r="460" spans="6:16" x14ac:dyDescent="0.2">
      <c r="F460" s="28"/>
      <c r="H460" s="28"/>
      <c r="I460" s="28"/>
      <c r="J460" s="28"/>
      <c r="K460" s="9"/>
      <c r="O460" s="9"/>
      <c r="P460" s="77"/>
    </row>
    <row r="461" spans="6:16" x14ac:dyDescent="0.2">
      <c r="F461" s="28"/>
      <c r="H461" s="28"/>
      <c r="I461" s="28"/>
      <c r="J461" s="28"/>
      <c r="K461" s="9"/>
      <c r="O461" s="9"/>
      <c r="P461" s="77"/>
    </row>
    <row r="462" spans="6:16" x14ac:dyDescent="0.2">
      <c r="F462" s="28"/>
      <c r="H462" s="28"/>
      <c r="I462" s="28"/>
      <c r="J462" s="28"/>
      <c r="K462" s="9"/>
      <c r="O462" s="9"/>
      <c r="P462" s="77"/>
    </row>
    <row r="463" spans="6:16" x14ac:dyDescent="0.2">
      <c r="F463" s="28"/>
      <c r="H463" s="28"/>
      <c r="I463" s="28"/>
      <c r="J463" s="28"/>
      <c r="K463" s="9"/>
      <c r="O463" s="9"/>
      <c r="P463" s="77"/>
    </row>
    <row r="464" spans="6:16" x14ac:dyDescent="0.2">
      <c r="F464" s="28"/>
      <c r="H464" s="28"/>
      <c r="I464" s="28"/>
      <c r="J464" s="28"/>
      <c r="K464" s="9"/>
      <c r="O464" s="9"/>
      <c r="P464" s="77"/>
    </row>
    <row r="465" spans="6:16" x14ac:dyDescent="0.2">
      <c r="F465" s="28"/>
      <c r="H465" s="28"/>
      <c r="I465" s="28"/>
      <c r="J465" s="28"/>
      <c r="K465" s="9"/>
      <c r="O465" s="9"/>
      <c r="P465" s="77"/>
    </row>
    <row r="466" spans="6:16" x14ac:dyDescent="0.2">
      <c r="F466" s="28"/>
      <c r="H466" s="28"/>
      <c r="I466" s="28"/>
      <c r="J466" s="28"/>
      <c r="K466" s="9"/>
      <c r="O466" s="9"/>
      <c r="P466" s="77"/>
    </row>
    <row r="467" spans="6:16" x14ac:dyDescent="0.2">
      <c r="F467" s="28"/>
      <c r="H467" s="28"/>
      <c r="I467" s="28"/>
      <c r="J467" s="28"/>
      <c r="K467" s="9"/>
      <c r="O467" s="9"/>
      <c r="P467" s="77"/>
    </row>
    <row r="468" spans="6:16" x14ac:dyDescent="0.2">
      <c r="F468" s="28"/>
      <c r="H468" s="28"/>
      <c r="I468" s="28"/>
      <c r="J468" s="28"/>
      <c r="K468" s="9"/>
      <c r="O468" s="9"/>
      <c r="P468" s="77"/>
    </row>
    <row r="469" spans="6:16" x14ac:dyDescent="0.2">
      <c r="F469" s="28"/>
      <c r="H469" s="28"/>
      <c r="I469" s="28"/>
      <c r="J469" s="28"/>
      <c r="K469" s="9"/>
      <c r="O469" s="9"/>
      <c r="P469" s="77"/>
    </row>
    <row r="470" spans="6:16" x14ac:dyDescent="0.2">
      <c r="F470" s="28"/>
      <c r="H470" s="28"/>
      <c r="I470" s="28"/>
      <c r="J470" s="28"/>
      <c r="K470" s="9"/>
      <c r="O470" s="9"/>
      <c r="P470" s="77"/>
    </row>
    <row r="471" spans="6:16" x14ac:dyDescent="0.2">
      <c r="F471" s="28"/>
      <c r="H471" s="28"/>
      <c r="I471" s="28"/>
      <c r="J471" s="28"/>
      <c r="K471" s="9"/>
      <c r="O471" s="9"/>
      <c r="P471" s="77"/>
    </row>
    <row r="472" spans="6:16" x14ac:dyDescent="0.2">
      <c r="F472" s="28"/>
      <c r="H472" s="28"/>
      <c r="I472" s="28"/>
      <c r="J472" s="28"/>
      <c r="K472" s="9"/>
      <c r="O472" s="9"/>
      <c r="P472" s="77"/>
    </row>
    <row r="473" spans="6:16" x14ac:dyDescent="0.2">
      <c r="F473" s="28"/>
      <c r="H473" s="28"/>
      <c r="I473" s="28"/>
      <c r="J473" s="28"/>
      <c r="K473" s="9"/>
      <c r="O473" s="9"/>
      <c r="P473" s="77"/>
    </row>
    <row r="474" spans="6:16" x14ac:dyDescent="0.2">
      <c r="F474" s="28"/>
      <c r="H474" s="28"/>
      <c r="I474" s="28"/>
      <c r="J474" s="28"/>
      <c r="K474" s="9"/>
      <c r="O474" s="9"/>
      <c r="P474" s="77"/>
    </row>
    <row r="475" spans="6:16" x14ac:dyDescent="0.2">
      <c r="F475" s="28"/>
      <c r="H475" s="28"/>
      <c r="I475" s="28"/>
      <c r="J475" s="28"/>
      <c r="K475" s="9"/>
      <c r="O475" s="9"/>
      <c r="P475" s="77"/>
    </row>
    <row r="476" spans="6:16" x14ac:dyDescent="0.2">
      <c r="F476" s="28"/>
      <c r="H476" s="28"/>
      <c r="I476" s="28"/>
      <c r="J476" s="28"/>
      <c r="K476" s="9"/>
      <c r="O476" s="9"/>
      <c r="P476" s="77"/>
    </row>
    <row r="477" spans="6:16" x14ac:dyDescent="0.2">
      <c r="F477" s="28"/>
      <c r="H477" s="28"/>
      <c r="I477" s="28"/>
      <c r="J477" s="28"/>
      <c r="K477" s="9"/>
      <c r="O477" s="9"/>
      <c r="P477" s="77"/>
    </row>
    <row r="478" spans="6:16" x14ac:dyDescent="0.2">
      <c r="F478" s="28"/>
      <c r="H478" s="28"/>
      <c r="I478" s="28"/>
      <c r="J478" s="28"/>
      <c r="K478" s="9"/>
      <c r="O478" s="9"/>
      <c r="P478" s="77"/>
    </row>
    <row r="479" spans="6:16" x14ac:dyDescent="0.2">
      <c r="F479" s="28"/>
      <c r="H479" s="28"/>
      <c r="I479" s="28"/>
      <c r="J479" s="28"/>
      <c r="K479" s="9"/>
      <c r="O479" s="9"/>
      <c r="P479" s="77"/>
    </row>
    <row r="480" spans="6:16" x14ac:dyDescent="0.2">
      <c r="F480" s="28"/>
      <c r="H480" s="28"/>
      <c r="I480" s="28"/>
      <c r="J480" s="28"/>
      <c r="K480" s="9"/>
      <c r="O480" s="9"/>
      <c r="P480" s="77"/>
    </row>
    <row r="481" spans="6:16" x14ac:dyDescent="0.2">
      <c r="F481" s="28"/>
      <c r="H481" s="28"/>
      <c r="I481" s="28"/>
      <c r="J481" s="28"/>
      <c r="K481" s="9"/>
      <c r="O481" s="9"/>
      <c r="P481" s="77"/>
    </row>
    <row r="482" spans="6:16" x14ac:dyDescent="0.2">
      <c r="F482" s="28"/>
      <c r="H482" s="28"/>
      <c r="I482" s="28"/>
      <c r="J482" s="28"/>
      <c r="K482" s="9"/>
      <c r="O482" s="9"/>
      <c r="P482" s="77"/>
    </row>
    <row r="483" spans="6:16" x14ac:dyDescent="0.2">
      <c r="F483" s="28"/>
      <c r="H483" s="28"/>
      <c r="I483" s="28"/>
      <c r="J483" s="28"/>
      <c r="K483" s="9"/>
      <c r="O483" s="9"/>
      <c r="P483" s="77"/>
    </row>
    <row r="484" spans="6:16" x14ac:dyDescent="0.2">
      <c r="F484" s="28"/>
      <c r="H484" s="28"/>
      <c r="I484" s="28"/>
      <c r="J484" s="28"/>
      <c r="K484" s="9"/>
      <c r="O484" s="9"/>
      <c r="P484" s="77"/>
    </row>
    <row r="485" spans="6:16" x14ac:dyDescent="0.2">
      <c r="F485" s="28"/>
      <c r="H485" s="28"/>
      <c r="I485" s="28"/>
      <c r="J485" s="28"/>
      <c r="K485" s="9"/>
      <c r="O485" s="9"/>
      <c r="P485" s="77"/>
    </row>
    <row r="486" spans="6:16" x14ac:dyDescent="0.2">
      <c r="F486" s="28"/>
      <c r="H486" s="28"/>
      <c r="I486" s="28"/>
      <c r="J486" s="28"/>
      <c r="K486" s="9"/>
      <c r="O486" s="9"/>
      <c r="P486" s="77"/>
    </row>
    <row r="487" spans="6:16" x14ac:dyDescent="0.2">
      <c r="F487" s="28"/>
      <c r="H487" s="28"/>
      <c r="I487" s="28"/>
      <c r="J487" s="28"/>
      <c r="K487" s="9"/>
      <c r="O487" s="9"/>
      <c r="P487" s="77"/>
    </row>
    <row r="488" spans="6:16" x14ac:dyDescent="0.2">
      <c r="F488" s="28"/>
      <c r="H488" s="28"/>
      <c r="I488" s="28"/>
      <c r="J488" s="28"/>
      <c r="K488" s="9"/>
      <c r="O488" s="9"/>
      <c r="P488" s="77"/>
    </row>
    <row r="489" spans="6:16" x14ac:dyDescent="0.2">
      <c r="F489" s="28"/>
      <c r="H489" s="28"/>
      <c r="I489" s="28"/>
      <c r="J489" s="28"/>
      <c r="K489" s="9"/>
      <c r="O489" s="9"/>
      <c r="P489" s="77"/>
    </row>
    <row r="490" spans="6:16" x14ac:dyDescent="0.2">
      <c r="F490" s="28"/>
      <c r="H490" s="28"/>
      <c r="I490" s="28"/>
      <c r="J490" s="28"/>
      <c r="K490" s="9"/>
      <c r="O490" s="9"/>
      <c r="P490" s="77"/>
    </row>
    <row r="491" spans="6:16" x14ac:dyDescent="0.2">
      <c r="F491" s="28"/>
      <c r="H491" s="28"/>
      <c r="I491" s="28"/>
      <c r="J491" s="28"/>
      <c r="K491" s="9"/>
      <c r="O491" s="9"/>
      <c r="P491" s="77"/>
    </row>
    <row r="492" spans="6:16" x14ac:dyDescent="0.2">
      <c r="F492" s="28"/>
      <c r="H492" s="28"/>
      <c r="I492" s="28"/>
      <c r="J492" s="28"/>
      <c r="K492" s="9"/>
      <c r="O492" s="9"/>
      <c r="P492" s="77"/>
    </row>
    <row r="493" spans="6:16" x14ac:dyDescent="0.2">
      <c r="F493" s="28"/>
      <c r="H493" s="28"/>
      <c r="I493" s="28"/>
      <c r="J493" s="28"/>
      <c r="K493" s="9"/>
      <c r="O493" s="9"/>
      <c r="P493" s="77"/>
    </row>
    <row r="494" spans="6:16" x14ac:dyDescent="0.2">
      <c r="F494" s="28"/>
      <c r="H494" s="28"/>
      <c r="I494" s="28"/>
      <c r="J494" s="28"/>
      <c r="K494" s="9"/>
      <c r="O494" s="9"/>
      <c r="P494" s="77"/>
    </row>
    <row r="495" spans="6:16" x14ac:dyDescent="0.2">
      <c r="F495" s="28"/>
      <c r="H495" s="28"/>
      <c r="I495" s="28"/>
      <c r="J495" s="28"/>
      <c r="K495" s="9"/>
      <c r="O495" s="9"/>
      <c r="P495" s="77"/>
    </row>
    <row r="496" spans="6:16" x14ac:dyDescent="0.2">
      <c r="F496" s="28"/>
      <c r="H496" s="28"/>
      <c r="I496" s="28"/>
      <c r="J496" s="28"/>
      <c r="K496" s="9"/>
      <c r="O496" s="9"/>
      <c r="P496" s="77"/>
    </row>
    <row r="497" spans="6:16" x14ac:dyDescent="0.2">
      <c r="F497" s="28"/>
      <c r="H497" s="28"/>
      <c r="I497" s="28"/>
      <c r="J497" s="28"/>
      <c r="K497" s="9"/>
      <c r="O497" s="9"/>
      <c r="P497" s="77"/>
    </row>
    <row r="498" spans="6:16" x14ac:dyDescent="0.2">
      <c r="F498" s="28"/>
      <c r="H498" s="28"/>
      <c r="I498" s="28"/>
      <c r="J498" s="28"/>
      <c r="K498" s="9"/>
      <c r="O498" s="9"/>
      <c r="P498" s="77"/>
    </row>
    <row r="499" spans="6:16" x14ac:dyDescent="0.2">
      <c r="F499" s="28"/>
      <c r="H499" s="28"/>
      <c r="I499" s="28"/>
      <c r="J499" s="28"/>
      <c r="K499" s="9"/>
      <c r="O499" s="9"/>
      <c r="P499" s="77"/>
    </row>
    <row r="500" spans="6:16" x14ac:dyDescent="0.2">
      <c r="F500" s="28"/>
      <c r="H500" s="28"/>
      <c r="I500" s="28"/>
      <c r="J500" s="28"/>
      <c r="K500" s="9"/>
      <c r="O500" s="9"/>
      <c r="P500" s="77"/>
    </row>
    <row r="501" spans="6:16" x14ac:dyDescent="0.2">
      <c r="F501" s="28"/>
      <c r="H501" s="28"/>
      <c r="I501" s="28"/>
      <c r="J501" s="28"/>
      <c r="K501" s="9"/>
      <c r="O501" s="9"/>
      <c r="P501" s="77"/>
    </row>
    <row r="502" spans="6:16" x14ac:dyDescent="0.2">
      <c r="F502" s="28"/>
      <c r="H502" s="28"/>
      <c r="I502" s="28"/>
      <c r="J502" s="28"/>
      <c r="K502" s="9"/>
      <c r="O502" s="9"/>
      <c r="P502" s="77"/>
    </row>
    <row r="503" spans="6:16" x14ac:dyDescent="0.2">
      <c r="F503" s="28"/>
      <c r="H503" s="28"/>
      <c r="I503" s="28"/>
      <c r="J503" s="28"/>
      <c r="K503" s="9"/>
      <c r="O503" s="9"/>
      <c r="P503" s="77"/>
    </row>
    <row r="504" spans="6:16" x14ac:dyDescent="0.2">
      <c r="F504" s="28"/>
      <c r="H504" s="28"/>
      <c r="I504" s="28"/>
      <c r="J504" s="28"/>
      <c r="K504" s="9"/>
      <c r="O504" s="9"/>
      <c r="P504" s="77"/>
    </row>
    <row r="505" spans="6:16" x14ac:dyDescent="0.2">
      <c r="F505" s="28"/>
      <c r="H505" s="28"/>
      <c r="I505" s="28"/>
      <c r="J505" s="28"/>
      <c r="K505" s="9"/>
      <c r="O505" s="9"/>
      <c r="P505" s="77"/>
    </row>
    <row r="506" spans="6:16" x14ac:dyDescent="0.2">
      <c r="F506" s="28"/>
      <c r="H506" s="28"/>
      <c r="I506" s="28"/>
      <c r="J506" s="28"/>
      <c r="K506" s="9"/>
      <c r="O506" s="9"/>
      <c r="P506" s="77"/>
    </row>
    <row r="507" spans="6:16" x14ac:dyDescent="0.2">
      <c r="F507" s="28"/>
      <c r="H507" s="28"/>
      <c r="I507" s="28"/>
      <c r="J507" s="28"/>
      <c r="K507" s="9"/>
      <c r="O507" s="9"/>
      <c r="P507" s="77"/>
    </row>
    <row r="508" spans="6:16" x14ac:dyDescent="0.2">
      <c r="F508" s="28"/>
      <c r="H508" s="28"/>
      <c r="I508" s="28"/>
      <c r="J508" s="28"/>
      <c r="K508" s="9"/>
      <c r="O508" s="9"/>
      <c r="P508" s="77"/>
    </row>
    <row r="509" spans="6:16" x14ac:dyDescent="0.2">
      <c r="F509" s="28"/>
      <c r="H509" s="28"/>
      <c r="I509" s="28"/>
      <c r="J509" s="28"/>
      <c r="K509" s="9"/>
      <c r="O509" s="9"/>
      <c r="P509" s="77"/>
    </row>
    <row r="510" spans="6:16" x14ac:dyDescent="0.2">
      <c r="F510" s="28"/>
      <c r="H510" s="28"/>
      <c r="I510" s="28"/>
      <c r="J510" s="28"/>
      <c r="K510" s="9"/>
      <c r="O510" s="9"/>
      <c r="P510" s="77"/>
    </row>
    <row r="511" spans="6:16" x14ac:dyDescent="0.2">
      <c r="F511" s="28"/>
      <c r="H511" s="28"/>
      <c r="I511" s="28"/>
      <c r="J511" s="28"/>
      <c r="K511" s="9"/>
      <c r="O511" s="9"/>
      <c r="P511" s="77"/>
    </row>
    <row r="512" spans="6:16" x14ac:dyDescent="0.2">
      <c r="F512" s="28"/>
      <c r="H512" s="28"/>
      <c r="I512" s="28"/>
      <c r="J512" s="28"/>
      <c r="K512" s="9"/>
      <c r="O512" s="9"/>
      <c r="P512" s="77"/>
    </row>
    <row r="513" spans="6:16" x14ac:dyDescent="0.2">
      <c r="F513" s="28"/>
      <c r="H513" s="28"/>
      <c r="I513" s="28"/>
      <c r="J513" s="28"/>
      <c r="K513" s="9"/>
      <c r="O513" s="9"/>
      <c r="P513" s="77"/>
    </row>
    <row r="514" spans="6:16" x14ac:dyDescent="0.2">
      <c r="F514" s="28"/>
      <c r="H514" s="28"/>
      <c r="I514" s="28"/>
      <c r="J514" s="28"/>
      <c r="K514" s="9"/>
      <c r="O514" s="9"/>
      <c r="P514" s="77"/>
    </row>
    <row r="515" spans="6:16" x14ac:dyDescent="0.2">
      <c r="F515" s="28"/>
      <c r="H515" s="28"/>
      <c r="I515" s="28"/>
      <c r="J515" s="28"/>
      <c r="K515" s="9"/>
      <c r="O515" s="9"/>
      <c r="P515" s="77"/>
    </row>
    <row r="516" spans="6:16" x14ac:dyDescent="0.2">
      <c r="F516" s="28"/>
      <c r="H516" s="28"/>
      <c r="I516" s="28"/>
      <c r="J516" s="28"/>
      <c r="K516" s="9"/>
      <c r="O516" s="9"/>
      <c r="P516" s="77"/>
    </row>
    <row r="517" spans="6:16" x14ac:dyDescent="0.2">
      <c r="F517" s="28"/>
      <c r="H517" s="28"/>
      <c r="I517" s="28"/>
      <c r="J517" s="28"/>
      <c r="K517" s="9"/>
      <c r="O517" s="9"/>
      <c r="P517" s="77"/>
    </row>
    <row r="518" spans="6:16" x14ac:dyDescent="0.2">
      <c r="F518" s="28"/>
      <c r="H518" s="28"/>
      <c r="I518" s="28"/>
      <c r="J518" s="28"/>
      <c r="K518" s="9"/>
      <c r="O518" s="9"/>
      <c r="P518" s="77"/>
    </row>
    <row r="519" spans="6:16" x14ac:dyDescent="0.2">
      <c r="F519" s="28"/>
      <c r="H519" s="28"/>
      <c r="I519" s="28"/>
      <c r="J519" s="28"/>
      <c r="K519" s="9"/>
      <c r="O519" s="9"/>
      <c r="P519" s="77"/>
    </row>
    <row r="520" spans="6:16" x14ac:dyDescent="0.2">
      <c r="F520" s="28"/>
      <c r="H520" s="28"/>
      <c r="I520" s="28"/>
      <c r="J520" s="28"/>
      <c r="K520" s="9"/>
      <c r="O520" s="9"/>
      <c r="P520" s="77"/>
    </row>
    <row r="521" spans="6:16" x14ac:dyDescent="0.2">
      <c r="F521" s="28"/>
      <c r="H521" s="28"/>
      <c r="I521" s="28"/>
      <c r="J521" s="28"/>
      <c r="K521" s="9"/>
      <c r="O521" s="9"/>
      <c r="P521" s="77"/>
    </row>
    <row r="522" spans="6:16" x14ac:dyDescent="0.2">
      <c r="F522" s="28"/>
      <c r="H522" s="28"/>
      <c r="I522" s="28"/>
      <c r="J522" s="28"/>
      <c r="K522" s="9"/>
      <c r="O522" s="9"/>
      <c r="P522" s="77"/>
    </row>
    <row r="523" spans="6:16" x14ac:dyDescent="0.2">
      <c r="F523" s="28"/>
      <c r="H523" s="28"/>
      <c r="I523" s="28"/>
      <c r="J523" s="28"/>
      <c r="K523" s="9"/>
      <c r="O523" s="9"/>
      <c r="P523" s="77"/>
    </row>
    <row r="524" spans="6:16" x14ac:dyDescent="0.2">
      <c r="F524" s="28"/>
      <c r="H524" s="28"/>
      <c r="I524" s="28"/>
      <c r="J524" s="28"/>
      <c r="K524" s="9"/>
      <c r="O524" s="9"/>
      <c r="P524" s="77"/>
    </row>
    <row r="525" spans="6:16" x14ac:dyDescent="0.2">
      <c r="F525" s="28"/>
      <c r="H525" s="28"/>
      <c r="I525" s="28"/>
      <c r="J525" s="28"/>
      <c r="K525" s="9"/>
      <c r="O525" s="9"/>
      <c r="P525" s="77"/>
    </row>
    <row r="526" spans="6:16" x14ac:dyDescent="0.2">
      <c r="F526" s="28"/>
      <c r="H526" s="28"/>
      <c r="I526" s="28"/>
      <c r="J526" s="28"/>
      <c r="K526" s="9"/>
      <c r="O526" s="9"/>
      <c r="P526" s="77"/>
    </row>
    <row r="527" spans="6:16" x14ac:dyDescent="0.2">
      <c r="F527" s="28"/>
      <c r="H527" s="28"/>
      <c r="I527" s="28"/>
      <c r="J527" s="28"/>
      <c r="K527" s="9"/>
      <c r="O527" s="9"/>
      <c r="P527" s="77"/>
    </row>
    <row r="528" spans="6:16" x14ac:dyDescent="0.2">
      <c r="F528" s="28"/>
      <c r="H528" s="28"/>
      <c r="I528" s="28"/>
      <c r="J528" s="28"/>
      <c r="K528" s="9"/>
      <c r="O528" s="9"/>
      <c r="P528" s="77"/>
    </row>
    <row r="529" spans="6:16" x14ac:dyDescent="0.2">
      <c r="F529" s="28"/>
      <c r="H529" s="28"/>
      <c r="I529" s="28"/>
      <c r="J529" s="28"/>
      <c r="K529" s="9"/>
      <c r="O529" s="9"/>
      <c r="P529" s="77"/>
    </row>
    <row r="530" spans="6:16" x14ac:dyDescent="0.2">
      <c r="F530" s="28"/>
      <c r="H530" s="28"/>
      <c r="I530" s="28"/>
      <c r="J530" s="28"/>
      <c r="K530" s="9"/>
      <c r="O530" s="9"/>
      <c r="P530" s="77"/>
    </row>
    <row r="531" spans="6:16" x14ac:dyDescent="0.2">
      <c r="F531" s="28"/>
      <c r="H531" s="28"/>
      <c r="I531" s="28"/>
      <c r="J531" s="28"/>
      <c r="K531" s="9"/>
      <c r="O531" s="9"/>
      <c r="P531" s="77"/>
    </row>
    <row r="532" spans="6:16" x14ac:dyDescent="0.2">
      <c r="F532" s="28"/>
      <c r="H532" s="28"/>
      <c r="I532" s="28"/>
      <c r="J532" s="28"/>
      <c r="K532" s="9"/>
      <c r="O532" s="9"/>
      <c r="P532" s="77"/>
    </row>
    <row r="533" spans="6:16" x14ac:dyDescent="0.2">
      <c r="F533" s="28"/>
      <c r="H533" s="28"/>
      <c r="I533" s="28"/>
      <c r="J533" s="28"/>
      <c r="K533" s="9"/>
      <c r="O533" s="9"/>
      <c r="P533" s="77"/>
    </row>
    <row r="534" spans="6:16" x14ac:dyDescent="0.2">
      <c r="F534" s="28"/>
      <c r="H534" s="28"/>
      <c r="I534" s="28"/>
      <c r="J534" s="28"/>
      <c r="K534" s="9"/>
      <c r="O534" s="9"/>
      <c r="P534" s="77"/>
    </row>
    <row r="535" spans="6:16" x14ac:dyDescent="0.2">
      <c r="F535" s="28"/>
      <c r="H535" s="28"/>
      <c r="I535" s="28"/>
      <c r="J535" s="28"/>
      <c r="K535" s="9"/>
      <c r="O535" s="9"/>
      <c r="P535" s="77"/>
    </row>
    <row r="536" spans="6:16" x14ac:dyDescent="0.2">
      <c r="F536" s="28"/>
      <c r="H536" s="28"/>
      <c r="I536" s="28"/>
      <c r="J536" s="28"/>
      <c r="K536" s="9"/>
      <c r="O536" s="9"/>
      <c r="P536" s="77"/>
    </row>
    <row r="537" spans="6:16" x14ac:dyDescent="0.2">
      <c r="F537" s="28"/>
      <c r="H537" s="28"/>
      <c r="I537" s="28"/>
      <c r="J537" s="28"/>
      <c r="K537" s="9"/>
      <c r="O537" s="9"/>
      <c r="P537" s="77"/>
    </row>
    <row r="538" spans="6:16" x14ac:dyDescent="0.2">
      <c r="F538" s="28"/>
      <c r="H538" s="28"/>
      <c r="I538" s="28"/>
      <c r="J538" s="28"/>
      <c r="K538" s="9"/>
      <c r="O538" s="9"/>
      <c r="P538" s="77"/>
    </row>
    <row r="539" spans="6:16" x14ac:dyDescent="0.2">
      <c r="F539" s="28"/>
      <c r="H539" s="28"/>
      <c r="I539" s="28"/>
      <c r="J539" s="28"/>
      <c r="K539" s="9"/>
      <c r="O539" s="9"/>
      <c r="P539" s="77"/>
    </row>
    <row r="540" spans="6:16" x14ac:dyDescent="0.2">
      <c r="F540" s="28"/>
      <c r="H540" s="28"/>
      <c r="I540" s="28"/>
      <c r="J540" s="28"/>
      <c r="K540" s="9"/>
      <c r="O540" s="9"/>
      <c r="P540" s="77"/>
    </row>
    <row r="541" spans="6:16" x14ac:dyDescent="0.2">
      <c r="F541" s="28"/>
      <c r="H541" s="28"/>
      <c r="I541" s="28"/>
      <c r="J541" s="28"/>
      <c r="K541" s="9"/>
      <c r="O541" s="9"/>
      <c r="P541" s="77"/>
    </row>
    <row r="542" spans="6:16" x14ac:dyDescent="0.2">
      <c r="F542" s="28"/>
      <c r="H542" s="28"/>
      <c r="I542" s="28"/>
      <c r="J542" s="28"/>
      <c r="K542" s="9"/>
      <c r="O542" s="9"/>
      <c r="P542" s="77"/>
    </row>
    <row r="543" spans="6:16" x14ac:dyDescent="0.2">
      <c r="F543" s="28"/>
      <c r="H543" s="28"/>
      <c r="I543" s="28"/>
      <c r="J543" s="28"/>
      <c r="K543" s="9"/>
      <c r="O543" s="9"/>
      <c r="P543" s="77"/>
    </row>
    <row r="544" spans="6:16" x14ac:dyDescent="0.2">
      <c r="F544" s="28"/>
      <c r="H544" s="28"/>
      <c r="I544" s="28"/>
      <c r="J544" s="28"/>
      <c r="K544" s="9"/>
      <c r="O544" s="9"/>
      <c r="P544" s="77"/>
    </row>
    <row r="545" spans="6:16" x14ac:dyDescent="0.2">
      <c r="F545" s="28"/>
      <c r="H545" s="28"/>
      <c r="I545" s="28"/>
      <c r="J545" s="28"/>
      <c r="K545" s="9"/>
      <c r="O545" s="9"/>
      <c r="P545" s="77"/>
    </row>
    <row r="546" spans="6:16" x14ac:dyDescent="0.2">
      <c r="F546" s="28"/>
      <c r="H546" s="28"/>
      <c r="I546" s="28"/>
      <c r="J546" s="28"/>
      <c r="K546" s="9"/>
      <c r="O546" s="9"/>
      <c r="P546" s="77"/>
    </row>
    <row r="547" spans="6:16" x14ac:dyDescent="0.2">
      <c r="F547" s="28"/>
      <c r="H547" s="28"/>
      <c r="I547" s="28"/>
      <c r="J547" s="28"/>
      <c r="K547" s="9"/>
      <c r="O547" s="9"/>
      <c r="P547" s="77"/>
    </row>
    <row r="548" spans="6:16" x14ac:dyDescent="0.2">
      <c r="F548" s="28"/>
      <c r="H548" s="28"/>
      <c r="I548" s="28"/>
      <c r="J548" s="28"/>
      <c r="K548" s="9"/>
      <c r="O548" s="9"/>
      <c r="P548" s="77"/>
    </row>
    <row r="549" spans="6:16" x14ac:dyDescent="0.2">
      <c r="F549" s="28"/>
      <c r="H549" s="28"/>
      <c r="I549" s="28"/>
      <c r="J549" s="28"/>
      <c r="K549" s="9"/>
      <c r="O549" s="9"/>
      <c r="P549" s="77"/>
    </row>
    <row r="550" spans="6:16" x14ac:dyDescent="0.2">
      <c r="F550" s="28"/>
      <c r="H550" s="28"/>
      <c r="I550" s="28"/>
      <c r="J550" s="28"/>
      <c r="K550" s="9"/>
      <c r="O550" s="9"/>
      <c r="P550" s="77"/>
    </row>
    <row r="551" spans="6:16" x14ac:dyDescent="0.2">
      <c r="F551" s="28"/>
      <c r="H551" s="28"/>
      <c r="I551" s="28"/>
      <c r="J551" s="28"/>
      <c r="K551" s="9"/>
      <c r="O551" s="9"/>
      <c r="P551" s="77"/>
    </row>
    <row r="552" spans="6:16" x14ac:dyDescent="0.2">
      <c r="F552" s="28"/>
      <c r="H552" s="28"/>
      <c r="I552" s="28"/>
      <c r="J552" s="28"/>
      <c r="K552" s="9"/>
      <c r="O552" s="9"/>
      <c r="P552" s="77"/>
    </row>
    <row r="553" spans="6:16" x14ac:dyDescent="0.2">
      <c r="F553" s="28"/>
      <c r="H553" s="28"/>
      <c r="I553" s="28"/>
      <c r="J553" s="28"/>
      <c r="K553" s="9"/>
      <c r="O553" s="9"/>
      <c r="P553" s="77"/>
    </row>
    <row r="554" spans="6:16" x14ac:dyDescent="0.2">
      <c r="F554" s="28"/>
      <c r="H554" s="28"/>
      <c r="I554" s="28"/>
      <c r="J554" s="28"/>
      <c r="K554" s="9"/>
      <c r="O554" s="9"/>
      <c r="P554" s="77"/>
    </row>
    <row r="555" spans="6:16" x14ac:dyDescent="0.2">
      <c r="F555" s="28"/>
      <c r="H555" s="28"/>
      <c r="I555" s="28"/>
      <c r="J555" s="28"/>
      <c r="K555" s="9"/>
      <c r="O555" s="9"/>
      <c r="P555" s="77"/>
    </row>
    <row r="556" spans="6:16" x14ac:dyDescent="0.2">
      <c r="F556" s="28"/>
      <c r="H556" s="28"/>
      <c r="I556" s="28"/>
      <c r="J556" s="28"/>
      <c r="K556" s="9"/>
      <c r="O556" s="9"/>
      <c r="P556" s="77"/>
    </row>
    <row r="557" spans="6:16" x14ac:dyDescent="0.2">
      <c r="F557" s="28"/>
      <c r="H557" s="28"/>
      <c r="I557" s="28"/>
      <c r="J557" s="28"/>
      <c r="K557" s="9"/>
      <c r="O557" s="9"/>
      <c r="P557" s="77"/>
    </row>
    <row r="558" spans="6:16" x14ac:dyDescent="0.2">
      <c r="F558" s="28"/>
      <c r="H558" s="28"/>
      <c r="I558" s="28"/>
      <c r="J558" s="28"/>
      <c r="K558" s="9"/>
      <c r="O558" s="9"/>
      <c r="P558" s="77"/>
    </row>
    <row r="559" spans="6:16" x14ac:dyDescent="0.2">
      <c r="F559" s="28"/>
      <c r="H559" s="28"/>
      <c r="I559" s="28"/>
      <c r="J559" s="28"/>
      <c r="K559" s="9"/>
      <c r="O559" s="9"/>
      <c r="P559" s="77"/>
    </row>
    <row r="560" spans="6:16" x14ac:dyDescent="0.2">
      <c r="F560" s="28"/>
      <c r="H560" s="28"/>
      <c r="I560" s="28"/>
      <c r="J560" s="28"/>
      <c r="K560" s="9"/>
      <c r="O560" s="9"/>
      <c r="P560" s="77"/>
    </row>
    <row r="561" spans="6:16" x14ac:dyDescent="0.2">
      <c r="F561" s="28"/>
      <c r="H561" s="28"/>
      <c r="I561" s="28"/>
      <c r="J561" s="28"/>
      <c r="K561" s="9"/>
      <c r="O561" s="9"/>
      <c r="P561" s="77"/>
    </row>
    <row r="562" spans="6:16" x14ac:dyDescent="0.2">
      <c r="F562" s="28"/>
      <c r="H562" s="28"/>
      <c r="I562" s="28"/>
      <c r="J562" s="28"/>
      <c r="K562" s="9"/>
      <c r="O562" s="9"/>
      <c r="P562" s="77"/>
    </row>
    <row r="563" spans="6:16" x14ac:dyDescent="0.2">
      <c r="F563" s="28"/>
      <c r="H563" s="28"/>
      <c r="I563" s="28"/>
      <c r="J563" s="28"/>
      <c r="K563" s="9"/>
      <c r="O563" s="9"/>
      <c r="P563" s="77"/>
    </row>
    <row r="564" spans="6:16" x14ac:dyDescent="0.2">
      <c r="F564" s="28"/>
      <c r="H564" s="28"/>
      <c r="I564" s="28"/>
      <c r="J564" s="28"/>
      <c r="K564" s="9"/>
      <c r="O564" s="9"/>
      <c r="P564" s="77"/>
    </row>
    <row r="565" spans="6:16" x14ac:dyDescent="0.2">
      <c r="F565" s="28"/>
      <c r="H565" s="28"/>
      <c r="I565" s="28"/>
      <c r="J565" s="28"/>
      <c r="K565" s="9"/>
      <c r="O565" s="9"/>
      <c r="P565" s="77"/>
    </row>
    <row r="566" spans="6:16" x14ac:dyDescent="0.2">
      <c r="F566" s="28"/>
      <c r="H566" s="28"/>
      <c r="I566" s="28"/>
      <c r="J566" s="28"/>
      <c r="K566" s="9"/>
      <c r="O566" s="9"/>
      <c r="P566" s="77"/>
    </row>
    <row r="567" spans="6:16" x14ac:dyDescent="0.2">
      <c r="F567" s="28"/>
      <c r="H567" s="28"/>
      <c r="I567" s="28"/>
      <c r="J567" s="28"/>
      <c r="K567" s="9"/>
      <c r="O567" s="9"/>
      <c r="P567" s="77"/>
    </row>
    <row r="568" spans="6:16" x14ac:dyDescent="0.2">
      <c r="F568" s="28"/>
      <c r="H568" s="28"/>
      <c r="I568" s="28"/>
      <c r="J568" s="28"/>
      <c r="K568" s="9"/>
      <c r="O568" s="9"/>
      <c r="P568" s="77"/>
    </row>
    <row r="569" spans="6:16" x14ac:dyDescent="0.2">
      <c r="F569" s="28"/>
      <c r="H569" s="28"/>
      <c r="I569" s="28"/>
      <c r="J569" s="28"/>
      <c r="K569" s="9"/>
      <c r="O569" s="9"/>
      <c r="P569" s="77"/>
    </row>
    <row r="570" spans="6:16" x14ac:dyDescent="0.2">
      <c r="F570" s="28"/>
      <c r="H570" s="28"/>
      <c r="I570" s="28"/>
      <c r="J570" s="28"/>
      <c r="K570" s="9"/>
      <c r="O570" s="9"/>
      <c r="P570" s="77"/>
    </row>
    <row r="571" spans="6:16" x14ac:dyDescent="0.2">
      <c r="F571" s="28"/>
      <c r="H571" s="28"/>
      <c r="I571" s="28"/>
      <c r="J571" s="28"/>
      <c r="K571" s="9"/>
      <c r="O571" s="9"/>
      <c r="P571" s="77"/>
    </row>
    <row r="572" spans="6:16" x14ac:dyDescent="0.2">
      <c r="F572" s="28"/>
      <c r="H572" s="28"/>
      <c r="I572" s="28"/>
      <c r="J572" s="28"/>
      <c r="K572" s="9"/>
      <c r="O572" s="9"/>
      <c r="P572" s="77"/>
    </row>
    <row r="573" spans="6:16" x14ac:dyDescent="0.2">
      <c r="F573" s="28"/>
      <c r="H573" s="28"/>
      <c r="I573" s="28"/>
      <c r="J573" s="28"/>
      <c r="K573" s="9"/>
      <c r="O573" s="9"/>
      <c r="P573" s="77"/>
    </row>
    <row r="574" spans="6:16" x14ac:dyDescent="0.2">
      <c r="F574" s="28"/>
      <c r="H574" s="28"/>
      <c r="I574" s="28"/>
      <c r="J574" s="28"/>
      <c r="K574" s="9"/>
      <c r="O574" s="9"/>
      <c r="P574" s="77"/>
    </row>
    <row r="575" spans="6:16" x14ac:dyDescent="0.2">
      <c r="F575" s="28"/>
      <c r="H575" s="28"/>
      <c r="I575" s="28"/>
      <c r="J575" s="28"/>
      <c r="K575" s="9"/>
      <c r="O575" s="9"/>
      <c r="P575" s="77"/>
    </row>
    <row r="576" spans="6:16" x14ac:dyDescent="0.2">
      <c r="F576" s="28"/>
      <c r="H576" s="28"/>
      <c r="I576" s="28"/>
      <c r="J576" s="28"/>
      <c r="K576" s="9"/>
      <c r="O576" s="9"/>
      <c r="P576" s="77"/>
    </row>
    <row r="577" spans="6:16" x14ac:dyDescent="0.2">
      <c r="F577" s="28"/>
      <c r="H577" s="28"/>
      <c r="I577" s="28"/>
      <c r="J577" s="28"/>
      <c r="K577" s="9"/>
      <c r="O577" s="9"/>
      <c r="P577" s="77"/>
    </row>
    <row r="578" spans="6:16" x14ac:dyDescent="0.2">
      <c r="F578" s="28"/>
      <c r="H578" s="28"/>
      <c r="I578" s="28"/>
      <c r="J578" s="28"/>
      <c r="K578" s="9"/>
      <c r="O578" s="9"/>
      <c r="P578" s="77"/>
    </row>
    <row r="579" spans="6:16" x14ac:dyDescent="0.2">
      <c r="F579" s="28"/>
      <c r="H579" s="28"/>
      <c r="I579" s="28"/>
      <c r="J579" s="28"/>
      <c r="K579" s="9"/>
      <c r="O579" s="9"/>
      <c r="P579" s="77"/>
    </row>
    <row r="580" spans="6:16" x14ac:dyDescent="0.2">
      <c r="F580" s="28"/>
      <c r="H580" s="28"/>
      <c r="I580" s="28"/>
      <c r="J580" s="28"/>
      <c r="K580" s="9"/>
      <c r="O580" s="9"/>
      <c r="P580" s="77"/>
    </row>
    <row r="581" spans="6:16" x14ac:dyDescent="0.2">
      <c r="F581" s="28"/>
      <c r="H581" s="28"/>
      <c r="I581" s="28"/>
      <c r="J581" s="28"/>
      <c r="K581" s="9"/>
      <c r="O581" s="9"/>
      <c r="P581" s="77"/>
    </row>
    <row r="582" spans="6:16" x14ac:dyDescent="0.2">
      <c r="F582" s="28"/>
      <c r="H582" s="28"/>
      <c r="I582" s="28"/>
      <c r="J582" s="28"/>
      <c r="K582" s="9"/>
      <c r="O582" s="9"/>
      <c r="P582" s="77"/>
    </row>
    <row r="583" spans="6:16" x14ac:dyDescent="0.2">
      <c r="F583" s="28"/>
      <c r="H583" s="28"/>
      <c r="I583" s="28"/>
      <c r="J583" s="28"/>
      <c r="K583" s="9"/>
      <c r="O583" s="9"/>
      <c r="P583" s="77"/>
    </row>
    <row r="584" spans="6:16" x14ac:dyDescent="0.2">
      <c r="F584" s="28"/>
      <c r="H584" s="28"/>
      <c r="I584" s="28"/>
      <c r="J584" s="28"/>
      <c r="K584" s="9"/>
      <c r="O584" s="9"/>
      <c r="P584" s="77"/>
    </row>
    <row r="585" spans="6:16" x14ac:dyDescent="0.2">
      <c r="F585" s="28"/>
      <c r="H585" s="28"/>
      <c r="I585" s="28"/>
      <c r="J585" s="28"/>
      <c r="K585" s="9"/>
      <c r="O585" s="9"/>
      <c r="P585" s="77"/>
    </row>
    <row r="586" spans="6:16" x14ac:dyDescent="0.2">
      <c r="F586" s="28"/>
      <c r="H586" s="28"/>
      <c r="I586" s="28"/>
      <c r="J586" s="28"/>
      <c r="K586" s="9"/>
      <c r="O586" s="9"/>
      <c r="P586" s="77"/>
    </row>
    <row r="587" spans="6:16" x14ac:dyDescent="0.2">
      <c r="F587" s="28"/>
      <c r="H587" s="28"/>
      <c r="I587" s="28"/>
      <c r="J587" s="28"/>
      <c r="K587" s="9"/>
      <c r="O587" s="9"/>
      <c r="P587" s="77"/>
    </row>
    <row r="588" spans="6:16" x14ac:dyDescent="0.2">
      <c r="F588" s="28"/>
      <c r="H588" s="28"/>
      <c r="I588" s="28"/>
      <c r="J588" s="28"/>
      <c r="K588" s="9"/>
      <c r="O588" s="9"/>
      <c r="P588" s="77"/>
    </row>
    <row r="589" spans="6:16" x14ac:dyDescent="0.2">
      <c r="F589" s="28"/>
      <c r="H589" s="28"/>
      <c r="I589" s="28"/>
      <c r="J589" s="28"/>
      <c r="K589" s="9"/>
      <c r="O589" s="9"/>
      <c r="P589" s="77"/>
    </row>
    <row r="590" spans="6:16" x14ac:dyDescent="0.2">
      <c r="F590" s="28"/>
      <c r="H590" s="28"/>
      <c r="I590" s="28"/>
      <c r="J590" s="28"/>
      <c r="K590" s="9"/>
      <c r="O590" s="9"/>
      <c r="P590" s="77"/>
    </row>
    <row r="591" spans="6:16" x14ac:dyDescent="0.2">
      <c r="F591" s="28"/>
      <c r="H591" s="28"/>
      <c r="I591" s="28"/>
      <c r="J591" s="28"/>
      <c r="K591" s="9"/>
      <c r="O591" s="9"/>
      <c r="P591" s="77"/>
    </row>
    <row r="592" spans="6:16" x14ac:dyDescent="0.2">
      <c r="F592" s="28"/>
      <c r="H592" s="28"/>
      <c r="I592" s="28"/>
      <c r="J592" s="28"/>
      <c r="K592" s="9"/>
      <c r="O592" s="9"/>
      <c r="P592" s="77"/>
    </row>
    <row r="593" spans="6:16" x14ac:dyDescent="0.2">
      <c r="F593" s="28"/>
      <c r="H593" s="28"/>
      <c r="I593" s="28"/>
      <c r="J593" s="28"/>
      <c r="K593" s="9"/>
      <c r="O593" s="9"/>
      <c r="P593" s="77"/>
    </row>
    <row r="594" spans="6:16" x14ac:dyDescent="0.2">
      <c r="F594" s="28"/>
      <c r="H594" s="28"/>
      <c r="I594" s="28"/>
      <c r="J594" s="28"/>
      <c r="K594" s="9"/>
      <c r="O594" s="9"/>
      <c r="P594" s="77"/>
    </row>
    <row r="595" spans="6:16" x14ac:dyDescent="0.2">
      <c r="F595" s="28"/>
      <c r="H595" s="28"/>
      <c r="I595" s="28"/>
      <c r="J595" s="28"/>
      <c r="K595" s="9"/>
      <c r="O595" s="9"/>
      <c r="P595" s="77"/>
    </row>
    <row r="596" spans="6:16" x14ac:dyDescent="0.2">
      <c r="F596" s="28"/>
      <c r="H596" s="28"/>
      <c r="I596" s="28"/>
      <c r="J596" s="28"/>
      <c r="K596" s="9"/>
      <c r="O596" s="9"/>
      <c r="P596" s="77"/>
    </row>
    <row r="597" spans="6:16" x14ac:dyDescent="0.2">
      <c r="F597" s="28"/>
      <c r="H597" s="28"/>
      <c r="I597" s="28"/>
      <c r="J597" s="28"/>
      <c r="K597" s="9"/>
      <c r="O597" s="9"/>
      <c r="P597" s="77"/>
    </row>
    <row r="598" spans="6:16" x14ac:dyDescent="0.2">
      <c r="F598" s="28"/>
      <c r="H598" s="28"/>
      <c r="I598" s="28"/>
      <c r="J598" s="28"/>
      <c r="K598" s="9"/>
      <c r="O598" s="9"/>
      <c r="P598" s="77"/>
    </row>
    <row r="599" spans="6:16" x14ac:dyDescent="0.2">
      <c r="F599" s="28"/>
      <c r="H599" s="28"/>
      <c r="I599" s="28"/>
      <c r="J599" s="28"/>
      <c r="K599" s="9"/>
      <c r="O599" s="9"/>
      <c r="P599" s="77"/>
    </row>
    <row r="600" spans="6:16" x14ac:dyDescent="0.2">
      <c r="F600" s="28"/>
      <c r="H600" s="28"/>
      <c r="I600" s="28"/>
      <c r="J600" s="28"/>
      <c r="K600" s="9"/>
      <c r="O600" s="9"/>
      <c r="P600" s="77"/>
    </row>
    <row r="601" spans="6:16" x14ac:dyDescent="0.2">
      <c r="F601" s="28"/>
      <c r="H601" s="28"/>
      <c r="I601" s="28"/>
      <c r="J601" s="28"/>
      <c r="K601" s="9"/>
      <c r="O601" s="9"/>
      <c r="P601" s="77"/>
    </row>
    <row r="602" spans="6:16" x14ac:dyDescent="0.2">
      <c r="F602" s="28"/>
      <c r="H602" s="28"/>
      <c r="I602" s="28"/>
      <c r="J602" s="28"/>
      <c r="K602" s="9"/>
      <c r="O602" s="9"/>
      <c r="P602" s="77"/>
    </row>
    <row r="603" spans="6:16" x14ac:dyDescent="0.2">
      <c r="F603" s="28"/>
      <c r="H603" s="28"/>
      <c r="I603" s="28"/>
      <c r="J603" s="28"/>
      <c r="K603" s="9"/>
      <c r="O603" s="9"/>
      <c r="P603" s="77"/>
    </row>
    <row r="604" spans="6:16" x14ac:dyDescent="0.2">
      <c r="F604" s="28"/>
      <c r="H604" s="28"/>
      <c r="I604" s="28"/>
      <c r="J604" s="28"/>
      <c r="K604" s="9"/>
      <c r="O604" s="9"/>
      <c r="P604" s="77"/>
    </row>
    <row r="605" spans="6:16" x14ac:dyDescent="0.2">
      <c r="F605" s="28"/>
      <c r="H605" s="28"/>
      <c r="I605" s="28"/>
      <c r="J605" s="28"/>
      <c r="K605" s="9"/>
      <c r="O605" s="9"/>
      <c r="P605" s="77"/>
    </row>
    <row r="606" spans="6:16" x14ac:dyDescent="0.2">
      <c r="F606" s="28"/>
      <c r="H606" s="28"/>
      <c r="I606" s="28"/>
      <c r="J606" s="28"/>
      <c r="K606" s="9"/>
      <c r="O606" s="9"/>
      <c r="P606" s="77"/>
    </row>
    <row r="607" spans="6:16" x14ac:dyDescent="0.2">
      <c r="F607" s="28"/>
      <c r="H607" s="28"/>
      <c r="I607" s="28"/>
      <c r="J607" s="28"/>
      <c r="K607" s="9"/>
      <c r="O607" s="9"/>
      <c r="P607" s="77"/>
    </row>
    <row r="608" spans="6:16" x14ac:dyDescent="0.2">
      <c r="F608" s="28"/>
      <c r="H608" s="28"/>
      <c r="I608" s="28"/>
      <c r="J608" s="28"/>
      <c r="K608" s="9"/>
      <c r="O608" s="9"/>
      <c r="P608" s="77"/>
    </row>
    <row r="609" spans="6:16" x14ac:dyDescent="0.2">
      <c r="F609" s="28"/>
      <c r="H609" s="28"/>
      <c r="I609" s="28"/>
      <c r="J609" s="28"/>
      <c r="K609" s="9"/>
      <c r="O609" s="9"/>
      <c r="P609" s="77"/>
    </row>
    <row r="610" spans="6:16" x14ac:dyDescent="0.2">
      <c r="F610" s="28"/>
      <c r="H610" s="28"/>
      <c r="I610" s="28"/>
      <c r="J610" s="28"/>
      <c r="K610" s="9"/>
      <c r="O610" s="9"/>
      <c r="P610" s="77"/>
    </row>
    <row r="611" spans="6:16" x14ac:dyDescent="0.2">
      <c r="F611" s="28"/>
      <c r="H611" s="28"/>
      <c r="I611" s="28"/>
      <c r="J611" s="28"/>
      <c r="K611" s="9"/>
      <c r="O611" s="9"/>
      <c r="P611" s="77"/>
    </row>
    <row r="612" spans="6:16" x14ac:dyDescent="0.2">
      <c r="F612" s="28"/>
      <c r="H612" s="28"/>
      <c r="I612" s="28"/>
      <c r="J612" s="28"/>
      <c r="K612" s="9"/>
      <c r="O612" s="9"/>
      <c r="P612" s="77"/>
    </row>
    <row r="613" spans="6:16" x14ac:dyDescent="0.2">
      <c r="F613" s="28"/>
      <c r="H613" s="28"/>
      <c r="I613" s="28"/>
      <c r="J613" s="28"/>
      <c r="K613" s="9"/>
      <c r="O613" s="9"/>
      <c r="P613" s="77"/>
    </row>
    <row r="614" spans="6:16" x14ac:dyDescent="0.2">
      <c r="F614" s="28"/>
      <c r="H614" s="28"/>
      <c r="I614" s="28"/>
      <c r="J614" s="28"/>
      <c r="K614" s="9"/>
      <c r="O614" s="9"/>
      <c r="P614" s="77"/>
    </row>
    <row r="615" spans="6:16" x14ac:dyDescent="0.2">
      <c r="F615" s="28"/>
      <c r="H615" s="28"/>
      <c r="I615" s="28"/>
      <c r="J615" s="28"/>
      <c r="K615" s="9"/>
      <c r="O615" s="9"/>
      <c r="P615" s="77"/>
    </row>
    <row r="616" spans="6:16" x14ac:dyDescent="0.2">
      <c r="F616" s="28"/>
      <c r="H616" s="28"/>
      <c r="I616" s="28"/>
      <c r="J616" s="28"/>
      <c r="K616" s="9"/>
      <c r="O616" s="9"/>
      <c r="P616" s="77"/>
    </row>
    <row r="617" spans="6:16" x14ac:dyDescent="0.2">
      <c r="F617" s="28"/>
      <c r="H617" s="28"/>
      <c r="I617" s="28"/>
      <c r="J617" s="28"/>
      <c r="K617" s="9"/>
      <c r="O617" s="9"/>
      <c r="P617" s="77"/>
    </row>
    <row r="618" spans="6:16" x14ac:dyDescent="0.2">
      <c r="F618" s="28"/>
      <c r="H618" s="28"/>
      <c r="I618" s="28"/>
      <c r="J618" s="28"/>
      <c r="K618" s="9"/>
      <c r="O618" s="9"/>
      <c r="P618" s="77"/>
    </row>
    <row r="619" spans="6:16" x14ac:dyDescent="0.2">
      <c r="F619" s="28"/>
      <c r="H619" s="28"/>
      <c r="I619" s="28"/>
      <c r="J619" s="28"/>
      <c r="K619" s="9"/>
      <c r="O619" s="9"/>
      <c r="P619" s="77"/>
    </row>
    <row r="620" spans="6:16" x14ac:dyDescent="0.2">
      <c r="F620" s="28"/>
      <c r="H620" s="28"/>
      <c r="I620" s="28"/>
      <c r="J620" s="28"/>
      <c r="K620" s="9"/>
      <c r="O620" s="9"/>
      <c r="P620" s="77"/>
    </row>
    <row r="621" spans="6:16" x14ac:dyDescent="0.2">
      <c r="F621" s="28"/>
      <c r="H621" s="28"/>
      <c r="I621" s="28"/>
      <c r="J621" s="28"/>
      <c r="K621" s="9"/>
      <c r="O621" s="9"/>
      <c r="P621" s="77"/>
    </row>
    <row r="622" spans="6:16" x14ac:dyDescent="0.2">
      <c r="F622" s="28"/>
      <c r="H622" s="28"/>
      <c r="I622" s="28"/>
      <c r="J622" s="28"/>
      <c r="K622" s="9"/>
      <c r="O622" s="9"/>
      <c r="P622" s="77"/>
    </row>
    <row r="623" spans="6:16" x14ac:dyDescent="0.2">
      <c r="F623" s="28"/>
      <c r="H623" s="28"/>
      <c r="I623" s="28"/>
      <c r="J623" s="28"/>
      <c r="K623" s="9"/>
      <c r="O623" s="9"/>
      <c r="P623" s="77"/>
    </row>
    <row r="624" spans="6:16" x14ac:dyDescent="0.2">
      <c r="F624" s="28"/>
      <c r="H624" s="28"/>
      <c r="I624" s="28"/>
      <c r="J624" s="28"/>
      <c r="K624" s="9"/>
      <c r="O624" s="9"/>
      <c r="P624" s="77"/>
    </row>
    <row r="625" spans="6:16" x14ac:dyDescent="0.2">
      <c r="F625" s="28"/>
      <c r="H625" s="28"/>
      <c r="I625" s="28"/>
      <c r="J625" s="28"/>
      <c r="K625" s="9"/>
      <c r="O625" s="9"/>
      <c r="P625" s="77"/>
    </row>
    <row r="626" spans="6:16" x14ac:dyDescent="0.2">
      <c r="F626" s="28"/>
      <c r="H626" s="28"/>
      <c r="I626" s="28"/>
      <c r="J626" s="28"/>
      <c r="K626" s="9"/>
      <c r="O626" s="9"/>
      <c r="P626" s="77"/>
    </row>
    <row r="627" spans="6:16" x14ac:dyDescent="0.2">
      <c r="F627" s="28"/>
      <c r="H627" s="28"/>
      <c r="I627" s="28"/>
      <c r="J627" s="28"/>
      <c r="K627" s="9"/>
      <c r="O627" s="9"/>
      <c r="P627" s="77"/>
    </row>
    <row r="628" spans="6:16" x14ac:dyDescent="0.2">
      <c r="F628" s="28"/>
      <c r="H628" s="28"/>
      <c r="I628" s="28"/>
      <c r="J628" s="28"/>
      <c r="K628" s="9"/>
      <c r="O628" s="9"/>
      <c r="P628" s="77"/>
    </row>
    <row r="629" spans="6:16" x14ac:dyDescent="0.2">
      <c r="F629" s="28"/>
      <c r="H629" s="28"/>
      <c r="I629" s="28"/>
      <c r="J629" s="28"/>
      <c r="K629" s="9"/>
      <c r="O629" s="9"/>
      <c r="P629" s="77"/>
    </row>
    <row r="630" spans="6:16" x14ac:dyDescent="0.2">
      <c r="F630" s="28"/>
      <c r="H630" s="28"/>
      <c r="I630" s="28"/>
      <c r="J630" s="28"/>
      <c r="K630" s="9"/>
      <c r="O630" s="9"/>
      <c r="P630" s="77"/>
    </row>
    <row r="631" spans="6:16" x14ac:dyDescent="0.2">
      <c r="F631" s="28"/>
      <c r="H631" s="28"/>
      <c r="I631" s="28"/>
      <c r="J631" s="28"/>
      <c r="K631" s="9"/>
      <c r="O631" s="9"/>
      <c r="P631" s="77"/>
    </row>
    <row r="632" spans="6:16" x14ac:dyDescent="0.2">
      <c r="F632" s="28"/>
      <c r="H632" s="28"/>
      <c r="I632" s="28"/>
      <c r="J632" s="28"/>
      <c r="K632" s="9"/>
      <c r="O632" s="9"/>
      <c r="P632" s="77"/>
    </row>
    <row r="633" spans="6:16" x14ac:dyDescent="0.2">
      <c r="F633" s="28"/>
      <c r="H633" s="28"/>
      <c r="I633" s="28"/>
      <c r="J633" s="28"/>
      <c r="K633" s="9"/>
      <c r="O633" s="9"/>
      <c r="P633" s="77"/>
    </row>
    <row r="634" spans="6:16" x14ac:dyDescent="0.2">
      <c r="F634" s="28"/>
      <c r="H634" s="28"/>
      <c r="I634" s="28"/>
      <c r="J634" s="28"/>
      <c r="K634" s="9"/>
      <c r="O634" s="9"/>
      <c r="P634" s="77"/>
    </row>
    <row r="635" spans="6:16" x14ac:dyDescent="0.2">
      <c r="F635" s="28"/>
      <c r="H635" s="28"/>
      <c r="I635" s="28"/>
      <c r="J635" s="28"/>
      <c r="K635" s="9"/>
      <c r="O635" s="9"/>
      <c r="P635" s="77"/>
    </row>
    <row r="636" spans="6:16" x14ac:dyDescent="0.2">
      <c r="F636" s="28"/>
      <c r="H636" s="28"/>
      <c r="I636" s="28"/>
      <c r="J636" s="28"/>
      <c r="K636" s="9"/>
      <c r="O636" s="9"/>
      <c r="P636" s="77"/>
    </row>
    <row r="637" spans="6:16" x14ac:dyDescent="0.2">
      <c r="F637" s="28"/>
      <c r="H637" s="28"/>
      <c r="I637" s="28"/>
      <c r="J637" s="28"/>
      <c r="K637" s="9"/>
      <c r="O637" s="9"/>
      <c r="P637" s="77"/>
    </row>
    <row r="638" spans="6:16" x14ac:dyDescent="0.2">
      <c r="F638" s="28"/>
      <c r="H638" s="28"/>
      <c r="I638" s="28"/>
      <c r="J638" s="28"/>
      <c r="K638" s="9"/>
      <c r="O638" s="9"/>
      <c r="P638" s="77"/>
    </row>
    <row r="639" spans="6:16" x14ac:dyDescent="0.2">
      <c r="F639" s="28"/>
      <c r="H639" s="28"/>
      <c r="I639" s="28"/>
      <c r="J639" s="28"/>
      <c r="K639" s="9"/>
      <c r="O639" s="9"/>
      <c r="P639" s="77"/>
    </row>
    <row r="640" spans="6:16" x14ac:dyDescent="0.2">
      <c r="F640" s="28"/>
      <c r="H640" s="28"/>
      <c r="I640" s="28"/>
      <c r="J640" s="28"/>
      <c r="K640" s="9"/>
      <c r="O640" s="9"/>
      <c r="P640" s="77"/>
    </row>
    <row r="641" spans="6:16" x14ac:dyDescent="0.2">
      <c r="F641" s="28"/>
      <c r="H641" s="28"/>
      <c r="I641" s="28"/>
      <c r="J641" s="28"/>
      <c r="K641" s="9"/>
      <c r="O641" s="9"/>
      <c r="P641" s="77"/>
    </row>
    <row r="642" spans="6:16" x14ac:dyDescent="0.2">
      <c r="F642" s="28"/>
      <c r="H642" s="28"/>
      <c r="I642" s="28"/>
      <c r="J642" s="28"/>
      <c r="K642" s="9"/>
      <c r="O642" s="9"/>
      <c r="P642" s="77"/>
    </row>
    <row r="643" spans="6:16" x14ac:dyDescent="0.2">
      <c r="F643" s="28"/>
      <c r="H643" s="28"/>
      <c r="I643" s="28"/>
      <c r="J643" s="28"/>
      <c r="K643" s="9"/>
      <c r="O643" s="9"/>
      <c r="P643" s="77"/>
    </row>
    <row r="644" spans="6:16" x14ac:dyDescent="0.2">
      <c r="F644" s="28"/>
      <c r="H644" s="28"/>
      <c r="I644" s="28"/>
      <c r="J644" s="28"/>
      <c r="K644" s="9"/>
      <c r="O644" s="9"/>
      <c r="P644" s="77"/>
    </row>
    <row r="645" spans="6:16" x14ac:dyDescent="0.2">
      <c r="F645" s="28"/>
      <c r="H645" s="28"/>
      <c r="I645" s="28"/>
      <c r="J645" s="28"/>
      <c r="K645" s="9"/>
      <c r="O645" s="9"/>
      <c r="P645" s="77"/>
    </row>
    <row r="646" spans="6:16" x14ac:dyDescent="0.2">
      <c r="F646" s="28"/>
      <c r="H646" s="28"/>
      <c r="I646" s="28"/>
      <c r="J646" s="28"/>
      <c r="K646" s="9"/>
      <c r="O646" s="9"/>
      <c r="P646" s="77"/>
    </row>
    <row r="647" spans="6:16" x14ac:dyDescent="0.2">
      <c r="F647" s="28"/>
      <c r="H647" s="28"/>
      <c r="I647" s="28"/>
      <c r="J647" s="28"/>
      <c r="K647" s="9"/>
      <c r="O647" s="9"/>
      <c r="P647" s="77"/>
    </row>
    <row r="648" spans="6:16" x14ac:dyDescent="0.2">
      <c r="F648" s="28"/>
      <c r="H648" s="28"/>
      <c r="I648" s="28"/>
      <c r="J648" s="28"/>
      <c r="K648" s="9"/>
      <c r="O648" s="9"/>
      <c r="P648" s="77"/>
    </row>
    <row r="649" spans="6:16" x14ac:dyDescent="0.2">
      <c r="F649" s="28"/>
      <c r="H649" s="28"/>
      <c r="I649" s="28"/>
      <c r="J649" s="28"/>
      <c r="K649" s="9"/>
      <c r="O649" s="9"/>
      <c r="P649" s="77"/>
    </row>
    <row r="650" spans="6:16" x14ac:dyDescent="0.2">
      <c r="F650" s="28"/>
      <c r="H650" s="28"/>
      <c r="I650" s="28"/>
      <c r="J650" s="28"/>
      <c r="K650" s="9"/>
      <c r="O650" s="9"/>
      <c r="P650" s="77"/>
    </row>
    <row r="651" spans="6:16" x14ac:dyDescent="0.2">
      <c r="F651" s="28"/>
      <c r="H651" s="28"/>
      <c r="I651" s="28"/>
      <c r="J651" s="28"/>
      <c r="K651" s="9"/>
      <c r="O651" s="9"/>
      <c r="P651" s="77"/>
    </row>
    <row r="652" spans="6:16" x14ac:dyDescent="0.2">
      <c r="F652" s="28"/>
      <c r="H652" s="28"/>
      <c r="I652" s="28"/>
      <c r="J652" s="28"/>
      <c r="K652" s="9"/>
      <c r="O652" s="9"/>
      <c r="P652" s="77"/>
    </row>
    <row r="653" spans="6:16" x14ac:dyDescent="0.2">
      <c r="F653" s="28"/>
      <c r="H653" s="28"/>
      <c r="I653" s="28"/>
      <c r="J653" s="28"/>
      <c r="K653" s="9"/>
      <c r="O653" s="9"/>
      <c r="P653" s="77"/>
    </row>
    <row r="654" spans="6:16" x14ac:dyDescent="0.2">
      <c r="F654" s="28"/>
      <c r="H654" s="28"/>
      <c r="I654" s="28"/>
      <c r="J654" s="28"/>
      <c r="K654" s="9"/>
      <c r="O654" s="9"/>
      <c r="P654" s="77"/>
    </row>
    <row r="655" spans="6:16" x14ac:dyDescent="0.2">
      <c r="F655" s="28"/>
      <c r="H655" s="28"/>
      <c r="I655" s="28"/>
      <c r="J655" s="28"/>
      <c r="K655" s="9"/>
      <c r="O655" s="9"/>
      <c r="P655" s="77"/>
    </row>
    <row r="656" spans="6:16" x14ac:dyDescent="0.2">
      <c r="F656" s="28"/>
      <c r="H656" s="28"/>
      <c r="I656" s="28"/>
      <c r="J656" s="28"/>
      <c r="K656" s="9"/>
      <c r="O656" s="9"/>
      <c r="P656" s="77"/>
    </row>
    <row r="657" spans="6:16" x14ac:dyDescent="0.2">
      <c r="F657" s="28"/>
      <c r="H657" s="28"/>
      <c r="I657" s="28"/>
      <c r="J657" s="28"/>
      <c r="K657" s="9"/>
      <c r="O657" s="9"/>
      <c r="P657" s="77"/>
    </row>
    <row r="658" spans="6:16" x14ac:dyDescent="0.2">
      <c r="F658" s="28"/>
      <c r="H658" s="28"/>
      <c r="I658" s="28"/>
      <c r="J658" s="28"/>
      <c r="K658" s="9"/>
      <c r="O658" s="9"/>
      <c r="P658" s="77"/>
    </row>
    <row r="659" spans="6:16" x14ac:dyDescent="0.2">
      <c r="F659" s="28"/>
      <c r="H659" s="28"/>
      <c r="I659" s="28"/>
      <c r="J659" s="28"/>
      <c r="K659" s="9"/>
      <c r="O659" s="9"/>
      <c r="P659" s="77"/>
    </row>
    <row r="660" spans="6:16" x14ac:dyDescent="0.2">
      <c r="F660" s="28"/>
      <c r="H660" s="28"/>
      <c r="I660" s="28"/>
      <c r="J660" s="28"/>
      <c r="K660" s="9"/>
      <c r="O660" s="9"/>
      <c r="P660" s="77"/>
    </row>
    <row r="661" spans="6:16" x14ac:dyDescent="0.2">
      <c r="F661" s="28"/>
      <c r="H661" s="28"/>
      <c r="I661" s="28"/>
      <c r="J661" s="28"/>
      <c r="K661" s="9"/>
      <c r="O661" s="9"/>
      <c r="P661" s="77"/>
    </row>
    <row r="662" spans="6:16" x14ac:dyDescent="0.2">
      <c r="F662" s="28"/>
      <c r="H662" s="28"/>
      <c r="I662" s="28"/>
      <c r="J662" s="28"/>
      <c r="K662" s="9"/>
      <c r="O662" s="9"/>
      <c r="P662" s="77"/>
    </row>
    <row r="663" spans="6:16" x14ac:dyDescent="0.2">
      <c r="F663" s="28"/>
      <c r="H663" s="28"/>
      <c r="I663" s="28"/>
      <c r="J663" s="28"/>
      <c r="K663" s="9"/>
      <c r="O663" s="9"/>
      <c r="P663" s="77"/>
    </row>
    <row r="664" spans="6:16" x14ac:dyDescent="0.2">
      <c r="F664" s="28"/>
      <c r="H664" s="28"/>
      <c r="I664" s="28"/>
      <c r="J664" s="28"/>
      <c r="K664" s="9"/>
      <c r="O664" s="9"/>
      <c r="P664" s="77"/>
    </row>
    <row r="665" spans="6:16" x14ac:dyDescent="0.2">
      <c r="F665" s="28"/>
      <c r="H665" s="28"/>
      <c r="I665" s="28"/>
      <c r="J665" s="28"/>
      <c r="K665" s="9"/>
      <c r="O665" s="9"/>
      <c r="P665" s="77"/>
    </row>
    <row r="666" spans="6:16" x14ac:dyDescent="0.2">
      <c r="F666" s="28"/>
      <c r="H666" s="28"/>
      <c r="I666" s="28"/>
      <c r="J666" s="28"/>
      <c r="K666" s="9"/>
      <c r="O666" s="9"/>
      <c r="P666" s="77"/>
    </row>
    <row r="667" spans="6:16" x14ac:dyDescent="0.2">
      <c r="F667" s="28"/>
      <c r="H667" s="28"/>
      <c r="I667" s="28"/>
      <c r="J667" s="28"/>
      <c r="K667" s="9"/>
      <c r="O667" s="9"/>
      <c r="P667" s="77"/>
    </row>
    <row r="668" spans="6:16" x14ac:dyDescent="0.2">
      <c r="F668" s="28"/>
      <c r="H668" s="28"/>
      <c r="I668" s="28"/>
      <c r="J668" s="28"/>
      <c r="K668" s="9"/>
      <c r="O668" s="9"/>
      <c r="P668" s="77"/>
    </row>
    <row r="669" spans="6:16" x14ac:dyDescent="0.2">
      <c r="F669" s="28"/>
      <c r="H669" s="28"/>
      <c r="I669" s="28"/>
      <c r="J669" s="28"/>
      <c r="K669" s="9"/>
      <c r="O669" s="9"/>
      <c r="P669" s="77"/>
    </row>
    <row r="670" spans="6:16" x14ac:dyDescent="0.2">
      <c r="F670" s="28"/>
      <c r="H670" s="28"/>
      <c r="I670" s="28"/>
      <c r="J670" s="28"/>
      <c r="K670" s="9"/>
      <c r="O670" s="9"/>
      <c r="P670" s="77"/>
    </row>
    <row r="671" spans="6:16" x14ac:dyDescent="0.2">
      <c r="F671" s="28"/>
      <c r="H671" s="28"/>
      <c r="I671" s="28"/>
      <c r="J671" s="28"/>
      <c r="K671" s="9"/>
      <c r="O671" s="9"/>
      <c r="P671" s="77"/>
    </row>
    <row r="672" spans="6:16" x14ac:dyDescent="0.2">
      <c r="F672" s="28"/>
      <c r="H672" s="28"/>
      <c r="I672" s="28"/>
      <c r="J672" s="28"/>
      <c r="K672" s="9"/>
      <c r="O672" s="9"/>
      <c r="P672" s="77"/>
    </row>
    <row r="673" spans="6:16" x14ac:dyDescent="0.2">
      <c r="F673" s="28"/>
      <c r="H673" s="28"/>
      <c r="I673" s="28"/>
      <c r="J673" s="28"/>
      <c r="K673" s="9"/>
      <c r="O673" s="9"/>
      <c r="P673" s="77"/>
    </row>
    <row r="674" spans="6:16" x14ac:dyDescent="0.2">
      <c r="F674" s="28"/>
      <c r="H674" s="28"/>
      <c r="I674" s="28"/>
      <c r="J674" s="28"/>
      <c r="K674" s="9"/>
      <c r="O674" s="9"/>
      <c r="P674" s="77"/>
    </row>
    <row r="675" spans="6:16" x14ac:dyDescent="0.2">
      <c r="F675" s="28"/>
      <c r="H675" s="28"/>
      <c r="I675" s="28"/>
      <c r="J675" s="28"/>
      <c r="K675" s="9"/>
      <c r="O675" s="9"/>
      <c r="P675" s="77"/>
    </row>
    <row r="676" spans="6:16" x14ac:dyDescent="0.2">
      <c r="F676" s="28"/>
      <c r="H676" s="28"/>
      <c r="I676" s="28"/>
      <c r="J676" s="28"/>
      <c r="K676" s="9"/>
      <c r="O676" s="9"/>
      <c r="P676" s="77"/>
    </row>
    <row r="677" spans="6:16" x14ac:dyDescent="0.2">
      <c r="F677" s="28"/>
      <c r="H677" s="28"/>
      <c r="I677" s="28"/>
      <c r="J677" s="28"/>
      <c r="K677" s="9"/>
      <c r="O677" s="9"/>
      <c r="P677" s="77"/>
    </row>
    <row r="678" spans="6:16" x14ac:dyDescent="0.2">
      <c r="F678" s="28"/>
      <c r="H678" s="28"/>
      <c r="I678" s="28"/>
      <c r="J678" s="28"/>
      <c r="K678" s="9"/>
      <c r="O678" s="9"/>
      <c r="P678" s="77"/>
    </row>
    <row r="679" spans="6:16" x14ac:dyDescent="0.2">
      <c r="F679" s="28"/>
      <c r="H679" s="28"/>
      <c r="I679" s="28"/>
      <c r="J679" s="28"/>
      <c r="K679" s="9"/>
      <c r="O679" s="9"/>
      <c r="P679" s="77"/>
    </row>
    <row r="680" spans="6:16" x14ac:dyDescent="0.2">
      <c r="F680" s="28"/>
      <c r="H680" s="28"/>
      <c r="I680" s="28"/>
      <c r="J680" s="28"/>
      <c r="K680" s="9"/>
      <c r="O680" s="9"/>
      <c r="P680" s="77"/>
    </row>
    <row r="681" spans="6:16" x14ac:dyDescent="0.2">
      <c r="F681" s="28"/>
      <c r="H681" s="28"/>
      <c r="I681" s="28"/>
      <c r="J681" s="28"/>
      <c r="K681" s="9"/>
      <c r="O681" s="9"/>
      <c r="P681" s="77"/>
    </row>
    <row r="682" spans="6:16" x14ac:dyDescent="0.2">
      <c r="F682" s="28"/>
      <c r="H682" s="28"/>
      <c r="I682" s="28"/>
      <c r="J682" s="28"/>
      <c r="K682" s="9"/>
      <c r="O682" s="9"/>
      <c r="P682" s="77"/>
    </row>
    <row r="683" spans="6:16" x14ac:dyDescent="0.2">
      <c r="F683" s="28"/>
      <c r="H683" s="28"/>
      <c r="I683" s="28"/>
      <c r="J683" s="28"/>
      <c r="K683" s="9"/>
      <c r="O683" s="9"/>
      <c r="P683" s="77"/>
    </row>
    <row r="684" spans="6:16" x14ac:dyDescent="0.2">
      <c r="F684" s="28"/>
      <c r="H684" s="28"/>
      <c r="I684" s="28"/>
      <c r="J684" s="28"/>
      <c r="K684" s="9"/>
      <c r="O684" s="9"/>
      <c r="P684" s="77"/>
    </row>
    <row r="685" spans="6:16" x14ac:dyDescent="0.2">
      <c r="F685" s="28"/>
      <c r="H685" s="28"/>
      <c r="I685" s="28"/>
      <c r="J685" s="28"/>
      <c r="K685" s="9"/>
      <c r="O685" s="9"/>
      <c r="P685" s="77"/>
    </row>
    <row r="686" spans="6:16" x14ac:dyDescent="0.2">
      <c r="F686" s="28"/>
      <c r="H686" s="28"/>
      <c r="I686" s="28"/>
      <c r="J686" s="28"/>
      <c r="K686" s="9"/>
      <c r="O686" s="9"/>
      <c r="P686" s="77"/>
    </row>
    <row r="687" spans="6:16" x14ac:dyDescent="0.2">
      <c r="F687" s="28"/>
      <c r="H687" s="28"/>
      <c r="I687" s="28"/>
      <c r="J687" s="28"/>
      <c r="K687" s="9"/>
      <c r="O687" s="9"/>
      <c r="P687" s="77"/>
    </row>
    <row r="688" spans="6:16" x14ac:dyDescent="0.2">
      <c r="F688" s="28"/>
      <c r="H688" s="28"/>
      <c r="I688" s="28"/>
      <c r="J688" s="28"/>
      <c r="K688" s="9"/>
      <c r="O688" s="9"/>
      <c r="P688" s="77"/>
    </row>
    <row r="689" spans="6:16" x14ac:dyDescent="0.2">
      <c r="F689" s="28"/>
      <c r="H689" s="28"/>
      <c r="I689" s="28"/>
      <c r="J689" s="28"/>
      <c r="K689" s="9"/>
      <c r="O689" s="9"/>
      <c r="P689" s="77"/>
    </row>
    <row r="690" spans="6:16" x14ac:dyDescent="0.2">
      <c r="F690" s="28"/>
      <c r="H690" s="28"/>
      <c r="I690" s="28"/>
      <c r="J690" s="28"/>
      <c r="K690" s="9"/>
      <c r="O690" s="9"/>
      <c r="P690" s="77"/>
    </row>
    <row r="691" spans="6:16" x14ac:dyDescent="0.2">
      <c r="F691" s="28"/>
      <c r="H691" s="28"/>
      <c r="I691" s="28"/>
      <c r="J691" s="28"/>
      <c r="K691" s="9"/>
      <c r="O691" s="9"/>
      <c r="P691" s="77"/>
    </row>
    <row r="692" spans="6:16" x14ac:dyDescent="0.2">
      <c r="F692" s="28"/>
      <c r="H692" s="28"/>
      <c r="I692" s="28"/>
      <c r="J692" s="28"/>
      <c r="K692" s="9"/>
      <c r="O692" s="9"/>
      <c r="P692" s="77"/>
    </row>
    <row r="693" spans="6:16" x14ac:dyDescent="0.2">
      <c r="F693" s="28"/>
      <c r="H693" s="28"/>
      <c r="I693" s="28"/>
      <c r="J693" s="28"/>
      <c r="K693" s="9"/>
      <c r="O693" s="9"/>
      <c r="P693" s="77"/>
    </row>
    <row r="694" spans="6:16" x14ac:dyDescent="0.2">
      <c r="F694" s="28"/>
      <c r="H694" s="28"/>
      <c r="I694" s="28"/>
      <c r="J694" s="28"/>
      <c r="K694" s="9"/>
      <c r="O694" s="9"/>
      <c r="P694" s="77"/>
    </row>
    <row r="695" spans="6:16" x14ac:dyDescent="0.2">
      <c r="F695" s="28"/>
      <c r="H695" s="28"/>
      <c r="I695" s="28"/>
      <c r="J695" s="28"/>
      <c r="K695" s="9"/>
      <c r="O695" s="9"/>
      <c r="P695" s="77"/>
    </row>
    <row r="696" spans="6:16" x14ac:dyDescent="0.2">
      <c r="F696" s="28"/>
      <c r="H696" s="28"/>
      <c r="I696" s="28"/>
      <c r="J696" s="28"/>
      <c r="K696" s="9"/>
      <c r="O696" s="9"/>
      <c r="P696" s="77"/>
    </row>
    <row r="697" spans="6:16" x14ac:dyDescent="0.2">
      <c r="F697" s="28"/>
      <c r="H697" s="28"/>
      <c r="I697" s="28"/>
      <c r="J697" s="28"/>
      <c r="K697" s="9"/>
      <c r="O697" s="9"/>
      <c r="P697" s="77"/>
    </row>
    <row r="698" spans="6:16" x14ac:dyDescent="0.2">
      <c r="F698" s="28"/>
      <c r="H698" s="28"/>
      <c r="I698" s="28"/>
      <c r="J698" s="28"/>
      <c r="K698" s="9"/>
      <c r="O698" s="9"/>
      <c r="P698" s="77"/>
    </row>
    <row r="699" spans="6:16" x14ac:dyDescent="0.2">
      <c r="F699" s="28"/>
      <c r="H699" s="28"/>
      <c r="I699" s="28"/>
      <c r="J699" s="28"/>
      <c r="K699" s="9"/>
      <c r="O699" s="9"/>
      <c r="P699" s="77"/>
    </row>
    <row r="700" spans="6:16" x14ac:dyDescent="0.2">
      <c r="F700" s="28"/>
      <c r="H700" s="28"/>
      <c r="I700" s="28"/>
      <c r="J700" s="28"/>
      <c r="K700" s="9"/>
      <c r="O700" s="9"/>
      <c r="P700" s="77"/>
    </row>
    <row r="701" spans="6:16" x14ac:dyDescent="0.2">
      <c r="F701" s="28"/>
      <c r="H701" s="28"/>
      <c r="I701" s="28"/>
      <c r="J701" s="28"/>
      <c r="K701" s="9"/>
      <c r="O701" s="9"/>
      <c r="P701" s="77"/>
    </row>
    <row r="702" spans="6:16" x14ac:dyDescent="0.2">
      <c r="F702" s="28"/>
      <c r="H702" s="28"/>
      <c r="I702" s="28"/>
      <c r="J702" s="28"/>
      <c r="K702" s="9"/>
      <c r="O702" s="9"/>
      <c r="P702" s="77"/>
    </row>
    <row r="703" spans="6:16" x14ac:dyDescent="0.2">
      <c r="F703" s="28"/>
      <c r="H703" s="28"/>
      <c r="I703" s="28"/>
      <c r="J703" s="28"/>
      <c r="K703" s="9"/>
      <c r="O703" s="9"/>
      <c r="P703" s="77"/>
    </row>
    <row r="704" spans="6:16" x14ac:dyDescent="0.2">
      <c r="F704" s="28"/>
      <c r="H704" s="28"/>
      <c r="I704" s="28"/>
      <c r="J704" s="28"/>
      <c r="K704" s="9"/>
      <c r="O704" s="9"/>
      <c r="P704" s="77"/>
    </row>
    <row r="705" spans="6:16" x14ac:dyDescent="0.2">
      <c r="F705" s="28"/>
      <c r="H705" s="28"/>
      <c r="I705" s="28"/>
      <c r="J705" s="28"/>
      <c r="K705" s="9"/>
      <c r="O705" s="9"/>
      <c r="P705" s="77"/>
    </row>
    <row r="706" spans="6:16" x14ac:dyDescent="0.2">
      <c r="F706" s="28"/>
      <c r="H706" s="28"/>
      <c r="I706" s="28"/>
      <c r="J706" s="28"/>
      <c r="K706" s="9"/>
      <c r="O706" s="9"/>
      <c r="P706" s="77"/>
    </row>
    <row r="707" spans="6:16" x14ac:dyDescent="0.2">
      <c r="F707" s="28"/>
      <c r="H707" s="28"/>
      <c r="I707" s="28"/>
      <c r="J707" s="28"/>
      <c r="K707" s="9"/>
      <c r="O707" s="9"/>
      <c r="P707" s="77"/>
    </row>
    <row r="708" spans="6:16" x14ac:dyDescent="0.2">
      <c r="F708" s="28"/>
      <c r="H708" s="28"/>
      <c r="I708" s="28"/>
      <c r="J708" s="28"/>
      <c r="K708" s="9"/>
      <c r="O708" s="9"/>
      <c r="P708" s="77"/>
    </row>
    <row r="709" spans="6:16" x14ac:dyDescent="0.2">
      <c r="F709" s="28"/>
      <c r="H709" s="28"/>
      <c r="I709" s="28"/>
      <c r="J709" s="28"/>
      <c r="K709" s="9"/>
      <c r="O709" s="9"/>
      <c r="P709" s="77"/>
    </row>
    <row r="710" spans="6:16" x14ac:dyDescent="0.2">
      <c r="F710" s="28"/>
      <c r="H710" s="28"/>
      <c r="I710" s="28"/>
      <c r="J710" s="28"/>
      <c r="K710" s="9"/>
      <c r="O710" s="9"/>
      <c r="P710" s="77"/>
    </row>
    <row r="711" spans="6:16" x14ac:dyDescent="0.2">
      <c r="F711" s="28"/>
      <c r="H711" s="28"/>
      <c r="I711" s="28"/>
      <c r="J711" s="28"/>
      <c r="K711" s="9"/>
      <c r="O711" s="9"/>
      <c r="P711" s="77"/>
    </row>
    <row r="712" spans="6:16" x14ac:dyDescent="0.2">
      <c r="F712" s="28"/>
      <c r="H712" s="28"/>
      <c r="I712" s="28"/>
      <c r="J712" s="28"/>
      <c r="K712" s="9"/>
      <c r="O712" s="9"/>
      <c r="P712" s="77"/>
    </row>
    <row r="713" spans="6:16" x14ac:dyDescent="0.2">
      <c r="F713" s="28"/>
      <c r="H713" s="28"/>
      <c r="I713" s="28"/>
      <c r="J713" s="28"/>
      <c r="K713" s="9"/>
      <c r="O713" s="9"/>
      <c r="P713" s="77"/>
    </row>
    <row r="714" spans="6:16" x14ac:dyDescent="0.2">
      <c r="F714" s="28"/>
      <c r="H714" s="28"/>
      <c r="I714" s="28"/>
      <c r="J714" s="28"/>
      <c r="K714" s="9"/>
      <c r="O714" s="9"/>
      <c r="P714" s="77"/>
    </row>
    <row r="715" spans="6:16" x14ac:dyDescent="0.2">
      <c r="F715" s="28"/>
      <c r="H715" s="28"/>
      <c r="I715" s="28"/>
      <c r="J715" s="28"/>
      <c r="K715" s="9"/>
      <c r="O715" s="9"/>
      <c r="P715" s="77"/>
    </row>
    <row r="716" spans="6:16" x14ac:dyDescent="0.2">
      <c r="F716" s="28"/>
      <c r="H716" s="28"/>
      <c r="I716" s="28"/>
      <c r="J716" s="28"/>
      <c r="K716" s="9"/>
      <c r="O716" s="9"/>
      <c r="P716" s="77"/>
    </row>
    <row r="717" spans="6:16" x14ac:dyDescent="0.2">
      <c r="F717" s="28"/>
      <c r="H717" s="28"/>
      <c r="I717" s="28"/>
      <c r="J717" s="28"/>
      <c r="K717" s="9"/>
      <c r="O717" s="9"/>
      <c r="P717" s="77"/>
    </row>
    <row r="718" spans="6:16" x14ac:dyDescent="0.2">
      <c r="F718" s="28"/>
      <c r="H718" s="28"/>
      <c r="I718" s="28"/>
      <c r="J718" s="28"/>
      <c r="K718" s="9"/>
      <c r="O718" s="9"/>
      <c r="P718" s="77"/>
    </row>
    <row r="719" spans="6:16" x14ac:dyDescent="0.2">
      <c r="F719" s="28"/>
      <c r="H719" s="28"/>
      <c r="I719" s="28"/>
      <c r="J719" s="28"/>
      <c r="K719" s="9"/>
      <c r="O719" s="9"/>
      <c r="P719" s="77"/>
    </row>
    <row r="720" spans="6:16" x14ac:dyDescent="0.2">
      <c r="F720" s="28"/>
      <c r="H720" s="28"/>
      <c r="I720" s="28"/>
      <c r="J720" s="28"/>
      <c r="K720" s="9"/>
      <c r="O720" s="9"/>
      <c r="P720" s="77"/>
    </row>
    <row r="721" spans="6:16" x14ac:dyDescent="0.2">
      <c r="F721" s="28"/>
      <c r="H721" s="28"/>
      <c r="I721" s="28"/>
      <c r="J721" s="28"/>
      <c r="K721" s="9"/>
      <c r="O721" s="9"/>
      <c r="P721" s="77"/>
    </row>
    <row r="722" spans="6:16" x14ac:dyDescent="0.2">
      <c r="F722" s="28"/>
      <c r="H722" s="28"/>
      <c r="I722" s="28"/>
      <c r="J722" s="28"/>
      <c r="K722" s="9"/>
      <c r="O722" s="9"/>
      <c r="P722" s="77"/>
    </row>
    <row r="723" spans="6:16" x14ac:dyDescent="0.2">
      <c r="F723" s="28"/>
      <c r="H723" s="28"/>
      <c r="I723" s="28"/>
      <c r="J723" s="28"/>
      <c r="K723" s="9"/>
      <c r="O723" s="9"/>
      <c r="P723" s="77"/>
    </row>
    <row r="724" spans="6:16" x14ac:dyDescent="0.2">
      <c r="F724" s="28"/>
      <c r="H724" s="28"/>
      <c r="I724" s="28"/>
      <c r="J724" s="28"/>
      <c r="K724" s="9"/>
      <c r="O724" s="9"/>
      <c r="P724" s="77"/>
    </row>
    <row r="725" spans="6:16" x14ac:dyDescent="0.2">
      <c r="F725" s="28"/>
      <c r="H725" s="28"/>
      <c r="I725" s="28"/>
      <c r="J725" s="28"/>
      <c r="K725" s="9"/>
      <c r="O725" s="9"/>
      <c r="P725" s="77"/>
    </row>
    <row r="726" spans="6:16" x14ac:dyDescent="0.2">
      <c r="F726" s="28"/>
      <c r="H726" s="28"/>
      <c r="I726" s="28"/>
      <c r="J726" s="28"/>
      <c r="K726" s="9"/>
      <c r="O726" s="9"/>
      <c r="P726" s="77"/>
    </row>
    <row r="727" spans="6:16" x14ac:dyDescent="0.2">
      <c r="F727" s="28"/>
      <c r="H727" s="28"/>
      <c r="I727" s="28"/>
      <c r="J727" s="28"/>
      <c r="K727" s="9"/>
      <c r="O727" s="9"/>
      <c r="P727" s="77"/>
    </row>
    <row r="728" spans="6:16" x14ac:dyDescent="0.2">
      <c r="F728" s="28"/>
      <c r="H728" s="28"/>
      <c r="I728" s="28"/>
      <c r="J728" s="28"/>
      <c r="K728" s="9"/>
      <c r="O728" s="9"/>
      <c r="P728" s="77"/>
    </row>
    <row r="729" spans="6:16" x14ac:dyDescent="0.2">
      <c r="F729" s="28"/>
      <c r="H729" s="28"/>
      <c r="I729" s="28"/>
      <c r="J729" s="28"/>
      <c r="K729" s="9"/>
      <c r="O729" s="9"/>
      <c r="P729" s="77"/>
    </row>
    <row r="730" spans="6:16" x14ac:dyDescent="0.2">
      <c r="F730" s="28"/>
      <c r="H730" s="28"/>
      <c r="I730" s="28"/>
      <c r="J730" s="28"/>
      <c r="K730" s="9"/>
      <c r="O730" s="9"/>
      <c r="P730" s="77"/>
    </row>
    <row r="731" spans="6:16" x14ac:dyDescent="0.2">
      <c r="F731" s="28"/>
      <c r="H731" s="28"/>
      <c r="I731" s="28"/>
      <c r="J731" s="28"/>
      <c r="K731" s="9"/>
      <c r="O731" s="9"/>
      <c r="P731" s="77"/>
    </row>
    <row r="732" spans="6:16" x14ac:dyDescent="0.2">
      <c r="F732" s="28"/>
      <c r="H732" s="28"/>
      <c r="I732" s="28"/>
      <c r="J732" s="28"/>
      <c r="K732" s="9"/>
      <c r="O732" s="9"/>
      <c r="P732" s="77"/>
    </row>
    <row r="733" spans="6:16" x14ac:dyDescent="0.2">
      <c r="F733" s="28"/>
      <c r="H733" s="28"/>
      <c r="I733" s="28"/>
      <c r="J733" s="28"/>
      <c r="K733" s="9"/>
      <c r="O733" s="9"/>
      <c r="P733" s="77"/>
    </row>
    <row r="734" spans="6:16" x14ac:dyDescent="0.2">
      <c r="F734" s="28"/>
      <c r="H734" s="28"/>
      <c r="I734" s="28"/>
      <c r="J734" s="28"/>
      <c r="K734" s="9"/>
      <c r="O734" s="9"/>
      <c r="P734" s="77"/>
    </row>
    <row r="735" spans="6:16" x14ac:dyDescent="0.2">
      <c r="F735" s="28"/>
      <c r="H735" s="28"/>
      <c r="I735" s="28"/>
      <c r="J735" s="28"/>
      <c r="K735" s="9"/>
      <c r="O735" s="9"/>
      <c r="P735" s="77"/>
    </row>
    <row r="736" spans="6:16" x14ac:dyDescent="0.2">
      <c r="F736" s="28"/>
      <c r="H736" s="28"/>
      <c r="I736" s="28"/>
      <c r="J736" s="28"/>
      <c r="K736" s="9"/>
      <c r="O736" s="9"/>
      <c r="P736" s="77"/>
    </row>
    <row r="737" spans="6:16" x14ac:dyDescent="0.2">
      <c r="F737" s="28"/>
      <c r="H737" s="28"/>
      <c r="I737" s="28"/>
      <c r="J737" s="28"/>
      <c r="K737" s="9"/>
      <c r="O737" s="9"/>
      <c r="P737" s="77"/>
    </row>
    <row r="738" spans="6:16" x14ac:dyDescent="0.2">
      <c r="F738" s="28"/>
      <c r="H738" s="28"/>
      <c r="I738" s="28"/>
      <c r="J738" s="28"/>
      <c r="K738" s="9"/>
      <c r="O738" s="9"/>
      <c r="P738" s="77"/>
    </row>
    <row r="739" spans="6:16" x14ac:dyDescent="0.2">
      <c r="F739" s="28"/>
      <c r="H739" s="28"/>
      <c r="I739" s="28"/>
      <c r="J739" s="28"/>
      <c r="K739" s="9"/>
      <c r="O739" s="9"/>
      <c r="P739" s="77"/>
    </row>
    <row r="740" spans="6:16" x14ac:dyDescent="0.2">
      <c r="F740" s="28"/>
      <c r="H740" s="28"/>
      <c r="I740" s="28"/>
      <c r="J740" s="28"/>
      <c r="K740" s="9"/>
      <c r="O740" s="9"/>
      <c r="P740" s="77"/>
    </row>
    <row r="741" spans="6:16" x14ac:dyDescent="0.2">
      <c r="F741" s="28"/>
      <c r="H741" s="28"/>
      <c r="I741" s="28"/>
      <c r="J741" s="28"/>
      <c r="K741" s="9"/>
      <c r="O741" s="9"/>
      <c r="P741" s="77"/>
    </row>
    <row r="742" spans="6:16" x14ac:dyDescent="0.2">
      <c r="F742" s="28"/>
      <c r="H742" s="28"/>
      <c r="I742" s="28"/>
      <c r="J742" s="28"/>
      <c r="K742" s="9"/>
      <c r="O742" s="9"/>
      <c r="P742" s="77"/>
    </row>
    <row r="743" spans="6:16" x14ac:dyDescent="0.2">
      <c r="F743" s="28"/>
      <c r="H743" s="28"/>
      <c r="I743" s="28"/>
      <c r="J743" s="28"/>
      <c r="K743" s="9"/>
      <c r="O743" s="9"/>
      <c r="P743" s="77"/>
    </row>
    <row r="744" spans="6:16" x14ac:dyDescent="0.2">
      <c r="F744" s="28"/>
      <c r="H744" s="28"/>
      <c r="I744" s="28"/>
      <c r="J744" s="28"/>
      <c r="K744" s="9"/>
      <c r="O744" s="9"/>
      <c r="P744" s="77"/>
    </row>
    <row r="745" spans="6:16" x14ac:dyDescent="0.2">
      <c r="F745" s="28"/>
      <c r="H745" s="28"/>
      <c r="I745" s="28"/>
      <c r="J745" s="28"/>
      <c r="K745" s="9"/>
      <c r="O745" s="9"/>
      <c r="P745" s="77"/>
    </row>
    <row r="746" spans="6:16" x14ac:dyDescent="0.2">
      <c r="F746" s="28"/>
      <c r="H746" s="28"/>
      <c r="I746" s="28"/>
      <c r="J746" s="28"/>
      <c r="K746" s="9"/>
      <c r="O746" s="9"/>
      <c r="P746" s="77"/>
    </row>
    <row r="747" spans="6:16" x14ac:dyDescent="0.2">
      <c r="F747" s="28"/>
      <c r="H747" s="28"/>
      <c r="I747" s="28"/>
      <c r="J747" s="28"/>
      <c r="K747" s="9"/>
      <c r="O747" s="9"/>
      <c r="P747" s="77"/>
    </row>
    <row r="748" spans="6:16" x14ac:dyDescent="0.2">
      <c r="F748" s="28"/>
      <c r="H748" s="28"/>
      <c r="I748" s="28"/>
      <c r="J748" s="28"/>
      <c r="K748" s="9"/>
      <c r="O748" s="9"/>
      <c r="P748" s="77"/>
    </row>
    <row r="749" spans="6:16" x14ac:dyDescent="0.2">
      <c r="F749" s="28"/>
      <c r="H749" s="28"/>
      <c r="I749" s="28"/>
      <c r="J749" s="28"/>
      <c r="K749" s="9"/>
      <c r="O749" s="9"/>
      <c r="P749" s="77"/>
    </row>
    <row r="750" spans="6:16" x14ac:dyDescent="0.2">
      <c r="F750" s="28"/>
      <c r="H750" s="28"/>
      <c r="I750" s="28"/>
      <c r="J750" s="28"/>
      <c r="K750" s="9"/>
      <c r="O750" s="9"/>
      <c r="P750" s="77"/>
    </row>
    <row r="751" spans="6:16" x14ac:dyDescent="0.2">
      <c r="F751" s="28"/>
      <c r="H751" s="28"/>
      <c r="I751" s="28"/>
      <c r="J751" s="28"/>
      <c r="K751" s="9"/>
      <c r="O751" s="9"/>
      <c r="P751" s="77"/>
    </row>
    <row r="752" spans="6:16" x14ac:dyDescent="0.2">
      <c r="F752" s="28"/>
      <c r="H752" s="28"/>
      <c r="I752" s="28"/>
      <c r="J752" s="28"/>
      <c r="K752" s="9"/>
      <c r="O752" s="9"/>
      <c r="P752" s="77"/>
    </row>
    <row r="753" spans="6:16" x14ac:dyDescent="0.2">
      <c r="F753" s="28"/>
      <c r="H753" s="28"/>
      <c r="I753" s="28"/>
      <c r="J753" s="28"/>
      <c r="K753" s="9"/>
      <c r="O753" s="9"/>
      <c r="P753" s="77"/>
    </row>
    <row r="754" spans="6:16" x14ac:dyDescent="0.2">
      <c r="F754" s="28"/>
      <c r="H754" s="28"/>
      <c r="I754" s="28"/>
      <c r="J754" s="28"/>
      <c r="K754" s="9"/>
      <c r="O754" s="9"/>
      <c r="P754" s="77"/>
    </row>
    <row r="755" spans="6:16" x14ac:dyDescent="0.2">
      <c r="F755" s="28"/>
      <c r="H755" s="28"/>
      <c r="I755" s="28"/>
      <c r="J755" s="28"/>
      <c r="K755" s="9"/>
      <c r="O755" s="9"/>
      <c r="P755" s="77"/>
    </row>
    <row r="756" spans="6:16" x14ac:dyDescent="0.2">
      <c r="F756" s="28"/>
      <c r="H756" s="28"/>
      <c r="I756" s="28"/>
      <c r="J756" s="28"/>
      <c r="K756" s="9"/>
      <c r="O756" s="9"/>
      <c r="P756" s="77"/>
    </row>
    <row r="757" spans="6:16" x14ac:dyDescent="0.2">
      <c r="F757" s="28"/>
      <c r="H757" s="28"/>
      <c r="I757" s="28"/>
      <c r="J757" s="28"/>
      <c r="K757" s="9"/>
      <c r="O757" s="9"/>
      <c r="P757" s="77"/>
    </row>
    <row r="758" spans="6:16" x14ac:dyDescent="0.2">
      <c r="F758" s="28"/>
      <c r="H758" s="28"/>
      <c r="I758" s="28"/>
      <c r="J758" s="28"/>
      <c r="K758" s="9"/>
      <c r="O758" s="9"/>
      <c r="P758" s="77"/>
    </row>
    <row r="759" spans="6:16" x14ac:dyDescent="0.2">
      <c r="F759" s="28"/>
      <c r="H759" s="28"/>
      <c r="I759" s="28"/>
      <c r="J759" s="28"/>
      <c r="K759" s="9"/>
      <c r="O759" s="9"/>
      <c r="P759" s="77"/>
    </row>
    <row r="760" spans="6:16" x14ac:dyDescent="0.2">
      <c r="F760" s="28"/>
      <c r="H760" s="28"/>
      <c r="I760" s="28"/>
      <c r="J760" s="28"/>
      <c r="K760" s="9"/>
      <c r="O760" s="9"/>
      <c r="P760" s="77"/>
    </row>
    <row r="761" spans="6:16" x14ac:dyDescent="0.2">
      <c r="F761" s="28"/>
      <c r="H761" s="28"/>
      <c r="I761" s="28"/>
      <c r="J761" s="28"/>
      <c r="K761" s="9"/>
      <c r="O761" s="9"/>
      <c r="P761" s="77"/>
    </row>
    <row r="762" spans="6:16" x14ac:dyDescent="0.2">
      <c r="F762" s="28"/>
      <c r="H762" s="28"/>
      <c r="I762" s="28"/>
      <c r="J762" s="28"/>
      <c r="K762" s="9"/>
      <c r="O762" s="9"/>
      <c r="P762" s="77"/>
    </row>
    <row r="763" spans="6:16" x14ac:dyDescent="0.2">
      <c r="F763" s="28"/>
      <c r="H763" s="28"/>
      <c r="I763" s="28"/>
      <c r="J763" s="28"/>
      <c r="K763" s="9"/>
      <c r="O763" s="9"/>
      <c r="P763" s="77"/>
    </row>
    <row r="764" spans="6:16" x14ac:dyDescent="0.2">
      <c r="F764" s="28"/>
      <c r="H764" s="28"/>
      <c r="I764" s="28"/>
      <c r="J764" s="28"/>
      <c r="K764" s="9"/>
      <c r="O764" s="9"/>
      <c r="P764" s="77"/>
    </row>
    <row r="765" spans="6:16" x14ac:dyDescent="0.2">
      <c r="F765" s="28"/>
      <c r="H765" s="28"/>
      <c r="I765" s="28"/>
      <c r="J765" s="28"/>
      <c r="K765" s="9"/>
      <c r="O765" s="9"/>
      <c r="P765" s="77"/>
    </row>
    <row r="766" spans="6:16" x14ac:dyDescent="0.2">
      <c r="F766" s="28"/>
      <c r="H766" s="28"/>
      <c r="I766" s="28"/>
      <c r="J766" s="28"/>
      <c r="K766" s="9"/>
      <c r="O766" s="9"/>
      <c r="P766" s="77"/>
    </row>
    <row r="767" spans="6:16" x14ac:dyDescent="0.2">
      <c r="F767" s="28"/>
      <c r="H767" s="28"/>
      <c r="I767" s="28"/>
      <c r="J767" s="28"/>
      <c r="K767" s="9"/>
      <c r="O767" s="9"/>
      <c r="P767" s="77"/>
    </row>
    <row r="768" spans="6:16" x14ac:dyDescent="0.2">
      <c r="F768" s="28"/>
      <c r="H768" s="28"/>
      <c r="I768" s="28"/>
      <c r="J768" s="28"/>
      <c r="K768" s="9"/>
      <c r="O768" s="9"/>
      <c r="P768" s="77"/>
    </row>
    <row r="769" spans="6:16" x14ac:dyDescent="0.2">
      <c r="F769" s="28"/>
      <c r="H769" s="28"/>
      <c r="I769" s="28"/>
      <c r="J769" s="28"/>
      <c r="K769" s="9"/>
      <c r="O769" s="9"/>
      <c r="P769" s="77"/>
    </row>
    <row r="770" spans="6:16" x14ac:dyDescent="0.2">
      <c r="F770" s="28"/>
      <c r="H770" s="28"/>
      <c r="I770" s="28"/>
      <c r="J770" s="28"/>
      <c r="K770" s="9"/>
      <c r="O770" s="9"/>
      <c r="P770" s="77"/>
    </row>
    <row r="771" spans="6:16" x14ac:dyDescent="0.2">
      <c r="F771" s="28"/>
      <c r="H771" s="28"/>
      <c r="I771" s="28"/>
      <c r="J771" s="28"/>
      <c r="K771" s="9"/>
      <c r="O771" s="9"/>
      <c r="P771" s="77"/>
    </row>
    <row r="772" spans="6:16" x14ac:dyDescent="0.2">
      <c r="F772" s="28"/>
      <c r="H772" s="28"/>
      <c r="I772" s="28"/>
      <c r="J772" s="28"/>
      <c r="K772" s="9"/>
      <c r="O772" s="9"/>
      <c r="P772" s="77"/>
    </row>
    <row r="773" spans="6:16" x14ac:dyDescent="0.2">
      <c r="F773" s="28"/>
      <c r="H773" s="28"/>
      <c r="I773" s="28"/>
      <c r="J773" s="28"/>
      <c r="K773" s="9"/>
      <c r="O773" s="9"/>
      <c r="P773" s="77"/>
    </row>
    <row r="774" spans="6:16" x14ac:dyDescent="0.2">
      <c r="F774" s="28"/>
      <c r="H774" s="28"/>
      <c r="I774" s="28"/>
      <c r="J774" s="28"/>
      <c r="K774" s="9"/>
      <c r="O774" s="9"/>
      <c r="P774" s="77"/>
    </row>
    <row r="775" spans="6:16" x14ac:dyDescent="0.2">
      <c r="F775" s="28"/>
      <c r="H775" s="28"/>
      <c r="I775" s="28"/>
      <c r="J775" s="28"/>
      <c r="K775" s="9"/>
      <c r="O775" s="9"/>
      <c r="P775" s="77"/>
    </row>
    <row r="776" spans="6:16" x14ac:dyDescent="0.2">
      <c r="F776" s="28"/>
      <c r="H776" s="28"/>
      <c r="I776" s="28"/>
      <c r="J776" s="28"/>
      <c r="K776" s="9"/>
      <c r="O776" s="9"/>
      <c r="P776" s="77"/>
    </row>
    <row r="777" spans="6:16" x14ac:dyDescent="0.2">
      <c r="F777" s="28"/>
      <c r="H777" s="28"/>
      <c r="I777" s="28"/>
      <c r="J777" s="28"/>
      <c r="K777" s="9"/>
      <c r="O777" s="9"/>
      <c r="P777" s="77"/>
    </row>
    <row r="778" spans="6:16" x14ac:dyDescent="0.2">
      <c r="F778" s="28"/>
      <c r="H778" s="28"/>
      <c r="I778" s="28"/>
      <c r="J778" s="28"/>
      <c r="K778" s="9"/>
      <c r="O778" s="9"/>
      <c r="P778" s="77"/>
    </row>
    <row r="779" spans="6:16" x14ac:dyDescent="0.2">
      <c r="F779" s="28"/>
      <c r="H779" s="28"/>
      <c r="I779" s="28"/>
      <c r="J779" s="28"/>
      <c r="K779" s="9"/>
      <c r="O779" s="9"/>
      <c r="P779" s="77"/>
    </row>
    <row r="780" spans="6:16" x14ac:dyDescent="0.2">
      <c r="F780" s="28"/>
      <c r="H780" s="28"/>
      <c r="I780" s="28"/>
      <c r="J780" s="28"/>
      <c r="K780" s="9"/>
      <c r="O780" s="9"/>
      <c r="P780" s="77"/>
    </row>
    <row r="781" spans="6:16" x14ac:dyDescent="0.2">
      <c r="F781" s="28"/>
      <c r="H781" s="28"/>
      <c r="I781" s="28"/>
      <c r="J781" s="28"/>
      <c r="K781" s="9"/>
      <c r="O781" s="9"/>
      <c r="P781" s="77"/>
    </row>
    <row r="782" spans="6:16" x14ac:dyDescent="0.2">
      <c r="F782" s="28"/>
      <c r="H782" s="28"/>
      <c r="I782" s="28"/>
      <c r="J782" s="28"/>
      <c r="K782" s="9"/>
      <c r="O782" s="9"/>
      <c r="P782" s="77"/>
    </row>
    <row r="783" spans="6:16" x14ac:dyDescent="0.2">
      <c r="F783" s="28"/>
      <c r="H783" s="28"/>
      <c r="I783" s="28"/>
      <c r="J783" s="28"/>
      <c r="K783" s="9"/>
      <c r="O783" s="9"/>
      <c r="P783" s="77"/>
    </row>
    <row r="784" spans="6:16" x14ac:dyDescent="0.2">
      <c r="F784" s="28"/>
      <c r="H784" s="28"/>
      <c r="I784" s="28"/>
      <c r="J784" s="28"/>
      <c r="K784" s="9"/>
      <c r="O784" s="9"/>
      <c r="P784" s="77"/>
    </row>
    <row r="785" spans="6:16" x14ac:dyDescent="0.2">
      <c r="F785" s="28"/>
      <c r="H785" s="28"/>
      <c r="I785" s="28"/>
      <c r="J785" s="28"/>
      <c r="K785" s="9"/>
      <c r="O785" s="9"/>
      <c r="P785" s="77"/>
    </row>
    <row r="786" spans="6:16" x14ac:dyDescent="0.2">
      <c r="F786" s="28"/>
      <c r="H786" s="28"/>
      <c r="I786" s="28"/>
      <c r="J786" s="28"/>
      <c r="K786" s="9"/>
      <c r="O786" s="9"/>
      <c r="P786" s="77"/>
    </row>
    <row r="787" spans="6:16" x14ac:dyDescent="0.2">
      <c r="F787" s="28"/>
      <c r="H787" s="28"/>
      <c r="I787" s="28"/>
      <c r="J787" s="28"/>
      <c r="K787" s="9"/>
      <c r="O787" s="9"/>
      <c r="P787" s="77"/>
    </row>
    <row r="788" spans="6:16" x14ac:dyDescent="0.2">
      <c r="F788" s="28"/>
      <c r="H788" s="28"/>
      <c r="I788" s="28"/>
      <c r="J788" s="28"/>
      <c r="K788" s="9"/>
      <c r="O788" s="9"/>
      <c r="P788" s="77"/>
    </row>
    <row r="789" spans="6:16" x14ac:dyDescent="0.2">
      <c r="F789" s="28"/>
      <c r="H789" s="28"/>
      <c r="I789" s="28"/>
      <c r="J789" s="28"/>
      <c r="K789" s="9"/>
      <c r="O789" s="9"/>
      <c r="P789" s="77"/>
    </row>
    <row r="790" spans="6:16" x14ac:dyDescent="0.2">
      <c r="F790" s="28"/>
      <c r="H790" s="28"/>
      <c r="I790" s="28"/>
      <c r="J790" s="28"/>
      <c r="K790" s="9"/>
      <c r="O790" s="9"/>
      <c r="P790" s="77"/>
    </row>
    <row r="791" spans="6:16" x14ac:dyDescent="0.2">
      <c r="F791" s="28"/>
      <c r="H791" s="28"/>
      <c r="I791" s="28"/>
      <c r="J791" s="28"/>
      <c r="K791" s="9"/>
      <c r="O791" s="9"/>
      <c r="P791" s="77"/>
    </row>
    <row r="792" spans="6:16" x14ac:dyDescent="0.2">
      <c r="F792" s="28"/>
      <c r="H792" s="28"/>
      <c r="I792" s="28"/>
      <c r="J792" s="28"/>
      <c r="K792" s="9"/>
      <c r="O792" s="9"/>
      <c r="P792" s="77"/>
    </row>
    <row r="793" spans="6:16" x14ac:dyDescent="0.2">
      <c r="F793" s="28"/>
      <c r="H793" s="28"/>
      <c r="I793" s="28"/>
      <c r="J793" s="28"/>
      <c r="K793" s="9"/>
      <c r="O793" s="9"/>
      <c r="P793" s="77"/>
    </row>
    <row r="794" spans="6:16" x14ac:dyDescent="0.2">
      <c r="F794" s="28"/>
      <c r="H794" s="28"/>
      <c r="I794" s="28"/>
      <c r="J794" s="28"/>
      <c r="K794" s="9"/>
      <c r="O794" s="9"/>
      <c r="P794" s="77"/>
    </row>
    <row r="795" spans="6:16" x14ac:dyDescent="0.2">
      <c r="F795" s="28"/>
      <c r="H795" s="28"/>
      <c r="I795" s="28"/>
      <c r="J795" s="28"/>
      <c r="K795" s="9"/>
      <c r="O795" s="9"/>
      <c r="P795" s="77"/>
    </row>
    <row r="796" spans="6:16" x14ac:dyDescent="0.2">
      <c r="F796" s="28"/>
      <c r="H796" s="28"/>
      <c r="I796" s="28"/>
      <c r="J796" s="28"/>
      <c r="K796" s="9"/>
      <c r="O796" s="9"/>
      <c r="P796" s="77"/>
    </row>
    <row r="797" spans="6:16" x14ac:dyDescent="0.2">
      <c r="F797" s="28"/>
      <c r="H797" s="28"/>
      <c r="I797" s="28"/>
      <c r="J797" s="28"/>
      <c r="K797" s="9"/>
      <c r="O797" s="9"/>
      <c r="P797" s="77"/>
    </row>
    <row r="798" spans="6:16" x14ac:dyDescent="0.2">
      <c r="F798" s="28"/>
      <c r="H798" s="28"/>
      <c r="I798" s="28"/>
      <c r="J798" s="28"/>
      <c r="K798" s="9"/>
      <c r="O798" s="9"/>
      <c r="P798" s="77"/>
    </row>
    <row r="799" spans="6:16" x14ac:dyDescent="0.2">
      <c r="F799" s="28"/>
      <c r="H799" s="28"/>
      <c r="I799" s="28"/>
      <c r="J799" s="28"/>
      <c r="K799" s="9"/>
      <c r="O799" s="9"/>
      <c r="P799" s="77"/>
    </row>
    <row r="800" spans="6:16" x14ac:dyDescent="0.2">
      <c r="F800" s="28"/>
      <c r="H800" s="28"/>
      <c r="I800" s="28"/>
      <c r="J800" s="28"/>
      <c r="K800" s="9"/>
      <c r="O800" s="9"/>
      <c r="P800" s="77"/>
    </row>
    <row r="801" spans="6:16" x14ac:dyDescent="0.2">
      <c r="F801" s="28"/>
      <c r="H801" s="28"/>
      <c r="I801" s="28"/>
      <c r="J801" s="28"/>
      <c r="K801" s="9"/>
      <c r="O801" s="9"/>
      <c r="P801" s="77"/>
    </row>
    <row r="802" spans="6:16" x14ac:dyDescent="0.2">
      <c r="F802" s="28"/>
      <c r="H802" s="28"/>
      <c r="I802" s="28"/>
      <c r="J802" s="28"/>
      <c r="K802" s="9"/>
      <c r="O802" s="9"/>
      <c r="P802" s="77"/>
    </row>
    <row r="803" spans="6:16" x14ac:dyDescent="0.2">
      <c r="F803" s="28"/>
      <c r="H803" s="28"/>
      <c r="I803" s="28"/>
      <c r="J803" s="28"/>
      <c r="K803" s="9"/>
      <c r="O803" s="9"/>
      <c r="P803" s="77"/>
    </row>
    <row r="804" spans="6:16" x14ac:dyDescent="0.2">
      <c r="F804" s="28"/>
      <c r="H804" s="28"/>
      <c r="I804" s="28"/>
      <c r="J804" s="28"/>
      <c r="K804" s="9"/>
      <c r="O804" s="9"/>
      <c r="P804" s="77"/>
    </row>
    <row r="805" spans="6:16" x14ac:dyDescent="0.2">
      <c r="F805" s="28"/>
      <c r="H805" s="28"/>
      <c r="I805" s="28"/>
      <c r="J805" s="28"/>
      <c r="K805" s="9"/>
      <c r="O805" s="9"/>
      <c r="P805" s="77"/>
    </row>
    <row r="806" spans="6:16" x14ac:dyDescent="0.2">
      <c r="F806" s="28"/>
      <c r="H806" s="28"/>
      <c r="I806" s="28"/>
      <c r="J806" s="28"/>
      <c r="K806" s="9"/>
      <c r="O806" s="9"/>
      <c r="P806" s="77"/>
    </row>
    <row r="807" spans="6:16" x14ac:dyDescent="0.2">
      <c r="F807" s="28"/>
      <c r="H807" s="28"/>
      <c r="I807" s="28"/>
      <c r="J807" s="28"/>
      <c r="K807" s="9"/>
      <c r="O807" s="9"/>
      <c r="P807" s="77"/>
    </row>
    <row r="808" spans="6:16" x14ac:dyDescent="0.2">
      <c r="F808" s="28"/>
      <c r="H808" s="28"/>
      <c r="I808" s="28"/>
      <c r="J808" s="28"/>
      <c r="K808" s="9"/>
      <c r="O808" s="9"/>
      <c r="P808" s="77"/>
    </row>
    <row r="809" spans="6:16" x14ac:dyDescent="0.2">
      <c r="F809" s="28"/>
      <c r="H809" s="28"/>
      <c r="I809" s="28"/>
      <c r="J809" s="28"/>
      <c r="K809" s="9"/>
      <c r="O809" s="9"/>
      <c r="P809" s="77"/>
    </row>
    <row r="810" spans="6:16" x14ac:dyDescent="0.2">
      <c r="F810" s="28"/>
      <c r="H810" s="28"/>
      <c r="I810" s="28"/>
      <c r="J810" s="28"/>
      <c r="K810" s="9"/>
      <c r="O810" s="9"/>
      <c r="P810" s="77"/>
    </row>
    <row r="811" spans="6:16" x14ac:dyDescent="0.2">
      <c r="F811" s="28"/>
      <c r="H811" s="28"/>
      <c r="I811" s="28"/>
      <c r="J811" s="28"/>
      <c r="K811" s="9"/>
      <c r="O811" s="9"/>
      <c r="P811" s="77"/>
    </row>
    <row r="812" spans="6:16" x14ac:dyDescent="0.2">
      <c r="F812" s="28"/>
      <c r="H812" s="28"/>
      <c r="I812" s="28"/>
      <c r="J812" s="28"/>
      <c r="K812" s="9"/>
      <c r="O812" s="9"/>
      <c r="P812" s="77"/>
    </row>
    <row r="813" spans="6:16" x14ac:dyDescent="0.2">
      <c r="F813" s="28"/>
      <c r="H813" s="28"/>
      <c r="I813" s="28"/>
      <c r="J813" s="28"/>
      <c r="K813" s="9"/>
      <c r="O813" s="9"/>
      <c r="P813" s="77"/>
    </row>
    <row r="814" spans="6:16" x14ac:dyDescent="0.2">
      <c r="F814" s="28"/>
      <c r="H814" s="28"/>
      <c r="I814" s="28"/>
      <c r="J814" s="28"/>
      <c r="K814" s="9"/>
      <c r="O814" s="9"/>
      <c r="P814" s="77"/>
    </row>
    <row r="815" spans="6:16" x14ac:dyDescent="0.2">
      <c r="F815" s="28"/>
      <c r="H815" s="28"/>
      <c r="I815" s="28"/>
      <c r="J815" s="28"/>
      <c r="K815" s="9"/>
      <c r="O815" s="9"/>
      <c r="P815" s="77"/>
    </row>
    <row r="816" spans="6:16" x14ac:dyDescent="0.2">
      <c r="F816" s="28"/>
      <c r="H816" s="28"/>
      <c r="I816" s="28"/>
      <c r="J816" s="28"/>
      <c r="K816" s="9"/>
      <c r="O816" s="9"/>
      <c r="P816" s="77"/>
    </row>
    <row r="817" spans="6:16" x14ac:dyDescent="0.2">
      <c r="F817" s="28"/>
      <c r="H817" s="28"/>
      <c r="I817" s="28"/>
      <c r="J817" s="28"/>
      <c r="K817" s="9"/>
      <c r="O817" s="9"/>
      <c r="P817" s="77"/>
    </row>
    <row r="818" spans="6:16" x14ac:dyDescent="0.2">
      <c r="F818" s="28"/>
      <c r="H818" s="28"/>
      <c r="I818" s="28"/>
      <c r="J818" s="28"/>
      <c r="K818" s="9"/>
      <c r="O818" s="9"/>
      <c r="P818" s="77"/>
    </row>
    <row r="819" spans="6:16" x14ac:dyDescent="0.2">
      <c r="F819" s="28"/>
      <c r="H819" s="28"/>
      <c r="I819" s="28"/>
      <c r="J819" s="28"/>
      <c r="K819" s="9"/>
      <c r="O819" s="9"/>
      <c r="P819" s="77"/>
    </row>
    <row r="820" spans="6:16" x14ac:dyDescent="0.2">
      <c r="F820" s="28"/>
      <c r="H820" s="28"/>
      <c r="I820" s="28"/>
      <c r="J820" s="28"/>
      <c r="K820" s="9"/>
      <c r="O820" s="9"/>
      <c r="P820" s="77"/>
    </row>
    <row r="821" spans="6:16" x14ac:dyDescent="0.2">
      <c r="F821" s="28"/>
      <c r="H821" s="28"/>
      <c r="I821" s="28"/>
      <c r="J821" s="28"/>
      <c r="K821" s="9"/>
      <c r="O821" s="9"/>
      <c r="P821" s="77"/>
    </row>
    <row r="822" spans="6:16" x14ac:dyDescent="0.2">
      <c r="F822" s="28"/>
      <c r="H822" s="28"/>
      <c r="I822" s="28"/>
      <c r="J822" s="28"/>
      <c r="K822" s="9"/>
      <c r="O822" s="9"/>
      <c r="P822" s="77"/>
    </row>
    <row r="823" spans="6:16" x14ac:dyDescent="0.2">
      <c r="F823" s="28"/>
      <c r="H823" s="28"/>
      <c r="I823" s="28"/>
      <c r="J823" s="28"/>
      <c r="K823" s="9"/>
      <c r="O823" s="9"/>
      <c r="P823" s="77"/>
    </row>
    <row r="824" spans="6:16" x14ac:dyDescent="0.2">
      <c r="F824" s="28"/>
      <c r="H824" s="28"/>
      <c r="I824" s="28"/>
      <c r="J824" s="28"/>
      <c r="K824" s="9"/>
      <c r="O824" s="9"/>
      <c r="P824" s="77"/>
    </row>
    <row r="825" spans="6:16" x14ac:dyDescent="0.2">
      <c r="F825" s="28"/>
      <c r="H825" s="28"/>
      <c r="I825" s="28"/>
      <c r="J825" s="28"/>
      <c r="K825" s="9"/>
      <c r="O825" s="9"/>
      <c r="P825" s="77"/>
    </row>
    <row r="826" spans="6:16" x14ac:dyDescent="0.2">
      <c r="F826" s="28"/>
      <c r="H826" s="28"/>
      <c r="I826" s="28"/>
      <c r="J826" s="28"/>
      <c r="K826" s="9"/>
      <c r="O826" s="9"/>
      <c r="P826" s="77"/>
    </row>
    <row r="827" spans="6:16" x14ac:dyDescent="0.2">
      <c r="F827" s="28"/>
      <c r="H827" s="28"/>
      <c r="I827" s="28"/>
      <c r="J827" s="28"/>
      <c r="K827" s="9"/>
      <c r="O827" s="9"/>
      <c r="P827" s="77"/>
    </row>
    <row r="828" spans="6:16" x14ac:dyDescent="0.2">
      <c r="F828" s="28"/>
      <c r="H828" s="28"/>
      <c r="I828" s="28"/>
      <c r="J828" s="28"/>
      <c r="K828" s="9"/>
      <c r="O828" s="9"/>
      <c r="P828" s="77"/>
    </row>
    <row r="829" spans="6:16" x14ac:dyDescent="0.2">
      <c r="F829" s="28"/>
      <c r="H829" s="28"/>
      <c r="I829" s="28"/>
      <c r="J829" s="28"/>
      <c r="K829" s="9"/>
      <c r="O829" s="9"/>
      <c r="P829" s="77"/>
    </row>
    <row r="830" spans="6:16" x14ac:dyDescent="0.2">
      <c r="F830" s="28"/>
      <c r="H830" s="28"/>
      <c r="I830" s="28"/>
      <c r="J830" s="28"/>
      <c r="K830" s="9"/>
      <c r="O830" s="9"/>
      <c r="P830" s="77"/>
    </row>
    <row r="831" spans="6:16" x14ac:dyDescent="0.2">
      <c r="F831" s="28"/>
      <c r="H831" s="28"/>
      <c r="I831" s="28"/>
      <c r="J831" s="28"/>
      <c r="K831" s="9"/>
      <c r="O831" s="9"/>
      <c r="P831" s="77"/>
    </row>
    <row r="832" spans="6:16" x14ac:dyDescent="0.2">
      <c r="F832" s="28"/>
      <c r="H832" s="28"/>
      <c r="I832" s="28"/>
      <c r="J832" s="28"/>
      <c r="K832" s="9"/>
      <c r="O832" s="9"/>
      <c r="P832" s="77"/>
    </row>
    <row r="833" spans="6:16" x14ac:dyDescent="0.2">
      <c r="F833" s="28"/>
      <c r="H833" s="28"/>
      <c r="I833" s="28"/>
      <c r="J833" s="28"/>
      <c r="K833" s="9"/>
      <c r="O833" s="9"/>
      <c r="P833" s="77"/>
    </row>
    <row r="834" spans="6:16" x14ac:dyDescent="0.2">
      <c r="F834" s="28"/>
      <c r="H834" s="28"/>
      <c r="I834" s="28"/>
      <c r="J834" s="28"/>
      <c r="K834" s="9"/>
      <c r="O834" s="9"/>
      <c r="P834" s="77"/>
    </row>
    <row r="835" spans="6:16" x14ac:dyDescent="0.2">
      <c r="F835" s="28"/>
      <c r="H835" s="28"/>
      <c r="I835" s="28"/>
      <c r="J835" s="28"/>
      <c r="K835" s="9"/>
      <c r="O835" s="9"/>
      <c r="P835" s="77"/>
    </row>
    <row r="836" spans="6:16" x14ac:dyDescent="0.2">
      <c r="F836" s="28"/>
      <c r="H836" s="28"/>
      <c r="I836" s="28"/>
      <c r="J836" s="28"/>
      <c r="K836" s="9"/>
      <c r="O836" s="9"/>
      <c r="P836" s="77"/>
    </row>
    <row r="837" spans="6:16" x14ac:dyDescent="0.2">
      <c r="F837" s="28"/>
      <c r="H837" s="28"/>
      <c r="I837" s="28"/>
      <c r="J837" s="28"/>
      <c r="K837" s="9"/>
      <c r="O837" s="9"/>
      <c r="P837" s="77"/>
    </row>
    <row r="838" spans="6:16" x14ac:dyDescent="0.2">
      <c r="F838" s="28"/>
      <c r="H838" s="28"/>
      <c r="I838" s="28"/>
      <c r="J838" s="28"/>
      <c r="K838" s="9"/>
      <c r="O838" s="9"/>
      <c r="P838" s="77"/>
    </row>
    <row r="839" spans="6:16" x14ac:dyDescent="0.2">
      <c r="F839" s="28"/>
      <c r="H839" s="28"/>
      <c r="I839" s="28"/>
      <c r="J839" s="28"/>
      <c r="K839" s="9"/>
      <c r="O839" s="9"/>
      <c r="P839" s="77"/>
    </row>
    <row r="840" spans="6:16" x14ac:dyDescent="0.2">
      <c r="F840" s="28"/>
      <c r="H840" s="28"/>
      <c r="I840" s="28"/>
      <c r="J840" s="28"/>
      <c r="K840" s="9"/>
      <c r="O840" s="9"/>
      <c r="P840" s="77"/>
    </row>
    <row r="841" spans="6:16" x14ac:dyDescent="0.2">
      <c r="F841" s="28"/>
      <c r="H841" s="28"/>
      <c r="I841" s="28"/>
      <c r="J841" s="28"/>
      <c r="K841" s="9"/>
      <c r="O841" s="9"/>
      <c r="P841" s="77"/>
    </row>
    <row r="842" spans="6:16" x14ac:dyDescent="0.2">
      <c r="F842" s="28"/>
      <c r="H842" s="28"/>
      <c r="I842" s="28"/>
      <c r="J842" s="28"/>
      <c r="K842" s="9"/>
      <c r="O842" s="9"/>
      <c r="P842" s="77"/>
    </row>
    <row r="843" spans="6:16" x14ac:dyDescent="0.2">
      <c r="F843" s="28"/>
      <c r="H843" s="28"/>
      <c r="I843" s="28"/>
      <c r="J843" s="28"/>
      <c r="K843" s="9"/>
      <c r="O843" s="9"/>
      <c r="P843" s="77"/>
    </row>
    <row r="844" spans="6:16" x14ac:dyDescent="0.2">
      <c r="F844" s="28"/>
      <c r="H844" s="28"/>
      <c r="I844" s="28"/>
      <c r="J844" s="28"/>
      <c r="K844" s="9"/>
      <c r="O844" s="9"/>
      <c r="P844" s="77"/>
    </row>
    <row r="845" spans="6:16" x14ac:dyDescent="0.2">
      <c r="F845" s="28"/>
      <c r="H845" s="28"/>
      <c r="I845" s="28"/>
      <c r="J845" s="28"/>
      <c r="K845" s="9"/>
      <c r="O845" s="9"/>
      <c r="P845" s="77"/>
    </row>
    <row r="846" spans="6:16" x14ac:dyDescent="0.2">
      <c r="F846" s="28"/>
      <c r="H846" s="28"/>
      <c r="I846" s="28"/>
      <c r="J846" s="28"/>
      <c r="K846" s="9"/>
      <c r="O846" s="9"/>
      <c r="P846" s="77"/>
    </row>
    <row r="847" spans="6:16" x14ac:dyDescent="0.2">
      <c r="F847" s="28"/>
      <c r="H847" s="28"/>
      <c r="I847" s="28"/>
      <c r="J847" s="28"/>
      <c r="K847" s="9"/>
      <c r="O847" s="9"/>
      <c r="P847" s="77"/>
    </row>
    <row r="848" spans="6:16" x14ac:dyDescent="0.2">
      <c r="F848" s="28"/>
      <c r="H848" s="28"/>
      <c r="I848" s="28"/>
      <c r="J848" s="28"/>
      <c r="K848" s="9"/>
      <c r="O848" s="9"/>
      <c r="P848" s="77"/>
    </row>
    <row r="849" spans="6:16" x14ac:dyDescent="0.2">
      <c r="F849" s="28"/>
      <c r="H849" s="28"/>
      <c r="I849" s="28"/>
      <c r="J849" s="28"/>
      <c r="K849" s="9"/>
      <c r="O849" s="9"/>
      <c r="P849" s="77"/>
    </row>
    <row r="850" spans="6:16" x14ac:dyDescent="0.2">
      <c r="F850" s="28"/>
      <c r="H850" s="28"/>
      <c r="I850" s="28"/>
      <c r="J850" s="28"/>
      <c r="K850" s="9"/>
      <c r="O850" s="9"/>
      <c r="P850" s="77"/>
    </row>
    <row r="851" spans="6:16" x14ac:dyDescent="0.2">
      <c r="F851" s="28"/>
      <c r="H851" s="28"/>
      <c r="I851" s="28"/>
      <c r="J851" s="28"/>
      <c r="K851" s="9"/>
      <c r="O851" s="9"/>
      <c r="P851" s="77"/>
    </row>
    <row r="852" spans="6:16" x14ac:dyDescent="0.2">
      <c r="F852" s="28"/>
      <c r="H852" s="28"/>
      <c r="I852" s="28"/>
      <c r="J852" s="28"/>
      <c r="K852" s="9"/>
      <c r="O852" s="9"/>
      <c r="P852" s="77"/>
    </row>
    <row r="853" spans="6:16" x14ac:dyDescent="0.2">
      <c r="F853" s="28"/>
      <c r="H853" s="28"/>
      <c r="I853" s="28"/>
      <c r="J853" s="28"/>
      <c r="K853" s="9"/>
      <c r="O853" s="9"/>
      <c r="P853" s="77"/>
    </row>
    <row r="854" spans="6:16" x14ac:dyDescent="0.2">
      <c r="F854" s="28"/>
      <c r="H854" s="28"/>
      <c r="I854" s="28"/>
      <c r="J854" s="28"/>
      <c r="K854" s="9"/>
      <c r="O854" s="9"/>
      <c r="P854" s="77"/>
    </row>
    <row r="855" spans="6:16" x14ac:dyDescent="0.2">
      <c r="F855" s="28"/>
      <c r="H855" s="28"/>
      <c r="I855" s="28"/>
      <c r="J855" s="28"/>
      <c r="K855" s="9"/>
      <c r="O855" s="9"/>
      <c r="P855" s="77"/>
    </row>
    <row r="856" spans="6:16" x14ac:dyDescent="0.2">
      <c r="F856" s="28"/>
      <c r="H856" s="28"/>
      <c r="I856" s="28"/>
      <c r="J856" s="28"/>
      <c r="K856" s="9"/>
      <c r="O856" s="9"/>
      <c r="P856" s="77"/>
    </row>
    <row r="857" spans="6:16" x14ac:dyDescent="0.2">
      <c r="F857" s="28"/>
      <c r="H857" s="28"/>
      <c r="I857" s="28"/>
      <c r="J857" s="28"/>
      <c r="K857" s="9"/>
      <c r="O857" s="9"/>
      <c r="P857" s="77"/>
    </row>
    <row r="858" spans="6:16" x14ac:dyDescent="0.2">
      <c r="F858" s="28"/>
      <c r="H858" s="28"/>
      <c r="I858" s="28"/>
      <c r="J858" s="28"/>
      <c r="K858" s="9"/>
      <c r="O858" s="9"/>
      <c r="P858" s="77"/>
    </row>
    <row r="859" spans="6:16" x14ac:dyDescent="0.2">
      <c r="F859" s="28"/>
      <c r="H859" s="28"/>
      <c r="I859" s="28"/>
      <c r="J859" s="28"/>
      <c r="K859" s="9"/>
      <c r="O859" s="9"/>
      <c r="P859" s="77"/>
    </row>
    <row r="860" spans="6:16" x14ac:dyDescent="0.2">
      <c r="F860" s="28"/>
      <c r="H860" s="28"/>
      <c r="I860" s="28"/>
      <c r="J860" s="28"/>
      <c r="K860" s="9"/>
      <c r="O860" s="9"/>
      <c r="P860" s="77"/>
    </row>
    <row r="861" spans="6:16" x14ac:dyDescent="0.2">
      <c r="F861" s="28"/>
      <c r="H861" s="28"/>
      <c r="I861" s="28"/>
      <c r="J861" s="28"/>
      <c r="K861" s="9"/>
      <c r="O861" s="9"/>
      <c r="P861" s="77"/>
    </row>
    <row r="862" spans="6:16" x14ac:dyDescent="0.2">
      <c r="F862" s="28"/>
      <c r="H862" s="28"/>
      <c r="I862" s="28"/>
      <c r="J862" s="28"/>
      <c r="K862" s="9"/>
      <c r="O862" s="9"/>
      <c r="P862" s="77"/>
    </row>
    <row r="863" spans="6:16" x14ac:dyDescent="0.2">
      <c r="F863" s="28"/>
      <c r="H863" s="28"/>
      <c r="I863" s="28"/>
      <c r="J863" s="28"/>
      <c r="K863" s="9"/>
      <c r="O863" s="9"/>
      <c r="P863" s="77"/>
    </row>
    <row r="864" spans="6:16" x14ac:dyDescent="0.2">
      <c r="F864" s="28"/>
      <c r="H864" s="28"/>
      <c r="I864" s="28"/>
      <c r="J864" s="28"/>
      <c r="K864" s="9"/>
      <c r="O864" s="9"/>
      <c r="P864" s="77"/>
    </row>
    <row r="865" spans="6:16" x14ac:dyDescent="0.2">
      <c r="F865" s="28"/>
      <c r="H865" s="28"/>
      <c r="I865" s="28"/>
      <c r="J865" s="28"/>
      <c r="K865" s="9"/>
      <c r="O865" s="9"/>
      <c r="P865" s="77"/>
    </row>
    <row r="866" spans="6:16" x14ac:dyDescent="0.2">
      <c r="F866" s="28"/>
      <c r="H866" s="28"/>
      <c r="I866" s="28"/>
      <c r="J866" s="28"/>
      <c r="K866" s="9"/>
      <c r="O866" s="9"/>
      <c r="P866" s="77"/>
    </row>
    <row r="867" spans="6:16" x14ac:dyDescent="0.2">
      <c r="F867" s="28"/>
      <c r="H867" s="28"/>
      <c r="I867" s="28"/>
      <c r="J867" s="28"/>
      <c r="K867" s="9"/>
      <c r="O867" s="9"/>
      <c r="P867" s="77"/>
    </row>
    <row r="868" spans="6:16" x14ac:dyDescent="0.2">
      <c r="F868" s="28"/>
      <c r="H868" s="28"/>
      <c r="I868" s="28"/>
      <c r="J868" s="28"/>
      <c r="K868" s="9"/>
      <c r="O868" s="9"/>
      <c r="P868" s="77"/>
    </row>
    <row r="869" spans="6:16" x14ac:dyDescent="0.2">
      <c r="F869" s="28"/>
      <c r="H869" s="28"/>
      <c r="I869" s="28"/>
      <c r="J869" s="28"/>
      <c r="K869" s="9"/>
      <c r="O869" s="9"/>
      <c r="P869" s="77"/>
    </row>
    <row r="870" spans="6:16" x14ac:dyDescent="0.2">
      <c r="F870" s="28"/>
      <c r="H870" s="28"/>
      <c r="I870" s="28"/>
      <c r="J870" s="28"/>
      <c r="K870" s="9"/>
      <c r="O870" s="9"/>
      <c r="P870" s="77"/>
    </row>
    <row r="871" spans="6:16" x14ac:dyDescent="0.2">
      <c r="F871" s="28"/>
      <c r="H871" s="28"/>
      <c r="I871" s="28"/>
      <c r="J871" s="28"/>
      <c r="K871" s="9"/>
      <c r="O871" s="9"/>
      <c r="P871" s="77"/>
    </row>
    <row r="872" spans="6:16" x14ac:dyDescent="0.2">
      <c r="F872" s="28"/>
      <c r="H872" s="28"/>
      <c r="I872" s="28"/>
      <c r="J872" s="28"/>
      <c r="K872" s="9"/>
      <c r="O872" s="9"/>
      <c r="P872" s="77"/>
    </row>
    <row r="873" spans="6:16" x14ac:dyDescent="0.2">
      <c r="F873" s="28"/>
      <c r="H873" s="28"/>
      <c r="I873" s="28"/>
      <c r="J873" s="28"/>
      <c r="K873" s="9"/>
      <c r="O873" s="9"/>
      <c r="P873" s="77"/>
    </row>
    <row r="874" spans="6:16" x14ac:dyDescent="0.2">
      <c r="F874" s="28"/>
      <c r="H874" s="28"/>
      <c r="I874" s="28"/>
      <c r="J874" s="28"/>
      <c r="K874" s="9"/>
      <c r="O874" s="9"/>
      <c r="P874" s="77"/>
    </row>
    <row r="875" spans="6:16" x14ac:dyDescent="0.2">
      <c r="F875" s="28"/>
      <c r="H875" s="28"/>
      <c r="I875" s="28"/>
      <c r="J875" s="28"/>
      <c r="K875" s="9"/>
      <c r="O875" s="9"/>
      <c r="P875" s="77"/>
    </row>
    <row r="876" spans="6:16" x14ac:dyDescent="0.2">
      <c r="F876" s="28"/>
      <c r="H876" s="28"/>
      <c r="I876" s="28"/>
      <c r="J876" s="28"/>
      <c r="K876" s="9"/>
      <c r="O876" s="9"/>
      <c r="P876" s="77"/>
    </row>
    <row r="877" spans="6:16" x14ac:dyDescent="0.2">
      <c r="F877" s="28"/>
      <c r="H877" s="28"/>
      <c r="I877" s="28"/>
      <c r="J877" s="28"/>
      <c r="K877" s="9"/>
      <c r="O877" s="9"/>
      <c r="P877" s="77"/>
    </row>
    <row r="878" spans="6:16" x14ac:dyDescent="0.2">
      <c r="F878" s="28"/>
      <c r="H878" s="28"/>
      <c r="I878" s="28"/>
      <c r="J878" s="28"/>
      <c r="K878" s="9"/>
      <c r="O878" s="9"/>
      <c r="P878" s="77"/>
    </row>
    <row r="879" spans="6:16" x14ac:dyDescent="0.2">
      <c r="F879" s="28"/>
      <c r="H879" s="28"/>
      <c r="I879" s="28"/>
      <c r="J879" s="28"/>
      <c r="K879" s="9"/>
      <c r="O879" s="9"/>
      <c r="P879" s="77"/>
    </row>
    <row r="880" spans="6:16" x14ac:dyDescent="0.2">
      <c r="F880" s="28"/>
      <c r="H880" s="28"/>
      <c r="I880" s="28"/>
      <c r="J880" s="28"/>
      <c r="K880" s="9"/>
      <c r="O880" s="9"/>
      <c r="P880" s="77"/>
    </row>
    <row r="881" spans="6:16" x14ac:dyDescent="0.2">
      <c r="F881" s="28"/>
      <c r="H881" s="28"/>
      <c r="I881" s="28"/>
      <c r="J881" s="28"/>
      <c r="K881" s="9"/>
      <c r="O881" s="9"/>
      <c r="P881" s="77"/>
    </row>
    <row r="882" spans="6:16" x14ac:dyDescent="0.2">
      <c r="F882" s="28"/>
      <c r="H882" s="28"/>
      <c r="I882" s="28"/>
      <c r="J882" s="28"/>
      <c r="K882" s="9"/>
      <c r="O882" s="9"/>
      <c r="P882" s="77"/>
    </row>
    <row r="883" spans="6:16" x14ac:dyDescent="0.2">
      <c r="F883" s="28"/>
      <c r="H883" s="28"/>
      <c r="I883" s="28"/>
      <c r="J883" s="28"/>
      <c r="K883" s="9"/>
      <c r="O883" s="9"/>
      <c r="P883" s="77"/>
    </row>
    <row r="884" spans="6:16" x14ac:dyDescent="0.2">
      <c r="F884" s="28"/>
      <c r="H884" s="28"/>
      <c r="I884" s="28"/>
      <c r="J884" s="28"/>
      <c r="K884" s="9"/>
      <c r="O884" s="9"/>
      <c r="P884" s="77"/>
    </row>
    <row r="885" spans="6:16" x14ac:dyDescent="0.2">
      <c r="F885" s="28"/>
      <c r="H885" s="28"/>
      <c r="I885" s="28"/>
      <c r="J885" s="28"/>
      <c r="K885" s="9"/>
      <c r="O885" s="9"/>
      <c r="P885" s="77"/>
    </row>
    <row r="886" spans="6:16" x14ac:dyDescent="0.2">
      <c r="F886" s="28"/>
      <c r="H886" s="28"/>
      <c r="I886" s="28"/>
      <c r="J886" s="28"/>
      <c r="K886" s="9"/>
      <c r="O886" s="9"/>
      <c r="P886" s="77"/>
    </row>
    <row r="887" spans="6:16" x14ac:dyDescent="0.2">
      <c r="F887" s="28"/>
      <c r="H887" s="28"/>
      <c r="I887" s="28"/>
      <c r="J887" s="28"/>
      <c r="K887" s="9"/>
      <c r="O887" s="9"/>
      <c r="P887" s="77"/>
    </row>
    <row r="888" spans="6:16" x14ac:dyDescent="0.2">
      <c r="F888" s="28"/>
      <c r="H888" s="28"/>
      <c r="I888" s="28"/>
      <c r="J888" s="28"/>
      <c r="K888" s="9"/>
      <c r="O888" s="9"/>
      <c r="P888" s="77"/>
    </row>
    <row r="889" spans="6:16" x14ac:dyDescent="0.2">
      <c r="F889" s="28"/>
      <c r="H889" s="28"/>
      <c r="I889" s="28"/>
      <c r="J889" s="28"/>
      <c r="K889" s="9"/>
      <c r="O889" s="9"/>
      <c r="P889" s="77"/>
    </row>
    <row r="890" spans="6:16" x14ac:dyDescent="0.2">
      <c r="F890" s="28"/>
      <c r="H890" s="28"/>
      <c r="I890" s="28"/>
      <c r="J890" s="28"/>
      <c r="K890" s="9"/>
      <c r="O890" s="9"/>
      <c r="P890" s="77"/>
    </row>
    <row r="891" spans="6:16" x14ac:dyDescent="0.2">
      <c r="F891" s="28"/>
      <c r="H891" s="28"/>
      <c r="I891" s="28"/>
      <c r="J891" s="28"/>
      <c r="K891" s="9"/>
      <c r="O891" s="9"/>
      <c r="P891" s="77"/>
    </row>
    <row r="892" spans="6:16" x14ac:dyDescent="0.2">
      <c r="F892" s="28"/>
      <c r="H892" s="28"/>
      <c r="I892" s="28"/>
      <c r="J892" s="28"/>
      <c r="K892" s="9"/>
      <c r="O892" s="9"/>
      <c r="P892" s="77"/>
    </row>
    <row r="893" spans="6:16" x14ac:dyDescent="0.2">
      <c r="F893" s="28"/>
      <c r="H893" s="28"/>
      <c r="I893" s="28"/>
      <c r="J893" s="28"/>
      <c r="K893" s="9"/>
      <c r="O893" s="9"/>
      <c r="P893" s="77"/>
    </row>
    <row r="894" spans="6:16" x14ac:dyDescent="0.2">
      <c r="F894" s="28"/>
      <c r="H894" s="28"/>
      <c r="I894" s="28"/>
      <c r="J894" s="28"/>
      <c r="K894" s="9"/>
      <c r="O894" s="9"/>
      <c r="P894" s="77"/>
    </row>
    <row r="895" spans="6:16" x14ac:dyDescent="0.2">
      <c r="F895" s="28"/>
      <c r="H895" s="28"/>
      <c r="I895" s="28"/>
      <c r="J895" s="28"/>
      <c r="K895" s="9"/>
      <c r="O895" s="9"/>
      <c r="P895" s="77"/>
    </row>
    <row r="896" spans="6:16" x14ac:dyDescent="0.2">
      <c r="F896" s="28"/>
      <c r="H896" s="28"/>
      <c r="I896" s="28"/>
      <c r="J896" s="28"/>
      <c r="K896" s="9"/>
      <c r="O896" s="9"/>
      <c r="P896" s="77"/>
    </row>
    <row r="897" spans="6:16" x14ac:dyDescent="0.2">
      <c r="F897" s="28"/>
      <c r="H897" s="28"/>
      <c r="I897" s="28"/>
      <c r="J897" s="28"/>
      <c r="K897" s="9"/>
      <c r="O897" s="9"/>
      <c r="P897" s="77"/>
    </row>
    <row r="898" spans="6:16" x14ac:dyDescent="0.2">
      <c r="F898" s="28"/>
      <c r="H898" s="28"/>
      <c r="I898" s="28"/>
      <c r="J898" s="28"/>
      <c r="K898" s="9"/>
      <c r="O898" s="9"/>
      <c r="P898" s="77"/>
    </row>
    <row r="899" spans="6:16" x14ac:dyDescent="0.2">
      <c r="F899" s="28"/>
      <c r="H899" s="28"/>
      <c r="I899" s="28"/>
      <c r="J899" s="28"/>
      <c r="K899" s="9"/>
      <c r="O899" s="9"/>
      <c r="P899" s="77"/>
    </row>
    <row r="900" spans="6:16" x14ac:dyDescent="0.2">
      <c r="F900" s="28"/>
      <c r="H900" s="28"/>
      <c r="I900" s="28"/>
      <c r="J900" s="28"/>
      <c r="K900" s="9"/>
      <c r="O900" s="9"/>
      <c r="P900" s="77"/>
    </row>
    <row r="901" spans="6:16" x14ac:dyDescent="0.2">
      <c r="F901" s="28"/>
      <c r="H901" s="28"/>
      <c r="I901" s="28"/>
      <c r="J901" s="28"/>
      <c r="K901" s="9"/>
      <c r="O901" s="9"/>
      <c r="P901" s="77"/>
    </row>
    <row r="902" spans="6:16" x14ac:dyDescent="0.2">
      <c r="F902" s="28"/>
      <c r="H902" s="28"/>
      <c r="I902" s="28"/>
      <c r="J902" s="28"/>
      <c r="K902" s="9"/>
      <c r="O902" s="9"/>
      <c r="P902" s="77"/>
    </row>
    <row r="903" spans="6:16" x14ac:dyDescent="0.2">
      <c r="F903" s="28"/>
      <c r="H903" s="28"/>
      <c r="I903" s="28"/>
      <c r="J903" s="28"/>
      <c r="K903" s="9"/>
      <c r="O903" s="9"/>
      <c r="P903" s="77"/>
    </row>
    <row r="904" spans="6:16" x14ac:dyDescent="0.2">
      <c r="F904" s="28"/>
      <c r="H904" s="28"/>
      <c r="I904" s="28"/>
      <c r="J904" s="28"/>
      <c r="K904" s="9"/>
      <c r="O904" s="9"/>
      <c r="P904" s="77"/>
    </row>
    <row r="905" spans="6:16" x14ac:dyDescent="0.2">
      <c r="F905" s="28"/>
      <c r="H905" s="28"/>
      <c r="I905" s="28"/>
      <c r="J905" s="28"/>
      <c r="K905" s="9"/>
      <c r="O905" s="9"/>
      <c r="P905" s="77"/>
    </row>
    <row r="906" spans="6:16" x14ac:dyDescent="0.2">
      <c r="F906" s="28"/>
      <c r="H906" s="28"/>
      <c r="I906" s="28"/>
      <c r="J906" s="28"/>
      <c r="K906" s="9"/>
      <c r="O906" s="9"/>
      <c r="P906" s="77"/>
    </row>
    <row r="907" spans="6:16" x14ac:dyDescent="0.2">
      <c r="F907" s="28"/>
      <c r="H907" s="28"/>
      <c r="I907" s="28"/>
      <c r="J907" s="28"/>
      <c r="K907" s="9"/>
      <c r="O907" s="9"/>
      <c r="P907" s="77"/>
    </row>
    <row r="908" spans="6:16" x14ac:dyDescent="0.2">
      <c r="F908" s="28"/>
      <c r="H908" s="28"/>
      <c r="I908" s="28"/>
      <c r="J908" s="28"/>
      <c r="K908" s="9"/>
      <c r="O908" s="9"/>
      <c r="P908" s="77"/>
    </row>
    <row r="909" spans="6:16" x14ac:dyDescent="0.2">
      <c r="F909" s="28"/>
      <c r="H909" s="28"/>
      <c r="I909" s="28"/>
      <c r="J909" s="28"/>
      <c r="K909" s="9"/>
      <c r="O909" s="9"/>
      <c r="P909" s="77"/>
    </row>
    <row r="910" spans="6:16" x14ac:dyDescent="0.2">
      <c r="F910" s="28"/>
      <c r="H910" s="28"/>
      <c r="I910" s="28"/>
      <c r="J910" s="28"/>
      <c r="K910" s="9"/>
      <c r="O910" s="9"/>
      <c r="P910" s="77"/>
    </row>
    <row r="911" spans="6:16" x14ac:dyDescent="0.2">
      <c r="F911" s="28"/>
      <c r="H911" s="28"/>
      <c r="I911" s="28"/>
      <c r="J911" s="28"/>
      <c r="K911" s="9"/>
      <c r="O911" s="9"/>
      <c r="P911" s="77"/>
    </row>
    <row r="912" spans="6:16" x14ac:dyDescent="0.2">
      <c r="F912" s="28"/>
      <c r="H912" s="28"/>
      <c r="I912" s="28"/>
      <c r="J912" s="28"/>
      <c r="K912" s="9"/>
      <c r="O912" s="9"/>
      <c r="P912" s="77"/>
    </row>
    <row r="913" spans="6:16" x14ac:dyDescent="0.2">
      <c r="F913" s="28"/>
      <c r="H913" s="28"/>
      <c r="I913" s="28"/>
      <c r="J913" s="28"/>
      <c r="K913" s="9"/>
      <c r="O913" s="9"/>
      <c r="P913" s="77"/>
    </row>
    <row r="914" spans="6:16" x14ac:dyDescent="0.2">
      <c r="F914" s="28"/>
      <c r="H914" s="28"/>
      <c r="I914" s="28"/>
      <c r="J914" s="28"/>
      <c r="K914" s="9"/>
      <c r="O914" s="9"/>
      <c r="P914" s="77"/>
    </row>
    <row r="915" spans="6:16" x14ac:dyDescent="0.2">
      <c r="F915" s="28"/>
      <c r="H915" s="28"/>
      <c r="I915" s="28"/>
      <c r="J915" s="28"/>
      <c r="K915" s="9"/>
      <c r="O915" s="9"/>
      <c r="P915" s="77"/>
    </row>
    <row r="916" spans="6:16" x14ac:dyDescent="0.2">
      <c r="F916" s="28"/>
      <c r="H916" s="28"/>
      <c r="I916" s="28"/>
      <c r="J916" s="28"/>
      <c r="K916" s="9"/>
      <c r="O916" s="9"/>
      <c r="P916" s="77"/>
    </row>
    <row r="917" spans="6:16" x14ac:dyDescent="0.2">
      <c r="F917" s="28"/>
      <c r="H917" s="28"/>
      <c r="I917" s="28"/>
      <c r="J917" s="28"/>
      <c r="K917" s="9"/>
      <c r="O917" s="9"/>
      <c r="P917" s="77"/>
    </row>
    <row r="918" spans="6:16" x14ac:dyDescent="0.2">
      <c r="F918" s="28"/>
      <c r="H918" s="28"/>
      <c r="I918" s="28"/>
      <c r="J918" s="28"/>
      <c r="K918" s="9"/>
      <c r="O918" s="9"/>
      <c r="P918" s="77"/>
    </row>
    <row r="919" spans="6:16" x14ac:dyDescent="0.2">
      <c r="F919" s="28"/>
      <c r="H919" s="28"/>
      <c r="I919" s="28"/>
      <c r="J919" s="28"/>
      <c r="K919" s="9"/>
      <c r="O919" s="9"/>
      <c r="P919" s="77"/>
    </row>
    <row r="920" spans="6:16" x14ac:dyDescent="0.2">
      <c r="F920" s="28"/>
      <c r="H920" s="28"/>
      <c r="I920" s="28"/>
      <c r="J920" s="28"/>
      <c r="K920" s="9"/>
      <c r="O920" s="9"/>
      <c r="P920" s="77"/>
    </row>
    <row r="921" spans="6:16" x14ac:dyDescent="0.2">
      <c r="F921" s="28"/>
      <c r="H921" s="28"/>
      <c r="I921" s="28"/>
      <c r="J921" s="28"/>
      <c r="K921" s="9"/>
      <c r="O921" s="9"/>
      <c r="P921" s="77"/>
    </row>
    <row r="922" spans="6:16" x14ac:dyDescent="0.2">
      <c r="F922" s="28"/>
      <c r="H922" s="28"/>
      <c r="I922" s="28"/>
      <c r="J922" s="28"/>
      <c r="K922" s="9"/>
      <c r="O922" s="9"/>
      <c r="P922" s="77"/>
    </row>
    <row r="923" spans="6:16" x14ac:dyDescent="0.2">
      <c r="F923" s="28"/>
      <c r="H923" s="28"/>
      <c r="I923" s="28"/>
      <c r="J923" s="28"/>
      <c r="K923" s="9"/>
      <c r="O923" s="9"/>
      <c r="P923" s="77"/>
    </row>
    <row r="924" spans="6:16" x14ac:dyDescent="0.2">
      <c r="F924" s="28"/>
      <c r="H924" s="28"/>
      <c r="I924" s="28"/>
      <c r="J924" s="28"/>
      <c r="K924" s="9"/>
      <c r="O924" s="9"/>
      <c r="P924" s="77"/>
    </row>
    <row r="925" spans="6:16" x14ac:dyDescent="0.2">
      <c r="F925" s="28"/>
      <c r="H925" s="28"/>
      <c r="I925" s="28"/>
      <c r="J925" s="28"/>
      <c r="K925" s="9"/>
      <c r="O925" s="9"/>
      <c r="P925" s="77"/>
    </row>
    <row r="926" spans="6:16" x14ac:dyDescent="0.2">
      <c r="F926" s="28"/>
      <c r="H926" s="28"/>
      <c r="I926" s="28"/>
      <c r="J926" s="28"/>
      <c r="K926" s="9"/>
      <c r="O926" s="9"/>
      <c r="P926" s="77"/>
    </row>
    <row r="927" spans="6:16" x14ac:dyDescent="0.2">
      <c r="F927" s="28"/>
      <c r="H927" s="28"/>
      <c r="I927" s="28"/>
      <c r="J927" s="28"/>
      <c r="K927" s="9"/>
      <c r="O927" s="9"/>
      <c r="P927" s="77"/>
    </row>
    <row r="928" spans="6:16" x14ac:dyDescent="0.2">
      <c r="F928" s="28"/>
      <c r="H928" s="28"/>
      <c r="I928" s="28"/>
      <c r="J928" s="28"/>
      <c r="K928" s="9"/>
      <c r="O928" s="9"/>
      <c r="P928" s="77"/>
    </row>
    <row r="929" spans="6:16" x14ac:dyDescent="0.2">
      <c r="F929" s="28"/>
      <c r="H929" s="28"/>
      <c r="I929" s="28"/>
      <c r="J929" s="28"/>
      <c r="K929" s="9"/>
      <c r="O929" s="9"/>
      <c r="P929" s="77"/>
    </row>
    <row r="930" spans="6:16" x14ac:dyDescent="0.2">
      <c r="F930" s="28"/>
      <c r="H930" s="28"/>
      <c r="I930" s="28"/>
      <c r="J930" s="28"/>
      <c r="K930" s="9"/>
      <c r="O930" s="9"/>
      <c r="P930" s="77"/>
    </row>
    <row r="931" spans="6:16" x14ac:dyDescent="0.2">
      <c r="F931" s="28"/>
      <c r="H931" s="28"/>
      <c r="I931" s="28"/>
      <c r="J931" s="28"/>
      <c r="K931" s="9"/>
      <c r="O931" s="9"/>
      <c r="P931" s="77"/>
    </row>
    <row r="932" spans="6:16" x14ac:dyDescent="0.2">
      <c r="F932" s="28"/>
      <c r="H932" s="28"/>
      <c r="I932" s="28"/>
      <c r="J932" s="28"/>
      <c r="K932" s="9"/>
      <c r="O932" s="9"/>
      <c r="P932" s="77"/>
    </row>
    <row r="933" spans="6:16" x14ac:dyDescent="0.2">
      <c r="F933" s="28"/>
      <c r="H933" s="28"/>
      <c r="I933" s="28"/>
      <c r="J933" s="28"/>
      <c r="K933" s="9"/>
      <c r="O933" s="9"/>
      <c r="P933" s="77"/>
    </row>
    <row r="934" spans="6:16" x14ac:dyDescent="0.2">
      <c r="F934" s="28"/>
      <c r="H934" s="28"/>
      <c r="I934" s="28"/>
      <c r="J934" s="28"/>
      <c r="K934" s="9"/>
      <c r="O934" s="9"/>
      <c r="P934" s="77"/>
    </row>
    <row r="935" spans="6:16" x14ac:dyDescent="0.2">
      <c r="F935" s="28"/>
      <c r="H935" s="28"/>
      <c r="I935" s="28"/>
      <c r="J935" s="28"/>
      <c r="K935" s="9"/>
      <c r="O935" s="9"/>
      <c r="P935" s="77"/>
    </row>
    <row r="936" spans="6:16" x14ac:dyDescent="0.2">
      <c r="F936" s="28"/>
      <c r="H936" s="28"/>
      <c r="I936" s="28"/>
      <c r="J936" s="28"/>
      <c r="K936" s="9"/>
      <c r="O936" s="9"/>
      <c r="P936" s="77"/>
    </row>
    <row r="937" spans="6:16" x14ac:dyDescent="0.2">
      <c r="F937" s="28"/>
      <c r="H937" s="28"/>
      <c r="I937" s="28"/>
      <c r="J937" s="28"/>
      <c r="K937" s="9"/>
      <c r="O937" s="9"/>
      <c r="P937" s="77"/>
    </row>
    <row r="938" spans="6:16" x14ac:dyDescent="0.2">
      <c r="F938" s="28"/>
      <c r="H938" s="28"/>
      <c r="I938" s="28"/>
      <c r="J938" s="28"/>
      <c r="K938" s="9"/>
      <c r="O938" s="9"/>
      <c r="P938" s="77"/>
    </row>
    <row r="939" spans="6:16" x14ac:dyDescent="0.2">
      <c r="F939" s="28"/>
      <c r="H939" s="28"/>
      <c r="I939" s="28"/>
      <c r="J939" s="28"/>
      <c r="K939" s="9"/>
      <c r="O939" s="9"/>
      <c r="P939" s="77"/>
    </row>
    <row r="940" spans="6:16" x14ac:dyDescent="0.2">
      <c r="F940" s="28"/>
      <c r="H940" s="28"/>
      <c r="I940" s="28"/>
      <c r="J940" s="28"/>
      <c r="K940" s="9"/>
      <c r="O940" s="9"/>
      <c r="P940" s="77"/>
    </row>
    <row r="941" spans="6:16" x14ac:dyDescent="0.2">
      <c r="F941" s="28"/>
      <c r="H941" s="28"/>
      <c r="I941" s="28"/>
      <c r="J941" s="28"/>
      <c r="K941" s="9"/>
      <c r="O941" s="9"/>
      <c r="P941" s="77"/>
    </row>
    <row r="942" spans="6:16" x14ac:dyDescent="0.2">
      <c r="F942" s="28"/>
      <c r="H942" s="28"/>
      <c r="I942" s="28"/>
      <c r="J942" s="28"/>
      <c r="K942" s="9"/>
      <c r="O942" s="9"/>
      <c r="P942" s="77"/>
    </row>
    <row r="943" spans="6:16" x14ac:dyDescent="0.2">
      <c r="F943" s="28"/>
      <c r="H943" s="28"/>
      <c r="I943" s="28"/>
      <c r="J943" s="28"/>
      <c r="K943" s="9"/>
      <c r="O943" s="9"/>
      <c r="P943" s="77"/>
    </row>
    <row r="944" spans="6:16" x14ac:dyDescent="0.2">
      <c r="F944" s="28"/>
      <c r="H944" s="28"/>
      <c r="I944" s="28"/>
      <c r="J944" s="28"/>
      <c r="K944" s="9"/>
      <c r="O944" s="9"/>
      <c r="P944" s="77"/>
    </row>
    <row r="945" spans="6:16" x14ac:dyDescent="0.2">
      <c r="F945" s="28"/>
      <c r="H945" s="28"/>
      <c r="I945" s="28"/>
      <c r="J945" s="28"/>
      <c r="K945" s="9"/>
      <c r="O945" s="9"/>
      <c r="P945" s="77"/>
    </row>
    <row r="946" spans="6:16" x14ac:dyDescent="0.2">
      <c r="F946" s="28"/>
      <c r="H946" s="28"/>
      <c r="I946" s="28"/>
      <c r="J946" s="28"/>
      <c r="K946" s="9"/>
      <c r="O946" s="9"/>
      <c r="P946" s="77"/>
    </row>
    <row r="947" spans="6:16" x14ac:dyDescent="0.2">
      <c r="F947" s="28"/>
      <c r="H947" s="28"/>
      <c r="I947" s="28"/>
      <c r="J947" s="28"/>
      <c r="K947" s="9"/>
      <c r="O947" s="9"/>
      <c r="P947" s="77"/>
    </row>
    <row r="948" spans="6:16" x14ac:dyDescent="0.2">
      <c r="F948" s="28"/>
      <c r="H948" s="28"/>
      <c r="I948" s="28"/>
      <c r="J948" s="28"/>
      <c r="K948" s="9"/>
      <c r="O948" s="9"/>
      <c r="P948" s="77"/>
    </row>
    <row r="949" spans="6:16" x14ac:dyDescent="0.2">
      <c r="F949" s="28"/>
      <c r="H949" s="28"/>
      <c r="I949" s="28"/>
      <c r="J949" s="28"/>
      <c r="K949" s="9"/>
      <c r="O949" s="9"/>
      <c r="P949" s="77"/>
    </row>
    <row r="950" spans="6:16" x14ac:dyDescent="0.2">
      <c r="F950" s="28"/>
      <c r="H950" s="28"/>
      <c r="I950" s="28"/>
      <c r="J950" s="28"/>
      <c r="K950" s="9"/>
      <c r="O950" s="9"/>
      <c r="P950" s="77"/>
    </row>
    <row r="951" spans="6:16" x14ac:dyDescent="0.2">
      <c r="F951" s="28"/>
      <c r="H951" s="28"/>
      <c r="I951" s="28"/>
      <c r="J951" s="28"/>
      <c r="K951" s="9"/>
      <c r="O951" s="9"/>
      <c r="P951" s="77"/>
    </row>
    <row r="952" spans="6:16" x14ac:dyDescent="0.2">
      <c r="F952" s="28"/>
      <c r="H952" s="28"/>
      <c r="I952" s="28"/>
      <c r="J952" s="28"/>
      <c r="K952" s="9"/>
      <c r="O952" s="9"/>
      <c r="P952" s="77"/>
    </row>
    <row r="953" spans="6:16" x14ac:dyDescent="0.2">
      <c r="F953" s="28"/>
      <c r="H953" s="28"/>
      <c r="I953" s="28"/>
      <c r="J953" s="28"/>
      <c r="K953" s="9"/>
      <c r="O953" s="9"/>
      <c r="P953" s="77"/>
    </row>
    <row r="954" spans="6:16" x14ac:dyDescent="0.2">
      <c r="F954" s="28"/>
      <c r="H954" s="28"/>
      <c r="I954" s="28"/>
      <c r="J954" s="28"/>
      <c r="K954" s="9"/>
      <c r="O954" s="9"/>
      <c r="P954" s="77"/>
    </row>
    <row r="955" spans="6:16" x14ac:dyDescent="0.2">
      <c r="F955" s="28"/>
      <c r="H955" s="28"/>
      <c r="I955" s="28"/>
      <c r="J955" s="28"/>
      <c r="K955" s="9"/>
      <c r="O955" s="9"/>
      <c r="P955" s="77"/>
    </row>
    <row r="956" spans="6:16" x14ac:dyDescent="0.2">
      <c r="F956" s="28"/>
      <c r="H956" s="28"/>
      <c r="I956" s="28"/>
      <c r="J956" s="28"/>
      <c r="K956" s="9"/>
      <c r="O956" s="9"/>
      <c r="P956" s="77"/>
    </row>
    <row r="957" spans="6:16" x14ac:dyDescent="0.2">
      <c r="F957" s="28"/>
      <c r="H957" s="28"/>
      <c r="I957" s="28"/>
      <c r="J957" s="28"/>
      <c r="K957" s="9"/>
      <c r="O957" s="9"/>
      <c r="P957" s="77"/>
    </row>
    <row r="958" spans="6:16" x14ac:dyDescent="0.2">
      <c r="F958" s="28"/>
      <c r="H958" s="28"/>
      <c r="I958" s="28"/>
      <c r="J958" s="28"/>
      <c r="K958" s="9"/>
      <c r="O958" s="9"/>
      <c r="P958" s="77"/>
    </row>
    <row r="959" spans="6:16" x14ac:dyDescent="0.2">
      <c r="F959" s="28"/>
      <c r="H959" s="28"/>
      <c r="I959" s="28"/>
      <c r="J959" s="28"/>
      <c r="K959" s="9"/>
      <c r="O959" s="9"/>
      <c r="P959" s="77"/>
    </row>
    <row r="960" spans="6:16" x14ac:dyDescent="0.2">
      <c r="F960" s="28"/>
      <c r="H960" s="28"/>
      <c r="I960" s="28"/>
      <c r="J960" s="28"/>
      <c r="K960" s="9"/>
      <c r="O960" s="9"/>
      <c r="P960" s="77"/>
    </row>
    <row r="961" spans="6:16" x14ac:dyDescent="0.2">
      <c r="F961" s="28"/>
      <c r="H961" s="28"/>
      <c r="I961" s="28"/>
      <c r="J961" s="28"/>
      <c r="K961" s="9"/>
      <c r="O961" s="9"/>
      <c r="P961" s="77"/>
    </row>
    <row r="962" spans="6:16" x14ac:dyDescent="0.2">
      <c r="F962" s="28"/>
      <c r="H962" s="28"/>
      <c r="I962" s="28"/>
      <c r="J962" s="28"/>
      <c r="K962" s="9"/>
      <c r="O962" s="9"/>
      <c r="P962" s="77"/>
    </row>
    <row r="963" spans="6:16" x14ac:dyDescent="0.2">
      <c r="F963" s="28"/>
      <c r="H963" s="28"/>
      <c r="I963" s="28"/>
      <c r="J963" s="28"/>
      <c r="K963" s="9"/>
      <c r="O963" s="9"/>
      <c r="P963" s="77"/>
    </row>
    <row r="964" spans="6:16" x14ac:dyDescent="0.2">
      <c r="F964" s="28"/>
      <c r="H964" s="28"/>
      <c r="I964" s="28"/>
      <c r="J964" s="28"/>
      <c r="K964" s="9"/>
      <c r="O964" s="9"/>
      <c r="P964" s="77"/>
    </row>
    <row r="965" spans="6:16" x14ac:dyDescent="0.2">
      <c r="F965" s="28"/>
      <c r="H965" s="28"/>
      <c r="I965" s="28"/>
      <c r="J965" s="28"/>
      <c r="K965" s="9"/>
      <c r="O965" s="9"/>
      <c r="P965" s="77"/>
    </row>
    <row r="966" spans="6:16" x14ac:dyDescent="0.2">
      <c r="F966" s="28"/>
      <c r="H966" s="28"/>
      <c r="I966" s="28"/>
      <c r="J966" s="28"/>
      <c r="K966" s="9"/>
      <c r="O966" s="9"/>
      <c r="P966" s="77"/>
    </row>
    <row r="967" spans="6:16" x14ac:dyDescent="0.2">
      <c r="F967" s="28"/>
      <c r="H967" s="28"/>
      <c r="I967" s="28"/>
      <c r="J967" s="28"/>
      <c r="K967" s="9"/>
      <c r="O967" s="9"/>
      <c r="P967" s="77"/>
    </row>
    <row r="968" spans="6:16" x14ac:dyDescent="0.2">
      <c r="F968" s="28"/>
      <c r="H968" s="28"/>
      <c r="I968" s="28"/>
      <c r="J968" s="28"/>
      <c r="K968" s="9"/>
      <c r="O968" s="9"/>
      <c r="P968" s="77"/>
    </row>
    <row r="969" spans="6:16" x14ac:dyDescent="0.2">
      <c r="F969" s="28"/>
      <c r="H969" s="28"/>
      <c r="I969" s="28"/>
      <c r="J969" s="28"/>
      <c r="K969" s="9"/>
      <c r="O969" s="9"/>
      <c r="P969" s="77"/>
    </row>
    <row r="970" spans="6:16" x14ac:dyDescent="0.2">
      <c r="F970" s="28"/>
      <c r="H970" s="28"/>
      <c r="I970" s="28"/>
      <c r="J970" s="28"/>
      <c r="K970" s="9"/>
      <c r="O970" s="9"/>
      <c r="P970" s="77"/>
    </row>
    <row r="971" spans="6:16" x14ac:dyDescent="0.2">
      <c r="F971" s="28"/>
      <c r="H971" s="28"/>
      <c r="I971" s="28"/>
      <c r="J971" s="28"/>
      <c r="K971" s="9"/>
      <c r="O971" s="9"/>
      <c r="P971" s="77"/>
    </row>
    <row r="972" spans="6:16" x14ac:dyDescent="0.2">
      <c r="F972" s="28"/>
      <c r="H972" s="28"/>
      <c r="I972" s="28"/>
      <c r="J972" s="28"/>
      <c r="K972" s="9"/>
      <c r="O972" s="9"/>
      <c r="P972" s="77"/>
    </row>
    <row r="973" spans="6:16" x14ac:dyDescent="0.2">
      <c r="F973" s="28"/>
      <c r="H973" s="28"/>
      <c r="I973" s="28"/>
      <c r="J973" s="28"/>
      <c r="K973" s="9"/>
      <c r="O973" s="9"/>
      <c r="P973" s="77"/>
    </row>
    <row r="974" spans="6:16" x14ac:dyDescent="0.2">
      <c r="F974" s="28"/>
      <c r="H974" s="28"/>
      <c r="I974" s="28"/>
      <c r="J974" s="28"/>
      <c r="K974" s="9"/>
      <c r="O974" s="9"/>
      <c r="P974" s="77"/>
    </row>
    <row r="975" spans="6:16" x14ac:dyDescent="0.2">
      <c r="F975" s="28"/>
      <c r="H975" s="28"/>
      <c r="I975" s="28"/>
      <c r="J975" s="28"/>
      <c r="K975" s="9"/>
      <c r="O975" s="9"/>
      <c r="P975" s="77"/>
    </row>
    <row r="976" spans="6:16" x14ac:dyDescent="0.2">
      <c r="F976" s="28"/>
      <c r="H976" s="28"/>
      <c r="I976" s="28"/>
      <c r="J976" s="28"/>
      <c r="K976" s="9"/>
      <c r="O976" s="9"/>
      <c r="P976" s="77"/>
    </row>
    <row r="977" spans="6:16" x14ac:dyDescent="0.2">
      <c r="F977" s="28"/>
      <c r="H977" s="28"/>
      <c r="I977" s="28"/>
      <c r="J977" s="28"/>
      <c r="K977" s="9"/>
      <c r="O977" s="9"/>
      <c r="P977" s="77"/>
    </row>
    <row r="978" spans="6:16" x14ac:dyDescent="0.2">
      <c r="F978" s="28"/>
      <c r="H978" s="28"/>
      <c r="I978" s="28"/>
      <c r="J978" s="28"/>
      <c r="K978" s="9"/>
      <c r="O978" s="9"/>
      <c r="P978" s="77"/>
    </row>
    <row r="979" spans="6:16" x14ac:dyDescent="0.2">
      <c r="F979" s="28"/>
      <c r="H979" s="28"/>
      <c r="I979" s="28"/>
      <c r="J979" s="28"/>
      <c r="K979" s="9"/>
      <c r="O979" s="9"/>
      <c r="P979" s="77"/>
    </row>
    <row r="980" spans="6:16" x14ac:dyDescent="0.2">
      <c r="F980" s="28"/>
      <c r="H980" s="28"/>
      <c r="I980" s="28"/>
      <c r="J980" s="28"/>
      <c r="K980" s="9"/>
      <c r="O980" s="9"/>
      <c r="P980" s="77"/>
    </row>
    <row r="981" spans="6:16" x14ac:dyDescent="0.2">
      <c r="F981" s="28"/>
      <c r="H981" s="28"/>
      <c r="I981" s="28"/>
      <c r="J981" s="28"/>
      <c r="K981" s="9"/>
      <c r="O981" s="9"/>
      <c r="P981" s="77"/>
    </row>
    <row r="982" spans="6:16" x14ac:dyDescent="0.2">
      <c r="F982" s="28"/>
      <c r="H982" s="28"/>
      <c r="I982" s="28"/>
      <c r="J982" s="28"/>
      <c r="K982" s="9"/>
      <c r="O982" s="9"/>
      <c r="P982" s="77"/>
    </row>
    <row r="983" spans="6:16" x14ac:dyDescent="0.2">
      <c r="F983" s="28"/>
      <c r="H983" s="28"/>
      <c r="I983" s="28"/>
      <c r="J983" s="28"/>
      <c r="K983" s="9"/>
      <c r="O983" s="9"/>
      <c r="P983" s="77"/>
    </row>
    <row r="984" spans="6:16" x14ac:dyDescent="0.2">
      <c r="F984" s="28"/>
      <c r="H984" s="28"/>
      <c r="I984" s="28"/>
      <c r="J984" s="28"/>
      <c r="K984" s="9"/>
      <c r="O984" s="9"/>
      <c r="P984" s="77"/>
    </row>
    <row r="985" spans="6:16" x14ac:dyDescent="0.2">
      <c r="F985" s="28"/>
      <c r="H985" s="28"/>
      <c r="I985" s="28"/>
      <c r="J985" s="28"/>
      <c r="K985" s="9"/>
      <c r="O985" s="9"/>
      <c r="P985" s="77"/>
    </row>
    <row r="986" spans="6:16" x14ac:dyDescent="0.2">
      <c r="F986" s="28"/>
      <c r="H986" s="28"/>
      <c r="I986" s="28"/>
      <c r="J986" s="28"/>
      <c r="K986" s="9"/>
      <c r="O986" s="9"/>
      <c r="P986" s="77"/>
    </row>
    <row r="987" spans="6:16" x14ac:dyDescent="0.2">
      <c r="F987" s="28"/>
      <c r="H987" s="28"/>
      <c r="I987" s="28"/>
      <c r="J987" s="28"/>
      <c r="K987" s="9"/>
      <c r="O987" s="9"/>
      <c r="P987" s="77"/>
    </row>
    <row r="988" spans="6:16" x14ac:dyDescent="0.2">
      <c r="F988" s="28"/>
      <c r="H988" s="28"/>
      <c r="I988" s="28"/>
      <c r="J988" s="28"/>
      <c r="K988" s="9"/>
      <c r="O988" s="9"/>
      <c r="P988" s="77"/>
    </row>
    <row r="989" spans="6:16" x14ac:dyDescent="0.2">
      <c r="F989" s="28"/>
      <c r="H989" s="28"/>
      <c r="I989" s="28"/>
      <c r="J989" s="28"/>
      <c r="K989" s="9"/>
      <c r="O989" s="9"/>
      <c r="P989" s="77"/>
    </row>
    <row r="990" spans="6:16" x14ac:dyDescent="0.2">
      <c r="F990" s="28"/>
      <c r="H990" s="28"/>
      <c r="I990" s="28"/>
      <c r="J990" s="28"/>
      <c r="K990" s="9"/>
      <c r="O990" s="9"/>
      <c r="P990" s="77"/>
    </row>
    <row r="991" spans="6:16" x14ac:dyDescent="0.2">
      <c r="F991" s="28"/>
      <c r="H991" s="28"/>
      <c r="I991" s="28"/>
      <c r="J991" s="28"/>
      <c r="K991" s="9"/>
      <c r="O991" s="9"/>
      <c r="P991" s="77"/>
    </row>
    <row r="992" spans="6:16" x14ac:dyDescent="0.2">
      <c r="F992" s="28"/>
      <c r="H992" s="28"/>
      <c r="I992" s="28"/>
      <c r="J992" s="28"/>
      <c r="K992" s="9"/>
      <c r="O992" s="9"/>
      <c r="P992" s="77"/>
    </row>
    <row r="993" spans="6:16" x14ac:dyDescent="0.2">
      <c r="F993" s="28"/>
      <c r="H993" s="28"/>
      <c r="I993" s="28"/>
      <c r="J993" s="28"/>
      <c r="K993" s="9"/>
      <c r="O993" s="9"/>
      <c r="P993" s="77"/>
    </row>
    <row r="994" spans="6:16" x14ac:dyDescent="0.2">
      <c r="F994" s="28"/>
      <c r="H994" s="28"/>
      <c r="I994" s="28"/>
      <c r="J994" s="28"/>
      <c r="K994" s="9"/>
      <c r="O994" s="9"/>
      <c r="P994" s="77"/>
    </row>
    <row r="995" spans="6:16" x14ac:dyDescent="0.2">
      <c r="F995" s="28"/>
      <c r="H995" s="28"/>
      <c r="I995" s="28"/>
      <c r="J995" s="28"/>
      <c r="K995" s="9"/>
      <c r="O995" s="9"/>
      <c r="P995" s="77"/>
    </row>
    <row r="996" spans="6:16" x14ac:dyDescent="0.2">
      <c r="F996" s="28"/>
      <c r="H996" s="28"/>
      <c r="I996" s="28"/>
      <c r="J996" s="28"/>
      <c r="K996" s="9"/>
      <c r="O996" s="9"/>
      <c r="P996" s="77"/>
    </row>
    <row r="997" spans="6:16" x14ac:dyDescent="0.2">
      <c r="F997" s="28"/>
      <c r="H997" s="28"/>
      <c r="I997" s="28"/>
      <c r="J997" s="28"/>
      <c r="K997" s="9"/>
      <c r="O997" s="9"/>
      <c r="P997" s="77"/>
    </row>
    <row r="998" spans="6:16" x14ac:dyDescent="0.2">
      <c r="F998" s="28"/>
      <c r="H998" s="28"/>
      <c r="I998" s="28"/>
      <c r="J998" s="28"/>
      <c r="K998" s="9"/>
      <c r="O998" s="9"/>
      <c r="P998" s="77"/>
    </row>
    <row r="999" spans="6:16" x14ac:dyDescent="0.2">
      <c r="F999" s="28"/>
      <c r="H999" s="28"/>
      <c r="I999" s="28"/>
      <c r="J999" s="28"/>
      <c r="K999" s="9"/>
      <c r="O999" s="9"/>
      <c r="P999" s="77"/>
    </row>
    <row r="1000" spans="6:16" x14ac:dyDescent="0.2">
      <c r="F1000" s="28"/>
      <c r="H1000" s="28"/>
      <c r="I1000" s="28"/>
      <c r="J1000" s="28"/>
      <c r="K1000" s="9"/>
      <c r="O1000" s="9"/>
      <c r="P1000" s="77"/>
    </row>
    <row r="1001" spans="6:16" x14ac:dyDescent="0.2">
      <c r="F1001" s="28"/>
      <c r="H1001" s="28"/>
      <c r="I1001" s="28"/>
      <c r="J1001" s="28"/>
      <c r="K1001" s="9"/>
      <c r="O1001" s="9"/>
      <c r="P1001" s="77"/>
    </row>
    <row r="1002" spans="6:16" x14ac:dyDescent="0.2">
      <c r="F1002" s="28"/>
      <c r="H1002" s="28"/>
      <c r="I1002" s="28"/>
      <c r="J1002" s="28"/>
      <c r="K1002" s="9"/>
      <c r="O1002" s="9"/>
      <c r="P1002" s="77"/>
    </row>
    <row r="1003" spans="6:16" x14ac:dyDescent="0.2">
      <c r="F1003" s="28"/>
      <c r="H1003" s="28"/>
      <c r="I1003" s="28"/>
      <c r="J1003" s="28"/>
      <c r="K1003" s="9"/>
      <c r="O1003" s="9"/>
      <c r="P1003" s="77"/>
    </row>
    <row r="1004" spans="6:16" x14ac:dyDescent="0.2">
      <c r="F1004" s="28"/>
      <c r="H1004" s="28"/>
      <c r="I1004" s="28"/>
      <c r="J1004" s="28"/>
      <c r="K1004" s="9"/>
      <c r="O1004" s="9"/>
      <c r="P1004" s="77"/>
    </row>
    <row r="1005" spans="6:16" x14ac:dyDescent="0.2">
      <c r="F1005" s="28"/>
      <c r="H1005" s="28"/>
      <c r="I1005" s="28"/>
      <c r="J1005" s="28"/>
      <c r="K1005" s="9"/>
      <c r="O1005" s="9"/>
      <c r="P1005" s="77"/>
    </row>
    <row r="1006" spans="6:16" x14ac:dyDescent="0.2">
      <c r="F1006" s="28"/>
      <c r="H1006" s="28"/>
      <c r="I1006" s="28"/>
      <c r="J1006" s="28"/>
      <c r="K1006" s="9"/>
      <c r="O1006" s="9"/>
      <c r="P1006" s="77"/>
    </row>
    <row r="1007" spans="6:16" x14ac:dyDescent="0.2">
      <c r="F1007" s="28"/>
      <c r="H1007" s="28"/>
      <c r="I1007" s="28"/>
      <c r="J1007" s="28"/>
      <c r="K1007" s="9"/>
      <c r="O1007" s="9"/>
      <c r="P1007" s="77"/>
    </row>
    <row r="1008" spans="6:16" x14ac:dyDescent="0.2">
      <c r="F1008" s="28"/>
      <c r="H1008" s="28"/>
      <c r="I1008" s="28"/>
      <c r="J1008" s="28"/>
      <c r="K1008" s="9"/>
      <c r="O1008" s="9"/>
      <c r="P1008" s="77"/>
    </row>
    <row r="1009" spans="6:16" x14ac:dyDescent="0.2">
      <c r="F1009" s="28"/>
      <c r="H1009" s="28"/>
      <c r="I1009" s="28"/>
      <c r="J1009" s="28"/>
      <c r="K1009" s="9"/>
      <c r="O1009" s="9"/>
      <c r="P1009" s="77"/>
    </row>
    <row r="1010" spans="6:16" x14ac:dyDescent="0.2">
      <c r="F1010" s="28"/>
      <c r="H1010" s="28"/>
      <c r="I1010" s="28"/>
      <c r="J1010" s="28"/>
      <c r="K1010" s="9"/>
      <c r="O1010" s="9"/>
      <c r="P1010" s="77"/>
    </row>
    <row r="1011" spans="6:16" x14ac:dyDescent="0.2">
      <c r="F1011" s="28"/>
      <c r="H1011" s="28"/>
      <c r="I1011" s="28"/>
      <c r="J1011" s="28"/>
      <c r="K1011" s="9"/>
      <c r="O1011" s="9"/>
      <c r="P1011" s="77"/>
    </row>
    <row r="1012" spans="6:16" x14ac:dyDescent="0.2">
      <c r="F1012" s="28"/>
      <c r="H1012" s="28"/>
      <c r="I1012" s="28"/>
      <c r="J1012" s="28"/>
      <c r="K1012" s="9"/>
      <c r="O1012" s="9"/>
      <c r="P1012" s="77"/>
    </row>
    <row r="1013" spans="6:16" x14ac:dyDescent="0.2">
      <c r="F1013" s="28"/>
      <c r="H1013" s="28"/>
      <c r="I1013" s="28"/>
      <c r="J1013" s="28"/>
      <c r="K1013" s="9"/>
      <c r="O1013" s="9"/>
      <c r="P1013" s="77"/>
    </row>
    <row r="1014" spans="6:16" x14ac:dyDescent="0.2">
      <c r="F1014" s="28"/>
      <c r="H1014" s="28"/>
      <c r="I1014" s="28"/>
      <c r="J1014" s="28"/>
      <c r="K1014" s="9"/>
      <c r="O1014" s="9"/>
      <c r="P1014" s="77"/>
    </row>
    <row r="1015" spans="6:16" x14ac:dyDescent="0.2">
      <c r="F1015" s="28"/>
      <c r="H1015" s="28"/>
      <c r="I1015" s="28"/>
      <c r="J1015" s="28"/>
      <c r="K1015" s="9"/>
      <c r="O1015" s="9"/>
      <c r="P1015" s="77"/>
    </row>
    <row r="1016" spans="6:16" x14ac:dyDescent="0.2">
      <c r="F1016" s="28"/>
      <c r="H1016" s="28"/>
      <c r="I1016" s="28"/>
      <c r="J1016" s="28"/>
      <c r="K1016" s="9"/>
      <c r="O1016" s="9"/>
      <c r="P1016" s="77"/>
    </row>
    <row r="1017" spans="6:16" x14ac:dyDescent="0.2">
      <c r="F1017" s="28"/>
      <c r="H1017" s="28"/>
      <c r="I1017" s="28"/>
      <c r="J1017" s="28"/>
      <c r="K1017" s="9"/>
      <c r="O1017" s="9"/>
      <c r="P1017" s="77"/>
    </row>
    <row r="1018" spans="6:16" x14ac:dyDescent="0.2">
      <c r="F1018" s="28"/>
      <c r="H1018" s="28"/>
      <c r="I1018" s="28"/>
      <c r="J1018" s="28"/>
      <c r="K1018" s="9"/>
      <c r="O1018" s="9"/>
      <c r="P1018" s="77"/>
    </row>
    <row r="1019" spans="6:16" x14ac:dyDescent="0.2">
      <c r="F1019" s="28"/>
      <c r="H1019" s="28"/>
      <c r="I1019" s="28"/>
      <c r="J1019" s="28"/>
      <c r="K1019" s="9"/>
      <c r="O1019" s="9"/>
      <c r="P1019" s="77"/>
    </row>
    <row r="1020" spans="6:16" x14ac:dyDescent="0.2">
      <c r="F1020" s="28"/>
      <c r="H1020" s="28"/>
      <c r="I1020" s="28"/>
      <c r="J1020" s="28"/>
      <c r="K1020" s="9"/>
      <c r="O1020" s="9"/>
      <c r="P1020" s="77"/>
    </row>
    <row r="1021" spans="6:16" x14ac:dyDescent="0.2">
      <c r="F1021" s="28"/>
      <c r="H1021" s="28"/>
      <c r="I1021" s="28"/>
      <c r="J1021" s="28"/>
      <c r="K1021" s="9"/>
      <c r="O1021" s="9"/>
      <c r="P1021" s="77"/>
    </row>
    <row r="1022" spans="6:16" x14ac:dyDescent="0.2">
      <c r="F1022" s="28"/>
      <c r="H1022" s="28"/>
      <c r="I1022" s="28"/>
      <c r="J1022" s="28"/>
      <c r="K1022" s="9"/>
      <c r="O1022" s="9"/>
      <c r="P1022" s="77"/>
    </row>
    <row r="1023" spans="6:16" x14ac:dyDescent="0.2">
      <c r="F1023" s="28"/>
      <c r="H1023" s="28"/>
      <c r="I1023" s="28"/>
      <c r="J1023" s="28"/>
      <c r="K1023" s="9"/>
      <c r="O1023" s="9"/>
      <c r="P1023" s="77"/>
    </row>
    <row r="1024" spans="6:16" x14ac:dyDescent="0.2">
      <c r="F1024" s="28"/>
      <c r="H1024" s="28"/>
      <c r="I1024" s="28"/>
      <c r="J1024" s="28"/>
      <c r="K1024" s="9"/>
      <c r="O1024" s="9"/>
      <c r="P1024" s="77"/>
    </row>
    <row r="1025" spans="6:16" x14ac:dyDescent="0.2">
      <c r="F1025" s="28"/>
      <c r="H1025" s="28"/>
      <c r="I1025" s="28"/>
      <c r="J1025" s="28"/>
      <c r="K1025" s="9"/>
      <c r="O1025" s="9"/>
      <c r="P1025" s="77"/>
    </row>
    <row r="1026" spans="6:16" x14ac:dyDescent="0.2">
      <c r="F1026" s="28"/>
      <c r="H1026" s="28"/>
      <c r="I1026" s="28"/>
      <c r="J1026" s="28"/>
      <c r="K1026" s="9"/>
      <c r="O1026" s="9"/>
      <c r="P1026" s="77"/>
    </row>
    <row r="1027" spans="6:16" x14ac:dyDescent="0.2">
      <c r="F1027" s="28"/>
      <c r="H1027" s="28"/>
      <c r="I1027" s="28"/>
      <c r="J1027" s="28"/>
      <c r="K1027" s="9"/>
      <c r="O1027" s="9"/>
      <c r="P1027" s="77"/>
    </row>
    <row r="1028" spans="6:16" x14ac:dyDescent="0.2">
      <c r="F1028" s="28"/>
      <c r="H1028" s="28"/>
      <c r="I1028" s="28"/>
      <c r="J1028" s="28"/>
      <c r="K1028" s="9"/>
      <c r="O1028" s="9"/>
      <c r="P1028" s="77"/>
    </row>
    <row r="1029" spans="6:16" x14ac:dyDescent="0.2">
      <c r="F1029" s="28"/>
      <c r="H1029" s="28"/>
      <c r="I1029" s="28"/>
      <c r="J1029" s="28"/>
      <c r="K1029" s="9"/>
      <c r="O1029" s="9"/>
      <c r="P1029" s="77"/>
    </row>
    <row r="1030" spans="6:16" x14ac:dyDescent="0.2">
      <c r="F1030" s="28"/>
      <c r="H1030" s="28"/>
      <c r="I1030" s="28"/>
      <c r="J1030" s="28"/>
      <c r="K1030" s="9"/>
      <c r="O1030" s="9"/>
      <c r="P1030" s="77"/>
    </row>
    <row r="1031" spans="6:16" x14ac:dyDescent="0.2">
      <c r="F1031" s="28"/>
      <c r="H1031" s="28"/>
      <c r="I1031" s="28"/>
      <c r="J1031" s="28"/>
      <c r="K1031" s="9"/>
      <c r="O1031" s="9"/>
      <c r="P1031" s="77"/>
    </row>
    <row r="1032" spans="6:16" x14ac:dyDescent="0.2">
      <c r="F1032" s="28"/>
      <c r="H1032" s="28"/>
      <c r="I1032" s="28"/>
      <c r="J1032" s="28"/>
      <c r="K1032" s="9"/>
      <c r="O1032" s="9"/>
      <c r="P1032" s="77"/>
    </row>
    <row r="1033" spans="6:16" x14ac:dyDescent="0.2">
      <c r="F1033" s="28"/>
      <c r="H1033" s="28"/>
      <c r="I1033" s="28"/>
      <c r="J1033" s="28"/>
      <c r="K1033" s="9"/>
      <c r="O1033" s="9"/>
      <c r="P1033" s="77"/>
    </row>
    <row r="1034" spans="6:16" x14ac:dyDescent="0.2">
      <c r="F1034" s="28"/>
      <c r="H1034" s="28"/>
      <c r="I1034" s="28"/>
      <c r="J1034" s="28"/>
      <c r="K1034" s="9"/>
      <c r="O1034" s="9"/>
      <c r="P1034" s="77"/>
    </row>
    <row r="1035" spans="6:16" x14ac:dyDescent="0.2">
      <c r="F1035" s="28"/>
      <c r="H1035" s="28"/>
      <c r="I1035" s="28"/>
      <c r="J1035" s="28"/>
      <c r="K1035" s="9"/>
      <c r="O1035" s="9"/>
      <c r="P1035" s="77"/>
    </row>
    <row r="1036" spans="6:16" x14ac:dyDescent="0.2">
      <c r="F1036" s="28"/>
      <c r="H1036" s="28"/>
      <c r="I1036" s="28"/>
      <c r="J1036" s="28"/>
      <c r="K1036" s="9"/>
      <c r="O1036" s="9"/>
      <c r="P1036" s="77"/>
    </row>
    <row r="1037" spans="6:16" x14ac:dyDescent="0.2">
      <c r="F1037" s="28"/>
      <c r="H1037" s="28"/>
      <c r="I1037" s="28"/>
      <c r="J1037" s="28"/>
      <c r="K1037" s="9"/>
      <c r="O1037" s="9"/>
      <c r="P1037" s="77"/>
    </row>
    <row r="1038" spans="6:16" x14ac:dyDescent="0.2">
      <c r="F1038" s="28"/>
      <c r="H1038" s="28"/>
      <c r="I1038" s="28"/>
      <c r="J1038" s="28"/>
      <c r="K1038" s="9"/>
      <c r="O1038" s="9"/>
      <c r="P1038" s="77"/>
    </row>
    <row r="1039" spans="6:16" x14ac:dyDescent="0.2">
      <c r="F1039" s="28"/>
      <c r="H1039" s="28"/>
      <c r="I1039" s="28"/>
      <c r="J1039" s="28"/>
      <c r="K1039" s="9"/>
      <c r="O1039" s="9"/>
      <c r="P1039" s="77"/>
    </row>
    <row r="1040" spans="6:16" x14ac:dyDescent="0.2">
      <c r="F1040" s="28"/>
      <c r="H1040" s="28"/>
      <c r="I1040" s="28"/>
      <c r="J1040" s="28"/>
      <c r="K1040" s="9"/>
      <c r="O1040" s="9"/>
      <c r="P1040" s="77"/>
    </row>
    <row r="1041" spans="6:16" x14ac:dyDescent="0.2">
      <c r="F1041" s="28"/>
      <c r="H1041" s="28"/>
      <c r="I1041" s="28"/>
      <c r="J1041" s="28"/>
      <c r="K1041" s="9"/>
      <c r="O1041" s="9"/>
      <c r="P1041" s="77"/>
    </row>
    <row r="1042" spans="6:16" x14ac:dyDescent="0.2">
      <c r="F1042" s="28"/>
      <c r="H1042" s="28"/>
      <c r="I1042" s="28"/>
      <c r="J1042" s="28"/>
      <c r="K1042" s="9"/>
      <c r="O1042" s="9"/>
      <c r="P1042" s="77"/>
    </row>
    <row r="1043" spans="6:16" x14ac:dyDescent="0.2">
      <c r="F1043" s="28"/>
      <c r="H1043" s="28"/>
      <c r="I1043" s="28"/>
      <c r="J1043" s="28"/>
      <c r="K1043" s="9"/>
      <c r="O1043" s="9"/>
      <c r="P1043" s="77"/>
    </row>
    <row r="1044" spans="6:16" x14ac:dyDescent="0.2">
      <c r="F1044" s="28"/>
      <c r="H1044" s="28"/>
      <c r="I1044" s="28"/>
      <c r="J1044" s="28"/>
      <c r="K1044" s="9"/>
      <c r="O1044" s="9"/>
      <c r="P1044" s="77"/>
    </row>
    <row r="1045" spans="6:16" x14ac:dyDescent="0.2">
      <c r="F1045" s="28"/>
      <c r="H1045" s="28"/>
      <c r="I1045" s="28"/>
      <c r="J1045" s="28"/>
      <c r="K1045" s="9"/>
      <c r="O1045" s="9"/>
      <c r="P1045" s="77"/>
    </row>
    <row r="1046" spans="6:16" x14ac:dyDescent="0.2">
      <c r="F1046" s="28"/>
      <c r="H1046" s="28"/>
      <c r="I1046" s="28"/>
      <c r="J1046" s="28"/>
      <c r="K1046" s="9"/>
      <c r="O1046" s="9"/>
      <c r="P1046" s="77"/>
    </row>
    <row r="1047" spans="6:16" x14ac:dyDescent="0.2">
      <c r="F1047" s="28"/>
      <c r="H1047" s="28"/>
      <c r="I1047" s="28"/>
      <c r="J1047" s="28"/>
      <c r="K1047" s="9"/>
      <c r="O1047" s="9"/>
      <c r="P1047" s="77"/>
    </row>
    <row r="1048" spans="6:16" x14ac:dyDescent="0.2">
      <c r="F1048" s="28"/>
      <c r="H1048" s="28"/>
      <c r="I1048" s="28"/>
      <c r="J1048" s="28"/>
      <c r="K1048" s="9"/>
      <c r="O1048" s="9"/>
      <c r="P1048" s="77"/>
    </row>
    <row r="1049" spans="6:16" x14ac:dyDescent="0.2">
      <c r="F1049" s="28"/>
      <c r="H1049" s="28"/>
      <c r="I1049" s="28"/>
      <c r="J1049" s="28"/>
      <c r="K1049" s="9"/>
      <c r="O1049" s="9"/>
      <c r="P1049" s="77"/>
    </row>
    <row r="1050" spans="6:16" x14ac:dyDescent="0.2">
      <c r="F1050" s="28"/>
      <c r="H1050" s="28"/>
      <c r="I1050" s="28"/>
      <c r="J1050" s="28"/>
      <c r="K1050" s="9"/>
      <c r="O1050" s="9"/>
      <c r="P1050" s="77"/>
    </row>
    <row r="1051" spans="6:16" x14ac:dyDescent="0.2">
      <c r="F1051" s="28"/>
      <c r="H1051" s="28"/>
      <c r="I1051" s="28"/>
      <c r="J1051" s="28"/>
      <c r="K1051" s="9"/>
      <c r="O1051" s="9"/>
      <c r="P1051" s="77"/>
    </row>
    <row r="1052" spans="6:16" x14ac:dyDescent="0.2">
      <c r="F1052" s="28"/>
      <c r="H1052" s="28"/>
      <c r="I1052" s="28"/>
      <c r="J1052" s="28"/>
      <c r="K1052" s="9"/>
      <c r="O1052" s="9"/>
      <c r="P1052" s="77"/>
    </row>
    <row r="1053" spans="6:16" x14ac:dyDescent="0.2">
      <c r="F1053" s="28"/>
      <c r="H1053" s="28"/>
      <c r="I1053" s="28"/>
      <c r="J1053" s="28"/>
      <c r="K1053" s="9"/>
      <c r="O1053" s="9"/>
      <c r="P1053" s="77"/>
    </row>
    <row r="1054" spans="6:16" x14ac:dyDescent="0.2">
      <c r="F1054" s="28"/>
      <c r="H1054" s="28"/>
      <c r="I1054" s="28"/>
      <c r="J1054" s="28"/>
      <c r="K1054" s="9"/>
      <c r="O1054" s="9"/>
      <c r="P1054" s="77"/>
    </row>
    <row r="1055" spans="6:16" x14ac:dyDescent="0.2">
      <c r="F1055" s="28"/>
      <c r="H1055" s="28"/>
      <c r="I1055" s="28"/>
      <c r="J1055" s="28"/>
      <c r="K1055" s="9"/>
      <c r="O1055" s="9"/>
      <c r="P1055" s="77"/>
    </row>
    <row r="1056" spans="6:16" x14ac:dyDescent="0.2">
      <c r="F1056" s="28"/>
      <c r="H1056" s="28"/>
      <c r="I1056" s="28"/>
      <c r="J1056" s="28"/>
      <c r="K1056" s="9"/>
      <c r="O1056" s="9"/>
      <c r="P1056" s="77"/>
    </row>
    <row r="1057" spans="6:16" x14ac:dyDescent="0.2">
      <c r="F1057" s="28"/>
      <c r="H1057" s="28"/>
      <c r="I1057" s="28"/>
      <c r="J1057" s="28"/>
      <c r="K1057" s="9"/>
      <c r="O1057" s="9"/>
      <c r="P1057" s="77"/>
    </row>
    <row r="1058" spans="6:16" x14ac:dyDescent="0.2">
      <c r="F1058" s="28"/>
      <c r="H1058" s="28"/>
      <c r="I1058" s="28"/>
      <c r="J1058" s="28"/>
      <c r="K1058" s="9"/>
      <c r="O1058" s="9"/>
      <c r="P1058" s="77"/>
    </row>
    <row r="1059" spans="6:16" x14ac:dyDescent="0.2">
      <c r="F1059" s="28"/>
      <c r="H1059" s="28"/>
      <c r="I1059" s="28"/>
      <c r="J1059" s="28"/>
      <c r="K1059" s="9"/>
      <c r="O1059" s="9"/>
      <c r="P1059" s="77"/>
    </row>
    <row r="1060" spans="6:16" x14ac:dyDescent="0.2">
      <c r="F1060" s="28"/>
      <c r="H1060" s="28"/>
      <c r="I1060" s="28"/>
      <c r="J1060" s="28"/>
      <c r="K1060" s="9"/>
      <c r="O1060" s="9"/>
      <c r="P1060" s="77"/>
    </row>
    <row r="1061" spans="6:16" x14ac:dyDescent="0.2">
      <c r="F1061" s="28"/>
      <c r="H1061" s="28"/>
      <c r="I1061" s="28"/>
      <c r="J1061" s="28"/>
      <c r="K1061" s="9"/>
      <c r="O1061" s="9"/>
      <c r="P1061" s="77"/>
    </row>
    <row r="1062" spans="6:16" x14ac:dyDescent="0.2">
      <c r="F1062" s="28"/>
      <c r="H1062" s="28"/>
      <c r="I1062" s="28"/>
      <c r="J1062" s="28"/>
      <c r="K1062" s="9"/>
      <c r="O1062" s="9"/>
      <c r="P1062" s="77"/>
    </row>
    <row r="1063" spans="6:16" x14ac:dyDescent="0.2">
      <c r="F1063" s="28"/>
      <c r="H1063" s="28"/>
      <c r="I1063" s="28"/>
      <c r="J1063" s="28"/>
      <c r="K1063" s="9"/>
      <c r="O1063" s="9"/>
      <c r="P1063" s="77"/>
    </row>
    <row r="1064" spans="6:16" x14ac:dyDescent="0.2">
      <c r="F1064" s="28"/>
      <c r="H1064" s="28"/>
      <c r="I1064" s="28"/>
      <c r="J1064" s="28"/>
      <c r="K1064" s="9"/>
      <c r="O1064" s="9"/>
      <c r="P1064" s="77"/>
    </row>
    <row r="1065" spans="6:16" x14ac:dyDescent="0.2">
      <c r="F1065" s="28"/>
      <c r="H1065" s="28"/>
      <c r="I1065" s="28"/>
      <c r="J1065" s="28"/>
      <c r="K1065" s="9"/>
      <c r="O1065" s="9"/>
      <c r="P1065" s="77"/>
    </row>
    <row r="1066" spans="6:16" x14ac:dyDescent="0.2">
      <c r="F1066" s="28"/>
      <c r="H1066" s="28"/>
      <c r="I1066" s="28"/>
      <c r="J1066" s="28"/>
      <c r="K1066" s="9"/>
      <c r="O1066" s="9"/>
      <c r="P1066" s="77"/>
    </row>
    <row r="1067" spans="6:16" x14ac:dyDescent="0.2">
      <c r="F1067" s="28"/>
      <c r="H1067" s="28"/>
      <c r="I1067" s="28"/>
      <c r="J1067" s="28"/>
      <c r="K1067" s="9"/>
      <c r="O1067" s="9"/>
      <c r="P1067" s="77"/>
    </row>
    <row r="1068" spans="6:16" x14ac:dyDescent="0.2">
      <c r="F1068" s="28"/>
      <c r="H1068" s="28"/>
      <c r="I1068" s="28"/>
      <c r="J1068" s="28"/>
      <c r="K1068" s="9"/>
      <c r="O1068" s="9"/>
      <c r="P1068" s="77"/>
    </row>
    <row r="1069" spans="6:16" x14ac:dyDescent="0.2">
      <c r="F1069" s="28"/>
      <c r="H1069" s="28"/>
      <c r="I1069" s="28"/>
      <c r="J1069" s="28"/>
      <c r="K1069" s="9"/>
      <c r="O1069" s="9"/>
      <c r="P1069" s="77"/>
    </row>
    <row r="1070" spans="6:16" x14ac:dyDescent="0.2">
      <c r="F1070" s="28"/>
      <c r="H1070" s="28"/>
      <c r="I1070" s="28"/>
      <c r="J1070" s="28"/>
      <c r="K1070" s="9"/>
      <c r="O1070" s="9"/>
      <c r="P1070" s="77"/>
    </row>
    <row r="1071" spans="6:16" x14ac:dyDescent="0.2">
      <c r="F1071" s="28"/>
      <c r="H1071" s="28"/>
      <c r="I1071" s="28"/>
      <c r="J1071" s="28"/>
      <c r="K1071" s="9"/>
      <c r="O1071" s="9"/>
      <c r="P1071" s="77"/>
    </row>
    <row r="1072" spans="6:16" x14ac:dyDescent="0.2">
      <c r="F1072" s="28"/>
      <c r="H1072" s="28"/>
      <c r="I1072" s="28"/>
      <c r="J1072" s="28"/>
      <c r="K1072" s="9"/>
      <c r="O1072" s="9"/>
      <c r="P1072" s="77"/>
    </row>
    <row r="1073" spans="6:16" x14ac:dyDescent="0.2">
      <c r="F1073" s="28"/>
      <c r="H1073" s="28"/>
      <c r="I1073" s="28"/>
      <c r="J1073" s="28"/>
      <c r="K1073" s="9"/>
      <c r="O1073" s="9"/>
      <c r="P1073" s="77"/>
    </row>
    <row r="1074" spans="6:16" x14ac:dyDescent="0.2">
      <c r="F1074" s="28"/>
      <c r="H1074" s="28"/>
      <c r="I1074" s="28"/>
      <c r="J1074" s="28"/>
      <c r="K1074" s="9"/>
      <c r="O1074" s="9"/>
      <c r="P1074" s="77"/>
    </row>
    <row r="1075" spans="6:16" x14ac:dyDescent="0.2">
      <c r="F1075" s="28"/>
      <c r="H1075" s="28"/>
      <c r="I1075" s="28"/>
      <c r="J1075" s="28"/>
      <c r="K1075" s="9"/>
      <c r="O1075" s="9"/>
      <c r="P1075" s="77"/>
    </row>
    <row r="1076" spans="6:16" x14ac:dyDescent="0.2">
      <c r="F1076" s="28"/>
      <c r="H1076" s="28"/>
      <c r="I1076" s="28"/>
      <c r="J1076" s="28"/>
      <c r="K1076" s="9"/>
      <c r="O1076" s="9"/>
      <c r="P1076" s="77"/>
    </row>
    <row r="1077" spans="6:16" x14ac:dyDescent="0.2">
      <c r="F1077" s="28"/>
      <c r="H1077" s="28"/>
      <c r="I1077" s="28"/>
      <c r="J1077" s="28"/>
      <c r="K1077" s="9"/>
      <c r="O1077" s="9"/>
      <c r="P1077" s="77"/>
    </row>
    <row r="1078" spans="6:16" x14ac:dyDescent="0.2">
      <c r="F1078" s="28"/>
      <c r="H1078" s="28"/>
      <c r="I1078" s="28"/>
      <c r="J1078" s="28"/>
      <c r="K1078" s="9"/>
      <c r="O1078" s="9"/>
      <c r="P1078" s="77"/>
    </row>
    <row r="1079" spans="6:16" x14ac:dyDescent="0.2">
      <c r="F1079" s="28"/>
      <c r="H1079" s="28"/>
      <c r="I1079" s="28"/>
      <c r="J1079" s="28"/>
      <c r="K1079" s="9"/>
      <c r="O1079" s="9"/>
      <c r="P1079" s="77"/>
    </row>
    <row r="1080" spans="6:16" x14ac:dyDescent="0.2">
      <c r="F1080" s="28"/>
      <c r="H1080" s="28"/>
      <c r="I1080" s="28"/>
      <c r="J1080" s="28"/>
      <c r="K1080" s="9"/>
      <c r="O1080" s="9"/>
      <c r="P1080" s="77"/>
    </row>
    <row r="1081" spans="6:16" x14ac:dyDescent="0.2">
      <c r="F1081" s="28"/>
      <c r="H1081" s="28"/>
      <c r="I1081" s="28"/>
      <c r="J1081" s="28"/>
      <c r="K1081" s="9"/>
      <c r="O1081" s="9"/>
      <c r="P1081" s="77"/>
    </row>
    <row r="1082" spans="6:16" x14ac:dyDescent="0.2">
      <c r="F1082" s="28"/>
      <c r="H1082" s="28"/>
      <c r="I1082" s="28"/>
      <c r="J1082" s="28"/>
      <c r="K1082" s="9"/>
      <c r="O1082" s="9"/>
      <c r="P1082" s="77"/>
    </row>
    <row r="1083" spans="6:16" x14ac:dyDescent="0.2">
      <c r="F1083" s="28"/>
      <c r="H1083" s="28"/>
      <c r="I1083" s="28"/>
      <c r="J1083" s="28"/>
      <c r="K1083" s="9"/>
      <c r="O1083" s="9"/>
      <c r="P1083" s="77"/>
    </row>
    <row r="1084" spans="6:16" x14ac:dyDescent="0.2">
      <c r="F1084" s="28"/>
      <c r="H1084" s="28"/>
      <c r="I1084" s="28"/>
      <c r="J1084" s="28"/>
      <c r="K1084" s="9"/>
      <c r="O1084" s="9"/>
      <c r="P1084" s="77"/>
    </row>
    <row r="1085" spans="6:16" x14ac:dyDescent="0.2">
      <c r="F1085" s="28"/>
      <c r="H1085" s="28"/>
      <c r="I1085" s="28"/>
      <c r="J1085" s="28"/>
      <c r="K1085" s="9"/>
      <c r="O1085" s="9"/>
      <c r="P1085" s="77"/>
    </row>
    <row r="1086" spans="6:16" x14ac:dyDescent="0.2">
      <c r="F1086" s="28"/>
      <c r="H1086" s="28"/>
      <c r="I1086" s="28"/>
      <c r="J1086" s="28"/>
      <c r="K1086" s="9"/>
      <c r="O1086" s="9"/>
      <c r="P1086" s="77"/>
    </row>
    <row r="1087" spans="6:16" x14ac:dyDescent="0.2">
      <c r="F1087" s="28"/>
      <c r="H1087" s="28"/>
      <c r="I1087" s="28"/>
      <c r="J1087" s="28"/>
      <c r="K1087" s="9"/>
      <c r="O1087" s="9"/>
      <c r="P1087" s="77"/>
    </row>
    <row r="1088" spans="6:16" x14ac:dyDescent="0.2">
      <c r="F1088" s="28"/>
      <c r="H1088" s="28"/>
      <c r="I1088" s="28"/>
      <c r="J1088" s="28"/>
      <c r="K1088" s="9"/>
      <c r="O1088" s="9"/>
      <c r="P1088" s="77"/>
    </row>
    <row r="1089" spans="6:16" x14ac:dyDescent="0.2">
      <c r="F1089" s="28"/>
      <c r="H1089" s="28"/>
      <c r="I1089" s="28"/>
      <c r="J1089" s="28"/>
      <c r="K1089" s="9"/>
      <c r="O1089" s="9"/>
      <c r="P1089" s="77"/>
    </row>
    <row r="1090" spans="6:16" x14ac:dyDescent="0.2">
      <c r="F1090" s="28"/>
      <c r="H1090" s="28"/>
      <c r="I1090" s="28"/>
      <c r="J1090" s="28"/>
      <c r="K1090" s="9"/>
      <c r="O1090" s="9"/>
      <c r="P1090" s="77"/>
    </row>
    <row r="1091" spans="6:16" x14ac:dyDescent="0.2">
      <c r="F1091" s="28"/>
      <c r="H1091" s="28"/>
      <c r="I1091" s="28"/>
      <c r="J1091" s="28"/>
      <c r="K1091" s="9"/>
      <c r="O1091" s="9"/>
      <c r="P1091" s="77"/>
    </row>
    <row r="1092" spans="6:16" x14ac:dyDescent="0.2">
      <c r="F1092" s="28"/>
      <c r="H1092" s="28"/>
      <c r="I1092" s="28"/>
      <c r="J1092" s="28"/>
      <c r="K1092" s="9"/>
      <c r="O1092" s="9"/>
      <c r="P1092" s="77"/>
    </row>
    <row r="1093" spans="6:16" x14ac:dyDescent="0.2">
      <c r="F1093" s="28"/>
      <c r="H1093" s="28"/>
      <c r="I1093" s="28"/>
      <c r="J1093" s="28"/>
      <c r="K1093" s="9"/>
      <c r="O1093" s="9"/>
      <c r="P1093" s="77"/>
    </row>
    <row r="1094" spans="6:16" x14ac:dyDescent="0.2">
      <c r="F1094" s="28"/>
      <c r="H1094" s="28"/>
      <c r="I1094" s="28"/>
      <c r="J1094" s="28"/>
      <c r="K1094" s="9"/>
      <c r="O1094" s="9"/>
      <c r="P1094" s="77"/>
    </row>
    <row r="1095" spans="6:16" x14ac:dyDescent="0.2">
      <c r="F1095" s="28"/>
      <c r="H1095" s="28"/>
      <c r="I1095" s="28"/>
      <c r="J1095" s="28"/>
      <c r="K1095" s="9"/>
      <c r="O1095" s="9"/>
      <c r="P1095" s="77"/>
    </row>
    <row r="1096" spans="6:16" x14ac:dyDescent="0.2">
      <c r="F1096" s="28"/>
      <c r="H1096" s="28"/>
      <c r="I1096" s="28"/>
      <c r="J1096" s="28"/>
      <c r="K1096" s="9"/>
      <c r="O1096" s="9"/>
      <c r="P1096" s="77"/>
    </row>
    <row r="1097" spans="6:16" x14ac:dyDescent="0.2">
      <c r="F1097" s="28"/>
      <c r="H1097" s="28"/>
      <c r="I1097" s="28"/>
      <c r="J1097" s="28"/>
      <c r="K1097" s="9"/>
      <c r="O1097" s="9"/>
      <c r="P1097" s="77"/>
    </row>
    <row r="1098" spans="6:16" x14ac:dyDescent="0.2">
      <c r="F1098" s="28"/>
      <c r="H1098" s="28"/>
      <c r="I1098" s="28"/>
      <c r="J1098" s="28"/>
      <c r="K1098" s="9"/>
      <c r="O1098" s="9"/>
      <c r="P1098" s="77"/>
    </row>
    <row r="1099" spans="6:16" x14ac:dyDescent="0.2">
      <c r="F1099" s="28"/>
      <c r="H1099" s="28"/>
      <c r="I1099" s="28"/>
      <c r="J1099" s="28"/>
      <c r="K1099" s="9"/>
      <c r="O1099" s="9"/>
      <c r="P1099" s="77"/>
    </row>
    <row r="1100" spans="6:16" x14ac:dyDescent="0.2">
      <c r="F1100" s="28"/>
      <c r="H1100" s="28"/>
      <c r="I1100" s="28"/>
      <c r="J1100" s="28"/>
      <c r="K1100" s="9"/>
      <c r="O1100" s="9"/>
      <c r="P1100" s="77"/>
    </row>
    <row r="1101" spans="6:16" x14ac:dyDescent="0.2">
      <c r="F1101" s="28"/>
      <c r="H1101" s="28"/>
      <c r="I1101" s="28"/>
      <c r="J1101" s="28"/>
      <c r="K1101" s="9"/>
      <c r="O1101" s="9"/>
      <c r="P1101" s="77"/>
    </row>
    <row r="1102" spans="6:16" x14ac:dyDescent="0.2">
      <c r="F1102" s="28"/>
      <c r="H1102" s="28"/>
      <c r="I1102" s="28"/>
      <c r="J1102" s="28"/>
      <c r="K1102" s="9"/>
      <c r="O1102" s="9"/>
      <c r="P1102" s="77"/>
    </row>
    <row r="1103" spans="6:16" x14ac:dyDescent="0.2">
      <c r="F1103" s="28"/>
      <c r="H1103" s="28"/>
      <c r="I1103" s="28"/>
      <c r="J1103" s="28"/>
      <c r="K1103" s="9"/>
      <c r="O1103" s="9"/>
      <c r="P1103" s="77"/>
    </row>
    <row r="1104" spans="6:16" x14ac:dyDescent="0.2">
      <c r="F1104" s="28"/>
      <c r="H1104" s="28"/>
      <c r="I1104" s="28"/>
      <c r="J1104" s="28"/>
      <c r="K1104" s="9"/>
      <c r="O1104" s="9"/>
      <c r="P1104" s="77"/>
    </row>
    <row r="1105" spans="6:16" x14ac:dyDescent="0.2">
      <c r="F1105" s="28"/>
      <c r="H1105" s="28"/>
      <c r="I1105" s="28"/>
      <c r="J1105" s="28"/>
      <c r="K1105" s="9"/>
      <c r="O1105" s="9"/>
      <c r="P1105" s="77"/>
    </row>
    <row r="1106" spans="6:16" x14ac:dyDescent="0.2">
      <c r="F1106" s="28"/>
      <c r="H1106" s="28"/>
      <c r="I1106" s="28"/>
      <c r="J1106" s="28"/>
      <c r="K1106" s="9"/>
      <c r="O1106" s="9"/>
      <c r="P1106" s="77"/>
    </row>
    <row r="1107" spans="6:16" x14ac:dyDescent="0.2">
      <c r="F1107" s="28"/>
      <c r="H1107" s="28"/>
      <c r="I1107" s="28"/>
      <c r="J1107" s="28"/>
      <c r="K1107" s="9"/>
      <c r="O1107" s="9"/>
      <c r="P1107" s="77"/>
    </row>
    <row r="1108" spans="6:16" x14ac:dyDescent="0.2">
      <c r="F1108" s="28"/>
      <c r="H1108" s="28"/>
      <c r="I1108" s="28"/>
      <c r="J1108" s="28"/>
      <c r="K1108" s="9"/>
      <c r="O1108" s="9"/>
      <c r="P1108" s="77"/>
    </row>
    <row r="1109" spans="6:16" x14ac:dyDescent="0.2">
      <c r="F1109" s="28"/>
      <c r="H1109" s="28"/>
      <c r="I1109" s="28"/>
      <c r="J1109" s="28"/>
      <c r="K1109" s="9"/>
      <c r="O1109" s="9"/>
      <c r="P1109" s="77"/>
    </row>
    <row r="1110" spans="6:16" x14ac:dyDescent="0.2">
      <c r="F1110" s="28"/>
      <c r="H1110" s="28"/>
      <c r="I1110" s="28"/>
      <c r="J1110" s="28"/>
      <c r="K1110" s="9"/>
      <c r="O1110" s="9"/>
      <c r="P1110" s="77"/>
    </row>
    <row r="1111" spans="6:16" x14ac:dyDescent="0.2">
      <c r="F1111" s="28"/>
      <c r="H1111" s="28"/>
      <c r="I1111" s="28"/>
      <c r="J1111" s="28"/>
      <c r="K1111" s="9"/>
      <c r="O1111" s="9"/>
      <c r="P1111" s="77"/>
    </row>
    <row r="1112" spans="6:16" x14ac:dyDescent="0.2">
      <c r="F1112" s="28"/>
      <c r="H1112" s="28"/>
      <c r="I1112" s="28"/>
      <c r="J1112" s="28"/>
      <c r="K1112" s="9"/>
      <c r="O1112" s="9"/>
      <c r="P1112" s="77"/>
    </row>
    <row r="1113" spans="6:16" x14ac:dyDescent="0.2">
      <c r="F1113" s="28"/>
      <c r="H1113" s="28"/>
      <c r="I1113" s="28"/>
      <c r="J1113" s="28"/>
      <c r="K1113" s="9"/>
      <c r="O1113" s="9"/>
      <c r="P1113" s="77"/>
    </row>
    <row r="1114" spans="6:16" x14ac:dyDescent="0.2">
      <c r="F1114" s="28"/>
      <c r="H1114" s="28"/>
      <c r="I1114" s="28"/>
      <c r="J1114" s="28"/>
      <c r="K1114" s="9"/>
      <c r="O1114" s="9"/>
      <c r="P1114" s="77"/>
    </row>
    <row r="1115" spans="6:16" x14ac:dyDescent="0.2">
      <c r="F1115" s="28"/>
      <c r="H1115" s="28"/>
      <c r="I1115" s="28"/>
      <c r="J1115" s="28"/>
      <c r="K1115" s="9"/>
      <c r="O1115" s="9"/>
      <c r="P1115" s="77"/>
    </row>
    <row r="1116" spans="6:16" x14ac:dyDescent="0.2">
      <c r="F1116" s="28"/>
      <c r="H1116" s="28"/>
      <c r="I1116" s="28"/>
      <c r="J1116" s="28"/>
      <c r="K1116" s="9"/>
      <c r="O1116" s="9"/>
      <c r="P1116" s="77"/>
    </row>
    <row r="1117" spans="6:16" x14ac:dyDescent="0.2">
      <c r="F1117" s="28"/>
      <c r="H1117" s="28"/>
      <c r="I1117" s="28"/>
      <c r="J1117" s="28"/>
      <c r="K1117" s="9"/>
      <c r="O1117" s="9"/>
      <c r="P1117" s="77"/>
    </row>
    <row r="1118" spans="6:16" x14ac:dyDescent="0.2">
      <c r="F1118" s="28"/>
      <c r="H1118" s="28"/>
      <c r="I1118" s="28"/>
      <c r="J1118" s="28"/>
      <c r="K1118" s="9"/>
      <c r="O1118" s="9"/>
      <c r="P1118" s="77"/>
    </row>
    <row r="1119" spans="6:16" x14ac:dyDescent="0.2">
      <c r="F1119" s="28"/>
      <c r="H1119" s="28"/>
      <c r="I1119" s="28"/>
      <c r="J1119" s="28"/>
      <c r="K1119" s="9"/>
      <c r="O1119" s="9"/>
      <c r="P1119" s="77"/>
    </row>
    <row r="1120" spans="6:16" x14ac:dyDescent="0.2">
      <c r="F1120" s="28"/>
      <c r="H1120" s="28"/>
      <c r="I1120" s="28"/>
      <c r="J1120" s="28"/>
      <c r="K1120" s="9"/>
      <c r="O1120" s="9"/>
      <c r="P1120" s="77"/>
    </row>
    <row r="1121" spans="6:16" x14ac:dyDescent="0.2">
      <c r="F1121" s="28"/>
      <c r="H1121" s="28"/>
      <c r="I1121" s="28"/>
      <c r="J1121" s="28"/>
      <c r="K1121" s="9"/>
      <c r="O1121" s="9"/>
      <c r="P1121" s="77"/>
    </row>
    <row r="1122" spans="6:16" x14ac:dyDescent="0.2">
      <c r="F1122" s="28"/>
      <c r="H1122" s="28"/>
      <c r="I1122" s="28"/>
      <c r="J1122" s="28"/>
      <c r="K1122" s="9"/>
      <c r="O1122" s="9"/>
      <c r="P1122" s="77"/>
    </row>
    <row r="1123" spans="6:16" x14ac:dyDescent="0.2">
      <c r="F1123" s="28"/>
      <c r="H1123" s="28"/>
      <c r="I1123" s="28"/>
      <c r="J1123" s="28"/>
      <c r="K1123" s="9"/>
      <c r="O1123" s="9"/>
      <c r="P1123" s="77"/>
    </row>
    <row r="1124" spans="6:16" x14ac:dyDescent="0.2">
      <c r="F1124" s="28"/>
      <c r="H1124" s="28"/>
      <c r="I1124" s="28"/>
      <c r="J1124" s="28"/>
      <c r="K1124" s="9"/>
      <c r="O1124" s="9"/>
      <c r="P1124" s="77"/>
    </row>
    <row r="1125" spans="6:16" x14ac:dyDescent="0.2">
      <c r="F1125" s="28"/>
      <c r="H1125" s="28"/>
      <c r="I1125" s="28"/>
      <c r="J1125" s="28"/>
      <c r="K1125" s="9"/>
      <c r="O1125" s="9"/>
      <c r="P1125" s="77"/>
    </row>
    <row r="1126" spans="6:16" x14ac:dyDescent="0.2">
      <c r="F1126" s="28"/>
      <c r="H1126" s="28"/>
      <c r="I1126" s="28"/>
      <c r="J1126" s="28"/>
      <c r="K1126" s="9"/>
      <c r="O1126" s="9"/>
      <c r="P1126" s="77"/>
    </row>
    <row r="1127" spans="6:16" x14ac:dyDescent="0.2">
      <c r="F1127" s="28"/>
      <c r="H1127" s="28"/>
      <c r="I1127" s="28"/>
      <c r="J1127" s="28"/>
      <c r="K1127" s="9"/>
      <c r="O1127" s="9"/>
      <c r="P1127" s="77"/>
    </row>
    <row r="1128" spans="6:16" x14ac:dyDescent="0.2">
      <c r="F1128" s="28"/>
      <c r="H1128" s="28"/>
      <c r="I1128" s="28"/>
      <c r="J1128" s="28"/>
      <c r="K1128" s="9"/>
      <c r="O1128" s="9"/>
      <c r="P1128" s="77"/>
    </row>
    <row r="1129" spans="6:16" x14ac:dyDescent="0.2">
      <c r="F1129" s="28"/>
      <c r="H1129" s="28"/>
      <c r="I1129" s="28"/>
      <c r="J1129" s="28"/>
      <c r="K1129" s="9"/>
      <c r="O1129" s="9"/>
      <c r="P1129" s="77"/>
    </row>
    <row r="1130" spans="6:16" x14ac:dyDescent="0.2">
      <c r="F1130" s="28"/>
      <c r="H1130" s="28"/>
      <c r="I1130" s="28"/>
      <c r="J1130" s="28"/>
      <c r="K1130" s="9"/>
      <c r="O1130" s="9"/>
      <c r="P1130" s="77"/>
    </row>
    <row r="1131" spans="6:16" x14ac:dyDescent="0.2">
      <c r="F1131" s="28"/>
      <c r="H1131" s="28"/>
      <c r="I1131" s="28"/>
      <c r="J1131" s="28"/>
      <c r="K1131" s="9"/>
      <c r="O1131" s="9"/>
      <c r="P1131" s="77"/>
    </row>
    <row r="1132" spans="6:16" x14ac:dyDescent="0.2">
      <c r="F1132" s="28"/>
      <c r="H1132" s="28"/>
      <c r="I1132" s="28"/>
      <c r="J1132" s="28"/>
      <c r="K1132" s="9"/>
      <c r="O1132" s="9"/>
      <c r="P1132" s="77"/>
    </row>
    <row r="1133" spans="6:16" x14ac:dyDescent="0.2">
      <c r="F1133" s="28"/>
      <c r="H1133" s="28"/>
      <c r="I1133" s="28"/>
      <c r="J1133" s="28"/>
      <c r="K1133" s="9"/>
      <c r="O1133" s="9"/>
      <c r="P1133" s="77"/>
    </row>
    <row r="1134" spans="6:16" x14ac:dyDescent="0.2">
      <c r="F1134" s="28"/>
      <c r="H1134" s="28"/>
      <c r="I1134" s="28"/>
      <c r="J1134" s="28"/>
      <c r="K1134" s="9"/>
      <c r="O1134" s="9"/>
      <c r="P1134" s="77"/>
    </row>
    <row r="1135" spans="6:16" x14ac:dyDescent="0.2">
      <c r="F1135" s="28"/>
      <c r="H1135" s="28"/>
      <c r="I1135" s="28"/>
      <c r="J1135" s="28"/>
      <c r="K1135" s="9"/>
      <c r="O1135" s="9"/>
      <c r="P1135" s="77"/>
    </row>
    <row r="1136" spans="6:16" x14ac:dyDescent="0.2">
      <c r="F1136" s="28"/>
      <c r="H1136" s="28"/>
      <c r="I1136" s="28"/>
      <c r="J1136" s="28"/>
      <c r="K1136" s="9"/>
      <c r="O1136" s="9"/>
      <c r="P1136" s="77"/>
    </row>
    <row r="1137" spans="6:16" x14ac:dyDescent="0.2">
      <c r="F1137" s="28"/>
      <c r="H1137" s="28"/>
      <c r="I1137" s="28"/>
      <c r="J1137" s="28"/>
      <c r="K1137" s="9"/>
      <c r="O1137" s="9"/>
      <c r="P1137" s="77"/>
    </row>
    <row r="1138" spans="6:16" x14ac:dyDescent="0.2">
      <c r="F1138" s="28"/>
      <c r="H1138" s="28"/>
      <c r="I1138" s="28"/>
      <c r="J1138" s="28"/>
      <c r="K1138" s="9"/>
      <c r="O1138" s="9"/>
      <c r="P1138" s="77"/>
    </row>
    <row r="1139" spans="6:16" x14ac:dyDescent="0.2">
      <c r="F1139" s="28"/>
      <c r="H1139" s="28"/>
      <c r="I1139" s="28"/>
      <c r="J1139" s="28"/>
      <c r="K1139" s="9"/>
      <c r="O1139" s="9"/>
      <c r="P1139" s="77"/>
    </row>
    <row r="1140" spans="6:16" x14ac:dyDescent="0.2">
      <c r="F1140" s="28"/>
      <c r="H1140" s="28"/>
      <c r="I1140" s="28"/>
      <c r="J1140" s="28"/>
      <c r="K1140" s="9"/>
      <c r="O1140" s="9"/>
      <c r="P1140" s="77"/>
    </row>
    <row r="1141" spans="6:16" x14ac:dyDescent="0.2">
      <c r="F1141" s="28"/>
      <c r="H1141" s="28"/>
      <c r="I1141" s="28"/>
      <c r="J1141" s="28"/>
      <c r="K1141" s="9"/>
      <c r="O1141" s="9"/>
      <c r="P1141" s="77"/>
    </row>
    <row r="1142" spans="6:16" x14ac:dyDescent="0.2">
      <c r="F1142" s="28"/>
      <c r="H1142" s="28"/>
      <c r="I1142" s="28"/>
      <c r="J1142" s="28"/>
      <c r="K1142" s="9"/>
      <c r="O1142" s="9"/>
      <c r="P1142" s="77"/>
    </row>
    <row r="1143" spans="6:16" x14ac:dyDescent="0.2">
      <c r="F1143" s="28"/>
      <c r="H1143" s="28"/>
      <c r="I1143" s="28"/>
      <c r="J1143" s="28"/>
      <c r="K1143" s="9"/>
      <c r="O1143" s="9"/>
      <c r="P1143" s="77"/>
    </row>
    <row r="1144" spans="6:16" x14ac:dyDescent="0.2">
      <c r="F1144" s="28"/>
      <c r="H1144" s="28"/>
      <c r="I1144" s="28"/>
      <c r="J1144" s="28"/>
      <c r="K1144" s="9"/>
      <c r="O1144" s="9"/>
      <c r="P1144" s="77"/>
    </row>
    <row r="1145" spans="6:16" x14ac:dyDescent="0.2">
      <c r="F1145" s="28"/>
      <c r="H1145" s="28"/>
      <c r="I1145" s="28"/>
      <c r="J1145" s="28"/>
      <c r="K1145" s="9"/>
      <c r="O1145" s="9"/>
      <c r="P1145" s="77"/>
    </row>
    <row r="1146" spans="6:16" x14ac:dyDescent="0.2">
      <c r="F1146" s="28"/>
      <c r="H1146" s="28"/>
      <c r="I1146" s="28"/>
      <c r="J1146" s="28"/>
      <c r="K1146" s="9"/>
      <c r="O1146" s="9"/>
      <c r="P1146" s="77"/>
    </row>
    <row r="1147" spans="6:16" x14ac:dyDescent="0.2">
      <c r="F1147" s="28"/>
      <c r="H1147" s="28"/>
      <c r="I1147" s="28"/>
      <c r="J1147" s="28"/>
      <c r="K1147" s="9"/>
      <c r="O1147" s="9"/>
      <c r="P1147" s="77"/>
    </row>
    <row r="1148" spans="6:16" x14ac:dyDescent="0.2">
      <c r="F1148" s="28"/>
      <c r="H1148" s="28"/>
      <c r="I1148" s="28"/>
      <c r="J1148" s="28"/>
      <c r="K1148" s="9"/>
      <c r="O1148" s="9"/>
      <c r="P1148" s="77"/>
    </row>
    <row r="1149" spans="6:16" x14ac:dyDescent="0.2">
      <c r="F1149" s="28"/>
      <c r="H1149" s="28"/>
      <c r="I1149" s="28"/>
      <c r="J1149" s="28"/>
      <c r="K1149" s="9"/>
      <c r="O1149" s="9"/>
      <c r="P1149" s="77"/>
    </row>
    <row r="1150" spans="6:16" x14ac:dyDescent="0.2">
      <c r="F1150" s="28"/>
      <c r="H1150" s="28"/>
      <c r="I1150" s="28"/>
      <c r="J1150" s="28"/>
      <c r="K1150" s="9"/>
      <c r="O1150" s="9"/>
      <c r="P1150" s="77"/>
    </row>
    <row r="1151" spans="6:16" x14ac:dyDescent="0.2">
      <c r="F1151" s="28"/>
      <c r="H1151" s="28"/>
      <c r="I1151" s="28"/>
      <c r="J1151" s="28"/>
      <c r="K1151" s="9"/>
      <c r="O1151" s="9"/>
      <c r="P1151" s="77"/>
    </row>
    <row r="1152" spans="6:16" x14ac:dyDescent="0.2">
      <c r="F1152" s="28"/>
      <c r="H1152" s="28"/>
      <c r="I1152" s="28"/>
      <c r="J1152" s="28"/>
      <c r="K1152" s="9"/>
      <c r="O1152" s="9"/>
      <c r="P1152" s="77"/>
    </row>
    <row r="1153" spans="6:16" x14ac:dyDescent="0.2">
      <c r="F1153" s="28"/>
      <c r="H1153" s="28"/>
      <c r="I1153" s="28"/>
      <c r="J1153" s="28"/>
      <c r="K1153" s="9"/>
      <c r="O1153" s="9"/>
      <c r="P1153" s="77"/>
    </row>
    <row r="1154" spans="6:16" x14ac:dyDescent="0.2">
      <c r="F1154" s="28"/>
      <c r="H1154" s="28"/>
      <c r="I1154" s="28"/>
      <c r="J1154" s="28"/>
      <c r="K1154" s="9"/>
      <c r="O1154" s="9"/>
      <c r="P1154" s="77"/>
    </row>
    <row r="1155" spans="6:16" x14ac:dyDescent="0.2">
      <c r="F1155" s="28"/>
      <c r="H1155" s="28"/>
      <c r="I1155" s="28"/>
      <c r="J1155" s="28"/>
      <c r="K1155" s="9"/>
      <c r="O1155" s="9"/>
      <c r="P1155" s="77"/>
    </row>
    <row r="1156" spans="6:16" x14ac:dyDescent="0.2">
      <c r="F1156" s="28"/>
      <c r="H1156" s="28"/>
      <c r="I1156" s="28"/>
      <c r="J1156" s="28"/>
      <c r="K1156" s="9"/>
      <c r="O1156" s="9"/>
      <c r="P1156" s="77"/>
    </row>
    <row r="1157" spans="6:16" x14ac:dyDescent="0.2">
      <c r="F1157" s="28"/>
      <c r="H1157" s="28"/>
      <c r="I1157" s="28"/>
      <c r="J1157" s="28"/>
      <c r="K1157" s="9"/>
      <c r="O1157" s="9"/>
      <c r="P1157" s="77"/>
    </row>
    <row r="1158" spans="6:16" x14ac:dyDescent="0.2">
      <c r="F1158" s="28"/>
      <c r="H1158" s="28"/>
      <c r="I1158" s="28"/>
      <c r="J1158" s="28"/>
      <c r="K1158" s="9"/>
      <c r="O1158" s="9"/>
      <c r="P1158" s="77"/>
    </row>
    <row r="1159" spans="6:16" x14ac:dyDescent="0.2">
      <c r="F1159" s="28"/>
      <c r="H1159" s="28"/>
      <c r="I1159" s="28"/>
      <c r="J1159" s="28"/>
      <c r="K1159" s="9"/>
      <c r="O1159" s="9"/>
      <c r="P1159" s="77"/>
    </row>
    <row r="1160" spans="6:16" x14ac:dyDescent="0.2">
      <c r="F1160" s="28"/>
      <c r="H1160" s="28"/>
      <c r="I1160" s="28"/>
      <c r="J1160" s="28"/>
      <c r="K1160" s="9"/>
      <c r="O1160" s="9"/>
      <c r="P1160" s="77"/>
    </row>
    <row r="1161" spans="6:16" x14ac:dyDescent="0.2">
      <c r="F1161" s="28"/>
      <c r="H1161" s="28"/>
      <c r="I1161" s="28"/>
      <c r="J1161" s="28"/>
      <c r="K1161" s="9"/>
      <c r="O1161" s="9"/>
      <c r="P1161" s="77"/>
    </row>
    <row r="1162" spans="6:16" x14ac:dyDescent="0.2">
      <c r="F1162" s="28"/>
      <c r="H1162" s="28"/>
      <c r="I1162" s="28"/>
      <c r="J1162" s="28"/>
      <c r="K1162" s="9"/>
      <c r="O1162" s="9"/>
      <c r="P1162" s="77"/>
    </row>
    <row r="1163" spans="6:16" x14ac:dyDescent="0.2">
      <c r="F1163" s="28"/>
      <c r="H1163" s="28"/>
      <c r="I1163" s="28"/>
      <c r="J1163" s="28"/>
      <c r="K1163" s="9"/>
      <c r="O1163" s="9"/>
      <c r="P1163" s="77"/>
    </row>
    <row r="1164" spans="6:16" x14ac:dyDescent="0.2">
      <c r="F1164" s="28"/>
      <c r="H1164" s="28"/>
      <c r="I1164" s="28"/>
      <c r="J1164" s="28"/>
      <c r="K1164" s="9"/>
      <c r="O1164" s="9"/>
      <c r="P1164" s="77"/>
    </row>
    <row r="1165" spans="6:16" x14ac:dyDescent="0.2">
      <c r="F1165" s="28"/>
      <c r="H1165" s="28"/>
      <c r="I1165" s="28"/>
      <c r="J1165" s="28"/>
      <c r="K1165" s="9"/>
      <c r="O1165" s="9"/>
      <c r="P1165" s="77"/>
    </row>
    <row r="1166" spans="6:16" x14ac:dyDescent="0.2">
      <c r="F1166" s="28"/>
      <c r="H1166" s="28"/>
      <c r="I1166" s="28"/>
      <c r="J1166" s="28"/>
      <c r="K1166" s="9"/>
      <c r="O1166" s="9"/>
      <c r="P1166" s="77"/>
    </row>
    <row r="1167" spans="6:16" x14ac:dyDescent="0.2">
      <c r="F1167" s="28"/>
      <c r="H1167" s="28"/>
      <c r="I1167" s="28"/>
      <c r="J1167" s="28"/>
      <c r="K1167" s="9"/>
      <c r="O1167" s="9"/>
      <c r="P1167" s="77"/>
    </row>
    <row r="1168" spans="6:16" x14ac:dyDescent="0.2">
      <c r="F1168" s="28"/>
      <c r="H1168" s="28"/>
      <c r="I1168" s="28"/>
      <c r="J1168" s="28"/>
      <c r="K1168" s="9"/>
      <c r="O1168" s="9"/>
      <c r="P1168" s="77"/>
    </row>
    <row r="1169" spans="6:16" x14ac:dyDescent="0.2">
      <c r="F1169" s="28"/>
      <c r="H1169" s="28"/>
      <c r="I1169" s="28"/>
      <c r="J1169" s="28"/>
      <c r="K1169" s="9"/>
      <c r="O1169" s="9"/>
      <c r="P1169" s="77"/>
    </row>
    <row r="1170" spans="6:16" x14ac:dyDescent="0.2">
      <c r="F1170" s="28"/>
      <c r="H1170" s="28"/>
      <c r="I1170" s="28"/>
      <c r="J1170" s="28"/>
      <c r="K1170" s="9"/>
      <c r="O1170" s="9"/>
      <c r="P1170" s="77"/>
    </row>
    <row r="1171" spans="6:16" x14ac:dyDescent="0.2">
      <c r="F1171" s="28"/>
      <c r="H1171" s="28"/>
      <c r="I1171" s="28"/>
      <c r="J1171" s="28"/>
      <c r="K1171" s="9"/>
      <c r="O1171" s="9"/>
      <c r="P1171" s="77"/>
    </row>
    <row r="1172" spans="6:16" x14ac:dyDescent="0.2">
      <c r="F1172" s="28"/>
      <c r="H1172" s="28"/>
      <c r="I1172" s="28"/>
      <c r="J1172" s="28"/>
      <c r="K1172" s="9"/>
      <c r="O1172" s="9"/>
      <c r="P1172" s="77"/>
    </row>
    <row r="1173" spans="6:16" x14ac:dyDescent="0.2">
      <c r="F1173" s="28"/>
      <c r="H1173" s="28"/>
      <c r="I1173" s="28"/>
      <c r="J1173" s="28"/>
      <c r="K1173" s="9"/>
      <c r="O1173" s="9"/>
      <c r="P1173" s="77"/>
    </row>
    <row r="1174" spans="6:16" x14ac:dyDescent="0.2">
      <c r="F1174" s="28"/>
      <c r="H1174" s="28"/>
      <c r="I1174" s="28"/>
      <c r="J1174" s="28"/>
      <c r="K1174" s="9"/>
      <c r="O1174" s="9"/>
      <c r="P1174" s="77"/>
    </row>
    <row r="1175" spans="6:16" x14ac:dyDescent="0.2">
      <c r="F1175" s="28"/>
      <c r="H1175" s="28"/>
      <c r="I1175" s="28"/>
      <c r="J1175" s="28"/>
      <c r="K1175" s="9"/>
      <c r="O1175" s="9"/>
      <c r="P1175" s="77"/>
    </row>
    <row r="1176" spans="6:16" x14ac:dyDescent="0.2">
      <c r="F1176" s="28"/>
      <c r="H1176" s="28"/>
      <c r="I1176" s="28"/>
      <c r="J1176" s="28"/>
      <c r="K1176" s="9"/>
      <c r="O1176" s="9"/>
      <c r="P1176" s="77"/>
    </row>
    <row r="1177" spans="6:16" x14ac:dyDescent="0.2">
      <c r="F1177" s="28"/>
      <c r="H1177" s="28"/>
      <c r="I1177" s="28"/>
      <c r="J1177" s="28"/>
      <c r="K1177" s="9"/>
      <c r="O1177" s="9"/>
      <c r="P1177" s="77"/>
    </row>
    <row r="1178" spans="6:16" x14ac:dyDescent="0.2">
      <c r="F1178" s="28"/>
      <c r="H1178" s="28"/>
      <c r="I1178" s="28"/>
      <c r="J1178" s="28"/>
      <c r="K1178" s="9"/>
      <c r="O1178" s="9"/>
      <c r="P1178" s="77"/>
    </row>
    <row r="1179" spans="6:16" x14ac:dyDescent="0.2">
      <c r="F1179" s="28"/>
      <c r="H1179" s="28"/>
      <c r="I1179" s="28"/>
      <c r="J1179" s="28"/>
      <c r="K1179" s="9"/>
      <c r="O1179" s="9"/>
      <c r="P1179" s="77"/>
    </row>
    <row r="1180" spans="6:16" x14ac:dyDescent="0.2">
      <c r="F1180" s="28"/>
      <c r="H1180" s="28"/>
      <c r="I1180" s="28"/>
      <c r="J1180" s="28"/>
      <c r="K1180" s="9"/>
      <c r="O1180" s="9"/>
      <c r="P1180" s="77"/>
    </row>
    <row r="1181" spans="6:16" x14ac:dyDescent="0.2">
      <c r="F1181" s="28"/>
      <c r="H1181" s="28"/>
      <c r="I1181" s="28"/>
      <c r="J1181" s="28"/>
      <c r="K1181" s="9"/>
      <c r="O1181" s="9"/>
      <c r="P1181" s="77"/>
    </row>
    <row r="1182" spans="6:16" x14ac:dyDescent="0.2">
      <c r="F1182" s="28"/>
      <c r="H1182" s="28"/>
      <c r="I1182" s="28"/>
      <c r="J1182" s="28"/>
      <c r="K1182" s="9"/>
      <c r="O1182" s="9"/>
      <c r="P1182" s="77"/>
    </row>
    <row r="1183" spans="6:16" x14ac:dyDescent="0.2">
      <c r="F1183" s="28"/>
      <c r="H1183" s="28"/>
      <c r="I1183" s="28"/>
      <c r="J1183" s="28"/>
      <c r="K1183" s="9"/>
      <c r="O1183" s="9"/>
      <c r="P1183" s="77"/>
    </row>
    <row r="1184" spans="6:16" x14ac:dyDescent="0.2">
      <c r="F1184" s="28"/>
      <c r="H1184" s="28"/>
      <c r="I1184" s="28"/>
      <c r="J1184" s="28"/>
      <c r="K1184" s="9"/>
      <c r="O1184" s="9"/>
      <c r="P1184" s="77"/>
    </row>
    <row r="1185" spans="6:16" x14ac:dyDescent="0.2">
      <c r="F1185" s="28"/>
      <c r="H1185" s="28"/>
      <c r="I1185" s="28"/>
      <c r="J1185" s="28"/>
      <c r="K1185" s="9"/>
      <c r="O1185" s="9"/>
      <c r="P1185" s="77"/>
    </row>
    <row r="1186" spans="6:16" x14ac:dyDescent="0.2">
      <c r="F1186" s="28"/>
      <c r="H1186" s="28"/>
      <c r="I1186" s="28"/>
      <c r="J1186" s="28"/>
      <c r="K1186" s="9"/>
      <c r="O1186" s="9"/>
      <c r="P1186" s="77"/>
    </row>
    <row r="1187" spans="6:16" x14ac:dyDescent="0.2">
      <c r="F1187" s="28"/>
      <c r="H1187" s="28"/>
      <c r="I1187" s="28"/>
      <c r="J1187" s="28"/>
      <c r="K1187" s="9"/>
      <c r="O1187" s="9"/>
      <c r="P1187" s="77"/>
    </row>
    <row r="1188" spans="6:16" x14ac:dyDescent="0.2">
      <c r="F1188" s="28"/>
      <c r="H1188" s="28"/>
      <c r="I1188" s="28"/>
      <c r="J1188" s="28"/>
      <c r="K1188" s="9"/>
      <c r="O1188" s="9"/>
      <c r="P1188" s="77"/>
    </row>
    <row r="1189" spans="6:16" x14ac:dyDescent="0.2">
      <c r="F1189" s="28"/>
      <c r="H1189" s="28"/>
      <c r="I1189" s="28"/>
      <c r="J1189" s="28"/>
      <c r="K1189" s="9"/>
      <c r="O1189" s="9"/>
      <c r="P1189" s="77"/>
    </row>
    <row r="1190" spans="6:16" x14ac:dyDescent="0.2">
      <c r="F1190" s="28"/>
      <c r="H1190" s="28"/>
      <c r="I1190" s="28"/>
      <c r="J1190" s="28"/>
      <c r="K1190" s="9"/>
      <c r="O1190" s="9"/>
      <c r="P1190" s="77"/>
    </row>
    <row r="1191" spans="6:16" x14ac:dyDescent="0.2">
      <c r="F1191" s="28"/>
      <c r="H1191" s="28"/>
      <c r="I1191" s="28"/>
      <c r="J1191" s="28"/>
      <c r="K1191" s="9"/>
      <c r="O1191" s="9"/>
      <c r="P1191" s="77"/>
    </row>
    <row r="1192" spans="6:16" x14ac:dyDescent="0.2">
      <c r="F1192" s="28"/>
      <c r="H1192" s="28"/>
      <c r="I1192" s="28"/>
      <c r="J1192" s="28"/>
      <c r="K1192" s="9"/>
      <c r="O1192" s="9"/>
      <c r="P1192" s="77"/>
    </row>
    <row r="1193" spans="6:16" x14ac:dyDescent="0.2">
      <c r="F1193" s="28"/>
      <c r="H1193" s="28"/>
      <c r="I1193" s="28"/>
      <c r="J1193" s="28"/>
      <c r="K1193" s="9"/>
      <c r="O1193" s="9"/>
      <c r="P1193" s="77"/>
    </row>
    <row r="1194" spans="6:16" x14ac:dyDescent="0.2">
      <c r="F1194" s="28"/>
      <c r="H1194" s="28"/>
      <c r="I1194" s="28"/>
      <c r="J1194" s="28"/>
      <c r="K1194" s="9"/>
      <c r="O1194" s="9"/>
      <c r="P1194" s="77"/>
    </row>
    <row r="1195" spans="6:16" x14ac:dyDescent="0.2">
      <c r="F1195" s="28"/>
      <c r="H1195" s="28"/>
      <c r="I1195" s="28"/>
      <c r="J1195" s="28"/>
      <c r="K1195" s="9"/>
      <c r="O1195" s="9"/>
      <c r="P1195" s="77"/>
    </row>
    <row r="1196" spans="6:16" x14ac:dyDescent="0.2">
      <c r="F1196" s="28"/>
      <c r="H1196" s="28"/>
      <c r="I1196" s="28"/>
      <c r="J1196" s="28"/>
      <c r="K1196" s="9"/>
      <c r="O1196" s="9"/>
      <c r="P1196" s="77"/>
    </row>
    <row r="1197" spans="6:16" x14ac:dyDescent="0.2">
      <c r="F1197" s="28"/>
      <c r="H1197" s="28"/>
      <c r="I1197" s="28"/>
      <c r="J1197" s="28"/>
      <c r="K1197" s="9"/>
      <c r="O1197" s="9"/>
      <c r="P1197" s="77"/>
    </row>
    <row r="1198" spans="6:16" x14ac:dyDescent="0.2">
      <c r="F1198" s="28"/>
      <c r="H1198" s="28"/>
      <c r="I1198" s="28"/>
      <c r="J1198" s="28"/>
      <c r="K1198" s="9"/>
      <c r="O1198" s="9"/>
      <c r="P1198" s="77"/>
    </row>
    <row r="1199" spans="6:16" x14ac:dyDescent="0.2">
      <c r="F1199" s="28"/>
      <c r="H1199" s="28"/>
      <c r="I1199" s="28"/>
      <c r="J1199" s="28"/>
      <c r="K1199" s="9"/>
      <c r="O1199" s="9"/>
      <c r="P1199" s="77"/>
    </row>
    <row r="1200" spans="6:16" x14ac:dyDescent="0.2">
      <c r="F1200" s="28"/>
      <c r="H1200" s="28"/>
      <c r="I1200" s="28"/>
      <c r="J1200" s="28"/>
      <c r="K1200" s="9"/>
      <c r="O1200" s="9"/>
      <c r="P1200" s="77"/>
    </row>
    <row r="1201" spans="6:16" x14ac:dyDescent="0.2">
      <c r="F1201" s="28"/>
      <c r="H1201" s="28"/>
      <c r="I1201" s="28"/>
      <c r="J1201" s="28"/>
      <c r="K1201" s="9"/>
      <c r="O1201" s="9"/>
      <c r="P1201" s="77"/>
    </row>
    <row r="1202" spans="6:16" x14ac:dyDescent="0.2">
      <c r="F1202" s="28"/>
      <c r="H1202" s="28"/>
      <c r="I1202" s="28"/>
      <c r="J1202" s="28"/>
      <c r="K1202" s="9"/>
      <c r="O1202" s="9"/>
      <c r="P1202" s="77"/>
    </row>
    <row r="1203" spans="6:16" x14ac:dyDescent="0.2">
      <c r="F1203" s="28"/>
      <c r="H1203" s="28"/>
      <c r="I1203" s="28"/>
      <c r="J1203" s="28"/>
      <c r="K1203" s="9"/>
      <c r="O1203" s="9"/>
      <c r="P1203" s="77"/>
    </row>
    <row r="1204" spans="6:16" x14ac:dyDescent="0.2">
      <c r="F1204" s="28"/>
      <c r="H1204" s="28"/>
      <c r="I1204" s="28"/>
      <c r="J1204" s="28"/>
      <c r="K1204" s="9"/>
      <c r="O1204" s="9"/>
      <c r="P1204" s="77"/>
    </row>
    <row r="1205" spans="6:16" x14ac:dyDescent="0.2">
      <c r="F1205" s="28"/>
      <c r="H1205" s="28"/>
      <c r="I1205" s="28"/>
      <c r="J1205" s="28"/>
      <c r="K1205" s="9"/>
      <c r="O1205" s="9"/>
      <c r="P1205" s="77"/>
    </row>
    <row r="1206" spans="6:16" x14ac:dyDescent="0.2">
      <c r="F1206" s="28"/>
      <c r="H1206" s="28"/>
      <c r="I1206" s="28"/>
      <c r="J1206" s="28"/>
      <c r="K1206" s="9"/>
      <c r="O1206" s="9"/>
      <c r="P1206" s="77"/>
    </row>
    <row r="1207" spans="6:16" x14ac:dyDescent="0.2">
      <c r="F1207" s="28"/>
      <c r="H1207" s="28"/>
      <c r="I1207" s="28"/>
      <c r="J1207" s="28"/>
      <c r="K1207" s="9"/>
      <c r="O1207" s="9"/>
      <c r="P1207" s="77"/>
    </row>
    <row r="1208" spans="6:16" x14ac:dyDescent="0.2">
      <c r="F1208" s="28"/>
      <c r="H1208" s="28"/>
      <c r="I1208" s="28"/>
      <c r="J1208" s="28"/>
      <c r="K1208" s="9"/>
      <c r="O1208" s="9"/>
      <c r="P1208" s="77"/>
    </row>
    <row r="1209" spans="6:16" x14ac:dyDescent="0.2">
      <c r="F1209" s="28"/>
      <c r="H1209" s="28"/>
      <c r="I1209" s="28"/>
      <c r="J1209" s="28"/>
      <c r="K1209" s="9"/>
      <c r="O1209" s="9"/>
      <c r="P1209" s="77"/>
    </row>
    <row r="1210" spans="6:16" x14ac:dyDescent="0.2">
      <c r="F1210" s="28"/>
      <c r="H1210" s="28"/>
      <c r="I1210" s="28"/>
      <c r="J1210" s="28"/>
      <c r="K1210" s="9"/>
      <c r="O1210" s="9"/>
      <c r="P1210" s="77"/>
    </row>
    <row r="1211" spans="6:16" x14ac:dyDescent="0.2">
      <c r="F1211" s="28"/>
      <c r="H1211" s="28"/>
      <c r="I1211" s="28"/>
      <c r="J1211" s="28"/>
      <c r="K1211" s="9"/>
      <c r="O1211" s="9"/>
      <c r="P1211" s="77"/>
    </row>
    <row r="1212" spans="6:16" x14ac:dyDescent="0.2">
      <c r="F1212" s="28"/>
      <c r="H1212" s="28"/>
      <c r="I1212" s="28"/>
      <c r="J1212" s="28"/>
      <c r="K1212" s="9"/>
      <c r="O1212" s="9"/>
      <c r="P1212" s="77"/>
    </row>
    <row r="1213" spans="6:16" x14ac:dyDescent="0.2">
      <c r="F1213" s="28"/>
      <c r="H1213" s="28"/>
      <c r="I1213" s="28"/>
      <c r="J1213" s="28"/>
      <c r="K1213" s="9"/>
      <c r="O1213" s="9"/>
      <c r="P1213" s="77"/>
    </row>
    <row r="1214" spans="6:16" x14ac:dyDescent="0.2">
      <c r="F1214" s="28"/>
      <c r="H1214" s="28"/>
      <c r="I1214" s="28"/>
      <c r="J1214" s="28"/>
      <c r="K1214" s="9"/>
      <c r="O1214" s="9"/>
      <c r="P1214" s="77"/>
    </row>
    <row r="1215" spans="6:16" x14ac:dyDescent="0.2">
      <c r="F1215" s="28"/>
      <c r="H1215" s="28"/>
      <c r="I1215" s="28"/>
      <c r="J1215" s="28"/>
      <c r="K1215" s="9"/>
      <c r="O1215" s="9"/>
      <c r="P1215" s="77"/>
    </row>
    <row r="1216" spans="6:16" x14ac:dyDescent="0.2">
      <c r="F1216" s="28"/>
      <c r="H1216" s="28"/>
      <c r="I1216" s="28"/>
      <c r="J1216" s="28"/>
      <c r="K1216" s="9"/>
      <c r="O1216" s="9"/>
      <c r="P1216" s="77"/>
    </row>
    <row r="1217" spans="6:16" x14ac:dyDescent="0.2">
      <c r="F1217" s="28"/>
      <c r="H1217" s="28"/>
      <c r="I1217" s="28"/>
      <c r="J1217" s="28"/>
      <c r="K1217" s="9"/>
      <c r="O1217" s="9"/>
      <c r="P1217" s="77"/>
    </row>
    <row r="1218" spans="6:16" x14ac:dyDescent="0.2">
      <c r="F1218" s="28"/>
      <c r="H1218" s="28"/>
      <c r="I1218" s="28"/>
      <c r="J1218" s="28"/>
      <c r="K1218" s="9"/>
      <c r="O1218" s="9"/>
      <c r="P1218" s="77"/>
    </row>
    <row r="1219" spans="6:16" x14ac:dyDescent="0.2">
      <c r="F1219" s="28"/>
      <c r="H1219" s="28"/>
      <c r="I1219" s="28"/>
      <c r="J1219" s="28"/>
      <c r="K1219" s="9"/>
      <c r="O1219" s="9"/>
      <c r="P1219" s="77"/>
    </row>
    <row r="1220" spans="6:16" x14ac:dyDescent="0.2">
      <c r="F1220" s="28"/>
      <c r="H1220" s="28"/>
      <c r="I1220" s="28"/>
      <c r="J1220" s="28"/>
      <c r="K1220" s="9"/>
      <c r="O1220" s="9"/>
      <c r="P1220" s="77"/>
    </row>
    <row r="1221" spans="6:16" x14ac:dyDescent="0.2">
      <c r="F1221" s="28"/>
      <c r="H1221" s="28"/>
      <c r="I1221" s="28"/>
      <c r="J1221" s="28"/>
      <c r="K1221" s="9"/>
      <c r="O1221" s="9"/>
      <c r="P1221" s="77"/>
    </row>
    <row r="1222" spans="6:16" x14ac:dyDescent="0.2">
      <c r="F1222" s="28"/>
      <c r="H1222" s="28"/>
      <c r="I1222" s="28"/>
      <c r="J1222" s="28"/>
      <c r="K1222" s="9"/>
      <c r="O1222" s="9"/>
      <c r="P1222" s="77"/>
    </row>
    <row r="1223" spans="6:16" x14ac:dyDescent="0.2">
      <c r="F1223" s="28"/>
      <c r="H1223" s="28"/>
      <c r="I1223" s="28"/>
      <c r="J1223" s="28"/>
      <c r="K1223" s="9"/>
      <c r="O1223" s="9"/>
      <c r="P1223" s="77"/>
    </row>
    <row r="1224" spans="6:16" x14ac:dyDescent="0.2">
      <c r="F1224" s="28"/>
      <c r="H1224" s="28"/>
      <c r="I1224" s="28"/>
      <c r="J1224" s="28"/>
      <c r="K1224" s="9"/>
      <c r="O1224" s="9"/>
      <c r="P1224" s="77"/>
    </row>
    <row r="1225" spans="6:16" x14ac:dyDescent="0.2">
      <c r="F1225" s="28"/>
      <c r="H1225" s="28"/>
      <c r="I1225" s="28"/>
      <c r="J1225" s="28"/>
      <c r="K1225" s="9"/>
      <c r="O1225" s="9"/>
      <c r="P1225" s="77"/>
    </row>
    <row r="1226" spans="6:16" x14ac:dyDescent="0.2">
      <c r="F1226" s="28"/>
      <c r="H1226" s="28"/>
      <c r="I1226" s="28"/>
      <c r="J1226" s="28"/>
      <c r="K1226" s="9"/>
      <c r="O1226" s="9"/>
      <c r="P1226" s="77"/>
    </row>
    <row r="1227" spans="6:16" x14ac:dyDescent="0.2">
      <c r="F1227" s="28"/>
      <c r="H1227" s="28"/>
      <c r="I1227" s="28"/>
      <c r="J1227" s="28"/>
      <c r="K1227" s="9"/>
      <c r="O1227" s="9"/>
      <c r="P1227" s="77"/>
    </row>
    <row r="1228" spans="6:16" x14ac:dyDescent="0.2">
      <c r="F1228" s="28"/>
      <c r="H1228" s="28"/>
      <c r="I1228" s="28"/>
      <c r="J1228" s="28"/>
      <c r="K1228" s="9"/>
      <c r="O1228" s="9"/>
      <c r="P1228" s="77"/>
    </row>
    <row r="1229" spans="6:16" x14ac:dyDescent="0.2">
      <c r="F1229" s="28"/>
      <c r="H1229" s="28"/>
      <c r="I1229" s="28"/>
      <c r="J1229" s="28"/>
      <c r="K1229" s="9"/>
      <c r="O1229" s="9"/>
      <c r="P1229" s="77"/>
    </row>
    <row r="1230" spans="6:16" x14ac:dyDescent="0.2">
      <c r="F1230" s="28"/>
      <c r="H1230" s="28"/>
      <c r="I1230" s="28"/>
      <c r="J1230" s="28"/>
      <c r="K1230" s="9"/>
      <c r="O1230" s="9"/>
      <c r="P1230" s="77"/>
    </row>
    <row r="1231" spans="6:16" x14ac:dyDescent="0.2">
      <c r="F1231" s="28"/>
      <c r="H1231" s="28"/>
      <c r="I1231" s="28"/>
      <c r="J1231" s="28"/>
      <c r="K1231" s="9"/>
      <c r="O1231" s="9"/>
      <c r="P1231" s="77"/>
    </row>
    <row r="1232" spans="6:16" x14ac:dyDescent="0.2">
      <c r="F1232" s="28"/>
      <c r="H1232" s="28"/>
      <c r="I1232" s="28"/>
      <c r="J1232" s="28"/>
      <c r="K1232" s="9"/>
      <c r="O1232" s="9"/>
      <c r="P1232" s="77"/>
    </row>
    <row r="1233" spans="6:16" x14ac:dyDescent="0.2">
      <c r="F1233" s="28"/>
      <c r="H1233" s="28"/>
      <c r="I1233" s="28"/>
      <c r="J1233" s="28"/>
      <c r="K1233" s="9"/>
      <c r="O1233" s="9"/>
      <c r="P1233" s="77"/>
    </row>
    <row r="1234" spans="6:16" x14ac:dyDescent="0.2">
      <c r="F1234" s="28"/>
      <c r="H1234" s="28"/>
      <c r="I1234" s="28"/>
      <c r="J1234" s="28"/>
      <c r="K1234" s="9"/>
      <c r="O1234" s="9"/>
      <c r="P1234" s="77"/>
    </row>
    <row r="1235" spans="6:16" x14ac:dyDescent="0.2">
      <c r="F1235" s="28"/>
      <c r="H1235" s="28"/>
      <c r="I1235" s="28"/>
      <c r="J1235" s="28"/>
      <c r="K1235" s="9"/>
      <c r="O1235" s="9"/>
      <c r="P1235" s="77"/>
    </row>
    <row r="1236" spans="6:16" x14ac:dyDescent="0.2">
      <c r="F1236" s="28"/>
      <c r="H1236" s="28"/>
      <c r="I1236" s="28"/>
      <c r="J1236" s="28"/>
      <c r="K1236" s="9"/>
      <c r="O1236" s="9"/>
      <c r="P1236" s="77"/>
    </row>
    <row r="1237" spans="6:16" x14ac:dyDescent="0.2">
      <c r="F1237" s="28"/>
      <c r="H1237" s="28"/>
      <c r="I1237" s="28"/>
      <c r="J1237" s="28"/>
      <c r="K1237" s="9"/>
      <c r="O1237" s="9"/>
      <c r="P1237" s="77"/>
    </row>
    <row r="1238" spans="6:16" x14ac:dyDescent="0.2">
      <c r="F1238" s="28"/>
      <c r="H1238" s="28"/>
      <c r="I1238" s="28"/>
      <c r="J1238" s="28"/>
      <c r="K1238" s="9"/>
      <c r="O1238" s="9"/>
      <c r="P1238" s="77"/>
    </row>
    <row r="1239" spans="6:16" x14ac:dyDescent="0.2">
      <c r="F1239" s="28"/>
      <c r="H1239" s="28"/>
      <c r="I1239" s="28"/>
      <c r="J1239" s="28"/>
      <c r="K1239" s="9"/>
      <c r="O1239" s="9"/>
      <c r="P1239" s="77"/>
    </row>
    <row r="1240" spans="6:16" x14ac:dyDescent="0.2">
      <c r="F1240" s="28"/>
      <c r="H1240" s="28"/>
      <c r="I1240" s="28"/>
      <c r="J1240" s="28"/>
      <c r="K1240" s="9"/>
      <c r="O1240" s="9"/>
      <c r="P1240" s="77"/>
    </row>
    <row r="1241" spans="6:16" x14ac:dyDescent="0.2">
      <c r="F1241" s="28"/>
      <c r="H1241" s="28"/>
      <c r="I1241" s="28"/>
      <c r="J1241" s="28"/>
      <c r="K1241" s="9"/>
      <c r="O1241" s="9"/>
      <c r="P1241" s="77"/>
    </row>
    <row r="1242" spans="6:16" x14ac:dyDescent="0.2">
      <c r="F1242" s="28"/>
      <c r="H1242" s="28"/>
      <c r="I1242" s="28"/>
      <c r="J1242" s="28"/>
      <c r="K1242" s="9"/>
      <c r="O1242" s="9"/>
      <c r="P1242" s="77"/>
    </row>
    <row r="1243" spans="6:16" x14ac:dyDescent="0.2">
      <c r="F1243" s="28"/>
      <c r="H1243" s="28"/>
      <c r="I1243" s="28"/>
      <c r="J1243" s="28"/>
      <c r="K1243" s="9"/>
      <c r="O1243" s="9"/>
      <c r="P1243" s="77"/>
    </row>
    <row r="1244" spans="6:16" x14ac:dyDescent="0.2">
      <c r="F1244" s="28"/>
      <c r="H1244" s="28"/>
      <c r="I1244" s="28"/>
      <c r="J1244" s="28"/>
      <c r="K1244" s="9"/>
      <c r="O1244" s="9"/>
      <c r="P1244" s="77"/>
    </row>
    <row r="1245" spans="6:16" x14ac:dyDescent="0.2">
      <c r="F1245" s="28"/>
      <c r="H1245" s="28"/>
      <c r="I1245" s="28"/>
      <c r="J1245" s="28"/>
      <c r="K1245" s="9"/>
      <c r="O1245" s="9"/>
      <c r="P1245" s="77"/>
    </row>
    <row r="1246" spans="6:16" x14ac:dyDescent="0.2">
      <c r="F1246" s="28"/>
      <c r="H1246" s="28"/>
      <c r="I1246" s="28"/>
      <c r="J1246" s="28"/>
      <c r="K1246" s="9"/>
      <c r="O1246" s="9"/>
      <c r="P1246" s="77"/>
    </row>
    <row r="1247" spans="6:16" x14ac:dyDescent="0.2">
      <c r="F1247" s="28"/>
      <c r="H1247" s="28"/>
      <c r="I1247" s="28"/>
      <c r="J1247" s="28"/>
      <c r="K1247" s="9"/>
      <c r="O1247" s="9"/>
      <c r="P1247" s="77"/>
    </row>
    <row r="1248" spans="6:16" x14ac:dyDescent="0.2">
      <c r="F1248" s="28"/>
      <c r="H1248" s="28"/>
      <c r="I1248" s="28"/>
      <c r="J1248" s="28"/>
      <c r="K1248" s="9"/>
      <c r="O1248" s="9"/>
      <c r="P1248" s="77"/>
    </row>
    <row r="1249" spans="6:16" x14ac:dyDescent="0.2">
      <c r="F1249" s="28"/>
      <c r="H1249" s="28"/>
      <c r="I1249" s="28"/>
      <c r="J1249" s="28"/>
      <c r="K1249" s="9"/>
      <c r="O1249" s="9"/>
      <c r="P1249" s="77"/>
    </row>
    <row r="1250" spans="6:16" x14ac:dyDescent="0.2">
      <c r="F1250" s="28"/>
      <c r="H1250" s="28"/>
      <c r="I1250" s="28"/>
      <c r="J1250" s="28"/>
      <c r="K1250" s="9"/>
      <c r="O1250" s="9"/>
      <c r="P1250" s="77"/>
    </row>
    <row r="1251" spans="6:16" x14ac:dyDescent="0.2">
      <c r="F1251" s="28"/>
      <c r="H1251" s="28"/>
      <c r="I1251" s="28"/>
      <c r="J1251" s="28"/>
      <c r="K1251" s="9"/>
      <c r="O1251" s="9"/>
      <c r="P1251" s="77"/>
    </row>
    <row r="1252" spans="6:16" x14ac:dyDescent="0.2">
      <c r="F1252" s="28"/>
      <c r="H1252" s="28"/>
      <c r="I1252" s="28"/>
      <c r="J1252" s="28"/>
      <c r="K1252" s="9"/>
      <c r="O1252" s="9"/>
      <c r="P1252" s="77"/>
    </row>
    <row r="1253" spans="6:16" x14ac:dyDescent="0.2">
      <c r="F1253" s="28"/>
      <c r="H1253" s="28"/>
      <c r="I1253" s="28"/>
      <c r="J1253" s="28"/>
      <c r="K1253" s="9"/>
      <c r="O1253" s="9"/>
      <c r="P1253" s="77"/>
    </row>
    <row r="1254" spans="6:16" x14ac:dyDescent="0.2">
      <c r="F1254" s="28"/>
      <c r="H1254" s="28"/>
      <c r="I1254" s="28"/>
      <c r="J1254" s="28"/>
      <c r="K1254" s="9"/>
      <c r="O1254" s="9"/>
      <c r="P1254" s="77"/>
    </row>
    <row r="1255" spans="6:16" x14ac:dyDescent="0.2">
      <c r="F1255" s="28"/>
      <c r="H1255" s="28"/>
      <c r="I1255" s="28"/>
      <c r="J1255" s="28"/>
      <c r="K1255" s="9"/>
      <c r="O1255" s="9"/>
      <c r="P1255" s="77"/>
    </row>
    <row r="1256" spans="6:16" x14ac:dyDescent="0.2">
      <c r="F1256" s="28"/>
      <c r="H1256" s="28"/>
      <c r="I1256" s="28"/>
      <c r="J1256" s="28"/>
      <c r="K1256" s="9"/>
      <c r="O1256" s="9"/>
      <c r="P1256" s="77"/>
    </row>
    <row r="1257" spans="6:16" x14ac:dyDescent="0.2">
      <c r="F1257" s="28"/>
      <c r="H1257" s="28"/>
      <c r="I1257" s="28"/>
      <c r="J1257" s="28"/>
      <c r="K1257" s="9"/>
      <c r="O1257" s="9"/>
      <c r="P1257" s="77"/>
    </row>
    <row r="1258" spans="6:16" x14ac:dyDescent="0.2">
      <c r="F1258" s="28"/>
      <c r="H1258" s="28"/>
      <c r="I1258" s="28"/>
      <c r="J1258" s="28"/>
      <c r="K1258" s="9"/>
      <c r="O1258" s="9"/>
      <c r="P1258" s="77"/>
    </row>
    <row r="1259" spans="6:16" x14ac:dyDescent="0.2">
      <c r="F1259" s="28"/>
      <c r="H1259" s="28"/>
      <c r="I1259" s="28"/>
      <c r="J1259" s="28"/>
      <c r="K1259" s="9"/>
      <c r="O1259" s="9"/>
      <c r="P1259" s="77"/>
    </row>
    <row r="1260" spans="6:16" x14ac:dyDescent="0.2">
      <c r="F1260" s="28"/>
      <c r="H1260" s="28"/>
      <c r="I1260" s="28"/>
      <c r="J1260" s="28"/>
      <c r="K1260" s="9"/>
      <c r="O1260" s="9"/>
      <c r="P1260" s="77"/>
    </row>
    <row r="1261" spans="6:16" x14ac:dyDescent="0.2">
      <c r="F1261" s="28"/>
      <c r="H1261" s="28"/>
      <c r="I1261" s="28"/>
      <c r="J1261" s="28"/>
      <c r="K1261" s="9"/>
      <c r="O1261" s="9"/>
      <c r="P1261" s="77"/>
    </row>
    <row r="1262" spans="6:16" x14ac:dyDescent="0.2">
      <c r="F1262" s="28"/>
      <c r="H1262" s="28"/>
      <c r="I1262" s="28"/>
      <c r="J1262" s="28"/>
      <c r="K1262" s="9"/>
      <c r="O1262" s="9"/>
      <c r="P1262" s="77"/>
    </row>
    <row r="1263" spans="6:16" x14ac:dyDescent="0.2">
      <c r="F1263" s="28"/>
      <c r="H1263" s="28"/>
      <c r="I1263" s="28"/>
      <c r="J1263" s="28"/>
      <c r="K1263" s="9"/>
      <c r="O1263" s="9"/>
      <c r="P1263" s="77"/>
    </row>
    <row r="1264" spans="6:16" x14ac:dyDescent="0.2">
      <c r="F1264" s="28"/>
      <c r="H1264" s="28"/>
      <c r="I1264" s="28"/>
      <c r="J1264" s="28"/>
      <c r="K1264" s="9"/>
      <c r="O1264" s="9"/>
      <c r="P1264" s="77"/>
    </row>
    <row r="1265" spans="6:16" x14ac:dyDescent="0.2">
      <c r="F1265" s="28"/>
      <c r="H1265" s="28"/>
      <c r="I1265" s="28"/>
      <c r="J1265" s="28"/>
      <c r="K1265" s="9"/>
      <c r="O1265" s="9"/>
      <c r="P1265" s="77"/>
    </row>
    <row r="1266" spans="6:16" x14ac:dyDescent="0.2">
      <c r="F1266" s="28"/>
      <c r="H1266" s="28"/>
      <c r="I1266" s="28"/>
      <c r="J1266" s="28"/>
      <c r="K1266" s="9"/>
      <c r="O1266" s="9"/>
      <c r="P1266" s="77"/>
    </row>
    <row r="1267" spans="6:16" x14ac:dyDescent="0.2">
      <c r="F1267" s="28"/>
      <c r="H1267" s="28"/>
      <c r="I1267" s="28"/>
      <c r="J1267" s="28"/>
      <c r="K1267" s="9"/>
      <c r="O1267" s="9"/>
      <c r="P1267" s="77"/>
    </row>
    <row r="1268" spans="6:16" x14ac:dyDescent="0.2">
      <c r="F1268" s="28"/>
      <c r="H1268" s="28"/>
      <c r="I1268" s="28"/>
      <c r="J1268" s="28"/>
      <c r="K1268" s="9"/>
      <c r="O1268" s="9"/>
      <c r="P1268" s="77"/>
    </row>
    <row r="1269" spans="6:16" x14ac:dyDescent="0.2">
      <c r="F1269" s="28"/>
      <c r="H1269" s="28"/>
      <c r="I1269" s="28"/>
      <c r="J1269" s="28"/>
      <c r="K1269" s="9"/>
      <c r="O1269" s="9"/>
      <c r="P1269" s="77"/>
    </row>
    <row r="1270" spans="6:16" x14ac:dyDescent="0.2">
      <c r="F1270" s="28"/>
      <c r="H1270" s="28"/>
      <c r="I1270" s="28"/>
      <c r="J1270" s="28"/>
      <c r="K1270" s="9"/>
      <c r="O1270" s="9"/>
      <c r="P1270" s="77"/>
    </row>
    <row r="1271" spans="6:16" x14ac:dyDescent="0.2">
      <c r="F1271" s="28"/>
      <c r="H1271" s="28"/>
      <c r="I1271" s="28"/>
      <c r="J1271" s="28"/>
      <c r="K1271" s="9"/>
      <c r="O1271" s="9"/>
      <c r="P1271" s="77"/>
    </row>
    <row r="1272" spans="6:16" x14ac:dyDescent="0.2">
      <c r="F1272" s="28"/>
      <c r="H1272" s="28"/>
      <c r="I1272" s="28"/>
      <c r="J1272" s="28"/>
      <c r="K1272" s="9"/>
      <c r="O1272" s="9"/>
      <c r="P1272" s="77"/>
    </row>
    <row r="1273" spans="6:16" x14ac:dyDescent="0.2">
      <c r="F1273" s="28"/>
      <c r="H1273" s="28"/>
      <c r="I1273" s="28"/>
      <c r="J1273" s="28"/>
      <c r="K1273" s="9"/>
      <c r="O1273" s="9"/>
      <c r="P1273" s="77"/>
    </row>
    <row r="1274" spans="6:16" x14ac:dyDescent="0.2">
      <c r="F1274" s="28"/>
      <c r="H1274" s="28"/>
      <c r="I1274" s="28"/>
      <c r="J1274" s="28"/>
      <c r="K1274" s="9"/>
      <c r="O1274" s="9"/>
      <c r="P1274" s="77"/>
    </row>
    <row r="1275" spans="6:16" x14ac:dyDescent="0.2">
      <c r="F1275" s="28"/>
      <c r="H1275" s="28"/>
      <c r="I1275" s="28"/>
      <c r="J1275" s="28"/>
      <c r="K1275" s="9"/>
      <c r="O1275" s="9"/>
      <c r="P1275" s="77"/>
    </row>
    <row r="1276" spans="6:16" x14ac:dyDescent="0.2">
      <c r="F1276" s="28"/>
      <c r="H1276" s="28"/>
      <c r="I1276" s="28"/>
      <c r="J1276" s="28"/>
      <c r="K1276" s="9"/>
      <c r="O1276" s="9"/>
      <c r="P1276" s="77"/>
    </row>
    <row r="1277" spans="6:16" x14ac:dyDescent="0.2">
      <c r="F1277" s="28"/>
      <c r="H1277" s="28"/>
      <c r="I1277" s="28"/>
      <c r="J1277" s="28"/>
      <c r="K1277" s="9"/>
      <c r="O1277" s="9"/>
      <c r="P1277" s="77"/>
    </row>
    <row r="1278" spans="6:16" x14ac:dyDescent="0.2">
      <c r="F1278" s="28"/>
      <c r="H1278" s="28"/>
      <c r="I1278" s="28"/>
      <c r="J1278" s="28"/>
      <c r="K1278" s="9"/>
      <c r="O1278" s="9"/>
      <c r="P1278" s="77"/>
    </row>
    <row r="1279" spans="6:16" x14ac:dyDescent="0.2">
      <c r="F1279" s="28"/>
      <c r="H1279" s="28"/>
      <c r="I1279" s="28"/>
      <c r="J1279" s="28"/>
      <c r="K1279" s="9"/>
      <c r="O1279" s="9"/>
      <c r="P1279" s="77"/>
    </row>
    <row r="1280" spans="6:16" x14ac:dyDescent="0.2">
      <c r="F1280" s="28"/>
      <c r="H1280" s="28"/>
      <c r="I1280" s="28"/>
      <c r="J1280" s="28"/>
      <c r="K1280" s="9"/>
      <c r="O1280" s="9"/>
      <c r="P1280" s="77"/>
    </row>
    <row r="1281" spans="6:16" x14ac:dyDescent="0.2">
      <c r="F1281" s="28"/>
      <c r="H1281" s="28"/>
      <c r="I1281" s="28"/>
      <c r="J1281" s="28"/>
      <c r="K1281" s="9"/>
      <c r="O1281" s="9"/>
      <c r="P1281" s="77"/>
    </row>
    <row r="1282" spans="6:16" x14ac:dyDescent="0.2">
      <c r="F1282" s="28"/>
      <c r="H1282" s="28"/>
      <c r="I1282" s="28"/>
      <c r="J1282" s="28"/>
      <c r="K1282" s="9"/>
      <c r="O1282" s="9"/>
      <c r="P1282" s="77"/>
    </row>
    <row r="1283" spans="6:16" x14ac:dyDescent="0.2">
      <c r="F1283" s="28"/>
      <c r="H1283" s="28"/>
      <c r="I1283" s="28"/>
      <c r="J1283" s="28"/>
      <c r="K1283" s="9"/>
      <c r="O1283" s="9"/>
      <c r="P1283" s="77"/>
    </row>
    <row r="1284" spans="6:16" x14ac:dyDescent="0.2">
      <c r="F1284" s="28"/>
      <c r="H1284" s="28"/>
      <c r="I1284" s="28"/>
      <c r="J1284" s="28"/>
      <c r="K1284" s="9"/>
      <c r="O1284" s="9"/>
      <c r="P1284" s="77"/>
    </row>
    <row r="1285" spans="6:16" x14ac:dyDescent="0.2">
      <c r="F1285" s="28"/>
      <c r="H1285" s="28"/>
      <c r="I1285" s="28"/>
      <c r="J1285" s="28"/>
      <c r="K1285" s="9"/>
      <c r="O1285" s="9"/>
      <c r="P1285" s="77"/>
    </row>
    <row r="1286" spans="6:16" x14ac:dyDescent="0.2">
      <c r="F1286" s="28"/>
      <c r="H1286" s="28"/>
      <c r="I1286" s="28"/>
      <c r="J1286" s="28"/>
      <c r="K1286" s="9"/>
      <c r="O1286" s="9"/>
      <c r="P1286" s="77"/>
    </row>
    <row r="1287" spans="6:16" x14ac:dyDescent="0.2">
      <c r="F1287" s="28"/>
      <c r="H1287" s="28"/>
      <c r="I1287" s="28"/>
      <c r="J1287" s="28"/>
      <c r="K1287" s="9"/>
      <c r="O1287" s="9"/>
      <c r="P1287" s="77"/>
    </row>
    <row r="1288" spans="6:16" x14ac:dyDescent="0.2">
      <c r="F1288" s="28"/>
      <c r="H1288" s="28"/>
      <c r="I1288" s="28"/>
      <c r="J1288" s="28"/>
      <c r="K1288" s="9"/>
      <c r="O1288" s="9"/>
      <c r="P1288" s="77"/>
    </row>
    <row r="1289" spans="6:16" x14ac:dyDescent="0.2">
      <c r="F1289" s="28"/>
      <c r="H1289" s="28"/>
      <c r="I1289" s="28"/>
      <c r="J1289" s="28"/>
      <c r="K1289" s="9"/>
      <c r="O1289" s="9"/>
      <c r="P1289" s="77"/>
    </row>
    <row r="1290" spans="6:16" x14ac:dyDescent="0.2">
      <c r="F1290" s="28"/>
      <c r="H1290" s="28"/>
      <c r="I1290" s="28"/>
      <c r="J1290" s="28"/>
      <c r="K1290" s="9"/>
      <c r="O1290" s="9"/>
      <c r="P1290" s="77"/>
    </row>
    <row r="1291" spans="6:16" x14ac:dyDescent="0.2">
      <c r="F1291" s="28"/>
      <c r="H1291" s="28"/>
      <c r="I1291" s="28"/>
      <c r="J1291" s="28"/>
      <c r="K1291" s="9"/>
      <c r="O1291" s="9"/>
      <c r="P1291" s="77"/>
    </row>
    <row r="1292" spans="6:16" x14ac:dyDescent="0.2">
      <c r="F1292" s="28"/>
      <c r="H1292" s="28"/>
      <c r="I1292" s="28"/>
      <c r="J1292" s="28"/>
      <c r="K1292" s="9"/>
      <c r="O1292" s="9"/>
      <c r="P1292" s="77"/>
    </row>
    <row r="1293" spans="6:16" x14ac:dyDescent="0.2">
      <c r="F1293" s="28"/>
      <c r="H1293" s="28"/>
      <c r="I1293" s="28"/>
      <c r="J1293" s="28"/>
      <c r="K1293" s="9"/>
      <c r="O1293" s="9"/>
      <c r="P1293" s="77"/>
    </row>
    <row r="1294" spans="6:16" x14ac:dyDescent="0.2">
      <c r="F1294" s="28"/>
      <c r="H1294" s="28"/>
      <c r="I1294" s="28"/>
      <c r="J1294" s="28"/>
      <c r="K1294" s="9"/>
      <c r="O1294" s="9"/>
      <c r="P1294" s="77"/>
    </row>
    <row r="1295" spans="6:16" x14ac:dyDescent="0.2">
      <c r="F1295" s="28"/>
      <c r="H1295" s="28"/>
      <c r="I1295" s="28"/>
      <c r="J1295" s="28"/>
      <c r="K1295" s="9"/>
      <c r="O1295" s="9"/>
      <c r="P1295" s="77"/>
    </row>
    <row r="1296" spans="6:16" x14ac:dyDescent="0.2">
      <c r="F1296" s="28"/>
      <c r="H1296" s="28"/>
      <c r="I1296" s="28"/>
      <c r="J1296" s="28"/>
      <c r="K1296" s="9"/>
      <c r="O1296" s="9"/>
      <c r="P1296" s="77"/>
    </row>
    <row r="1297" spans="6:16" x14ac:dyDescent="0.2">
      <c r="F1297" s="28"/>
      <c r="H1297" s="28"/>
      <c r="I1297" s="28"/>
      <c r="J1297" s="28"/>
      <c r="K1297" s="9"/>
      <c r="O1297" s="9"/>
      <c r="P1297" s="77"/>
    </row>
    <row r="1298" spans="6:16" x14ac:dyDescent="0.2">
      <c r="F1298" s="28"/>
      <c r="H1298" s="28"/>
      <c r="I1298" s="28"/>
      <c r="J1298" s="28"/>
      <c r="K1298" s="9"/>
      <c r="O1298" s="9"/>
      <c r="P1298" s="77"/>
    </row>
    <row r="1299" spans="6:16" x14ac:dyDescent="0.2">
      <c r="F1299" s="28"/>
      <c r="H1299" s="28"/>
      <c r="I1299" s="28"/>
      <c r="J1299" s="28"/>
      <c r="K1299" s="9"/>
      <c r="O1299" s="9"/>
      <c r="P1299" s="77"/>
    </row>
    <row r="1300" spans="6:16" x14ac:dyDescent="0.2">
      <c r="F1300" s="28"/>
      <c r="H1300" s="28"/>
      <c r="I1300" s="28"/>
      <c r="J1300" s="28"/>
      <c r="K1300" s="9"/>
      <c r="O1300" s="9"/>
      <c r="P1300" s="77"/>
    </row>
    <row r="1301" spans="6:16" x14ac:dyDescent="0.2">
      <c r="F1301" s="28"/>
      <c r="H1301" s="28"/>
      <c r="I1301" s="28"/>
      <c r="J1301" s="28"/>
      <c r="K1301" s="9"/>
      <c r="O1301" s="9"/>
      <c r="P1301" s="77"/>
    </row>
    <row r="1302" spans="6:16" x14ac:dyDescent="0.2">
      <c r="F1302" s="28"/>
      <c r="H1302" s="28"/>
      <c r="I1302" s="28"/>
      <c r="J1302" s="28"/>
      <c r="K1302" s="9"/>
      <c r="O1302" s="9"/>
      <c r="P1302" s="77"/>
    </row>
    <row r="1303" spans="6:16" x14ac:dyDescent="0.2">
      <c r="F1303" s="28"/>
      <c r="H1303" s="28"/>
      <c r="I1303" s="28"/>
      <c r="J1303" s="28"/>
      <c r="K1303" s="9"/>
      <c r="O1303" s="9"/>
      <c r="P1303" s="77"/>
    </row>
    <row r="1304" spans="6:16" x14ac:dyDescent="0.2">
      <c r="F1304" s="28"/>
      <c r="H1304" s="28"/>
      <c r="I1304" s="28"/>
      <c r="J1304" s="28"/>
      <c r="K1304" s="9"/>
      <c r="O1304" s="9"/>
      <c r="P1304" s="77"/>
    </row>
    <row r="1305" spans="6:16" x14ac:dyDescent="0.2">
      <c r="F1305" s="28"/>
      <c r="H1305" s="28"/>
      <c r="I1305" s="28"/>
      <c r="J1305" s="28"/>
      <c r="K1305" s="9"/>
      <c r="O1305" s="9"/>
      <c r="P1305" s="77"/>
    </row>
    <row r="1306" spans="6:16" x14ac:dyDescent="0.2">
      <c r="F1306" s="28"/>
      <c r="H1306" s="28"/>
      <c r="I1306" s="28"/>
      <c r="J1306" s="28"/>
      <c r="K1306" s="9"/>
      <c r="O1306" s="9"/>
      <c r="P1306" s="77"/>
    </row>
    <row r="1307" spans="6:16" x14ac:dyDescent="0.2">
      <c r="F1307" s="28"/>
      <c r="H1307" s="28"/>
      <c r="I1307" s="28"/>
      <c r="J1307" s="28"/>
      <c r="K1307" s="9"/>
      <c r="O1307" s="9"/>
      <c r="P1307" s="77"/>
    </row>
    <row r="1308" spans="6:16" x14ac:dyDescent="0.2">
      <c r="F1308" s="28"/>
      <c r="H1308" s="28"/>
      <c r="I1308" s="28"/>
      <c r="J1308" s="28"/>
      <c r="K1308" s="9"/>
      <c r="O1308" s="9"/>
      <c r="P1308" s="77"/>
    </row>
    <row r="1309" spans="6:16" x14ac:dyDescent="0.2">
      <c r="F1309" s="28"/>
      <c r="H1309" s="28"/>
      <c r="I1309" s="28"/>
      <c r="J1309" s="28"/>
      <c r="K1309" s="9"/>
      <c r="O1309" s="9"/>
      <c r="P1309" s="77"/>
    </row>
    <row r="1310" spans="6:16" x14ac:dyDescent="0.2">
      <c r="F1310" s="28"/>
      <c r="H1310" s="28"/>
      <c r="I1310" s="28"/>
      <c r="J1310" s="28"/>
      <c r="K1310" s="9"/>
      <c r="O1310" s="9"/>
      <c r="P1310" s="77"/>
    </row>
    <row r="1311" spans="6:16" x14ac:dyDescent="0.2">
      <c r="F1311" s="28"/>
      <c r="H1311" s="28"/>
      <c r="I1311" s="28"/>
      <c r="J1311" s="28"/>
      <c r="K1311" s="9"/>
      <c r="O1311" s="9"/>
      <c r="P1311" s="77"/>
    </row>
    <row r="1312" spans="6:16" x14ac:dyDescent="0.2">
      <c r="F1312" s="28"/>
      <c r="H1312" s="28"/>
      <c r="I1312" s="28"/>
      <c r="J1312" s="28"/>
      <c r="K1312" s="9"/>
      <c r="O1312" s="9"/>
      <c r="P1312" s="77"/>
    </row>
    <row r="1313" spans="6:16" x14ac:dyDescent="0.2">
      <c r="F1313" s="28"/>
      <c r="H1313" s="28"/>
      <c r="I1313" s="28"/>
      <c r="J1313" s="28"/>
      <c r="K1313" s="9"/>
      <c r="O1313" s="9"/>
      <c r="P1313" s="77"/>
    </row>
    <row r="1314" spans="6:16" x14ac:dyDescent="0.2">
      <c r="F1314" s="28"/>
      <c r="H1314" s="28"/>
      <c r="I1314" s="28"/>
      <c r="J1314" s="28"/>
      <c r="K1314" s="9"/>
      <c r="O1314" s="9"/>
      <c r="P1314" s="77"/>
    </row>
    <row r="1315" spans="6:16" x14ac:dyDescent="0.2">
      <c r="F1315" s="28"/>
      <c r="H1315" s="28"/>
      <c r="I1315" s="28"/>
      <c r="J1315" s="28"/>
      <c r="K1315" s="9"/>
      <c r="O1315" s="9"/>
      <c r="P1315" s="77"/>
    </row>
    <row r="1316" spans="6:16" x14ac:dyDescent="0.2">
      <c r="F1316" s="28"/>
      <c r="H1316" s="28"/>
      <c r="I1316" s="28"/>
      <c r="J1316" s="28"/>
      <c r="K1316" s="9"/>
      <c r="O1316" s="9"/>
      <c r="P1316" s="77"/>
    </row>
    <row r="1317" spans="6:16" x14ac:dyDescent="0.2">
      <c r="F1317" s="28"/>
      <c r="H1317" s="28"/>
      <c r="I1317" s="28"/>
      <c r="J1317" s="28"/>
      <c r="K1317" s="9"/>
      <c r="O1317" s="9"/>
      <c r="P1317" s="77"/>
    </row>
    <row r="1318" spans="6:16" x14ac:dyDescent="0.2">
      <c r="F1318" s="28"/>
      <c r="H1318" s="28"/>
      <c r="I1318" s="28"/>
      <c r="J1318" s="28"/>
      <c r="K1318" s="9"/>
      <c r="O1318" s="9"/>
      <c r="P1318" s="77"/>
    </row>
    <row r="1319" spans="6:16" x14ac:dyDescent="0.2">
      <c r="F1319" s="28"/>
      <c r="H1319" s="28"/>
      <c r="I1319" s="28"/>
      <c r="J1319" s="28"/>
      <c r="K1319" s="9"/>
      <c r="O1319" s="9"/>
      <c r="P1319" s="77"/>
    </row>
    <row r="1320" spans="6:16" x14ac:dyDescent="0.2">
      <c r="F1320" s="28"/>
      <c r="H1320" s="28"/>
      <c r="I1320" s="28"/>
      <c r="J1320" s="28"/>
      <c r="K1320" s="9"/>
      <c r="O1320" s="9"/>
      <c r="P1320" s="77"/>
    </row>
    <row r="1321" spans="6:16" x14ac:dyDescent="0.2">
      <c r="F1321" s="28"/>
      <c r="H1321" s="28"/>
      <c r="I1321" s="28"/>
      <c r="J1321" s="28"/>
      <c r="K1321" s="9"/>
      <c r="O1321" s="9"/>
      <c r="P1321" s="77"/>
    </row>
    <row r="1322" spans="6:16" x14ac:dyDescent="0.2">
      <c r="F1322" s="28"/>
      <c r="H1322" s="28"/>
      <c r="I1322" s="28"/>
      <c r="J1322" s="28"/>
      <c r="K1322" s="9"/>
      <c r="O1322" s="9"/>
      <c r="P1322" s="77"/>
    </row>
    <row r="1323" spans="6:16" x14ac:dyDescent="0.2">
      <c r="F1323" s="28"/>
      <c r="H1323" s="28"/>
      <c r="I1323" s="28"/>
      <c r="J1323" s="28"/>
      <c r="K1323" s="9"/>
      <c r="O1323" s="9"/>
      <c r="P1323" s="77"/>
    </row>
    <row r="1324" spans="6:16" x14ac:dyDescent="0.2">
      <c r="F1324" s="28"/>
      <c r="H1324" s="28"/>
      <c r="I1324" s="28"/>
      <c r="J1324" s="28"/>
      <c r="K1324" s="9"/>
      <c r="O1324" s="9"/>
      <c r="P1324" s="77"/>
    </row>
    <row r="1325" spans="6:16" x14ac:dyDescent="0.2">
      <c r="F1325" s="28"/>
      <c r="H1325" s="28"/>
      <c r="I1325" s="28"/>
      <c r="J1325" s="28"/>
      <c r="K1325" s="9"/>
      <c r="O1325" s="9"/>
      <c r="P1325" s="77"/>
    </row>
    <row r="1326" spans="6:16" x14ac:dyDescent="0.2">
      <c r="F1326" s="28"/>
      <c r="H1326" s="28"/>
      <c r="I1326" s="28"/>
      <c r="J1326" s="28"/>
      <c r="K1326" s="9"/>
      <c r="O1326" s="9"/>
      <c r="P1326" s="77"/>
    </row>
    <row r="1327" spans="6:16" x14ac:dyDescent="0.2">
      <c r="F1327" s="28"/>
      <c r="H1327" s="28"/>
      <c r="I1327" s="28"/>
      <c r="J1327" s="28"/>
      <c r="K1327" s="9"/>
      <c r="O1327" s="9"/>
      <c r="P1327" s="77"/>
    </row>
    <row r="1328" spans="6:16" x14ac:dyDescent="0.2">
      <c r="F1328" s="28"/>
      <c r="H1328" s="28"/>
      <c r="I1328" s="28"/>
      <c r="J1328" s="28"/>
      <c r="K1328" s="9"/>
      <c r="O1328" s="9"/>
      <c r="P1328" s="77"/>
    </row>
    <row r="1329" spans="6:16" x14ac:dyDescent="0.2">
      <c r="F1329" s="28"/>
      <c r="H1329" s="28"/>
      <c r="I1329" s="28"/>
      <c r="J1329" s="28"/>
      <c r="K1329" s="9"/>
      <c r="O1329" s="9"/>
      <c r="P1329" s="77"/>
    </row>
    <row r="1330" spans="6:16" x14ac:dyDescent="0.2">
      <c r="F1330" s="28"/>
      <c r="H1330" s="28"/>
      <c r="I1330" s="28"/>
      <c r="J1330" s="28"/>
      <c r="K1330" s="9"/>
      <c r="O1330" s="9"/>
      <c r="P1330" s="77"/>
    </row>
    <row r="1331" spans="6:16" x14ac:dyDescent="0.2">
      <c r="F1331" s="28"/>
      <c r="H1331" s="28"/>
      <c r="I1331" s="28"/>
      <c r="J1331" s="28"/>
      <c r="K1331" s="9"/>
      <c r="O1331" s="9"/>
      <c r="P1331" s="77"/>
    </row>
    <row r="1332" spans="6:16" x14ac:dyDescent="0.2">
      <c r="F1332" s="28"/>
      <c r="H1332" s="28"/>
      <c r="I1332" s="28"/>
      <c r="J1332" s="28"/>
      <c r="K1332" s="9"/>
      <c r="O1332" s="9"/>
      <c r="P1332" s="77"/>
    </row>
    <row r="1333" spans="6:16" x14ac:dyDescent="0.2">
      <c r="F1333" s="28"/>
      <c r="H1333" s="28"/>
      <c r="I1333" s="28"/>
      <c r="J1333" s="28"/>
      <c r="K1333" s="9"/>
      <c r="O1333" s="9"/>
      <c r="P1333" s="77"/>
    </row>
    <row r="1334" spans="6:16" x14ac:dyDescent="0.2">
      <c r="F1334" s="28"/>
      <c r="H1334" s="28"/>
      <c r="I1334" s="28"/>
      <c r="J1334" s="28"/>
      <c r="K1334" s="9"/>
      <c r="O1334" s="9"/>
      <c r="P1334" s="77"/>
    </row>
    <row r="1335" spans="6:16" x14ac:dyDescent="0.2">
      <c r="F1335" s="28"/>
      <c r="H1335" s="28"/>
      <c r="I1335" s="28"/>
      <c r="J1335" s="28"/>
      <c r="K1335" s="9"/>
      <c r="O1335" s="9"/>
      <c r="P1335" s="77"/>
    </row>
    <row r="1336" spans="6:16" x14ac:dyDescent="0.2">
      <c r="F1336" s="28"/>
      <c r="H1336" s="28"/>
      <c r="I1336" s="28"/>
      <c r="J1336" s="28"/>
      <c r="K1336" s="9"/>
      <c r="O1336" s="9"/>
      <c r="P1336" s="77"/>
    </row>
    <row r="1337" spans="6:16" x14ac:dyDescent="0.2">
      <c r="F1337" s="28"/>
      <c r="H1337" s="28"/>
      <c r="I1337" s="28"/>
      <c r="J1337" s="28"/>
      <c r="K1337" s="9"/>
      <c r="O1337" s="9"/>
      <c r="P1337" s="77"/>
    </row>
    <row r="1338" spans="6:16" x14ac:dyDescent="0.2">
      <c r="F1338" s="28"/>
      <c r="H1338" s="28"/>
      <c r="I1338" s="28"/>
      <c r="J1338" s="28"/>
      <c r="K1338" s="9"/>
      <c r="O1338" s="9"/>
      <c r="P1338" s="77"/>
    </row>
    <row r="1339" spans="6:16" x14ac:dyDescent="0.2">
      <c r="F1339" s="28"/>
      <c r="H1339" s="28"/>
      <c r="I1339" s="28"/>
      <c r="J1339" s="28"/>
      <c r="K1339" s="9"/>
      <c r="O1339" s="9"/>
      <c r="P1339" s="77"/>
    </row>
    <row r="1340" spans="6:16" x14ac:dyDescent="0.2">
      <c r="F1340" s="28"/>
      <c r="H1340" s="28"/>
      <c r="I1340" s="28"/>
      <c r="J1340" s="28"/>
      <c r="K1340" s="9"/>
      <c r="O1340" s="9"/>
      <c r="P1340" s="77"/>
    </row>
    <row r="1341" spans="6:16" x14ac:dyDescent="0.2">
      <c r="F1341" s="28"/>
      <c r="H1341" s="28"/>
      <c r="I1341" s="28"/>
      <c r="J1341" s="28"/>
      <c r="K1341" s="9"/>
      <c r="O1341" s="9"/>
      <c r="P1341" s="77"/>
    </row>
    <row r="1342" spans="6:16" x14ac:dyDescent="0.2">
      <c r="F1342" s="28"/>
      <c r="H1342" s="28"/>
      <c r="I1342" s="28"/>
      <c r="J1342" s="28"/>
      <c r="K1342" s="9"/>
      <c r="O1342" s="9"/>
      <c r="P1342" s="77"/>
    </row>
    <row r="1343" spans="6:16" x14ac:dyDescent="0.2">
      <c r="F1343" s="28"/>
      <c r="H1343" s="28"/>
      <c r="I1343" s="28"/>
      <c r="J1343" s="28"/>
      <c r="K1343" s="9"/>
      <c r="O1343" s="9"/>
      <c r="P1343" s="77"/>
    </row>
    <row r="1344" spans="6:16" x14ac:dyDescent="0.2">
      <c r="F1344" s="28"/>
      <c r="H1344" s="28"/>
      <c r="I1344" s="28"/>
      <c r="J1344" s="28"/>
      <c r="K1344" s="9"/>
      <c r="O1344" s="9"/>
      <c r="P1344" s="77"/>
    </row>
    <row r="1345" spans="6:16" x14ac:dyDescent="0.2">
      <c r="F1345" s="28"/>
      <c r="H1345" s="28"/>
      <c r="I1345" s="28"/>
      <c r="J1345" s="28"/>
      <c r="K1345" s="9"/>
      <c r="O1345" s="9"/>
      <c r="P1345" s="77"/>
    </row>
    <row r="1346" spans="6:16" x14ac:dyDescent="0.2">
      <c r="F1346" s="28"/>
      <c r="H1346" s="28"/>
      <c r="I1346" s="28"/>
      <c r="J1346" s="28"/>
      <c r="K1346" s="9"/>
      <c r="O1346" s="9"/>
      <c r="P1346" s="77"/>
    </row>
    <row r="1347" spans="6:16" x14ac:dyDescent="0.2">
      <c r="F1347" s="28"/>
      <c r="H1347" s="28"/>
      <c r="I1347" s="28"/>
      <c r="J1347" s="28"/>
      <c r="K1347" s="9"/>
      <c r="O1347" s="9"/>
      <c r="P1347" s="77"/>
    </row>
    <row r="1348" spans="6:16" x14ac:dyDescent="0.2">
      <c r="F1348" s="28"/>
      <c r="H1348" s="28"/>
      <c r="I1348" s="28"/>
      <c r="J1348" s="28"/>
      <c r="K1348" s="9"/>
      <c r="O1348" s="9"/>
      <c r="P1348" s="77"/>
    </row>
    <row r="1349" spans="6:16" x14ac:dyDescent="0.2">
      <c r="F1349" s="28"/>
      <c r="H1349" s="28"/>
      <c r="I1349" s="28"/>
      <c r="J1349" s="28"/>
      <c r="K1349" s="9"/>
      <c r="O1349" s="9"/>
      <c r="P1349" s="77"/>
    </row>
    <row r="1350" spans="6:16" x14ac:dyDescent="0.2">
      <c r="F1350" s="28"/>
      <c r="H1350" s="28"/>
      <c r="I1350" s="28"/>
      <c r="J1350" s="28"/>
      <c r="K1350" s="9"/>
      <c r="O1350" s="9"/>
      <c r="P1350" s="77"/>
    </row>
    <row r="1351" spans="6:16" x14ac:dyDescent="0.2">
      <c r="F1351" s="28"/>
      <c r="H1351" s="28"/>
      <c r="I1351" s="28"/>
      <c r="J1351" s="28"/>
      <c r="K1351" s="9"/>
      <c r="O1351" s="9"/>
      <c r="P1351" s="77"/>
    </row>
    <row r="1352" spans="6:16" x14ac:dyDescent="0.2">
      <c r="F1352" s="28"/>
      <c r="H1352" s="28"/>
      <c r="I1352" s="28"/>
      <c r="J1352" s="28"/>
      <c r="K1352" s="9"/>
      <c r="O1352" s="9"/>
      <c r="P1352" s="77"/>
    </row>
    <row r="1353" spans="6:16" x14ac:dyDescent="0.2">
      <c r="F1353" s="28"/>
      <c r="H1353" s="28"/>
      <c r="I1353" s="28"/>
      <c r="J1353" s="28"/>
      <c r="K1353" s="9"/>
      <c r="O1353" s="9"/>
      <c r="P1353" s="77"/>
    </row>
    <row r="1354" spans="6:16" x14ac:dyDescent="0.2">
      <c r="F1354" s="28"/>
      <c r="H1354" s="28"/>
      <c r="I1354" s="28"/>
      <c r="J1354" s="28"/>
      <c r="K1354" s="9"/>
      <c r="O1354" s="9"/>
      <c r="P1354" s="77"/>
    </row>
    <row r="1355" spans="6:16" x14ac:dyDescent="0.2">
      <c r="F1355" s="28"/>
      <c r="H1355" s="28"/>
      <c r="I1355" s="28"/>
      <c r="J1355" s="28"/>
      <c r="K1355" s="9"/>
      <c r="O1355" s="9"/>
      <c r="P1355" s="77"/>
    </row>
    <row r="1356" spans="6:16" x14ac:dyDescent="0.2">
      <c r="F1356" s="28"/>
      <c r="H1356" s="28"/>
      <c r="I1356" s="28"/>
      <c r="J1356" s="28"/>
      <c r="K1356" s="9"/>
      <c r="O1356" s="9"/>
      <c r="P1356" s="77"/>
    </row>
    <row r="1357" spans="6:16" x14ac:dyDescent="0.2">
      <c r="F1357" s="28"/>
      <c r="H1357" s="28"/>
      <c r="I1357" s="28"/>
      <c r="J1357" s="28"/>
      <c r="K1357" s="9"/>
      <c r="O1357" s="9"/>
      <c r="P1357" s="77"/>
    </row>
    <row r="1358" spans="6:16" x14ac:dyDescent="0.2">
      <c r="F1358" s="28"/>
      <c r="H1358" s="28"/>
      <c r="I1358" s="28"/>
      <c r="J1358" s="28"/>
      <c r="K1358" s="9"/>
      <c r="O1358" s="9"/>
      <c r="P1358" s="77"/>
    </row>
    <row r="1359" spans="6:16" x14ac:dyDescent="0.2">
      <c r="F1359" s="28"/>
      <c r="H1359" s="28"/>
      <c r="I1359" s="28"/>
      <c r="J1359" s="28"/>
      <c r="K1359" s="9"/>
      <c r="O1359" s="9"/>
      <c r="P1359" s="77"/>
    </row>
    <row r="1360" spans="6:16" x14ac:dyDescent="0.2">
      <c r="F1360" s="28"/>
      <c r="H1360" s="28"/>
      <c r="I1360" s="28"/>
      <c r="J1360" s="28"/>
      <c r="K1360" s="9"/>
      <c r="O1360" s="9"/>
      <c r="P1360" s="77"/>
    </row>
    <row r="1361" spans="6:16" x14ac:dyDescent="0.2">
      <c r="F1361" s="28"/>
      <c r="H1361" s="28"/>
      <c r="I1361" s="28"/>
      <c r="J1361" s="28"/>
      <c r="K1361" s="9"/>
      <c r="O1361" s="9"/>
      <c r="P1361" s="77"/>
    </row>
    <row r="1362" spans="6:16" x14ac:dyDescent="0.2">
      <c r="F1362" s="28"/>
      <c r="H1362" s="28"/>
      <c r="I1362" s="28"/>
      <c r="J1362" s="28"/>
      <c r="K1362" s="9"/>
      <c r="O1362" s="9"/>
      <c r="P1362" s="77"/>
    </row>
    <row r="1363" spans="6:16" x14ac:dyDescent="0.2">
      <c r="F1363" s="28"/>
      <c r="H1363" s="28"/>
      <c r="I1363" s="28"/>
      <c r="J1363" s="28"/>
      <c r="K1363" s="9"/>
      <c r="O1363" s="9"/>
      <c r="P1363" s="77"/>
    </row>
    <row r="1364" spans="6:16" x14ac:dyDescent="0.2">
      <c r="F1364" s="28"/>
      <c r="H1364" s="28"/>
      <c r="I1364" s="28"/>
      <c r="J1364" s="28"/>
      <c r="K1364" s="9"/>
      <c r="O1364" s="9"/>
      <c r="P1364" s="77"/>
    </row>
    <row r="1365" spans="6:16" x14ac:dyDescent="0.2">
      <c r="F1365" s="28"/>
      <c r="H1365" s="28"/>
      <c r="I1365" s="28"/>
      <c r="J1365" s="28"/>
      <c r="K1365" s="9"/>
      <c r="O1365" s="9"/>
      <c r="P1365" s="77"/>
    </row>
    <row r="1366" spans="6:16" x14ac:dyDescent="0.2">
      <c r="F1366" s="28"/>
      <c r="H1366" s="28"/>
      <c r="I1366" s="28"/>
      <c r="J1366" s="28"/>
      <c r="K1366" s="9"/>
      <c r="O1366" s="9"/>
      <c r="P1366" s="77"/>
    </row>
    <row r="1367" spans="6:16" x14ac:dyDescent="0.2">
      <c r="F1367" s="28"/>
      <c r="H1367" s="28"/>
      <c r="I1367" s="28"/>
      <c r="J1367" s="28"/>
      <c r="K1367" s="9"/>
      <c r="O1367" s="9"/>
      <c r="P1367" s="77"/>
    </row>
    <row r="1368" spans="6:16" x14ac:dyDescent="0.2">
      <c r="F1368" s="28"/>
      <c r="H1368" s="28"/>
      <c r="I1368" s="28"/>
      <c r="J1368" s="28"/>
      <c r="K1368" s="9"/>
      <c r="O1368" s="9"/>
      <c r="P1368" s="77"/>
    </row>
    <row r="1369" spans="6:16" x14ac:dyDescent="0.2">
      <c r="F1369" s="28"/>
      <c r="H1369" s="28"/>
      <c r="I1369" s="28"/>
      <c r="J1369" s="28"/>
      <c r="K1369" s="9"/>
      <c r="O1369" s="9"/>
      <c r="P1369" s="77"/>
    </row>
    <row r="1370" spans="6:16" x14ac:dyDescent="0.2">
      <c r="F1370" s="28"/>
      <c r="H1370" s="28"/>
      <c r="I1370" s="28"/>
      <c r="J1370" s="28"/>
      <c r="K1370" s="9"/>
      <c r="O1370" s="9"/>
      <c r="P1370" s="77"/>
    </row>
    <row r="1371" spans="6:16" x14ac:dyDescent="0.2">
      <c r="F1371" s="28"/>
      <c r="H1371" s="28"/>
      <c r="I1371" s="28"/>
      <c r="J1371" s="28"/>
      <c r="K1371" s="9"/>
      <c r="O1371" s="9"/>
      <c r="P1371" s="77"/>
    </row>
    <row r="1372" spans="6:16" x14ac:dyDescent="0.2">
      <c r="F1372" s="28"/>
      <c r="H1372" s="28"/>
      <c r="I1372" s="28"/>
      <c r="J1372" s="28"/>
      <c r="K1372" s="9"/>
      <c r="O1372" s="9"/>
      <c r="P1372" s="77"/>
    </row>
    <row r="1373" spans="6:16" x14ac:dyDescent="0.2">
      <c r="F1373" s="28"/>
      <c r="H1373" s="28"/>
      <c r="I1373" s="28"/>
      <c r="J1373" s="28"/>
      <c r="K1373" s="9"/>
      <c r="O1373" s="9"/>
      <c r="P1373" s="77"/>
    </row>
    <row r="1374" spans="6:16" x14ac:dyDescent="0.2">
      <c r="F1374" s="28"/>
      <c r="H1374" s="28"/>
      <c r="I1374" s="28"/>
      <c r="J1374" s="28"/>
      <c r="K1374" s="9"/>
      <c r="O1374" s="9"/>
      <c r="P1374" s="77"/>
    </row>
    <row r="1375" spans="6:16" x14ac:dyDescent="0.2">
      <c r="F1375" s="28"/>
      <c r="H1375" s="28"/>
      <c r="I1375" s="28"/>
      <c r="J1375" s="28"/>
      <c r="K1375" s="9"/>
      <c r="O1375" s="9"/>
      <c r="P1375" s="77"/>
    </row>
    <row r="1376" spans="6:16" x14ac:dyDescent="0.2">
      <c r="F1376" s="28"/>
      <c r="H1376" s="28"/>
      <c r="I1376" s="28"/>
      <c r="J1376" s="28"/>
      <c r="K1376" s="9"/>
      <c r="O1376" s="9"/>
      <c r="P1376" s="77"/>
    </row>
    <row r="1377" spans="6:16" x14ac:dyDescent="0.2">
      <c r="F1377" s="28"/>
      <c r="H1377" s="28"/>
      <c r="I1377" s="28"/>
      <c r="J1377" s="28"/>
      <c r="K1377" s="9"/>
      <c r="O1377" s="9"/>
      <c r="P1377" s="77"/>
    </row>
    <row r="1378" spans="6:16" x14ac:dyDescent="0.2">
      <c r="F1378" s="28"/>
      <c r="H1378" s="28"/>
      <c r="I1378" s="28"/>
      <c r="J1378" s="28"/>
      <c r="K1378" s="9"/>
      <c r="O1378" s="9"/>
      <c r="P1378" s="77"/>
    </row>
    <row r="1379" spans="6:16" x14ac:dyDescent="0.2">
      <c r="F1379" s="28"/>
      <c r="H1379" s="28"/>
      <c r="I1379" s="28"/>
      <c r="J1379" s="28"/>
      <c r="K1379" s="9"/>
      <c r="O1379" s="9"/>
      <c r="P1379" s="77"/>
    </row>
    <row r="1380" spans="6:16" x14ac:dyDescent="0.2">
      <c r="F1380" s="28"/>
      <c r="H1380" s="28"/>
      <c r="I1380" s="28"/>
      <c r="J1380" s="28"/>
      <c r="K1380" s="9"/>
      <c r="O1380" s="9"/>
      <c r="P1380" s="77"/>
    </row>
    <row r="1381" spans="6:16" x14ac:dyDescent="0.2">
      <c r="F1381" s="28"/>
      <c r="H1381" s="28"/>
      <c r="I1381" s="28"/>
      <c r="J1381" s="28"/>
      <c r="K1381" s="9"/>
      <c r="O1381" s="9"/>
      <c r="P1381" s="77"/>
    </row>
    <row r="1382" spans="6:16" x14ac:dyDescent="0.2">
      <c r="F1382" s="28"/>
      <c r="H1382" s="28"/>
      <c r="I1382" s="28"/>
      <c r="J1382" s="28"/>
      <c r="K1382" s="9"/>
      <c r="O1382" s="9"/>
      <c r="P1382" s="77"/>
    </row>
    <row r="1383" spans="6:16" x14ac:dyDescent="0.2">
      <c r="F1383" s="28"/>
      <c r="H1383" s="28"/>
      <c r="I1383" s="28"/>
      <c r="J1383" s="28"/>
      <c r="K1383" s="9"/>
      <c r="O1383" s="9"/>
      <c r="P1383" s="77"/>
    </row>
    <row r="1384" spans="6:16" x14ac:dyDescent="0.2">
      <c r="F1384" s="28"/>
      <c r="H1384" s="28"/>
      <c r="I1384" s="28"/>
      <c r="J1384" s="28"/>
      <c r="K1384" s="9"/>
      <c r="O1384" s="9"/>
      <c r="P1384" s="77"/>
    </row>
    <row r="1385" spans="6:16" x14ac:dyDescent="0.2">
      <c r="F1385" s="28"/>
      <c r="H1385" s="28"/>
      <c r="I1385" s="28"/>
      <c r="J1385" s="28"/>
      <c r="K1385" s="9"/>
      <c r="O1385" s="9"/>
      <c r="P1385" s="77"/>
    </row>
    <row r="1386" spans="6:16" x14ac:dyDescent="0.2">
      <c r="F1386" s="28"/>
      <c r="H1386" s="28"/>
      <c r="I1386" s="28"/>
      <c r="J1386" s="28"/>
      <c r="K1386" s="9"/>
      <c r="O1386" s="9"/>
      <c r="P1386" s="77"/>
    </row>
    <row r="1387" spans="6:16" x14ac:dyDescent="0.2">
      <c r="F1387" s="28"/>
      <c r="H1387" s="28"/>
      <c r="I1387" s="28"/>
      <c r="J1387" s="28"/>
      <c r="K1387" s="9"/>
      <c r="O1387" s="9"/>
      <c r="P1387" s="77"/>
    </row>
    <row r="1388" spans="6:16" x14ac:dyDescent="0.2">
      <c r="F1388" s="28"/>
      <c r="H1388" s="28"/>
      <c r="I1388" s="28"/>
      <c r="J1388" s="28"/>
      <c r="K1388" s="9"/>
      <c r="O1388" s="9"/>
      <c r="P1388" s="77"/>
    </row>
    <row r="1389" spans="6:16" x14ac:dyDescent="0.2">
      <c r="F1389" s="28"/>
      <c r="H1389" s="28"/>
      <c r="I1389" s="28"/>
      <c r="J1389" s="28"/>
      <c r="K1389" s="9"/>
      <c r="O1389" s="9"/>
      <c r="P1389" s="77"/>
    </row>
    <row r="1390" spans="6:16" x14ac:dyDescent="0.2">
      <c r="F1390" s="28"/>
      <c r="H1390" s="28"/>
      <c r="I1390" s="28"/>
      <c r="J1390" s="28"/>
      <c r="K1390" s="9"/>
      <c r="O1390" s="9"/>
      <c r="P1390" s="77"/>
    </row>
    <row r="1391" spans="6:16" x14ac:dyDescent="0.2">
      <c r="F1391" s="28"/>
      <c r="H1391" s="28"/>
      <c r="I1391" s="28"/>
      <c r="J1391" s="28"/>
      <c r="K1391" s="9"/>
      <c r="O1391" s="9"/>
      <c r="P1391" s="77"/>
    </row>
    <row r="1392" spans="6:16" x14ac:dyDescent="0.2">
      <c r="F1392" s="28"/>
      <c r="H1392" s="28"/>
      <c r="I1392" s="28"/>
      <c r="J1392" s="28"/>
      <c r="K1392" s="9"/>
      <c r="O1392" s="9"/>
      <c r="P1392" s="77"/>
    </row>
    <row r="1393" spans="6:16" x14ac:dyDescent="0.2">
      <c r="F1393" s="28"/>
      <c r="H1393" s="28"/>
      <c r="I1393" s="28"/>
      <c r="J1393" s="28"/>
      <c r="K1393" s="9"/>
      <c r="O1393" s="9"/>
      <c r="P1393" s="77"/>
    </row>
    <row r="1394" spans="6:16" x14ac:dyDescent="0.2">
      <c r="F1394" s="28"/>
      <c r="H1394" s="28"/>
      <c r="I1394" s="28"/>
      <c r="J1394" s="28"/>
      <c r="K1394" s="9"/>
      <c r="O1394" s="9"/>
      <c r="P1394" s="77"/>
    </row>
    <row r="1395" spans="6:16" x14ac:dyDescent="0.2">
      <c r="F1395" s="28"/>
      <c r="H1395" s="28"/>
      <c r="I1395" s="28"/>
      <c r="J1395" s="28"/>
      <c r="K1395" s="9"/>
      <c r="O1395" s="9"/>
      <c r="P1395" s="77"/>
    </row>
    <row r="1396" spans="6:16" x14ac:dyDescent="0.2">
      <c r="F1396" s="28"/>
      <c r="H1396" s="28"/>
      <c r="I1396" s="28"/>
      <c r="J1396" s="28"/>
      <c r="K1396" s="9"/>
      <c r="O1396" s="9"/>
      <c r="P1396" s="77"/>
    </row>
    <row r="1397" spans="6:16" x14ac:dyDescent="0.2">
      <c r="F1397" s="28"/>
      <c r="H1397" s="28"/>
      <c r="I1397" s="28"/>
      <c r="J1397" s="28"/>
      <c r="K1397" s="9"/>
      <c r="O1397" s="9"/>
      <c r="P1397" s="77"/>
    </row>
    <row r="1398" spans="6:16" x14ac:dyDescent="0.2">
      <c r="F1398" s="28"/>
      <c r="H1398" s="28"/>
      <c r="I1398" s="28"/>
      <c r="J1398" s="28"/>
      <c r="K1398" s="9"/>
      <c r="O1398" s="9"/>
      <c r="P1398" s="77"/>
    </row>
    <row r="1399" spans="6:16" x14ac:dyDescent="0.2">
      <c r="F1399" s="28"/>
      <c r="H1399" s="28"/>
      <c r="I1399" s="28"/>
      <c r="J1399" s="28"/>
      <c r="K1399" s="9"/>
      <c r="O1399" s="9"/>
      <c r="P1399" s="77"/>
    </row>
    <row r="1400" spans="6:16" x14ac:dyDescent="0.2">
      <c r="F1400" s="28"/>
      <c r="H1400" s="28"/>
      <c r="I1400" s="28"/>
      <c r="J1400" s="28"/>
      <c r="K1400" s="9"/>
      <c r="O1400" s="9"/>
      <c r="P1400" s="77"/>
    </row>
    <row r="1401" spans="6:16" x14ac:dyDescent="0.2">
      <c r="F1401" s="28"/>
      <c r="H1401" s="28"/>
      <c r="I1401" s="28"/>
      <c r="J1401" s="28"/>
      <c r="K1401" s="9"/>
      <c r="O1401" s="9"/>
      <c r="P1401" s="77"/>
    </row>
    <row r="1402" spans="6:16" x14ac:dyDescent="0.2">
      <c r="F1402" s="28"/>
      <c r="H1402" s="28"/>
      <c r="I1402" s="28"/>
      <c r="J1402" s="28"/>
      <c r="K1402" s="9"/>
      <c r="O1402" s="9"/>
      <c r="P1402" s="77"/>
    </row>
    <row r="1403" spans="6:16" x14ac:dyDescent="0.2">
      <c r="F1403" s="28"/>
      <c r="H1403" s="28"/>
      <c r="I1403" s="28"/>
      <c r="J1403" s="28"/>
      <c r="K1403" s="9"/>
      <c r="O1403" s="9"/>
      <c r="P1403" s="77"/>
    </row>
    <row r="1404" spans="6:16" x14ac:dyDescent="0.2">
      <c r="F1404" s="28"/>
      <c r="H1404" s="28"/>
      <c r="I1404" s="28"/>
      <c r="J1404" s="28"/>
      <c r="K1404" s="9"/>
      <c r="O1404" s="9"/>
      <c r="P1404" s="77"/>
    </row>
    <row r="1405" spans="6:16" x14ac:dyDescent="0.2">
      <c r="F1405" s="28"/>
      <c r="H1405" s="28"/>
      <c r="I1405" s="28"/>
      <c r="J1405" s="28"/>
      <c r="K1405" s="9"/>
      <c r="O1405" s="9"/>
      <c r="P1405" s="77"/>
    </row>
    <row r="1406" spans="6:16" x14ac:dyDescent="0.2">
      <c r="F1406" s="28"/>
      <c r="H1406" s="28"/>
      <c r="I1406" s="28"/>
      <c r="J1406" s="28"/>
      <c r="K1406" s="9"/>
      <c r="O1406" s="9"/>
      <c r="P1406" s="77"/>
    </row>
    <row r="1407" spans="6:16" x14ac:dyDescent="0.2">
      <c r="F1407" s="28"/>
      <c r="H1407" s="28"/>
      <c r="I1407" s="28"/>
      <c r="J1407" s="28"/>
      <c r="K1407" s="9"/>
      <c r="O1407" s="9"/>
      <c r="P1407" s="77"/>
    </row>
    <row r="1408" spans="6:16" x14ac:dyDescent="0.2">
      <c r="F1408" s="28"/>
      <c r="H1408" s="28"/>
      <c r="I1408" s="28"/>
      <c r="J1408" s="28"/>
      <c r="K1408" s="9"/>
      <c r="O1408" s="9"/>
      <c r="P1408" s="77"/>
    </row>
    <row r="1409" spans="6:16" x14ac:dyDescent="0.2">
      <c r="F1409" s="28"/>
      <c r="H1409" s="28"/>
      <c r="I1409" s="28"/>
      <c r="J1409" s="28"/>
      <c r="K1409" s="9"/>
      <c r="O1409" s="9"/>
      <c r="P1409" s="77"/>
    </row>
    <row r="1410" spans="6:16" x14ac:dyDescent="0.2">
      <c r="F1410" s="28"/>
      <c r="H1410" s="28"/>
      <c r="I1410" s="28"/>
      <c r="J1410" s="28"/>
      <c r="K1410" s="9"/>
      <c r="O1410" s="9"/>
      <c r="P1410" s="77"/>
    </row>
    <row r="1411" spans="6:16" x14ac:dyDescent="0.2">
      <c r="F1411" s="28"/>
      <c r="H1411" s="28"/>
      <c r="I1411" s="28"/>
      <c r="J1411" s="28"/>
      <c r="K1411" s="9"/>
      <c r="O1411" s="9"/>
      <c r="P1411" s="77"/>
    </row>
    <row r="1412" spans="6:16" x14ac:dyDescent="0.2">
      <c r="F1412" s="28"/>
      <c r="H1412" s="28"/>
      <c r="I1412" s="28"/>
      <c r="J1412" s="28"/>
      <c r="K1412" s="9"/>
      <c r="O1412" s="9"/>
      <c r="P1412" s="77"/>
    </row>
    <row r="1413" spans="6:16" x14ac:dyDescent="0.2">
      <c r="F1413" s="28"/>
      <c r="H1413" s="28"/>
      <c r="I1413" s="28"/>
      <c r="J1413" s="28"/>
      <c r="K1413" s="9"/>
      <c r="O1413" s="9"/>
      <c r="P1413" s="77"/>
    </row>
    <row r="1414" spans="6:16" x14ac:dyDescent="0.2">
      <c r="F1414" s="28"/>
      <c r="H1414" s="28"/>
      <c r="I1414" s="28"/>
      <c r="J1414" s="28"/>
      <c r="K1414" s="9"/>
      <c r="O1414" s="9"/>
      <c r="P1414" s="77"/>
    </row>
    <row r="1415" spans="6:16" x14ac:dyDescent="0.2">
      <c r="F1415" s="28"/>
      <c r="H1415" s="28"/>
      <c r="I1415" s="28"/>
      <c r="J1415" s="28"/>
      <c r="K1415" s="9"/>
      <c r="O1415" s="9"/>
      <c r="P1415" s="77"/>
    </row>
    <row r="1416" spans="6:16" x14ac:dyDescent="0.2">
      <c r="F1416" s="28"/>
      <c r="H1416" s="28"/>
      <c r="I1416" s="28"/>
      <c r="J1416" s="28"/>
      <c r="K1416" s="9"/>
      <c r="O1416" s="9"/>
      <c r="P1416" s="77"/>
    </row>
    <row r="1417" spans="6:16" x14ac:dyDescent="0.2">
      <c r="F1417" s="28"/>
      <c r="H1417" s="28"/>
      <c r="I1417" s="28"/>
      <c r="J1417" s="28"/>
      <c r="K1417" s="9"/>
      <c r="O1417" s="9"/>
      <c r="P1417" s="77"/>
    </row>
    <row r="1418" spans="6:16" x14ac:dyDescent="0.2">
      <c r="F1418" s="28"/>
      <c r="H1418" s="28"/>
      <c r="I1418" s="28"/>
      <c r="J1418" s="28"/>
      <c r="K1418" s="9"/>
      <c r="O1418" s="9"/>
      <c r="P1418" s="77"/>
    </row>
    <row r="1419" spans="6:16" x14ac:dyDescent="0.2">
      <c r="F1419" s="28"/>
      <c r="H1419" s="28"/>
      <c r="I1419" s="28"/>
      <c r="J1419" s="28"/>
      <c r="K1419" s="9"/>
      <c r="O1419" s="9"/>
      <c r="P1419" s="77"/>
    </row>
    <row r="1420" spans="6:16" x14ac:dyDescent="0.2">
      <c r="F1420" s="28"/>
      <c r="H1420" s="28"/>
      <c r="I1420" s="28"/>
      <c r="J1420" s="28"/>
      <c r="K1420" s="9"/>
      <c r="O1420" s="9"/>
      <c r="P1420" s="77"/>
    </row>
    <row r="1421" spans="6:16" x14ac:dyDescent="0.2">
      <c r="F1421" s="28"/>
      <c r="H1421" s="28"/>
      <c r="I1421" s="28"/>
      <c r="J1421" s="28"/>
      <c r="K1421" s="9"/>
      <c r="O1421" s="9"/>
      <c r="P1421" s="77"/>
    </row>
    <row r="1422" spans="6:16" x14ac:dyDescent="0.2">
      <c r="F1422" s="28"/>
      <c r="H1422" s="28"/>
      <c r="I1422" s="28"/>
      <c r="J1422" s="28"/>
      <c r="K1422" s="9"/>
      <c r="O1422" s="9"/>
      <c r="P1422" s="77"/>
    </row>
    <row r="1423" spans="6:16" x14ac:dyDescent="0.2">
      <c r="F1423" s="28"/>
      <c r="H1423" s="28"/>
      <c r="I1423" s="28"/>
      <c r="J1423" s="28"/>
      <c r="K1423" s="9"/>
      <c r="O1423" s="9"/>
      <c r="P1423" s="77"/>
    </row>
    <row r="1424" spans="6:16" x14ac:dyDescent="0.2">
      <c r="F1424" s="28"/>
      <c r="H1424" s="28"/>
      <c r="I1424" s="28"/>
      <c r="J1424" s="28"/>
      <c r="K1424" s="9"/>
      <c r="O1424" s="9"/>
      <c r="P1424" s="77"/>
    </row>
    <row r="1425" spans="6:16" x14ac:dyDescent="0.2">
      <c r="F1425" s="28"/>
      <c r="H1425" s="28"/>
      <c r="I1425" s="28"/>
      <c r="J1425" s="28"/>
      <c r="K1425" s="9"/>
      <c r="O1425" s="9"/>
      <c r="P1425" s="77"/>
    </row>
    <row r="1426" spans="6:16" x14ac:dyDescent="0.2">
      <c r="F1426" s="28"/>
      <c r="H1426" s="28"/>
      <c r="I1426" s="28"/>
      <c r="J1426" s="28"/>
      <c r="K1426" s="9"/>
      <c r="O1426" s="9"/>
      <c r="P1426" s="77"/>
    </row>
    <row r="1427" spans="6:16" x14ac:dyDescent="0.2">
      <c r="F1427" s="28"/>
      <c r="H1427" s="28"/>
      <c r="I1427" s="28"/>
      <c r="J1427" s="28"/>
      <c r="K1427" s="9"/>
      <c r="O1427" s="9"/>
      <c r="P1427" s="77"/>
    </row>
    <row r="1428" spans="6:16" x14ac:dyDescent="0.2">
      <c r="F1428" s="28"/>
      <c r="H1428" s="28"/>
      <c r="I1428" s="28"/>
      <c r="J1428" s="28"/>
      <c r="K1428" s="9"/>
      <c r="O1428" s="9"/>
      <c r="P1428" s="77"/>
    </row>
    <row r="1429" spans="6:16" x14ac:dyDescent="0.2">
      <c r="F1429" s="28"/>
      <c r="H1429" s="28"/>
      <c r="I1429" s="28"/>
      <c r="J1429" s="28"/>
      <c r="K1429" s="9"/>
      <c r="O1429" s="9"/>
      <c r="P1429" s="77"/>
    </row>
    <row r="1430" spans="6:16" x14ac:dyDescent="0.2">
      <c r="F1430" s="28"/>
      <c r="H1430" s="28"/>
      <c r="I1430" s="28"/>
      <c r="J1430" s="28"/>
      <c r="K1430" s="9"/>
      <c r="O1430" s="9"/>
      <c r="P1430" s="77"/>
    </row>
    <row r="1431" spans="6:16" x14ac:dyDescent="0.2">
      <c r="F1431" s="28"/>
      <c r="H1431" s="28"/>
      <c r="I1431" s="28"/>
      <c r="J1431" s="28"/>
      <c r="K1431" s="9"/>
      <c r="O1431" s="9"/>
      <c r="P1431" s="77"/>
    </row>
    <row r="1432" spans="6:16" x14ac:dyDescent="0.2">
      <c r="F1432" s="28"/>
      <c r="H1432" s="28"/>
      <c r="I1432" s="28"/>
      <c r="J1432" s="28"/>
      <c r="K1432" s="9"/>
      <c r="O1432" s="9"/>
      <c r="P1432" s="77"/>
    </row>
    <row r="1433" spans="6:16" x14ac:dyDescent="0.2">
      <c r="F1433" s="28"/>
      <c r="H1433" s="28"/>
      <c r="I1433" s="28"/>
      <c r="J1433" s="28"/>
      <c r="K1433" s="9"/>
      <c r="O1433" s="9"/>
      <c r="P1433" s="77"/>
    </row>
    <row r="1434" spans="6:16" x14ac:dyDescent="0.2">
      <c r="F1434" s="28"/>
      <c r="H1434" s="28"/>
      <c r="I1434" s="28"/>
      <c r="J1434" s="28"/>
      <c r="K1434" s="9"/>
      <c r="O1434" s="9"/>
      <c r="P1434" s="77"/>
    </row>
    <row r="1435" spans="6:16" x14ac:dyDescent="0.2">
      <c r="F1435" s="28"/>
      <c r="H1435" s="28"/>
      <c r="I1435" s="28"/>
      <c r="J1435" s="28"/>
      <c r="K1435" s="9"/>
      <c r="O1435" s="9"/>
      <c r="P1435" s="77"/>
    </row>
    <row r="1436" spans="6:16" x14ac:dyDescent="0.2">
      <c r="F1436" s="28"/>
      <c r="H1436" s="28"/>
      <c r="I1436" s="28"/>
      <c r="J1436" s="28"/>
      <c r="K1436" s="9"/>
      <c r="O1436" s="9"/>
      <c r="P1436" s="77"/>
    </row>
    <row r="1437" spans="6:16" x14ac:dyDescent="0.2">
      <c r="F1437" s="28"/>
      <c r="H1437" s="28"/>
      <c r="I1437" s="28"/>
      <c r="J1437" s="28"/>
      <c r="K1437" s="9"/>
      <c r="O1437" s="9"/>
      <c r="P1437" s="77"/>
    </row>
    <row r="1438" spans="6:16" x14ac:dyDescent="0.2">
      <c r="F1438" s="28"/>
      <c r="H1438" s="28"/>
      <c r="I1438" s="28"/>
      <c r="J1438" s="28"/>
      <c r="K1438" s="9"/>
      <c r="O1438" s="9"/>
      <c r="P1438" s="77"/>
    </row>
    <row r="1439" spans="6:16" x14ac:dyDescent="0.2">
      <c r="F1439" s="28"/>
      <c r="H1439" s="28"/>
      <c r="I1439" s="28"/>
      <c r="J1439" s="28"/>
      <c r="K1439" s="9"/>
      <c r="O1439" s="9"/>
      <c r="P1439" s="77"/>
    </row>
    <row r="1440" spans="6:16" x14ac:dyDescent="0.2">
      <c r="F1440" s="28"/>
      <c r="H1440" s="28"/>
      <c r="I1440" s="28"/>
      <c r="J1440" s="28"/>
      <c r="K1440" s="9"/>
      <c r="O1440" s="9"/>
      <c r="P1440" s="77"/>
    </row>
    <row r="1441" spans="6:16" x14ac:dyDescent="0.2">
      <c r="F1441" s="28"/>
      <c r="H1441" s="28"/>
      <c r="I1441" s="28"/>
      <c r="J1441" s="28"/>
      <c r="K1441" s="9"/>
      <c r="O1441" s="9"/>
      <c r="P1441" s="77"/>
    </row>
    <row r="1442" spans="6:16" x14ac:dyDescent="0.2">
      <c r="F1442" s="28"/>
      <c r="H1442" s="28"/>
      <c r="I1442" s="28"/>
      <c r="J1442" s="28"/>
      <c r="K1442" s="9"/>
      <c r="O1442" s="9"/>
      <c r="P1442" s="77"/>
    </row>
    <row r="1443" spans="6:16" x14ac:dyDescent="0.2">
      <c r="F1443" s="28"/>
      <c r="H1443" s="28"/>
      <c r="I1443" s="28"/>
      <c r="J1443" s="28"/>
      <c r="K1443" s="9"/>
      <c r="O1443" s="9"/>
      <c r="P1443" s="77"/>
    </row>
    <row r="1444" spans="6:16" x14ac:dyDescent="0.2">
      <c r="F1444" s="28"/>
      <c r="H1444" s="28"/>
      <c r="I1444" s="28"/>
      <c r="J1444" s="28"/>
      <c r="K1444" s="9"/>
      <c r="O1444" s="9"/>
      <c r="P1444" s="77"/>
    </row>
    <row r="1445" spans="6:16" x14ac:dyDescent="0.2">
      <c r="F1445" s="28"/>
      <c r="H1445" s="28"/>
      <c r="I1445" s="28"/>
      <c r="J1445" s="28"/>
      <c r="K1445" s="9"/>
      <c r="O1445" s="9"/>
      <c r="P1445" s="77"/>
    </row>
    <row r="1446" spans="6:16" x14ac:dyDescent="0.2">
      <c r="F1446" s="28"/>
      <c r="H1446" s="28"/>
      <c r="I1446" s="28"/>
      <c r="J1446" s="28"/>
      <c r="K1446" s="9"/>
      <c r="O1446" s="9"/>
      <c r="P1446" s="77"/>
    </row>
    <row r="1447" spans="6:16" x14ac:dyDescent="0.2">
      <c r="F1447" s="28"/>
      <c r="H1447" s="28"/>
      <c r="I1447" s="28"/>
      <c r="J1447" s="28"/>
      <c r="K1447" s="9"/>
      <c r="O1447" s="9"/>
      <c r="P1447" s="77"/>
    </row>
    <row r="1448" spans="6:16" x14ac:dyDescent="0.2">
      <c r="F1448" s="28"/>
      <c r="H1448" s="28"/>
      <c r="I1448" s="28"/>
      <c r="J1448" s="28"/>
      <c r="K1448" s="9"/>
      <c r="O1448" s="9"/>
      <c r="P1448" s="77"/>
    </row>
    <row r="1449" spans="6:16" x14ac:dyDescent="0.2">
      <c r="F1449" s="28"/>
      <c r="H1449" s="28"/>
      <c r="I1449" s="28"/>
      <c r="J1449" s="28"/>
      <c r="K1449" s="9"/>
      <c r="O1449" s="9"/>
      <c r="P1449" s="77"/>
    </row>
    <row r="1450" spans="6:16" x14ac:dyDescent="0.2">
      <c r="F1450" s="28"/>
      <c r="H1450" s="28"/>
      <c r="I1450" s="28"/>
      <c r="J1450" s="28"/>
      <c r="K1450" s="9"/>
      <c r="O1450" s="9"/>
      <c r="P1450" s="77"/>
    </row>
    <row r="1451" spans="6:16" x14ac:dyDescent="0.2">
      <c r="F1451" s="28"/>
      <c r="H1451" s="28"/>
      <c r="I1451" s="28"/>
      <c r="J1451" s="28"/>
      <c r="K1451" s="9"/>
      <c r="O1451" s="9"/>
      <c r="P1451" s="77"/>
    </row>
    <row r="1452" spans="6:16" x14ac:dyDescent="0.2">
      <c r="F1452" s="28"/>
      <c r="H1452" s="28"/>
      <c r="I1452" s="28"/>
      <c r="J1452" s="28"/>
      <c r="K1452" s="9"/>
      <c r="O1452" s="9"/>
      <c r="P1452" s="77"/>
    </row>
    <row r="1453" spans="6:16" x14ac:dyDescent="0.2">
      <c r="F1453" s="28"/>
      <c r="H1453" s="28"/>
      <c r="I1453" s="28"/>
      <c r="J1453" s="28"/>
      <c r="K1453" s="9"/>
      <c r="O1453" s="9"/>
      <c r="P1453" s="77"/>
    </row>
    <row r="1454" spans="6:16" x14ac:dyDescent="0.2">
      <c r="F1454" s="28"/>
      <c r="H1454" s="28"/>
      <c r="I1454" s="28"/>
      <c r="J1454" s="28"/>
      <c r="K1454" s="9"/>
      <c r="O1454" s="9"/>
      <c r="P1454" s="77"/>
    </row>
    <row r="1455" spans="6:16" x14ac:dyDescent="0.2">
      <c r="F1455" s="28"/>
      <c r="H1455" s="28"/>
      <c r="I1455" s="28"/>
      <c r="J1455" s="28"/>
      <c r="K1455" s="9"/>
      <c r="O1455" s="9"/>
      <c r="P1455" s="77"/>
    </row>
    <row r="1456" spans="6:16" x14ac:dyDescent="0.2">
      <c r="F1456" s="28"/>
      <c r="H1456" s="28"/>
      <c r="I1456" s="28"/>
      <c r="J1456" s="28"/>
      <c r="K1456" s="9"/>
      <c r="O1456" s="9"/>
      <c r="P1456" s="77"/>
    </row>
    <row r="1457" spans="6:16" x14ac:dyDescent="0.2">
      <c r="F1457" s="28"/>
      <c r="H1457" s="28"/>
      <c r="I1457" s="28"/>
      <c r="J1457" s="28"/>
      <c r="K1457" s="9"/>
      <c r="O1457" s="9"/>
      <c r="P1457" s="77"/>
    </row>
    <row r="1458" spans="6:16" x14ac:dyDescent="0.2">
      <c r="F1458" s="28"/>
      <c r="H1458" s="28"/>
      <c r="I1458" s="28"/>
      <c r="J1458" s="28"/>
      <c r="K1458" s="9"/>
      <c r="O1458" s="9"/>
      <c r="P1458" s="77"/>
    </row>
    <row r="1459" spans="6:16" x14ac:dyDescent="0.2">
      <c r="F1459" s="28"/>
      <c r="H1459" s="28"/>
      <c r="I1459" s="28"/>
      <c r="J1459" s="28"/>
      <c r="K1459" s="9"/>
      <c r="O1459" s="9"/>
      <c r="P1459" s="77"/>
    </row>
    <row r="1460" spans="6:16" x14ac:dyDescent="0.2">
      <c r="F1460" s="28"/>
      <c r="H1460" s="28"/>
      <c r="I1460" s="28"/>
      <c r="J1460" s="28"/>
      <c r="K1460" s="9"/>
      <c r="O1460" s="9"/>
      <c r="P1460" s="77"/>
    </row>
    <row r="1461" spans="6:16" x14ac:dyDescent="0.2">
      <c r="F1461" s="28"/>
      <c r="H1461" s="28"/>
      <c r="I1461" s="28"/>
      <c r="J1461" s="28"/>
      <c r="K1461" s="9"/>
      <c r="O1461" s="9"/>
      <c r="P1461" s="77"/>
    </row>
    <row r="1462" spans="6:16" x14ac:dyDescent="0.2">
      <c r="F1462" s="28"/>
      <c r="H1462" s="28"/>
      <c r="I1462" s="28"/>
      <c r="J1462" s="28"/>
      <c r="K1462" s="9"/>
      <c r="O1462" s="9"/>
      <c r="P1462" s="77"/>
    </row>
    <row r="1463" spans="6:16" x14ac:dyDescent="0.2">
      <c r="F1463" s="28"/>
      <c r="H1463" s="28"/>
      <c r="I1463" s="28"/>
      <c r="J1463" s="28"/>
      <c r="K1463" s="9"/>
      <c r="O1463" s="9"/>
      <c r="P1463" s="77"/>
    </row>
    <row r="1464" spans="6:16" x14ac:dyDescent="0.2">
      <c r="F1464" s="28"/>
      <c r="H1464" s="28"/>
      <c r="I1464" s="28"/>
      <c r="J1464" s="28"/>
      <c r="K1464" s="9"/>
      <c r="O1464" s="9"/>
      <c r="P1464" s="77"/>
    </row>
    <row r="1465" spans="6:16" x14ac:dyDescent="0.2">
      <c r="F1465" s="28"/>
      <c r="H1465" s="28"/>
      <c r="I1465" s="28"/>
      <c r="J1465" s="28"/>
      <c r="K1465" s="9"/>
      <c r="O1465" s="9"/>
      <c r="P1465" s="77"/>
    </row>
    <row r="1466" spans="6:16" x14ac:dyDescent="0.2">
      <c r="F1466" s="28"/>
      <c r="H1466" s="28"/>
      <c r="I1466" s="28"/>
      <c r="J1466" s="28"/>
      <c r="K1466" s="9"/>
      <c r="O1466" s="9"/>
      <c r="P1466" s="77"/>
    </row>
    <row r="1467" spans="6:16" x14ac:dyDescent="0.2">
      <c r="F1467" s="28"/>
      <c r="H1467" s="28"/>
      <c r="I1467" s="28"/>
      <c r="J1467" s="28"/>
      <c r="K1467" s="9"/>
      <c r="O1467" s="9"/>
      <c r="P1467" s="77"/>
    </row>
    <row r="1468" spans="6:16" x14ac:dyDescent="0.2">
      <c r="F1468" s="28"/>
      <c r="H1468" s="28"/>
      <c r="I1468" s="28"/>
      <c r="J1468" s="28"/>
      <c r="K1468" s="9"/>
      <c r="O1468" s="9"/>
      <c r="P1468" s="77"/>
    </row>
    <row r="1469" spans="6:16" x14ac:dyDescent="0.2">
      <c r="F1469" s="28"/>
      <c r="H1469" s="28"/>
      <c r="I1469" s="28"/>
      <c r="J1469" s="28"/>
      <c r="K1469" s="9"/>
      <c r="O1469" s="9"/>
      <c r="P1469" s="77"/>
    </row>
    <row r="1470" spans="6:16" x14ac:dyDescent="0.2">
      <c r="F1470" s="28"/>
      <c r="H1470" s="28"/>
      <c r="I1470" s="28"/>
      <c r="J1470" s="28"/>
      <c r="K1470" s="9"/>
      <c r="O1470" s="9"/>
      <c r="P1470" s="77"/>
    </row>
    <row r="1471" spans="6:16" x14ac:dyDescent="0.2">
      <c r="F1471" s="28"/>
      <c r="H1471" s="28"/>
      <c r="I1471" s="28"/>
      <c r="J1471" s="28"/>
      <c r="K1471" s="9"/>
      <c r="O1471" s="9"/>
      <c r="P1471" s="77"/>
    </row>
    <row r="1472" spans="6:16" x14ac:dyDescent="0.2">
      <c r="F1472" s="28"/>
      <c r="H1472" s="28"/>
      <c r="I1472" s="28"/>
      <c r="J1472" s="28"/>
      <c r="K1472" s="9"/>
      <c r="O1472" s="9"/>
      <c r="P1472" s="77"/>
    </row>
    <row r="1473" spans="6:16" x14ac:dyDescent="0.2">
      <c r="F1473" s="28"/>
      <c r="H1473" s="28"/>
      <c r="I1473" s="28"/>
      <c r="J1473" s="28"/>
      <c r="K1473" s="9"/>
      <c r="O1473" s="9"/>
      <c r="P1473" s="77"/>
    </row>
    <row r="1474" spans="6:16" x14ac:dyDescent="0.2">
      <c r="F1474" s="28"/>
      <c r="H1474" s="28"/>
      <c r="I1474" s="28"/>
      <c r="J1474" s="28"/>
      <c r="K1474" s="9"/>
      <c r="O1474" s="9"/>
      <c r="P1474" s="77"/>
    </row>
    <row r="1475" spans="6:16" x14ac:dyDescent="0.2">
      <c r="F1475" s="28"/>
      <c r="H1475" s="28"/>
      <c r="I1475" s="28"/>
      <c r="J1475" s="28"/>
      <c r="K1475" s="9"/>
      <c r="O1475" s="9"/>
      <c r="P1475" s="77"/>
    </row>
    <row r="1476" spans="6:16" x14ac:dyDescent="0.2">
      <c r="F1476" s="28"/>
      <c r="H1476" s="28"/>
      <c r="I1476" s="28"/>
      <c r="J1476" s="28"/>
      <c r="K1476" s="9"/>
      <c r="O1476" s="9"/>
      <c r="P1476" s="77"/>
    </row>
    <row r="1477" spans="6:16" x14ac:dyDescent="0.2">
      <c r="F1477" s="28"/>
      <c r="H1477" s="28"/>
      <c r="I1477" s="28"/>
      <c r="J1477" s="28"/>
      <c r="K1477" s="9"/>
      <c r="O1477" s="9"/>
      <c r="P1477" s="77"/>
    </row>
    <row r="1478" spans="6:16" x14ac:dyDescent="0.2">
      <c r="F1478" s="28"/>
      <c r="H1478" s="28"/>
      <c r="I1478" s="28"/>
      <c r="J1478" s="28"/>
      <c r="K1478" s="9"/>
      <c r="O1478" s="9"/>
      <c r="P1478" s="77"/>
    </row>
    <row r="1479" spans="6:16" x14ac:dyDescent="0.2">
      <c r="F1479" s="28"/>
      <c r="H1479" s="28"/>
      <c r="I1479" s="28"/>
      <c r="J1479" s="28"/>
      <c r="K1479" s="9"/>
      <c r="O1479" s="9"/>
      <c r="P1479" s="77"/>
    </row>
    <row r="1480" spans="6:16" x14ac:dyDescent="0.2">
      <c r="F1480" s="28"/>
      <c r="H1480" s="28"/>
      <c r="I1480" s="28"/>
      <c r="J1480" s="28"/>
      <c r="K1480" s="9"/>
      <c r="O1480" s="9"/>
      <c r="P1480" s="77"/>
    </row>
    <row r="1481" spans="6:16" x14ac:dyDescent="0.2">
      <c r="F1481" s="28"/>
      <c r="H1481" s="28"/>
      <c r="I1481" s="28"/>
      <c r="J1481" s="28"/>
      <c r="K1481" s="9"/>
      <c r="O1481" s="9"/>
      <c r="P1481" s="77"/>
    </row>
    <row r="1482" spans="6:16" x14ac:dyDescent="0.2">
      <c r="F1482" s="28"/>
      <c r="H1482" s="28"/>
      <c r="I1482" s="28"/>
      <c r="J1482" s="28"/>
      <c r="K1482" s="9"/>
      <c r="O1482" s="9"/>
      <c r="P1482" s="77"/>
    </row>
    <row r="1483" spans="6:16" x14ac:dyDescent="0.2">
      <c r="F1483" s="28"/>
      <c r="H1483" s="28"/>
      <c r="I1483" s="28"/>
      <c r="J1483" s="28"/>
      <c r="K1483" s="9"/>
      <c r="O1483" s="9"/>
      <c r="P1483" s="77"/>
    </row>
    <row r="1484" spans="6:16" x14ac:dyDescent="0.2">
      <c r="F1484" s="28"/>
      <c r="H1484" s="28"/>
      <c r="I1484" s="28"/>
      <c r="J1484" s="28"/>
      <c r="K1484" s="9"/>
      <c r="O1484" s="9"/>
      <c r="P1484" s="77"/>
    </row>
    <row r="1485" spans="6:16" x14ac:dyDescent="0.2">
      <c r="F1485" s="28"/>
      <c r="H1485" s="28"/>
      <c r="I1485" s="28"/>
      <c r="J1485" s="28"/>
      <c r="K1485" s="9"/>
      <c r="O1485" s="9"/>
      <c r="P1485" s="77"/>
    </row>
    <row r="1486" spans="6:16" x14ac:dyDescent="0.2">
      <c r="F1486" s="28"/>
      <c r="H1486" s="28"/>
      <c r="I1486" s="28"/>
      <c r="J1486" s="28"/>
      <c r="K1486" s="9"/>
      <c r="O1486" s="9"/>
      <c r="P1486" s="77"/>
    </row>
    <row r="1487" spans="6:16" x14ac:dyDescent="0.2">
      <c r="F1487" s="28"/>
      <c r="H1487" s="28"/>
      <c r="I1487" s="28"/>
      <c r="J1487" s="28"/>
      <c r="K1487" s="9"/>
      <c r="O1487" s="9"/>
      <c r="P1487" s="77"/>
    </row>
    <row r="1488" spans="6:16" x14ac:dyDescent="0.2">
      <c r="F1488" s="28"/>
      <c r="H1488" s="28"/>
      <c r="I1488" s="28"/>
      <c r="J1488" s="28"/>
      <c r="K1488" s="9"/>
      <c r="O1488" s="9"/>
      <c r="P1488" s="77"/>
    </row>
    <row r="1489" spans="6:16" x14ac:dyDescent="0.2">
      <c r="F1489" s="28"/>
      <c r="H1489" s="28"/>
      <c r="I1489" s="28"/>
      <c r="J1489" s="28"/>
      <c r="K1489" s="9"/>
      <c r="O1489" s="9"/>
      <c r="P1489" s="77"/>
    </row>
    <row r="1490" spans="6:16" x14ac:dyDescent="0.2">
      <c r="F1490" s="28"/>
      <c r="H1490" s="28"/>
      <c r="I1490" s="28"/>
      <c r="J1490" s="28"/>
      <c r="K1490" s="9"/>
      <c r="O1490" s="9"/>
      <c r="P1490" s="77"/>
    </row>
    <row r="1491" spans="6:16" x14ac:dyDescent="0.2">
      <c r="F1491" s="28"/>
      <c r="H1491" s="28"/>
      <c r="I1491" s="28"/>
      <c r="J1491" s="28"/>
      <c r="K1491" s="9"/>
      <c r="O1491" s="9"/>
      <c r="P1491" s="77"/>
    </row>
    <row r="1492" spans="6:16" x14ac:dyDescent="0.2">
      <c r="F1492" s="28"/>
      <c r="H1492" s="28"/>
      <c r="I1492" s="28"/>
      <c r="J1492" s="28"/>
      <c r="K1492" s="9"/>
      <c r="O1492" s="9"/>
      <c r="P1492" s="77"/>
    </row>
    <row r="1493" spans="6:16" x14ac:dyDescent="0.2">
      <c r="F1493" s="28"/>
      <c r="H1493" s="28"/>
      <c r="I1493" s="28"/>
      <c r="J1493" s="28"/>
      <c r="K1493" s="9"/>
      <c r="O1493" s="9"/>
      <c r="P1493" s="77"/>
    </row>
    <row r="1494" spans="6:16" x14ac:dyDescent="0.2">
      <c r="F1494" s="28"/>
      <c r="H1494" s="28"/>
      <c r="I1494" s="28"/>
      <c r="J1494" s="28"/>
      <c r="K1494" s="9"/>
      <c r="O1494" s="9"/>
      <c r="P1494" s="77"/>
    </row>
    <row r="1495" spans="6:16" x14ac:dyDescent="0.2">
      <c r="F1495" s="28"/>
      <c r="H1495" s="28"/>
      <c r="I1495" s="28"/>
      <c r="J1495" s="28"/>
      <c r="K1495" s="9"/>
      <c r="O1495" s="9"/>
      <c r="P1495" s="77"/>
    </row>
    <row r="1496" spans="6:16" x14ac:dyDescent="0.2">
      <c r="F1496" s="28"/>
      <c r="H1496" s="28"/>
      <c r="I1496" s="28"/>
      <c r="J1496" s="28"/>
      <c r="K1496" s="9"/>
      <c r="O1496" s="9"/>
      <c r="P1496" s="77"/>
    </row>
    <row r="1497" spans="6:16" x14ac:dyDescent="0.2">
      <c r="F1497" s="28"/>
      <c r="H1497" s="28"/>
      <c r="I1497" s="28"/>
      <c r="J1497" s="28"/>
      <c r="K1497" s="9"/>
      <c r="O1497" s="9"/>
      <c r="P1497" s="77"/>
    </row>
    <row r="1498" spans="6:16" x14ac:dyDescent="0.2">
      <c r="F1498" s="28"/>
      <c r="H1498" s="28"/>
      <c r="I1498" s="28"/>
      <c r="J1498" s="28"/>
      <c r="K1498" s="9"/>
      <c r="O1498" s="9"/>
      <c r="P1498" s="77"/>
    </row>
    <row r="1499" spans="6:16" x14ac:dyDescent="0.2">
      <c r="F1499" s="28"/>
      <c r="H1499" s="28"/>
      <c r="I1499" s="28"/>
      <c r="J1499" s="28"/>
      <c r="K1499" s="9"/>
      <c r="O1499" s="9"/>
      <c r="P1499" s="77"/>
    </row>
    <row r="1500" spans="6:16" x14ac:dyDescent="0.2">
      <c r="F1500" s="28"/>
      <c r="H1500" s="28"/>
      <c r="I1500" s="28"/>
      <c r="J1500" s="28"/>
      <c r="K1500" s="9"/>
      <c r="O1500" s="9"/>
      <c r="P1500" s="77"/>
    </row>
    <row r="1501" spans="6:16" x14ac:dyDescent="0.2">
      <c r="F1501" s="28"/>
      <c r="H1501" s="28"/>
      <c r="I1501" s="28"/>
      <c r="J1501" s="28"/>
      <c r="K1501" s="9"/>
      <c r="O1501" s="9"/>
      <c r="P1501" s="77"/>
    </row>
    <row r="1502" spans="6:16" x14ac:dyDescent="0.2">
      <c r="F1502" s="28"/>
      <c r="H1502" s="28"/>
      <c r="I1502" s="28"/>
      <c r="J1502" s="28"/>
      <c r="K1502" s="9"/>
      <c r="O1502" s="9"/>
      <c r="P1502" s="77"/>
    </row>
    <row r="1503" spans="6:16" x14ac:dyDescent="0.2">
      <c r="F1503" s="28"/>
      <c r="H1503" s="28"/>
      <c r="I1503" s="28"/>
      <c r="J1503" s="28"/>
      <c r="K1503" s="9"/>
      <c r="O1503" s="9"/>
      <c r="P1503" s="77"/>
    </row>
    <row r="1504" spans="6:16" x14ac:dyDescent="0.2">
      <c r="F1504" s="28"/>
      <c r="H1504" s="28"/>
      <c r="I1504" s="28"/>
      <c r="J1504" s="28"/>
      <c r="K1504" s="9"/>
      <c r="O1504" s="9"/>
      <c r="P1504" s="77"/>
    </row>
    <row r="1505" spans="6:16" x14ac:dyDescent="0.2">
      <c r="F1505" s="28"/>
      <c r="H1505" s="28"/>
      <c r="I1505" s="28"/>
      <c r="J1505" s="28"/>
      <c r="K1505" s="9"/>
      <c r="O1505" s="9"/>
      <c r="P1505" s="77"/>
    </row>
    <row r="1506" spans="6:16" x14ac:dyDescent="0.2">
      <c r="F1506" s="28"/>
      <c r="H1506" s="28"/>
      <c r="I1506" s="28"/>
      <c r="J1506" s="28"/>
      <c r="K1506" s="9"/>
      <c r="O1506" s="9"/>
      <c r="P1506" s="77"/>
    </row>
    <row r="1507" spans="6:16" x14ac:dyDescent="0.2">
      <c r="F1507" s="28"/>
      <c r="H1507" s="28"/>
      <c r="I1507" s="28"/>
      <c r="J1507" s="28"/>
      <c r="K1507" s="9"/>
      <c r="O1507" s="9"/>
      <c r="P1507" s="77"/>
    </row>
    <row r="1508" spans="6:16" x14ac:dyDescent="0.2">
      <c r="F1508" s="28"/>
      <c r="H1508" s="28"/>
      <c r="I1508" s="28"/>
      <c r="J1508" s="28"/>
      <c r="K1508" s="9"/>
      <c r="O1508" s="9"/>
      <c r="P1508" s="77"/>
    </row>
    <row r="1509" spans="6:16" x14ac:dyDescent="0.2">
      <c r="F1509" s="28"/>
      <c r="H1509" s="28"/>
      <c r="I1509" s="28"/>
      <c r="J1509" s="28"/>
      <c r="K1509" s="9"/>
      <c r="O1509" s="9"/>
      <c r="P1509" s="77"/>
    </row>
    <row r="1510" spans="6:16" x14ac:dyDescent="0.2">
      <c r="F1510" s="28"/>
      <c r="H1510" s="28"/>
      <c r="I1510" s="28"/>
      <c r="J1510" s="28"/>
      <c r="K1510" s="9"/>
      <c r="O1510" s="9"/>
      <c r="P1510" s="77"/>
    </row>
    <row r="1511" spans="6:16" x14ac:dyDescent="0.2">
      <c r="F1511" s="28"/>
      <c r="H1511" s="28"/>
      <c r="I1511" s="28"/>
      <c r="J1511" s="28"/>
      <c r="K1511" s="9"/>
      <c r="O1511" s="9"/>
      <c r="P1511" s="77"/>
    </row>
    <row r="1512" spans="6:16" x14ac:dyDescent="0.2">
      <c r="F1512" s="28"/>
      <c r="H1512" s="28"/>
      <c r="I1512" s="28"/>
      <c r="J1512" s="28"/>
      <c r="K1512" s="9"/>
      <c r="O1512" s="9"/>
      <c r="P1512" s="77"/>
    </row>
    <row r="1513" spans="6:16" x14ac:dyDescent="0.2">
      <c r="F1513" s="28"/>
      <c r="H1513" s="28"/>
      <c r="I1513" s="28"/>
      <c r="J1513" s="28"/>
      <c r="K1513" s="9"/>
      <c r="O1513" s="9"/>
      <c r="P1513" s="77"/>
    </row>
    <row r="1514" spans="6:16" x14ac:dyDescent="0.2">
      <c r="F1514" s="28"/>
      <c r="H1514" s="28"/>
      <c r="I1514" s="28"/>
      <c r="J1514" s="28"/>
      <c r="K1514" s="9"/>
      <c r="O1514" s="9"/>
      <c r="P1514" s="77"/>
    </row>
    <row r="1515" spans="6:16" x14ac:dyDescent="0.2">
      <c r="F1515" s="28"/>
      <c r="H1515" s="28"/>
      <c r="I1515" s="28"/>
      <c r="J1515" s="28"/>
      <c r="K1515" s="9"/>
      <c r="O1515" s="9"/>
      <c r="P1515" s="77"/>
    </row>
    <row r="1516" spans="6:16" x14ac:dyDescent="0.2">
      <c r="F1516" s="28"/>
      <c r="H1516" s="28"/>
      <c r="I1516" s="28"/>
      <c r="J1516" s="28"/>
      <c r="K1516" s="9"/>
      <c r="O1516" s="9"/>
      <c r="P1516" s="77"/>
    </row>
    <row r="1517" spans="6:16" x14ac:dyDescent="0.2">
      <c r="F1517" s="28"/>
      <c r="H1517" s="28"/>
      <c r="I1517" s="28"/>
      <c r="J1517" s="28"/>
      <c r="K1517" s="9"/>
      <c r="O1517" s="9"/>
      <c r="P1517" s="77"/>
    </row>
    <row r="1518" spans="6:16" x14ac:dyDescent="0.2">
      <c r="F1518" s="28"/>
      <c r="H1518" s="28"/>
      <c r="I1518" s="28"/>
      <c r="J1518" s="28"/>
      <c r="K1518" s="9"/>
      <c r="O1518" s="9"/>
      <c r="P1518" s="77"/>
    </row>
    <row r="1519" spans="6:16" x14ac:dyDescent="0.2">
      <c r="F1519" s="28"/>
      <c r="H1519" s="28"/>
      <c r="I1519" s="28"/>
      <c r="J1519" s="28"/>
      <c r="K1519" s="9"/>
      <c r="O1519" s="9"/>
      <c r="P1519" s="77"/>
    </row>
    <row r="1520" spans="6:16" x14ac:dyDescent="0.2">
      <c r="F1520" s="28"/>
      <c r="H1520" s="28"/>
      <c r="I1520" s="28"/>
      <c r="J1520" s="28"/>
      <c r="K1520" s="9"/>
      <c r="O1520" s="9"/>
      <c r="P1520" s="77"/>
    </row>
    <row r="1521" spans="6:16" x14ac:dyDescent="0.2">
      <c r="F1521" s="28"/>
      <c r="H1521" s="28"/>
      <c r="I1521" s="28"/>
      <c r="J1521" s="28"/>
      <c r="K1521" s="9"/>
      <c r="O1521" s="9"/>
      <c r="P1521" s="77"/>
    </row>
    <row r="1522" spans="6:16" x14ac:dyDescent="0.2">
      <c r="F1522" s="28"/>
      <c r="H1522" s="28"/>
      <c r="I1522" s="28"/>
      <c r="J1522" s="28"/>
      <c r="K1522" s="9"/>
      <c r="O1522" s="9"/>
      <c r="P1522" s="77"/>
    </row>
    <row r="1523" spans="6:16" x14ac:dyDescent="0.2">
      <c r="F1523" s="28"/>
      <c r="H1523" s="28"/>
      <c r="I1523" s="28"/>
      <c r="J1523" s="28"/>
      <c r="K1523" s="9"/>
      <c r="O1523" s="9"/>
      <c r="P1523" s="77"/>
    </row>
    <row r="1524" spans="6:16" x14ac:dyDescent="0.2">
      <c r="F1524" s="28"/>
      <c r="H1524" s="28"/>
      <c r="I1524" s="28"/>
      <c r="J1524" s="28"/>
      <c r="K1524" s="9"/>
      <c r="O1524" s="9"/>
      <c r="P1524" s="77"/>
    </row>
    <row r="1525" spans="6:16" x14ac:dyDescent="0.2">
      <c r="F1525" s="28"/>
      <c r="H1525" s="28"/>
      <c r="I1525" s="28"/>
      <c r="J1525" s="28"/>
      <c r="K1525" s="9"/>
      <c r="O1525" s="9"/>
      <c r="P1525" s="77"/>
    </row>
    <row r="1526" spans="6:16" x14ac:dyDescent="0.2">
      <c r="F1526" s="28"/>
      <c r="H1526" s="28"/>
      <c r="I1526" s="28"/>
      <c r="J1526" s="28"/>
      <c r="K1526" s="9"/>
      <c r="O1526" s="9"/>
      <c r="P1526" s="77"/>
    </row>
    <row r="1527" spans="6:16" x14ac:dyDescent="0.2">
      <c r="F1527" s="28"/>
      <c r="H1527" s="28"/>
      <c r="I1527" s="28"/>
      <c r="J1527" s="28"/>
      <c r="K1527" s="9"/>
      <c r="O1527" s="9"/>
      <c r="P1527" s="77"/>
    </row>
    <row r="1528" spans="6:16" x14ac:dyDescent="0.2">
      <c r="F1528" s="28"/>
      <c r="H1528" s="28"/>
      <c r="I1528" s="28"/>
      <c r="J1528" s="28"/>
      <c r="K1528" s="9"/>
      <c r="O1528" s="9"/>
      <c r="P1528" s="77"/>
    </row>
    <row r="1529" spans="6:16" x14ac:dyDescent="0.2">
      <c r="F1529" s="28"/>
      <c r="H1529" s="28"/>
      <c r="I1529" s="28"/>
      <c r="J1529" s="28"/>
      <c r="K1529" s="9"/>
      <c r="O1529" s="9"/>
      <c r="P1529" s="77"/>
    </row>
    <row r="1530" spans="6:16" x14ac:dyDescent="0.2">
      <c r="F1530" s="28"/>
      <c r="H1530" s="28"/>
      <c r="I1530" s="28"/>
      <c r="J1530" s="28"/>
      <c r="K1530" s="9"/>
      <c r="O1530" s="9"/>
      <c r="P1530" s="77"/>
    </row>
    <row r="1531" spans="6:16" x14ac:dyDescent="0.2">
      <c r="F1531" s="28"/>
      <c r="H1531" s="28"/>
      <c r="I1531" s="28"/>
      <c r="J1531" s="28"/>
      <c r="K1531" s="9"/>
      <c r="O1531" s="9"/>
      <c r="P1531" s="77"/>
    </row>
    <row r="1532" spans="6:16" x14ac:dyDescent="0.2">
      <c r="F1532" s="28"/>
      <c r="H1532" s="28"/>
      <c r="I1532" s="28"/>
      <c r="J1532" s="28"/>
      <c r="K1532" s="9"/>
      <c r="O1532" s="9"/>
      <c r="P1532" s="77"/>
    </row>
    <row r="1533" spans="6:16" x14ac:dyDescent="0.2">
      <c r="F1533" s="28"/>
      <c r="H1533" s="28"/>
      <c r="I1533" s="28"/>
      <c r="J1533" s="28"/>
      <c r="K1533" s="9"/>
      <c r="O1533" s="9"/>
      <c r="P1533" s="77"/>
    </row>
    <row r="1534" spans="6:16" x14ac:dyDescent="0.2">
      <c r="F1534" s="28"/>
      <c r="H1534" s="28"/>
      <c r="I1534" s="28"/>
      <c r="J1534" s="28"/>
      <c r="K1534" s="9"/>
      <c r="O1534" s="9"/>
      <c r="P1534" s="77"/>
    </row>
    <row r="1535" spans="6:16" x14ac:dyDescent="0.2">
      <c r="F1535" s="28"/>
      <c r="H1535" s="28"/>
      <c r="I1535" s="28"/>
      <c r="J1535" s="28"/>
      <c r="K1535" s="9"/>
      <c r="O1535" s="9"/>
      <c r="P1535" s="77"/>
    </row>
    <row r="1536" spans="6:16" x14ac:dyDescent="0.2">
      <c r="F1536" s="28"/>
      <c r="H1536" s="28"/>
      <c r="I1536" s="28"/>
      <c r="J1536" s="28"/>
      <c r="K1536" s="9"/>
      <c r="O1536" s="9"/>
      <c r="P1536" s="77"/>
    </row>
    <row r="1537" spans="6:16" x14ac:dyDescent="0.2">
      <c r="F1537" s="28"/>
      <c r="H1537" s="28"/>
      <c r="I1537" s="28"/>
      <c r="J1537" s="28"/>
      <c r="K1537" s="9"/>
      <c r="O1537" s="9"/>
      <c r="P1537" s="77"/>
    </row>
    <row r="1538" spans="6:16" x14ac:dyDescent="0.2">
      <c r="F1538" s="28"/>
      <c r="H1538" s="28"/>
      <c r="I1538" s="28"/>
      <c r="J1538" s="28"/>
      <c r="K1538" s="9"/>
      <c r="O1538" s="9"/>
      <c r="P1538" s="77"/>
    </row>
    <row r="1539" spans="6:16" x14ac:dyDescent="0.2">
      <c r="F1539" s="28"/>
      <c r="H1539" s="28"/>
      <c r="I1539" s="28"/>
      <c r="J1539" s="28"/>
      <c r="K1539" s="9"/>
      <c r="O1539" s="9"/>
      <c r="P1539" s="77"/>
    </row>
    <row r="1540" spans="6:16" x14ac:dyDescent="0.2">
      <c r="F1540" s="28"/>
      <c r="H1540" s="28"/>
      <c r="I1540" s="28"/>
      <c r="J1540" s="28"/>
      <c r="K1540" s="9"/>
      <c r="O1540" s="9"/>
      <c r="P1540" s="77"/>
    </row>
    <row r="1541" spans="6:16" x14ac:dyDescent="0.2">
      <c r="F1541" s="28"/>
      <c r="H1541" s="28"/>
      <c r="I1541" s="28"/>
      <c r="J1541" s="28"/>
      <c r="K1541" s="9"/>
      <c r="O1541" s="9"/>
      <c r="P1541" s="77"/>
    </row>
    <row r="1542" spans="6:16" x14ac:dyDescent="0.2">
      <c r="F1542" s="28"/>
      <c r="H1542" s="28"/>
      <c r="I1542" s="28"/>
      <c r="J1542" s="28"/>
      <c r="K1542" s="9"/>
      <c r="O1542" s="9"/>
      <c r="P1542" s="77"/>
    </row>
    <row r="1543" spans="6:16" x14ac:dyDescent="0.2">
      <c r="F1543" s="28"/>
      <c r="H1543" s="28"/>
      <c r="I1543" s="28"/>
      <c r="J1543" s="28"/>
      <c r="K1543" s="9"/>
      <c r="O1543" s="9"/>
      <c r="P1543" s="77"/>
    </row>
    <row r="1544" spans="6:16" x14ac:dyDescent="0.2">
      <c r="F1544" s="28"/>
      <c r="H1544" s="28"/>
      <c r="I1544" s="28"/>
      <c r="J1544" s="28"/>
      <c r="K1544" s="9"/>
      <c r="O1544" s="9"/>
      <c r="P1544" s="77"/>
    </row>
    <row r="1545" spans="6:16" x14ac:dyDescent="0.2">
      <c r="F1545" s="28"/>
      <c r="H1545" s="28"/>
      <c r="I1545" s="28"/>
      <c r="J1545" s="28"/>
      <c r="K1545" s="9"/>
      <c r="O1545" s="9"/>
      <c r="P1545" s="77"/>
    </row>
    <row r="1546" spans="6:16" x14ac:dyDescent="0.2">
      <c r="F1546" s="28"/>
      <c r="H1546" s="28"/>
      <c r="I1546" s="28"/>
      <c r="J1546" s="28"/>
      <c r="K1546" s="9"/>
      <c r="O1546" s="9"/>
      <c r="P1546" s="77"/>
    </row>
    <row r="1547" spans="6:16" x14ac:dyDescent="0.2">
      <c r="F1547" s="28"/>
      <c r="H1547" s="28"/>
      <c r="I1547" s="28"/>
      <c r="J1547" s="28"/>
      <c r="K1547" s="9"/>
      <c r="O1547" s="9"/>
      <c r="P1547" s="77"/>
    </row>
    <row r="1548" spans="6:16" x14ac:dyDescent="0.2">
      <c r="F1548" s="28"/>
      <c r="H1548" s="28"/>
      <c r="I1548" s="28"/>
      <c r="J1548" s="28"/>
      <c r="K1548" s="9"/>
      <c r="O1548" s="9"/>
      <c r="P1548" s="77"/>
    </row>
    <row r="1549" spans="6:16" x14ac:dyDescent="0.2">
      <c r="F1549" s="28"/>
      <c r="H1549" s="28"/>
      <c r="I1549" s="28"/>
      <c r="J1549" s="28"/>
      <c r="K1549" s="9"/>
      <c r="O1549" s="9"/>
      <c r="P1549" s="77"/>
    </row>
    <row r="1550" spans="6:16" x14ac:dyDescent="0.2">
      <c r="F1550" s="28"/>
      <c r="H1550" s="28"/>
      <c r="I1550" s="28"/>
      <c r="J1550" s="28"/>
      <c r="K1550" s="9"/>
      <c r="O1550" s="9"/>
      <c r="P1550" s="77"/>
    </row>
    <row r="1551" spans="6:16" x14ac:dyDescent="0.2">
      <c r="F1551" s="28"/>
      <c r="H1551" s="28"/>
      <c r="I1551" s="28"/>
      <c r="J1551" s="28"/>
      <c r="K1551" s="9"/>
      <c r="O1551" s="9"/>
      <c r="P1551" s="77"/>
    </row>
    <row r="1552" spans="6:16" x14ac:dyDescent="0.2">
      <c r="F1552" s="28"/>
      <c r="H1552" s="28"/>
      <c r="I1552" s="28"/>
      <c r="J1552" s="28"/>
      <c r="K1552" s="9"/>
      <c r="O1552" s="9"/>
      <c r="P1552" s="77"/>
    </row>
    <row r="1553" spans="6:16" x14ac:dyDescent="0.2">
      <c r="F1553" s="28"/>
      <c r="H1553" s="28"/>
      <c r="I1553" s="28"/>
      <c r="J1553" s="28"/>
      <c r="K1553" s="9"/>
      <c r="O1553" s="9"/>
      <c r="P1553" s="77"/>
    </row>
    <row r="1554" spans="6:16" x14ac:dyDescent="0.2">
      <c r="F1554" s="28"/>
      <c r="H1554" s="28"/>
      <c r="I1554" s="28"/>
      <c r="J1554" s="28"/>
      <c r="K1554" s="9"/>
      <c r="O1554" s="9"/>
      <c r="P1554" s="77"/>
    </row>
    <row r="1555" spans="6:16" x14ac:dyDescent="0.2">
      <c r="F1555" s="28"/>
      <c r="H1555" s="28"/>
      <c r="I1555" s="28"/>
      <c r="J1555" s="28"/>
      <c r="K1555" s="9"/>
      <c r="O1555" s="9"/>
      <c r="P1555" s="77"/>
    </row>
    <row r="1556" spans="6:16" x14ac:dyDescent="0.2">
      <c r="F1556" s="28"/>
      <c r="H1556" s="28"/>
      <c r="I1556" s="28"/>
      <c r="J1556" s="28"/>
      <c r="K1556" s="9"/>
      <c r="O1556" s="9"/>
      <c r="P1556" s="77"/>
    </row>
    <row r="1557" spans="6:16" x14ac:dyDescent="0.2">
      <c r="F1557" s="28"/>
      <c r="H1557" s="28"/>
      <c r="I1557" s="28"/>
      <c r="J1557" s="28"/>
      <c r="K1557" s="9"/>
      <c r="O1557" s="9"/>
      <c r="P1557" s="77"/>
    </row>
    <row r="1558" spans="6:16" x14ac:dyDescent="0.2">
      <c r="F1558" s="28"/>
      <c r="H1558" s="28"/>
      <c r="I1558" s="28"/>
      <c r="J1558" s="28"/>
      <c r="K1558" s="9"/>
      <c r="O1558" s="9"/>
      <c r="P1558" s="77"/>
    </row>
    <row r="1559" spans="6:16" x14ac:dyDescent="0.2">
      <c r="F1559" s="28"/>
      <c r="H1559" s="28"/>
      <c r="I1559" s="28"/>
      <c r="J1559" s="28"/>
      <c r="K1559" s="9"/>
      <c r="O1559" s="9"/>
      <c r="P1559" s="77"/>
    </row>
    <row r="1560" spans="6:16" x14ac:dyDescent="0.2">
      <c r="F1560" s="28"/>
      <c r="H1560" s="28"/>
      <c r="I1560" s="28"/>
      <c r="J1560" s="28"/>
      <c r="K1560" s="9"/>
      <c r="O1560" s="9"/>
      <c r="P1560" s="77"/>
    </row>
    <row r="1561" spans="6:16" x14ac:dyDescent="0.2">
      <c r="F1561" s="28"/>
      <c r="H1561" s="28"/>
      <c r="I1561" s="28"/>
      <c r="J1561" s="28"/>
      <c r="K1561" s="9"/>
      <c r="O1561" s="9"/>
      <c r="P1561" s="77"/>
    </row>
    <row r="1562" spans="6:16" x14ac:dyDescent="0.2">
      <c r="F1562" s="28"/>
      <c r="H1562" s="28"/>
      <c r="I1562" s="28"/>
      <c r="J1562" s="28"/>
      <c r="K1562" s="9"/>
      <c r="O1562" s="9"/>
      <c r="P1562" s="77"/>
    </row>
    <row r="1563" spans="6:16" x14ac:dyDescent="0.2">
      <c r="F1563" s="28"/>
      <c r="H1563" s="28"/>
      <c r="I1563" s="28"/>
      <c r="J1563" s="28"/>
      <c r="K1563" s="9"/>
      <c r="O1563" s="9"/>
      <c r="P1563" s="77"/>
    </row>
    <row r="1564" spans="6:16" x14ac:dyDescent="0.2">
      <c r="F1564" s="28"/>
      <c r="H1564" s="28"/>
      <c r="I1564" s="28"/>
      <c r="J1564" s="28"/>
      <c r="K1564" s="9"/>
      <c r="O1564" s="9"/>
      <c r="P1564" s="77"/>
    </row>
    <row r="1565" spans="6:16" x14ac:dyDescent="0.2">
      <c r="F1565" s="28"/>
      <c r="H1565" s="28"/>
      <c r="I1565" s="28"/>
      <c r="J1565" s="28"/>
      <c r="K1565" s="9"/>
      <c r="O1565" s="9"/>
      <c r="P1565" s="77"/>
    </row>
    <row r="1566" spans="6:16" x14ac:dyDescent="0.2">
      <c r="F1566" s="28"/>
      <c r="H1566" s="28"/>
      <c r="I1566" s="28"/>
      <c r="J1566" s="28"/>
      <c r="K1566" s="9"/>
      <c r="O1566" s="9"/>
      <c r="P1566" s="77"/>
    </row>
    <row r="1567" spans="6:16" x14ac:dyDescent="0.2">
      <c r="F1567" s="28"/>
      <c r="H1567" s="28"/>
      <c r="I1567" s="28"/>
      <c r="J1567" s="28"/>
      <c r="K1567" s="9"/>
      <c r="O1567" s="9"/>
      <c r="P1567" s="77"/>
    </row>
    <row r="1568" spans="6:16" x14ac:dyDescent="0.2">
      <c r="F1568" s="28"/>
      <c r="H1568" s="28"/>
      <c r="I1568" s="28"/>
      <c r="J1568" s="28"/>
      <c r="K1568" s="9"/>
      <c r="O1568" s="9"/>
      <c r="P1568" s="77"/>
    </row>
    <row r="1569" spans="6:16" x14ac:dyDescent="0.2">
      <c r="F1569" s="28"/>
      <c r="H1569" s="28"/>
      <c r="I1569" s="28"/>
      <c r="J1569" s="28"/>
      <c r="K1569" s="9"/>
      <c r="O1569" s="9"/>
      <c r="P1569" s="77"/>
    </row>
    <row r="1570" spans="6:16" x14ac:dyDescent="0.2">
      <c r="F1570" s="28"/>
      <c r="H1570" s="28"/>
      <c r="I1570" s="28"/>
      <c r="J1570" s="28"/>
      <c r="K1570" s="9"/>
      <c r="O1570" s="9"/>
      <c r="P1570" s="77"/>
    </row>
    <row r="1571" spans="6:16" x14ac:dyDescent="0.2">
      <c r="F1571" s="28"/>
      <c r="H1571" s="28"/>
      <c r="I1571" s="28"/>
      <c r="J1571" s="28"/>
      <c r="K1571" s="9"/>
      <c r="O1571" s="9"/>
      <c r="P1571" s="77"/>
    </row>
    <row r="1572" spans="6:16" x14ac:dyDescent="0.2">
      <c r="F1572" s="28"/>
      <c r="H1572" s="28"/>
      <c r="I1572" s="28"/>
      <c r="J1572" s="28"/>
      <c r="K1572" s="9"/>
      <c r="O1572" s="9"/>
      <c r="P1572" s="77"/>
    </row>
    <row r="1573" spans="6:16" x14ac:dyDescent="0.2">
      <c r="F1573" s="28"/>
      <c r="H1573" s="28"/>
      <c r="I1573" s="28"/>
      <c r="J1573" s="28"/>
      <c r="K1573" s="9"/>
      <c r="O1573" s="9"/>
      <c r="P1573" s="77"/>
    </row>
    <row r="1574" spans="6:16" x14ac:dyDescent="0.2">
      <c r="F1574" s="28"/>
      <c r="H1574" s="28"/>
      <c r="I1574" s="28"/>
      <c r="J1574" s="28"/>
      <c r="K1574" s="9"/>
      <c r="O1574" s="9"/>
      <c r="P1574" s="77"/>
    </row>
    <row r="1575" spans="6:16" x14ac:dyDescent="0.2">
      <c r="F1575" s="28"/>
      <c r="H1575" s="28"/>
      <c r="I1575" s="28"/>
      <c r="J1575" s="28"/>
      <c r="K1575" s="9"/>
      <c r="O1575" s="9"/>
      <c r="P1575" s="77"/>
    </row>
    <row r="1576" spans="6:16" x14ac:dyDescent="0.2">
      <c r="F1576" s="28"/>
      <c r="H1576" s="28"/>
      <c r="I1576" s="28"/>
      <c r="J1576" s="28"/>
      <c r="K1576" s="9"/>
      <c r="O1576" s="9"/>
      <c r="P1576" s="77"/>
    </row>
    <row r="1577" spans="6:16" x14ac:dyDescent="0.2">
      <c r="F1577" s="28"/>
      <c r="H1577" s="28"/>
      <c r="I1577" s="28"/>
      <c r="J1577" s="28"/>
      <c r="K1577" s="9"/>
      <c r="O1577" s="9"/>
      <c r="P1577" s="77"/>
    </row>
    <row r="1578" spans="6:16" x14ac:dyDescent="0.2">
      <c r="F1578" s="28"/>
      <c r="H1578" s="28"/>
      <c r="I1578" s="28"/>
      <c r="J1578" s="28"/>
      <c r="K1578" s="9"/>
      <c r="O1578" s="9"/>
      <c r="P1578" s="77"/>
    </row>
    <row r="1579" spans="6:16" x14ac:dyDescent="0.2">
      <c r="F1579" s="28"/>
      <c r="H1579" s="28"/>
      <c r="I1579" s="28"/>
      <c r="J1579" s="28"/>
      <c r="K1579" s="9"/>
      <c r="O1579" s="9"/>
      <c r="P1579" s="77"/>
    </row>
    <row r="1580" spans="6:16" x14ac:dyDescent="0.2">
      <c r="F1580" s="28"/>
      <c r="H1580" s="28"/>
      <c r="I1580" s="28"/>
      <c r="J1580" s="28"/>
      <c r="K1580" s="9"/>
      <c r="O1580" s="9"/>
      <c r="P1580" s="77"/>
    </row>
    <row r="1581" spans="6:16" x14ac:dyDescent="0.2">
      <c r="F1581" s="28"/>
      <c r="H1581" s="28"/>
      <c r="I1581" s="28"/>
      <c r="J1581" s="28"/>
      <c r="K1581" s="9"/>
      <c r="O1581" s="9"/>
      <c r="P1581" s="77"/>
    </row>
    <row r="1582" spans="6:16" x14ac:dyDescent="0.2">
      <c r="F1582" s="28"/>
      <c r="H1582" s="28"/>
      <c r="I1582" s="28"/>
      <c r="J1582" s="28"/>
      <c r="K1582" s="9"/>
      <c r="O1582" s="9"/>
      <c r="P1582" s="77"/>
    </row>
    <row r="1583" spans="6:16" x14ac:dyDescent="0.2">
      <c r="F1583" s="28"/>
      <c r="H1583" s="28"/>
      <c r="I1583" s="28"/>
      <c r="J1583" s="28"/>
      <c r="K1583" s="9"/>
      <c r="O1583" s="9"/>
      <c r="P1583" s="77"/>
    </row>
    <row r="1584" spans="6:16" x14ac:dyDescent="0.2">
      <c r="F1584" s="28"/>
      <c r="H1584" s="28"/>
      <c r="I1584" s="28"/>
      <c r="J1584" s="28"/>
      <c r="K1584" s="9"/>
      <c r="O1584" s="9"/>
      <c r="P1584" s="77"/>
    </row>
    <row r="1585" spans="6:16" x14ac:dyDescent="0.2">
      <c r="F1585" s="28"/>
      <c r="H1585" s="28"/>
      <c r="I1585" s="28"/>
      <c r="J1585" s="28"/>
      <c r="K1585" s="9"/>
      <c r="O1585" s="9"/>
      <c r="P1585" s="77"/>
    </row>
    <row r="1586" spans="6:16" x14ac:dyDescent="0.2">
      <c r="F1586" s="28"/>
      <c r="H1586" s="28"/>
      <c r="I1586" s="28"/>
      <c r="J1586" s="28"/>
      <c r="K1586" s="9"/>
      <c r="O1586" s="9"/>
      <c r="P1586" s="77"/>
    </row>
    <row r="1587" spans="6:16" x14ac:dyDescent="0.2">
      <c r="F1587" s="28"/>
      <c r="H1587" s="28"/>
      <c r="I1587" s="28"/>
      <c r="J1587" s="28"/>
      <c r="K1587" s="9"/>
      <c r="O1587" s="9"/>
      <c r="P1587" s="77"/>
    </row>
    <row r="1588" spans="6:16" x14ac:dyDescent="0.2">
      <c r="F1588" s="28"/>
      <c r="H1588" s="28"/>
      <c r="I1588" s="28"/>
      <c r="J1588" s="28"/>
      <c r="K1588" s="9"/>
      <c r="O1588" s="9"/>
      <c r="P1588" s="77"/>
    </row>
    <row r="1589" spans="6:16" x14ac:dyDescent="0.2">
      <c r="F1589" s="28"/>
      <c r="H1589" s="28"/>
      <c r="I1589" s="28"/>
      <c r="J1589" s="28"/>
      <c r="K1589" s="9"/>
      <c r="O1589" s="9"/>
      <c r="P1589" s="77"/>
    </row>
    <row r="1590" spans="6:16" x14ac:dyDescent="0.2">
      <c r="F1590" s="28"/>
      <c r="H1590" s="28"/>
      <c r="I1590" s="28"/>
      <c r="J1590" s="28"/>
      <c r="K1590" s="9"/>
      <c r="O1590" s="9"/>
      <c r="P1590" s="77"/>
    </row>
    <row r="1591" spans="6:16" x14ac:dyDescent="0.2">
      <c r="F1591" s="28"/>
      <c r="H1591" s="28"/>
      <c r="I1591" s="28"/>
      <c r="J1591" s="28"/>
      <c r="K1591" s="9"/>
      <c r="O1591" s="9"/>
      <c r="P1591" s="77"/>
    </row>
    <row r="1592" spans="6:16" x14ac:dyDescent="0.2">
      <c r="F1592" s="28"/>
      <c r="H1592" s="28"/>
      <c r="I1592" s="28"/>
      <c r="J1592" s="28"/>
      <c r="K1592" s="9"/>
      <c r="O1592" s="9"/>
      <c r="P1592" s="77"/>
    </row>
    <row r="1593" spans="6:16" x14ac:dyDescent="0.2">
      <c r="F1593" s="28"/>
      <c r="H1593" s="28"/>
      <c r="I1593" s="28"/>
      <c r="J1593" s="28"/>
      <c r="K1593" s="9"/>
      <c r="O1593" s="9"/>
      <c r="P1593" s="77"/>
    </row>
    <row r="1594" spans="6:16" x14ac:dyDescent="0.2">
      <c r="F1594" s="28"/>
      <c r="H1594" s="28"/>
      <c r="I1594" s="28"/>
      <c r="J1594" s="28"/>
      <c r="K1594" s="9"/>
      <c r="O1594" s="9"/>
      <c r="P1594" s="77"/>
    </row>
    <row r="1595" spans="6:16" x14ac:dyDescent="0.2">
      <c r="F1595" s="28"/>
      <c r="H1595" s="28"/>
      <c r="I1595" s="28"/>
      <c r="J1595" s="28"/>
      <c r="K1595" s="9"/>
      <c r="O1595" s="9"/>
      <c r="P1595" s="77"/>
    </row>
    <row r="1596" spans="6:16" x14ac:dyDescent="0.2">
      <c r="F1596" s="28"/>
      <c r="H1596" s="28"/>
      <c r="I1596" s="28"/>
      <c r="J1596" s="28"/>
      <c r="K1596" s="9"/>
      <c r="O1596" s="9"/>
      <c r="P1596" s="77"/>
    </row>
    <row r="1597" spans="6:16" x14ac:dyDescent="0.2">
      <c r="F1597" s="28"/>
      <c r="H1597" s="28"/>
      <c r="I1597" s="28"/>
      <c r="J1597" s="28"/>
      <c r="K1597" s="9"/>
      <c r="O1597" s="9"/>
      <c r="P1597" s="77"/>
    </row>
    <row r="1598" spans="6:16" x14ac:dyDescent="0.2">
      <c r="F1598" s="28"/>
      <c r="H1598" s="28"/>
      <c r="I1598" s="28"/>
      <c r="J1598" s="28"/>
      <c r="K1598" s="9"/>
      <c r="O1598" s="9"/>
      <c r="P1598" s="77"/>
    </row>
    <row r="1599" spans="6:16" x14ac:dyDescent="0.2">
      <c r="F1599" s="28"/>
      <c r="H1599" s="28"/>
      <c r="I1599" s="28"/>
      <c r="J1599" s="28"/>
      <c r="K1599" s="9"/>
      <c r="O1599" s="9"/>
      <c r="P1599" s="77"/>
    </row>
    <row r="1600" spans="6:16" x14ac:dyDescent="0.2">
      <c r="F1600" s="28"/>
      <c r="H1600" s="28"/>
      <c r="I1600" s="28"/>
      <c r="J1600" s="28"/>
      <c r="K1600" s="9"/>
      <c r="O1600" s="9"/>
      <c r="P1600" s="77"/>
    </row>
    <row r="1601" spans="6:16" x14ac:dyDescent="0.2">
      <c r="F1601" s="28"/>
      <c r="H1601" s="28"/>
      <c r="I1601" s="28"/>
      <c r="J1601" s="28"/>
      <c r="K1601" s="9"/>
      <c r="O1601" s="9"/>
      <c r="P1601" s="77"/>
    </row>
    <row r="1602" spans="6:16" x14ac:dyDescent="0.2">
      <c r="F1602" s="28"/>
      <c r="H1602" s="28"/>
      <c r="I1602" s="28"/>
      <c r="J1602" s="28"/>
      <c r="K1602" s="9"/>
      <c r="O1602" s="9"/>
      <c r="P1602" s="77"/>
    </row>
    <row r="1603" spans="6:16" x14ac:dyDescent="0.2">
      <c r="F1603" s="28"/>
      <c r="H1603" s="28"/>
      <c r="I1603" s="28"/>
      <c r="J1603" s="28"/>
      <c r="K1603" s="9"/>
      <c r="O1603" s="9"/>
      <c r="P1603" s="77"/>
    </row>
    <row r="1604" spans="6:16" x14ac:dyDescent="0.2">
      <c r="F1604" s="28"/>
      <c r="H1604" s="28"/>
      <c r="I1604" s="28"/>
      <c r="J1604" s="28"/>
      <c r="K1604" s="9"/>
      <c r="O1604" s="9"/>
      <c r="P1604" s="77"/>
    </row>
    <row r="1605" spans="6:16" x14ac:dyDescent="0.2">
      <c r="F1605" s="28"/>
      <c r="H1605" s="28"/>
      <c r="I1605" s="28"/>
      <c r="J1605" s="28"/>
      <c r="K1605" s="9"/>
      <c r="O1605" s="9"/>
      <c r="P1605" s="77"/>
    </row>
    <row r="1606" spans="6:16" x14ac:dyDescent="0.2">
      <c r="F1606" s="28"/>
      <c r="H1606" s="28"/>
      <c r="I1606" s="28"/>
      <c r="J1606" s="28"/>
      <c r="K1606" s="9"/>
      <c r="O1606" s="9"/>
      <c r="P1606" s="77"/>
    </row>
    <row r="1607" spans="6:16" x14ac:dyDescent="0.2">
      <c r="F1607" s="28"/>
      <c r="H1607" s="28"/>
      <c r="I1607" s="28"/>
      <c r="J1607" s="28"/>
      <c r="K1607" s="9"/>
      <c r="O1607" s="9"/>
      <c r="P1607" s="77"/>
    </row>
    <row r="1608" spans="6:16" x14ac:dyDescent="0.2">
      <c r="F1608" s="28"/>
      <c r="H1608" s="28"/>
      <c r="I1608" s="28"/>
      <c r="J1608" s="28"/>
      <c r="K1608" s="9"/>
      <c r="O1608" s="9"/>
      <c r="P1608" s="77"/>
    </row>
    <row r="1609" spans="6:16" x14ac:dyDescent="0.2">
      <c r="F1609" s="28"/>
      <c r="H1609" s="28"/>
      <c r="I1609" s="28"/>
      <c r="J1609" s="28"/>
      <c r="K1609" s="9"/>
      <c r="O1609" s="9"/>
      <c r="P1609" s="77"/>
    </row>
    <row r="1610" spans="6:16" x14ac:dyDescent="0.2">
      <c r="F1610" s="28"/>
      <c r="H1610" s="28"/>
      <c r="I1610" s="28"/>
      <c r="J1610" s="28"/>
      <c r="K1610" s="9"/>
      <c r="O1610" s="9"/>
      <c r="P1610" s="77"/>
    </row>
    <row r="1611" spans="6:16" x14ac:dyDescent="0.2">
      <c r="F1611" s="28"/>
      <c r="H1611" s="28"/>
      <c r="I1611" s="28"/>
      <c r="J1611" s="28"/>
      <c r="K1611" s="9"/>
      <c r="O1611" s="9"/>
      <c r="P1611" s="77"/>
    </row>
    <row r="1612" spans="6:16" x14ac:dyDescent="0.2">
      <c r="F1612" s="28"/>
      <c r="H1612" s="28"/>
      <c r="I1612" s="28"/>
      <c r="J1612" s="28"/>
      <c r="K1612" s="9"/>
      <c r="O1612" s="9"/>
      <c r="P1612" s="77"/>
    </row>
    <row r="1613" spans="6:16" x14ac:dyDescent="0.2">
      <c r="F1613" s="28"/>
      <c r="H1613" s="28"/>
      <c r="I1613" s="28"/>
      <c r="J1613" s="28"/>
      <c r="K1613" s="9"/>
      <c r="O1613" s="9"/>
      <c r="P1613" s="77"/>
    </row>
    <row r="1614" spans="6:16" x14ac:dyDescent="0.2">
      <c r="F1614" s="28"/>
      <c r="H1614" s="28"/>
      <c r="I1614" s="28"/>
      <c r="J1614" s="28"/>
      <c r="K1614" s="9"/>
      <c r="O1614" s="9"/>
      <c r="P1614" s="77"/>
    </row>
    <row r="1615" spans="6:16" x14ac:dyDescent="0.2">
      <c r="F1615" s="28"/>
      <c r="H1615" s="28"/>
      <c r="I1615" s="28"/>
      <c r="J1615" s="28"/>
      <c r="K1615" s="9"/>
      <c r="O1615" s="9"/>
      <c r="P1615" s="77"/>
    </row>
    <row r="1616" spans="6:16" x14ac:dyDescent="0.2">
      <c r="F1616" s="28"/>
      <c r="H1616" s="28"/>
      <c r="I1616" s="28"/>
      <c r="J1616" s="28"/>
      <c r="K1616" s="9"/>
      <c r="O1616" s="9"/>
      <c r="P1616" s="77"/>
    </row>
    <row r="1617" spans="6:16" x14ac:dyDescent="0.2">
      <c r="F1617" s="28"/>
      <c r="H1617" s="28"/>
      <c r="I1617" s="28"/>
      <c r="J1617" s="28"/>
      <c r="K1617" s="9"/>
      <c r="O1617" s="9"/>
      <c r="P1617" s="77"/>
    </row>
    <row r="1618" spans="6:16" x14ac:dyDescent="0.2">
      <c r="F1618" s="28"/>
      <c r="H1618" s="28"/>
      <c r="I1618" s="28"/>
      <c r="J1618" s="28"/>
      <c r="K1618" s="9"/>
      <c r="O1618" s="9"/>
      <c r="P1618" s="77"/>
    </row>
    <row r="1619" spans="6:16" x14ac:dyDescent="0.2">
      <c r="F1619" s="28"/>
      <c r="H1619" s="28"/>
      <c r="I1619" s="28"/>
      <c r="J1619" s="28"/>
      <c r="K1619" s="9"/>
      <c r="O1619" s="9"/>
      <c r="P1619" s="77"/>
    </row>
    <row r="1620" spans="6:16" x14ac:dyDescent="0.2">
      <c r="F1620" s="28"/>
      <c r="H1620" s="28"/>
      <c r="I1620" s="28"/>
      <c r="J1620" s="28"/>
      <c r="K1620" s="9"/>
      <c r="O1620" s="9"/>
      <c r="P1620" s="77"/>
    </row>
    <row r="1621" spans="6:16" x14ac:dyDescent="0.2">
      <c r="F1621" s="28"/>
      <c r="H1621" s="28"/>
      <c r="I1621" s="28"/>
      <c r="J1621" s="28"/>
      <c r="K1621" s="9"/>
      <c r="O1621" s="9"/>
      <c r="P1621" s="77"/>
    </row>
    <row r="1622" spans="6:16" x14ac:dyDescent="0.2">
      <c r="F1622" s="28"/>
      <c r="H1622" s="28"/>
      <c r="I1622" s="28"/>
      <c r="J1622" s="28"/>
      <c r="K1622" s="9"/>
      <c r="O1622" s="9"/>
      <c r="P1622" s="77"/>
    </row>
    <row r="1623" spans="6:16" x14ac:dyDescent="0.2">
      <c r="F1623" s="28"/>
      <c r="H1623" s="28"/>
      <c r="I1623" s="28"/>
      <c r="J1623" s="28"/>
      <c r="K1623" s="9"/>
      <c r="O1623" s="9"/>
      <c r="P1623" s="77"/>
    </row>
    <row r="1624" spans="6:16" x14ac:dyDescent="0.2">
      <c r="F1624" s="28"/>
      <c r="H1624" s="28"/>
      <c r="I1624" s="28"/>
      <c r="J1624" s="28"/>
      <c r="K1624" s="9"/>
      <c r="O1624" s="9"/>
      <c r="P1624" s="77"/>
    </row>
    <row r="1625" spans="6:16" x14ac:dyDescent="0.2">
      <c r="F1625" s="28"/>
      <c r="H1625" s="28"/>
      <c r="I1625" s="28"/>
      <c r="J1625" s="28"/>
      <c r="K1625" s="9"/>
      <c r="O1625" s="9"/>
      <c r="P1625" s="77"/>
    </row>
    <row r="1626" spans="6:16" x14ac:dyDescent="0.2">
      <c r="F1626" s="28"/>
      <c r="H1626" s="28"/>
      <c r="I1626" s="28"/>
      <c r="J1626" s="28"/>
      <c r="K1626" s="9"/>
      <c r="O1626" s="9"/>
      <c r="P1626" s="77"/>
    </row>
    <row r="1627" spans="6:16" x14ac:dyDescent="0.2">
      <c r="F1627" s="28"/>
      <c r="H1627" s="28"/>
      <c r="I1627" s="28"/>
      <c r="J1627" s="28"/>
      <c r="K1627" s="9"/>
      <c r="O1627" s="9"/>
      <c r="P1627" s="77"/>
    </row>
    <row r="1628" spans="6:16" x14ac:dyDescent="0.2">
      <c r="F1628" s="28"/>
      <c r="H1628" s="28"/>
      <c r="I1628" s="28"/>
      <c r="J1628" s="28"/>
      <c r="K1628" s="9"/>
      <c r="O1628" s="9"/>
      <c r="P1628" s="77"/>
    </row>
    <row r="1629" spans="6:16" x14ac:dyDescent="0.2">
      <c r="F1629" s="28"/>
      <c r="H1629" s="28"/>
      <c r="I1629" s="28"/>
      <c r="J1629" s="28"/>
      <c r="K1629" s="9"/>
      <c r="O1629" s="9"/>
      <c r="P1629" s="77"/>
    </row>
    <row r="1630" spans="6:16" x14ac:dyDescent="0.2">
      <c r="F1630" s="28"/>
      <c r="H1630" s="28"/>
      <c r="I1630" s="28"/>
      <c r="J1630" s="28"/>
      <c r="K1630" s="9"/>
      <c r="O1630" s="9"/>
      <c r="P1630" s="77"/>
    </row>
    <row r="1631" spans="6:16" x14ac:dyDescent="0.2">
      <c r="F1631" s="28"/>
      <c r="H1631" s="28"/>
      <c r="I1631" s="28"/>
      <c r="J1631" s="28"/>
      <c r="K1631" s="9"/>
      <c r="O1631" s="9"/>
      <c r="P1631" s="77"/>
    </row>
    <row r="1632" spans="6:16" x14ac:dyDescent="0.2">
      <c r="F1632" s="28"/>
      <c r="H1632" s="28"/>
      <c r="I1632" s="28"/>
      <c r="J1632" s="28"/>
      <c r="K1632" s="9"/>
      <c r="O1632" s="9"/>
      <c r="P1632" s="77"/>
    </row>
    <row r="1633" spans="6:16" x14ac:dyDescent="0.2">
      <c r="F1633" s="28"/>
      <c r="H1633" s="28"/>
      <c r="I1633" s="28"/>
      <c r="J1633" s="28"/>
      <c r="K1633" s="9"/>
      <c r="O1633" s="9"/>
      <c r="P1633" s="77"/>
    </row>
    <row r="1634" spans="6:16" x14ac:dyDescent="0.2">
      <c r="F1634" s="28"/>
      <c r="H1634" s="28"/>
      <c r="I1634" s="28"/>
      <c r="J1634" s="28"/>
      <c r="K1634" s="9"/>
      <c r="O1634" s="9"/>
      <c r="P1634" s="77"/>
    </row>
    <row r="1635" spans="6:16" x14ac:dyDescent="0.2">
      <c r="F1635" s="28"/>
      <c r="H1635" s="28"/>
      <c r="I1635" s="28"/>
      <c r="J1635" s="28"/>
      <c r="K1635" s="9"/>
      <c r="O1635" s="9"/>
      <c r="P1635" s="77"/>
    </row>
    <row r="1636" spans="6:16" x14ac:dyDescent="0.2">
      <c r="F1636" s="28"/>
      <c r="H1636" s="28"/>
      <c r="I1636" s="28"/>
      <c r="J1636" s="28"/>
      <c r="K1636" s="9"/>
      <c r="O1636" s="9"/>
      <c r="P1636" s="77"/>
    </row>
    <row r="1637" spans="6:16" x14ac:dyDescent="0.2">
      <c r="F1637" s="28"/>
      <c r="H1637" s="28"/>
      <c r="I1637" s="28"/>
      <c r="J1637" s="28"/>
      <c r="K1637" s="9"/>
      <c r="O1637" s="9"/>
      <c r="P1637" s="77"/>
    </row>
    <row r="1638" spans="6:16" x14ac:dyDescent="0.2">
      <c r="F1638" s="28"/>
      <c r="H1638" s="28"/>
      <c r="I1638" s="28"/>
      <c r="J1638" s="28"/>
      <c r="K1638" s="9"/>
      <c r="O1638" s="9"/>
      <c r="P1638" s="77"/>
    </row>
    <row r="1639" spans="6:16" x14ac:dyDescent="0.2">
      <c r="F1639" s="28"/>
      <c r="H1639" s="28"/>
      <c r="I1639" s="28"/>
      <c r="J1639" s="28"/>
      <c r="K1639" s="9"/>
      <c r="O1639" s="9"/>
      <c r="P1639" s="77"/>
    </row>
    <row r="1640" spans="6:16" x14ac:dyDescent="0.2">
      <c r="F1640" s="28"/>
      <c r="H1640" s="28"/>
      <c r="I1640" s="28"/>
      <c r="J1640" s="28"/>
      <c r="K1640" s="9"/>
      <c r="O1640" s="9"/>
      <c r="P1640" s="77"/>
    </row>
    <row r="1641" spans="6:16" x14ac:dyDescent="0.2">
      <c r="F1641" s="28"/>
      <c r="H1641" s="28"/>
      <c r="I1641" s="28"/>
      <c r="J1641" s="28"/>
      <c r="K1641" s="9"/>
      <c r="O1641" s="9"/>
      <c r="P1641" s="77"/>
    </row>
    <row r="1642" spans="6:16" x14ac:dyDescent="0.2">
      <c r="F1642" s="28"/>
      <c r="H1642" s="28"/>
      <c r="I1642" s="28"/>
      <c r="J1642" s="28"/>
      <c r="K1642" s="9"/>
      <c r="O1642" s="9"/>
      <c r="P1642" s="77"/>
    </row>
    <row r="1643" spans="6:16" x14ac:dyDescent="0.2">
      <c r="F1643" s="28"/>
      <c r="H1643" s="28"/>
      <c r="I1643" s="28"/>
      <c r="J1643" s="28"/>
      <c r="K1643" s="9"/>
      <c r="O1643" s="9"/>
      <c r="P1643" s="77"/>
    </row>
    <row r="1644" spans="6:16" x14ac:dyDescent="0.2">
      <c r="F1644" s="28"/>
      <c r="H1644" s="28"/>
      <c r="I1644" s="28"/>
      <c r="J1644" s="28"/>
      <c r="K1644" s="9"/>
      <c r="O1644" s="9"/>
      <c r="P1644" s="77"/>
    </row>
    <row r="1645" spans="6:16" x14ac:dyDescent="0.2">
      <c r="F1645" s="28"/>
      <c r="H1645" s="28"/>
      <c r="I1645" s="28"/>
      <c r="J1645" s="28"/>
      <c r="K1645" s="9"/>
      <c r="O1645" s="9"/>
      <c r="P1645" s="77"/>
    </row>
    <row r="1646" spans="6:16" x14ac:dyDescent="0.2">
      <c r="F1646" s="28"/>
      <c r="H1646" s="28"/>
      <c r="I1646" s="28"/>
      <c r="J1646" s="28"/>
      <c r="K1646" s="9"/>
      <c r="O1646" s="9"/>
      <c r="P1646" s="77"/>
    </row>
    <row r="1647" spans="6:16" x14ac:dyDescent="0.2">
      <c r="F1647" s="28"/>
      <c r="H1647" s="28"/>
      <c r="I1647" s="28"/>
      <c r="J1647" s="28"/>
      <c r="K1647" s="9"/>
      <c r="O1647" s="9"/>
      <c r="P1647" s="77"/>
    </row>
    <row r="1648" spans="6:16" x14ac:dyDescent="0.2">
      <c r="F1648" s="28"/>
      <c r="H1648" s="28"/>
      <c r="I1648" s="28"/>
      <c r="J1648" s="28"/>
      <c r="K1648" s="9"/>
      <c r="O1648" s="9"/>
      <c r="P1648" s="77"/>
    </row>
    <row r="1649" spans="6:16" x14ac:dyDescent="0.2">
      <c r="F1649" s="28"/>
      <c r="H1649" s="28"/>
      <c r="I1649" s="28"/>
      <c r="J1649" s="28"/>
      <c r="K1649" s="9"/>
      <c r="O1649" s="9"/>
      <c r="P1649" s="77"/>
    </row>
    <row r="1650" spans="6:16" x14ac:dyDescent="0.2">
      <c r="F1650" s="28"/>
      <c r="H1650" s="28"/>
      <c r="I1650" s="28"/>
      <c r="J1650" s="28"/>
      <c r="K1650" s="9"/>
      <c r="O1650" s="9"/>
      <c r="P1650" s="77"/>
    </row>
    <row r="1651" spans="6:16" x14ac:dyDescent="0.2">
      <c r="F1651" s="28"/>
      <c r="H1651" s="28"/>
      <c r="I1651" s="28"/>
      <c r="J1651" s="28"/>
      <c r="K1651" s="9"/>
      <c r="O1651" s="9"/>
      <c r="P1651" s="77"/>
    </row>
    <row r="1652" spans="6:16" x14ac:dyDescent="0.2">
      <c r="F1652" s="28"/>
      <c r="H1652" s="28"/>
      <c r="I1652" s="28"/>
      <c r="J1652" s="28"/>
      <c r="K1652" s="9"/>
      <c r="O1652" s="9"/>
      <c r="P1652" s="77"/>
    </row>
    <row r="1653" spans="6:16" x14ac:dyDescent="0.2">
      <c r="F1653" s="28"/>
      <c r="H1653" s="28"/>
      <c r="I1653" s="28"/>
      <c r="J1653" s="28"/>
      <c r="K1653" s="9"/>
      <c r="O1653" s="9"/>
      <c r="P1653" s="77"/>
    </row>
    <row r="1654" spans="6:16" x14ac:dyDescent="0.2">
      <c r="F1654" s="28"/>
      <c r="H1654" s="28"/>
      <c r="I1654" s="28"/>
      <c r="J1654" s="28"/>
      <c r="K1654" s="9"/>
      <c r="O1654" s="9"/>
      <c r="P1654" s="77"/>
    </row>
    <row r="1655" spans="6:16" x14ac:dyDescent="0.2">
      <c r="F1655" s="28"/>
      <c r="H1655" s="28"/>
      <c r="I1655" s="28"/>
      <c r="J1655" s="28"/>
      <c r="K1655" s="9"/>
      <c r="O1655" s="9"/>
      <c r="P1655" s="77"/>
    </row>
    <row r="1656" spans="6:16" x14ac:dyDescent="0.2">
      <c r="F1656" s="28"/>
      <c r="H1656" s="28"/>
      <c r="I1656" s="28"/>
      <c r="J1656" s="28"/>
      <c r="K1656" s="9"/>
      <c r="O1656" s="9"/>
      <c r="P1656" s="77"/>
    </row>
    <row r="1657" spans="6:16" x14ac:dyDescent="0.2">
      <c r="F1657" s="28"/>
      <c r="H1657" s="28"/>
      <c r="I1657" s="28"/>
      <c r="J1657" s="28"/>
      <c r="K1657" s="9"/>
      <c r="O1657" s="9"/>
      <c r="P1657" s="77"/>
    </row>
    <row r="1658" spans="6:16" x14ac:dyDescent="0.2">
      <c r="F1658" s="28"/>
      <c r="H1658" s="28"/>
      <c r="I1658" s="28"/>
      <c r="J1658" s="28"/>
      <c r="K1658" s="9"/>
      <c r="O1658" s="9"/>
      <c r="P1658" s="77"/>
    </row>
    <row r="1659" spans="6:16" x14ac:dyDescent="0.2">
      <c r="F1659" s="28"/>
      <c r="H1659" s="28"/>
      <c r="I1659" s="28"/>
      <c r="J1659" s="28"/>
      <c r="K1659" s="9"/>
      <c r="O1659" s="9"/>
      <c r="P1659" s="77"/>
    </row>
    <row r="1660" spans="6:16" x14ac:dyDescent="0.2">
      <c r="F1660" s="28"/>
      <c r="H1660" s="28"/>
      <c r="I1660" s="28"/>
      <c r="J1660" s="28"/>
      <c r="K1660" s="9"/>
      <c r="O1660" s="9"/>
      <c r="P1660" s="77"/>
    </row>
    <row r="1661" spans="6:16" x14ac:dyDescent="0.2">
      <c r="F1661" s="28"/>
      <c r="H1661" s="28"/>
      <c r="I1661" s="28"/>
      <c r="J1661" s="28"/>
      <c r="K1661" s="9"/>
      <c r="O1661" s="9"/>
      <c r="P1661" s="77"/>
    </row>
    <row r="1662" spans="6:16" x14ac:dyDescent="0.2">
      <c r="F1662" s="28"/>
      <c r="H1662" s="28"/>
      <c r="I1662" s="28"/>
      <c r="J1662" s="28"/>
      <c r="K1662" s="9"/>
      <c r="O1662" s="9"/>
      <c r="P1662" s="77"/>
    </row>
    <row r="1663" spans="6:16" x14ac:dyDescent="0.2">
      <c r="F1663" s="28"/>
      <c r="H1663" s="28"/>
      <c r="I1663" s="28"/>
      <c r="J1663" s="28"/>
      <c r="K1663" s="9"/>
      <c r="O1663" s="9"/>
      <c r="P1663" s="77"/>
    </row>
    <row r="1664" spans="6:16" x14ac:dyDescent="0.2">
      <c r="F1664" s="28"/>
      <c r="H1664" s="28"/>
      <c r="I1664" s="28"/>
      <c r="J1664" s="28"/>
      <c r="K1664" s="9"/>
      <c r="O1664" s="9"/>
      <c r="P1664" s="77"/>
    </row>
    <row r="1665" spans="6:16" x14ac:dyDescent="0.2">
      <c r="F1665" s="28"/>
      <c r="H1665" s="28"/>
      <c r="I1665" s="28"/>
      <c r="J1665" s="28"/>
      <c r="K1665" s="9"/>
      <c r="O1665" s="9"/>
      <c r="P1665" s="77"/>
    </row>
    <row r="1666" spans="6:16" x14ac:dyDescent="0.2">
      <c r="F1666" s="28"/>
      <c r="H1666" s="28"/>
      <c r="I1666" s="28"/>
      <c r="J1666" s="28"/>
      <c r="K1666" s="9"/>
      <c r="O1666" s="9"/>
      <c r="P1666" s="77"/>
    </row>
    <row r="1667" spans="6:16" x14ac:dyDescent="0.2">
      <c r="F1667" s="28"/>
      <c r="H1667" s="28"/>
      <c r="I1667" s="28"/>
      <c r="J1667" s="28"/>
      <c r="K1667" s="9"/>
      <c r="O1667" s="9"/>
      <c r="P1667" s="77"/>
    </row>
    <row r="1668" spans="6:16" x14ac:dyDescent="0.2">
      <c r="F1668" s="28"/>
      <c r="H1668" s="28"/>
      <c r="I1668" s="28"/>
      <c r="J1668" s="28"/>
      <c r="K1668" s="9"/>
      <c r="O1668" s="9"/>
      <c r="P1668" s="77"/>
    </row>
    <row r="1669" spans="6:16" x14ac:dyDescent="0.2">
      <c r="F1669" s="28"/>
      <c r="H1669" s="28"/>
      <c r="I1669" s="28"/>
      <c r="J1669" s="28"/>
      <c r="K1669" s="9"/>
      <c r="O1669" s="9"/>
      <c r="P1669" s="77"/>
    </row>
    <row r="1670" spans="6:16" x14ac:dyDescent="0.2">
      <c r="F1670" s="28"/>
      <c r="H1670" s="28"/>
      <c r="I1670" s="28"/>
      <c r="J1670" s="28"/>
      <c r="K1670" s="9"/>
      <c r="O1670" s="9"/>
      <c r="P1670" s="77"/>
    </row>
    <row r="1671" spans="6:16" x14ac:dyDescent="0.2">
      <c r="F1671" s="28"/>
      <c r="H1671" s="28"/>
      <c r="I1671" s="28"/>
      <c r="J1671" s="28"/>
      <c r="K1671" s="9"/>
      <c r="O1671" s="9"/>
      <c r="P1671" s="77"/>
    </row>
    <row r="1672" spans="6:16" x14ac:dyDescent="0.2">
      <c r="F1672" s="28"/>
      <c r="H1672" s="28"/>
      <c r="I1672" s="28"/>
      <c r="J1672" s="28"/>
      <c r="K1672" s="9"/>
      <c r="O1672" s="9"/>
      <c r="P1672" s="77"/>
    </row>
    <row r="1673" spans="6:16" x14ac:dyDescent="0.2">
      <c r="F1673" s="28"/>
      <c r="H1673" s="28"/>
      <c r="I1673" s="28"/>
      <c r="J1673" s="28"/>
      <c r="K1673" s="9"/>
      <c r="O1673" s="9"/>
      <c r="P1673" s="77"/>
    </row>
    <row r="1674" spans="6:16" x14ac:dyDescent="0.2">
      <c r="F1674" s="28"/>
      <c r="H1674" s="28"/>
      <c r="I1674" s="28"/>
      <c r="J1674" s="28"/>
      <c r="K1674" s="9"/>
      <c r="O1674" s="9"/>
      <c r="P1674" s="77"/>
    </row>
    <row r="1675" spans="6:16" x14ac:dyDescent="0.2">
      <c r="F1675" s="28"/>
      <c r="H1675" s="28"/>
      <c r="I1675" s="28"/>
      <c r="J1675" s="28"/>
      <c r="K1675" s="9"/>
      <c r="O1675" s="9"/>
      <c r="P1675" s="77"/>
    </row>
    <row r="1676" spans="6:16" x14ac:dyDescent="0.2">
      <c r="F1676" s="28"/>
      <c r="H1676" s="28"/>
      <c r="I1676" s="28"/>
      <c r="J1676" s="28"/>
      <c r="K1676" s="9"/>
      <c r="O1676" s="9"/>
      <c r="P1676" s="77"/>
    </row>
    <row r="1677" spans="6:16" x14ac:dyDescent="0.2">
      <c r="F1677" s="28"/>
      <c r="H1677" s="28"/>
      <c r="I1677" s="28"/>
      <c r="J1677" s="28"/>
      <c r="K1677" s="9"/>
      <c r="O1677" s="9"/>
      <c r="P1677" s="77"/>
    </row>
    <row r="1678" spans="6:16" x14ac:dyDescent="0.2">
      <c r="F1678" s="28"/>
      <c r="H1678" s="28"/>
      <c r="I1678" s="28"/>
      <c r="J1678" s="28"/>
      <c r="K1678" s="9"/>
      <c r="O1678" s="9"/>
      <c r="P1678" s="77"/>
    </row>
    <row r="1679" spans="6:16" x14ac:dyDescent="0.2">
      <c r="F1679" s="28"/>
      <c r="H1679" s="28"/>
      <c r="I1679" s="28"/>
      <c r="J1679" s="28"/>
      <c r="K1679" s="9"/>
      <c r="O1679" s="9"/>
      <c r="P1679" s="77"/>
    </row>
    <row r="1680" spans="6:16" x14ac:dyDescent="0.2">
      <c r="F1680" s="28"/>
      <c r="H1680" s="28"/>
      <c r="I1680" s="28"/>
      <c r="J1680" s="28"/>
      <c r="K1680" s="9"/>
      <c r="O1680" s="9"/>
      <c r="P1680" s="77"/>
    </row>
    <row r="1681" spans="6:16" x14ac:dyDescent="0.2">
      <c r="F1681" s="28"/>
      <c r="H1681" s="28"/>
      <c r="I1681" s="28"/>
      <c r="J1681" s="28"/>
      <c r="K1681" s="9"/>
      <c r="O1681" s="9"/>
      <c r="P1681" s="77"/>
    </row>
    <row r="1682" spans="6:16" x14ac:dyDescent="0.2">
      <c r="F1682" s="28"/>
      <c r="H1682" s="28"/>
      <c r="I1682" s="28"/>
      <c r="J1682" s="28"/>
      <c r="K1682" s="9"/>
      <c r="O1682" s="9"/>
      <c r="P1682" s="77"/>
    </row>
    <row r="1683" spans="6:16" x14ac:dyDescent="0.2">
      <c r="F1683" s="28"/>
      <c r="H1683" s="28"/>
      <c r="I1683" s="28"/>
      <c r="J1683" s="28"/>
      <c r="K1683" s="9"/>
      <c r="O1683" s="9"/>
      <c r="P1683" s="77"/>
    </row>
    <row r="1684" spans="6:16" x14ac:dyDescent="0.2">
      <c r="F1684" s="28"/>
      <c r="H1684" s="28"/>
      <c r="I1684" s="28"/>
      <c r="J1684" s="28"/>
      <c r="K1684" s="9"/>
      <c r="O1684" s="9"/>
      <c r="P1684" s="77"/>
    </row>
    <row r="1685" spans="6:16" x14ac:dyDescent="0.2">
      <c r="F1685" s="28"/>
      <c r="H1685" s="28"/>
      <c r="I1685" s="28"/>
      <c r="J1685" s="28"/>
      <c r="K1685" s="9"/>
      <c r="O1685" s="9"/>
      <c r="P1685" s="77"/>
    </row>
    <row r="1686" spans="6:16" x14ac:dyDescent="0.2">
      <c r="F1686" s="28"/>
      <c r="H1686" s="28"/>
      <c r="I1686" s="28"/>
      <c r="J1686" s="28"/>
      <c r="K1686" s="9"/>
      <c r="O1686" s="9"/>
      <c r="P1686" s="77"/>
    </row>
    <row r="1687" spans="6:16" x14ac:dyDescent="0.2">
      <c r="F1687" s="28"/>
      <c r="H1687" s="28"/>
      <c r="I1687" s="28"/>
      <c r="J1687" s="28"/>
      <c r="K1687" s="9"/>
      <c r="O1687" s="9"/>
      <c r="P1687" s="77"/>
    </row>
    <row r="1688" spans="6:16" x14ac:dyDescent="0.2">
      <c r="F1688" s="28"/>
      <c r="H1688" s="28"/>
      <c r="I1688" s="28"/>
      <c r="J1688" s="28"/>
      <c r="K1688" s="9"/>
      <c r="O1688" s="9"/>
      <c r="P1688" s="77"/>
    </row>
    <row r="1689" spans="6:16" x14ac:dyDescent="0.2">
      <c r="F1689" s="28"/>
      <c r="H1689" s="28"/>
      <c r="I1689" s="28"/>
      <c r="J1689" s="28"/>
      <c r="K1689" s="9"/>
      <c r="O1689" s="9"/>
      <c r="P1689" s="77"/>
    </row>
    <row r="1690" spans="6:16" x14ac:dyDescent="0.2">
      <c r="F1690" s="28"/>
      <c r="H1690" s="28"/>
      <c r="I1690" s="28"/>
      <c r="J1690" s="28"/>
      <c r="K1690" s="9"/>
      <c r="O1690" s="9"/>
      <c r="P1690" s="77"/>
    </row>
    <row r="1691" spans="6:16" x14ac:dyDescent="0.2">
      <c r="F1691" s="28"/>
      <c r="H1691" s="28"/>
      <c r="I1691" s="28"/>
      <c r="J1691" s="28"/>
      <c r="K1691" s="9"/>
      <c r="O1691" s="9"/>
      <c r="P1691" s="77"/>
    </row>
    <row r="1692" spans="6:16" x14ac:dyDescent="0.2">
      <c r="F1692" s="28"/>
      <c r="H1692" s="28"/>
      <c r="I1692" s="28"/>
      <c r="J1692" s="28"/>
      <c r="K1692" s="9"/>
      <c r="O1692" s="9"/>
      <c r="P1692" s="77"/>
    </row>
    <row r="1693" spans="6:16" x14ac:dyDescent="0.2">
      <c r="F1693" s="28"/>
      <c r="H1693" s="28"/>
      <c r="I1693" s="28"/>
      <c r="J1693" s="28"/>
      <c r="K1693" s="9"/>
      <c r="O1693" s="9"/>
      <c r="P1693" s="77"/>
    </row>
    <row r="1694" spans="6:16" x14ac:dyDescent="0.2">
      <c r="F1694" s="28"/>
      <c r="H1694" s="28"/>
      <c r="I1694" s="28"/>
      <c r="J1694" s="28"/>
      <c r="K1694" s="9"/>
      <c r="O1694" s="9"/>
      <c r="P1694" s="77"/>
    </row>
    <row r="1695" spans="6:16" x14ac:dyDescent="0.2">
      <c r="F1695" s="28"/>
      <c r="H1695" s="28"/>
      <c r="I1695" s="28"/>
      <c r="J1695" s="28"/>
      <c r="K1695" s="9"/>
      <c r="O1695" s="9"/>
      <c r="P1695" s="77"/>
    </row>
    <row r="1696" spans="6:16" x14ac:dyDescent="0.2">
      <c r="F1696" s="28"/>
      <c r="H1696" s="28"/>
      <c r="I1696" s="28"/>
      <c r="J1696" s="28"/>
      <c r="K1696" s="9"/>
      <c r="O1696" s="9"/>
      <c r="P1696" s="77"/>
    </row>
    <row r="1697" spans="6:16" x14ac:dyDescent="0.2">
      <c r="F1697" s="28"/>
      <c r="H1697" s="28"/>
      <c r="I1697" s="28"/>
      <c r="J1697" s="28"/>
      <c r="K1697" s="9"/>
      <c r="O1697" s="9"/>
      <c r="P1697" s="77"/>
    </row>
    <row r="1698" spans="6:16" x14ac:dyDescent="0.2">
      <c r="F1698" s="28"/>
      <c r="H1698" s="28"/>
      <c r="I1698" s="28"/>
      <c r="J1698" s="28"/>
      <c r="K1698" s="9"/>
      <c r="O1698" s="9"/>
      <c r="P1698" s="77"/>
    </row>
    <row r="1699" spans="6:16" x14ac:dyDescent="0.2">
      <c r="F1699" s="28"/>
      <c r="H1699" s="28"/>
      <c r="I1699" s="28"/>
      <c r="J1699" s="28"/>
      <c r="K1699" s="9"/>
      <c r="O1699" s="9"/>
      <c r="P1699" s="77"/>
    </row>
    <row r="1700" spans="6:16" x14ac:dyDescent="0.2">
      <c r="F1700" s="28"/>
      <c r="H1700" s="28"/>
      <c r="I1700" s="28"/>
      <c r="J1700" s="28"/>
      <c r="K1700" s="9"/>
      <c r="O1700" s="9"/>
      <c r="P1700" s="77"/>
    </row>
    <row r="1701" spans="6:16" x14ac:dyDescent="0.2">
      <c r="F1701" s="28"/>
      <c r="H1701" s="28"/>
      <c r="I1701" s="28"/>
      <c r="J1701" s="28"/>
      <c r="K1701" s="9"/>
      <c r="O1701" s="9"/>
      <c r="P1701" s="77"/>
    </row>
    <row r="1702" spans="6:16" x14ac:dyDescent="0.2">
      <c r="F1702" s="28"/>
      <c r="H1702" s="28"/>
      <c r="I1702" s="28"/>
      <c r="J1702" s="28"/>
      <c r="K1702" s="9"/>
      <c r="O1702" s="9"/>
      <c r="P1702" s="77"/>
    </row>
    <row r="1703" spans="6:16" x14ac:dyDescent="0.2">
      <c r="F1703" s="28"/>
      <c r="H1703" s="28"/>
      <c r="I1703" s="28"/>
      <c r="J1703" s="28"/>
      <c r="K1703" s="9"/>
      <c r="O1703" s="9"/>
      <c r="P1703" s="77"/>
    </row>
    <row r="1704" spans="6:16" x14ac:dyDescent="0.2">
      <c r="F1704" s="28"/>
      <c r="H1704" s="28"/>
      <c r="I1704" s="28"/>
      <c r="J1704" s="28"/>
      <c r="K1704" s="9"/>
      <c r="O1704" s="9"/>
      <c r="P1704" s="77"/>
    </row>
    <row r="1705" spans="6:16" x14ac:dyDescent="0.2">
      <c r="F1705" s="28"/>
      <c r="H1705" s="28"/>
      <c r="I1705" s="28"/>
      <c r="J1705" s="28"/>
      <c r="K1705" s="9"/>
      <c r="O1705" s="9"/>
      <c r="P1705" s="77"/>
    </row>
    <row r="1706" spans="6:16" x14ac:dyDescent="0.2">
      <c r="F1706" s="28"/>
      <c r="H1706" s="28"/>
      <c r="I1706" s="28"/>
      <c r="J1706" s="28"/>
      <c r="K1706" s="9"/>
      <c r="O1706" s="9"/>
      <c r="P1706" s="77"/>
    </row>
    <row r="1707" spans="6:16" x14ac:dyDescent="0.2">
      <c r="F1707" s="28"/>
      <c r="H1707" s="28"/>
      <c r="I1707" s="28"/>
      <c r="J1707" s="28"/>
      <c r="K1707" s="9"/>
      <c r="O1707" s="9"/>
      <c r="P1707" s="77"/>
    </row>
    <row r="1708" spans="6:16" x14ac:dyDescent="0.2">
      <c r="F1708" s="28"/>
      <c r="H1708" s="28"/>
      <c r="I1708" s="28"/>
      <c r="J1708" s="28"/>
      <c r="K1708" s="9"/>
      <c r="O1708" s="9"/>
      <c r="P1708" s="77"/>
    </row>
    <row r="1709" spans="6:16" x14ac:dyDescent="0.2">
      <c r="F1709" s="28"/>
      <c r="H1709" s="28"/>
      <c r="I1709" s="28"/>
      <c r="J1709" s="28"/>
      <c r="K1709" s="9"/>
      <c r="O1709" s="9"/>
      <c r="P1709" s="77"/>
    </row>
    <row r="1710" spans="6:16" x14ac:dyDescent="0.2">
      <c r="F1710" s="28"/>
      <c r="H1710" s="28"/>
      <c r="I1710" s="28"/>
      <c r="J1710" s="28"/>
      <c r="K1710" s="9"/>
      <c r="O1710" s="9"/>
      <c r="P1710" s="77"/>
    </row>
    <row r="1711" spans="6:16" x14ac:dyDescent="0.2">
      <c r="F1711" s="28"/>
      <c r="H1711" s="28"/>
      <c r="I1711" s="28"/>
      <c r="J1711" s="28"/>
      <c r="K1711" s="9"/>
      <c r="O1711" s="9"/>
      <c r="P1711" s="77"/>
    </row>
    <row r="1712" spans="6:16" x14ac:dyDescent="0.2">
      <c r="F1712" s="28"/>
      <c r="H1712" s="28"/>
      <c r="I1712" s="28"/>
      <c r="J1712" s="28"/>
      <c r="K1712" s="9"/>
      <c r="O1712" s="9"/>
      <c r="P1712" s="77"/>
    </row>
    <row r="1713" spans="6:16" x14ac:dyDescent="0.2">
      <c r="F1713" s="28"/>
      <c r="H1713" s="28"/>
      <c r="I1713" s="28"/>
      <c r="J1713" s="28"/>
      <c r="K1713" s="9"/>
      <c r="O1713" s="9"/>
      <c r="P1713" s="77"/>
    </row>
    <row r="1714" spans="6:16" x14ac:dyDescent="0.2">
      <c r="F1714" s="28"/>
      <c r="H1714" s="28"/>
      <c r="I1714" s="28"/>
      <c r="J1714" s="28"/>
      <c r="K1714" s="9"/>
      <c r="O1714" s="9"/>
      <c r="P1714" s="77"/>
    </row>
    <row r="1715" spans="6:16" x14ac:dyDescent="0.2">
      <c r="F1715" s="28"/>
      <c r="H1715" s="28"/>
      <c r="I1715" s="28"/>
      <c r="J1715" s="28"/>
      <c r="K1715" s="9"/>
      <c r="O1715" s="9"/>
      <c r="P1715" s="77"/>
    </row>
    <row r="1716" spans="6:16" x14ac:dyDescent="0.2">
      <c r="F1716" s="28"/>
      <c r="H1716" s="28"/>
      <c r="I1716" s="28"/>
      <c r="J1716" s="28"/>
      <c r="K1716" s="9"/>
      <c r="O1716" s="9"/>
      <c r="P1716" s="77"/>
    </row>
    <row r="1717" spans="6:16" x14ac:dyDescent="0.2">
      <c r="F1717" s="28"/>
      <c r="H1717" s="28"/>
      <c r="I1717" s="28"/>
      <c r="J1717" s="28"/>
      <c r="K1717" s="9"/>
      <c r="O1717" s="9"/>
      <c r="P1717" s="77"/>
    </row>
    <row r="1718" spans="6:16" x14ac:dyDescent="0.2">
      <c r="F1718" s="28"/>
      <c r="H1718" s="28"/>
      <c r="I1718" s="28"/>
      <c r="J1718" s="28"/>
      <c r="K1718" s="9"/>
      <c r="O1718" s="9"/>
      <c r="P1718" s="77"/>
    </row>
    <row r="1719" spans="6:16" x14ac:dyDescent="0.2">
      <c r="F1719" s="28"/>
      <c r="H1719" s="28"/>
      <c r="I1719" s="28"/>
      <c r="J1719" s="28"/>
      <c r="K1719" s="9"/>
      <c r="O1719" s="9"/>
      <c r="P1719" s="77"/>
    </row>
    <row r="1720" spans="6:16" x14ac:dyDescent="0.2">
      <c r="F1720" s="28"/>
      <c r="H1720" s="28"/>
      <c r="I1720" s="28"/>
      <c r="J1720" s="28"/>
      <c r="K1720" s="9"/>
      <c r="O1720" s="9"/>
      <c r="P1720" s="77"/>
    </row>
    <row r="1721" spans="6:16" x14ac:dyDescent="0.2">
      <c r="F1721" s="28"/>
      <c r="H1721" s="28"/>
      <c r="I1721" s="28"/>
      <c r="J1721" s="28"/>
      <c r="K1721" s="9"/>
      <c r="O1721" s="9"/>
      <c r="P1721" s="77"/>
    </row>
    <row r="1722" spans="6:16" x14ac:dyDescent="0.2">
      <c r="F1722" s="28"/>
      <c r="H1722" s="28"/>
      <c r="I1722" s="28"/>
      <c r="J1722" s="28"/>
      <c r="K1722" s="9"/>
      <c r="O1722" s="9"/>
      <c r="P1722" s="77"/>
    </row>
    <row r="1723" spans="6:16" x14ac:dyDescent="0.2">
      <c r="F1723" s="28"/>
      <c r="H1723" s="28"/>
      <c r="I1723" s="28"/>
      <c r="J1723" s="28"/>
      <c r="K1723" s="9"/>
      <c r="O1723" s="9"/>
      <c r="P1723" s="77"/>
    </row>
    <row r="1724" spans="6:16" x14ac:dyDescent="0.2">
      <c r="F1724" s="28"/>
      <c r="H1724" s="28"/>
      <c r="I1724" s="28"/>
      <c r="J1724" s="28"/>
      <c r="K1724" s="9"/>
      <c r="O1724" s="9"/>
      <c r="P1724" s="77"/>
    </row>
    <row r="1725" spans="6:16" x14ac:dyDescent="0.2">
      <c r="F1725" s="28"/>
      <c r="H1725" s="28"/>
      <c r="I1725" s="28"/>
      <c r="J1725" s="28"/>
      <c r="K1725" s="9"/>
      <c r="O1725" s="9"/>
      <c r="P1725" s="77"/>
    </row>
    <row r="1726" spans="6:16" x14ac:dyDescent="0.2">
      <c r="F1726" s="28"/>
      <c r="H1726" s="28"/>
      <c r="I1726" s="28"/>
      <c r="J1726" s="28"/>
      <c r="K1726" s="9"/>
      <c r="O1726" s="9"/>
      <c r="P1726" s="77"/>
    </row>
    <row r="1727" spans="6:16" x14ac:dyDescent="0.2">
      <c r="F1727" s="28"/>
      <c r="H1727" s="28"/>
      <c r="I1727" s="28"/>
      <c r="J1727" s="28"/>
      <c r="K1727" s="9"/>
      <c r="O1727" s="9"/>
      <c r="P1727" s="77"/>
    </row>
    <row r="1728" spans="6:16" x14ac:dyDescent="0.2">
      <c r="F1728" s="28"/>
      <c r="H1728" s="28"/>
      <c r="I1728" s="28"/>
      <c r="J1728" s="28"/>
      <c r="K1728" s="9"/>
      <c r="O1728" s="9"/>
      <c r="P1728" s="77"/>
    </row>
    <row r="1729" spans="6:16" x14ac:dyDescent="0.2">
      <c r="F1729" s="28"/>
      <c r="H1729" s="28"/>
      <c r="I1729" s="28"/>
      <c r="J1729" s="28"/>
      <c r="K1729" s="9"/>
      <c r="O1729" s="9"/>
      <c r="P1729" s="77"/>
    </row>
    <row r="1730" spans="6:16" x14ac:dyDescent="0.2">
      <c r="F1730" s="28"/>
      <c r="H1730" s="28"/>
      <c r="I1730" s="28"/>
      <c r="J1730" s="28"/>
      <c r="K1730" s="9"/>
      <c r="O1730" s="9"/>
      <c r="P1730" s="77"/>
    </row>
    <row r="1731" spans="6:16" x14ac:dyDescent="0.2">
      <c r="F1731" s="28"/>
      <c r="H1731" s="28"/>
      <c r="I1731" s="28"/>
      <c r="J1731" s="28"/>
      <c r="K1731" s="9"/>
      <c r="O1731" s="9"/>
      <c r="P1731" s="77"/>
    </row>
    <row r="1732" spans="6:16" x14ac:dyDescent="0.2">
      <c r="F1732" s="28"/>
      <c r="H1732" s="28"/>
      <c r="I1732" s="28"/>
      <c r="J1732" s="28"/>
      <c r="K1732" s="9"/>
      <c r="O1732" s="9"/>
      <c r="P1732" s="77"/>
    </row>
    <row r="1733" spans="6:16" x14ac:dyDescent="0.2">
      <c r="F1733" s="28"/>
      <c r="H1733" s="28"/>
      <c r="I1733" s="28"/>
      <c r="J1733" s="28"/>
      <c r="K1733" s="9"/>
      <c r="O1733" s="9"/>
      <c r="P1733" s="77"/>
    </row>
    <row r="1734" spans="6:16" x14ac:dyDescent="0.2">
      <c r="F1734" s="28"/>
      <c r="H1734" s="28"/>
      <c r="I1734" s="28"/>
      <c r="J1734" s="28"/>
      <c r="K1734" s="9"/>
      <c r="O1734" s="9"/>
      <c r="P1734" s="77"/>
    </row>
    <row r="1735" spans="6:16" x14ac:dyDescent="0.2">
      <c r="F1735" s="28"/>
      <c r="H1735" s="28"/>
      <c r="I1735" s="28"/>
      <c r="J1735" s="28"/>
      <c r="K1735" s="9"/>
      <c r="O1735" s="9"/>
      <c r="P1735" s="77"/>
    </row>
    <row r="1736" spans="6:16" x14ac:dyDescent="0.2">
      <c r="F1736" s="28"/>
      <c r="H1736" s="28"/>
      <c r="I1736" s="28"/>
      <c r="J1736" s="28"/>
      <c r="K1736" s="9"/>
      <c r="O1736" s="9"/>
      <c r="P1736" s="77"/>
    </row>
    <row r="1737" spans="6:16" x14ac:dyDescent="0.2">
      <c r="F1737" s="28"/>
      <c r="H1737" s="28"/>
      <c r="I1737" s="28"/>
      <c r="J1737" s="28"/>
      <c r="K1737" s="9"/>
      <c r="O1737" s="9"/>
      <c r="P1737" s="77"/>
    </row>
    <row r="1738" spans="6:16" x14ac:dyDescent="0.2">
      <c r="F1738" s="28"/>
      <c r="H1738" s="28"/>
      <c r="I1738" s="28"/>
      <c r="J1738" s="28"/>
      <c r="K1738" s="9"/>
      <c r="O1738" s="9"/>
      <c r="P1738" s="77"/>
    </row>
    <row r="1739" spans="6:16" x14ac:dyDescent="0.2">
      <c r="F1739" s="28"/>
      <c r="H1739" s="28"/>
      <c r="I1739" s="28"/>
      <c r="J1739" s="28"/>
      <c r="K1739" s="9"/>
      <c r="O1739" s="9"/>
      <c r="P1739" s="77"/>
    </row>
    <row r="1740" spans="6:16" x14ac:dyDescent="0.2">
      <c r="F1740" s="28"/>
      <c r="H1740" s="28"/>
      <c r="I1740" s="28"/>
      <c r="J1740" s="28"/>
      <c r="K1740" s="9"/>
      <c r="O1740" s="9"/>
      <c r="P1740" s="77"/>
    </row>
    <row r="1741" spans="6:16" x14ac:dyDescent="0.2">
      <c r="F1741" s="28"/>
      <c r="H1741" s="28"/>
      <c r="I1741" s="28"/>
      <c r="J1741" s="28"/>
      <c r="K1741" s="9"/>
      <c r="O1741" s="9"/>
      <c r="P1741" s="77"/>
    </row>
    <row r="1742" spans="6:16" x14ac:dyDescent="0.2">
      <c r="F1742" s="28"/>
      <c r="H1742" s="28"/>
      <c r="I1742" s="28"/>
      <c r="J1742" s="28"/>
      <c r="K1742" s="9"/>
      <c r="O1742" s="9"/>
      <c r="P1742" s="77"/>
    </row>
    <row r="1743" spans="6:16" x14ac:dyDescent="0.2">
      <c r="F1743" s="28"/>
      <c r="H1743" s="28"/>
      <c r="I1743" s="28"/>
      <c r="J1743" s="28"/>
      <c r="K1743" s="9"/>
      <c r="O1743" s="9"/>
      <c r="P1743" s="77"/>
    </row>
    <row r="1744" spans="6:16" x14ac:dyDescent="0.2">
      <c r="F1744" s="28"/>
      <c r="H1744" s="28"/>
      <c r="I1744" s="28"/>
      <c r="J1744" s="28"/>
      <c r="K1744" s="9"/>
      <c r="O1744" s="9"/>
      <c r="P1744" s="77"/>
    </row>
    <row r="1745" spans="6:16" x14ac:dyDescent="0.2">
      <c r="F1745" s="28"/>
      <c r="H1745" s="28"/>
      <c r="I1745" s="28"/>
      <c r="J1745" s="28"/>
      <c r="K1745" s="9"/>
      <c r="O1745" s="9"/>
      <c r="P1745" s="77"/>
    </row>
    <row r="1746" spans="6:16" x14ac:dyDescent="0.2">
      <c r="F1746" s="28"/>
      <c r="H1746" s="28"/>
      <c r="I1746" s="28"/>
      <c r="J1746" s="28"/>
      <c r="K1746" s="9"/>
      <c r="O1746" s="9"/>
      <c r="P1746" s="77"/>
    </row>
    <row r="1747" spans="6:16" x14ac:dyDescent="0.2">
      <c r="F1747" s="28"/>
      <c r="H1747" s="28"/>
      <c r="I1747" s="28"/>
      <c r="J1747" s="28"/>
      <c r="K1747" s="9"/>
      <c r="O1747" s="9"/>
      <c r="P1747" s="77"/>
    </row>
    <row r="1748" spans="6:16" x14ac:dyDescent="0.2">
      <c r="F1748" s="28"/>
      <c r="H1748" s="28"/>
      <c r="I1748" s="28"/>
      <c r="J1748" s="28"/>
      <c r="K1748" s="9"/>
      <c r="O1748" s="9"/>
      <c r="P1748" s="77"/>
    </row>
    <row r="1749" spans="6:16" x14ac:dyDescent="0.2">
      <c r="F1749" s="28"/>
      <c r="H1749" s="28"/>
      <c r="I1749" s="28"/>
      <c r="J1749" s="28"/>
      <c r="K1749" s="9"/>
      <c r="O1749" s="9"/>
      <c r="P1749" s="77"/>
    </row>
    <row r="1750" spans="6:16" x14ac:dyDescent="0.2">
      <c r="F1750" s="28"/>
      <c r="H1750" s="28"/>
      <c r="I1750" s="28"/>
      <c r="J1750" s="28"/>
      <c r="K1750" s="9"/>
      <c r="O1750" s="9"/>
      <c r="P1750" s="77"/>
    </row>
    <row r="1751" spans="6:16" x14ac:dyDescent="0.2">
      <c r="F1751" s="28"/>
      <c r="H1751" s="28"/>
      <c r="I1751" s="28"/>
      <c r="J1751" s="28"/>
      <c r="K1751" s="9"/>
      <c r="O1751" s="9"/>
      <c r="P1751" s="77"/>
    </row>
    <row r="1752" spans="6:16" x14ac:dyDescent="0.2">
      <c r="F1752" s="28"/>
      <c r="H1752" s="28"/>
      <c r="I1752" s="28"/>
      <c r="J1752" s="28"/>
      <c r="K1752" s="9"/>
      <c r="O1752" s="9"/>
      <c r="P1752" s="77"/>
    </row>
    <row r="1753" spans="6:16" x14ac:dyDescent="0.2">
      <c r="F1753" s="28"/>
      <c r="H1753" s="28"/>
      <c r="I1753" s="28"/>
      <c r="J1753" s="28"/>
      <c r="K1753" s="9"/>
      <c r="O1753" s="9"/>
      <c r="P1753" s="77"/>
    </row>
    <row r="1754" spans="6:16" x14ac:dyDescent="0.2">
      <c r="F1754" s="28"/>
      <c r="H1754" s="28"/>
      <c r="I1754" s="28"/>
      <c r="J1754" s="28"/>
      <c r="K1754" s="9"/>
      <c r="O1754" s="9"/>
      <c r="P1754" s="77"/>
    </row>
    <row r="1755" spans="6:16" x14ac:dyDescent="0.2">
      <c r="F1755" s="28"/>
      <c r="H1755" s="28"/>
      <c r="I1755" s="28"/>
      <c r="J1755" s="28"/>
      <c r="K1755" s="9"/>
      <c r="O1755" s="9"/>
      <c r="P1755" s="77"/>
    </row>
    <row r="1756" spans="6:16" x14ac:dyDescent="0.2">
      <c r="F1756" s="28"/>
      <c r="H1756" s="28"/>
      <c r="I1756" s="28"/>
      <c r="J1756" s="28"/>
      <c r="K1756" s="9"/>
      <c r="O1756" s="9"/>
      <c r="P1756" s="77"/>
    </row>
    <row r="1757" spans="6:16" x14ac:dyDescent="0.2">
      <c r="F1757" s="28"/>
      <c r="H1757" s="28"/>
      <c r="I1757" s="28"/>
      <c r="J1757" s="28"/>
      <c r="K1757" s="9"/>
      <c r="O1757" s="9"/>
      <c r="P1757" s="77"/>
    </row>
    <row r="1758" spans="6:16" x14ac:dyDescent="0.2">
      <c r="F1758" s="28"/>
      <c r="H1758" s="28"/>
      <c r="I1758" s="28"/>
      <c r="J1758" s="28"/>
      <c r="K1758" s="9"/>
      <c r="O1758" s="9"/>
      <c r="P1758" s="77"/>
    </row>
    <row r="1759" spans="6:16" x14ac:dyDescent="0.2">
      <c r="F1759" s="28"/>
      <c r="H1759" s="28"/>
      <c r="I1759" s="28"/>
      <c r="J1759" s="28"/>
      <c r="K1759" s="9"/>
      <c r="O1759" s="9"/>
      <c r="P1759" s="77"/>
    </row>
    <row r="1760" spans="6:16" x14ac:dyDescent="0.2">
      <c r="F1760" s="28"/>
      <c r="H1760" s="28"/>
      <c r="I1760" s="28"/>
      <c r="J1760" s="28"/>
      <c r="K1760" s="9"/>
      <c r="O1760" s="9"/>
      <c r="P1760" s="77"/>
    </row>
    <row r="1761" spans="6:16" x14ac:dyDescent="0.2">
      <c r="F1761" s="28"/>
      <c r="H1761" s="28"/>
      <c r="I1761" s="28"/>
      <c r="J1761" s="28"/>
      <c r="K1761" s="9"/>
      <c r="O1761" s="9"/>
      <c r="P1761" s="77"/>
    </row>
    <row r="1762" spans="6:16" x14ac:dyDescent="0.2">
      <c r="F1762" s="28"/>
      <c r="H1762" s="28"/>
      <c r="I1762" s="28"/>
      <c r="J1762" s="28"/>
      <c r="K1762" s="9"/>
      <c r="O1762" s="9"/>
      <c r="P1762" s="77"/>
    </row>
    <row r="1763" spans="6:16" x14ac:dyDescent="0.2">
      <c r="F1763" s="28"/>
      <c r="H1763" s="28"/>
      <c r="I1763" s="28"/>
      <c r="J1763" s="28"/>
      <c r="K1763" s="9"/>
      <c r="O1763" s="9"/>
      <c r="P1763" s="77"/>
    </row>
    <row r="1764" spans="6:16" x14ac:dyDescent="0.2">
      <c r="F1764" s="28"/>
      <c r="H1764" s="28"/>
      <c r="I1764" s="28"/>
      <c r="J1764" s="28"/>
      <c r="K1764" s="9"/>
      <c r="O1764" s="9"/>
      <c r="P1764" s="77"/>
    </row>
    <row r="1765" spans="6:16" x14ac:dyDescent="0.2">
      <c r="F1765" s="28"/>
      <c r="H1765" s="28"/>
      <c r="I1765" s="28"/>
      <c r="J1765" s="28"/>
      <c r="K1765" s="9"/>
      <c r="O1765" s="9"/>
      <c r="P1765" s="77"/>
    </row>
    <row r="1766" spans="6:16" x14ac:dyDescent="0.2">
      <c r="F1766" s="28"/>
      <c r="H1766" s="28"/>
      <c r="I1766" s="28"/>
      <c r="J1766" s="28"/>
      <c r="K1766" s="9"/>
      <c r="O1766" s="9"/>
      <c r="P1766" s="77"/>
    </row>
    <row r="1767" spans="6:16" x14ac:dyDescent="0.2">
      <c r="F1767" s="28"/>
      <c r="H1767" s="28"/>
      <c r="I1767" s="28"/>
      <c r="J1767" s="28"/>
      <c r="K1767" s="9"/>
      <c r="O1767" s="9"/>
      <c r="P1767" s="77"/>
    </row>
    <row r="1768" spans="6:16" x14ac:dyDescent="0.2">
      <c r="F1768" s="28"/>
      <c r="H1768" s="28"/>
      <c r="I1768" s="28"/>
      <c r="J1768" s="28"/>
      <c r="K1768" s="9"/>
      <c r="O1768" s="9"/>
      <c r="P1768" s="77"/>
    </row>
    <row r="1769" spans="6:16" x14ac:dyDescent="0.2">
      <c r="F1769" s="28"/>
      <c r="H1769" s="28"/>
      <c r="I1769" s="28"/>
      <c r="J1769" s="28"/>
      <c r="K1769" s="9"/>
      <c r="O1769" s="9"/>
      <c r="P1769" s="77"/>
    </row>
    <row r="1770" spans="6:16" x14ac:dyDescent="0.2">
      <c r="F1770" s="28"/>
      <c r="H1770" s="28"/>
      <c r="I1770" s="28"/>
      <c r="J1770" s="28"/>
      <c r="K1770" s="9"/>
      <c r="O1770" s="9"/>
      <c r="P1770" s="77"/>
    </row>
    <row r="1771" spans="6:16" x14ac:dyDescent="0.2">
      <c r="F1771" s="28"/>
      <c r="H1771" s="28"/>
      <c r="I1771" s="28"/>
      <c r="J1771" s="28"/>
      <c r="K1771" s="9"/>
      <c r="O1771" s="9"/>
      <c r="P1771" s="77"/>
    </row>
    <row r="1772" spans="6:16" x14ac:dyDescent="0.2">
      <c r="F1772" s="28"/>
      <c r="H1772" s="28"/>
      <c r="I1772" s="28"/>
      <c r="J1772" s="28"/>
      <c r="K1772" s="9"/>
      <c r="O1772" s="9"/>
      <c r="P1772" s="77"/>
    </row>
    <row r="1773" spans="6:16" x14ac:dyDescent="0.2">
      <c r="F1773" s="28"/>
      <c r="H1773" s="28"/>
      <c r="I1773" s="28"/>
      <c r="J1773" s="28"/>
      <c r="K1773" s="9"/>
      <c r="O1773" s="9"/>
      <c r="P1773" s="77"/>
    </row>
    <row r="1774" spans="6:16" x14ac:dyDescent="0.2">
      <c r="F1774" s="28"/>
      <c r="H1774" s="28"/>
      <c r="I1774" s="28"/>
      <c r="J1774" s="28"/>
      <c r="K1774" s="9"/>
      <c r="O1774" s="9"/>
      <c r="P1774" s="77"/>
    </row>
    <row r="1775" spans="6:16" x14ac:dyDescent="0.2">
      <c r="F1775" s="28"/>
      <c r="H1775" s="28"/>
      <c r="I1775" s="28"/>
      <c r="J1775" s="28"/>
      <c r="K1775" s="9"/>
      <c r="O1775" s="9"/>
      <c r="P1775" s="77"/>
    </row>
    <row r="1776" spans="6:16" x14ac:dyDescent="0.2">
      <c r="F1776" s="28"/>
      <c r="H1776" s="28"/>
      <c r="I1776" s="28"/>
      <c r="J1776" s="28"/>
      <c r="K1776" s="9"/>
      <c r="O1776" s="9"/>
      <c r="P1776" s="77"/>
    </row>
    <row r="1777" spans="6:16" x14ac:dyDescent="0.2">
      <c r="F1777" s="28"/>
      <c r="H1777" s="28"/>
      <c r="I1777" s="28"/>
      <c r="J1777" s="28"/>
      <c r="K1777" s="9"/>
      <c r="O1777" s="9"/>
      <c r="P1777" s="77"/>
    </row>
    <row r="1778" spans="6:16" x14ac:dyDescent="0.2">
      <c r="F1778" s="28"/>
      <c r="H1778" s="28"/>
      <c r="I1778" s="28"/>
      <c r="J1778" s="28"/>
      <c r="K1778" s="9"/>
      <c r="O1778" s="9"/>
      <c r="P1778" s="77"/>
    </row>
    <row r="1779" spans="6:16" x14ac:dyDescent="0.2">
      <c r="F1779" s="28"/>
      <c r="H1779" s="28"/>
      <c r="I1779" s="28"/>
      <c r="J1779" s="28"/>
      <c r="K1779" s="9"/>
      <c r="O1779" s="9"/>
      <c r="P1779" s="77"/>
    </row>
    <row r="1780" spans="6:16" x14ac:dyDescent="0.2">
      <c r="F1780" s="28"/>
      <c r="H1780" s="28"/>
      <c r="I1780" s="28"/>
      <c r="J1780" s="28"/>
      <c r="K1780" s="9"/>
      <c r="O1780" s="9"/>
      <c r="P1780" s="77"/>
    </row>
    <row r="1781" spans="6:16" x14ac:dyDescent="0.2">
      <c r="F1781" s="28"/>
      <c r="H1781" s="28"/>
      <c r="I1781" s="28"/>
      <c r="J1781" s="28"/>
      <c r="K1781" s="9"/>
      <c r="O1781" s="9"/>
      <c r="P1781" s="77"/>
    </row>
    <row r="1782" spans="6:16" x14ac:dyDescent="0.2">
      <c r="F1782" s="28"/>
      <c r="H1782" s="28"/>
      <c r="I1782" s="28"/>
      <c r="J1782" s="28"/>
      <c r="K1782" s="9"/>
      <c r="O1782" s="9"/>
      <c r="P1782" s="77"/>
    </row>
    <row r="1783" spans="6:16" x14ac:dyDescent="0.2">
      <c r="F1783" s="28"/>
      <c r="H1783" s="28"/>
      <c r="I1783" s="28"/>
      <c r="J1783" s="28"/>
      <c r="K1783" s="9"/>
      <c r="O1783" s="9"/>
      <c r="P1783" s="77"/>
    </row>
    <row r="1784" spans="6:16" x14ac:dyDescent="0.2">
      <c r="F1784" s="28"/>
      <c r="H1784" s="28"/>
      <c r="I1784" s="28"/>
      <c r="J1784" s="28"/>
      <c r="K1784" s="9"/>
      <c r="O1784" s="9"/>
      <c r="P1784" s="77"/>
    </row>
    <row r="1785" spans="6:16" x14ac:dyDescent="0.2">
      <c r="F1785" s="28"/>
      <c r="H1785" s="28"/>
      <c r="I1785" s="28"/>
      <c r="J1785" s="28"/>
      <c r="K1785" s="9"/>
      <c r="O1785" s="9"/>
      <c r="P1785" s="77"/>
    </row>
    <row r="1786" spans="6:16" x14ac:dyDescent="0.2">
      <c r="F1786" s="28"/>
      <c r="H1786" s="28"/>
      <c r="I1786" s="28"/>
      <c r="J1786" s="28"/>
      <c r="K1786" s="9"/>
      <c r="O1786" s="9"/>
      <c r="P1786" s="77"/>
    </row>
    <row r="1787" spans="6:16" x14ac:dyDescent="0.2">
      <c r="F1787" s="28"/>
      <c r="H1787" s="28"/>
      <c r="I1787" s="28"/>
      <c r="J1787" s="28"/>
      <c r="K1787" s="9"/>
      <c r="O1787" s="9"/>
      <c r="P1787" s="77"/>
    </row>
    <row r="1788" spans="6:16" x14ac:dyDescent="0.2">
      <c r="F1788" s="28"/>
      <c r="H1788" s="28"/>
      <c r="I1788" s="28"/>
      <c r="J1788" s="28"/>
      <c r="K1788" s="9"/>
      <c r="O1788" s="9"/>
      <c r="P1788" s="77"/>
    </row>
    <row r="1789" spans="6:16" x14ac:dyDescent="0.2">
      <c r="F1789" s="28"/>
      <c r="H1789" s="28"/>
      <c r="I1789" s="28"/>
      <c r="J1789" s="28"/>
      <c r="K1789" s="9"/>
      <c r="O1789" s="9"/>
      <c r="P1789" s="77"/>
    </row>
    <row r="1790" spans="6:16" x14ac:dyDescent="0.2">
      <c r="F1790" s="28"/>
      <c r="H1790" s="28"/>
      <c r="I1790" s="28"/>
      <c r="J1790" s="28"/>
      <c r="K1790" s="9"/>
      <c r="O1790" s="9"/>
      <c r="P1790" s="77"/>
    </row>
    <row r="1791" spans="6:16" x14ac:dyDescent="0.2">
      <c r="F1791" s="28"/>
      <c r="H1791" s="28"/>
      <c r="I1791" s="28"/>
      <c r="J1791" s="28"/>
      <c r="K1791" s="9"/>
      <c r="O1791" s="9"/>
      <c r="P1791" s="77"/>
    </row>
    <row r="1792" spans="6:16" x14ac:dyDescent="0.2">
      <c r="F1792" s="28"/>
      <c r="H1792" s="28"/>
      <c r="I1792" s="28"/>
      <c r="J1792" s="28"/>
      <c r="K1792" s="9"/>
      <c r="O1792" s="9"/>
      <c r="P1792" s="77"/>
    </row>
    <row r="1793" spans="6:16" x14ac:dyDescent="0.2">
      <c r="F1793" s="28"/>
      <c r="H1793" s="28"/>
      <c r="I1793" s="28"/>
      <c r="J1793" s="28"/>
      <c r="K1793" s="9"/>
      <c r="O1793" s="9"/>
      <c r="P1793" s="77"/>
    </row>
    <row r="1794" spans="6:16" x14ac:dyDescent="0.2">
      <c r="F1794" s="28"/>
      <c r="H1794" s="28"/>
      <c r="I1794" s="28"/>
      <c r="J1794" s="28"/>
      <c r="K1794" s="9"/>
      <c r="O1794" s="9"/>
      <c r="P1794" s="77"/>
    </row>
    <row r="1795" spans="6:16" x14ac:dyDescent="0.2">
      <c r="F1795" s="28"/>
      <c r="H1795" s="28"/>
      <c r="I1795" s="28"/>
      <c r="J1795" s="28"/>
      <c r="K1795" s="9"/>
      <c r="O1795" s="9"/>
      <c r="P1795" s="77"/>
    </row>
    <row r="1796" spans="6:16" x14ac:dyDescent="0.2">
      <c r="F1796" s="28"/>
      <c r="H1796" s="28"/>
      <c r="I1796" s="28"/>
      <c r="J1796" s="28"/>
      <c r="K1796" s="9"/>
      <c r="O1796" s="9"/>
      <c r="P1796" s="77"/>
    </row>
    <row r="1797" spans="6:16" x14ac:dyDescent="0.2">
      <c r="F1797" s="28"/>
      <c r="H1797" s="28"/>
      <c r="I1797" s="28"/>
      <c r="J1797" s="28"/>
      <c r="K1797" s="9"/>
      <c r="O1797" s="9"/>
      <c r="P1797" s="77"/>
    </row>
    <row r="1798" spans="6:16" x14ac:dyDescent="0.2">
      <c r="F1798" s="28"/>
      <c r="H1798" s="28"/>
      <c r="I1798" s="28"/>
      <c r="J1798" s="28"/>
      <c r="K1798" s="9"/>
      <c r="O1798" s="9"/>
      <c r="P1798" s="77"/>
    </row>
    <row r="1799" spans="6:16" x14ac:dyDescent="0.2">
      <c r="F1799" s="28"/>
      <c r="H1799" s="28"/>
      <c r="I1799" s="28"/>
      <c r="J1799" s="28"/>
      <c r="K1799" s="9"/>
      <c r="O1799" s="9"/>
      <c r="P1799" s="77"/>
    </row>
    <row r="1800" spans="6:16" x14ac:dyDescent="0.2">
      <c r="F1800" s="28"/>
      <c r="H1800" s="28"/>
      <c r="I1800" s="28"/>
      <c r="J1800" s="28"/>
      <c r="K1800" s="9"/>
      <c r="O1800" s="9"/>
      <c r="P1800" s="77"/>
    </row>
    <row r="1801" spans="6:16" x14ac:dyDescent="0.2">
      <c r="F1801" s="28"/>
      <c r="H1801" s="28"/>
      <c r="I1801" s="28"/>
      <c r="J1801" s="28"/>
      <c r="K1801" s="9"/>
      <c r="O1801" s="9"/>
      <c r="P1801" s="77"/>
    </row>
    <row r="1802" spans="6:16" x14ac:dyDescent="0.2">
      <c r="F1802" s="28"/>
      <c r="H1802" s="28"/>
      <c r="I1802" s="28"/>
      <c r="J1802" s="28"/>
      <c r="K1802" s="9"/>
      <c r="O1802" s="9"/>
      <c r="P1802" s="77"/>
    </row>
    <row r="1803" spans="6:16" x14ac:dyDescent="0.2">
      <c r="F1803" s="28"/>
      <c r="H1803" s="28"/>
      <c r="I1803" s="28"/>
      <c r="J1803" s="28"/>
      <c r="K1803" s="9"/>
      <c r="O1803" s="9"/>
      <c r="P1803" s="77"/>
    </row>
    <row r="1804" spans="6:16" x14ac:dyDescent="0.2">
      <c r="F1804" s="28"/>
      <c r="H1804" s="28"/>
      <c r="I1804" s="28"/>
      <c r="J1804" s="28"/>
      <c r="K1804" s="9"/>
      <c r="O1804" s="9"/>
      <c r="P1804" s="77"/>
    </row>
    <row r="1805" spans="6:16" x14ac:dyDescent="0.2">
      <c r="F1805" s="28"/>
      <c r="H1805" s="28"/>
      <c r="I1805" s="28"/>
      <c r="J1805" s="28"/>
      <c r="K1805" s="9"/>
      <c r="O1805" s="9"/>
      <c r="P1805" s="77"/>
    </row>
    <row r="1806" spans="6:16" x14ac:dyDescent="0.2">
      <c r="F1806" s="28"/>
      <c r="H1806" s="28"/>
      <c r="I1806" s="28"/>
      <c r="J1806" s="28"/>
      <c r="K1806" s="9"/>
      <c r="O1806" s="9"/>
      <c r="P1806" s="77"/>
    </row>
    <row r="1807" spans="6:16" x14ac:dyDescent="0.2">
      <c r="F1807" s="28"/>
      <c r="H1807" s="28"/>
      <c r="I1807" s="28"/>
      <c r="J1807" s="28"/>
      <c r="K1807" s="9"/>
      <c r="O1807" s="9"/>
      <c r="P1807" s="77"/>
    </row>
    <row r="1808" spans="6:16" x14ac:dyDescent="0.2">
      <c r="F1808" s="28"/>
      <c r="H1808" s="28"/>
      <c r="I1808" s="28"/>
      <c r="J1808" s="28"/>
      <c r="K1808" s="9"/>
      <c r="O1808" s="9"/>
      <c r="P1808" s="77"/>
    </row>
    <row r="1809" spans="6:16" x14ac:dyDescent="0.2">
      <c r="F1809" s="28"/>
      <c r="H1809" s="28"/>
      <c r="I1809" s="28"/>
      <c r="J1809" s="28"/>
      <c r="K1809" s="9"/>
      <c r="O1809" s="9"/>
      <c r="P1809" s="77"/>
    </row>
    <row r="1810" spans="6:16" x14ac:dyDescent="0.2">
      <c r="F1810" s="28"/>
      <c r="H1810" s="28"/>
      <c r="I1810" s="28"/>
      <c r="J1810" s="28"/>
      <c r="K1810" s="9"/>
      <c r="O1810" s="9"/>
      <c r="P1810" s="77"/>
    </row>
    <row r="1811" spans="6:16" x14ac:dyDescent="0.2">
      <c r="F1811" s="28"/>
      <c r="H1811" s="28"/>
      <c r="I1811" s="28"/>
      <c r="J1811" s="28"/>
      <c r="K1811" s="9"/>
      <c r="O1811" s="9"/>
      <c r="P1811" s="77"/>
    </row>
    <row r="1812" spans="6:16" x14ac:dyDescent="0.2">
      <c r="F1812" s="28"/>
      <c r="H1812" s="28"/>
      <c r="I1812" s="28"/>
      <c r="J1812" s="28"/>
      <c r="K1812" s="9"/>
      <c r="O1812" s="9"/>
      <c r="P1812" s="77"/>
    </row>
    <row r="1813" spans="6:16" x14ac:dyDescent="0.2">
      <c r="F1813" s="28"/>
      <c r="H1813" s="28"/>
      <c r="I1813" s="28"/>
      <c r="J1813" s="28"/>
      <c r="K1813" s="9"/>
      <c r="O1813" s="9"/>
      <c r="P1813" s="77"/>
    </row>
    <row r="1814" spans="6:16" x14ac:dyDescent="0.2">
      <c r="F1814" s="28"/>
      <c r="H1814" s="28"/>
      <c r="I1814" s="28"/>
      <c r="J1814" s="28"/>
      <c r="K1814" s="9"/>
      <c r="O1814" s="9"/>
      <c r="P1814" s="77"/>
    </row>
    <row r="1815" spans="6:16" x14ac:dyDescent="0.2">
      <c r="F1815" s="28"/>
      <c r="H1815" s="28"/>
      <c r="I1815" s="28"/>
      <c r="J1815" s="28"/>
      <c r="K1815" s="9"/>
      <c r="O1815" s="9"/>
      <c r="P1815" s="77"/>
    </row>
    <row r="1816" spans="6:16" x14ac:dyDescent="0.2">
      <c r="F1816" s="28"/>
      <c r="H1816" s="28"/>
      <c r="I1816" s="28"/>
      <c r="J1816" s="28"/>
      <c r="K1816" s="9"/>
      <c r="O1816" s="9"/>
      <c r="P1816" s="77"/>
    </row>
    <row r="1817" spans="6:16" x14ac:dyDescent="0.2">
      <c r="F1817" s="28"/>
      <c r="H1817" s="28"/>
      <c r="I1817" s="28"/>
      <c r="J1817" s="28"/>
      <c r="K1817" s="9"/>
      <c r="O1817" s="9"/>
      <c r="P1817" s="77"/>
    </row>
    <row r="1818" spans="6:16" x14ac:dyDescent="0.2">
      <c r="F1818" s="28"/>
      <c r="H1818" s="28"/>
      <c r="I1818" s="28"/>
      <c r="J1818" s="28"/>
      <c r="K1818" s="9"/>
      <c r="O1818" s="9"/>
      <c r="P1818" s="77"/>
    </row>
    <row r="1819" spans="6:16" x14ac:dyDescent="0.2">
      <c r="F1819" s="28"/>
      <c r="H1819" s="28"/>
      <c r="I1819" s="28"/>
      <c r="J1819" s="28"/>
      <c r="K1819" s="9"/>
      <c r="O1819" s="9"/>
      <c r="P1819" s="77"/>
    </row>
    <row r="1820" spans="6:16" x14ac:dyDescent="0.2">
      <c r="F1820" s="28"/>
      <c r="H1820" s="28"/>
      <c r="I1820" s="28"/>
      <c r="J1820" s="28"/>
      <c r="K1820" s="9"/>
      <c r="O1820" s="9"/>
      <c r="P1820" s="77"/>
    </row>
    <row r="1821" spans="6:16" x14ac:dyDescent="0.2">
      <c r="F1821" s="28"/>
      <c r="H1821" s="28"/>
      <c r="I1821" s="28"/>
      <c r="J1821" s="28"/>
      <c r="K1821" s="9"/>
      <c r="O1821" s="9"/>
      <c r="P1821" s="77"/>
    </row>
    <row r="1822" spans="6:16" x14ac:dyDescent="0.2">
      <c r="F1822" s="28"/>
      <c r="H1822" s="28"/>
      <c r="I1822" s="28"/>
      <c r="J1822" s="28"/>
      <c r="K1822" s="9"/>
      <c r="O1822" s="9"/>
      <c r="P1822" s="77"/>
    </row>
    <row r="1823" spans="6:16" x14ac:dyDescent="0.2">
      <c r="F1823" s="28"/>
      <c r="H1823" s="28"/>
      <c r="I1823" s="28"/>
      <c r="J1823" s="28"/>
      <c r="K1823" s="9"/>
      <c r="O1823" s="9"/>
      <c r="P1823" s="77"/>
    </row>
    <row r="1824" spans="6:16" x14ac:dyDescent="0.2">
      <c r="F1824" s="28"/>
      <c r="H1824" s="28"/>
      <c r="I1824" s="28"/>
      <c r="J1824" s="28"/>
      <c r="K1824" s="9"/>
      <c r="O1824" s="9"/>
      <c r="P1824" s="77"/>
    </row>
    <row r="1825" spans="6:16" x14ac:dyDescent="0.2">
      <c r="F1825" s="28"/>
      <c r="H1825" s="28"/>
      <c r="I1825" s="28"/>
      <c r="J1825" s="28"/>
      <c r="K1825" s="9"/>
      <c r="O1825" s="9"/>
      <c r="P1825" s="77"/>
    </row>
    <row r="1826" spans="6:16" x14ac:dyDescent="0.2">
      <c r="F1826" s="28"/>
      <c r="H1826" s="28"/>
      <c r="I1826" s="28"/>
      <c r="J1826" s="28"/>
      <c r="K1826" s="9"/>
      <c r="O1826" s="9"/>
      <c r="P1826" s="77"/>
    </row>
    <row r="1827" spans="6:16" x14ac:dyDescent="0.2">
      <c r="F1827" s="28"/>
      <c r="H1827" s="28"/>
      <c r="I1827" s="28"/>
      <c r="J1827" s="28"/>
      <c r="K1827" s="9"/>
      <c r="O1827" s="9"/>
      <c r="P1827" s="77"/>
    </row>
    <row r="1828" spans="6:16" x14ac:dyDescent="0.2">
      <c r="F1828" s="28"/>
      <c r="H1828" s="28"/>
      <c r="I1828" s="28"/>
      <c r="J1828" s="28"/>
      <c r="K1828" s="9"/>
      <c r="O1828" s="9"/>
      <c r="P1828" s="77"/>
    </row>
    <row r="1829" spans="6:16" x14ac:dyDescent="0.2">
      <c r="F1829" s="28"/>
      <c r="H1829" s="28"/>
      <c r="I1829" s="28"/>
      <c r="J1829" s="28"/>
      <c r="K1829" s="9"/>
      <c r="O1829" s="9"/>
      <c r="P1829" s="77"/>
    </row>
    <row r="1830" spans="6:16" x14ac:dyDescent="0.2">
      <c r="F1830" s="28"/>
      <c r="H1830" s="28"/>
      <c r="I1830" s="28"/>
      <c r="J1830" s="28"/>
      <c r="K1830" s="9"/>
      <c r="O1830" s="9"/>
      <c r="P1830" s="77"/>
    </row>
    <row r="1831" spans="6:16" x14ac:dyDescent="0.2">
      <c r="F1831" s="28"/>
      <c r="H1831" s="28"/>
      <c r="I1831" s="28"/>
      <c r="J1831" s="28"/>
      <c r="K1831" s="9"/>
      <c r="O1831" s="9"/>
      <c r="P1831" s="77"/>
    </row>
    <row r="1832" spans="6:16" x14ac:dyDescent="0.2">
      <c r="F1832" s="28"/>
      <c r="H1832" s="28"/>
      <c r="I1832" s="28"/>
      <c r="J1832" s="28"/>
      <c r="K1832" s="9"/>
      <c r="O1832" s="9"/>
      <c r="P1832" s="77"/>
    </row>
    <row r="1833" spans="6:16" x14ac:dyDescent="0.2">
      <c r="F1833" s="28"/>
      <c r="H1833" s="28"/>
      <c r="I1833" s="28"/>
      <c r="J1833" s="28"/>
      <c r="K1833" s="9"/>
      <c r="O1833" s="9"/>
      <c r="P1833" s="77"/>
    </row>
    <row r="1834" spans="6:16" x14ac:dyDescent="0.2">
      <c r="F1834" s="28"/>
      <c r="H1834" s="28"/>
      <c r="I1834" s="28"/>
      <c r="J1834" s="28"/>
      <c r="K1834" s="9"/>
      <c r="O1834" s="9"/>
      <c r="P1834" s="77"/>
    </row>
    <row r="1835" spans="6:16" x14ac:dyDescent="0.2">
      <c r="F1835" s="28"/>
      <c r="H1835" s="28"/>
      <c r="I1835" s="28"/>
      <c r="J1835" s="28"/>
      <c r="K1835" s="9"/>
      <c r="O1835" s="9"/>
      <c r="P1835" s="77"/>
    </row>
    <row r="1836" spans="6:16" x14ac:dyDescent="0.2">
      <c r="F1836" s="28"/>
      <c r="H1836" s="28"/>
      <c r="I1836" s="28"/>
      <c r="J1836" s="28"/>
      <c r="K1836" s="9"/>
      <c r="O1836" s="9"/>
      <c r="P1836" s="77"/>
    </row>
    <row r="1837" spans="6:16" x14ac:dyDescent="0.2">
      <c r="F1837" s="28"/>
      <c r="H1837" s="28"/>
      <c r="I1837" s="28"/>
      <c r="J1837" s="28"/>
      <c r="K1837" s="9"/>
      <c r="O1837" s="9"/>
      <c r="P1837" s="77"/>
    </row>
    <row r="1838" spans="6:16" x14ac:dyDescent="0.2">
      <c r="F1838" s="28"/>
      <c r="H1838" s="28"/>
      <c r="I1838" s="28"/>
      <c r="J1838" s="28"/>
      <c r="K1838" s="9"/>
      <c r="O1838" s="9"/>
      <c r="P1838" s="77"/>
    </row>
    <row r="1839" spans="6:16" x14ac:dyDescent="0.2">
      <c r="F1839" s="28"/>
      <c r="H1839" s="28"/>
      <c r="I1839" s="28"/>
      <c r="J1839" s="28"/>
      <c r="K1839" s="9"/>
      <c r="O1839" s="9"/>
      <c r="P1839" s="77"/>
    </row>
    <row r="1840" spans="6:16" x14ac:dyDescent="0.2">
      <c r="F1840" s="28"/>
      <c r="H1840" s="28"/>
      <c r="I1840" s="28"/>
      <c r="J1840" s="28"/>
      <c r="K1840" s="9"/>
      <c r="O1840" s="9"/>
      <c r="P1840" s="77"/>
    </row>
    <row r="1841" spans="6:16" x14ac:dyDescent="0.2">
      <c r="F1841" s="28"/>
      <c r="H1841" s="28"/>
      <c r="I1841" s="28"/>
      <c r="J1841" s="28"/>
      <c r="K1841" s="9"/>
      <c r="O1841" s="9"/>
      <c r="P1841" s="77"/>
    </row>
    <row r="1842" spans="6:16" x14ac:dyDescent="0.2">
      <c r="F1842" s="28"/>
      <c r="H1842" s="28"/>
      <c r="I1842" s="28"/>
      <c r="J1842" s="28"/>
      <c r="K1842" s="9"/>
      <c r="O1842" s="9"/>
      <c r="P1842" s="77"/>
    </row>
    <row r="1843" spans="6:16" x14ac:dyDescent="0.2">
      <c r="F1843" s="28"/>
      <c r="H1843" s="28"/>
      <c r="I1843" s="28"/>
      <c r="J1843" s="28"/>
      <c r="K1843" s="9"/>
      <c r="O1843" s="9"/>
      <c r="P1843" s="77"/>
    </row>
    <row r="1844" spans="6:16" x14ac:dyDescent="0.2">
      <c r="F1844" s="28"/>
      <c r="H1844" s="28"/>
      <c r="I1844" s="28"/>
      <c r="J1844" s="28"/>
      <c r="K1844" s="9"/>
      <c r="O1844" s="9"/>
      <c r="P1844" s="77"/>
    </row>
    <row r="1845" spans="6:16" x14ac:dyDescent="0.2">
      <c r="F1845" s="28"/>
      <c r="H1845" s="28"/>
      <c r="I1845" s="28"/>
      <c r="J1845" s="28"/>
      <c r="K1845" s="9"/>
      <c r="O1845" s="9"/>
      <c r="P1845" s="77"/>
    </row>
    <row r="1846" spans="6:16" x14ac:dyDescent="0.2">
      <c r="F1846" s="28"/>
      <c r="H1846" s="28"/>
      <c r="I1846" s="28"/>
      <c r="J1846" s="28"/>
      <c r="K1846" s="9"/>
      <c r="O1846" s="9"/>
      <c r="P1846" s="77"/>
    </row>
    <row r="1847" spans="6:16" x14ac:dyDescent="0.2">
      <c r="F1847" s="28"/>
      <c r="H1847" s="28"/>
      <c r="I1847" s="28"/>
      <c r="J1847" s="28"/>
      <c r="K1847" s="9"/>
      <c r="O1847" s="9"/>
      <c r="P1847" s="77"/>
    </row>
    <row r="1848" spans="6:16" x14ac:dyDescent="0.2">
      <c r="F1848" s="28"/>
      <c r="H1848" s="28"/>
      <c r="I1848" s="28"/>
      <c r="J1848" s="28"/>
      <c r="K1848" s="9"/>
      <c r="O1848" s="9"/>
      <c r="P1848" s="77"/>
    </row>
    <row r="1849" spans="6:16" x14ac:dyDescent="0.2">
      <c r="F1849" s="28"/>
      <c r="H1849" s="28"/>
      <c r="I1849" s="28"/>
      <c r="J1849" s="28"/>
      <c r="K1849" s="9"/>
      <c r="O1849" s="9"/>
      <c r="P1849" s="77"/>
    </row>
    <row r="1850" spans="6:16" x14ac:dyDescent="0.2">
      <c r="F1850" s="28"/>
      <c r="H1850" s="28"/>
      <c r="I1850" s="28"/>
      <c r="J1850" s="28"/>
      <c r="K1850" s="9"/>
      <c r="O1850" s="9"/>
      <c r="P1850" s="77"/>
    </row>
    <row r="1851" spans="6:16" x14ac:dyDescent="0.2">
      <c r="F1851" s="28"/>
      <c r="H1851" s="28"/>
      <c r="I1851" s="28"/>
      <c r="J1851" s="28"/>
      <c r="K1851" s="9"/>
      <c r="O1851" s="9"/>
      <c r="P1851" s="77"/>
    </row>
    <row r="1852" spans="6:16" x14ac:dyDescent="0.2">
      <c r="F1852" s="28"/>
      <c r="H1852" s="28"/>
      <c r="I1852" s="28"/>
      <c r="J1852" s="28"/>
      <c r="K1852" s="9"/>
      <c r="O1852" s="9"/>
      <c r="P1852" s="77"/>
    </row>
    <row r="1853" spans="6:16" x14ac:dyDescent="0.2">
      <c r="F1853" s="28"/>
      <c r="H1853" s="28"/>
      <c r="I1853" s="28"/>
      <c r="J1853" s="28"/>
      <c r="K1853" s="9"/>
      <c r="O1853" s="9"/>
      <c r="P1853" s="77"/>
    </row>
    <row r="1854" spans="6:16" x14ac:dyDescent="0.2">
      <c r="F1854" s="28"/>
      <c r="H1854" s="28"/>
      <c r="I1854" s="28"/>
      <c r="J1854" s="28"/>
      <c r="K1854" s="9"/>
      <c r="O1854" s="9"/>
      <c r="P1854" s="77"/>
    </row>
    <row r="1855" spans="6:16" x14ac:dyDescent="0.2">
      <c r="F1855" s="28"/>
      <c r="H1855" s="28"/>
      <c r="I1855" s="28"/>
      <c r="J1855" s="28"/>
      <c r="K1855" s="9"/>
      <c r="O1855" s="9"/>
      <c r="P1855" s="77"/>
    </row>
    <row r="1856" spans="6:16" x14ac:dyDescent="0.2">
      <c r="F1856" s="28"/>
      <c r="H1856" s="28"/>
      <c r="I1856" s="28"/>
      <c r="J1856" s="28"/>
      <c r="K1856" s="9"/>
      <c r="O1856" s="9"/>
      <c r="P1856" s="77"/>
    </row>
    <row r="1857" spans="6:16" x14ac:dyDescent="0.2">
      <c r="F1857" s="28"/>
      <c r="H1857" s="28"/>
      <c r="I1857" s="28"/>
      <c r="J1857" s="28"/>
      <c r="K1857" s="9"/>
      <c r="O1857" s="9"/>
      <c r="P1857" s="77"/>
    </row>
    <row r="1858" spans="6:16" x14ac:dyDescent="0.2">
      <c r="F1858" s="28"/>
      <c r="H1858" s="28"/>
      <c r="I1858" s="28"/>
      <c r="J1858" s="28"/>
      <c r="K1858" s="9"/>
      <c r="O1858" s="9"/>
      <c r="P1858" s="77"/>
    </row>
    <row r="1859" spans="6:16" x14ac:dyDescent="0.2">
      <c r="F1859" s="28"/>
      <c r="H1859" s="28"/>
      <c r="I1859" s="28"/>
      <c r="J1859" s="28"/>
      <c r="K1859" s="9"/>
      <c r="O1859" s="9"/>
      <c r="P1859" s="77"/>
    </row>
    <row r="1860" spans="6:16" x14ac:dyDescent="0.2">
      <c r="F1860" s="28"/>
      <c r="H1860" s="28"/>
      <c r="I1860" s="28"/>
      <c r="J1860" s="28"/>
      <c r="K1860" s="9"/>
      <c r="O1860" s="9"/>
      <c r="P1860" s="77"/>
    </row>
    <row r="1861" spans="6:16" x14ac:dyDescent="0.2">
      <c r="F1861" s="28"/>
      <c r="H1861" s="28"/>
      <c r="I1861" s="28"/>
      <c r="J1861" s="28"/>
      <c r="K1861" s="9"/>
      <c r="O1861" s="9"/>
      <c r="P1861" s="77"/>
    </row>
    <row r="1862" spans="6:16" x14ac:dyDescent="0.2">
      <c r="F1862" s="28"/>
      <c r="H1862" s="28"/>
      <c r="I1862" s="28"/>
      <c r="J1862" s="28"/>
      <c r="K1862" s="9"/>
      <c r="O1862" s="9"/>
      <c r="P1862" s="77"/>
    </row>
    <row r="1863" spans="6:16" x14ac:dyDescent="0.2">
      <c r="F1863" s="28"/>
      <c r="H1863" s="28"/>
      <c r="I1863" s="28"/>
      <c r="J1863" s="28"/>
      <c r="K1863" s="9"/>
      <c r="O1863" s="9"/>
      <c r="P1863" s="77"/>
    </row>
    <row r="1864" spans="6:16" x14ac:dyDescent="0.2">
      <c r="F1864" s="28"/>
      <c r="H1864" s="28"/>
      <c r="I1864" s="28"/>
      <c r="J1864" s="28"/>
      <c r="K1864" s="9"/>
      <c r="O1864" s="9"/>
      <c r="P1864" s="77"/>
    </row>
    <row r="1865" spans="6:16" x14ac:dyDescent="0.2">
      <c r="F1865" s="28"/>
      <c r="H1865" s="28"/>
      <c r="I1865" s="28"/>
      <c r="J1865" s="28"/>
      <c r="K1865" s="9"/>
      <c r="O1865" s="9"/>
      <c r="P1865" s="77"/>
    </row>
    <row r="1866" spans="6:16" x14ac:dyDescent="0.2">
      <c r="F1866" s="28"/>
      <c r="H1866" s="28"/>
      <c r="I1866" s="28"/>
      <c r="J1866" s="28"/>
      <c r="K1866" s="9"/>
      <c r="O1866" s="9"/>
      <c r="P1866" s="77"/>
    </row>
    <row r="1867" spans="6:16" x14ac:dyDescent="0.2">
      <c r="F1867" s="28"/>
      <c r="H1867" s="28"/>
      <c r="I1867" s="28"/>
      <c r="J1867" s="28"/>
      <c r="K1867" s="9"/>
      <c r="O1867" s="9"/>
      <c r="P1867" s="77"/>
    </row>
    <row r="1868" spans="6:16" x14ac:dyDescent="0.2">
      <c r="F1868" s="28"/>
      <c r="H1868" s="28"/>
      <c r="I1868" s="28"/>
      <c r="J1868" s="28"/>
      <c r="K1868" s="9"/>
      <c r="O1868" s="9"/>
      <c r="P1868" s="77"/>
    </row>
    <row r="1869" spans="6:16" x14ac:dyDescent="0.2">
      <c r="F1869" s="28"/>
      <c r="H1869" s="28"/>
      <c r="I1869" s="28"/>
      <c r="J1869" s="28"/>
      <c r="K1869" s="9"/>
      <c r="O1869" s="9"/>
      <c r="P1869" s="77"/>
    </row>
    <row r="1870" spans="6:16" x14ac:dyDescent="0.2">
      <c r="F1870" s="28"/>
      <c r="H1870" s="28"/>
      <c r="I1870" s="28"/>
      <c r="J1870" s="28"/>
      <c r="K1870" s="9"/>
      <c r="O1870" s="9"/>
      <c r="P1870" s="77"/>
    </row>
    <row r="1871" spans="6:16" x14ac:dyDescent="0.2">
      <c r="F1871" s="28"/>
      <c r="H1871" s="28"/>
      <c r="I1871" s="28"/>
      <c r="J1871" s="28"/>
      <c r="K1871" s="9"/>
      <c r="O1871" s="9"/>
      <c r="P1871" s="77"/>
    </row>
    <row r="1872" spans="6:16" x14ac:dyDescent="0.2">
      <c r="F1872" s="28"/>
      <c r="H1872" s="28"/>
      <c r="I1872" s="28"/>
      <c r="J1872" s="28"/>
      <c r="K1872" s="9"/>
      <c r="O1872" s="9"/>
      <c r="P1872" s="77"/>
    </row>
    <row r="1873" spans="6:16" x14ac:dyDescent="0.2">
      <c r="F1873" s="28"/>
      <c r="H1873" s="28"/>
      <c r="I1873" s="28"/>
      <c r="J1873" s="28"/>
      <c r="K1873" s="9"/>
      <c r="O1873" s="9"/>
      <c r="P1873" s="77"/>
    </row>
    <row r="1874" spans="6:16" x14ac:dyDescent="0.2">
      <c r="F1874" s="28"/>
      <c r="H1874" s="28"/>
      <c r="I1874" s="28"/>
      <c r="J1874" s="28"/>
      <c r="K1874" s="9"/>
      <c r="O1874" s="9"/>
      <c r="P1874" s="77"/>
    </row>
    <row r="1875" spans="6:16" x14ac:dyDescent="0.2">
      <c r="F1875" s="28"/>
      <c r="H1875" s="28"/>
      <c r="I1875" s="28"/>
      <c r="J1875" s="28"/>
      <c r="K1875" s="9"/>
      <c r="O1875" s="9"/>
      <c r="P1875" s="77"/>
    </row>
    <row r="1876" spans="6:16" x14ac:dyDescent="0.2">
      <c r="F1876" s="28"/>
      <c r="H1876" s="28"/>
      <c r="I1876" s="28"/>
      <c r="J1876" s="28"/>
      <c r="K1876" s="9"/>
      <c r="O1876" s="9"/>
      <c r="P1876" s="77"/>
    </row>
    <row r="1877" spans="6:16" x14ac:dyDescent="0.2">
      <c r="F1877" s="28"/>
      <c r="H1877" s="28"/>
      <c r="I1877" s="28"/>
      <c r="J1877" s="28"/>
      <c r="K1877" s="9"/>
      <c r="O1877" s="9"/>
      <c r="P1877" s="77"/>
    </row>
    <row r="1878" spans="6:16" x14ac:dyDescent="0.2">
      <c r="F1878" s="28"/>
      <c r="H1878" s="28"/>
      <c r="I1878" s="28"/>
      <c r="J1878" s="28"/>
      <c r="K1878" s="9"/>
      <c r="O1878" s="9"/>
      <c r="P1878" s="77"/>
    </row>
    <row r="1879" spans="6:16" x14ac:dyDescent="0.2">
      <c r="F1879" s="28"/>
      <c r="H1879" s="28"/>
      <c r="I1879" s="28"/>
      <c r="J1879" s="28"/>
      <c r="K1879" s="9"/>
      <c r="O1879" s="9"/>
      <c r="P1879" s="77"/>
    </row>
    <row r="1880" spans="6:16" x14ac:dyDescent="0.2">
      <c r="F1880" s="28"/>
      <c r="H1880" s="28"/>
      <c r="I1880" s="28"/>
      <c r="J1880" s="28"/>
      <c r="K1880" s="9"/>
      <c r="O1880" s="9"/>
      <c r="P1880" s="77"/>
    </row>
    <row r="1881" spans="6:16" x14ac:dyDescent="0.2">
      <c r="F1881" s="28"/>
      <c r="H1881" s="28"/>
      <c r="I1881" s="28"/>
      <c r="J1881" s="28"/>
      <c r="K1881" s="9"/>
      <c r="O1881" s="9"/>
      <c r="P1881" s="77"/>
    </row>
    <row r="1882" spans="6:16" x14ac:dyDescent="0.2">
      <c r="F1882" s="28"/>
      <c r="H1882" s="28"/>
      <c r="I1882" s="28"/>
      <c r="J1882" s="28"/>
      <c r="K1882" s="9"/>
      <c r="O1882" s="9"/>
      <c r="P1882" s="77"/>
    </row>
    <row r="1883" spans="6:16" x14ac:dyDescent="0.2">
      <c r="F1883" s="28"/>
      <c r="H1883" s="28"/>
      <c r="I1883" s="28"/>
      <c r="J1883" s="28"/>
      <c r="K1883" s="9"/>
      <c r="O1883" s="9"/>
      <c r="P1883" s="77"/>
    </row>
    <row r="1884" spans="6:16" x14ac:dyDescent="0.2">
      <c r="F1884" s="28"/>
      <c r="H1884" s="28"/>
      <c r="I1884" s="28"/>
      <c r="J1884" s="28"/>
      <c r="K1884" s="9"/>
      <c r="O1884" s="9"/>
      <c r="P1884" s="77"/>
    </row>
    <row r="1885" spans="6:16" x14ac:dyDescent="0.2">
      <c r="F1885" s="28"/>
      <c r="H1885" s="28"/>
      <c r="I1885" s="28"/>
      <c r="J1885" s="28"/>
      <c r="K1885" s="9"/>
      <c r="O1885" s="9"/>
      <c r="P1885" s="77"/>
    </row>
    <row r="1886" spans="6:16" x14ac:dyDescent="0.2">
      <c r="F1886" s="28"/>
      <c r="H1886" s="28"/>
      <c r="I1886" s="28"/>
      <c r="J1886" s="28"/>
      <c r="K1886" s="9"/>
      <c r="O1886" s="9"/>
      <c r="P1886" s="77"/>
    </row>
    <row r="1887" spans="6:16" x14ac:dyDescent="0.2">
      <c r="F1887" s="28"/>
      <c r="H1887" s="28"/>
      <c r="I1887" s="28"/>
      <c r="J1887" s="28"/>
      <c r="K1887" s="9"/>
      <c r="O1887" s="9"/>
      <c r="P1887" s="77"/>
    </row>
    <row r="1888" spans="6:16" x14ac:dyDescent="0.2">
      <c r="F1888" s="28"/>
      <c r="H1888" s="28"/>
      <c r="I1888" s="28"/>
      <c r="J1888" s="28"/>
      <c r="K1888" s="9"/>
      <c r="O1888" s="9"/>
      <c r="P1888" s="77"/>
    </row>
    <row r="1889" spans="6:16" x14ac:dyDescent="0.2">
      <c r="F1889" s="28"/>
      <c r="H1889" s="28"/>
      <c r="I1889" s="28"/>
      <c r="J1889" s="28"/>
      <c r="K1889" s="9"/>
      <c r="O1889" s="9"/>
      <c r="P1889" s="77"/>
    </row>
    <row r="1890" spans="6:16" x14ac:dyDescent="0.2">
      <c r="F1890" s="28"/>
      <c r="H1890" s="28"/>
      <c r="I1890" s="28"/>
      <c r="J1890" s="28"/>
      <c r="K1890" s="9"/>
      <c r="O1890" s="9"/>
      <c r="P1890" s="77"/>
    </row>
    <row r="1891" spans="6:16" x14ac:dyDescent="0.2">
      <c r="F1891" s="28"/>
      <c r="H1891" s="28"/>
      <c r="I1891" s="28"/>
      <c r="J1891" s="28"/>
      <c r="K1891" s="9"/>
      <c r="O1891" s="9"/>
      <c r="P1891" s="77"/>
    </row>
    <row r="1892" spans="6:16" x14ac:dyDescent="0.2">
      <c r="F1892" s="28"/>
      <c r="H1892" s="28"/>
      <c r="I1892" s="28"/>
      <c r="J1892" s="28"/>
      <c r="K1892" s="9"/>
      <c r="O1892" s="9"/>
      <c r="P1892" s="77"/>
    </row>
    <row r="1893" spans="6:16" x14ac:dyDescent="0.2">
      <c r="F1893" s="28"/>
      <c r="H1893" s="28"/>
      <c r="I1893" s="28"/>
      <c r="J1893" s="28"/>
      <c r="K1893" s="9"/>
      <c r="O1893" s="9"/>
      <c r="P1893" s="77"/>
    </row>
    <row r="1894" spans="6:16" x14ac:dyDescent="0.2">
      <c r="F1894" s="28"/>
      <c r="H1894" s="28"/>
      <c r="I1894" s="28"/>
      <c r="J1894" s="28"/>
      <c r="K1894" s="9"/>
      <c r="O1894" s="9"/>
      <c r="P1894" s="77"/>
    </row>
    <row r="1895" spans="6:16" x14ac:dyDescent="0.2">
      <c r="F1895" s="28"/>
      <c r="H1895" s="28"/>
      <c r="I1895" s="28"/>
      <c r="J1895" s="28"/>
      <c r="K1895" s="9"/>
      <c r="O1895" s="9"/>
      <c r="P1895" s="77"/>
    </row>
    <row r="1896" spans="6:16" x14ac:dyDescent="0.2">
      <c r="F1896" s="28"/>
      <c r="H1896" s="28"/>
      <c r="I1896" s="28"/>
      <c r="J1896" s="28"/>
      <c r="K1896" s="9"/>
      <c r="O1896" s="9"/>
      <c r="P1896" s="77"/>
    </row>
    <row r="1897" spans="6:16" x14ac:dyDescent="0.2">
      <c r="F1897" s="28"/>
      <c r="H1897" s="28"/>
      <c r="I1897" s="28"/>
      <c r="J1897" s="28"/>
      <c r="K1897" s="9"/>
      <c r="O1897" s="9"/>
      <c r="P1897" s="77"/>
    </row>
    <row r="1898" spans="6:16" x14ac:dyDescent="0.2">
      <c r="F1898" s="28"/>
      <c r="H1898" s="28"/>
      <c r="I1898" s="28"/>
      <c r="J1898" s="28"/>
      <c r="K1898" s="9"/>
      <c r="O1898" s="9"/>
      <c r="P1898" s="77"/>
    </row>
    <row r="1899" spans="6:16" x14ac:dyDescent="0.2">
      <c r="F1899" s="28"/>
      <c r="H1899" s="28"/>
      <c r="I1899" s="28"/>
      <c r="J1899" s="28"/>
      <c r="K1899" s="9"/>
      <c r="O1899" s="9"/>
      <c r="P1899" s="77"/>
    </row>
    <row r="1900" spans="6:16" x14ac:dyDescent="0.2">
      <c r="F1900" s="28"/>
      <c r="H1900" s="28"/>
      <c r="I1900" s="28"/>
      <c r="J1900" s="28"/>
      <c r="K1900" s="9"/>
      <c r="O1900" s="9"/>
      <c r="P1900" s="77"/>
    </row>
    <row r="1901" spans="6:16" x14ac:dyDescent="0.2">
      <c r="F1901" s="28"/>
      <c r="H1901" s="28"/>
      <c r="I1901" s="28"/>
      <c r="J1901" s="28"/>
      <c r="K1901" s="9"/>
      <c r="O1901" s="9"/>
      <c r="P1901" s="77"/>
    </row>
    <row r="1902" spans="6:16" x14ac:dyDescent="0.2">
      <c r="F1902" s="28"/>
      <c r="H1902" s="28"/>
      <c r="I1902" s="28"/>
      <c r="J1902" s="28"/>
      <c r="K1902" s="9"/>
      <c r="O1902" s="9"/>
      <c r="P1902" s="77"/>
    </row>
    <row r="1903" spans="6:16" x14ac:dyDescent="0.2">
      <c r="F1903" s="28"/>
      <c r="H1903" s="28"/>
      <c r="I1903" s="28"/>
      <c r="J1903" s="28"/>
      <c r="K1903" s="9"/>
      <c r="O1903" s="9"/>
      <c r="P1903" s="77"/>
    </row>
    <row r="1904" spans="6:16" x14ac:dyDescent="0.2">
      <c r="F1904" s="28"/>
      <c r="H1904" s="28"/>
      <c r="I1904" s="28"/>
      <c r="J1904" s="28"/>
      <c r="K1904" s="9"/>
      <c r="O1904" s="9"/>
      <c r="P1904" s="77"/>
    </row>
    <row r="1905" spans="6:16" x14ac:dyDescent="0.2">
      <c r="F1905" s="28"/>
      <c r="H1905" s="28"/>
      <c r="I1905" s="28"/>
      <c r="J1905" s="28"/>
      <c r="K1905" s="9"/>
      <c r="O1905" s="9"/>
      <c r="P1905" s="77"/>
    </row>
    <row r="1906" spans="6:16" x14ac:dyDescent="0.2">
      <c r="F1906" s="28"/>
      <c r="H1906" s="28"/>
      <c r="I1906" s="28"/>
      <c r="J1906" s="28"/>
      <c r="K1906" s="9"/>
      <c r="O1906" s="9"/>
      <c r="P1906" s="77"/>
    </row>
    <row r="1907" spans="6:16" x14ac:dyDescent="0.2">
      <c r="F1907" s="28"/>
      <c r="H1907" s="28"/>
      <c r="I1907" s="28"/>
      <c r="J1907" s="28"/>
      <c r="K1907" s="9"/>
      <c r="O1907" s="9"/>
      <c r="P1907" s="77"/>
    </row>
    <row r="1908" spans="6:16" x14ac:dyDescent="0.2">
      <c r="F1908" s="28"/>
      <c r="H1908" s="28"/>
      <c r="I1908" s="28"/>
      <c r="J1908" s="28"/>
      <c r="K1908" s="9"/>
      <c r="O1908" s="9"/>
      <c r="P1908" s="77"/>
    </row>
    <row r="1909" spans="6:16" x14ac:dyDescent="0.2">
      <c r="F1909" s="28"/>
      <c r="H1909" s="28"/>
      <c r="I1909" s="28"/>
      <c r="J1909" s="28"/>
      <c r="K1909" s="9"/>
      <c r="O1909" s="9"/>
      <c r="P1909" s="77"/>
    </row>
    <row r="1910" spans="6:16" x14ac:dyDescent="0.2">
      <c r="F1910" s="28"/>
      <c r="H1910" s="28"/>
      <c r="I1910" s="28"/>
      <c r="J1910" s="28"/>
      <c r="K1910" s="9"/>
      <c r="O1910" s="9"/>
      <c r="P1910" s="77"/>
    </row>
    <row r="1911" spans="6:16" x14ac:dyDescent="0.2">
      <c r="F1911" s="28"/>
      <c r="H1911" s="28"/>
      <c r="I1911" s="28"/>
      <c r="J1911" s="28"/>
      <c r="K1911" s="9"/>
      <c r="O1911" s="9"/>
      <c r="P1911" s="77"/>
    </row>
    <row r="1912" spans="6:16" x14ac:dyDescent="0.2">
      <c r="F1912" s="28"/>
      <c r="H1912" s="28"/>
      <c r="I1912" s="28"/>
      <c r="J1912" s="28"/>
      <c r="K1912" s="9"/>
      <c r="O1912" s="9"/>
      <c r="P1912" s="77"/>
    </row>
    <row r="1913" spans="6:16" x14ac:dyDescent="0.2">
      <c r="F1913" s="28"/>
      <c r="H1913" s="28"/>
      <c r="I1913" s="28"/>
      <c r="J1913" s="28"/>
      <c r="K1913" s="9"/>
      <c r="O1913" s="9"/>
      <c r="P1913" s="77"/>
    </row>
    <row r="1914" spans="6:16" x14ac:dyDescent="0.2">
      <c r="F1914" s="28"/>
      <c r="H1914" s="28"/>
      <c r="I1914" s="28"/>
      <c r="J1914" s="28"/>
      <c r="K1914" s="9"/>
      <c r="O1914" s="9"/>
      <c r="P1914" s="77"/>
    </row>
    <row r="1915" spans="6:16" x14ac:dyDescent="0.2">
      <c r="F1915" s="28"/>
      <c r="H1915" s="28"/>
      <c r="I1915" s="28"/>
      <c r="J1915" s="28"/>
      <c r="K1915" s="9"/>
      <c r="O1915" s="9"/>
      <c r="P1915" s="77"/>
    </row>
    <row r="1916" spans="6:16" x14ac:dyDescent="0.2">
      <c r="F1916" s="28"/>
      <c r="H1916" s="28"/>
      <c r="I1916" s="28"/>
      <c r="J1916" s="28"/>
      <c r="K1916" s="9"/>
      <c r="O1916" s="9"/>
      <c r="P1916" s="77"/>
    </row>
    <row r="1917" spans="6:16" x14ac:dyDescent="0.2">
      <c r="F1917" s="28"/>
      <c r="H1917" s="28"/>
      <c r="I1917" s="28"/>
      <c r="J1917" s="28"/>
      <c r="K1917" s="9"/>
      <c r="O1917" s="9"/>
      <c r="P1917" s="77"/>
    </row>
    <row r="1918" spans="6:16" x14ac:dyDescent="0.2">
      <c r="F1918" s="28"/>
      <c r="H1918" s="28"/>
      <c r="I1918" s="28"/>
      <c r="J1918" s="28"/>
      <c r="K1918" s="9"/>
      <c r="O1918" s="9"/>
      <c r="P1918" s="77"/>
    </row>
    <row r="1919" spans="6:16" x14ac:dyDescent="0.2">
      <c r="F1919" s="28"/>
      <c r="H1919" s="28"/>
      <c r="I1919" s="28"/>
      <c r="J1919" s="28"/>
      <c r="K1919" s="9"/>
      <c r="O1919" s="9"/>
      <c r="P1919" s="77"/>
    </row>
    <row r="1920" spans="6:16" x14ac:dyDescent="0.2">
      <c r="F1920" s="28"/>
      <c r="H1920" s="28"/>
      <c r="I1920" s="28"/>
      <c r="J1920" s="28"/>
      <c r="K1920" s="9"/>
      <c r="O1920" s="9"/>
      <c r="P1920" s="77"/>
    </row>
    <row r="1921" spans="6:16" x14ac:dyDescent="0.2">
      <c r="F1921" s="28"/>
      <c r="H1921" s="28"/>
      <c r="I1921" s="28"/>
      <c r="J1921" s="28"/>
      <c r="K1921" s="9"/>
      <c r="O1921" s="9"/>
      <c r="P1921" s="77"/>
    </row>
    <row r="1922" spans="6:16" x14ac:dyDescent="0.2">
      <c r="F1922" s="28"/>
      <c r="H1922" s="28"/>
      <c r="I1922" s="28"/>
      <c r="J1922" s="28"/>
      <c r="K1922" s="9"/>
      <c r="O1922" s="9"/>
      <c r="P1922" s="77"/>
    </row>
    <row r="1923" spans="6:16" x14ac:dyDescent="0.2">
      <c r="F1923" s="28"/>
      <c r="H1923" s="28"/>
      <c r="I1923" s="28"/>
      <c r="J1923" s="28"/>
      <c r="K1923" s="9"/>
      <c r="O1923" s="9"/>
      <c r="P1923" s="77"/>
    </row>
    <row r="1924" spans="6:16" x14ac:dyDescent="0.2">
      <c r="F1924" s="28"/>
      <c r="H1924" s="28"/>
      <c r="I1924" s="28"/>
      <c r="J1924" s="28"/>
      <c r="K1924" s="9"/>
      <c r="O1924" s="9"/>
      <c r="P1924" s="77"/>
    </row>
    <row r="1925" spans="6:16" x14ac:dyDescent="0.2">
      <c r="F1925" s="28"/>
      <c r="H1925" s="28"/>
      <c r="I1925" s="28"/>
      <c r="J1925" s="28"/>
      <c r="K1925" s="9"/>
      <c r="O1925" s="9"/>
      <c r="P1925" s="77"/>
    </row>
    <row r="1926" spans="6:16" x14ac:dyDescent="0.2">
      <c r="F1926" s="28"/>
      <c r="H1926" s="28"/>
      <c r="I1926" s="28"/>
      <c r="J1926" s="28"/>
      <c r="K1926" s="9"/>
      <c r="O1926" s="9"/>
      <c r="P1926" s="77"/>
    </row>
    <row r="1927" spans="6:16" x14ac:dyDescent="0.2">
      <c r="F1927" s="28"/>
      <c r="H1927" s="28"/>
      <c r="I1927" s="28"/>
      <c r="J1927" s="28"/>
      <c r="K1927" s="9"/>
      <c r="O1927" s="9"/>
      <c r="P1927" s="77"/>
    </row>
    <row r="1928" spans="6:16" x14ac:dyDescent="0.2">
      <c r="F1928" s="28"/>
      <c r="H1928" s="28"/>
      <c r="I1928" s="28"/>
      <c r="J1928" s="28"/>
      <c r="K1928" s="9"/>
      <c r="O1928" s="9"/>
      <c r="P1928" s="77"/>
    </row>
    <row r="1929" spans="6:16" x14ac:dyDescent="0.2">
      <c r="F1929" s="28"/>
      <c r="H1929" s="28"/>
      <c r="I1929" s="28"/>
      <c r="J1929" s="28"/>
      <c r="K1929" s="9"/>
      <c r="O1929" s="9"/>
      <c r="P1929" s="77"/>
    </row>
    <row r="1930" spans="6:16" x14ac:dyDescent="0.2">
      <c r="F1930" s="28"/>
      <c r="H1930" s="28"/>
      <c r="I1930" s="28"/>
      <c r="J1930" s="28"/>
      <c r="K1930" s="9"/>
      <c r="O1930" s="9"/>
      <c r="P1930" s="77"/>
    </row>
    <row r="1931" spans="6:16" x14ac:dyDescent="0.2">
      <c r="F1931" s="28"/>
      <c r="H1931" s="28"/>
      <c r="I1931" s="28"/>
      <c r="J1931" s="28"/>
      <c r="K1931" s="9"/>
      <c r="O1931" s="9"/>
      <c r="P1931" s="77"/>
    </row>
    <row r="1932" spans="6:16" x14ac:dyDescent="0.2">
      <c r="F1932" s="28"/>
      <c r="H1932" s="28"/>
      <c r="I1932" s="28"/>
      <c r="J1932" s="28"/>
      <c r="K1932" s="9"/>
      <c r="O1932" s="9"/>
      <c r="P1932" s="77"/>
    </row>
    <row r="1933" spans="6:16" x14ac:dyDescent="0.2">
      <c r="F1933" s="28"/>
      <c r="H1933" s="28"/>
      <c r="I1933" s="28"/>
      <c r="J1933" s="28"/>
      <c r="K1933" s="9"/>
      <c r="O1933" s="9"/>
      <c r="P1933" s="77"/>
    </row>
    <row r="1934" spans="6:16" x14ac:dyDescent="0.2">
      <c r="F1934" s="28"/>
      <c r="H1934" s="28"/>
      <c r="I1934" s="28"/>
      <c r="J1934" s="28"/>
      <c r="K1934" s="9"/>
      <c r="O1934" s="9"/>
      <c r="P1934" s="77"/>
    </row>
    <row r="1935" spans="6:16" x14ac:dyDescent="0.2">
      <c r="F1935" s="28"/>
      <c r="H1935" s="28"/>
      <c r="I1935" s="28"/>
      <c r="J1935" s="28"/>
      <c r="K1935" s="9"/>
      <c r="O1935" s="9"/>
      <c r="P1935" s="77"/>
    </row>
    <row r="1936" spans="6:16" x14ac:dyDescent="0.2">
      <c r="F1936" s="28"/>
      <c r="H1936" s="28"/>
      <c r="I1936" s="28"/>
      <c r="J1936" s="28"/>
      <c r="K1936" s="9"/>
      <c r="O1936" s="9"/>
      <c r="P1936" s="77"/>
    </row>
    <row r="1937" spans="6:16" x14ac:dyDescent="0.2">
      <c r="F1937" s="28"/>
      <c r="H1937" s="28"/>
      <c r="I1937" s="28"/>
      <c r="J1937" s="28"/>
      <c r="K1937" s="9"/>
      <c r="O1937" s="9"/>
      <c r="P1937" s="77"/>
    </row>
    <row r="1938" spans="6:16" x14ac:dyDescent="0.2">
      <c r="F1938" s="28"/>
      <c r="H1938" s="28"/>
      <c r="I1938" s="28"/>
      <c r="J1938" s="28"/>
      <c r="K1938" s="9"/>
      <c r="O1938" s="9"/>
      <c r="P1938" s="77"/>
    </row>
    <row r="1939" spans="6:16" x14ac:dyDescent="0.2">
      <c r="F1939" s="28"/>
      <c r="H1939" s="28"/>
      <c r="I1939" s="28"/>
      <c r="J1939" s="28"/>
      <c r="K1939" s="9"/>
      <c r="O1939" s="9"/>
      <c r="P1939" s="77"/>
    </row>
    <row r="1940" spans="6:16" x14ac:dyDescent="0.2">
      <c r="F1940" s="28"/>
      <c r="H1940" s="28"/>
      <c r="I1940" s="28"/>
      <c r="J1940" s="28"/>
      <c r="K1940" s="9"/>
      <c r="O1940" s="9"/>
      <c r="P1940" s="77"/>
    </row>
    <row r="1941" spans="6:16" x14ac:dyDescent="0.2">
      <c r="F1941" s="28"/>
      <c r="H1941" s="28"/>
      <c r="I1941" s="28"/>
      <c r="J1941" s="28"/>
      <c r="K1941" s="9"/>
      <c r="O1941" s="9"/>
      <c r="P1941" s="77"/>
    </row>
    <row r="1942" spans="6:16" x14ac:dyDescent="0.2">
      <c r="F1942" s="28"/>
      <c r="H1942" s="28"/>
      <c r="I1942" s="28"/>
      <c r="J1942" s="28"/>
      <c r="K1942" s="9"/>
      <c r="O1942" s="9"/>
      <c r="P1942" s="77"/>
    </row>
    <row r="1943" spans="6:16" x14ac:dyDescent="0.2">
      <c r="F1943" s="28"/>
      <c r="H1943" s="28"/>
      <c r="I1943" s="28"/>
      <c r="J1943" s="28"/>
      <c r="K1943" s="9"/>
      <c r="O1943" s="9"/>
      <c r="P1943" s="77"/>
    </row>
    <row r="1944" spans="6:16" x14ac:dyDescent="0.2">
      <c r="F1944" s="28"/>
      <c r="H1944" s="28"/>
      <c r="I1944" s="28"/>
      <c r="J1944" s="28"/>
      <c r="K1944" s="9"/>
      <c r="O1944" s="9"/>
      <c r="P1944" s="77"/>
    </row>
    <row r="1945" spans="6:16" x14ac:dyDescent="0.2">
      <c r="F1945" s="28"/>
      <c r="H1945" s="28"/>
      <c r="I1945" s="28"/>
      <c r="J1945" s="28"/>
      <c r="K1945" s="9"/>
      <c r="O1945" s="9"/>
      <c r="P1945" s="77"/>
    </row>
    <row r="1946" spans="6:16" x14ac:dyDescent="0.2">
      <c r="F1946" s="28"/>
      <c r="H1946" s="28"/>
      <c r="I1946" s="28"/>
      <c r="J1946" s="28"/>
      <c r="K1946" s="9"/>
      <c r="O1946" s="9"/>
      <c r="P1946" s="77"/>
    </row>
    <row r="1947" spans="6:16" x14ac:dyDescent="0.2">
      <c r="F1947" s="28"/>
      <c r="H1947" s="28"/>
      <c r="I1947" s="28"/>
      <c r="J1947" s="28"/>
      <c r="K1947" s="9"/>
      <c r="O1947" s="9"/>
      <c r="P1947" s="77"/>
    </row>
    <row r="1948" spans="6:16" x14ac:dyDescent="0.2">
      <c r="F1948" s="28"/>
      <c r="H1948" s="28"/>
      <c r="I1948" s="28"/>
      <c r="J1948" s="28"/>
      <c r="K1948" s="9"/>
      <c r="O1948" s="9"/>
      <c r="P1948" s="77"/>
    </row>
    <row r="1949" spans="6:16" x14ac:dyDescent="0.2">
      <c r="F1949" s="28"/>
      <c r="H1949" s="28"/>
      <c r="I1949" s="28"/>
      <c r="J1949" s="28"/>
      <c r="K1949" s="9"/>
      <c r="O1949" s="9"/>
      <c r="P1949" s="77"/>
    </row>
    <row r="1950" spans="6:16" x14ac:dyDescent="0.2">
      <c r="F1950" s="28"/>
      <c r="H1950" s="28"/>
      <c r="I1950" s="28"/>
      <c r="J1950" s="28"/>
      <c r="K1950" s="9"/>
      <c r="O1950" s="9"/>
      <c r="P1950" s="77"/>
    </row>
    <row r="1951" spans="6:16" x14ac:dyDescent="0.2">
      <c r="F1951" s="28"/>
      <c r="H1951" s="28"/>
      <c r="I1951" s="28"/>
      <c r="J1951" s="28"/>
      <c r="K1951" s="9"/>
      <c r="O1951" s="9"/>
      <c r="P1951" s="77"/>
    </row>
    <row r="1952" spans="6:16" x14ac:dyDescent="0.2">
      <c r="F1952" s="28"/>
      <c r="H1952" s="28"/>
      <c r="I1952" s="28"/>
      <c r="J1952" s="28"/>
      <c r="K1952" s="9"/>
      <c r="O1952" s="9"/>
      <c r="P1952" s="77"/>
    </row>
    <row r="1953" spans="6:16" x14ac:dyDescent="0.2">
      <c r="F1953" s="28"/>
      <c r="H1953" s="28"/>
      <c r="I1953" s="28"/>
      <c r="J1953" s="28"/>
      <c r="K1953" s="9"/>
      <c r="O1953" s="9"/>
      <c r="P1953" s="77"/>
    </row>
    <row r="1954" spans="6:16" x14ac:dyDescent="0.2">
      <c r="F1954" s="28"/>
      <c r="H1954" s="28"/>
      <c r="I1954" s="28"/>
      <c r="J1954" s="28"/>
      <c r="K1954" s="9"/>
      <c r="O1954" s="9"/>
      <c r="P1954" s="77"/>
    </row>
    <row r="1955" spans="6:16" x14ac:dyDescent="0.2">
      <c r="F1955" s="28"/>
      <c r="H1955" s="28"/>
      <c r="I1955" s="28"/>
      <c r="J1955" s="28"/>
      <c r="K1955" s="9"/>
      <c r="O1955" s="9"/>
      <c r="P1955" s="77"/>
    </row>
    <row r="1956" spans="6:16" x14ac:dyDescent="0.2">
      <c r="F1956" s="28"/>
      <c r="H1956" s="28"/>
      <c r="I1956" s="28"/>
      <c r="J1956" s="28"/>
      <c r="K1956" s="9"/>
      <c r="O1956" s="9"/>
      <c r="P1956" s="77"/>
    </row>
    <row r="1957" spans="6:16" x14ac:dyDescent="0.2">
      <c r="F1957" s="28"/>
      <c r="H1957" s="28"/>
      <c r="I1957" s="28"/>
      <c r="J1957" s="28"/>
      <c r="K1957" s="9"/>
      <c r="O1957" s="9"/>
      <c r="P1957" s="77"/>
    </row>
    <row r="1958" spans="6:16" x14ac:dyDescent="0.2">
      <c r="F1958" s="28"/>
      <c r="H1958" s="28"/>
      <c r="I1958" s="28"/>
      <c r="J1958" s="28"/>
      <c r="K1958" s="9"/>
      <c r="O1958" s="9"/>
      <c r="P1958" s="77"/>
    </row>
    <row r="1959" spans="6:16" x14ac:dyDescent="0.2">
      <c r="F1959" s="28"/>
      <c r="H1959" s="28"/>
      <c r="I1959" s="28"/>
      <c r="J1959" s="28"/>
      <c r="K1959" s="9"/>
      <c r="O1959" s="9"/>
      <c r="P1959" s="77"/>
    </row>
    <row r="1960" spans="6:16" x14ac:dyDescent="0.2">
      <c r="F1960" s="28"/>
      <c r="H1960" s="28"/>
      <c r="I1960" s="28"/>
      <c r="J1960" s="28"/>
      <c r="K1960" s="9"/>
      <c r="O1960" s="9"/>
      <c r="P1960" s="77"/>
    </row>
    <row r="1961" spans="6:16" x14ac:dyDescent="0.2">
      <c r="F1961" s="28"/>
      <c r="H1961" s="28"/>
      <c r="I1961" s="28"/>
      <c r="J1961" s="28"/>
      <c r="K1961" s="9"/>
      <c r="O1961" s="9"/>
      <c r="P1961" s="77"/>
    </row>
    <row r="1962" spans="6:16" x14ac:dyDescent="0.2">
      <c r="F1962" s="28"/>
      <c r="H1962" s="28"/>
      <c r="I1962" s="28"/>
      <c r="J1962" s="28"/>
      <c r="K1962" s="9"/>
      <c r="O1962" s="9"/>
      <c r="P1962" s="77"/>
    </row>
    <row r="1963" spans="6:16" x14ac:dyDescent="0.2">
      <c r="F1963" s="28"/>
      <c r="H1963" s="28"/>
      <c r="I1963" s="28"/>
      <c r="J1963" s="28"/>
      <c r="K1963" s="9"/>
      <c r="O1963" s="9"/>
      <c r="P1963" s="77"/>
    </row>
    <row r="1964" spans="6:16" x14ac:dyDescent="0.2">
      <c r="F1964" s="28"/>
      <c r="H1964" s="28"/>
      <c r="I1964" s="28"/>
      <c r="J1964" s="28"/>
      <c r="K1964" s="9"/>
      <c r="O1964" s="9"/>
      <c r="P1964" s="77"/>
    </row>
    <row r="1965" spans="6:16" x14ac:dyDescent="0.2">
      <c r="F1965" s="28"/>
      <c r="H1965" s="28"/>
      <c r="I1965" s="28"/>
      <c r="J1965" s="28"/>
      <c r="K1965" s="9"/>
      <c r="O1965" s="9"/>
      <c r="P1965" s="77"/>
    </row>
    <row r="1966" spans="6:16" x14ac:dyDescent="0.2">
      <c r="F1966" s="28"/>
      <c r="H1966" s="28"/>
      <c r="I1966" s="28"/>
      <c r="J1966" s="28"/>
      <c r="K1966" s="9"/>
      <c r="O1966" s="9"/>
      <c r="P1966" s="77"/>
    </row>
    <row r="1967" spans="6:16" x14ac:dyDescent="0.2">
      <c r="F1967" s="28"/>
      <c r="H1967" s="28"/>
      <c r="I1967" s="28"/>
      <c r="J1967" s="28"/>
      <c r="K1967" s="9"/>
      <c r="O1967" s="9"/>
      <c r="P1967" s="77"/>
    </row>
    <row r="1968" spans="6:16" x14ac:dyDescent="0.2">
      <c r="F1968" s="28"/>
      <c r="H1968" s="28"/>
      <c r="I1968" s="28"/>
      <c r="J1968" s="28"/>
      <c r="K1968" s="9"/>
      <c r="O1968" s="9"/>
      <c r="P1968" s="77"/>
    </row>
    <row r="1969" spans="6:16" x14ac:dyDescent="0.2">
      <c r="F1969" s="28"/>
      <c r="H1969" s="28"/>
      <c r="I1969" s="28"/>
      <c r="J1969" s="28"/>
      <c r="K1969" s="9"/>
      <c r="O1969" s="9"/>
      <c r="P1969" s="77"/>
    </row>
    <row r="1970" spans="6:16" x14ac:dyDescent="0.2">
      <c r="F1970" s="28"/>
      <c r="H1970" s="28"/>
      <c r="I1970" s="28"/>
      <c r="J1970" s="28"/>
      <c r="K1970" s="9"/>
      <c r="O1970" s="9"/>
      <c r="P1970" s="77"/>
    </row>
    <row r="1971" spans="6:16" x14ac:dyDescent="0.2">
      <c r="F1971" s="28"/>
      <c r="H1971" s="28"/>
      <c r="I1971" s="28"/>
      <c r="J1971" s="28"/>
      <c r="K1971" s="9"/>
      <c r="O1971" s="9"/>
      <c r="P1971" s="77"/>
    </row>
    <row r="1972" spans="6:16" x14ac:dyDescent="0.2">
      <c r="F1972" s="28"/>
      <c r="H1972" s="28"/>
      <c r="I1972" s="28"/>
      <c r="J1972" s="28"/>
      <c r="K1972" s="9"/>
      <c r="O1972" s="9"/>
      <c r="P1972" s="77"/>
    </row>
    <row r="1973" spans="6:16" x14ac:dyDescent="0.2">
      <c r="F1973" s="28"/>
      <c r="H1973" s="28"/>
      <c r="I1973" s="28"/>
      <c r="J1973" s="28"/>
      <c r="K1973" s="9"/>
      <c r="O1973" s="9"/>
      <c r="P1973" s="77"/>
    </row>
    <row r="1974" spans="6:16" x14ac:dyDescent="0.2">
      <c r="F1974" s="28"/>
      <c r="H1974" s="28"/>
      <c r="I1974" s="28"/>
      <c r="J1974" s="28"/>
      <c r="K1974" s="9"/>
      <c r="O1974" s="9"/>
      <c r="P1974" s="77"/>
    </row>
    <row r="1975" spans="6:16" x14ac:dyDescent="0.2">
      <c r="F1975" s="28"/>
      <c r="H1975" s="28"/>
      <c r="I1975" s="28"/>
      <c r="J1975" s="28"/>
      <c r="K1975" s="9"/>
      <c r="O1975" s="9"/>
      <c r="P1975" s="77"/>
    </row>
    <row r="1976" spans="6:16" x14ac:dyDescent="0.2">
      <c r="F1976" s="28"/>
      <c r="H1976" s="28"/>
      <c r="I1976" s="28"/>
      <c r="J1976" s="28"/>
      <c r="K1976" s="9"/>
      <c r="O1976" s="9"/>
      <c r="P1976" s="77"/>
    </row>
    <row r="1977" spans="6:16" x14ac:dyDescent="0.2">
      <c r="F1977" s="28"/>
      <c r="H1977" s="28"/>
      <c r="I1977" s="28"/>
      <c r="J1977" s="28"/>
      <c r="K1977" s="9"/>
      <c r="O1977" s="9"/>
      <c r="P1977" s="77"/>
    </row>
    <row r="1978" spans="6:16" x14ac:dyDescent="0.2">
      <c r="F1978" s="28"/>
      <c r="H1978" s="28"/>
      <c r="I1978" s="28"/>
      <c r="J1978" s="28"/>
      <c r="K1978" s="9"/>
      <c r="O1978" s="9"/>
      <c r="P1978" s="77"/>
    </row>
    <row r="1979" spans="6:16" x14ac:dyDescent="0.2">
      <c r="F1979" s="28"/>
      <c r="H1979" s="28"/>
      <c r="I1979" s="28"/>
      <c r="J1979" s="28"/>
      <c r="K1979" s="9"/>
      <c r="O1979" s="9"/>
      <c r="P1979" s="77"/>
    </row>
    <row r="1980" spans="6:16" x14ac:dyDescent="0.2">
      <c r="F1980" s="28"/>
      <c r="H1980" s="28"/>
      <c r="I1980" s="28"/>
      <c r="J1980" s="28"/>
      <c r="K1980" s="9"/>
      <c r="O1980" s="9"/>
      <c r="P1980" s="77"/>
    </row>
    <row r="1981" spans="6:16" x14ac:dyDescent="0.2">
      <c r="F1981" s="28"/>
      <c r="H1981" s="28"/>
      <c r="I1981" s="28"/>
      <c r="J1981" s="28"/>
      <c r="K1981" s="9"/>
      <c r="O1981" s="9"/>
      <c r="P1981" s="77"/>
    </row>
    <row r="1982" spans="6:16" x14ac:dyDescent="0.2">
      <c r="F1982" s="28"/>
      <c r="H1982" s="28"/>
      <c r="I1982" s="28"/>
      <c r="J1982" s="28"/>
      <c r="K1982" s="9"/>
      <c r="O1982" s="9"/>
      <c r="P1982" s="77"/>
    </row>
    <row r="1983" spans="6:16" x14ac:dyDescent="0.2">
      <c r="F1983" s="28"/>
      <c r="H1983" s="28"/>
      <c r="I1983" s="28"/>
      <c r="J1983" s="28"/>
      <c r="K1983" s="9"/>
      <c r="O1983" s="9"/>
      <c r="P1983" s="77"/>
    </row>
    <row r="1984" spans="6:16" x14ac:dyDescent="0.2">
      <c r="F1984" s="28"/>
      <c r="H1984" s="28"/>
      <c r="I1984" s="28"/>
      <c r="J1984" s="28"/>
      <c r="K1984" s="9"/>
      <c r="O1984" s="9"/>
      <c r="P1984" s="77"/>
    </row>
    <row r="1985" spans="6:16" x14ac:dyDescent="0.2">
      <c r="F1985" s="28"/>
      <c r="H1985" s="28"/>
      <c r="I1985" s="28"/>
      <c r="J1985" s="28"/>
      <c r="K1985" s="9"/>
      <c r="O1985" s="9"/>
      <c r="P1985" s="77"/>
    </row>
    <row r="1986" spans="6:16" x14ac:dyDescent="0.2">
      <c r="F1986" s="28"/>
      <c r="H1986" s="28"/>
      <c r="I1986" s="28"/>
      <c r="J1986" s="28"/>
      <c r="K1986" s="9"/>
      <c r="O1986" s="9"/>
      <c r="P1986" s="77"/>
    </row>
    <row r="1987" spans="6:16" x14ac:dyDescent="0.2">
      <c r="F1987" s="28"/>
      <c r="H1987" s="28"/>
      <c r="I1987" s="28"/>
      <c r="J1987" s="28"/>
      <c r="K1987" s="9"/>
      <c r="O1987" s="9"/>
      <c r="P1987" s="77"/>
    </row>
    <row r="1988" spans="6:16" x14ac:dyDescent="0.2">
      <c r="F1988" s="28"/>
      <c r="H1988" s="28"/>
      <c r="I1988" s="28"/>
      <c r="J1988" s="28"/>
      <c r="K1988" s="9"/>
      <c r="O1988" s="9"/>
      <c r="P1988" s="77"/>
    </row>
    <row r="1989" spans="6:16" x14ac:dyDescent="0.2">
      <c r="F1989" s="28"/>
      <c r="H1989" s="28"/>
      <c r="I1989" s="28"/>
      <c r="J1989" s="28"/>
      <c r="K1989" s="9"/>
      <c r="O1989" s="9"/>
      <c r="P1989" s="77"/>
    </row>
    <row r="1990" spans="6:16" x14ac:dyDescent="0.2">
      <c r="F1990" s="28"/>
      <c r="H1990" s="28"/>
      <c r="I1990" s="28"/>
      <c r="J1990" s="28"/>
      <c r="K1990" s="9"/>
      <c r="O1990" s="9"/>
      <c r="P1990" s="77"/>
    </row>
    <row r="1991" spans="6:16" x14ac:dyDescent="0.2">
      <c r="F1991" s="28"/>
      <c r="H1991" s="28"/>
      <c r="I1991" s="28"/>
      <c r="J1991" s="28"/>
      <c r="K1991" s="9"/>
      <c r="O1991" s="9"/>
      <c r="P1991" s="77"/>
    </row>
    <row r="1992" spans="6:16" x14ac:dyDescent="0.2">
      <c r="F1992" s="28"/>
      <c r="H1992" s="28"/>
      <c r="I1992" s="28"/>
      <c r="J1992" s="28"/>
      <c r="K1992" s="9"/>
      <c r="O1992" s="9"/>
      <c r="P1992" s="77"/>
    </row>
    <row r="1993" spans="6:16" x14ac:dyDescent="0.2">
      <c r="F1993" s="28"/>
      <c r="H1993" s="28"/>
      <c r="I1993" s="28"/>
      <c r="J1993" s="28"/>
      <c r="K1993" s="9"/>
      <c r="O1993" s="9"/>
      <c r="P1993" s="77"/>
    </row>
    <row r="1994" spans="6:16" x14ac:dyDescent="0.2">
      <c r="F1994" s="28"/>
      <c r="H1994" s="28"/>
      <c r="I1994" s="28"/>
      <c r="J1994" s="28"/>
      <c r="K1994" s="9"/>
      <c r="O1994" s="9"/>
      <c r="P1994" s="77"/>
    </row>
    <row r="1995" spans="6:16" x14ac:dyDescent="0.2">
      <c r="F1995" s="28"/>
      <c r="H1995" s="28"/>
      <c r="I1995" s="28"/>
      <c r="J1995" s="28"/>
      <c r="K1995" s="9"/>
      <c r="O1995" s="9"/>
      <c r="P1995" s="77"/>
    </row>
    <row r="1996" spans="6:16" x14ac:dyDescent="0.2">
      <c r="F1996" s="28"/>
      <c r="H1996" s="28"/>
      <c r="I1996" s="28"/>
      <c r="J1996" s="28"/>
      <c r="K1996" s="9"/>
      <c r="O1996" s="9"/>
      <c r="P1996" s="77"/>
    </row>
    <row r="1997" spans="6:16" x14ac:dyDescent="0.2">
      <c r="F1997" s="28"/>
      <c r="H1997" s="28"/>
      <c r="I1997" s="28"/>
      <c r="J1997" s="28"/>
      <c r="K1997" s="9"/>
      <c r="O1997" s="9"/>
      <c r="P1997" s="77"/>
    </row>
    <row r="1998" spans="6:16" x14ac:dyDescent="0.2">
      <c r="F1998" s="28"/>
      <c r="H1998" s="28"/>
      <c r="I1998" s="28"/>
      <c r="J1998" s="28"/>
      <c r="K1998" s="9"/>
      <c r="O1998" s="9"/>
      <c r="P1998" s="77"/>
    </row>
    <row r="1999" spans="6:16" x14ac:dyDescent="0.2">
      <c r="F1999" s="28"/>
      <c r="H1999" s="28"/>
      <c r="I1999" s="28"/>
      <c r="J1999" s="28"/>
      <c r="K1999" s="9"/>
      <c r="O1999" s="9"/>
      <c r="P1999" s="77"/>
    </row>
    <row r="2000" spans="6:16" x14ac:dyDescent="0.2">
      <c r="F2000" s="28"/>
      <c r="H2000" s="28"/>
      <c r="I2000" s="28"/>
      <c r="J2000" s="28"/>
      <c r="K2000" s="9"/>
      <c r="O2000" s="9"/>
      <c r="P2000" s="77"/>
    </row>
    <row r="2001" spans="6:16" x14ac:dyDescent="0.2">
      <c r="F2001" s="28"/>
      <c r="H2001" s="28"/>
      <c r="I2001" s="28"/>
      <c r="J2001" s="28"/>
      <c r="K2001" s="9"/>
      <c r="O2001" s="9"/>
      <c r="P2001" s="77"/>
    </row>
    <row r="2002" spans="6:16" x14ac:dyDescent="0.2">
      <c r="F2002" s="28"/>
      <c r="H2002" s="28"/>
      <c r="I2002" s="28"/>
      <c r="J2002" s="28"/>
      <c r="K2002" s="9"/>
      <c r="O2002" s="9"/>
      <c r="P2002" s="77"/>
    </row>
    <row r="2003" spans="6:16" x14ac:dyDescent="0.2">
      <c r="F2003" s="28"/>
      <c r="H2003" s="28"/>
      <c r="I2003" s="28"/>
      <c r="J2003" s="28"/>
      <c r="K2003" s="9"/>
      <c r="O2003" s="9"/>
      <c r="P2003" s="77"/>
    </row>
    <row r="2004" spans="6:16" x14ac:dyDescent="0.2">
      <c r="F2004" s="28"/>
      <c r="H2004" s="28"/>
      <c r="I2004" s="28"/>
      <c r="J2004" s="28"/>
      <c r="K2004" s="9"/>
      <c r="O2004" s="9"/>
      <c r="P2004" s="77"/>
    </row>
    <row r="2005" spans="6:16" x14ac:dyDescent="0.2">
      <c r="F2005" s="28"/>
      <c r="H2005" s="28"/>
      <c r="I2005" s="28"/>
      <c r="J2005" s="28"/>
      <c r="K2005" s="9"/>
      <c r="O2005" s="9"/>
      <c r="P2005" s="77"/>
    </row>
    <row r="2006" spans="6:16" x14ac:dyDescent="0.2">
      <c r="F2006" s="28"/>
      <c r="H2006" s="28"/>
      <c r="I2006" s="28"/>
      <c r="J2006" s="28"/>
      <c r="K2006" s="9"/>
      <c r="O2006" s="9"/>
      <c r="P2006" s="77"/>
    </row>
    <row r="2007" spans="6:16" x14ac:dyDescent="0.2">
      <c r="F2007" s="28"/>
      <c r="H2007" s="28"/>
      <c r="I2007" s="28"/>
      <c r="J2007" s="28"/>
      <c r="K2007" s="9"/>
      <c r="O2007" s="9"/>
      <c r="P2007" s="77"/>
    </row>
    <row r="2008" spans="6:16" x14ac:dyDescent="0.2">
      <c r="F2008" s="28"/>
      <c r="H2008" s="28"/>
      <c r="I2008" s="28"/>
      <c r="J2008" s="28"/>
      <c r="K2008" s="9"/>
      <c r="O2008" s="9"/>
      <c r="P2008" s="77"/>
    </row>
    <row r="2009" spans="6:16" x14ac:dyDescent="0.2">
      <c r="F2009" s="28"/>
      <c r="H2009" s="28"/>
      <c r="I2009" s="28"/>
      <c r="J2009" s="28"/>
      <c r="K2009" s="9"/>
      <c r="O2009" s="9"/>
      <c r="P2009" s="77"/>
    </row>
    <row r="2010" spans="6:16" x14ac:dyDescent="0.2">
      <c r="F2010" s="28"/>
      <c r="H2010" s="28"/>
      <c r="I2010" s="28"/>
      <c r="J2010" s="28"/>
      <c r="K2010" s="9"/>
      <c r="O2010" s="9"/>
      <c r="P2010" s="77"/>
    </row>
    <row r="2011" spans="6:16" x14ac:dyDescent="0.2">
      <c r="F2011" s="28"/>
      <c r="H2011" s="28"/>
      <c r="I2011" s="28"/>
      <c r="J2011" s="28"/>
      <c r="K2011" s="9"/>
      <c r="O2011" s="9"/>
      <c r="P2011" s="77"/>
    </row>
    <row r="2012" spans="6:16" x14ac:dyDescent="0.2">
      <c r="F2012" s="28"/>
      <c r="H2012" s="28"/>
      <c r="I2012" s="28"/>
      <c r="J2012" s="28"/>
      <c r="K2012" s="9"/>
      <c r="O2012" s="9"/>
      <c r="P2012" s="77"/>
    </row>
    <row r="2013" spans="6:16" x14ac:dyDescent="0.2">
      <c r="F2013" s="28"/>
      <c r="H2013" s="28"/>
      <c r="I2013" s="28"/>
      <c r="J2013" s="28"/>
      <c r="K2013" s="9"/>
      <c r="O2013" s="9"/>
      <c r="P2013" s="77"/>
    </row>
    <row r="2014" spans="6:16" x14ac:dyDescent="0.2">
      <c r="F2014" s="28"/>
      <c r="H2014" s="28"/>
      <c r="I2014" s="28"/>
      <c r="J2014" s="28"/>
      <c r="K2014" s="9"/>
      <c r="O2014" s="9"/>
      <c r="P2014" s="77"/>
    </row>
    <row r="2015" spans="6:16" x14ac:dyDescent="0.2">
      <c r="F2015" s="28"/>
      <c r="H2015" s="28"/>
      <c r="I2015" s="28"/>
      <c r="J2015" s="28"/>
      <c r="K2015" s="9"/>
      <c r="O2015" s="9"/>
      <c r="P2015" s="77"/>
    </row>
    <row r="2016" spans="6:16" x14ac:dyDescent="0.2">
      <c r="F2016" s="28"/>
      <c r="H2016" s="28"/>
      <c r="I2016" s="28"/>
      <c r="J2016" s="28"/>
      <c r="K2016" s="9"/>
      <c r="O2016" s="9"/>
      <c r="P2016" s="77"/>
    </row>
    <row r="2017" spans="6:16" x14ac:dyDescent="0.2">
      <c r="F2017" s="28"/>
      <c r="H2017" s="28"/>
      <c r="I2017" s="28"/>
      <c r="J2017" s="28"/>
      <c r="K2017" s="9"/>
      <c r="O2017" s="9"/>
      <c r="P2017" s="77"/>
    </row>
    <row r="2018" spans="6:16" x14ac:dyDescent="0.2">
      <c r="F2018" s="28"/>
      <c r="H2018" s="28"/>
      <c r="I2018" s="28"/>
      <c r="J2018" s="28"/>
      <c r="K2018" s="9"/>
      <c r="O2018" s="9"/>
      <c r="P2018" s="77"/>
    </row>
    <row r="2019" spans="6:16" x14ac:dyDescent="0.2">
      <c r="F2019" s="28"/>
      <c r="H2019" s="28"/>
      <c r="I2019" s="28"/>
      <c r="J2019" s="28"/>
      <c r="K2019" s="9"/>
      <c r="O2019" s="9"/>
      <c r="P2019" s="77"/>
    </row>
    <row r="2020" spans="6:16" x14ac:dyDescent="0.2">
      <c r="F2020" s="28"/>
      <c r="H2020" s="28"/>
      <c r="I2020" s="28"/>
      <c r="J2020" s="28"/>
      <c r="K2020" s="9"/>
      <c r="O2020" s="9"/>
      <c r="P2020" s="77"/>
    </row>
    <row r="2021" spans="6:16" x14ac:dyDescent="0.2">
      <c r="F2021" s="28"/>
      <c r="H2021" s="28"/>
      <c r="I2021" s="28"/>
      <c r="J2021" s="28"/>
      <c r="K2021" s="9"/>
      <c r="O2021" s="9"/>
      <c r="P2021" s="77"/>
    </row>
    <row r="2022" spans="6:16" x14ac:dyDescent="0.2">
      <c r="F2022" s="28"/>
      <c r="H2022" s="28"/>
      <c r="I2022" s="28"/>
      <c r="J2022" s="28"/>
      <c r="K2022" s="9"/>
      <c r="O2022" s="9"/>
      <c r="P2022" s="77"/>
    </row>
    <row r="2023" spans="6:16" x14ac:dyDescent="0.2">
      <c r="F2023" s="28"/>
      <c r="H2023" s="28"/>
      <c r="I2023" s="28"/>
      <c r="J2023" s="28"/>
      <c r="K2023" s="9"/>
      <c r="O2023" s="9"/>
      <c r="P2023" s="77"/>
    </row>
    <row r="2024" spans="6:16" x14ac:dyDescent="0.2">
      <c r="F2024" s="28"/>
      <c r="H2024" s="28"/>
      <c r="I2024" s="28"/>
      <c r="J2024" s="28"/>
      <c r="K2024" s="9"/>
      <c r="O2024" s="9"/>
      <c r="P2024" s="77"/>
    </row>
    <row r="2025" spans="6:16" x14ac:dyDescent="0.2">
      <c r="F2025" s="28"/>
      <c r="H2025" s="28"/>
      <c r="I2025" s="28"/>
      <c r="J2025" s="28"/>
      <c r="K2025" s="9"/>
      <c r="O2025" s="9"/>
      <c r="P2025" s="77"/>
    </row>
    <row r="2026" spans="6:16" x14ac:dyDescent="0.2">
      <c r="F2026" s="28"/>
      <c r="H2026" s="28"/>
      <c r="I2026" s="28"/>
      <c r="J2026" s="28"/>
      <c r="K2026" s="9"/>
      <c r="O2026" s="9"/>
      <c r="P2026" s="77"/>
    </row>
    <row r="2027" spans="6:16" x14ac:dyDescent="0.2">
      <c r="F2027" s="28"/>
      <c r="H2027" s="28"/>
      <c r="I2027" s="28"/>
      <c r="J2027" s="28"/>
      <c r="K2027" s="9"/>
      <c r="O2027" s="9"/>
      <c r="P2027" s="77"/>
    </row>
    <row r="2028" spans="6:16" x14ac:dyDescent="0.2">
      <c r="F2028" s="28"/>
      <c r="H2028" s="28"/>
      <c r="I2028" s="28"/>
      <c r="J2028" s="28"/>
      <c r="K2028" s="9"/>
      <c r="O2028" s="9"/>
      <c r="P2028" s="77"/>
    </row>
    <row r="2029" spans="6:16" x14ac:dyDescent="0.2">
      <c r="F2029" s="28"/>
      <c r="H2029" s="28"/>
      <c r="I2029" s="28"/>
      <c r="J2029" s="28"/>
      <c r="K2029" s="9"/>
      <c r="O2029" s="9"/>
      <c r="P2029" s="77"/>
    </row>
    <row r="2030" spans="6:16" x14ac:dyDescent="0.2">
      <c r="F2030" s="28"/>
      <c r="H2030" s="28"/>
      <c r="I2030" s="28"/>
      <c r="J2030" s="28"/>
      <c r="K2030" s="9"/>
      <c r="O2030" s="9"/>
      <c r="P2030" s="77"/>
    </row>
    <row r="2031" spans="6:16" x14ac:dyDescent="0.2">
      <c r="F2031" s="28"/>
      <c r="H2031" s="28"/>
      <c r="I2031" s="28"/>
      <c r="J2031" s="28"/>
      <c r="K2031" s="9"/>
      <c r="O2031" s="9"/>
      <c r="P2031" s="77"/>
    </row>
    <row r="2032" spans="6:16" x14ac:dyDescent="0.2">
      <c r="F2032" s="28"/>
      <c r="H2032" s="28"/>
      <c r="I2032" s="28"/>
      <c r="J2032" s="28"/>
      <c r="K2032" s="9"/>
      <c r="O2032" s="9"/>
      <c r="P2032" s="77"/>
    </row>
    <row r="2033" spans="6:16" x14ac:dyDescent="0.2">
      <c r="F2033" s="28"/>
      <c r="H2033" s="28"/>
      <c r="I2033" s="28"/>
      <c r="J2033" s="28"/>
      <c r="K2033" s="9"/>
      <c r="O2033" s="9"/>
      <c r="P2033" s="77"/>
    </row>
    <row r="2034" spans="6:16" x14ac:dyDescent="0.2">
      <c r="F2034" s="28"/>
      <c r="H2034" s="28"/>
      <c r="I2034" s="28"/>
      <c r="J2034" s="28"/>
      <c r="K2034" s="9"/>
      <c r="O2034" s="9"/>
      <c r="P2034" s="77"/>
    </row>
    <row r="2035" spans="6:16" x14ac:dyDescent="0.2">
      <c r="F2035" s="28"/>
      <c r="H2035" s="28"/>
      <c r="I2035" s="28"/>
      <c r="J2035" s="28"/>
      <c r="K2035" s="9"/>
      <c r="O2035" s="9"/>
      <c r="P2035" s="77"/>
    </row>
    <row r="2036" spans="6:16" x14ac:dyDescent="0.2">
      <c r="F2036" s="28"/>
      <c r="H2036" s="28"/>
      <c r="I2036" s="28"/>
      <c r="J2036" s="28"/>
      <c r="K2036" s="9"/>
      <c r="O2036" s="9"/>
      <c r="P2036" s="77"/>
    </row>
    <row r="2037" spans="6:16" x14ac:dyDescent="0.2">
      <c r="F2037" s="28"/>
      <c r="H2037" s="28"/>
      <c r="I2037" s="28"/>
      <c r="J2037" s="28"/>
      <c r="K2037" s="9"/>
      <c r="O2037" s="9"/>
      <c r="P2037" s="77"/>
    </row>
    <row r="2038" spans="6:16" x14ac:dyDescent="0.2">
      <c r="F2038" s="28"/>
      <c r="H2038" s="28"/>
      <c r="I2038" s="28"/>
      <c r="J2038" s="28"/>
      <c r="K2038" s="9"/>
      <c r="O2038" s="9"/>
      <c r="P2038" s="77"/>
    </row>
    <row r="2039" spans="6:16" x14ac:dyDescent="0.2">
      <c r="F2039" s="28"/>
      <c r="H2039" s="28"/>
      <c r="I2039" s="28"/>
      <c r="J2039" s="28"/>
      <c r="K2039" s="9"/>
      <c r="O2039" s="9"/>
      <c r="P2039" s="77"/>
    </row>
    <row r="2040" spans="6:16" x14ac:dyDescent="0.2">
      <c r="F2040" s="28"/>
      <c r="H2040" s="28"/>
      <c r="I2040" s="28"/>
      <c r="J2040" s="28"/>
      <c r="K2040" s="9"/>
      <c r="O2040" s="9"/>
      <c r="P2040" s="77"/>
    </row>
    <row r="2041" spans="6:16" x14ac:dyDescent="0.2">
      <c r="F2041" s="28"/>
      <c r="H2041" s="28"/>
      <c r="I2041" s="28"/>
      <c r="J2041" s="28"/>
      <c r="K2041" s="9"/>
      <c r="O2041" s="9"/>
      <c r="P2041" s="77"/>
    </row>
    <row r="2042" spans="6:16" x14ac:dyDescent="0.2">
      <c r="F2042" s="28"/>
      <c r="H2042" s="28"/>
      <c r="I2042" s="28"/>
      <c r="J2042" s="28"/>
      <c r="K2042" s="9"/>
      <c r="O2042" s="9"/>
      <c r="P2042" s="77"/>
    </row>
    <row r="2043" spans="6:16" x14ac:dyDescent="0.2">
      <c r="F2043" s="28"/>
      <c r="H2043" s="28"/>
      <c r="I2043" s="28"/>
      <c r="J2043" s="28"/>
      <c r="K2043" s="9"/>
      <c r="O2043" s="9"/>
      <c r="P2043" s="77"/>
    </row>
    <row r="2044" spans="6:16" x14ac:dyDescent="0.2">
      <c r="F2044" s="28"/>
      <c r="H2044" s="28"/>
      <c r="I2044" s="28"/>
      <c r="J2044" s="28"/>
      <c r="K2044" s="9"/>
      <c r="O2044" s="9"/>
      <c r="P2044" s="77"/>
    </row>
    <row r="2045" spans="6:16" x14ac:dyDescent="0.2">
      <c r="F2045" s="28"/>
      <c r="H2045" s="28"/>
      <c r="I2045" s="28"/>
      <c r="J2045" s="28"/>
      <c r="K2045" s="9"/>
      <c r="O2045" s="9"/>
      <c r="P2045" s="77"/>
    </row>
    <row r="2046" spans="6:16" x14ac:dyDescent="0.2">
      <c r="F2046" s="28"/>
      <c r="H2046" s="28"/>
      <c r="I2046" s="28"/>
      <c r="J2046" s="28"/>
      <c r="K2046" s="9"/>
      <c r="O2046" s="9"/>
      <c r="P2046" s="77"/>
    </row>
    <row r="2047" spans="6:16" x14ac:dyDescent="0.2">
      <c r="F2047" s="28"/>
      <c r="H2047" s="28"/>
      <c r="I2047" s="28"/>
      <c r="J2047" s="28"/>
      <c r="K2047" s="9"/>
      <c r="O2047" s="9"/>
      <c r="P2047" s="77"/>
    </row>
    <row r="2048" spans="6:16" x14ac:dyDescent="0.2">
      <c r="F2048" s="28"/>
      <c r="H2048" s="28"/>
      <c r="I2048" s="28"/>
      <c r="J2048" s="28"/>
      <c r="K2048" s="9"/>
      <c r="O2048" s="9"/>
      <c r="P2048" s="77"/>
    </row>
    <row r="2049" spans="6:16" x14ac:dyDescent="0.2">
      <c r="F2049" s="28"/>
      <c r="H2049" s="28"/>
      <c r="I2049" s="28"/>
      <c r="J2049" s="28"/>
      <c r="K2049" s="9"/>
      <c r="O2049" s="9"/>
      <c r="P2049" s="77"/>
    </row>
    <row r="2050" spans="6:16" x14ac:dyDescent="0.2">
      <c r="F2050" s="28"/>
      <c r="H2050" s="28"/>
      <c r="I2050" s="28"/>
      <c r="J2050" s="28"/>
      <c r="K2050" s="9"/>
      <c r="O2050" s="9"/>
      <c r="P2050" s="77"/>
    </row>
    <row r="2051" spans="6:16" x14ac:dyDescent="0.2">
      <c r="F2051" s="28"/>
      <c r="H2051" s="28"/>
      <c r="I2051" s="28"/>
      <c r="J2051" s="28"/>
      <c r="K2051" s="9"/>
      <c r="O2051" s="9"/>
      <c r="P2051" s="77"/>
    </row>
    <row r="2052" spans="6:16" x14ac:dyDescent="0.2">
      <c r="F2052" s="28"/>
      <c r="H2052" s="28"/>
      <c r="I2052" s="28"/>
      <c r="J2052" s="28"/>
      <c r="K2052" s="9"/>
      <c r="O2052" s="9"/>
      <c r="P2052" s="77"/>
    </row>
    <row r="2053" spans="6:16" x14ac:dyDescent="0.2">
      <c r="F2053" s="28"/>
      <c r="H2053" s="28"/>
      <c r="I2053" s="28"/>
      <c r="J2053" s="28"/>
      <c r="K2053" s="9"/>
      <c r="O2053" s="9"/>
      <c r="P2053" s="77"/>
    </row>
    <row r="2054" spans="6:16" x14ac:dyDescent="0.2">
      <c r="F2054" s="28"/>
      <c r="H2054" s="28"/>
      <c r="I2054" s="28"/>
      <c r="J2054" s="28"/>
      <c r="K2054" s="9"/>
      <c r="O2054" s="9"/>
      <c r="P2054" s="77"/>
    </row>
    <row r="2055" spans="6:16" x14ac:dyDescent="0.2">
      <c r="F2055" s="28"/>
      <c r="H2055" s="28"/>
      <c r="I2055" s="28"/>
      <c r="J2055" s="28"/>
      <c r="K2055" s="9"/>
      <c r="O2055" s="9"/>
      <c r="P2055" s="77"/>
    </row>
    <row r="2056" spans="6:16" x14ac:dyDescent="0.2">
      <c r="F2056" s="28"/>
      <c r="H2056" s="28"/>
      <c r="I2056" s="28"/>
      <c r="J2056" s="28"/>
      <c r="K2056" s="9"/>
      <c r="O2056" s="9"/>
      <c r="P2056" s="77"/>
    </row>
    <row r="2057" spans="6:16" x14ac:dyDescent="0.2">
      <c r="F2057" s="28"/>
      <c r="H2057" s="28"/>
      <c r="I2057" s="28"/>
      <c r="J2057" s="28"/>
      <c r="K2057" s="9"/>
      <c r="O2057" s="9"/>
      <c r="P2057" s="77"/>
    </row>
    <row r="2058" spans="6:16" x14ac:dyDescent="0.2">
      <c r="F2058" s="28"/>
      <c r="H2058" s="28"/>
      <c r="I2058" s="28"/>
      <c r="J2058" s="28"/>
      <c r="K2058" s="9"/>
      <c r="O2058" s="9"/>
      <c r="P2058" s="77"/>
    </row>
    <row r="2059" spans="6:16" x14ac:dyDescent="0.2">
      <c r="F2059" s="28"/>
      <c r="H2059" s="28"/>
      <c r="I2059" s="28"/>
      <c r="J2059" s="28"/>
      <c r="K2059" s="9"/>
      <c r="O2059" s="9"/>
      <c r="P2059" s="77"/>
    </row>
    <row r="2060" spans="6:16" x14ac:dyDescent="0.2">
      <c r="F2060" s="28"/>
      <c r="H2060" s="28"/>
      <c r="I2060" s="28"/>
      <c r="J2060" s="28"/>
      <c r="K2060" s="9"/>
      <c r="O2060" s="9"/>
      <c r="P2060" s="77"/>
    </row>
    <row r="2061" spans="6:16" x14ac:dyDescent="0.2">
      <c r="F2061" s="28"/>
      <c r="H2061" s="28"/>
      <c r="I2061" s="28"/>
      <c r="J2061" s="28"/>
      <c r="K2061" s="9"/>
      <c r="O2061" s="9"/>
      <c r="P2061" s="77"/>
    </row>
    <row r="2062" spans="6:16" x14ac:dyDescent="0.2">
      <c r="F2062" s="28"/>
      <c r="H2062" s="28"/>
      <c r="I2062" s="28"/>
      <c r="J2062" s="28"/>
      <c r="K2062" s="9"/>
      <c r="O2062" s="9"/>
      <c r="P2062" s="77"/>
    </row>
    <row r="2063" spans="6:16" x14ac:dyDescent="0.2">
      <c r="F2063" s="28"/>
      <c r="H2063" s="28"/>
      <c r="I2063" s="28"/>
      <c r="J2063" s="28"/>
      <c r="K2063" s="9"/>
      <c r="O2063" s="9"/>
      <c r="P2063" s="77"/>
    </row>
    <row r="2064" spans="6:16" x14ac:dyDescent="0.2">
      <c r="F2064" s="28"/>
      <c r="H2064" s="28"/>
      <c r="I2064" s="28"/>
      <c r="J2064" s="28"/>
      <c r="K2064" s="9"/>
      <c r="O2064" s="9"/>
      <c r="P2064" s="77"/>
    </row>
    <row r="2065" spans="6:16" x14ac:dyDescent="0.2">
      <c r="F2065" s="28"/>
      <c r="H2065" s="28"/>
      <c r="I2065" s="28"/>
      <c r="J2065" s="28"/>
      <c r="K2065" s="9"/>
      <c r="O2065" s="9"/>
      <c r="P2065" s="77"/>
    </row>
    <row r="2066" spans="6:16" x14ac:dyDescent="0.2">
      <c r="F2066" s="28"/>
      <c r="H2066" s="28"/>
      <c r="I2066" s="28"/>
      <c r="J2066" s="28"/>
      <c r="K2066" s="9"/>
      <c r="O2066" s="9"/>
      <c r="P2066" s="77"/>
    </row>
    <row r="2067" spans="6:16" x14ac:dyDescent="0.2">
      <c r="F2067" s="28"/>
      <c r="H2067" s="28"/>
      <c r="I2067" s="28"/>
      <c r="J2067" s="28"/>
      <c r="K2067" s="9"/>
      <c r="O2067" s="9"/>
      <c r="P2067" s="77"/>
    </row>
    <row r="2068" spans="6:16" x14ac:dyDescent="0.2">
      <c r="F2068" s="28"/>
      <c r="H2068" s="28"/>
      <c r="I2068" s="28"/>
      <c r="J2068" s="28"/>
      <c r="K2068" s="9"/>
      <c r="O2068" s="9"/>
      <c r="P2068" s="77"/>
    </row>
    <row r="2069" spans="6:16" x14ac:dyDescent="0.2">
      <c r="F2069" s="28"/>
      <c r="H2069" s="28"/>
      <c r="I2069" s="28"/>
      <c r="J2069" s="28"/>
      <c r="K2069" s="9"/>
      <c r="O2069" s="9"/>
      <c r="P2069" s="77"/>
    </row>
    <row r="2070" spans="6:16" x14ac:dyDescent="0.2">
      <c r="F2070" s="28"/>
      <c r="H2070" s="28"/>
      <c r="I2070" s="28"/>
      <c r="J2070" s="28"/>
      <c r="K2070" s="9"/>
      <c r="O2070" s="9"/>
      <c r="P2070" s="77"/>
    </row>
    <row r="2071" spans="6:16" x14ac:dyDescent="0.2">
      <c r="F2071" s="28"/>
      <c r="H2071" s="28"/>
      <c r="I2071" s="28"/>
      <c r="J2071" s="28"/>
      <c r="K2071" s="9"/>
      <c r="O2071" s="9"/>
      <c r="P2071" s="77"/>
    </row>
    <row r="2072" spans="6:16" x14ac:dyDescent="0.2">
      <c r="F2072" s="28"/>
      <c r="H2072" s="28"/>
      <c r="I2072" s="28"/>
      <c r="J2072" s="28"/>
      <c r="K2072" s="9"/>
      <c r="O2072" s="9"/>
      <c r="P2072" s="77"/>
    </row>
    <row r="2073" spans="6:16" x14ac:dyDescent="0.2">
      <c r="F2073" s="28"/>
      <c r="H2073" s="28"/>
      <c r="I2073" s="28"/>
      <c r="J2073" s="28"/>
      <c r="K2073" s="9"/>
      <c r="O2073" s="9"/>
      <c r="P2073" s="77"/>
    </row>
    <row r="2074" spans="6:16" x14ac:dyDescent="0.2">
      <c r="F2074" s="28"/>
      <c r="H2074" s="28"/>
      <c r="I2074" s="28"/>
      <c r="J2074" s="28"/>
      <c r="K2074" s="9"/>
      <c r="O2074" s="9"/>
      <c r="P2074" s="77"/>
    </row>
    <row r="2075" spans="6:16" x14ac:dyDescent="0.2">
      <c r="F2075" s="28"/>
      <c r="H2075" s="28"/>
      <c r="I2075" s="28"/>
      <c r="J2075" s="28"/>
      <c r="K2075" s="9"/>
      <c r="O2075" s="9"/>
      <c r="P2075" s="77"/>
    </row>
    <row r="2076" spans="6:16" x14ac:dyDescent="0.2">
      <c r="F2076" s="28"/>
      <c r="H2076" s="28"/>
      <c r="I2076" s="28"/>
      <c r="J2076" s="28"/>
      <c r="K2076" s="9"/>
      <c r="O2076" s="9"/>
      <c r="P2076" s="77"/>
    </row>
    <row r="2077" spans="6:16" x14ac:dyDescent="0.2">
      <c r="F2077" s="28"/>
      <c r="H2077" s="28"/>
      <c r="I2077" s="28"/>
      <c r="J2077" s="28"/>
      <c r="K2077" s="9"/>
      <c r="O2077" s="9"/>
      <c r="P2077" s="77"/>
    </row>
    <row r="2078" spans="6:16" x14ac:dyDescent="0.2">
      <c r="F2078" s="28"/>
      <c r="H2078" s="28"/>
      <c r="I2078" s="28"/>
      <c r="J2078" s="28"/>
      <c r="K2078" s="9"/>
      <c r="O2078" s="9"/>
      <c r="P2078" s="77"/>
    </row>
    <row r="2079" spans="6:16" x14ac:dyDescent="0.2">
      <c r="F2079" s="28"/>
      <c r="H2079" s="28"/>
      <c r="I2079" s="28"/>
      <c r="J2079" s="28"/>
      <c r="K2079" s="9"/>
      <c r="O2079" s="9"/>
      <c r="P2079" s="77"/>
    </row>
    <row r="2080" spans="6:16" x14ac:dyDescent="0.2">
      <c r="F2080" s="28"/>
      <c r="H2080" s="28"/>
      <c r="I2080" s="28"/>
      <c r="J2080" s="28"/>
      <c r="K2080" s="9"/>
      <c r="O2080" s="9"/>
      <c r="P2080" s="77"/>
    </row>
    <row r="2081" spans="6:16" x14ac:dyDescent="0.2">
      <c r="F2081" s="28"/>
      <c r="H2081" s="28"/>
      <c r="I2081" s="28"/>
      <c r="J2081" s="28"/>
      <c r="K2081" s="9"/>
      <c r="O2081" s="9"/>
      <c r="P2081" s="77"/>
    </row>
    <row r="2082" spans="6:16" x14ac:dyDescent="0.2">
      <c r="F2082" s="28"/>
      <c r="H2082" s="28"/>
      <c r="I2082" s="28"/>
      <c r="J2082" s="28"/>
      <c r="K2082" s="9"/>
      <c r="O2082" s="9"/>
      <c r="P2082" s="77"/>
    </row>
    <row r="2083" spans="6:16" x14ac:dyDescent="0.2">
      <c r="F2083" s="28"/>
      <c r="H2083" s="28"/>
      <c r="I2083" s="28"/>
      <c r="J2083" s="28"/>
      <c r="K2083" s="9"/>
      <c r="O2083" s="9"/>
      <c r="P2083" s="77"/>
    </row>
    <row r="2084" spans="6:16" x14ac:dyDescent="0.2">
      <c r="F2084" s="28"/>
      <c r="H2084" s="28"/>
      <c r="I2084" s="28"/>
      <c r="J2084" s="28"/>
      <c r="K2084" s="9"/>
      <c r="O2084" s="9"/>
      <c r="P2084" s="77"/>
    </row>
    <row r="2085" spans="6:16" x14ac:dyDescent="0.2">
      <c r="F2085" s="28"/>
      <c r="H2085" s="28"/>
      <c r="I2085" s="28"/>
      <c r="J2085" s="28"/>
      <c r="K2085" s="9"/>
      <c r="O2085" s="9"/>
      <c r="P2085" s="77"/>
    </row>
    <row r="2086" spans="6:16" x14ac:dyDescent="0.2">
      <c r="F2086" s="28"/>
      <c r="H2086" s="28"/>
      <c r="I2086" s="28"/>
      <c r="J2086" s="28"/>
      <c r="K2086" s="9"/>
      <c r="O2086" s="9"/>
      <c r="P2086" s="77"/>
    </row>
    <row r="2087" spans="6:16" x14ac:dyDescent="0.2">
      <c r="F2087" s="28"/>
      <c r="H2087" s="28"/>
      <c r="I2087" s="28"/>
      <c r="J2087" s="28"/>
      <c r="K2087" s="9"/>
      <c r="O2087" s="9"/>
      <c r="P2087" s="77"/>
    </row>
    <row r="2088" spans="6:16" x14ac:dyDescent="0.2">
      <c r="F2088" s="28"/>
      <c r="H2088" s="28"/>
      <c r="I2088" s="28"/>
      <c r="J2088" s="28"/>
      <c r="K2088" s="9"/>
      <c r="O2088" s="9"/>
      <c r="P2088" s="77"/>
    </row>
    <row r="2089" spans="6:16" x14ac:dyDescent="0.2">
      <c r="F2089" s="28"/>
      <c r="H2089" s="28"/>
      <c r="I2089" s="28"/>
      <c r="J2089" s="28"/>
      <c r="K2089" s="9"/>
      <c r="O2089" s="9"/>
      <c r="P2089" s="77"/>
    </row>
    <row r="2090" spans="6:16" x14ac:dyDescent="0.2">
      <c r="F2090" s="28"/>
      <c r="H2090" s="28"/>
      <c r="I2090" s="28"/>
      <c r="J2090" s="28"/>
      <c r="K2090" s="9"/>
      <c r="O2090" s="9"/>
      <c r="P2090" s="77"/>
    </row>
    <row r="2091" spans="6:16" x14ac:dyDescent="0.2">
      <c r="F2091" s="28"/>
      <c r="H2091" s="28"/>
      <c r="I2091" s="28"/>
      <c r="J2091" s="28"/>
      <c r="K2091" s="9"/>
      <c r="O2091" s="9"/>
      <c r="P2091" s="77"/>
    </row>
    <row r="2092" spans="6:16" x14ac:dyDescent="0.2">
      <c r="F2092" s="28"/>
      <c r="H2092" s="28"/>
      <c r="I2092" s="28"/>
      <c r="J2092" s="28"/>
      <c r="K2092" s="9"/>
      <c r="O2092" s="9"/>
      <c r="P2092" s="77"/>
    </row>
    <row r="2093" spans="6:16" x14ac:dyDescent="0.2">
      <c r="F2093" s="28"/>
      <c r="H2093" s="28"/>
      <c r="I2093" s="28"/>
      <c r="J2093" s="28"/>
      <c r="K2093" s="9"/>
      <c r="O2093" s="9"/>
      <c r="P2093" s="77"/>
    </row>
    <row r="2094" spans="6:16" x14ac:dyDescent="0.2">
      <c r="F2094" s="28"/>
      <c r="H2094" s="28"/>
      <c r="I2094" s="28"/>
      <c r="J2094" s="28"/>
      <c r="K2094" s="9"/>
      <c r="O2094" s="9"/>
      <c r="P2094" s="77"/>
    </row>
    <row r="2095" spans="6:16" x14ac:dyDescent="0.2">
      <c r="F2095" s="28"/>
      <c r="H2095" s="28"/>
      <c r="I2095" s="28"/>
      <c r="J2095" s="28"/>
      <c r="K2095" s="9"/>
      <c r="O2095" s="9"/>
      <c r="P2095" s="77"/>
    </row>
    <row r="2096" spans="6:16" x14ac:dyDescent="0.2">
      <c r="F2096" s="28"/>
      <c r="H2096" s="28"/>
      <c r="I2096" s="28"/>
      <c r="J2096" s="28"/>
      <c r="K2096" s="9"/>
      <c r="O2096" s="9"/>
      <c r="P2096" s="77"/>
    </row>
    <row r="2097" spans="6:16" x14ac:dyDescent="0.2">
      <c r="F2097" s="28"/>
      <c r="H2097" s="28"/>
      <c r="I2097" s="28"/>
      <c r="J2097" s="28"/>
      <c r="K2097" s="9"/>
      <c r="O2097" s="9"/>
      <c r="P2097" s="77"/>
    </row>
    <row r="2098" spans="6:16" x14ac:dyDescent="0.2">
      <c r="F2098" s="28"/>
      <c r="H2098" s="28"/>
      <c r="I2098" s="28"/>
      <c r="J2098" s="28"/>
      <c r="K2098" s="9"/>
      <c r="O2098" s="9"/>
      <c r="P2098" s="77"/>
    </row>
    <row r="2099" spans="6:16" x14ac:dyDescent="0.2">
      <c r="F2099" s="28"/>
      <c r="H2099" s="28"/>
      <c r="I2099" s="28"/>
      <c r="J2099" s="28"/>
      <c r="K2099" s="9"/>
      <c r="O2099" s="9"/>
      <c r="P2099" s="77"/>
    </row>
    <row r="2100" spans="6:16" x14ac:dyDescent="0.2">
      <c r="F2100" s="28"/>
      <c r="H2100" s="28"/>
      <c r="I2100" s="28"/>
      <c r="J2100" s="28"/>
      <c r="K2100" s="9"/>
      <c r="O2100" s="9"/>
      <c r="P2100" s="77"/>
    </row>
    <row r="2101" spans="6:16" x14ac:dyDescent="0.2">
      <c r="F2101" s="28"/>
      <c r="H2101" s="28"/>
      <c r="I2101" s="28"/>
      <c r="J2101" s="28"/>
      <c r="K2101" s="9"/>
      <c r="O2101" s="9"/>
      <c r="P2101" s="77"/>
    </row>
    <row r="2102" spans="6:16" x14ac:dyDescent="0.2">
      <c r="F2102" s="28"/>
      <c r="H2102" s="28"/>
      <c r="I2102" s="28"/>
      <c r="J2102" s="28"/>
      <c r="K2102" s="9"/>
      <c r="O2102" s="9"/>
      <c r="P2102" s="77"/>
    </row>
    <row r="2103" spans="6:16" x14ac:dyDescent="0.2">
      <c r="F2103" s="28"/>
      <c r="H2103" s="28"/>
      <c r="I2103" s="28"/>
      <c r="J2103" s="28"/>
      <c r="K2103" s="9"/>
      <c r="O2103" s="9"/>
      <c r="P2103" s="77"/>
    </row>
    <row r="2104" spans="6:16" x14ac:dyDescent="0.2">
      <c r="F2104" s="28"/>
      <c r="H2104" s="28"/>
      <c r="I2104" s="28"/>
      <c r="J2104" s="28"/>
      <c r="K2104" s="9"/>
      <c r="O2104" s="9"/>
      <c r="P2104" s="77"/>
    </row>
    <row r="2105" spans="6:16" x14ac:dyDescent="0.2">
      <c r="F2105" s="28"/>
      <c r="H2105" s="28"/>
      <c r="I2105" s="28"/>
      <c r="J2105" s="28"/>
      <c r="K2105" s="9"/>
      <c r="O2105" s="9"/>
      <c r="P2105" s="77"/>
    </row>
    <row r="2106" spans="6:16" x14ac:dyDescent="0.2">
      <c r="F2106" s="28"/>
      <c r="H2106" s="28"/>
      <c r="I2106" s="28"/>
      <c r="J2106" s="28"/>
      <c r="K2106" s="9"/>
      <c r="O2106" s="9"/>
      <c r="P2106" s="77"/>
    </row>
    <row r="2107" spans="6:16" x14ac:dyDescent="0.2">
      <c r="F2107" s="28"/>
      <c r="H2107" s="28"/>
      <c r="I2107" s="28"/>
      <c r="J2107" s="28"/>
      <c r="K2107" s="9"/>
      <c r="O2107" s="9"/>
      <c r="P2107" s="77"/>
    </row>
    <row r="2108" spans="6:16" x14ac:dyDescent="0.2">
      <c r="F2108" s="28"/>
      <c r="H2108" s="28"/>
      <c r="I2108" s="28"/>
      <c r="J2108" s="28"/>
      <c r="K2108" s="9"/>
      <c r="O2108" s="9"/>
      <c r="P2108" s="77"/>
    </row>
    <row r="2109" spans="6:16" x14ac:dyDescent="0.2">
      <c r="F2109" s="28"/>
      <c r="H2109" s="28"/>
      <c r="I2109" s="28"/>
      <c r="J2109" s="28"/>
      <c r="K2109" s="9"/>
      <c r="O2109" s="9"/>
      <c r="P2109" s="77"/>
    </row>
    <row r="2110" spans="6:16" x14ac:dyDescent="0.2">
      <c r="F2110" s="28"/>
      <c r="H2110" s="28"/>
      <c r="I2110" s="28"/>
      <c r="J2110" s="28"/>
      <c r="K2110" s="9"/>
      <c r="O2110" s="9"/>
      <c r="P2110" s="77"/>
    </row>
    <row r="2111" spans="6:16" x14ac:dyDescent="0.2">
      <c r="F2111" s="28"/>
      <c r="H2111" s="28"/>
      <c r="I2111" s="28"/>
      <c r="J2111" s="28"/>
      <c r="K2111" s="9"/>
      <c r="O2111" s="9"/>
      <c r="P2111" s="77"/>
    </row>
    <row r="2112" spans="6:16" x14ac:dyDescent="0.2">
      <c r="F2112" s="28"/>
      <c r="H2112" s="28"/>
      <c r="I2112" s="28"/>
      <c r="J2112" s="28"/>
      <c r="K2112" s="9"/>
      <c r="O2112" s="9"/>
      <c r="P2112" s="77"/>
    </row>
    <row r="2113" spans="6:16" x14ac:dyDescent="0.2">
      <c r="F2113" s="28"/>
      <c r="H2113" s="28"/>
      <c r="I2113" s="28"/>
      <c r="J2113" s="28"/>
      <c r="K2113" s="9"/>
      <c r="O2113" s="9"/>
      <c r="P2113" s="77"/>
    </row>
    <row r="2114" spans="6:16" x14ac:dyDescent="0.2">
      <c r="F2114" s="28"/>
      <c r="H2114" s="28"/>
      <c r="I2114" s="28"/>
      <c r="J2114" s="28"/>
      <c r="K2114" s="9"/>
      <c r="O2114" s="9"/>
      <c r="P2114" s="77"/>
    </row>
    <row r="2115" spans="6:16" x14ac:dyDescent="0.2">
      <c r="F2115" s="28"/>
      <c r="H2115" s="28"/>
      <c r="I2115" s="28"/>
      <c r="J2115" s="28"/>
      <c r="K2115" s="9"/>
      <c r="O2115" s="9"/>
      <c r="P2115" s="77"/>
    </row>
    <row r="2116" spans="6:16" x14ac:dyDescent="0.2">
      <c r="F2116" s="28"/>
      <c r="H2116" s="28"/>
      <c r="I2116" s="28"/>
      <c r="J2116" s="28"/>
      <c r="K2116" s="9"/>
      <c r="O2116" s="9"/>
      <c r="P2116" s="77"/>
    </row>
    <row r="2117" spans="6:16" x14ac:dyDescent="0.2">
      <c r="F2117" s="28"/>
      <c r="H2117" s="28"/>
      <c r="I2117" s="28"/>
      <c r="J2117" s="28"/>
      <c r="K2117" s="9"/>
      <c r="O2117" s="9"/>
      <c r="P2117" s="77"/>
    </row>
    <row r="2118" spans="6:16" x14ac:dyDescent="0.2">
      <c r="F2118" s="28"/>
      <c r="H2118" s="28"/>
      <c r="I2118" s="28"/>
      <c r="J2118" s="28"/>
      <c r="K2118" s="9"/>
      <c r="O2118" s="9"/>
      <c r="P2118" s="77"/>
    </row>
    <row r="2119" spans="6:16" x14ac:dyDescent="0.2">
      <c r="F2119" s="28"/>
      <c r="H2119" s="28"/>
      <c r="I2119" s="28"/>
      <c r="J2119" s="28"/>
      <c r="K2119" s="9"/>
      <c r="O2119" s="9"/>
      <c r="P2119" s="77"/>
    </row>
    <row r="2120" spans="6:16" x14ac:dyDescent="0.2">
      <c r="F2120" s="28"/>
      <c r="H2120" s="28"/>
      <c r="I2120" s="28"/>
      <c r="J2120" s="28"/>
      <c r="K2120" s="9"/>
      <c r="O2120" s="9"/>
      <c r="P2120" s="77"/>
    </row>
    <row r="2121" spans="6:16" x14ac:dyDescent="0.2">
      <c r="F2121" s="28"/>
      <c r="H2121" s="28"/>
      <c r="I2121" s="28"/>
      <c r="J2121" s="28"/>
      <c r="K2121" s="9"/>
      <c r="O2121" s="9"/>
      <c r="P2121" s="77"/>
    </row>
    <row r="2122" spans="6:16" x14ac:dyDescent="0.2">
      <c r="F2122" s="28"/>
      <c r="H2122" s="28"/>
      <c r="I2122" s="28"/>
      <c r="J2122" s="28"/>
      <c r="K2122" s="9"/>
      <c r="O2122" s="9"/>
      <c r="P2122" s="77"/>
    </row>
    <row r="2123" spans="6:16" x14ac:dyDescent="0.2">
      <c r="F2123" s="28"/>
      <c r="H2123" s="28"/>
      <c r="I2123" s="28"/>
      <c r="J2123" s="28"/>
      <c r="K2123" s="9"/>
      <c r="O2123" s="9"/>
      <c r="P2123" s="77"/>
    </row>
    <row r="2124" spans="6:16" x14ac:dyDescent="0.2">
      <c r="F2124" s="28"/>
      <c r="H2124" s="28"/>
      <c r="I2124" s="28"/>
      <c r="J2124" s="28"/>
      <c r="K2124" s="9"/>
      <c r="O2124" s="9"/>
      <c r="P2124" s="77"/>
    </row>
    <row r="2125" spans="6:16" x14ac:dyDescent="0.2">
      <c r="F2125" s="28"/>
      <c r="H2125" s="28"/>
      <c r="I2125" s="28"/>
      <c r="J2125" s="28"/>
      <c r="K2125" s="9"/>
      <c r="O2125" s="9"/>
      <c r="P2125" s="77"/>
    </row>
    <row r="2126" spans="6:16" x14ac:dyDescent="0.2">
      <c r="F2126" s="28"/>
      <c r="H2126" s="28"/>
      <c r="I2126" s="28"/>
      <c r="J2126" s="28"/>
      <c r="K2126" s="9"/>
      <c r="O2126" s="9"/>
      <c r="P2126" s="77"/>
    </row>
    <row r="2127" spans="6:16" x14ac:dyDescent="0.2">
      <c r="F2127" s="28"/>
      <c r="H2127" s="28"/>
      <c r="I2127" s="28"/>
      <c r="J2127" s="28"/>
      <c r="K2127" s="9"/>
      <c r="O2127" s="9"/>
      <c r="P2127" s="77"/>
    </row>
    <row r="2128" spans="6:16" x14ac:dyDescent="0.2">
      <c r="F2128" s="28"/>
      <c r="H2128" s="28"/>
      <c r="I2128" s="28"/>
      <c r="J2128" s="28"/>
      <c r="K2128" s="9"/>
      <c r="O2128" s="9"/>
      <c r="P2128" s="77"/>
    </row>
    <row r="2129" spans="6:16" x14ac:dyDescent="0.2">
      <c r="F2129" s="28"/>
      <c r="H2129" s="28"/>
      <c r="I2129" s="28"/>
      <c r="J2129" s="28"/>
      <c r="K2129" s="9"/>
      <c r="O2129" s="9"/>
      <c r="P2129" s="77"/>
    </row>
    <row r="2130" spans="6:16" x14ac:dyDescent="0.2">
      <c r="F2130" s="28"/>
      <c r="H2130" s="28"/>
      <c r="I2130" s="28"/>
      <c r="J2130" s="28"/>
      <c r="K2130" s="9"/>
      <c r="O2130" s="9"/>
      <c r="P2130" s="77"/>
    </row>
    <row r="2131" spans="6:16" x14ac:dyDescent="0.2">
      <c r="F2131" s="28"/>
      <c r="H2131" s="28"/>
      <c r="I2131" s="28"/>
      <c r="J2131" s="28"/>
      <c r="K2131" s="9"/>
      <c r="O2131" s="9"/>
      <c r="P2131" s="77"/>
    </row>
    <row r="2132" spans="6:16" x14ac:dyDescent="0.2">
      <c r="F2132" s="28"/>
      <c r="H2132" s="28"/>
      <c r="I2132" s="28"/>
      <c r="J2132" s="28"/>
      <c r="K2132" s="9"/>
      <c r="O2132" s="9"/>
      <c r="P2132" s="77"/>
    </row>
    <row r="2133" spans="6:16" x14ac:dyDescent="0.2">
      <c r="F2133" s="28"/>
      <c r="H2133" s="28"/>
      <c r="I2133" s="28"/>
      <c r="J2133" s="28"/>
      <c r="K2133" s="9"/>
      <c r="O2133" s="9"/>
      <c r="P2133" s="77"/>
    </row>
    <row r="2134" spans="6:16" x14ac:dyDescent="0.2">
      <c r="F2134" s="28"/>
      <c r="H2134" s="28"/>
      <c r="I2134" s="28"/>
      <c r="J2134" s="28"/>
      <c r="K2134" s="9"/>
      <c r="O2134" s="9"/>
      <c r="P2134" s="77"/>
    </row>
    <row r="2135" spans="6:16" x14ac:dyDescent="0.2">
      <c r="F2135" s="28"/>
      <c r="H2135" s="28"/>
      <c r="I2135" s="28"/>
      <c r="J2135" s="28"/>
      <c r="K2135" s="9"/>
      <c r="O2135" s="9"/>
      <c r="P2135" s="77"/>
    </row>
    <row r="2136" spans="6:16" x14ac:dyDescent="0.2">
      <c r="F2136" s="28"/>
      <c r="H2136" s="28"/>
      <c r="I2136" s="28"/>
      <c r="J2136" s="28"/>
      <c r="K2136" s="9"/>
      <c r="O2136" s="9"/>
      <c r="P2136" s="77"/>
    </row>
    <row r="2137" spans="6:16" x14ac:dyDescent="0.2">
      <c r="F2137" s="28"/>
      <c r="H2137" s="28"/>
      <c r="I2137" s="28"/>
      <c r="J2137" s="28"/>
      <c r="K2137" s="9"/>
      <c r="O2137" s="9"/>
      <c r="P2137" s="77"/>
    </row>
    <row r="2138" spans="6:16" x14ac:dyDescent="0.2">
      <c r="F2138" s="28"/>
      <c r="H2138" s="28"/>
      <c r="I2138" s="28"/>
      <c r="J2138" s="28"/>
      <c r="K2138" s="9"/>
      <c r="O2138" s="9"/>
      <c r="P2138" s="77"/>
    </row>
    <row r="2139" spans="6:16" x14ac:dyDescent="0.2">
      <c r="F2139" s="28"/>
      <c r="H2139" s="28"/>
      <c r="I2139" s="28"/>
      <c r="J2139" s="28"/>
      <c r="K2139" s="9"/>
      <c r="O2139" s="9"/>
      <c r="P2139" s="77"/>
    </row>
    <row r="2140" spans="6:16" x14ac:dyDescent="0.2">
      <c r="F2140" s="28"/>
      <c r="H2140" s="28"/>
      <c r="I2140" s="28"/>
      <c r="J2140" s="28"/>
      <c r="K2140" s="9"/>
      <c r="O2140" s="9"/>
      <c r="P2140" s="77"/>
    </row>
    <row r="2141" spans="6:16" x14ac:dyDescent="0.2">
      <c r="F2141" s="28"/>
      <c r="H2141" s="28"/>
      <c r="I2141" s="28"/>
      <c r="J2141" s="28"/>
      <c r="K2141" s="9"/>
      <c r="O2141" s="9"/>
      <c r="P2141" s="77"/>
    </row>
    <row r="2142" spans="6:16" x14ac:dyDescent="0.2">
      <c r="F2142" s="28"/>
      <c r="H2142" s="28"/>
      <c r="I2142" s="28"/>
      <c r="J2142" s="28"/>
      <c r="K2142" s="9"/>
      <c r="O2142" s="9"/>
      <c r="P2142" s="77"/>
    </row>
    <row r="2143" spans="6:16" x14ac:dyDescent="0.2">
      <c r="F2143" s="28"/>
      <c r="H2143" s="28"/>
      <c r="I2143" s="28"/>
      <c r="J2143" s="28"/>
      <c r="K2143" s="9"/>
      <c r="O2143" s="9"/>
      <c r="P2143" s="77"/>
    </row>
    <row r="2144" spans="6:16" x14ac:dyDescent="0.2">
      <c r="F2144" s="28"/>
      <c r="H2144" s="28"/>
      <c r="I2144" s="28"/>
      <c r="J2144" s="28"/>
      <c r="K2144" s="9"/>
      <c r="O2144" s="9"/>
      <c r="P2144" s="77"/>
    </row>
    <row r="2145" spans="6:16" x14ac:dyDescent="0.2">
      <c r="F2145" s="28"/>
      <c r="H2145" s="28"/>
      <c r="I2145" s="28"/>
      <c r="J2145" s="28"/>
      <c r="K2145" s="9"/>
      <c r="O2145" s="9"/>
      <c r="P2145" s="77"/>
    </row>
    <row r="2146" spans="6:16" x14ac:dyDescent="0.2">
      <c r="F2146" s="28"/>
      <c r="H2146" s="28"/>
      <c r="I2146" s="28"/>
      <c r="J2146" s="28"/>
      <c r="K2146" s="9"/>
      <c r="O2146" s="9"/>
      <c r="P2146" s="77"/>
    </row>
    <row r="2147" spans="6:16" x14ac:dyDescent="0.2">
      <c r="F2147" s="28"/>
      <c r="H2147" s="28"/>
      <c r="I2147" s="28"/>
      <c r="J2147" s="28"/>
      <c r="K2147" s="9"/>
      <c r="O2147" s="9"/>
      <c r="P2147" s="77"/>
    </row>
    <row r="2148" spans="6:16" x14ac:dyDescent="0.2">
      <c r="F2148" s="28"/>
      <c r="H2148" s="28"/>
      <c r="I2148" s="28"/>
      <c r="J2148" s="28"/>
      <c r="K2148" s="9"/>
      <c r="O2148" s="9"/>
      <c r="P2148" s="77"/>
    </row>
    <row r="2149" spans="6:16" x14ac:dyDescent="0.2">
      <c r="F2149" s="28"/>
      <c r="H2149" s="28"/>
      <c r="I2149" s="28"/>
      <c r="J2149" s="28"/>
      <c r="K2149" s="9"/>
      <c r="O2149" s="9"/>
      <c r="P2149" s="77"/>
    </row>
    <row r="2150" spans="6:16" x14ac:dyDescent="0.2">
      <c r="F2150" s="28"/>
      <c r="H2150" s="28"/>
      <c r="I2150" s="28"/>
      <c r="J2150" s="28"/>
      <c r="K2150" s="9"/>
      <c r="O2150" s="9"/>
      <c r="P2150" s="77"/>
    </row>
    <row r="2151" spans="6:16" x14ac:dyDescent="0.2">
      <c r="F2151" s="28"/>
      <c r="H2151" s="28"/>
      <c r="I2151" s="28"/>
      <c r="J2151" s="28"/>
      <c r="K2151" s="9"/>
      <c r="O2151" s="9"/>
      <c r="P2151" s="77"/>
    </row>
    <row r="2152" spans="6:16" x14ac:dyDescent="0.2">
      <c r="F2152" s="28"/>
      <c r="H2152" s="28"/>
      <c r="I2152" s="28"/>
      <c r="J2152" s="28"/>
      <c r="K2152" s="9"/>
      <c r="O2152" s="9"/>
      <c r="P2152" s="77"/>
    </row>
    <row r="2153" spans="6:16" x14ac:dyDescent="0.2">
      <c r="F2153" s="28"/>
      <c r="H2153" s="28"/>
      <c r="I2153" s="28"/>
      <c r="J2153" s="28"/>
      <c r="K2153" s="9"/>
      <c r="O2153" s="9"/>
      <c r="P2153" s="77"/>
    </row>
    <row r="2154" spans="6:16" x14ac:dyDescent="0.2">
      <c r="F2154" s="28"/>
      <c r="H2154" s="28"/>
      <c r="I2154" s="28"/>
      <c r="J2154" s="28"/>
      <c r="K2154" s="9"/>
      <c r="O2154" s="9"/>
      <c r="P2154" s="77"/>
    </row>
    <row r="2155" spans="6:16" x14ac:dyDescent="0.2">
      <c r="F2155" s="28"/>
      <c r="H2155" s="28"/>
      <c r="I2155" s="28"/>
      <c r="J2155" s="28"/>
      <c r="K2155" s="9"/>
      <c r="O2155" s="9"/>
      <c r="P2155" s="77"/>
    </row>
    <row r="2156" spans="6:16" x14ac:dyDescent="0.2">
      <c r="F2156" s="28"/>
      <c r="H2156" s="28"/>
      <c r="I2156" s="28"/>
      <c r="J2156" s="28"/>
      <c r="K2156" s="9"/>
      <c r="O2156" s="9"/>
      <c r="P2156" s="77"/>
    </row>
    <row r="2157" spans="6:16" x14ac:dyDescent="0.2">
      <c r="F2157" s="28"/>
      <c r="H2157" s="28"/>
      <c r="I2157" s="28"/>
      <c r="J2157" s="28"/>
      <c r="K2157" s="9"/>
      <c r="O2157" s="9"/>
      <c r="P2157" s="77"/>
    </row>
    <row r="2158" spans="6:16" x14ac:dyDescent="0.2">
      <c r="F2158" s="28"/>
      <c r="H2158" s="28"/>
      <c r="I2158" s="28"/>
      <c r="J2158" s="28"/>
      <c r="K2158" s="9"/>
      <c r="O2158" s="9"/>
      <c r="P2158" s="77"/>
    </row>
    <row r="2159" spans="6:16" x14ac:dyDescent="0.2">
      <c r="F2159" s="28"/>
      <c r="H2159" s="28"/>
      <c r="I2159" s="28"/>
      <c r="J2159" s="28"/>
      <c r="K2159" s="9"/>
      <c r="O2159" s="9"/>
      <c r="P2159" s="77"/>
    </row>
    <row r="2160" spans="6:16" x14ac:dyDescent="0.2">
      <c r="F2160" s="28"/>
      <c r="H2160" s="28"/>
      <c r="I2160" s="28"/>
      <c r="J2160" s="28"/>
      <c r="K2160" s="9"/>
      <c r="O2160" s="9"/>
      <c r="P2160" s="77"/>
    </row>
    <row r="2161" spans="6:16" x14ac:dyDescent="0.2">
      <c r="F2161" s="28"/>
      <c r="H2161" s="28"/>
      <c r="I2161" s="28"/>
      <c r="J2161" s="28"/>
      <c r="K2161" s="9"/>
      <c r="O2161" s="9"/>
      <c r="P2161" s="77"/>
    </row>
    <row r="2162" spans="6:16" x14ac:dyDescent="0.2">
      <c r="F2162" s="28"/>
      <c r="H2162" s="28"/>
      <c r="I2162" s="28"/>
      <c r="J2162" s="28"/>
      <c r="K2162" s="9"/>
      <c r="O2162" s="9"/>
      <c r="P2162" s="77"/>
    </row>
    <row r="2163" spans="6:16" x14ac:dyDescent="0.2">
      <c r="F2163" s="28"/>
      <c r="H2163" s="28"/>
      <c r="I2163" s="28"/>
      <c r="J2163" s="28"/>
      <c r="K2163" s="9"/>
      <c r="O2163" s="9"/>
      <c r="P2163" s="77"/>
    </row>
    <row r="2164" spans="6:16" x14ac:dyDescent="0.2">
      <c r="F2164" s="28"/>
      <c r="H2164" s="28"/>
      <c r="I2164" s="28"/>
      <c r="J2164" s="28"/>
      <c r="K2164" s="9"/>
      <c r="O2164" s="9"/>
      <c r="P2164" s="77"/>
    </row>
    <row r="2165" spans="6:16" x14ac:dyDescent="0.2">
      <c r="F2165" s="28"/>
      <c r="H2165" s="28"/>
      <c r="I2165" s="28"/>
      <c r="J2165" s="28"/>
      <c r="K2165" s="9"/>
      <c r="O2165" s="9"/>
      <c r="P2165" s="77"/>
    </row>
    <row r="2166" spans="6:16" x14ac:dyDescent="0.2">
      <c r="F2166" s="28"/>
      <c r="H2166" s="28"/>
      <c r="I2166" s="28"/>
      <c r="J2166" s="28"/>
      <c r="K2166" s="9"/>
      <c r="O2166" s="9"/>
      <c r="P2166" s="77"/>
    </row>
    <row r="2167" spans="6:16" x14ac:dyDescent="0.2">
      <c r="F2167" s="28"/>
      <c r="H2167" s="28"/>
      <c r="I2167" s="28"/>
      <c r="J2167" s="28"/>
      <c r="K2167" s="9"/>
      <c r="O2167" s="9"/>
      <c r="P2167" s="77"/>
    </row>
    <row r="2168" spans="6:16" x14ac:dyDescent="0.2">
      <c r="F2168" s="28"/>
      <c r="H2168" s="28"/>
      <c r="I2168" s="28"/>
      <c r="J2168" s="28"/>
      <c r="K2168" s="9"/>
      <c r="O2168" s="9"/>
      <c r="P2168" s="77"/>
    </row>
    <row r="2169" spans="6:16" x14ac:dyDescent="0.2">
      <c r="F2169" s="28"/>
      <c r="H2169" s="28"/>
      <c r="I2169" s="28"/>
      <c r="J2169" s="28"/>
      <c r="K2169" s="9"/>
      <c r="O2169" s="9"/>
      <c r="P2169" s="77"/>
    </row>
    <row r="2170" spans="6:16" x14ac:dyDescent="0.2">
      <c r="F2170" s="28"/>
      <c r="H2170" s="28"/>
      <c r="I2170" s="28"/>
      <c r="J2170" s="28"/>
      <c r="K2170" s="9"/>
      <c r="O2170" s="9"/>
      <c r="P2170" s="77"/>
    </row>
    <row r="2171" spans="6:16" x14ac:dyDescent="0.2">
      <c r="F2171" s="28"/>
      <c r="H2171" s="28"/>
      <c r="I2171" s="28"/>
      <c r="J2171" s="28"/>
      <c r="K2171" s="9"/>
      <c r="O2171" s="9"/>
      <c r="P2171" s="77"/>
    </row>
    <row r="2172" spans="6:16" x14ac:dyDescent="0.2">
      <c r="F2172" s="28"/>
      <c r="H2172" s="28"/>
      <c r="I2172" s="28"/>
      <c r="J2172" s="28"/>
      <c r="K2172" s="9"/>
      <c r="O2172" s="9"/>
      <c r="P2172" s="77"/>
    </row>
    <row r="2173" spans="6:16" x14ac:dyDescent="0.2">
      <c r="F2173" s="28"/>
      <c r="H2173" s="28"/>
      <c r="I2173" s="28"/>
      <c r="J2173" s="28"/>
      <c r="K2173" s="9"/>
      <c r="O2173" s="9"/>
      <c r="P2173" s="77"/>
    </row>
    <row r="2174" spans="6:16" x14ac:dyDescent="0.2">
      <c r="F2174" s="28"/>
      <c r="H2174" s="28"/>
      <c r="I2174" s="28"/>
      <c r="J2174" s="28"/>
      <c r="K2174" s="9"/>
      <c r="O2174" s="9"/>
      <c r="P2174" s="77"/>
    </row>
    <row r="2175" spans="6:16" x14ac:dyDescent="0.2">
      <c r="F2175" s="28"/>
      <c r="H2175" s="28"/>
      <c r="I2175" s="28"/>
      <c r="J2175" s="28"/>
      <c r="K2175" s="9"/>
      <c r="O2175" s="9"/>
      <c r="P2175" s="77"/>
    </row>
    <row r="2176" spans="6:16" x14ac:dyDescent="0.2">
      <c r="F2176" s="28"/>
      <c r="H2176" s="28"/>
      <c r="I2176" s="28"/>
      <c r="J2176" s="28"/>
      <c r="K2176" s="9"/>
      <c r="O2176" s="9"/>
      <c r="P2176" s="77"/>
    </row>
    <row r="2177" spans="6:16" x14ac:dyDescent="0.2">
      <c r="F2177" s="28"/>
      <c r="H2177" s="28"/>
      <c r="I2177" s="28"/>
      <c r="J2177" s="28"/>
      <c r="K2177" s="9"/>
      <c r="O2177" s="9"/>
      <c r="P2177" s="77"/>
    </row>
    <row r="2178" spans="6:16" x14ac:dyDescent="0.2">
      <c r="F2178" s="28"/>
      <c r="H2178" s="28"/>
      <c r="I2178" s="28"/>
      <c r="J2178" s="28"/>
      <c r="K2178" s="9"/>
      <c r="O2178" s="9"/>
      <c r="P2178" s="77"/>
    </row>
    <row r="2179" spans="6:16" x14ac:dyDescent="0.2">
      <c r="F2179" s="28"/>
      <c r="H2179" s="28"/>
      <c r="I2179" s="28"/>
      <c r="J2179" s="28"/>
      <c r="K2179" s="9"/>
      <c r="O2179" s="9"/>
      <c r="P2179" s="77"/>
    </row>
    <row r="2180" spans="6:16" x14ac:dyDescent="0.2">
      <c r="F2180" s="28"/>
      <c r="H2180" s="28"/>
      <c r="I2180" s="28"/>
      <c r="J2180" s="28"/>
      <c r="K2180" s="9"/>
      <c r="O2180" s="9"/>
      <c r="P2180" s="77"/>
    </row>
    <row r="2181" spans="6:16" x14ac:dyDescent="0.2">
      <c r="F2181" s="28"/>
      <c r="H2181" s="28"/>
      <c r="I2181" s="28"/>
      <c r="J2181" s="28"/>
      <c r="K2181" s="9"/>
      <c r="O2181" s="9"/>
      <c r="P2181" s="77"/>
    </row>
    <row r="2182" spans="6:16" x14ac:dyDescent="0.2">
      <c r="F2182" s="28"/>
      <c r="H2182" s="28"/>
      <c r="I2182" s="28"/>
      <c r="J2182" s="28"/>
      <c r="K2182" s="9"/>
      <c r="O2182" s="9"/>
      <c r="P2182" s="77"/>
    </row>
    <row r="2183" spans="6:16" x14ac:dyDescent="0.2">
      <c r="F2183" s="28"/>
      <c r="H2183" s="28"/>
      <c r="I2183" s="28"/>
      <c r="J2183" s="28"/>
      <c r="K2183" s="9"/>
      <c r="O2183" s="9"/>
      <c r="P2183" s="77"/>
    </row>
    <row r="2184" spans="6:16" x14ac:dyDescent="0.2">
      <c r="F2184" s="28"/>
      <c r="H2184" s="28"/>
      <c r="I2184" s="28"/>
      <c r="J2184" s="28"/>
      <c r="K2184" s="9"/>
      <c r="O2184" s="9"/>
      <c r="P2184" s="77"/>
    </row>
    <row r="2185" spans="6:16" x14ac:dyDescent="0.2">
      <c r="F2185" s="28"/>
      <c r="H2185" s="28"/>
      <c r="I2185" s="28"/>
      <c r="J2185" s="28"/>
      <c r="K2185" s="9"/>
      <c r="O2185" s="9"/>
      <c r="P2185" s="77"/>
    </row>
    <row r="2186" spans="6:16" x14ac:dyDescent="0.2">
      <c r="F2186" s="28"/>
      <c r="H2186" s="28"/>
      <c r="I2186" s="28"/>
      <c r="J2186" s="28"/>
      <c r="K2186" s="9"/>
      <c r="O2186" s="9"/>
      <c r="P2186" s="77"/>
    </row>
    <row r="2187" spans="6:16" x14ac:dyDescent="0.2">
      <c r="F2187" s="28"/>
      <c r="H2187" s="28"/>
      <c r="I2187" s="28"/>
      <c r="J2187" s="28"/>
      <c r="K2187" s="9"/>
      <c r="O2187" s="9"/>
      <c r="P2187" s="77"/>
    </row>
    <row r="2188" spans="6:16" x14ac:dyDescent="0.2">
      <c r="F2188" s="28"/>
      <c r="H2188" s="28"/>
      <c r="I2188" s="28"/>
      <c r="J2188" s="28"/>
      <c r="K2188" s="9"/>
      <c r="O2188" s="9"/>
      <c r="P2188" s="77"/>
    </row>
    <row r="2189" spans="6:16" x14ac:dyDescent="0.2">
      <c r="F2189" s="28"/>
      <c r="H2189" s="28"/>
      <c r="I2189" s="28"/>
      <c r="J2189" s="28"/>
      <c r="K2189" s="9"/>
      <c r="O2189" s="9"/>
      <c r="P2189" s="77"/>
    </row>
    <row r="2190" spans="6:16" x14ac:dyDescent="0.2">
      <c r="F2190" s="28"/>
      <c r="H2190" s="28"/>
      <c r="I2190" s="28"/>
      <c r="J2190" s="28"/>
      <c r="K2190" s="9"/>
      <c r="O2190" s="9"/>
      <c r="P2190" s="77"/>
    </row>
    <row r="2191" spans="6:16" x14ac:dyDescent="0.2">
      <c r="F2191" s="28"/>
      <c r="H2191" s="28"/>
      <c r="I2191" s="28"/>
      <c r="J2191" s="28"/>
      <c r="K2191" s="9"/>
      <c r="O2191" s="9"/>
      <c r="P2191" s="77"/>
    </row>
    <row r="2192" spans="6:16" x14ac:dyDescent="0.2">
      <c r="F2192" s="28"/>
      <c r="H2192" s="28"/>
      <c r="I2192" s="28"/>
      <c r="J2192" s="28"/>
      <c r="K2192" s="9"/>
      <c r="O2192" s="9"/>
      <c r="P2192" s="77"/>
    </row>
    <row r="2193" spans="6:16" x14ac:dyDescent="0.2">
      <c r="F2193" s="28"/>
      <c r="H2193" s="28"/>
      <c r="I2193" s="28"/>
      <c r="J2193" s="28"/>
      <c r="K2193" s="9"/>
      <c r="O2193" s="9"/>
      <c r="P2193" s="77"/>
    </row>
    <row r="2194" spans="6:16" x14ac:dyDescent="0.2">
      <c r="F2194" s="28"/>
      <c r="H2194" s="28"/>
      <c r="I2194" s="28"/>
      <c r="J2194" s="28"/>
      <c r="K2194" s="9"/>
      <c r="O2194" s="9"/>
      <c r="P2194" s="77"/>
    </row>
    <row r="2195" spans="6:16" x14ac:dyDescent="0.2">
      <c r="F2195" s="28"/>
      <c r="H2195" s="28"/>
      <c r="I2195" s="28"/>
      <c r="J2195" s="28"/>
      <c r="K2195" s="9"/>
      <c r="O2195" s="9"/>
      <c r="P2195" s="77"/>
    </row>
    <row r="2196" spans="6:16" x14ac:dyDescent="0.2">
      <c r="F2196" s="28"/>
      <c r="H2196" s="28"/>
      <c r="I2196" s="28"/>
      <c r="J2196" s="28"/>
      <c r="K2196" s="9"/>
      <c r="O2196" s="9"/>
      <c r="P2196" s="77"/>
    </row>
    <row r="2197" spans="6:16" x14ac:dyDescent="0.2">
      <c r="F2197" s="28"/>
      <c r="H2197" s="28"/>
      <c r="I2197" s="28"/>
      <c r="J2197" s="28"/>
      <c r="K2197" s="9"/>
      <c r="O2197" s="9"/>
      <c r="P2197" s="77"/>
    </row>
    <row r="2198" spans="6:16" x14ac:dyDescent="0.2">
      <c r="F2198" s="28"/>
      <c r="H2198" s="28"/>
      <c r="I2198" s="28"/>
      <c r="J2198" s="28"/>
      <c r="K2198" s="9"/>
      <c r="O2198" s="9"/>
      <c r="P2198" s="77"/>
    </row>
    <row r="2199" spans="6:16" x14ac:dyDescent="0.2">
      <c r="F2199" s="28"/>
      <c r="H2199" s="28"/>
      <c r="I2199" s="28"/>
      <c r="J2199" s="28"/>
      <c r="K2199" s="9"/>
      <c r="O2199" s="9"/>
      <c r="P2199" s="77"/>
    </row>
    <row r="2200" spans="6:16" x14ac:dyDescent="0.2">
      <c r="F2200" s="28"/>
      <c r="H2200" s="28"/>
      <c r="I2200" s="28"/>
      <c r="J2200" s="28"/>
      <c r="K2200" s="9"/>
      <c r="O2200" s="9"/>
      <c r="P2200" s="77"/>
    </row>
    <row r="2201" spans="6:16" x14ac:dyDescent="0.2">
      <c r="F2201" s="28"/>
      <c r="H2201" s="28"/>
      <c r="I2201" s="28"/>
      <c r="J2201" s="28"/>
      <c r="K2201" s="9"/>
      <c r="O2201" s="9"/>
      <c r="P2201" s="77"/>
    </row>
    <row r="2202" spans="6:16" x14ac:dyDescent="0.2">
      <c r="F2202" s="28"/>
      <c r="H2202" s="28"/>
      <c r="I2202" s="28"/>
      <c r="J2202" s="28"/>
      <c r="K2202" s="9"/>
      <c r="O2202" s="9"/>
      <c r="P2202" s="77"/>
    </row>
    <row r="2203" spans="6:16" x14ac:dyDescent="0.2">
      <c r="F2203" s="28"/>
      <c r="H2203" s="28"/>
      <c r="I2203" s="28"/>
      <c r="J2203" s="28"/>
      <c r="K2203" s="9"/>
      <c r="O2203" s="9"/>
      <c r="P2203" s="77"/>
    </row>
    <row r="2204" spans="6:16" x14ac:dyDescent="0.2">
      <c r="F2204" s="28"/>
      <c r="H2204" s="28"/>
      <c r="I2204" s="28"/>
      <c r="J2204" s="28"/>
      <c r="K2204" s="9"/>
      <c r="O2204" s="9"/>
      <c r="P2204" s="77"/>
    </row>
    <row r="2205" spans="6:16" x14ac:dyDescent="0.2">
      <c r="F2205" s="28"/>
      <c r="H2205" s="28"/>
      <c r="I2205" s="28"/>
      <c r="J2205" s="28"/>
      <c r="K2205" s="9"/>
      <c r="O2205" s="9"/>
      <c r="P2205" s="77"/>
    </row>
    <row r="2206" spans="6:16" x14ac:dyDescent="0.2">
      <c r="F2206" s="28"/>
      <c r="H2206" s="28"/>
      <c r="I2206" s="28"/>
      <c r="J2206" s="28"/>
      <c r="K2206" s="9"/>
      <c r="O2206" s="9"/>
      <c r="P2206" s="77"/>
    </row>
    <row r="2207" spans="6:16" x14ac:dyDescent="0.2">
      <c r="F2207" s="28"/>
      <c r="H2207" s="28"/>
      <c r="I2207" s="28"/>
      <c r="J2207" s="28"/>
      <c r="K2207" s="9"/>
      <c r="O2207" s="9"/>
      <c r="P2207" s="77"/>
    </row>
    <row r="2208" spans="6:16" x14ac:dyDescent="0.2">
      <c r="F2208" s="28"/>
      <c r="H2208" s="28"/>
      <c r="I2208" s="28"/>
      <c r="J2208" s="28"/>
      <c r="K2208" s="9"/>
      <c r="O2208" s="9"/>
      <c r="P2208" s="77"/>
    </row>
    <row r="2209" spans="6:16" x14ac:dyDescent="0.2">
      <c r="F2209" s="28"/>
      <c r="H2209" s="28"/>
      <c r="I2209" s="28"/>
      <c r="J2209" s="28"/>
      <c r="K2209" s="9"/>
      <c r="O2209" s="9"/>
      <c r="P2209" s="77"/>
    </row>
    <row r="2210" spans="6:16" x14ac:dyDescent="0.2">
      <c r="F2210" s="28"/>
      <c r="H2210" s="28"/>
      <c r="I2210" s="28"/>
      <c r="J2210" s="28"/>
      <c r="K2210" s="9"/>
      <c r="O2210" s="9"/>
      <c r="P2210" s="77"/>
    </row>
    <row r="2211" spans="6:16" x14ac:dyDescent="0.2">
      <c r="F2211" s="28"/>
      <c r="H2211" s="28"/>
      <c r="I2211" s="28"/>
      <c r="J2211" s="28"/>
      <c r="K2211" s="9"/>
      <c r="O2211" s="9"/>
      <c r="P2211" s="77"/>
    </row>
    <row r="2212" spans="6:16" x14ac:dyDescent="0.2">
      <c r="F2212" s="28"/>
      <c r="H2212" s="28"/>
      <c r="I2212" s="28"/>
      <c r="J2212" s="28"/>
      <c r="K2212" s="9"/>
      <c r="O2212" s="9"/>
      <c r="P2212" s="77"/>
    </row>
    <row r="2213" spans="6:16" x14ac:dyDescent="0.2">
      <c r="F2213" s="28"/>
      <c r="H2213" s="28"/>
      <c r="I2213" s="28"/>
      <c r="J2213" s="28"/>
      <c r="K2213" s="9"/>
      <c r="O2213" s="9"/>
      <c r="P2213" s="77"/>
    </row>
    <row r="2214" spans="6:16" x14ac:dyDescent="0.2">
      <c r="F2214" s="28"/>
      <c r="H2214" s="28"/>
      <c r="I2214" s="28"/>
      <c r="J2214" s="28"/>
      <c r="K2214" s="9"/>
      <c r="O2214" s="9"/>
      <c r="P2214" s="77"/>
    </row>
    <row r="2215" spans="6:16" x14ac:dyDescent="0.2">
      <c r="F2215" s="28"/>
      <c r="H2215" s="28"/>
      <c r="I2215" s="28"/>
      <c r="J2215" s="28"/>
      <c r="K2215" s="9"/>
      <c r="O2215" s="9"/>
      <c r="P2215" s="77"/>
    </row>
    <row r="2216" spans="6:16" x14ac:dyDescent="0.2">
      <c r="F2216" s="28"/>
      <c r="H2216" s="28"/>
      <c r="I2216" s="28"/>
      <c r="J2216" s="28"/>
      <c r="K2216" s="9"/>
      <c r="O2216" s="9"/>
      <c r="P2216" s="77"/>
    </row>
    <row r="2217" spans="6:16" x14ac:dyDescent="0.2">
      <c r="F2217" s="28"/>
      <c r="H2217" s="28"/>
      <c r="I2217" s="28"/>
      <c r="J2217" s="28"/>
      <c r="K2217" s="9"/>
      <c r="O2217" s="9"/>
      <c r="P2217" s="77"/>
    </row>
    <row r="2218" spans="6:16" x14ac:dyDescent="0.2">
      <c r="F2218" s="28"/>
      <c r="H2218" s="28"/>
      <c r="I2218" s="28"/>
      <c r="J2218" s="28"/>
      <c r="K2218" s="9"/>
      <c r="O2218" s="9"/>
      <c r="P2218" s="77"/>
    </row>
    <row r="2219" spans="6:16" x14ac:dyDescent="0.2">
      <c r="F2219" s="28"/>
      <c r="H2219" s="28"/>
      <c r="I2219" s="28"/>
      <c r="J2219" s="28"/>
      <c r="K2219" s="9"/>
      <c r="O2219" s="9"/>
      <c r="P2219" s="77"/>
    </row>
    <row r="2220" spans="6:16" x14ac:dyDescent="0.2">
      <c r="F2220" s="28"/>
      <c r="H2220" s="28"/>
      <c r="I2220" s="28"/>
      <c r="J2220" s="28"/>
      <c r="K2220" s="9"/>
      <c r="O2220" s="9"/>
      <c r="P2220" s="77"/>
    </row>
    <row r="2221" spans="6:16" x14ac:dyDescent="0.2">
      <c r="F2221" s="28"/>
      <c r="H2221" s="28"/>
      <c r="I2221" s="28"/>
      <c r="J2221" s="28"/>
      <c r="K2221" s="9"/>
      <c r="O2221" s="9"/>
      <c r="P2221" s="77"/>
    </row>
    <row r="2222" spans="6:16" x14ac:dyDescent="0.2">
      <c r="F2222" s="28"/>
      <c r="H2222" s="28"/>
      <c r="I2222" s="28"/>
      <c r="J2222" s="28"/>
      <c r="K2222" s="9"/>
      <c r="O2222" s="9"/>
      <c r="P2222" s="77"/>
    </row>
    <row r="2223" spans="6:16" x14ac:dyDescent="0.2">
      <c r="F2223" s="28"/>
      <c r="H2223" s="28"/>
      <c r="I2223" s="28"/>
      <c r="J2223" s="28"/>
      <c r="K2223" s="9"/>
      <c r="O2223" s="9"/>
      <c r="P2223" s="77"/>
    </row>
    <row r="2224" spans="6:16" x14ac:dyDescent="0.2">
      <c r="F2224" s="28"/>
      <c r="H2224" s="28"/>
      <c r="I2224" s="28"/>
      <c r="J2224" s="28"/>
      <c r="K2224" s="9"/>
      <c r="O2224" s="9"/>
      <c r="P2224" s="77"/>
    </row>
    <row r="2225" spans="6:16" x14ac:dyDescent="0.2">
      <c r="F2225" s="28"/>
      <c r="H2225" s="28"/>
      <c r="I2225" s="28"/>
      <c r="J2225" s="28"/>
      <c r="K2225" s="9"/>
      <c r="O2225" s="9"/>
      <c r="P2225" s="77"/>
    </row>
    <row r="2226" spans="6:16" x14ac:dyDescent="0.2">
      <c r="F2226" s="28"/>
      <c r="H2226" s="28"/>
      <c r="I2226" s="28"/>
      <c r="J2226" s="28"/>
      <c r="K2226" s="9"/>
      <c r="O2226" s="9"/>
      <c r="P2226" s="77"/>
    </row>
    <row r="2227" spans="6:16" x14ac:dyDescent="0.2">
      <c r="F2227" s="28"/>
      <c r="H2227" s="28"/>
      <c r="I2227" s="28"/>
      <c r="J2227" s="28"/>
      <c r="K2227" s="9"/>
      <c r="O2227" s="9"/>
      <c r="P2227" s="77"/>
    </row>
    <row r="2228" spans="6:16" x14ac:dyDescent="0.2">
      <c r="F2228" s="28"/>
      <c r="H2228" s="28"/>
      <c r="I2228" s="28"/>
      <c r="J2228" s="28"/>
      <c r="K2228" s="9"/>
      <c r="O2228" s="9"/>
      <c r="P2228" s="77"/>
    </row>
    <row r="2229" spans="6:16" x14ac:dyDescent="0.2">
      <c r="F2229" s="28"/>
      <c r="H2229" s="28"/>
      <c r="I2229" s="28"/>
      <c r="J2229" s="28"/>
      <c r="K2229" s="9"/>
      <c r="O2229" s="9"/>
      <c r="P2229" s="77"/>
    </row>
    <row r="2230" spans="6:16" x14ac:dyDescent="0.2">
      <c r="F2230" s="28"/>
      <c r="H2230" s="28"/>
      <c r="I2230" s="28"/>
      <c r="J2230" s="28"/>
      <c r="K2230" s="9"/>
      <c r="O2230" s="9"/>
      <c r="P2230" s="77"/>
    </row>
    <row r="2231" spans="6:16" x14ac:dyDescent="0.2">
      <c r="F2231" s="28"/>
      <c r="H2231" s="28"/>
      <c r="I2231" s="28"/>
      <c r="J2231" s="28"/>
      <c r="K2231" s="9"/>
      <c r="O2231" s="9"/>
      <c r="P2231" s="77"/>
    </row>
    <row r="2232" spans="6:16" x14ac:dyDescent="0.2">
      <c r="F2232" s="28"/>
      <c r="H2232" s="28"/>
      <c r="I2232" s="28"/>
      <c r="J2232" s="28"/>
      <c r="K2232" s="9"/>
      <c r="O2232" s="9"/>
      <c r="P2232" s="77"/>
    </row>
    <row r="2233" spans="6:16" x14ac:dyDescent="0.2">
      <c r="F2233" s="28"/>
      <c r="H2233" s="28"/>
      <c r="I2233" s="28"/>
      <c r="J2233" s="28"/>
      <c r="K2233" s="9"/>
      <c r="O2233" s="9"/>
      <c r="P2233" s="77"/>
    </row>
    <row r="2234" spans="6:16" x14ac:dyDescent="0.2">
      <c r="F2234" s="28"/>
      <c r="H2234" s="28"/>
      <c r="I2234" s="28"/>
      <c r="J2234" s="28"/>
      <c r="K2234" s="9"/>
      <c r="O2234" s="9"/>
      <c r="P2234" s="77"/>
    </row>
    <row r="2235" spans="6:16" x14ac:dyDescent="0.2">
      <c r="F2235" s="28"/>
      <c r="H2235" s="28"/>
      <c r="I2235" s="28"/>
      <c r="J2235" s="28"/>
      <c r="K2235" s="9"/>
      <c r="O2235" s="9"/>
      <c r="P2235" s="77"/>
    </row>
    <row r="2236" spans="6:16" x14ac:dyDescent="0.2">
      <c r="F2236" s="28"/>
      <c r="H2236" s="28"/>
      <c r="I2236" s="28"/>
      <c r="J2236" s="28"/>
      <c r="K2236" s="9"/>
      <c r="O2236" s="9"/>
      <c r="P2236" s="77"/>
    </row>
    <row r="2237" spans="6:16" x14ac:dyDescent="0.2">
      <c r="F2237" s="28"/>
      <c r="H2237" s="28"/>
      <c r="I2237" s="28"/>
      <c r="J2237" s="28"/>
      <c r="K2237" s="9"/>
      <c r="O2237" s="9"/>
      <c r="P2237" s="77"/>
    </row>
    <row r="2238" spans="6:16" x14ac:dyDescent="0.2">
      <c r="F2238" s="28"/>
      <c r="H2238" s="28"/>
      <c r="I2238" s="28"/>
      <c r="J2238" s="28"/>
      <c r="K2238" s="9"/>
      <c r="O2238" s="9"/>
      <c r="P2238" s="77"/>
    </row>
    <row r="2239" spans="6:16" x14ac:dyDescent="0.2">
      <c r="F2239" s="28"/>
      <c r="H2239" s="28"/>
      <c r="I2239" s="28"/>
      <c r="J2239" s="28"/>
      <c r="K2239" s="9"/>
      <c r="O2239" s="9"/>
      <c r="P2239" s="77"/>
    </row>
    <row r="2240" spans="6:16" x14ac:dyDescent="0.2">
      <c r="F2240" s="28"/>
      <c r="H2240" s="28"/>
      <c r="I2240" s="28"/>
      <c r="J2240" s="28"/>
      <c r="K2240" s="9"/>
      <c r="O2240" s="9"/>
      <c r="P2240" s="77"/>
    </row>
    <row r="2241" spans="6:16" x14ac:dyDescent="0.2">
      <c r="F2241" s="28"/>
      <c r="H2241" s="28"/>
      <c r="I2241" s="28"/>
      <c r="J2241" s="28"/>
      <c r="K2241" s="9"/>
      <c r="O2241" s="9"/>
      <c r="P2241" s="77"/>
    </row>
    <row r="2242" spans="6:16" x14ac:dyDescent="0.2">
      <c r="F2242" s="28"/>
      <c r="H2242" s="28"/>
      <c r="I2242" s="28"/>
      <c r="J2242" s="28"/>
      <c r="K2242" s="9"/>
      <c r="O2242" s="9"/>
      <c r="P2242" s="77"/>
    </row>
    <row r="2243" spans="6:16" x14ac:dyDescent="0.2">
      <c r="F2243" s="28"/>
      <c r="H2243" s="28"/>
      <c r="I2243" s="28"/>
      <c r="J2243" s="28"/>
      <c r="K2243" s="9"/>
      <c r="O2243" s="9"/>
      <c r="P2243" s="77"/>
    </row>
    <row r="2244" spans="6:16" x14ac:dyDescent="0.2">
      <c r="F2244" s="28"/>
      <c r="H2244" s="28"/>
      <c r="I2244" s="28"/>
      <c r="J2244" s="28"/>
      <c r="K2244" s="9"/>
      <c r="O2244" s="9"/>
      <c r="P2244" s="77"/>
    </row>
    <row r="2245" spans="6:16" x14ac:dyDescent="0.2">
      <c r="F2245" s="28"/>
      <c r="H2245" s="28"/>
      <c r="I2245" s="28"/>
      <c r="J2245" s="28"/>
      <c r="K2245" s="9"/>
      <c r="O2245" s="9"/>
      <c r="P2245" s="77"/>
    </row>
    <row r="2246" spans="6:16" x14ac:dyDescent="0.2">
      <c r="F2246" s="28"/>
      <c r="H2246" s="28"/>
      <c r="I2246" s="28"/>
      <c r="J2246" s="28"/>
      <c r="K2246" s="9"/>
      <c r="O2246" s="9"/>
      <c r="P2246" s="77"/>
    </row>
    <row r="2247" spans="6:16" x14ac:dyDescent="0.2">
      <c r="F2247" s="28"/>
      <c r="H2247" s="28"/>
      <c r="I2247" s="28"/>
      <c r="J2247" s="28"/>
      <c r="K2247" s="9"/>
      <c r="O2247" s="9"/>
      <c r="P2247" s="77"/>
    </row>
    <row r="2248" spans="6:16" x14ac:dyDescent="0.2">
      <c r="F2248" s="28"/>
      <c r="H2248" s="28"/>
      <c r="I2248" s="28"/>
      <c r="J2248" s="28"/>
      <c r="K2248" s="9"/>
      <c r="O2248" s="9"/>
      <c r="P2248" s="77"/>
    </row>
    <row r="2249" spans="6:16" x14ac:dyDescent="0.2">
      <c r="F2249" s="28"/>
      <c r="H2249" s="28"/>
      <c r="I2249" s="28"/>
      <c r="J2249" s="28"/>
      <c r="K2249" s="9"/>
      <c r="O2249" s="9"/>
      <c r="P2249" s="77"/>
    </row>
    <row r="2250" spans="6:16" x14ac:dyDescent="0.2">
      <c r="F2250" s="28"/>
      <c r="H2250" s="28"/>
      <c r="I2250" s="28"/>
      <c r="J2250" s="28"/>
      <c r="K2250" s="9"/>
      <c r="O2250" s="9"/>
      <c r="P2250" s="77"/>
    </row>
    <row r="2251" spans="6:16" x14ac:dyDescent="0.2">
      <c r="F2251" s="28"/>
      <c r="H2251" s="28"/>
      <c r="I2251" s="28"/>
      <c r="J2251" s="28"/>
      <c r="K2251" s="9"/>
      <c r="O2251" s="9"/>
      <c r="P2251" s="77"/>
    </row>
    <row r="2252" spans="6:16" x14ac:dyDescent="0.2">
      <c r="F2252" s="28"/>
      <c r="H2252" s="28"/>
      <c r="I2252" s="28"/>
      <c r="J2252" s="28"/>
      <c r="K2252" s="9"/>
      <c r="O2252" s="9"/>
      <c r="P2252" s="77"/>
    </row>
    <row r="2253" spans="6:16" x14ac:dyDescent="0.2">
      <c r="F2253" s="28"/>
      <c r="H2253" s="28"/>
      <c r="I2253" s="28"/>
      <c r="J2253" s="28"/>
      <c r="K2253" s="9"/>
      <c r="O2253" s="9"/>
      <c r="P2253" s="77"/>
    </row>
    <row r="2254" spans="6:16" x14ac:dyDescent="0.2">
      <c r="F2254" s="28"/>
      <c r="H2254" s="28"/>
      <c r="I2254" s="28"/>
      <c r="J2254" s="28"/>
      <c r="K2254" s="9"/>
      <c r="O2254" s="9"/>
      <c r="P2254" s="77"/>
    </row>
    <row r="2255" spans="6:16" x14ac:dyDescent="0.2">
      <c r="F2255" s="28"/>
      <c r="H2255" s="28"/>
      <c r="I2255" s="28"/>
      <c r="J2255" s="28"/>
      <c r="K2255" s="9"/>
      <c r="O2255" s="9"/>
      <c r="P2255" s="77"/>
    </row>
    <row r="2256" spans="6:16" x14ac:dyDescent="0.2">
      <c r="F2256" s="28"/>
      <c r="H2256" s="28"/>
      <c r="I2256" s="28"/>
      <c r="J2256" s="28"/>
      <c r="K2256" s="9"/>
      <c r="O2256" s="9"/>
      <c r="P2256" s="77"/>
    </row>
    <row r="2257" spans="6:16" x14ac:dyDescent="0.2">
      <c r="F2257" s="28"/>
      <c r="H2257" s="28"/>
      <c r="I2257" s="28"/>
      <c r="J2257" s="28"/>
      <c r="K2257" s="9"/>
      <c r="O2257" s="9"/>
      <c r="P2257" s="77"/>
    </row>
    <row r="2258" spans="6:16" x14ac:dyDescent="0.2">
      <c r="F2258" s="28"/>
      <c r="H2258" s="28"/>
      <c r="I2258" s="28"/>
      <c r="J2258" s="28"/>
      <c r="K2258" s="9"/>
      <c r="O2258" s="9"/>
      <c r="P2258" s="77"/>
    </row>
    <row r="2259" spans="6:16" x14ac:dyDescent="0.2">
      <c r="F2259" s="28"/>
      <c r="H2259" s="28"/>
      <c r="I2259" s="28"/>
      <c r="J2259" s="28"/>
      <c r="K2259" s="9"/>
      <c r="O2259" s="9"/>
      <c r="P2259" s="77"/>
    </row>
    <row r="2260" spans="6:16" x14ac:dyDescent="0.2">
      <c r="F2260" s="28"/>
      <c r="H2260" s="28"/>
      <c r="I2260" s="28"/>
      <c r="J2260" s="28"/>
      <c r="K2260" s="9"/>
      <c r="O2260" s="9"/>
      <c r="P2260" s="77"/>
    </row>
    <row r="2261" spans="6:16" x14ac:dyDescent="0.2">
      <c r="F2261" s="28"/>
      <c r="H2261" s="28"/>
      <c r="I2261" s="28"/>
      <c r="J2261" s="28"/>
      <c r="K2261" s="9"/>
      <c r="O2261" s="9"/>
      <c r="P2261" s="77"/>
    </row>
    <row r="2262" spans="6:16" x14ac:dyDescent="0.2">
      <c r="F2262" s="28"/>
      <c r="H2262" s="28"/>
      <c r="I2262" s="28"/>
      <c r="J2262" s="28"/>
      <c r="K2262" s="9"/>
      <c r="O2262" s="9"/>
      <c r="P2262" s="77"/>
    </row>
    <row r="2263" spans="6:16" x14ac:dyDescent="0.2">
      <c r="F2263" s="28"/>
      <c r="H2263" s="28"/>
      <c r="I2263" s="28"/>
      <c r="J2263" s="28"/>
      <c r="K2263" s="9"/>
      <c r="O2263" s="9"/>
      <c r="P2263" s="77"/>
    </row>
    <row r="2264" spans="6:16" x14ac:dyDescent="0.2">
      <c r="F2264" s="28"/>
      <c r="H2264" s="28"/>
      <c r="I2264" s="28"/>
      <c r="J2264" s="28"/>
      <c r="K2264" s="9"/>
      <c r="O2264" s="9"/>
      <c r="P2264" s="77"/>
    </row>
    <row r="2265" spans="6:16" x14ac:dyDescent="0.2">
      <c r="F2265" s="28"/>
      <c r="H2265" s="28"/>
      <c r="I2265" s="28"/>
      <c r="J2265" s="28"/>
      <c r="K2265" s="9"/>
      <c r="O2265" s="9"/>
      <c r="P2265" s="77"/>
    </row>
    <row r="2266" spans="6:16" x14ac:dyDescent="0.2">
      <c r="F2266" s="28"/>
      <c r="H2266" s="28"/>
      <c r="I2266" s="28"/>
      <c r="J2266" s="28"/>
      <c r="K2266" s="9"/>
      <c r="O2266" s="9"/>
      <c r="P2266" s="77"/>
    </row>
    <row r="2267" spans="6:16" x14ac:dyDescent="0.2">
      <c r="F2267" s="28"/>
      <c r="H2267" s="28"/>
      <c r="I2267" s="28"/>
      <c r="J2267" s="28"/>
      <c r="K2267" s="9"/>
      <c r="O2267" s="9"/>
      <c r="P2267" s="77"/>
    </row>
    <row r="2268" spans="6:16" x14ac:dyDescent="0.2">
      <c r="F2268" s="28"/>
      <c r="H2268" s="28"/>
      <c r="I2268" s="28"/>
      <c r="J2268" s="28"/>
      <c r="K2268" s="9"/>
      <c r="O2268" s="9"/>
      <c r="P2268" s="77"/>
    </row>
    <row r="2269" spans="6:16" x14ac:dyDescent="0.2">
      <c r="F2269" s="28"/>
      <c r="H2269" s="28"/>
      <c r="I2269" s="28"/>
      <c r="J2269" s="28"/>
      <c r="K2269" s="9"/>
      <c r="O2269" s="9"/>
      <c r="P2269" s="77"/>
    </row>
    <row r="2270" spans="6:16" x14ac:dyDescent="0.2">
      <c r="F2270" s="28"/>
      <c r="H2270" s="28"/>
      <c r="I2270" s="28"/>
      <c r="J2270" s="28"/>
      <c r="K2270" s="9"/>
      <c r="O2270" s="9"/>
      <c r="P2270" s="77"/>
    </row>
    <row r="2271" spans="6:16" x14ac:dyDescent="0.2">
      <c r="F2271" s="28"/>
      <c r="H2271" s="28"/>
      <c r="I2271" s="28"/>
      <c r="J2271" s="28"/>
      <c r="K2271" s="9"/>
      <c r="O2271" s="9"/>
      <c r="P2271" s="77"/>
    </row>
    <row r="2272" spans="6:16" x14ac:dyDescent="0.2">
      <c r="F2272" s="28"/>
      <c r="H2272" s="28"/>
      <c r="I2272" s="28"/>
      <c r="J2272" s="28"/>
      <c r="K2272" s="9"/>
      <c r="O2272" s="9"/>
      <c r="P2272" s="77"/>
    </row>
    <row r="2273" spans="6:16" x14ac:dyDescent="0.2">
      <c r="F2273" s="28"/>
      <c r="H2273" s="28"/>
      <c r="I2273" s="28"/>
      <c r="J2273" s="28"/>
      <c r="K2273" s="9"/>
      <c r="O2273" s="9"/>
      <c r="P2273" s="77"/>
    </row>
    <row r="2274" spans="6:16" x14ac:dyDescent="0.2">
      <c r="F2274" s="28"/>
      <c r="H2274" s="28"/>
      <c r="I2274" s="28"/>
      <c r="J2274" s="28"/>
      <c r="K2274" s="9"/>
      <c r="O2274" s="9"/>
      <c r="P2274" s="77"/>
    </row>
    <row r="2275" spans="6:16" x14ac:dyDescent="0.2">
      <c r="F2275" s="28"/>
      <c r="H2275" s="28"/>
      <c r="I2275" s="28"/>
      <c r="J2275" s="28"/>
      <c r="K2275" s="9"/>
      <c r="O2275" s="9"/>
      <c r="P2275" s="77"/>
    </row>
    <row r="2276" spans="6:16" x14ac:dyDescent="0.2">
      <c r="F2276" s="28"/>
      <c r="H2276" s="28"/>
      <c r="I2276" s="28"/>
      <c r="J2276" s="28"/>
      <c r="K2276" s="9"/>
      <c r="O2276" s="9"/>
      <c r="P2276" s="77"/>
    </row>
    <row r="2277" spans="6:16" x14ac:dyDescent="0.2">
      <c r="F2277" s="28"/>
      <c r="H2277" s="28"/>
      <c r="I2277" s="28"/>
      <c r="J2277" s="28"/>
      <c r="K2277" s="9"/>
      <c r="O2277" s="9"/>
      <c r="P2277" s="77"/>
    </row>
    <row r="2278" spans="6:16" x14ac:dyDescent="0.2">
      <c r="F2278" s="28"/>
      <c r="H2278" s="28"/>
      <c r="I2278" s="28"/>
      <c r="J2278" s="28"/>
      <c r="K2278" s="9"/>
      <c r="O2278" s="9"/>
      <c r="P2278" s="77"/>
    </row>
    <row r="2279" spans="6:16" x14ac:dyDescent="0.2">
      <c r="F2279" s="28"/>
      <c r="H2279" s="28"/>
      <c r="I2279" s="28"/>
      <c r="J2279" s="28"/>
      <c r="K2279" s="9"/>
      <c r="O2279" s="9"/>
      <c r="P2279" s="77"/>
    </row>
    <row r="2280" spans="6:16" x14ac:dyDescent="0.2">
      <c r="F2280" s="28"/>
      <c r="H2280" s="28"/>
      <c r="I2280" s="28"/>
      <c r="J2280" s="28"/>
      <c r="K2280" s="9"/>
      <c r="O2280" s="9"/>
      <c r="P2280" s="77"/>
    </row>
    <row r="2281" spans="6:16" x14ac:dyDescent="0.2">
      <c r="F2281" s="28"/>
      <c r="H2281" s="28"/>
      <c r="I2281" s="28"/>
      <c r="J2281" s="28"/>
      <c r="K2281" s="9"/>
      <c r="O2281" s="9"/>
      <c r="P2281" s="77"/>
    </row>
    <row r="2282" spans="6:16" x14ac:dyDescent="0.2">
      <c r="F2282" s="28"/>
      <c r="H2282" s="28"/>
      <c r="I2282" s="28"/>
      <c r="J2282" s="28"/>
      <c r="K2282" s="9"/>
      <c r="O2282" s="9"/>
      <c r="P2282" s="77"/>
    </row>
    <row r="2283" spans="6:16" x14ac:dyDescent="0.2">
      <c r="F2283" s="28"/>
      <c r="H2283" s="28"/>
      <c r="I2283" s="28"/>
      <c r="J2283" s="28"/>
      <c r="K2283" s="9"/>
      <c r="O2283" s="9"/>
      <c r="P2283" s="77"/>
    </row>
    <row r="2284" spans="6:16" x14ac:dyDescent="0.2">
      <c r="F2284" s="28"/>
      <c r="H2284" s="28"/>
      <c r="I2284" s="28"/>
      <c r="J2284" s="28"/>
      <c r="K2284" s="9"/>
      <c r="O2284" s="9"/>
      <c r="P2284" s="77"/>
    </row>
    <row r="2285" spans="6:16" x14ac:dyDescent="0.2">
      <c r="F2285" s="28"/>
      <c r="H2285" s="28"/>
      <c r="I2285" s="28"/>
      <c r="J2285" s="28"/>
      <c r="K2285" s="9"/>
      <c r="O2285" s="9"/>
      <c r="P2285" s="77"/>
    </row>
    <row r="2286" spans="6:16" x14ac:dyDescent="0.2">
      <c r="F2286" s="28"/>
      <c r="H2286" s="28"/>
      <c r="I2286" s="28"/>
      <c r="J2286" s="28"/>
      <c r="K2286" s="9"/>
      <c r="O2286" s="9"/>
      <c r="P2286" s="77"/>
    </row>
    <row r="2287" spans="6:16" x14ac:dyDescent="0.2">
      <c r="F2287" s="28"/>
      <c r="H2287" s="28"/>
      <c r="I2287" s="28"/>
      <c r="J2287" s="28"/>
      <c r="K2287" s="9"/>
      <c r="O2287" s="9"/>
      <c r="P2287" s="77"/>
    </row>
    <row r="2288" spans="6:16" x14ac:dyDescent="0.2">
      <c r="F2288" s="28"/>
      <c r="H2288" s="28"/>
      <c r="I2288" s="28"/>
      <c r="J2288" s="28"/>
      <c r="K2288" s="9"/>
      <c r="O2288" s="9"/>
      <c r="P2288" s="77"/>
    </row>
    <row r="2289" spans="6:16" x14ac:dyDescent="0.2">
      <c r="F2289" s="28"/>
      <c r="H2289" s="28"/>
      <c r="I2289" s="28"/>
      <c r="J2289" s="28"/>
      <c r="K2289" s="9"/>
      <c r="O2289" s="9"/>
      <c r="P2289" s="77"/>
    </row>
    <row r="2290" spans="6:16" x14ac:dyDescent="0.2">
      <c r="F2290" s="28"/>
      <c r="H2290" s="28"/>
      <c r="I2290" s="28"/>
      <c r="J2290" s="28"/>
      <c r="K2290" s="9"/>
      <c r="O2290" s="9"/>
      <c r="P2290" s="77"/>
    </row>
    <row r="2291" spans="6:16" x14ac:dyDescent="0.2">
      <c r="F2291" s="28"/>
      <c r="H2291" s="28"/>
      <c r="I2291" s="28"/>
      <c r="J2291" s="28"/>
      <c r="K2291" s="9"/>
      <c r="O2291" s="9"/>
      <c r="P2291" s="77"/>
    </row>
    <row r="2292" spans="6:16" x14ac:dyDescent="0.2">
      <c r="F2292" s="28"/>
      <c r="H2292" s="28"/>
      <c r="I2292" s="28"/>
      <c r="J2292" s="28"/>
      <c r="K2292" s="9"/>
      <c r="O2292" s="9"/>
      <c r="P2292" s="77"/>
    </row>
    <row r="2293" spans="6:16" x14ac:dyDescent="0.2">
      <c r="F2293" s="28"/>
      <c r="H2293" s="28"/>
      <c r="I2293" s="28"/>
      <c r="J2293" s="28"/>
      <c r="K2293" s="9"/>
      <c r="O2293" s="9"/>
      <c r="P2293" s="77"/>
    </row>
    <row r="2294" spans="6:16" x14ac:dyDescent="0.2">
      <c r="F2294" s="28"/>
      <c r="H2294" s="28"/>
      <c r="I2294" s="28"/>
      <c r="J2294" s="28"/>
      <c r="K2294" s="9"/>
      <c r="O2294" s="9"/>
      <c r="P2294" s="77"/>
    </row>
    <row r="2295" spans="6:16" x14ac:dyDescent="0.2">
      <c r="F2295" s="28"/>
      <c r="H2295" s="28"/>
      <c r="I2295" s="28"/>
      <c r="J2295" s="28"/>
      <c r="K2295" s="9"/>
      <c r="O2295" s="9"/>
      <c r="P2295" s="77"/>
    </row>
    <row r="2296" spans="6:16" x14ac:dyDescent="0.2">
      <c r="F2296" s="28"/>
      <c r="H2296" s="28"/>
      <c r="I2296" s="28"/>
      <c r="J2296" s="28"/>
      <c r="K2296" s="9"/>
      <c r="O2296" s="9"/>
      <c r="P2296" s="77"/>
    </row>
    <row r="2297" spans="6:16" x14ac:dyDescent="0.2">
      <c r="F2297" s="28"/>
      <c r="H2297" s="28"/>
      <c r="I2297" s="28"/>
      <c r="J2297" s="28"/>
      <c r="K2297" s="9"/>
      <c r="O2297" s="9"/>
      <c r="P2297" s="77"/>
    </row>
    <row r="2298" spans="6:16" x14ac:dyDescent="0.2">
      <c r="F2298" s="28"/>
      <c r="H2298" s="28"/>
      <c r="I2298" s="28"/>
      <c r="J2298" s="28"/>
      <c r="K2298" s="9"/>
      <c r="O2298" s="9"/>
      <c r="P2298" s="77"/>
    </row>
    <row r="2299" spans="6:16" x14ac:dyDescent="0.2">
      <c r="F2299" s="28"/>
      <c r="H2299" s="28"/>
      <c r="I2299" s="28"/>
      <c r="J2299" s="28"/>
      <c r="K2299" s="9"/>
      <c r="O2299" s="9"/>
      <c r="P2299" s="77"/>
    </row>
    <row r="2300" spans="6:16" x14ac:dyDescent="0.2">
      <c r="F2300" s="28"/>
      <c r="H2300" s="28"/>
      <c r="I2300" s="28"/>
      <c r="J2300" s="28"/>
      <c r="K2300" s="9"/>
      <c r="O2300" s="9"/>
      <c r="P2300" s="77"/>
    </row>
    <row r="2301" spans="6:16" x14ac:dyDescent="0.2">
      <c r="F2301" s="28"/>
      <c r="H2301" s="28"/>
      <c r="I2301" s="28"/>
      <c r="J2301" s="28"/>
      <c r="K2301" s="9"/>
      <c r="O2301" s="9"/>
      <c r="P2301" s="77"/>
    </row>
    <row r="2302" spans="6:16" x14ac:dyDescent="0.2">
      <c r="F2302" s="28"/>
      <c r="H2302" s="28"/>
      <c r="I2302" s="28"/>
      <c r="J2302" s="28"/>
      <c r="K2302" s="9"/>
      <c r="O2302" s="9"/>
      <c r="P2302" s="77"/>
    </row>
    <row r="2303" spans="6:16" x14ac:dyDescent="0.2">
      <c r="F2303" s="28"/>
      <c r="H2303" s="28"/>
      <c r="I2303" s="28"/>
      <c r="J2303" s="28"/>
      <c r="K2303" s="9"/>
      <c r="O2303" s="9"/>
      <c r="P2303" s="77"/>
    </row>
    <row r="2304" spans="6:16" x14ac:dyDescent="0.2">
      <c r="F2304" s="28"/>
      <c r="H2304" s="28"/>
      <c r="I2304" s="28"/>
      <c r="J2304" s="28"/>
      <c r="K2304" s="9"/>
      <c r="O2304" s="9"/>
      <c r="P2304" s="77"/>
    </row>
    <row r="2305" spans="6:16" x14ac:dyDescent="0.2">
      <c r="F2305" s="28"/>
      <c r="H2305" s="28"/>
      <c r="I2305" s="28"/>
      <c r="J2305" s="28"/>
      <c r="K2305" s="9"/>
      <c r="O2305" s="9"/>
      <c r="P2305" s="77"/>
    </row>
    <row r="2306" spans="6:16" x14ac:dyDescent="0.2">
      <c r="F2306" s="28"/>
      <c r="H2306" s="28"/>
      <c r="I2306" s="28"/>
      <c r="J2306" s="28"/>
      <c r="K2306" s="9"/>
      <c r="O2306" s="9"/>
      <c r="P2306" s="77"/>
    </row>
    <row r="2307" spans="6:16" x14ac:dyDescent="0.2">
      <c r="F2307" s="28"/>
      <c r="H2307" s="28"/>
      <c r="I2307" s="28"/>
      <c r="J2307" s="28"/>
      <c r="K2307" s="9"/>
      <c r="O2307" s="9"/>
      <c r="P2307" s="77"/>
    </row>
    <row r="2308" spans="6:16" x14ac:dyDescent="0.2">
      <c r="F2308" s="28"/>
      <c r="H2308" s="28"/>
      <c r="I2308" s="28"/>
      <c r="J2308" s="28"/>
      <c r="K2308" s="9"/>
      <c r="O2308" s="9"/>
      <c r="P2308" s="77"/>
    </row>
    <row r="2309" spans="6:16" x14ac:dyDescent="0.2">
      <c r="F2309" s="28"/>
      <c r="H2309" s="28"/>
      <c r="I2309" s="28"/>
      <c r="J2309" s="28"/>
      <c r="K2309" s="9"/>
      <c r="O2309" s="9"/>
      <c r="P2309" s="77"/>
    </row>
    <row r="2310" spans="6:16" x14ac:dyDescent="0.2">
      <c r="F2310" s="28"/>
      <c r="H2310" s="28"/>
      <c r="I2310" s="28"/>
      <c r="J2310" s="28"/>
      <c r="K2310" s="9"/>
      <c r="O2310" s="9"/>
      <c r="P2310" s="77"/>
    </row>
    <row r="2311" spans="6:16" x14ac:dyDescent="0.2">
      <c r="F2311" s="28"/>
      <c r="H2311" s="28"/>
      <c r="I2311" s="28"/>
      <c r="J2311" s="28"/>
      <c r="K2311" s="9"/>
      <c r="O2311" s="9"/>
      <c r="P2311" s="77"/>
    </row>
    <row r="2312" spans="6:16" x14ac:dyDescent="0.2">
      <c r="F2312" s="28"/>
      <c r="H2312" s="28"/>
      <c r="I2312" s="28"/>
      <c r="J2312" s="28"/>
      <c r="K2312" s="9"/>
      <c r="O2312" s="9"/>
      <c r="P2312" s="77"/>
    </row>
    <row r="2313" spans="6:16" x14ac:dyDescent="0.2">
      <c r="F2313" s="28"/>
      <c r="H2313" s="28"/>
      <c r="I2313" s="28"/>
      <c r="J2313" s="28"/>
      <c r="K2313" s="9"/>
      <c r="O2313" s="9"/>
      <c r="P2313" s="77"/>
    </row>
    <row r="2314" spans="6:16" x14ac:dyDescent="0.2">
      <c r="F2314" s="28"/>
      <c r="H2314" s="28"/>
      <c r="I2314" s="28"/>
      <c r="J2314" s="28"/>
      <c r="K2314" s="9"/>
      <c r="O2314" s="9"/>
      <c r="P2314" s="77"/>
    </row>
    <row r="2315" spans="6:16" x14ac:dyDescent="0.2">
      <c r="F2315" s="28"/>
      <c r="H2315" s="28"/>
      <c r="I2315" s="28"/>
      <c r="J2315" s="28"/>
      <c r="K2315" s="9"/>
      <c r="O2315" s="9"/>
      <c r="P2315" s="77"/>
    </row>
    <row r="2316" spans="6:16" x14ac:dyDescent="0.2">
      <c r="F2316" s="28"/>
      <c r="H2316" s="28"/>
      <c r="I2316" s="28"/>
      <c r="J2316" s="28"/>
      <c r="K2316" s="9"/>
      <c r="O2316" s="9"/>
      <c r="P2316" s="77"/>
    </row>
    <row r="2317" spans="6:16" x14ac:dyDescent="0.2">
      <c r="F2317" s="28"/>
      <c r="H2317" s="28"/>
      <c r="I2317" s="28"/>
      <c r="J2317" s="28"/>
      <c r="K2317" s="9"/>
      <c r="O2317" s="9"/>
      <c r="P2317" s="77"/>
    </row>
    <row r="2318" spans="6:16" x14ac:dyDescent="0.2">
      <c r="F2318" s="28"/>
      <c r="H2318" s="28"/>
      <c r="I2318" s="28"/>
      <c r="J2318" s="28"/>
      <c r="K2318" s="9"/>
      <c r="O2318" s="9"/>
      <c r="P2318" s="77"/>
    </row>
    <row r="2319" spans="6:16" x14ac:dyDescent="0.2">
      <c r="F2319" s="28"/>
      <c r="H2319" s="28"/>
      <c r="I2319" s="28"/>
      <c r="J2319" s="28"/>
      <c r="K2319" s="9"/>
      <c r="O2319" s="9"/>
      <c r="P2319" s="77"/>
    </row>
    <row r="2320" spans="6:16" x14ac:dyDescent="0.2">
      <c r="F2320" s="28"/>
      <c r="H2320" s="28"/>
      <c r="I2320" s="28"/>
      <c r="J2320" s="28"/>
      <c r="K2320" s="9"/>
      <c r="O2320" s="9"/>
      <c r="P2320" s="77"/>
    </row>
    <row r="2321" spans="6:16" x14ac:dyDescent="0.2">
      <c r="F2321" s="28"/>
      <c r="H2321" s="28"/>
      <c r="I2321" s="28"/>
      <c r="J2321" s="28"/>
      <c r="K2321" s="9"/>
      <c r="O2321" s="9"/>
      <c r="P2321" s="77"/>
    </row>
    <row r="2322" spans="6:16" x14ac:dyDescent="0.2">
      <c r="F2322" s="28"/>
      <c r="H2322" s="28"/>
      <c r="I2322" s="28"/>
      <c r="J2322" s="28"/>
      <c r="K2322" s="9"/>
      <c r="O2322" s="9"/>
      <c r="P2322" s="77"/>
    </row>
    <row r="2323" spans="6:16" x14ac:dyDescent="0.2">
      <c r="F2323" s="28"/>
      <c r="H2323" s="28"/>
      <c r="I2323" s="28"/>
      <c r="J2323" s="28"/>
      <c r="K2323" s="9"/>
      <c r="O2323" s="9"/>
      <c r="P2323" s="77"/>
    </row>
    <row r="2324" spans="6:16" x14ac:dyDescent="0.2">
      <c r="F2324" s="28"/>
      <c r="H2324" s="28"/>
      <c r="I2324" s="28"/>
      <c r="J2324" s="28"/>
      <c r="K2324" s="9"/>
      <c r="O2324" s="9"/>
      <c r="P2324" s="77"/>
    </row>
    <row r="2325" spans="6:16" x14ac:dyDescent="0.2">
      <c r="F2325" s="28"/>
      <c r="H2325" s="28"/>
      <c r="I2325" s="28"/>
      <c r="J2325" s="28"/>
      <c r="K2325" s="9"/>
      <c r="O2325" s="9"/>
      <c r="P2325" s="77"/>
    </row>
    <row r="2326" spans="6:16" x14ac:dyDescent="0.2">
      <c r="F2326" s="28"/>
      <c r="H2326" s="28"/>
      <c r="I2326" s="28"/>
      <c r="J2326" s="28"/>
      <c r="K2326" s="9"/>
      <c r="O2326" s="9"/>
      <c r="P2326" s="77"/>
    </row>
    <row r="2327" spans="6:16" x14ac:dyDescent="0.2">
      <c r="F2327" s="28"/>
      <c r="H2327" s="28"/>
      <c r="I2327" s="28"/>
      <c r="J2327" s="28"/>
      <c r="K2327" s="9"/>
      <c r="O2327" s="9"/>
      <c r="P2327" s="77"/>
    </row>
    <row r="2328" spans="6:16" x14ac:dyDescent="0.2">
      <c r="F2328" s="28"/>
      <c r="H2328" s="28"/>
      <c r="I2328" s="28"/>
      <c r="J2328" s="28"/>
      <c r="K2328" s="9"/>
      <c r="O2328" s="9"/>
      <c r="P2328" s="77"/>
    </row>
    <row r="2329" spans="6:16" x14ac:dyDescent="0.2">
      <c r="F2329" s="28"/>
      <c r="H2329" s="28"/>
      <c r="I2329" s="28"/>
      <c r="J2329" s="28"/>
      <c r="K2329" s="9"/>
      <c r="O2329" s="9"/>
      <c r="P2329" s="77"/>
    </row>
    <row r="2330" spans="6:16" x14ac:dyDescent="0.2">
      <c r="F2330" s="28"/>
      <c r="H2330" s="28"/>
      <c r="I2330" s="28"/>
      <c r="J2330" s="28"/>
      <c r="K2330" s="9"/>
      <c r="O2330" s="9"/>
      <c r="P2330" s="77"/>
    </row>
    <row r="2331" spans="6:16" x14ac:dyDescent="0.2">
      <c r="F2331" s="28"/>
      <c r="H2331" s="28"/>
      <c r="I2331" s="28"/>
      <c r="J2331" s="28"/>
      <c r="K2331" s="9"/>
      <c r="O2331" s="9"/>
      <c r="P2331" s="77"/>
    </row>
    <row r="2332" spans="6:16" x14ac:dyDescent="0.2">
      <c r="F2332" s="28"/>
      <c r="H2332" s="28"/>
      <c r="I2332" s="28"/>
      <c r="J2332" s="28"/>
      <c r="K2332" s="9"/>
      <c r="O2332" s="9"/>
      <c r="P2332" s="77"/>
    </row>
    <row r="2333" spans="6:16" x14ac:dyDescent="0.2">
      <c r="F2333" s="28"/>
      <c r="H2333" s="28"/>
      <c r="I2333" s="28"/>
      <c r="J2333" s="28"/>
      <c r="K2333" s="9"/>
      <c r="O2333" s="9"/>
      <c r="P2333" s="77"/>
    </row>
    <row r="2334" spans="6:16" x14ac:dyDescent="0.2">
      <c r="F2334" s="28"/>
      <c r="H2334" s="28"/>
      <c r="I2334" s="28"/>
      <c r="J2334" s="28"/>
      <c r="K2334" s="9"/>
      <c r="O2334" s="9"/>
      <c r="P2334" s="77"/>
    </row>
    <row r="2335" spans="6:16" x14ac:dyDescent="0.2">
      <c r="F2335" s="28"/>
      <c r="H2335" s="28"/>
      <c r="I2335" s="28"/>
      <c r="J2335" s="28"/>
      <c r="K2335" s="9"/>
      <c r="O2335" s="9"/>
      <c r="P2335" s="77"/>
    </row>
    <row r="2336" spans="6:16" x14ac:dyDescent="0.2">
      <c r="F2336" s="28"/>
      <c r="H2336" s="28"/>
      <c r="I2336" s="28"/>
      <c r="J2336" s="28"/>
      <c r="K2336" s="9"/>
      <c r="O2336" s="9"/>
      <c r="P2336" s="77"/>
    </row>
    <row r="2337" spans="6:16" x14ac:dyDescent="0.2">
      <c r="F2337" s="28"/>
      <c r="H2337" s="28"/>
      <c r="I2337" s="28"/>
      <c r="J2337" s="28"/>
      <c r="K2337" s="9"/>
      <c r="O2337" s="9"/>
      <c r="P2337" s="77"/>
    </row>
    <row r="2338" spans="6:16" x14ac:dyDescent="0.2">
      <c r="F2338" s="28"/>
      <c r="H2338" s="28"/>
      <c r="I2338" s="28"/>
      <c r="J2338" s="28"/>
      <c r="K2338" s="9"/>
      <c r="O2338" s="9"/>
      <c r="P2338" s="77"/>
    </row>
    <row r="2339" spans="6:16" x14ac:dyDescent="0.2">
      <c r="F2339" s="28"/>
      <c r="H2339" s="28"/>
      <c r="I2339" s="28"/>
      <c r="J2339" s="28"/>
      <c r="K2339" s="9"/>
      <c r="O2339" s="9"/>
      <c r="P2339" s="77"/>
    </row>
    <row r="2340" spans="6:16" x14ac:dyDescent="0.2">
      <c r="F2340" s="28"/>
      <c r="H2340" s="28"/>
      <c r="I2340" s="28"/>
      <c r="J2340" s="28"/>
      <c r="K2340" s="9"/>
      <c r="O2340" s="9"/>
      <c r="P2340" s="77"/>
    </row>
    <row r="2341" spans="6:16" x14ac:dyDescent="0.2">
      <c r="F2341" s="28"/>
      <c r="H2341" s="28"/>
      <c r="I2341" s="28"/>
      <c r="J2341" s="28"/>
      <c r="K2341" s="9"/>
      <c r="O2341" s="9"/>
      <c r="P2341" s="77"/>
    </row>
    <row r="2342" spans="6:16" x14ac:dyDescent="0.2">
      <c r="F2342" s="28"/>
      <c r="H2342" s="28"/>
      <c r="I2342" s="28"/>
      <c r="J2342" s="28"/>
      <c r="K2342" s="9"/>
      <c r="O2342" s="9"/>
      <c r="P2342" s="77"/>
    </row>
    <row r="2343" spans="6:16" x14ac:dyDescent="0.2">
      <c r="F2343" s="28"/>
      <c r="H2343" s="28"/>
      <c r="I2343" s="28"/>
      <c r="J2343" s="28"/>
      <c r="K2343" s="9"/>
      <c r="O2343" s="9"/>
      <c r="P2343" s="77"/>
    </row>
    <row r="2344" spans="6:16" x14ac:dyDescent="0.2">
      <c r="F2344" s="28"/>
      <c r="H2344" s="28"/>
      <c r="I2344" s="28"/>
      <c r="J2344" s="28"/>
      <c r="K2344" s="9"/>
      <c r="O2344" s="9"/>
      <c r="P2344" s="77"/>
    </row>
    <row r="2345" spans="6:16" x14ac:dyDescent="0.2">
      <c r="F2345" s="28"/>
      <c r="H2345" s="28"/>
      <c r="I2345" s="28"/>
      <c r="J2345" s="28"/>
      <c r="K2345" s="9"/>
      <c r="O2345" s="9"/>
      <c r="P2345" s="77"/>
    </row>
    <row r="2346" spans="6:16" x14ac:dyDescent="0.2">
      <c r="F2346" s="28"/>
      <c r="H2346" s="28"/>
      <c r="I2346" s="28"/>
      <c r="J2346" s="28"/>
      <c r="K2346" s="9"/>
      <c r="O2346" s="9"/>
      <c r="P2346" s="77"/>
    </row>
    <row r="2347" spans="6:16" x14ac:dyDescent="0.2">
      <c r="F2347" s="28"/>
      <c r="H2347" s="28"/>
      <c r="I2347" s="28"/>
      <c r="J2347" s="28"/>
      <c r="K2347" s="9"/>
      <c r="O2347" s="9"/>
      <c r="P2347" s="77"/>
    </row>
    <row r="2348" spans="6:16" x14ac:dyDescent="0.2">
      <c r="F2348" s="28"/>
      <c r="H2348" s="28"/>
      <c r="I2348" s="28"/>
      <c r="J2348" s="28"/>
      <c r="K2348" s="9"/>
      <c r="O2348" s="9"/>
      <c r="P2348" s="77"/>
    </row>
    <row r="2349" spans="6:16" x14ac:dyDescent="0.2">
      <c r="F2349" s="28"/>
      <c r="H2349" s="28"/>
      <c r="I2349" s="28"/>
      <c r="J2349" s="28"/>
      <c r="K2349" s="9"/>
      <c r="O2349" s="9"/>
      <c r="P2349" s="77"/>
    </row>
    <row r="2350" spans="6:16" x14ac:dyDescent="0.2">
      <c r="F2350" s="28"/>
      <c r="H2350" s="28"/>
      <c r="I2350" s="28"/>
      <c r="J2350" s="28"/>
      <c r="K2350" s="9"/>
      <c r="O2350" s="9"/>
      <c r="P2350" s="77"/>
    </row>
    <row r="2351" spans="6:16" x14ac:dyDescent="0.2">
      <c r="F2351" s="28"/>
      <c r="H2351" s="28"/>
      <c r="I2351" s="28"/>
      <c r="J2351" s="28"/>
      <c r="K2351" s="9"/>
      <c r="O2351" s="9"/>
      <c r="P2351" s="77"/>
    </row>
    <row r="2352" spans="6:16" x14ac:dyDescent="0.2">
      <c r="F2352" s="28"/>
      <c r="H2352" s="28"/>
      <c r="I2352" s="28"/>
      <c r="J2352" s="28"/>
      <c r="K2352" s="9"/>
      <c r="O2352" s="9"/>
      <c r="P2352" s="77"/>
    </row>
    <row r="2353" spans="6:16" x14ac:dyDescent="0.2">
      <c r="F2353" s="28"/>
      <c r="H2353" s="28"/>
      <c r="I2353" s="28"/>
      <c r="J2353" s="28"/>
      <c r="K2353" s="9"/>
      <c r="O2353" s="9"/>
      <c r="P2353" s="77"/>
    </row>
    <row r="2354" spans="6:16" x14ac:dyDescent="0.2">
      <c r="F2354" s="28"/>
      <c r="H2354" s="28"/>
      <c r="I2354" s="28"/>
      <c r="J2354" s="28"/>
      <c r="K2354" s="9"/>
      <c r="O2354" s="9"/>
      <c r="P2354" s="77"/>
    </row>
    <row r="2355" spans="6:16" x14ac:dyDescent="0.2">
      <c r="F2355" s="28"/>
      <c r="H2355" s="28"/>
      <c r="I2355" s="28"/>
      <c r="J2355" s="28"/>
      <c r="K2355" s="9"/>
      <c r="O2355" s="9"/>
      <c r="P2355" s="77"/>
    </row>
    <row r="2356" spans="6:16" x14ac:dyDescent="0.2">
      <c r="F2356" s="28"/>
      <c r="H2356" s="28"/>
      <c r="I2356" s="28"/>
      <c r="J2356" s="28"/>
      <c r="K2356" s="9"/>
      <c r="O2356" s="9"/>
      <c r="P2356" s="77"/>
    </row>
    <row r="2357" spans="6:16" x14ac:dyDescent="0.2">
      <c r="F2357" s="28"/>
      <c r="H2357" s="28"/>
      <c r="I2357" s="28"/>
      <c r="J2357" s="28"/>
      <c r="K2357" s="9"/>
      <c r="O2357" s="9"/>
      <c r="P2357" s="77"/>
    </row>
    <row r="2358" spans="6:16" x14ac:dyDescent="0.2">
      <c r="F2358" s="28"/>
      <c r="H2358" s="28"/>
      <c r="I2358" s="28"/>
      <c r="J2358" s="28"/>
      <c r="K2358" s="9"/>
      <c r="O2358" s="9"/>
      <c r="P2358" s="77"/>
    </row>
    <row r="2359" spans="6:16" x14ac:dyDescent="0.2">
      <c r="F2359" s="28"/>
      <c r="H2359" s="28"/>
      <c r="I2359" s="28"/>
      <c r="J2359" s="28"/>
      <c r="K2359" s="9"/>
      <c r="O2359" s="9"/>
      <c r="P2359" s="77"/>
    </row>
    <row r="2360" spans="6:16" x14ac:dyDescent="0.2">
      <c r="F2360" s="28"/>
      <c r="H2360" s="28"/>
      <c r="I2360" s="28"/>
      <c r="J2360" s="28"/>
      <c r="K2360" s="9"/>
      <c r="O2360" s="9"/>
      <c r="P2360" s="77"/>
    </row>
    <row r="2361" spans="6:16" x14ac:dyDescent="0.2">
      <c r="F2361" s="28"/>
      <c r="H2361" s="28"/>
      <c r="I2361" s="28"/>
      <c r="J2361" s="28"/>
      <c r="K2361" s="9"/>
      <c r="O2361" s="9"/>
      <c r="P2361" s="77"/>
    </row>
    <row r="2362" spans="6:16" x14ac:dyDescent="0.2">
      <c r="F2362" s="28"/>
      <c r="H2362" s="28"/>
      <c r="I2362" s="28"/>
      <c r="J2362" s="28"/>
      <c r="K2362" s="9"/>
      <c r="O2362" s="9"/>
      <c r="P2362" s="77"/>
    </row>
    <row r="2363" spans="6:16" x14ac:dyDescent="0.2">
      <c r="F2363" s="28"/>
      <c r="H2363" s="28"/>
      <c r="I2363" s="28"/>
      <c r="J2363" s="28"/>
      <c r="K2363" s="9"/>
      <c r="O2363" s="9"/>
      <c r="P2363" s="77"/>
    </row>
    <row r="2364" spans="6:16" x14ac:dyDescent="0.2">
      <c r="F2364" s="28"/>
      <c r="H2364" s="28"/>
      <c r="I2364" s="28"/>
      <c r="J2364" s="28"/>
      <c r="K2364" s="9"/>
      <c r="O2364" s="9"/>
      <c r="P2364" s="77"/>
    </row>
    <row r="2365" spans="6:16" x14ac:dyDescent="0.2">
      <c r="F2365" s="28"/>
      <c r="H2365" s="28"/>
      <c r="I2365" s="28"/>
      <c r="J2365" s="28"/>
      <c r="K2365" s="9"/>
      <c r="O2365" s="9"/>
      <c r="P2365" s="77"/>
    </row>
    <row r="2366" spans="6:16" x14ac:dyDescent="0.2">
      <c r="F2366" s="28"/>
      <c r="H2366" s="28"/>
      <c r="I2366" s="28"/>
      <c r="J2366" s="28"/>
      <c r="K2366" s="9"/>
      <c r="O2366" s="9"/>
      <c r="P2366" s="77"/>
    </row>
    <row r="2367" spans="6:16" x14ac:dyDescent="0.2">
      <c r="F2367" s="28"/>
      <c r="H2367" s="28"/>
      <c r="I2367" s="28"/>
      <c r="J2367" s="28"/>
      <c r="K2367" s="9"/>
      <c r="O2367" s="9"/>
      <c r="P2367" s="77"/>
    </row>
    <row r="2368" spans="6:16" x14ac:dyDescent="0.2">
      <c r="F2368" s="28"/>
      <c r="H2368" s="28"/>
      <c r="I2368" s="28"/>
      <c r="J2368" s="28"/>
      <c r="K2368" s="9"/>
      <c r="O2368" s="9"/>
      <c r="P2368" s="77"/>
    </row>
    <row r="2369" spans="6:16" x14ac:dyDescent="0.2">
      <c r="F2369" s="28"/>
      <c r="H2369" s="28"/>
      <c r="I2369" s="28"/>
      <c r="J2369" s="28"/>
      <c r="K2369" s="9"/>
      <c r="O2369" s="9"/>
      <c r="P2369" s="77"/>
    </row>
    <row r="2370" spans="6:16" x14ac:dyDescent="0.2">
      <c r="F2370" s="28"/>
      <c r="H2370" s="28"/>
      <c r="I2370" s="28"/>
      <c r="J2370" s="28"/>
      <c r="K2370" s="9"/>
      <c r="O2370" s="9"/>
      <c r="P2370" s="77"/>
    </row>
    <row r="2371" spans="6:16" x14ac:dyDescent="0.2">
      <c r="F2371" s="28"/>
      <c r="H2371" s="28"/>
      <c r="I2371" s="28"/>
      <c r="J2371" s="28"/>
      <c r="K2371" s="9"/>
      <c r="O2371" s="9"/>
      <c r="P2371" s="77"/>
    </row>
    <row r="2372" spans="6:16" x14ac:dyDescent="0.2">
      <c r="F2372" s="28"/>
      <c r="H2372" s="28"/>
      <c r="I2372" s="28"/>
      <c r="J2372" s="28"/>
      <c r="K2372" s="9"/>
      <c r="O2372" s="9"/>
      <c r="P2372" s="77"/>
    </row>
    <row r="2373" spans="6:16" x14ac:dyDescent="0.2">
      <c r="F2373" s="28"/>
      <c r="H2373" s="28"/>
      <c r="I2373" s="28"/>
      <c r="J2373" s="28"/>
      <c r="K2373" s="9"/>
      <c r="O2373" s="9"/>
      <c r="P2373" s="77"/>
    </row>
    <row r="2374" spans="6:16" x14ac:dyDescent="0.2">
      <c r="F2374" s="28"/>
      <c r="H2374" s="28"/>
      <c r="I2374" s="28"/>
      <c r="J2374" s="28"/>
      <c r="K2374" s="9"/>
      <c r="O2374" s="9"/>
      <c r="P2374" s="77"/>
    </row>
    <row r="2375" spans="6:16" x14ac:dyDescent="0.2">
      <c r="F2375" s="28"/>
      <c r="H2375" s="28"/>
      <c r="I2375" s="28"/>
      <c r="J2375" s="28"/>
      <c r="K2375" s="9"/>
      <c r="O2375" s="9"/>
      <c r="P2375" s="77"/>
    </row>
    <row r="2376" spans="6:16" x14ac:dyDescent="0.2">
      <c r="F2376" s="28"/>
      <c r="H2376" s="28"/>
      <c r="I2376" s="28"/>
      <c r="J2376" s="28"/>
      <c r="K2376" s="9"/>
      <c r="O2376" s="9"/>
      <c r="P2376" s="77"/>
    </row>
    <row r="2377" spans="6:16" x14ac:dyDescent="0.2">
      <c r="F2377" s="28"/>
      <c r="H2377" s="28"/>
      <c r="I2377" s="28"/>
      <c r="J2377" s="28"/>
      <c r="K2377" s="9"/>
      <c r="O2377" s="9"/>
      <c r="P2377" s="77"/>
    </row>
    <row r="2378" spans="6:16" x14ac:dyDescent="0.2">
      <c r="F2378" s="28"/>
      <c r="H2378" s="28"/>
      <c r="I2378" s="28"/>
      <c r="J2378" s="28"/>
      <c r="K2378" s="9"/>
      <c r="O2378" s="9"/>
      <c r="P2378" s="77"/>
    </row>
    <row r="2379" spans="6:16" x14ac:dyDescent="0.2">
      <c r="F2379" s="28"/>
      <c r="H2379" s="28"/>
      <c r="I2379" s="28"/>
      <c r="J2379" s="28"/>
      <c r="K2379" s="9"/>
      <c r="O2379" s="9"/>
      <c r="P2379" s="77"/>
    </row>
    <row r="2380" spans="6:16" x14ac:dyDescent="0.2">
      <c r="F2380" s="28"/>
      <c r="H2380" s="28"/>
      <c r="I2380" s="28"/>
      <c r="J2380" s="28"/>
      <c r="K2380" s="9"/>
      <c r="O2380" s="9"/>
      <c r="P2380" s="77"/>
    </row>
    <row r="2381" spans="6:16" x14ac:dyDescent="0.2">
      <c r="F2381" s="28"/>
      <c r="H2381" s="28"/>
      <c r="I2381" s="28"/>
      <c r="J2381" s="28"/>
      <c r="K2381" s="9"/>
      <c r="O2381" s="9"/>
      <c r="P2381" s="77"/>
    </row>
    <row r="2382" spans="6:16" x14ac:dyDescent="0.2">
      <c r="F2382" s="28"/>
      <c r="H2382" s="28"/>
      <c r="I2382" s="28"/>
      <c r="J2382" s="28"/>
      <c r="K2382" s="9"/>
      <c r="O2382" s="9"/>
      <c r="P2382" s="77"/>
    </row>
    <row r="2383" spans="6:16" x14ac:dyDescent="0.2">
      <c r="F2383" s="28"/>
      <c r="H2383" s="28"/>
      <c r="I2383" s="28"/>
      <c r="J2383" s="28"/>
      <c r="K2383" s="9"/>
      <c r="O2383" s="9"/>
      <c r="P2383" s="77"/>
    </row>
    <row r="2384" spans="6:16" x14ac:dyDescent="0.2">
      <c r="F2384" s="28"/>
      <c r="H2384" s="28"/>
      <c r="I2384" s="28"/>
      <c r="J2384" s="28"/>
      <c r="K2384" s="9"/>
      <c r="O2384" s="9"/>
      <c r="P2384" s="77"/>
    </row>
    <row r="2385" spans="6:16" x14ac:dyDescent="0.2">
      <c r="F2385" s="28"/>
      <c r="H2385" s="28"/>
      <c r="I2385" s="28"/>
      <c r="J2385" s="28"/>
      <c r="K2385" s="9"/>
      <c r="O2385" s="9"/>
      <c r="P2385" s="77"/>
    </row>
    <row r="2386" spans="6:16" x14ac:dyDescent="0.2">
      <c r="F2386" s="28"/>
      <c r="H2386" s="28"/>
      <c r="I2386" s="28"/>
      <c r="J2386" s="28"/>
      <c r="K2386" s="9"/>
      <c r="O2386" s="9"/>
      <c r="P2386" s="77"/>
    </row>
    <row r="2387" spans="6:16" x14ac:dyDescent="0.2">
      <c r="F2387" s="28"/>
      <c r="H2387" s="28"/>
      <c r="I2387" s="28"/>
      <c r="J2387" s="28"/>
      <c r="K2387" s="9"/>
      <c r="O2387" s="9"/>
      <c r="P2387" s="77"/>
    </row>
    <row r="2388" spans="6:16" x14ac:dyDescent="0.2">
      <c r="F2388" s="28"/>
      <c r="H2388" s="28"/>
      <c r="I2388" s="28"/>
      <c r="J2388" s="28"/>
      <c r="K2388" s="9"/>
      <c r="O2388" s="9"/>
      <c r="P2388" s="77"/>
    </row>
    <row r="2389" spans="6:16" x14ac:dyDescent="0.2">
      <c r="F2389" s="28"/>
      <c r="H2389" s="28"/>
      <c r="I2389" s="28"/>
      <c r="J2389" s="28"/>
      <c r="K2389" s="9"/>
      <c r="O2389" s="9"/>
      <c r="P2389" s="77"/>
    </row>
    <row r="2390" spans="6:16" x14ac:dyDescent="0.2">
      <c r="F2390" s="28"/>
      <c r="H2390" s="28"/>
      <c r="I2390" s="28"/>
      <c r="J2390" s="28"/>
      <c r="K2390" s="9"/>
      <c r="O2390" s="9"/>
      <c r="P2390" s="77"/>
    </row>
    <row r="2391" spans="6:16" x14ac:dyDescent="0.2">
      <c r="F2391" s="28"/>
      <c r="H2391" s="28"/>
      <c r="I2391" s="28"/>
      <c r="J2391" s="28"/>
      <c r="K2391" s="9"/>
      <c r="O2391" s="9"/>
      <c r="P2391" s="77"/>
    </row>
    <row r="2392" spans="6:16" x14ac:dyDescent="0.2">
      <c r="F2392" s="28"/>
      <c r="H2392" s="28"/>
      <c r="I2392" s="28"/>
      <c r="J2392" s="28"/>
      <c r="K2392" s="9"/>
      <c r="O2392" s="9"/>
      <c r="P2392" s="77"/>
    </row>
    <row r="2393" spans="6:16" x14ac:dyDescent="0.2">
      <c r="F2393" s="28"/>
      <c r="H2393" s="28"/>
      <c r="I2393" s="28"/>
      <c r="J2393" s="28"/>
      <c r="K2393" s="9"/>
      <c r="O2393" s="9"/>
      <c r="P2393" s="77"/>
    </row>
    <row r="2394" spans="6:16" x14ac:dyDescent="0.2">
      <c r="F2394" s="28"/>
      <c r="H2394" s="28"/>
      <c r="I2394" s="28"/>
      <c r="J2394" s="28"/>
      <c r="K2394" s="9"/>
      <c r="O2394" s="9"/>
      <c r="P2394" s="77"/>
    </row>
    <row r="2395" spans="6:16" x14ac:dyDescent="0.2">
      <c r="F2395" s="28"/>
      <c r="H2395" s="28"/>
      <c r="I2395" s="28"/>
      <c r="J2395" s="28"/>
      <c r="K2395" s="9"/>
      <c r="O2395" s="9"/>
      <c r="P2395" s="77"/>
    </row>
    <row r="2396" spans="6:16" x14ac:dyDescent="0.2">
      <c r="F2396" s="28"/>
      <c r="H2396" s="28"/>
      <c r="I2396" s="28"/>
      <c r="J2396" s="28"/>
      <c r="K2396" s="9"/>
      <c r="O2396" s="9"/>
      <c r="P2396" s="77"/>
    </row>
    <row r="2397" spans="6:16" x14ac:dyDescent="0.2">
      <c r="F2397" s="28"/>
      <c r="H2397" s="28"/>
      <c r="I2397" s="28"/>
      <c r="J2397" s="28"/>
      <c r="K2397" s="9"/>
      <c r="O2397" s="9"/>
      <c r="P2397" s="77"/>
    </row>
    <row r="2398" spans="6:16" x14ac:dyDescent="0.2">
      <c r="F2398" s="28"/>
      <c r="H2398" s="28"/>
      <c r="I2398" s="28"/>
      <c r="J2398" s="28"/>
      <c r="K2398" s="9"/>
      <c r="O2398" s="9"/>
      <c r="P2398" s="77"/>
    </row>
    <row r="2399" spans="6:16" x14ac:dyDescent="0.2">
      <c r="F2399" s="28"/>
      <c r="H2399" s="28"/>
      <c r="I2399" s="28"/>
      <c r="J2399" s="28"/>
      <c r="K2399" s="9"/>
      <c r="O2399" s="9"/>
      <c r="P2399" s="77"/>
    </row>
    <row r="2400" spans="6:16" x14ac:dyDescent="0.2">
      <c r="F2400" s="28"/>
      <c r="H2400" s="28"/>
      <c r="I2400" s="28"/>
      <c r="J2400" s="28"/>
      <c r="K2400" s="9"/>
      <c r="O2400" s="9"/>
      <c r="P2400" s="77"/>
    </row>
    <row r="2401" spans="6:16" x14ac:dyDescent="0.2">
      <c r="F2401" s="28"/>
      <c r="H2401" s="28"/>
      <c r="I2401" s="28"/>
      <c r="J2401" s="28"/>
      <c r="K2401" s="9"/>
      <c r="O2401" s="9"/>
      <c r="P2401" s="77"/>
    </row>
    <row r="2402" spans="6:16" x14ac:dyDescent="0.2">
      <c r="F2402" s="28"/>
      <c r="H2402" s="28"/>
      <c r="I2402" s="28"/>
      <c r="J2402" s="28"/>
      <c r="K2402" s="9"/>
      <c r="O2402" s="9"/>
      <c r="P2402" s="77"/>
    </row>
    <row r="2403" spans="6:16" x14ac:dyDescent="0.2">
      <c r="F2403" s="28"/>
      <c r="H2403" s="28"/>
      <c r="I2403" s="28"/>
      <c r="J2403" s="28"/>
      <c r="K2403" s="9"/>
      <c r="O2403" s="9"/>
      <c r="P2403" s="77"/>
    </row>
    <row r="2404" spans="6:16" x14ac:dyDescent="0.2">
      <c r="F2404" s="28"/>
      <c r="H2404" s="28"/>
      <c r="I2404" s="28"/>
      <c r="J2404" s="28"/>
      <c r="K2404" s="9"/>
      <c r="O2404" s="9"/>
      <c r="P2404" s="77"/>
    </row>
    <row r="2405" spans="6:16" x14ac:dyDescent="0.2">
      <c r="F2405" s="28"/>
      <c r="H2405" s="28"/>
      <c r="I2405" s="28"/>
      <c r="J2405" s="28"/>
      <c r="K2405" s="9"/>
      <c r="O2405" s="9"/>
      <c r="P2405" s="77"/>
    </row>
    <row r="2406" spans="6:16" x14ac:dyDescent="0.2">
      <c r="F2406" s="28"/>
      <c r="H2406" s="28"/>
      <c r="I2406" s="28"/>
      <c r="J2406" s="28"/>
      <c r="K2406" s="9"/>
      <c r="O2406" s="9"/>
      <c r="P2406" s="77"/>
    </row>
    <row r="2407" spans="6:16" x14ac:dyDescent="0.2">
      <c r="F2407" s="28"/>
      <c r="H2407" s="28"/>
      <c r="I2407" s="28"/>
      <c r="J2407" s="28"/>
      <c r="K2407" s="9"/>
      <c r="O2407" s="9"/>
      <c r="P2407" s="77"/>
    </row>
    <row r="2408" spans="6:16" x14ac:dyDescent="0.2">
      <c r="F2408" s="28"/>
      <c r="H2408" s="28"/>
      <c r="I2408" s="28"/>
      <c r="J2408" s="28"/>
      <c r="K2408" s="9"/>
      <c r="O2408" s="9"/>
      <c r="P2408" s="77"/>
    </row>
    <row r="2409" spans="6:16" x14ac:dyDescent="0.2">
      <c r="F2409" s="28"/>
      <c r="H2409" s="28"/>
      <c r="I2409" s="28"/>
      <c r="J2409" s="28"/>
      <c r="K2409" s="9"/>
      <c r="O2409" s="9"/>
      <c r="P2409" s="77"/>
    </row>
    <row r="2410" spans="6:16" x14ac:dyDescent="0.2">
      <c r="F2410" s="28"/>
      <c r="H2410" s="28"/>
      <c r="I2410" s="28"/>
      <c r="J2410" s="28"/>
      <c r="K2410" s="9"/>
      <c r="O2410" s="9"/>
      <c r="P2410" s="77"/>
    </row>
    <row r="2411" spans="6:16" x14ac:dyDescent="0.2">
      <c r="F2411" s="28"/>
      <c r="H2411" s="28"/>
      <c r="I2411" s="28"/>
      <c r="J2411" s="28"/>
      <c r="K2411" s="9"/>
      <c r="O2411" s="9"/>
      <c r="P2411" s="77"/>
    </row>
    <row r="2412" spans="6:16" x14ac:dyDescent="0.2">
      <c r="F2412" s="28"/>
      <c r="H2412" s="28"/>
      <c r="I2412" s="28"/>
      <c r="J2412" s="28"/>
      <c r="K2412" s="9"/>
      <c r="O2412" s="9"/>
      <c r="P2412" s="77"/>
    </row>
    <row r="2413" spans="6:16" x14ac:dyDescent="0.2">
      <c r="F2413" s="28"/>
      <c r="H2413" s="28"/>
      <c r="I2413" s="28"/>
      <c r="J2413" s="28"/>
      <c r="K2413" s="9"/>
      <c r="O2413" s="9"/>
      <c r="P2413" s="77"/>
    </row>
    <row r="2414" spans="6:16" x14ac:dyDescent="0.2">
      <c r="F2414" s="28"/>
      <c r="H2414" s="28"/>
      <c r="I2414" s="28"/>
      <c r="J2414" s="28"/>
      <c r="K2414" s="9"/>
      <c r="O2414" s="9"/>
      <c r="P2414" s="77"/>
    </row>
    <row r="2415" spans="6:16" x14ac:dyDescent="0.2">
      <c r="F2415" s="28"/>
      <c r="H2415" s="28"/>
      <c r="I2415" s="28"/>
      <c r="J2415" s="28"/>
      <c r="K2415" s="9"/>
      <c r="O2415" s="9"/>
      <c r="P2415" s="77"/>
    </row>
    <row r="2416" spans="6:16" x14ac:dyDescent="0.2">
      <c r="F2416" s="28"/>
      <c r="H2416" s="28"/>
      <c r="I2416" s="28"/>
      <c r="J2416" s="28"/>
      <c r="K2416" s="9"/>
      <c r="O2416" s="9"/>
      <c r="P2416" s="77"/>
    </row>
    <row r="2417" spans="6:16" x14ac:dyDescent="0.2">
      <c r="F2417" s="28"/>
      <c r="H2417" s="28"/>
      <c r="I2417" s="28"/>
      <c r="J2417" s="28"/>
      <c r="K2417" s="9"/>
      <c r="O2417" s="9"/>
      <c r="P2417" s="77"/>
    </row>
    <row r="2418" spans="6:16" x14ac:dyDescent="0.2">
      <c r="F2418" s="28"/>
      <c r="H2418" s="28"/>
      <c r="I2418" s="28"/>
      <c r="J2418" s="28"/>
      <c r="K2418" s="9"/>
      <c r="O2418" s="9"/>
      <c r="P2418" s="77"/>
    </row>
    <row r="2419" spans="6:16" x14ac:dyDescent="0.2">
      <c r="F2419" s="28"/>
      <c r="H2419" s="28"/>
      <c r="I2419" s="28"/>
      <c r="J2419" s="28"/>
      <c r="K2419" s="9"/>
      <c r="O2419" s="9"/>
      <c r="P2419" s="77"/>
    </row>
    <row r="2420" spans="6:16" x14ac:dyDescent="0.2">
      <c r="F2420" s="28"/>
      <c r="H2420" s="28"/>
      <c r="I2420" s="28"/>
      <c r="J2420" s="28"/>
      <c r="K2420" s="9"/>
      <c r="O2420" s="9"/>
      <c r="P2420" s="77"/>
    </row>
    <row r="2421" spans="6:16" x14ac:dyDescent="0.2">
      <c r="F2421" s="28"/>
      <c r="H2421" s="28"/>
      <c r="I2421" s="28"/>
      <c r="J2421" s="28"/>
      <c r="K2421" s="9"/>
      <c r="O2421" s="9"/>
      <c r="P2421" s="77"/>
    </row>
    <row r="2422" spans="6:16" x14ac:dyDescent="0.2">
      <c r="F2422" s="28"/>
      <c r="H2422" s="28"/>
      <c r="I2422" s="28"/>
      <c r="J2422" s="28"/>
      <c r="K2422" s="9"/>
      <c r="O2422" s="9"/>
      <c r="P2422" s="77"/>
    </row>
    <row r="2423" spans="6:16" x14ac:dyDescent="0.2">
      <c r="F2423" s="28"/>
      <c r="H2423" s="28"/>
      <c r="I2423" s="28"/>
      <c r="J2423" s="28"/>
      <c r="K2423" s="9"/>
      <c r="O2423" s="9"/>
      <c r="P2423" s="77"/>
    </row>
    <row r="2424" spans="6:16" x14ac:dyDescent="0.2">
      <c r="F2424" s="28"/>
      <c r="H2424" s="28"/>
      <c r="I2424" s="28"/>
      <c r="J2424" s="28"/>
      <c r="K2424" s="9"/>
      <c r="O2424" s="9"/>
      <c r="P2424" s="77"/>
    </row>
    <row r="2425" spans="6:16" x14ac:dyDescent="0.2">
      <c r="F2425" s="28"/>
      <c r="H2425" s="28"/>
      <c r="I2425" s="28"/>
      <c r="J2425" s="28"/>
      <c r="K2425" s="9"/>
      <c r="O2425" s="9"/>
      <c r="P2425" s="77"/>
    </row>
    <row r="2426" spans="6:16" x14ac:dyDescent="0.2">
      <c r="F2426" s="28"/>
      <c r="H2426" s="28"/>
      <c r="I2426" s="28"/>
      <c r="J2426" s="28"/>
      <c r="K2426" s="9"/>
      <c r="O2426" s="9"/>
      <c r="P2426" s="77"/>
    </row>
    <row r="2427" spans="6:16" x14ac:dyDescent="0.2">
      <c r="F2427" s="28"/>
      <c r="H2427" s="28"/>
      <c r="I2427" s="28"/>
      <c r="J2427" s="28"/>
      <c r="K2427" s="9"/>
      <c r="O2427" s="9"/>
      <c r="P2427" s="77"/>
    </row>
    <row r="2428" spans="6:16" x14ac:dyDescent="0.2">
      <c r="F2428" s="28"/>
      <c r="H2428" s="28"/>
      <c r="I2428" s="28"/>
      <c r="J2428" s="28"/>
      <c r="K2428" s="9"/>
      <c r="O2428" s="9"/>
      <c r="P2428" s="77"/>
    </row>
    <row r="2429" spans="6:16" x14ac:dyDescent="0.2">
      <c r="F2429" s="28"/>
      <c r="H2429" s="28"/>
      <c r="I2429" s="28"/>
      <c r="J2429" s="28"/>
      <c r="K2429" s="9"/>
      <c r="O2429" s="9"/>
      <c r="P2429" s="77"/>
    </row>
    <row r="2430" spans="6:16" x14ac:dyDescent="0.2">
      <c r="F2430" s="28"/>
      <c r="H2430" s="28"/>
      <c r="I2430" s="28"/>
      <c r="J2430" s="28"/>
      <c r="K2430" s="9"/>
      <c r="O2430" s="9"/>
      <c r="P2430" s="77"/>
    </row>
    <row r="2431" spans="6:16" x14ac:dyDescent="0.2">
      <c r="F2431" s="28"/>
      <c r="H2431" s="28"/>
      <c r="I2431" s="28"/>
      <c r="J2431" s="28"/>
      <c r="K2431" s="9"/>
      <c r="O2431" s="9"/>
      <c r="P2431" s="77"/>
    </row>
    <row r="2432" spans="6:16" x14ac:dyDescent="0.2">
      <c r="F2432" s="28"/>
      <c r="H2432" s="28"/>
      <c r="I2432" s="28"/>
      <c r="J2432" s="28"/>
      <c r="K2432" s="9"/>
      <c r="O2432" s="9"/>
      <c r="P2432" s="77"/>
    </row>
    <row r="2433" spans="6:16" x14ac:dyDescent="0.2">
      <c r="F2433" s="28"/>
      <c r="H2433" s="28"/>
      <c r="I2433" s="28"/>
      <c r="J2433" s="28"/>
      <c r="K2433" s="9"/>
      <c r="O2433" s="9"/>
      <c r="P2433" s="77"/>
    </row>
    <row r="2434" spans="6:16" x14ac:dyDescent="0.2">
      <c r="F2434" s="28"/>
      <c r="H2434" s="28"/>
      <c r="I2434" s="28"/>
      <c r="J2434" s="28"/>
      <c r="K2434" s="9"/>
      <c r="O2434" s="9"/>
      <c r="P2434" s="77"/>
    </row>
    <row r="2435" spans="6:16" x14ac:dyDescent="0.2">
      <c r="F2435" s="28"/>
      <c r="H2435" s="28"/>
      <c r="I2435" s="28"/>
      <c r="J2435" s="28"/>
      <c r="K2435" s="9"/>
      <c r="O2435" s="9"/>
      <c r="P2435" s="77"/>
    </row>
    <row r="2436" spans="6:16" x14ac:dyDescent="0.2">
      <c r="F2436" s="28"/>
      <c r="H2436" s="28"/>
      <c r="I2436" s="28"/>
      <c r="J2436" s="28"/>
      <c r="K2436" s="9"/>
      <c r="O2436" s="9"/>
      <c r="P2436" s="77"/>
    </row>
    <row r="2437" spans="6:16" x14ac:dyDescent="0.2">
      <c r="F2437" s="28"/>
      <c r="H2437" s="28"/>
      <c r="I2437" s="28"/>
      <c r="J2437" s="28"/>
      <c r="K2437" s="9"/>
      <c r="O2437" s="9"/>
      <c r="P2437" s="77"/>
    </row>
    <row r="2438" spans="6:16" x14ac:dyDescent="0.2">
      <c r="F2438" s="28"/>
      <c r="H2438" s="28"/>
      <c r="I2438" s="28"/>
      <c r="J2438" s="28"/>
      <c r="K2438" s="9"/>
      <c r="O2438" s="9"/>
      <c r="P2438" s="77"/>
    </row>
    <row r="2439" spans="6:16" x14ac:dyDescent="0.2">
      <c r="F2439" s="28"/>
      <c r="H2439" s="28"/>
      <c r="I2439" s="28"/>
      <c r="J2439" s="28"/>
      <c r="K2439" s="9"/>
      <c r="O2439" s="9"/>
      <c r="P2439" s="77"/>
    </row>
    <row r="2440" spans="6:16" x14ac:dyDescent="0.2">
      <c r="F2440" s="28"/>
      <c r="H2440" s="28"/>
      <c r="I2440" s="28"/>
      <c r="J2440" s="28"/>
      <c r="K2440" s="9"/>
      <c r="O2440" s="9"/>
      <c r="P2440" s="77"/>
    </row>
    <row r="2441" spans="6:16" x14ac:dyDescent="0.2">
      <c r="F2441" s="28"/>
      <c r="H2441" s="28"/>
      <c r="I2441" s="28"/>
      <c r="J2441" s="28"/>
      <c r="K2441" s="9"/>
      <c r="O2441" s="9"/>
      <c r="P2441" s="77"/>
    </row>
    <row r="2442" spans="6:16" x14ac:dyDescent="0.2">
      <c r="F2442" s="28"/>
      <c r="H2442" s="28"/>
      <c r="I2442" s="28"/>
      <c r="J2442" s="28"/>
      <c r="K2442" s="9"/>
      <c r="O2442" s="9"/>
      <c r="P2442" s="77"/>
    </row>
    <row r="2443" spans="6:16" x14ac:dyDescent="0.2">
      <c r="F2443" s="28"/>
      <c r="H2443" s="28"/>
      <c r="I2443" s="28"/>
      <c r="J2443" s="28"/>
      <c r="K2443" s="9"/>
      <c r="O2443" s="9"/>
      <c r="P2443" s="77"/>
    </row>
    <row r="2444" spans="6:16" x14ac:dyDescent="0.2">
      <c r="F2444" s="28"/>
      <c r="H2444" s="28"/>
      <c r="I2444" s="28"/>
      <c r="J2444" s="28"/>
      <c r="K2444" s="9"/>
      <c r="O2444" s="9"/>
      <c r="P2444" s="77"/>
    </row>
    <row r="2445" spans="6:16" x14ac:dyDescent="0.2">
      <c r="F2445" s="28"/>
      <c r="H2445" s="28"/>
      <c r="I2445" s="28"/>
      <c r="J2445" s="28"/>
      <c r="K2445" s="9"/>
      <c r="O2445" s="9"/>
      <c r="P2445" s="77"/>
    </row>
    <row r="2446" spans="6:16" x14ac:dyDescent="0.2">
      <c r="F2446" s="28"/>
      <c r="H2446" s="28"/>
      <c r="I2446" s="28"/>
      <c r="J2446" s="28"/>
      <c r="K2446" s="9"/>
      <c r="O2446" s="9"/>
      <c r="P2446" s="77"/>
    </row>
    <row r="2447" spans="6:16" x14ac:dyDescent="0.2">
      <c r="F2447" s="28"/>
      <c r="H2447" s="28"/>
      <c r="I2447" s="28"/>
      <c r="J2447" s="28"/>
      <c r="K2447" s="9"/>
      <c r="O2447" s="9"/>
      <c r="P2447" s="77"/>
    </row>
    <row r="2448" spans="6:16" x14ac:dyDescent="0.2">
      <c r="F2448" s="28"/>
      <c r="H2448" s="28"/>
      <c r="I2448" s="28"/>
      <c r="J2448" s="28"/>
      <c r="K2448" s="9"/>
      <c r="O2448" s="9"/>
      <c r="P2448" s="77"/>
    </row>
    <row r="2449" spans="6:16" x14ac:dyDescent="0.2">
      <c r="F2449" s="28"/>
      <c r="H2449" s="28"/>
      <c r="I2449" s="28"/>
      <c r="J2449" s="28"/>
      <c r="K2449" s="9"/>
      <c r="O2449" s="9"/>
      <c r="P2449" s="77"/>
    </row>
    <row r="2450" spans="6:16" x14ac:dyDescent="0.2">
      <c r="F2450" s="28"/>
      <c r="H2450" s="28"/>
      <c r="I2450" s="28"/>
      <c r="J2450" s="28"/>
      <c r="K2450" s="9"/>
      <c r="O2450" s="9"/>
      <c r="P2450" s="77"/>
    </row>
    <row r="2451" spans="6:16" x14ac:dyDescent="0.2">
      <c r="F2451" s="28"/>
      <c r="H2451" s="28"/>
      <c r="I2451" s="28"/>
      <c r="J2451" s="28"/>
      <c r="K2451" s="9"/>
      <c r="O2451" s="9"/>
      <c r="P2451" s="77"/>
    </row>
    <row r="2452" spans="6:16" x14ac:dyDescent="0.2">
      <c r="F2452" s="28"/>
      <c r="H2452" s="28"/>
      <c r="I2452" s="28"/>
      <c r="J2452" s="28"/>
      <c r="K2452" s="9"/>
      <c r="O2452" s="9"/>
      <c r="P2452" s="77"/>
    </row>
    <row r="2453" spans="6:16" x14ac:dyDescent="0.2">
      <c r="F2453" s="28"/>
      <c r="H2453" s="28"/>
      <c r="I2453" s="28"/>
      <c r="J2453" s="28"/>
      <c r="K2453" s="9"/>
      <c r="O2453" s="9"/>
      <c r="P2453" s="77"/>
    </row>
    <row r="2454" spans="6:16" x14ac:dyDescent="0.2">
      <c r="F2454" s="28"/>
      <c r="H2454" s="28"/>
      <c r="I2454" s="28"/>
      <c r="J2454" s="28"/>
      <c r="K2454" s="9"/>
      <c r="O2454" s="9"/>
      <c r="P2454" s="77"/>
    </row>
    <row r="2455" spans="6:16" x14ac:dyDescent="0.2">
      <c r="F2455" s="28"/>
      <c r="H2455" s="28"/>
      <c r="I2455" s="28"/>
      <c r="J2455" s="28"/>
      <c r="K2455" s="9"/>
      <c r="O2455" s="9"/>
      <c r="P2455" s="77"/>
    </row>
    <row r="2456" spans="6:16" x14ac:dyDescent="0.2">
      <c r="F2456" s="28"/>
      <c r="H2456" s="28"/>
      <c r="I2456" s="28"/>
      <c r="J2456" s="28"/>
      <c r="K2456" s="9"/>
      <c r="O2456" s="9"/>
      <c r="P2456" s="77"/>
    </row>
    <row r="2457" spans="6:16" x14ac:dyDescent="0.2">
      <c r="F2457" s="28"/>
      <c r="H2457" s="28"/>
      <c r="I2457" s="28"/>
      <c r="J2457" s="28"/>
      <c r="K2457" s="9"/>
      <c r="O2457" s="9"/>
      <c r="P2457" s="77"/>
    </row>
    <row r="2458" spans="6:16" x14ac:dyDescent="0.2">
      <c r="F2458" s="28"/>
      <c r="H2458" s="28"/>
      <c r="I2458" s="28"/>
      <c r="J2458" s="28"/>
      <c r="K2458" s="9"/>
      <c r="O2458" s="9"/>
      <c r="P2458" s="77"/>
    </row>
    <row r="2459" spans="6:16" x14ac:dyDescent="0.2">
      <c r="F2459" s="28"/>
      <c r="H2459" s="28"/>
      <c r="I2459" s="28"/>
      <c r="J2459" s="28"/>
      <c r="K2459" s="9"/>
      <c r="O2459" s="9"/>
      <c r="P2459" s="77"/>
    </row>
    <row r="2460" spans="6:16" x14ac:dyDescent="0.2">
      <c r="F2460" s="28"/>
      <c r="H2460" s="28"/>
      <c r="I2460" s="28"/>
      <c r="J2460" s="28"/>
      <c r="K2460" s="9"/>
      <c r="O2460" s="9"/>
      <c r="P2460" s="77"/>
    </row>
    <row r="2461" spans="6:16" x14ac:dyDescent="0.2">
      <c r="F2461" s="28"/>
      <c r="H2461" s="28"/>
      <c r="I2461" s="28"/>
      <c r="J2461" s="28"/>
      <c r="K2461" s="9"/>
      <c r="O2461" s="9"/>
      <c r="P2461" s="77"/>
    </row>
    <row r="2462" spans="6:16" x14ac:dyDescent="0.2">
      <c r="F2462" s="28"/>
      <c r="H2462" s="28"/>
      <c r="I2462" s="28"/>
      <c r="J2462" s="28"/>
      <c r="K2462" s="9"/>
      <c r="O2462" s="9"/>
      <c r="P2462" s="77"/>
    </row>
    <row r="2463" spans="6:16" x14ac:dyDescent="0.2">
      <c r="F2463" s="28"/>
      <c r="H2463" s="28"/>
      <c r="I2463" s="28"/>
      <c r="J2463" s="28"/>
      <c r="K2463" s="9"/>
      <c r="O2463" s="9"/>
      <c r="P2463" s="77"/>
    </row>
    <row r="2464" spans="6:16" x14ac:dyDescent="0.2">
      <c r="F2464" s="28"/>
      <c r="H2464" s="28"/>
      <c r="I2464" s="28"/>
      <c r="J2464" s="28"/>
      <c r="K2464" s="9"/>
      <c r="O2464" s="9"/>
      <c r="P2464" s="77"/>
    </row>
    <row r="2465" spans="6:16" x14ac:dyDescent="0.2">
      <c r="F2465" s="28"/>
      <c r="H2465" s="28"/>
      <c r="I2465" s="28"/>
      <c r="J2465" s="28"/>
      <c r="K2465" s="9"/>
      <c r="O2465" s="9"/>
      <c r="P2465" s="77"/>
    </row>
    <row r="2466" spans="6:16" x14ac:dyDescent="0.2">
      <c r="F2466" s="28"/>
      <c r="H2466" s="28"/>
      <c r="I2466" s="28"/>
      <c r="J2466" s="28"/>
      <c r="K2466" s="9"/>
      <c r="O2466" s="9"/>
      <c r="P2466" s="77"/>
    </row>
    <row r="2467" spans="6:16" x14ac:dyDescent="0.2">
      <c r="F2467" s="28"/>
      <c r="H2467" s="28"/>
      <c r="I2467" s="28"/>
      <c r="J2467" s="28"/>
      <c r="K2467" s="9"/>
      <c r="O2467" s="9"/>
      <c r="P2467" s="77"/>
    </row>
    <row r="2468" spans="6:16" x14ac:dyDescent="0.2">
      <c r="F2468" s="28"/>
      <c r="H2468" s="28"/>
      <c r="I2468" s="28"/>
      <c r="J2468" s="28"/>
      <c r="K2468" s="9"/>
      <c r="O2468" s="9"/>
      <c r="P2468" s="77"/>
    </row>
    <row r="2469" spans="6:16" x14ac:dyDescent="0.2">
      <c r="F2469" s="28"/>
      <c r="H2469" s="28"/>
      <c r="I2469" s="28"/>
      <c r="J2469" s="28"/>
      <c r="K2469" s="9"/>
      <c r="O2469" s="9"/>
      <c r="P2469" s="77"/>
    </row>
    <row r="2470" spans="6:16" x14ac:dyDescent="0.2">
      <c r="F2470" s="28"/>
      <c r="H2470" s="28"/>
      <c r="I2470" s="28"/>
      <c r="J2470" s="28"/>
      <c r="K2470" s="9"/>
      <c r="O2470" s="9"/>
      <c r="P2470" s="77"/>
    </row>
    <row r="2471" spans="6:16" x14ac:dyDescent="0.2">
      <c r="F2471" s="28"/>
      <c r="H2471" s="28"/>
      <c r="I2471" s="28"/>
      <c r="J2471" s="28"/>
      <c r="K2471" s="9"/>
      <c r="O2471" s="9"/>
      <c r="P2471" s="77"/>
    </row>
    <row r="2472" spans="6:16" x14ac:dyDescent="0.2">
      <c r="F2472" s="28"/>
      <c r="H2472" s="28"/>
      <c r="I2472" s="28"/>
      <c r="J2472" s="28"/>
      <c r="K2472" s="9"/>
      <c r="O2472" s="9"/>
      <c r="P2472" s="77"/>
    </row>
    <row r="2473" spans="6:16" x14ac:dyDescent="0.2">
      <c r="F2473" s="28"/>
      <c r="H2473" s="28"/>
      <c r="I2473" s="28"/>
      <c r="J2473" s="28"/>
      <c r="K2473" s="9"/>
      <c r="O2473" s="9"/>
      <c r="P2473" s="77"/>
    </row>
    <row r="2474" spans="6:16" x14ac:dyDescent="0.2">
      <c r="F2474" s="28"/>
      <c r="H2474" s="28"/>
      <c r="I2474" s="28"/>
      <c r="J2474" s="28"/>
      <c r="K2474" s="9"/>
      <c r="O2474" s="9"/>
      <c r="P2474" s="77"/>
    </row>
    <row r="2475" spans="6:16" x14ac:dyDescent="0.2">
      <c r="F2475" s="28"/>
      <c r="H2475" s="28"/>
      <c r="I2475" s="28"/>
      <c r="J2475" s="28"/>
      <c r="K2475" s="9"/>
      <c r="O2475" s="9"/>
      <c r="P2475" s="77"/>
    </row>
    <row r="2476" spans="6:16" x14ac:dyDescent="0.2">
      <c r="F2476" s="28"/>
      <c r="H2476" s="28"/>
      <c r="I2476" s="28"/>
      <c r="J2476" s="28"/>
      <c r="K2476" s="9"/>
      <c r="O2476" s="9"/>
      <c r="P2476" s="77"/>
    </row>
    <row r="2477" spans="6:16" x14ac:dyDescent="0.2">
      <c r="F2477" s="28"/>
      <c r="H2477" s="28"/>
      <c r="I2477" s="28"/>
      <c r="J2477" s="28"/>
      <c r="K2477" s="9"/>
      <c r="O2477" s="9"/>
      <c r="P2477" s="77"/>
    </row>
    <row r="2478" spans="6:16" x14ac:dyDescent="0.2">
      <c r="F2478" s="28"/>
      <c r="H2478" s="28"/>
      <c r="I2478" s="28"/>
      <c r="J2478" s="28"/>
      <c r="K2478" s="9"/>
      <c r="O2478" s="9"/>
      <c r="P2478" s="77"/>
    </row>
    <row r="2479" spans="6:16" x14ac:dyDescent="0.2">
      <c r="F2479" s="28"/>
      <c r="H2479" s="28"/>
      <c r="I2479" s="28"/>
      <c r="J2479" s="28"/>
      <c r="K2479" s="9"/>
      <c r="O2479" s="9"/>
      <c r="P2479" s="77"/>
    </row>
    <row r="2480" spans="6:16" x14ac:dyDescent="0.2">
      <c r="F2480" s="28"/>
      <c r="H2480" s="28"/>
      <c r="I2480" s="28"/>
      <c r="J2480" s="28"/>
      <c r="K2480" s="9"/>
      <c r="O2480" s="9"/>
      <c r="P2480" s="77"/>
    </row>
    <row r="2481" spans="6:16" x14ac:dyDescent="0.2">
      <c r="F2481" s="28"/>
      <c r="H2481" s="28"/>
      <c r="I2481" s="28"/>
      <c r="J2481" s="28"/>
      <c r="K2481" s="9"/>
      <c r="O2481" s="9"/>
      <c r="P2481" s="77"/>
    </row>
    <row r="2482" spans="6:16" x14ac:dyDescent="0.2">
      <c r="F2482" s="28"/>
      <c r="H2482" s="28"/>
      <c r="I2482" s="28"/>
      <c r="J2482" s="28"/>
      <c r="K2482" s="9"/>
      <c r="O2482" s="9"/>
      <c r="P2482" s="77"/>
    </row>
    <row r="2483" spans="6:16" x14ac:dyDescent="0.2">
      <c r="F2483" s="28"/>
      <c r="H2483" s="28"/>
      <c r="I2483" s="28"/>
      <c r="J2483" s="28"/>
      <c r="K2483" s="9"/>
      <c r="O2483" s="9"/>
      <c r="P2483" s="77"/>
    </row>
    <row r="2484" spans="6:16" x14ac:dyDescent="0.2">
      <c r="F2484" s="28"/>
      <c r="H2484" s="28"/>
      <c r="I2484" s="28"/>
      <c r="J2484" s="28"/>
      <c r="K2484" s="9"/>
      <c r="O2484" s="9"/>
      <c r="P2484" s="77"/>
    </row>
    <row r="2485" spans="6:16" x14ac:dyDescent="0.2">
      <c r="F2485" s="28"/>
      <c r="H2485" s="28"/>
      <c r="I2485" s="28"/>
      <c r="J2485" s="28"/>
      <c r="K2485" s="9"/>
      <c r="O2485" s="9"/>
      <c r="P2485" s="77"/>
    </row>
    <row r="2486" spans="6:16" x14ac:dyDescent="0.2">
      <c r="F2486" s="28"/>
      <c r="H2486" s="28"/>
      <c r="I2486" s="28"/>
      <c r="J2486" s="28"/>
      <c r="K2486" s="9"/>
      <c r="O2486" s="9"/>
      <c r="P2486" s="77"/>
    </row>
    <row r="2487" spans="6:16" x14ac:dyDescent="0.2">
      <c r="F2487" s="28"/>
      <c r="H2487" s="28"/>
      <c r="I2487" s="28"/>
      <c r="J2487" s="28"/>
      <c r="K2487" s="9"/>
      <c r="O2487" s="9"/>
      <c r="P2487" s="77"/>
    </row>
    <row r="2488" spans="6:16" x14ac:dyDescent="0.2">
      <c r="F2488" s="28"/>
      <c r="H2488" s="28"/>
      <c r="I2488" s="28"/>
      <c r="J2488" s="28"/>
      <c r="K2488" s="9"/>
      <c r="O2488" s="9"/>
      <c r="P2488" s="77"/>
    </row>
    <row r="2489" spans="6:16" x14ac:dyDescent="0.2">
      <c r="F2489" s="28"/>
      <c r="H2489" s="28"/>
      <c r="I2489" s="28"/>
      <c r="J2489" s="28"/>
      <c r="K2489" s="9"/>
      <c r="O2489" s="9"/>
      <c r="P2489" s="77"/>
    </row>
    <row r="2490" spans="6:16" x14ac:dyDescent="0.2">
      <c r="F2490" s="28"/>
      <c r="H2490" s="28"/>
      <c r="I2490" s="28"/>
      <c r="J2490" s="28"/>
      <c r="K2490" s="9"/>
      <c r="O2490" s="9"/>
      <c r="P2490" s="77"/>
    </row>
    <row r="2491" spans="6:16" x14ac:dyDescent="0.2">
      <c r="F2491" s="28"/>
      <c r="H2491" s="28"/>
      <c r="I2491" s="28"/>
      <c r="J2491" s="28"/>
      <c r="K2491" s="9"/>
      <c r="O2491" s="9"/>
      <c r="P2491" s="77"/>
    </row>
    <row r="2492" spans="6:16" x14ac:dyDescent="0.2">
      <c r="F2492" s="28"/>
      <c r="H2492" s="28"/>
      <c r="I2492" s="28"/>
      <c r="J2492" s="28"/>
      <c r="K2492" s="9"/>
      <c r="O2492" s="9"/>
      <c r="P2492" s="77"/>
    </row>
    <row r="2493" spans="6:16" x14ac:dyDescent="0.2">
      <c r="F2493" s="28"/>
      <c r="H2493" s="28"/>
      <c r="I2493" s="28"/>
      <c r="J2493" s="28"/>
      <c r="K2493" s="9"/>
      <c r="O2493" s="9"/>
      <c r="P2493" s="77"/>
    </row>
    <row r="2494" spans="6:16" x14ac:dyDescent="0.2">
      <c r="F2494" s="28"/>
      <c r="H2494" s="28"/>
      <c r="I2494" s="28"/>
      <c r="J2494" s="28"/>
      <c r="K2494" s="9"/>
      <c r="O2494" s="9"/>
      <c r="P2494" s="77"/>
    </row>
    <row r="2495" spans="6:16" x14ac:dyDescent="0.2">
      <c r="F2495" s="28"/>
      <c r="H2495" s="28"/>
      <c r="I2495" s="28"/>
      <c r="J2495" s="28"/>
      <c r="K2495" s="9"/>
      <c r="O2495" s="9"/>
      <c r="P2495" s="77"/>
    </row>
    <row r="2496" spans="6:16" x14ac:dyDescent="0.2">
      <c r="F2496" s="28"/>
      <c r="H2496" s="28"/>
      <c r="I2496" s="28"/>
      <c r="J2496" s="28"/>
      <c r="K2496" s="9"/>
      <c r="O2496" s="9"/>
      <c r="P2496" s="77"/>
    </row>
    <row r="2497" spans="6:16" x14ac:dyDescent="0.2">
      <c r="F2497" s="28"/>
      <c r="H2497" s="28"/>
      <c r="I2497" s="28"/>
      <c r="J2497" s="28"/>
      <c r="K2497" s="9"/>
      <c r="O2497" s="9"/>
      <c r="P2497" s="77"/>
    </row>
    <row r="2498" spans="6:16" x14ac:dyDescent="0.2">
      <c r="F2498" s="28"/>
      <c r="H2498" s="28"/>
      <c r="I2498" s="28"/>
      <c r="J2498" s="28"/>
      <c r="K2498" s="9"/>
      <c r="O2498" s="9"/>
      <c r="P2498" s="77"/>
    </row>
    <row r="2499" spans="6:16" x14ac:dyDescent="0.2">
      <c r="F2499" s="28"/>
      <c r="H2499" s="28"/>
      <c r="I2499" s="28"/>
      <c r="J2499" s="28"/>
      <c r="K2499" s="9"/>
      <c r="O2499" s="9"/>
      <c r="P2499" s="77"/>
    </row>
    <row r="2500" spans="6:16" x14ac:dyDescent="0.2">
      <c r="F2500" s="28"/>
      <c r="H2500" s="28"/>
      <c r="I2500" s="28"/>
      <c r="J2500" s="28"/>
      <c r="K2500" s="9"/>
      <c r="O2500" s="9"/>
      <c r="P2500" s="77"/>
    </row>
    <row r="2501" spans="6:16" x14ac:dyDescent="0.2">
      <c r="F2501" s="28"/>
      <c r="H2501" s="28"/>
      <c r="I2501" s="28"/>
      <c r="J2501" s="28"/>
      <c r="K2501" s="9"/>
      <c r="O2501" s="9"/>
      <c r="P2501" s="77"/>
    </row>
    <row r="2502" spans="6:16" x14ac:dyDescent="0.2">
      <c r="F2502" s="28"/>
      <c r="H2502" s="28"/>
      <c r="I2502" s="28"/>
      <c r="J2502" s="28"/>
      <c r="K2502" s="9"/>
      <c r="O2502" s="9"/>
      <c r="P2502" s="77"/>
    </row>
    <row r="2503" spans="6:16" x14ac:dyDescent="0.2">
      <c r="F2503" s="28"/>
      <c r="H2503" s="28"/>
      <c r="I2503" s="28"/>
      <c r="J2503" s="28"/>
      <c r="K2503" s="9"/>
      <c r="O2503" s="9"/>
      <c r="P2503" s="77"/>
    </row>
    <row r="2504" spans="6:16" x14ac:dyDescent="0.2">
      <c r="F2504" s="28"/>
      <c r="H2504" s="28"/>
      <c r="I2504" s="28"/>
      <c r="J2504" s="28"/>
      <c r="K2504" s="9"/>
      <c r="O2504" s="9"/>
      <c r="P2504" s="77"/>
    </row>
    <row r="2505" spans="6:16" x14ac:dyDescent="0.2">
      <c r="F2505" s="28"/>
      <c r="H2505" s="28"/>
      <c r="I2505" s="28"/>
      <c r="J2505" s="28"/>
      <c r="K2505" s="9"/>
      <c r="O2505" s="9"/>
      <c r="P2505" s="77"/>
    </row>
    <row r="2506" spans="6:16" x14ac:dyDescent="0.2">
      <c r="F2506" s="28"/>
      <c r="H2506" s="28"/>
      <c r="I2506" s="28"/>
      <c r="J2506" s="28"/>
      <c r="K2506" s="9"/>
      <c r="O2506" s="9"/>
      <c r="P2506" s="77"/>
    </row>
    <row r="2507" spans="6:16" x14ac:dyDescent="0.2">
      <c r="F2507" s="28"/>
      <c r="H2507" s="28"/>
      <c r="I2507" s="28"/>
      <c r="J2507" s="28"/>
      <c r="K2507" s="9"/>
      <c r="O2507" s="9"/>
      <c r="P2507" s="77"/>
    </row>
    <row r="2508" spans="6:16" x14ac:dyDescent="0.2">
      <c r="F2508" s="28"/>
      <c r="H2508" s="28"/>
      <c r="I2508" s="28"/>
      <c r="J2508" s="28"/>
      <c r="K2508" s="9"/>
      <c r="O2508" s="9"/>
      <c r="P2508" s="77"/>
    </row>
    <row r="2509" spans="6:16" x14ac:dyDescent="0.2">
      <c r="F2509" s="28"/>
      <c r="H2509" s="28"/>
      <c r="I2509" s="28"/>
      <c r="J2509" s="28"/>
      <c r="K2509" s="9"/>
      <c r="O2509" s="9"/>
      <c r="P2509" s="77"/>
    </row>
    <row r="2510" spans="6:16" x14ac:dyDescent="0.2">
      <c r="F2510" s="28"/>
      <c r="H2510" s="28"/>
      <c r="I2510" s="28"/>
      <c r="J2510" s="28"/>
      <c r="K2510" s="9"/>
      <c r="O2510" s="9"/>
      <c r="P2510" s="77"/>
    </row>
    <row r="2511" spans="6:16" x14ac:dyDescent="0.2">
      <c r="F2511" s="28"/>
      <c r="H2511" s="28"/>
      <c r="I2511" s="28"/>
      <c r="J2511" s="28"/>
      <c r="K2511" s="9"/>
      <c r="O2511" s="9"/>
      <c r="P2511" s="77"/>
    </row>
    <row r="2512" spans="6:16" x14ac:dyDescent="0.2">
      <c r="F2512" s="28"/>
      <c r="H2512" s="28"/>
      <c r="I2512" s="28"/>
      <c r="J2512" s="28"/>
      <c r="K2512" s="9"/>
      <c r="O2512" s="9"/>
      <c r="P2512" s="77"/>
    </row>
    <row r="2513" spans="6:16" x14ac:dyDescent="0.2">
      <c r="F2513" s="28"/>
      <c r="H2513" s="28"/>
      <c r="I2513" s="28"/>
      <c r="J2513" s="28"/>
      <c r="K2513" s="9"/>
      <c r="O2513" s="9"/>
      <c r="P2513" s="77"/>
    </row>
    <row r="2514" spans="6:16" x14ac:dyDescent="0.2">
      <c r="F2514" s="28"/>
      <c r="H2514" s="28"/>
      <c r="I2514" s="28"/>
      <c r="J2514" s="28"/>
      <c r="K2514" s="9"/>
      <c r="O2514" s="9"/>
      <c r="P2514" s="77"/>
    </row>
    <row r="2515" spans="6:16" x14ac:dyDescent="0.2">
      <c r="F2515" s="28"/>
      <c r="H2515" s="28"/>
      <c r="I2515" s="28"/>
      <c r="J2515" s="28"/>
      <c r="K2515" s="9"/>
      <c r="O2515" s="9"/>
      <c r="P2515" s="77"/>
    </row>
    <row r="2516" spans="6:16" x14ac:dyDescent="0.2">
      <c r="F2516" s="28"/>
      <c r="H2516" s="28"/>
      <c r="I2516" s="28"/>
      <c r="J2516" s="28"/>
      <c r="K2516" s="9"/>
      <c r="O2516" s="9"/>
      <c r="P2516" s="77"/>
    </row>
    <row r="2517" spans="6:16" x14ac:dyDescent="0.2">
      <c r="F2517" s="28"/>
      <c r="H2517" s="28"/>
      <c r="I2517" s="28"/>
      <c r="J2517" s="28"/>
      <c r="K2517" s="9"/>
      <c r="O2517" s="9"/>
      <c r="P2517" s="77"/>
    </row>
    <row r="2518" spans="6:16" x14ac:dyDescent="0.2">
      <c r="F2518" s="28"/>
      <c r="H2518" s="28"/>
      <c r="I2518" s="28"/>
      <c r="J2518" s="28"/>
      <c r="K2518" s="9"/>
      <c r="O2518" s="9"/>
      <c r="P2518" s="77"/>
    </row>
    <row r="2519" spans="6:16" x14ac:dyDescent="0.2">
      <c r="F2519" s="28"/>
      <c r="H2519" s="28"/>
      <c r="I2519" s="28"/>
      <c r="J2519" s="28"/>
      <c r="K2519" s="9"/>
      <c r="O2519" s="9"/>
      <c r="P2519" s="77"/>
    </row>
    <row r="2520" spans="6:16" x14ac:dyDescent="0.2">
      <c r="F2520" s="28"/>
      <c r="H2520" s="28"/>
      <c r="I2520" s="28"/>
      <c r="J2520" s="28"/>
      <c r="K2520" s="9"/>
      <c r="O2520" s="9"/>
      <c r="P2520" s="77"/>
    </row>
    <row r="2521" spans="6:16" x14ac:dyDescent="0.2">
      <c r="F2521" s="28"/>
      <c r="H2521" s="28"/>
      <c r="I2521" s="28"/>
      <c r="J2521" s="28"/>
      <c r="K2521" s="9"/>
      <c r="O2521" s="9"/>
      <c r="P2521" s="77"/>
    </row>
    <row r="2522" spans="6:16" x14ac:dyDescent="0.2">
      <c r="F2522" s="28"/>
      <c r="H2522" s="28"/>
      <c r="I2522" s="28"/>
      <c r="J2522" s="28"/>
      <c r="K2522" s="9"/>
      <c r="O2522" s="9"/>
      <c r="P2522" s="77"/>
    </row>
    <row r="2523" spans="6:16" x14ac:dyDescent="0.2">
      <c r="F2523" s="28"/>
      <c r="H2523" s="28"/>
      <c r="I2523" s="28"/>
      <c r="J2523" s="28"/>
      <c r="K2523" s="9"/>
      <c r="O2523" s="9"/>
      <c r="P2523" s="77"/>
    </row>
    <row r="2524" spans="6:16" x14ac:dyDescent="0.2">
      <c r="F2524" s="28"/>
      <c r="H2524" s="28"/>
      <c r="I2524" s="28"/>
      <c r="J2524" s="28"/>
      <c r="K2524" s="9"/>
      <c r="O2524" s="9"/>
      <c r="P2524" s="77"/>
    </row>
    <row r="2525" spans="6:16" x14ac:dyDescent="0.2">
      <c r="F2525" s="28"/>
      <c r="H2525" s="28"/>
      <c r="I2525" s="28"/>
      <c r="J2525" s="28"/>
      <c r="K2525" s="9"/>
      <c r="O2525" s="9"/>
      <c r="P2525" s="77"/>
    </row>
    <row r="2526" spans="6:16" x14ac:dyDescent="0.2">
      <c r="F2526" s="28"/>
      <c r="H2526" s="28"/>
      <c r="I2526" s="28"/>
      <c r="J2526" s="28"/>
      <c r="K2526" s="9"/>
      <c r="O2526" s="9"/>
      <c r="P2526" s="77"/>
    </row>
    <row r="2527" spans="6:16" x14ac:dyDescent="0.2">
      <c r="F2527" s="28"/>
      <c r="H2527" s="28"/>
      <c r="I2527" s="28"/>
      <c r="J2527" s="28"/>
      <c r="K2527" s="9"/>
      <c r="O2527" s="9"/>
      <c r="P2527" s="77"/>
    </row>
    <row r="2528" spans="6:16" x14ac:dyDescent="0.2">
      <c r="F2528" s="28"/>
      <c r="H2528" s="28"/>
      <c r="I2528" s="28"/>
      <c r="J2528" s="28"/>
      <c r="K2528" s="9"/>
      <c r="O2528" s="9"/>
      <c r="P2528" s="77"/>
    </row>
    <row r="2529" spans="6:16" x14ac:dyDescent="0.2">
      <c r="F2529" s="28"/>
      <c r="H2529" s="28"/>
      <c r="I2529" s="28"/>
      <c r="J2529" s="28"/>
      <c r="K2529" s="9"/>
      <c r="O2529" s="9"/>
      <c r="P2529" s="77"/>
    </row>
    <row r="2530" spans="6:16" x14ac:dyDescent="0.2">
      <c r="F2530" s="28"/>
      <c r="H2530" s="28"/>
      <c r="I2530" s="28"/>
      <c r="J2530" s="28"/>
      <c r="K2530" s="9"/>
      <c r="O2530" s="9"/>
      <c r="P2530" s="77"/>
    </row>
    <row r="2531" spans="6:16" x14ac:dyDescent="0.2">
      <c r="F2531" s="28"/>
      <c r="H2531" s="28"/>
      <c r="I2531" s="28"/>
      <c r="J2531" s="28"/>
      <c r="K2531" s="9"/>
      <c r="O2531" s="9"/>
      <c r="P2531" s="77"/>
    </row>
    <row r="2532" spans="6:16" x14ac:dyDescent="0.2">
      <c r="F2532" s="28"/>
      <c r="H2532" s="28"/>
      <c r="I2532" s="28"/>
      <c r="J2532" s="28"/>
      <c r="K2532" s="9"/>
      <c r="O2532" s="9"/>
      <c r="P2532" s="77"/>
    </row>
    <row r="2533" spans="6:16" x14ac:dyDescent="0.2">
      <c r="F2533" s="28"/>
      <c r="H2533" s="28"/>
      <c r="I2533" s="28"/>
      <c r="J2533" s="28"/>
      <c r="K2533" s="9"/>
      <c r="O2533" s="9"/>
      <c r="P2533" s="77"/>
    </row>
    <row r="2534" spans="6:16" x14ac:dyDescent="0.2">
      <c r="F2534" s="28"/>
      <c r="H2534" s="28"/>
      <c r="I2534" s="28"/>
      <c r="J2534" s="28"/>
      <c r="K2534" s="9"/>
      <c r="O2534" s="9"/>
      <c r="P2534" s="77"/>
    </row>
    <row r="2535" spans="6:16" x14ac:dyDescent="0.2">
      <c r="F2535" s="28"/>
      <c r="H2535" s="28"/>
      <c r="I2535" s="28"/>
      <c r="J2535" s="28"/>
      <c r="K2535" s="9"/>
      <c r="O2535" s="9"/>
      <c r="P2535" s="77"/>
    </row>
    <row r="2536" spans="6:16" x14ac:dyDescent="0.2">
      <c r="F2536" s="28"/>
      <c r="H2536" s="28"/>
      <c r="I2536" s="28"/>
      <c r="J2536" s="28"/>
      <c r="K2536" s="9"/>
      <c r="O2536" s="9"/>
      <c r="P2536" s="77"/>
    </row>
    <row r="2537" spans="6:16" x14ac:dyDescent="0.2">
      <c r="F2537" s="28"/>
      <c r="H2537" s="28"/>
      <c r="I2537" s="28"/>
      <c r="J2537" s="28"/>
      <c r="K2537" s="9"/>
      <c r="O2537" s="9"/>
      <c r="P2537" s="77"/>
    </row>
    <row r="2538" spans="6:16" x14ac:dyDescent="0.2">
      <c r="F2538" s="28"/>
      <c r="H2538" s="28"/>
      <c r="I2538" s="28"/>
      <c r="J2538" s="28"/>
      <c r="K2538" s="9"/>
      <c r="O2538" s="9"/>
      <c r="P2538" s="77"/>
    </row>
    <row r="2539" spans="6:16" x14ac:dyDescent="0.2">
      <c r="F2539" s="28"/>
      <c r="H2539" s="28"/>
      <c r="I2539" s="28"/>
      <c r="J2539" s="28"/>
      <c r="K2539" s="9"/>
      <c r="O2539" s="9"/>
      <c r="P2539" s="77"/>
    </row>
    <row r="2540" spans="6:16" x14ac:dyDescent="0.2">
      <c r="F2540" s="28"/>
      <c r="H2540" s="28"/>
      <c r="I2540" s="28"/>
      <c r="J2540" s="28"/>
      <c r="K2540" s="9"/>
      <c r="O2540" s="9"/>
      <c r="P2540" s="77"/>
    </row>
    <row r="2541" spans="6:16" x14ac:dyDescent="0.2">
      <c r="F2541" s="28"/>
      <c r="H2541" s="28"/>
      <c r="I2541" s="28"/>
      <c r="J2541" s="28"/>
      <c r="K2541" s="9"/>
      <c r="O2541" s="9"/>
      <c r="P2541" s="77"/>
    </row>
    <row r="2542" spans="6:16" x14ac:dyDescent="0.2">
      <c r="F2542" s="28"/>
      <c r="H2542" s="28"/>
      <c r="I2542" s="28"/>
      <c r="J2542" s="28"/>
      <c r="K2542" s="9"/>
      <c r="O2542" s="9"/>
      <c r="P2542" s="77"/>
    </row>
    <row r="2543" spans="6:16" x14ac:dyDescent="0.2">
      <c r="F2543" s="28"/>
      <c r="H2543" s="28"/>
      <c r="I2543" s="28"/>
      <c r="J2543" s="28"/>
      <c r="K2543" s="9"/>
      <c r="O2543" s="9"/>
      <c r="P2543" s="77"/>
    </row>
    <row r="2544" spans="6:16" x14ac:dyDescent="0.2">
      <c r="F2544" s="28"/>
      <c r="H2544" s="28"/>
      <c r="I2544" s="28"/>
      <c r="J2544" s="28"/>
      <c r="K2544" s="9"/>
      <c r="O2544" s="9"/>
      <c r="P2544" s="77"/>
    </row>
    <row r="2545" spans="6:16" x14ac:dyDescent="0.2">
      <c r="F2545" s="28"/>
      <c r="H2545" s="28"/>
      <c r="I2545" s="28"/>
      <c r="J2545" s="28"/>
      <c r="K2545" s="9"/>
      <c r="O2545" s="9"/>
      <c r="P2545" s="77"/>
    </row>
    <row r="2546" spans="6:16" x14ac:dyDescent="0.2">
      <c r="F2546" s="28"/>
      <c r="H2546" s="28"/>
      <c r="I2546" s="28"/>
      <c r="J2546" s="28"/>
      <c r="K2546" s="9"/>
      <c r="O2546" s="9"/>
      <c r="P2546" s="77"/>
    </row>
    <row r="2547" spans="6:16" x14ac:dyDescent="0.2">
      <c r="F2547" s="28"/>
      <c r="H2547" s="28"/>
      <c r="I2547" s="28"/>
      <c r="J2547" s="28"/>
      <c r="K2547" s="9"/>
      <c r="O2547" s="9"/>
      <c r="P2547" s="77"/>
    </row>
    <row r="2548" spans="6:16" x14ac:dyDescent="0.2">
      <c r="F2548" s="28"/>
      <c r="H2548" s="28"/>
      <c r="I2548" s="28"/>
      <c r="J2548" s="28"/>
      <c r="K2548" s="9"/>
      <c r="O2548" s="9"/>
      <c r="P2548" s="77"/>
    </row>
    <row r="2549" spans="6:16" x14ac:dyDescent="0.2">
      <c r="F2549" s="28"/>
      <c r="H2549" s="28"/>
      <c r="I2549" s="28"/>
      <c r="J2549" s="28"/>
      <c r="K2549" s="9"/>
      <c r="O2549" s="9"/>
      <c r="P2549" s="77"/>
    </row>
    <row r="2550" spans="6:16" x14ac:dyDescent="0.2">
      <c r="F2550" s="28"/>
      <c r="H2550" s="28"/>
      <c r="I2550" s="28"/>
      <c r="J2550" s="28"/>
      <c r="K2550" s="9"/>
      <c r="O2550" s="9"/>
      <c r="P2550" s="77"/>
    </row>
    <row r="2551" spans="6:16" x14ac:dyDescent="0.2">
      <c r="F2551" s="28"/>
      <c r="H2551" s="28"/>
      <c r="I2551" s="28"/>
      <c r="J2551" s="28"/>
      <c r="K2551" s="9"/>
      <c r="O2551" s="9"/>
      <c r="P2551" s="77"/>
    </row>
    <row r="2552" spans="6:16" x14ac:dyDescent="0.2">
      <c r="F2552" s="28"/>
      <c r="H2552" s="28"/>
      <c r="I2552" s="28"/>
      <c r="J2552" s="28"/>
      <c r="K2552" s="9"/>
      <c r="O2552" s="9"/>
      <c r="P2552" s="77"/>
    </row>
    <row r="2553" spans="6:16" x14ac:dyDescent="0.2">
      <c r="F2553" s="28"/>
      <c r="H2553" s="28"/>
      <c r="I2553" s="28"/>
      <c r="J2553" s="28"/>
      <c r="K2553" s="9"/>
      <c r="O2553" s="9"/>
      <c r="P2553" s="77"/>
    </row>
    <row r="2554" spans="6:16" x14ac:dyDescent="0.2">
      <c r="F2554" s="28"/>
      <c r="H2554" s="28"/>
      <c r="I2554" s="28"/>
      <c r="J2554" s="28"/>
      <c r="K2554" s="9"/>
      <c r="O2554" s="9"/>
      <c r="P2554" s="77"/>
    </row>
    <row r="2555" spans="6:16" x14ac:dyDescent="0.2">
      <c r="F2555" s="28"/>
      <c r="H2555" s="28"/>
      <c r="I2555" s="28"/>
      <c r="J2555" s="28"/>
      <c r="K2555" s="9"/>
      <c r="O2555" s="9"/>
      <c r="P2555" s="77"/>
    </row>
    <row r="2556" spans="6:16" x14ac:dyDescent="0.2">
      <c r="F2556" s="28"/>
      <c r="H2556" s="28"/>
      <c r="I2556" s="28"/>
      <c r="J2556" s="28"/>
      <c r="K2556" s="9"/>
      <c r="O2556" s="9"/>
      <c r="P2556" s="77"/>
    </row>
    <row r="2557" spans="6:16" x14ac:dyDescent="0.2">
      <c r="F2557" s="28"/>
      <c r="H2557" s="28"/>
      <c r="I2557" s="28"/>
      <c r="J2557" s="28"/>
      <c r="K2557" s="9"/>
      <c r="O2557" s="9"/>
      <c r="P2557" s="77"/>
    </row>
    <row r="2558" spans="6:16" x14ac:dyDescent="0.2">
      <c r="F2558" s="28"/>
      <c r="H2558" s="28"/>
      <c r="I2558" s="28"/>
      <c r="J2558" s="28"/>
      <c r="K2558" s="9"/>
      <c r="O2558" s="9"/>
      <c r="P2558" s="77"/>
    </row>
    <row r="2559" spans="6:16" x14ac:dyDescent="0.2">
      <c r="F2559" s="28"/>
      <c r="H2559" s="28"/>
      <c r="I2559" s="28"/>
      <c r="J2559" s="28"/>
      <c r="K2559" s="9"/>
      <c r="O2559" s="9"/>
      <c r="P2559" s="77"/>
    </row>
    <row r="2560" spans="6:16" x14ac:dyDescent="0.2">
      <c r="F2560" s="28"/>
      <c r="H2560" s="28"/>
      <c r="I2560" s="28"/>
      <c r="J2560" s="28"/>
      <c r="K2560" s="9"/>
      <c r="O2560" s="9"/>
      <c r="P2560" s="77"/>
    </row>
    <row r="2561" spans="6:16" x14ac:dyDescent="0.2">
      <c r="F2561" s="28"/>
      <c r="H2561" s="28"/>
      <c r="I2561" s="28"/>
      <c r="J2561" s="28"/>
      <c r="K2561" s="9"/>
      <c r="O2561" s="9"/>
      <c r="P2561" s="77"/>
    </row>
    <row r="2562" spans="6:16" x14ac:dyDescent="0.2">
      <c r="F2562" s="28"/>
      <c r="H2562" s="28"/>
      <c r="I2562" s="28"/>
      <c r="J2562" s="28"/>
      <c r="K2562" s="9"/>
      <c r="O2562" s="9"/>
      <c r="P2562" s="77"/>
    </row>
    <row r="2563" spans="6:16" x14ac:dyDescent="0.2">
      <c r="F2563" s="28"/>
      <c r="H2563" s="28"/>
      <c r="I2563" s="28"/>
      <c r="J2563" s="28"/>
      <c r="K2563" s="9"/>
      <c r="O2563" s="9"/>
      <c r="P2563" s="77"/>
    </row>
    <row r="2564" spans="6:16" x14ac:dyDescent="0.2">
      <c r="F2564" s="28"/>
      <c r="H2564" s="28"/>
      <c r="I2564" s="28"/>
      <c r="J2564" s="28"/>
      <c r="K2564" s="9"/>
      <c r="O2564" s="9"/>
      <c r="P2564" s="77"/>
    </row>
    <row r="2565" spans="6:16" x14ac:dyDescent="0.2">
      <c r="F2565" s="28"/>
      <c r="H2565" s="28"/>
      <c r="I2565" s="28"/>
      <c r="J2565" s="28"/>
      <c r="K2565" s="9"/>
      <c r="O2565" s="9"/>
      <c r="P2565" s="77"/>
    </row>
    <row r="2566" spans="6:16" x14ac:dyDescent="0.2">
      <c r="F2566" s="28"/>
      <c r="H2566" s="28"/>
      <c r="I2566" s="28"/>
      <c r="J2566" s="28"/>
      <c r="K2566" s="9"/>
      <c r="O2566" s="9"/>
      <c r="P2566" s="77"/>
    </row>
    <row r="2567" spans="6:16" x14ac:dyDescent="0.2">
      <c r="F2567" s="28"/>
      <c r="H2567" s="28"/>
      <c r="I2567" s="28"/>
      <c r="J2567" s="28"/>
      <c r="K2567" s="9"/>
      <c r="O2567" s="9"/>
      <c r="P2567" s="77"/>
    </row>
    <row r="2568" spans="6:16" x14ac:dyDescent="0.2">
      <c r="F2568" s="28"/>
      <c r="H2568" s="28"/>
      <c r="I2568" s="28"/>
      <c r="J2568" s="28"/>
      <c r="K2568" s="9"/>
      <c r="O2568" s="9"/>
      <c r="P2568" s="77"/>
    </row>
    <row r="2569" spans="6:16" x14ac:dyDescent="0.2">
      <c r="F2569" s="28"/>
      <c r="H2569" s="28"/>
      <c r="I2569" s="28"/>
      <c r="J2569" s="28"/>
      <c r="K2569" s="9"/>
      <c r="O2569" s="9"/>
      <c r="P2569" s="77"/>
    </row>
    <row r="2570" spans="6:16" x14ac:dyDescent="0.2">
      <c r="F2570" s="28"/>
      <c r="H2570" s="28"/>
      <c r="I2570" s="28"/>
      <c r="J2570" s="28"/>
      <c r="K2570" s="9"/>
      <c r="O2570" s="9"/>
      <c r="P2570" s="77"/>
    </row>
    <row r="2571" spans="6:16" x14ac:dyDescent="0.2">
      <c r="F2571" s="28"/>
      <c r="H2571" s="28"/>
      <c r="I2571" s="28"/>
      <c r="J2571" s="28"/>
      <c r="K2571" s="9"/>
      <c r="O2571" s="9"/>
      <c r="P2571" s="77"/>
    </row>
    <row r="2572" spans="6:16" x14ac:dyDescent="0.2">
      <c r="F2572" s="28"/>
      <c r="H2572" s="28"/>
      <c r="I2572" s="28"/>
      <c r="J2572" s="28"/>
      <c r="K2572" s="9"/>
      <c r="O2572" s="9"/>
      <c r="P2572" s="77"/>
    </row>
    <row r="2573" spans="6:16" x14ac:dyDescent="0.2">
      <c r="F2573" s="28"/>
      <c r="H2573" s="28"/>
      <c r="I2573" s="28"/>
      <c r="J2573" s="28"/>
      <c r="K2573" s="9"/>
      <c r="O2573" s="9"/>
      <c r="P2573" s="77"/>
    </row>
    <row r="2574" spans="6:16" x14ac:dyDescent="0.2">
      <c r="F2574" s="28"/>
      <c r="H2574" s="28"/>
      <c r="I2574" s="28"/>
      <c r="J2574" s="28"/>
      <c r="K2574" s="9"/>
      <c r="O2574" s="9"/>
      <c r="P2574" s="77"/>
    </row>
    <row r="2575" spans="6:16" x14ac:dyDescent="0.2">
      <c r="F2575" s="28"/>
      <c r="H2575" s="28"/>
      <c r="I2575" s="28"/>
      <c r="J2575" s="28"/>
      <c r="K2575" s="9"/>
      <c r="O2575" s="9"/>
      <c r="P2575" s="77"/>
    </row>
    <row r="2576" spans="6:16" x14ac:dyDescent="0.2">
      <c r="F2576" s="28"/>
      <c r="H2576" s="28"/>
      <c r="I2576" s="28"/>
      <c r="J2576" s="28"/>
      <c r="K2576" s="9"/>
      <c r="O2576" s="9"/>
      <c r="P2576" s="77"/>
    </row>
    <row r="2577" spans="6:16" x14ac:dyDescent="0.2">
      <c r="F2577" s="28"/>
      <c r="H2577" s="28"/>
      <c r="I2577" s="28"/>
      <c r="J2577" s="28"/>
      <c r="K2577" s="9"/>
      <c r="O2577" s="9"/>
      <c r="P2577" s="77"/>
    </row>
    <row r="2578" spans="6:16" x14ac:dyDescent="0.2">
      <c r="F2578" s="28"/>
      <c r="H2578" s="28"/>
      <c r="I2578" s="28"/>
      <c r="J2578" s="28"/>
      <c r="K2578" s="9"/>
      <c r="O2578" s="9"/>
      <c r="P2578" s="77"/>
    </row>
    <row r="2579" spans="6:16" x14ac:dyDescent="0.2">
      <c r="F2579" s="28"/>
      <c r="H2579" s="28"/>
      <c r="I2579" s="28"/>
      <c r="J2579" s="28"/>
      <c r="K2579" s="9"/>
      <c r="O2579" s="9"/>
      <c r="P2579" s="77"/>
    </row>
    <row r="2580" spans="6:16" x14ac:dyDescent="0.2">
      <c r="F2580" s="28"/>
      <c r="H2580" s="28"/>
      <c r="I2580" s="28"/>
      <c r="J2580" s="28"/>
      <c r="K2580" s="9"/>
      <c r="O2580" s="9"/>
      <c r="P2580" s="77"/>
    </row>
    <row r="2581" spans="6:16" x14ac:dyDescent="0.2">
      <c r="F2581" s="28"/>
      <c r="H2581" s="28"/>
      <c r="I2581" s="28"/>
      <c r="J2581" s="28"/>
      <c r="K2581" s="9"/>
      <c r="O2581" s="9"/>
      <c r="P2581" s="77"/>
    </row>
    <row r="2582" spans="6:16" x14ac:dyDescent="0.2">
      <c r="F2582" s="28"/>
      <c r="H2582" s="28"/>
      <c r="I2582" s="28"/>
      <c r="J2582" s="28"/>
      <c r="K2582" s="9"/>
      <c r="O2582" s="9"/>
      <c r="P2582" s="77"/>
    </row>
    <row r="2583" spans="6:16" x14ac:dyDescent="0.2">
      <c r="F2583" s="28"/>
      <c r="H2583" s="28"/>
      <c r="I2583" s="28"/>
      <c r="J2583" s="28"/>
      <c r="K2583" s="9"/>
      <c r="O2583" s="9"/>
      <c r="P2583" s="77"/>
    </row>
    <row r="2584" spans="6:16" x14ac:dyDescent="0.2">
      <c r="F2584" s="28"/>
      <c r="H2584" s="28"/>
      <c r="I2584" s="28"/>
      <c r="J2584" s="28"/>
      <c r="K2584" s="9"/>
      <c r="O2584" s="9"/>
      <c r="P2584" s="77"/>
    </row>
    <row r="2585" spans="6:16" x14ac:dyDescent="0.2">
      <c r="F2585" s="28"/>
      <c r="H2585" s="28"/>
      <c r="I2585" s="28"/>
      <c r="J2585" s="28"/>
      <c r="K2585" s="9"/>
      <c r="O2585" s="9"/>
      <c r="P2585" s="77"/>
    </row>
    <row r="2586" spans="6:16" x14ac:dyDescent="0.2">
      <c r="F2586" s="28"/>
      <c r="H2586" s="28"/>
      <c r="I2586" s="28"/>
      <c r="J2586" s="28"/>
      <c r="K2586" s="9"/>
      <c r="O2586" s="9"/>
      <c r="P2586" s="77"/>
    </row>
    <row r="2587" spans="6:16" x14ac:dyDescent="0.2">
      <c r="F2587" s="28"/>
      <c r="H2587" s="28"/>
      <c r="I2587" s="28"/>
      <c r="J2587" s="28"/>
      <c r="K2587" s="9"/>
      <c r="O2587" s="9"/>
      <c r="P2587" s="77"/>
    </row>
    <row r="2588" spans="6:16" x14ac:dyDescent="0.2">
      <c r="F2588" s="28"/>
      <c r="H2588" s="28"/>
      <c r="I2588" s="28"/>
      <c r="J2588" s="28"/>
      <c r="K2588" s="9"/>
      <c r="O2588" s="9"/>
      <c r="P2588" s="77"/>
    </row>
    <row r="2589" spans="6:16" x14ac:dyDescent="0.2">
      <c r="F2589" s="28"/>
      <c r="H2589" s="28"/>
      <c r="I2589" s="28"/>
      <c r="J2589" s="28"/>
      <c r="K2589" s="9"/>
      <c r="O2589" s="9"/>
      <c r="P2589" s="77"/>
    </row>
    <row r="2590" spans="6:16" x14ac:dyDescent="0.2">
      <c r="F2590" s="28"/>
      <c r="H2590" s="28"/>
      <c r="I2590" s="28"/>
      <c r="J2590" s="28"/>
      <c r="K2590" s="9"/>
      <c r="O2590" s="9"/>
      <c r="P2590" s="77"/>
    </row>
    <row r="2591" spans="6:16" x14ac:dyDescent="0.2">
      <c r="F2591" s="28"/>
      <c r="H2591" s="28"/>
      <c r="I2591" s="28"/>
      <c r="J2591" s="28"/>
      <c r="K2591" s="9"/>
      <c r="O2591" s="9"/>
      <c r="P2591" s="77"/>
    </row>
    <row r="2592" spans="6:16" x14ac:dyDescent="0.2">
      <c r="F2592" s="28"/>
      <c r="H2592" s="28"/>
      <c r="I2592" s="28"/>
      <c r="J2592" s="28"/>
      <c r="K2592" s="9"/>
      <c r="O2592" s="9"/>
      <c r="P2592" s="77"/>
    </row>
    <row r="2593" spans="6:16" x14ac:dyDescent="0.2">
      <c r="F2593" s="28"/>
      <c r="H2593" s="28"/>
      <c r="I2593" s="28"/>
      <c r="J2593" s="28"/>
      <c r="K2593" s="9"/>
      <c r="O2593" s="9"/>
      <c r="P2593" s="77"/>
    </row>
    <row r="2594" spans="6:16" x14ac:dyDescent="0.2">
      <c r="F2594" s="28"/>
      <c r="H2594" s="28"/>
      <c r="I2594" s="28"/>
      <c r="J2594" s="28"/>
      <c r="K2594" s="9"/>
      <c r="O2594" s="9"/>
      <c r="P2594" s="77"/>
    </row>
    <row r="2595" spans="6:16" x14ac:dyDescent="0.2">
      <c r="F2595" s="28"/>
      <c r="H2595" s="28"/>
      <c r="I2595" s="28"/>
      <c r="J2595" s="28"/>
      <c r="K2595" s="9"/>
      <c r="O2595" s="9"/>
      <c r="P2595" s="77"/>
    </row>
    <row r="2596" spans="6:16" x14ac:dyDescent="0.2">
      <c r="F2596" s="28"/>
      <c r="H2596" s="28"/>
      <c r="I2596" s="28"/>
      <c r="J2596" s="28"/>
      <c r="K2596" s="9"/>
      <c r="O2596" s="9"/>
      <c r="P2596" s="77"/>
    </row>
    <row r="2597" spans="6:16" x14ac:dyDescent="0.2">
      <c r="F2597" s="28"/>
      <c r="H2597" s="28"/>
      <c r="I2597" s="28"/>
      <c r="J2597" s="28"/>
      <c r="K2597" s="9"/>
      <c r="O2597" s="9"/>
      <c r="P2597" s="77"/>
    </row>
    <row r="2598" spans="6:16" x14ac:dyDescent="0.2">
      <c r="F2598" s="28"/>
      <c r="H2598" s="28"/>
      <c r="I2598" s="28"/>
      <c r="J2598" s="28"/>
      <c r="K2598" s="9"/>
      <c r="O2598" s="9"/>
      <c r="P2598" s="77"/>
    </row>
    <row r="2599" spans="6:16" x14ac:dyDescent="0.2">
      <c r="F2599" s="28"/>
      <c r="H2599" s="28"/>
      <c r="I2599" s="28"/>
      <c r="J2599" s="28"/>
      <c r="K2599" s="9"/>
      <c r="O2599" s="9"/>
      <c r="P2599" s="77"/>
    </row>
    <row r="2600" spans="6:16" x14ac:dyDescent="0.2">
      <c r="F2600" s="28"/>
      <c r="H2600" s="28"/>
      <c r="I2600" s="28"/>
      <c r="J2600" s="28"/>
      <c r="K2600" s="9"/>
      <c r="O2600" s="9"/>
      <c r="P2600" s="77"/>
    </row>
    <row r="2601" spans="6:16" x14ac:dyDescent="0.2">
      <c r="F2601" s="28"/>
      <c r="H2601" s="28"/>
      <c r="I2601" s="28"/>
      <c r="J2601" s="28"/>
      <c r="K2601" s="9"/>
      <c r="O2601" s="9"/>
      <c r="P2601" s="77"/>
    </row>
    <row r="2602" spans="6:16" x14ac:dyDescent="0.2">
      <c r="F2602" s="28"/>
      <c r="H2602" s="28"/>
      <c r="I2602" s="28"/>
      <c r="J2602" s="28"/>
      <c r="K2602" s="9"/>
      <c r="O2602" s="9"/>
      <c r="P2602" s="77"/>
    </row>
    <row r="2603" spans="6:16" x14ac:dyDescent="0.2">
      <c r="F2603" s="28"/>
      <c r="H2603" s="28"/>
      <c r="I2603" s="28"/>
      <c r="J2603" s="28"/>
      <c r="K2603" s="9"/>
      <c r="O2603" s="9"/>
      <c r="P2603" s="77"/>
    </row>
    <row r="2604" spans="6:16" x14ac:dyDescent="0.2">
      <c r="F2604" s="28"/>
      <c r="H2604" s="28"/>
      <c r="I2604" s="28"/>
      <c r="J2604" s="28"/>
      <c r="K2604" s="9"/>
      <c r="O2604" s="9"/>
      <c r="P2604" s="77"/>
    </row>
    <row r="2605" spans="6:16" x14ac:dyDescent="0.2">
      <c r="F2605" s="28"/>
      <c r="H2605" s="28"/>
      <c r="I2605" s="28"/>
      <c r="J2605" s="28"/>
      <c r="K2605" s="9"/>
      <c r="O2605" s="9"/>
      <c r="P2605" s="77"/>
    </row>
    <row r="2606" spans="6:16" x14ac:dyDescent="0.2">
      <c r="F2606" s="28"/>
      <c r="H2606" s="28"/>
      <c r="I2606" s="28"/>
      <c r="J2606" s="28"/>
      <c r="K2606" s="9"/>
      <c r="O2606" s="9"/>
      <c r="P2606" s="77"/>
    </row>
    <row r="2607" spans="6:16" x14ac:dyDescent="0.2">
      <c r="F2607" s="28"/>
      <c r="H2607" s="28"/>
      <c r="I2607" s="28"/>
      <c r="J2607" s="28"/>
      <c r="K2607" s="9"/>
      <c r="O2607" s="9"/>
      <c r="P2607" s="77"/>
    </row>
    <row r="2608" spans="6:16" x14ac:dyDescent="0.2">
      <c r="F2608" s="28"/>
      <c r="H2608" s="28"/>
      <c r="I2608" s="28"/>
      <c r="J2608" s="28"/>
      <c r="K2608" s="9"/>
      <c r="O2608" s="9"/>
      <c r="P2608" s="77"/>
    </row>
    <row r="2609" spans="6:16" x14ac:dyDescent="0.2">
      <c r="F2609" s="28"/>
      <c r="H2609" s="28"/>
      <c r="I2609" s="28"/>
      <c r="J2609" s="28"/>
      <c r="K2609" s="9"/>
      <c r="O2609" s="9"/>
      <c r="P2609" s="77"/>
    </row>
    <row r="2610" spans="6:16" x14ac:dyDescent="0.2">
      <c r="F2610" s="28"/>
      <c r="H2610" s="28"/>
      <c r="I2610" s="28"/>
      <c r="J2610" s="28"/>
      <c r="K2610" s="9"/>
      <c r="O2610" s="9"/>
      <c r="P2610" s="77"/>
    </row>
    <row r="2611" spans="6:16" x14ac:dyDescent="0.2">
      <c r="F2611" s="28"/>
      <c r="H2611" s="28"/>
      <c r="I2611" s="28"/>
      <c r="J2611" s="28"/>
      <c r="K2611" s="9"/>
      <c r="O2611" s="9"/>
      <c r="P2611" s="77"/>
    </row>
    <row r="2612" spans="6:16" x14ac:dyDescent="0.2">
      <c r="F2612" s="28"/>
      <c r="H2612" s="28"/>
      <c r="I2612" s="28"/>
      <c r="J2612" s="28"/>
      <c r="K2612" s="9"/>
      <c r="O2612" s="9"/>
      <c r="P2612" s="77"/>
    </row>
    <row r="2613" spans="6:16" x14ac:dyDescent="0.2">
      <c r="F2613" s="28"/>
      <c r="H2613" s="28"/>
      <c r="I2613" s="28"/>
      <c r="J2613" s="28"/>
      <c r="K2613" s="9"/>
      <c r="O2613" s="9"/>
      <c r="P2613" s="77"/>
    </row>
    <row r="2614" spans="6:16" x14ac:dyDescent="0.2">
      <c r="F2614" s="28"/>
      <c r="H2614" s="28"/>
      <c r="I2614" s="28"/>
      <c r="J2614" s="28"/>
      <c r="K2614" s="9"/>
      <c r="O2614" s="9"/>
      <c r="P2614" s="77"/>
    </row>
    <row r="2615" spans="6:16" x14ac:dyDescent="0.2">
      <c r="F2615" s="28"/>
      <c r="H2615" s="28"/>
      <c r="I2615" s="28"/>
      <c r="J2615" s="28"/>
      <c r="K2615" s="9"/>
      <c r="O2615" s="9"/>
      <c r="P2615" s="77"/>
    </row>
    <row r="2616" spans="6:16" x14ac:dyDescent="0.2">
      <c r="F2616" s="28"/>
      <c r="H2616" s="28"/>
      <c r="I2616" s="28"/>
      <c r="J2616" s="28"/>
      <c r="K2616" s="9"/>
      <c r="O2616" s="9"/>
      <c r="P2616" s="77"/>
    </row>
    <row r="2617" spans="6:16" x14ac:dyDescent="0.2">
      <c r="F2617" s="28"/>
      <c r="H2617" s="28"/>
      <c r="I2617" s="28"/>
      <c r="J2617" s="28"/>
      <c r="K2617" s="9"/>
      <c r="O2617" s="9"/>
      <c r="P2617" s="77"/>
    </row>
    <row r="2618" spans="6:16" x14ac:dyDescent="0.2">
      <c r="F2618" s="28"/>
      <c r="H2618" s="28"/>
      <c r="I2618" s="28"/>
      <c r="J2618" s="28"/>
      <c r="K2618" s="9"/>
      <c r="O2618" s="9"/>
      <c r="P2618" s="77"/>
    </row>
    <row r="2619" spans="6:16" x14ac:dyDescent="0.2">
      <c r="F2619" s="28"/>
      <c r="H2619" s="28"/>
      <c r="I2619" s="28"/>
      <c r="J2619" s="28"/>
      <c r="K2619" s="9"/>
      <c r="O2619" s="9"/>
      <c r="P2619" s="77"/>
    </row>
    <row r="2620" spans="6:16" x14ac:dyDescent="0.2">
      <c r="F2620" s="28"/>
      <c r="H2620" s="28"/>
      <c r="I2620" s="28"/>
      <c r="J2620" s="28"/>
      <c r="K2620" s="9"/>
      <c r="O2620" s="9"/>
      <c r="P2620" s="77"/>
    </row>
    <row r="2621" spans="6:16" x14ac:dyDescent="0.2">
      <c r="F2621" s="28"/>
      <c r="H2621" s="28"/>
      <c r="I2621" s="28"/>
      <c r="J2621" s="28"/>
      <c r="K2621" s="9"/>
      <c r="O2621" s="9"/>
      <c r="P2621" s="77"/>
    </row>
    <row r="2622" spans="6:16" x14ac:dyDescent="0.2">
      <c r="F2622" s="28"/>
      <c r="H2622" s="28"/>
      <c r="I2622" s="28"/>
      <c r="J2622" s="28"/>
      <c r="K2622" s="9"/>
      <c r="O2622" s="9"/>
      <c r="P2622" s="77"/>
    </row>
    <row r="2623" spans="6:16" x14ac:dyDescent="0.2">
      <c r="F2623" s="28"/>
      <c r="H2623" s="28"/>
      <c r="I2623" s="28"/>
      <c r="J2623" s="28"/>
      <c r="K2623" s="9"/>
      <c r="O2623" s="9"/>
      <c r="P2623" s="77"/>
    </row>
    <row r="2624" spans="6:16" x14ac:dyDescent="0.2">
      <c r="F2624" s="28"/>
      <c r="H2624" s="28"/>
      <c r="I2624" s="28"/>
      <c r="J2624" s="28"/>
      <c r="K2624" s="9"/>
      <c r="O2624" s="9"/>
      <c r="P2624" s="77"/>
    </row>
    <row r="2625" spans="6:16" x14ac:dyDescent="0.2">
      <c r="F2625" s="28"/>
      <c r="H2625" s="28"/>
      <c r="I2625" s="28"/>
      <c r="J2625" s="28"/>
      <c r="K2625" s="9"/>
      <c r="O2625" s="9"/>
      <c r="P2625" s="77"/>
    </row>
    <row r="2626" spans="6:16" x14ac:dyDescent="0.2">
      <c r="F2626" s="28"/>
      <c r="H2626" s="28"/>
      <c r="I2626" s="28"/>
      <c r="J2626" s="28"/>
      <c r="K2626" s="9"/>
      <c r="O2626" s="9"/>
      <c r="P2626" s="77"/>
    </row>
    <row r="2627" spans="6:16" x14ac:dyDescent="0.2">
      <c r="F2627" s="28"/>
      <c r="H2627" s="28"/>
      <c r="I2627" s="28"/>
      <c r="J2627" s="28"/>
      <c r="K2627" s="9"/>
      <c r="O2627" s="9"/>
      <c r="P2627" s="77"/>
    </row>
    <row r="2628" spans="6:16" x14ac:dyDescent="0.2">
      <c r="F2628" s="28"/>
      <c r="H2628" s="28"/>
      <c r="I2628" s="28"/>
      <c r="J2628" s="28"/>
      <c r="K2628" s="9"/>
      <c r="O2628" s="9"/>
      <c r="P2628" s="77"/>
    </row>
    <row r="2629" spans="6:16" x14ac:dyDescent="0.2">
      <c r="F2629" s="28"/>
      <c r="H2629" s="28"/>
      <c r="I2629" s="28"/>
      <c r="J2629" s="28"/>
      <c r="K2629" s="9"/>
      <c r="O2629" s="9"/>
      <c r="P2629" s="77"/>
    </row>
    <row r="2630" spans="6:16" x14ac:dyDescent="0.2">
      <c r="F2630" s="28"/>
      <c r="H2630" s="28"/>
      <c r="I2630" s="28"/>
      <c r="J2630" s="28"/>
      <c r="K2630" s="9"/>
      <c r="O2630" s="9"/>
      <c r="P2630" s="77"/>
    </row>
    <row r="2631" spans="6:16" x14ac:dyDescent="0.2">
      <c r="F2631" s="28"/>
      <c r="H2631" s="28"/>
      <c r="I2631" s="28"/>
      <c r="J2631" s="28"/>
      <c r="K2631" s="9"/>
      <c r="O2631" s="9"/>
      <c r="P2631" s="77"/>
    </row>
    <row r="2632" spans="6:16" x14ac:dyDescent="0.2">
      <c r="F2632" s="28"/>
      <c r="H2632" s="28"/>
      <c r="I2632" s="28"/>
      <c r="J2632" s="28"/>
      <c r="K2632" s="9"/>
      <c r="O2632" s="9"/>
      <c r="P2632" s="77"/>
    </row>
    <row r="2633" spans="6:16" x14ac:dyDescent="0.2">
      <c r="F2633" s="28"/>
      <c r="H2633" s="28"/>
      <c r="I2633" s="28"/>
      <c r="J2633" s="28"/>
      <c r="K2633" s="9"/>
      <c r="O2633" s="9"/>
      <c r="P2633" s="77"/>
    </row>
    <row r="2634" spans="6:16" x14ac:dyDescent="0.2">
      <c r="F2634" s="28"/>
      <c r="H2634" s="28"/>
      <c r="I2634" s="28"/>
      <c r="J2634" s="28"/>
      <c r="K2634" s="9"/>
      <c r="O2634" s="9"/>
      <c r="P2634" s="77"/>
    </row>
    <row r="2635" spans="6:16" x14ac:dyDescent="0.2">
      <c r="F2635" s="28"/>
      <c r="H2635" s="28"/>
      <c r="I2635" s="28"/>
      <c r="J2635" s="28"/>
      <c r="K2635" s="9"/>
      <c r="O2635" s="9"/>
      <c r="P2635" s="77"/>
    </row>
    <row r="2636" spans="6:16" x14ac:dyDescent="0.2">
      <c r="F2636" s="28"/>
      <c r="H2636" s="28"/>
      <c r="I2636" s="28"/>
      <c r="J2636" s="28"/>
      <c r="K2636" s="9"/>
      <c r="O2636" s="9"/>
      <c r="P2636" s="77"/>
    </row>
    <row r="2637" spans="6:16" x14ac:dyDescent="0.2">
      <c r="F2637" s="28"/>
      <c r="H2637" s="28"/>
      <c r="I2637" s="28"/>
      <c r="J2637" s="28"/>
      <c r="K2637" s="9"/>
      <c r="O2637" s="9"/>
      <c r="P2637" s="77"/>
    </row>
    <row r="2638" spans="6:16" x14ac:dyDescent="0.2">
      <c r="F2638" s="28"/>
      <c r="H2638" s="28"/>
      <c r="I2638" s="28"/>
      <c r="J2638" s="28"/>
      <c r="K2638" s="9"/>
      <c r="O2638" s="9"/>
      <c r="P2638" s="77"/>
    </row>
    <row r="2639" spans="6:16" x14ac:dyDescent="0.2">
      <c r="F2639" s="28"/>
      <c r="H2639" s="28"/>
      <c r="I2639" s="28"/>
      <c r="J2639" s="28"/>
      <c r="K2639" s="9"/>
      <c r="O2639" s="9"/>
      <c r="P2639" s="77"/>
    </row>
    <row r="2640" spans="6:16" x14ac:dyDescent="0.2">
      <c r="F2640" s="28"/>
      <c r="H2640" s="28"/>
      <c r="I2640" s="28"/>
      <c r="J2640" s="28"/>
      <c r="K2640" s="9"/>
      <c r="O2640" s="9"/>
      <c r="P2640" s="77"/>
    </row>
    <row r="2641" spans="6:16" x14ac:dyDescent="0.2">
      <c r="F2641" s="28"/>
      <c r="H2641" s="28"/>
      <c r="I2641" s="28"/>
      <c r="J2641" s="28"/>
      <c r="K2641" s="9"/>
      <c r="O2641" s="9"/>
      <c r="P2641" s="77"/>
    </row>
    <row r="2642" spans="6:16" x14ac:dyDescent="0.2">
      <c r="F2642" s="28"/>
      <c r="H2642" s="28"/>
      <c r="I2642" s="28"/>
      <c r="J2642" s="28"/>
      <c r="K2642" s="9"/>
      <c r="O2642" s="9"/>
      <c r="P2642" s="77"/>
    </row>
    <row r="2643" spans="6:16" x14ac:dyDescent="0.2">
      <c r="F2643" s="28"/>
      <c r="H2643" s="28"/>
      <c r="I2643" s="28"/>
      <c r="J2643" s="28"/>
      <c r="K2643" s="9"/>
      <c r="O2643" s="9"/>
      <c r="P2643" s="77"/>
    </row>
    <row r="2644" spans="6:16" x14ac:dyDescent="0.2">
      <c r="F2644" s="28"/>
      <c r="H2644" s="28"/>
      <c r="I2644" s="28"/>
      <c r="J2644" s="28"/>
      <c r="K2644" s="9"/>
      <c r="O2644" s="9"/>
      <c r="P2644" s="77"/>
    </row>
    <row r="2645" spans="6:16" x14ac:dyDescent="0.2">
      <c r="F2645" s="28"/>
      <c r="H2645" s="28"/>
      <c r="I2645" s="28"/>
      <c r="J2645" s="28"/>
      <c r="K2645" s="9"/>
      <c r="O2645" s="9"/>
      <c r="P2645" s="77"/>
    </row>
    <row r="2646" spans="6:16" x14ac:dyDescent="0.2">
      <c r="F2646" s="28"/>
      <c r="H2646" s="28"/>
      <c r="I2646" s="28"/>
      <c r="J2646" s="28"/>
      <c r="K2646" s="9"/>
      <c r="O2646" s="9"/>
      <c r="P2646" s="77"/>
    </row>
    <row r="2647" spans="6:16" x14ac:dyDescent="0.2">
      <c r="F2647" s="28"/>
      <c r="H2647" s="28"/>
      <c r="I2647" s="28"/>
      <c r="J2647" s="28"/>
      <c r="K2647" s="9"/>
      <c r="O2647" s="9"/>
      <c r="P2647" s="77"/>
    </row>
    <row r="2648" spans="6:16" x14ac:dyDescent="0.2">
      <c r="F2648" s="28"/>
      <c r="H2648" s="28"/>
      <c r="I2648" s="28"/>
      <c r="J2648" s="28"/>
      <c r="K2648" s="9"/>
      <c r="O2648" s="9"/>
      <c r="P2648" s="77"/>
    </row>
    <row r="2649" spans="6:16" x14ac:dyDescent="0.2">
      <c r="F2649" s="28"/>
      <c r="H2649" s="28"/>
      <c r="I2649" s="28"/>
      <c r="J2649" s="28"/>
      <c r="K2649" s="9"/>
      <c r="O2649" s="9"/>
      <c r="P2649" s="77"/>
    </row>
    <row r="2650" spans="6:16" x14ac:dyDescent="0.2">
      <c r="F2650" s="28"/>
      <c r="H2650" s="28"/>
      <c r="I2650" s="28"/>
      <c r="J2650" s="28"/>
      <c r="K2650" s="9"/>
      <c r="O2650" s="9"/>
      <c r="P2650" s="77"/>
    </row>
    <row r="2651" spans="6:16" x14ac:dyDescent="0.2">
      <c r="F2651" s="28"/>
      <c r="H2651" s="28"/>
      <c r="I2651" s="28"/>
      <c r="J2651" s="28"/>
      <c r="K2651" s="9"/>
      <c r="O2651" s="9"/>
      <c r="P2651" s="77"/>
    </row>
    <row r="2652" spans="6:16" x14ac:dyDescent="0.2">
      <c r="F2652" s="28"/>
      <c r="H2652" s="28"/>
      <c r="I2652" s="28"/>
      <c r="J2652" s="28"/>
      <c r="K2652" s="9"/>
      <c r="O2652" s="9"/>
      <c r="P2652" s="77"/>
    </row>
    <row r="2653" spans="6:16" x14ac:dyDescent="0.2">
      <c r="F2653" s="28"/>
      <c r="H2653" s="28"/>
      <c r="I2653" s="28"/>
      <c r="J2653" s="28"/>
      <c r="K2653" s="9"/>
      <c r="O2653" s="9"/>
      <c r="P2653" s="77"/>
    </row>
    <row r="2654" spans="6:16" x14ac:dyDescent="0.2">
      <c r="F2654" s="28"/>
      <c r="H2654" s="28"/>
      <c r="I2654" s="28"/>
      <c r="J2654" s="28"/>
      <c r="K2654" s="9"/>
      <c r="O2654" s="9"/>
      <c r="P2654" s="77"/>
    </row>
    <row r="2655" spans="6:16" x14ac:dyDescent="0.2">
      <c r="F2655" s="28"/>
      <c r="H2655" s="28"/>
      <c r="I2655" s="28"/>
      <c r="J2655" s="28"/>
      <c r="K2655" s="9"/>
      <c r="O2655" s="9"/>
      <c r="P2655" s="77"/>
    </row>
    <row r="2656" spans="6:16" x14ac:dyDescent="0.2">
      <c r="F2656" s="28"/>
      <c r="H2656" s="28"/>
      <c r="I2656" s="28"/>
      <c r="J2656" s="28"/>
      <c r="K2656" s="9"/>
      <c r="O2656" s="9"/>
      <c r="P2656" s="77"/>
    </row>
    <row r="2657" spans="6:16" x14ac:dyDescent="0.2">
      <c r="F2657" s="28"/>
      <c r="H2657" s="28"/>
      <c r="I2657" s="28"/>
      <c r="J2657" s="28"/>
      <c r="K2657" s="9"/>
      <c r="O2657" s="9"/>
      <c r="P2657" s="77"/>
    </row>
    <row r="2658" spans="6:16" x14ac:dyDescent="0.2">
      <c r="F2658" s="28"/>
      <c r="H2658" s="28"/>
      <c r="I2658" s="28"/>
      <c r="J2658" s="28"/>
      <c r="K2658" s="9"/>
      <c r="O2658" s="9"/>
      <c r="P2658" s="77"/>
    </row>
    <row r="2659" spans="6:16" x14ac:dyDescent="0.2">
      <c r="F2659" s="28"/>
      <c r="H2659" s="28"/>
      <c r="I2659" s="28"/>
      <c r="J2659" s="28"/>
      <c r="K2659" s="9"/>
      <c r="O2659" s="9"/>
      <c r="P2659" s="77"/>
    </row>
    <row r="2660" spans="6:16" x14ac:dyDescent="0.2">
      <c r="F2660" s="28"/>
      <c r="H2660" s="28"/>
      <c r="I2660" s="28"/>
      <c r="J2660" s="28"/>
      <c r="K2660" s="9"/>
      <c r="O2660" s="9"/>
      <c r="P2660" s="77"/>
    </row>
    <row r="2661" spans="6:16" x14ac:dyDescent="0.2">
      <c r="F2661" s="28"/>
      <c r="H2661" s="28"/>
      <c r="I2661" s="28"/>
      <c r="J2661" s="28"/>
      <c r="K2661" s="9"/>
      <c r="O2661" s="9"/>
      <c r="P2661" s="77"/>
    </row>
    <row r="2662" spans="6:16" x14ac:dyDescent="0.2">
      <c r="F2662" s="28"/>
      <c r="H2662" s="28"/>
      <c r="I2662" s="28"/>
      <c r="J2662" s="28"/>
      <c r="K2662" s="9"/>
      <c r="O2662" s="9"/>
      <c r="P2662" s="77"/>
    </row>
    <row r="2663" spans="6:16" x14ac:dyDescent="0.2">
      <c r="F2663" s="28"/>
      <c r="H2663" s="28"/>
      <c r="I2663" s="28"/>
      <c r="J2663" s="28"/>
      <c r="K2663" s="9"/>
      <c r="O2663" s="9"/>
      <c r="P2663" s="77"/>
    </row>
    <row r="2664" spans="6:16" x14ac:dyDescent="0.2">
      <c r="F2664" s="28"/>
      <c r="H2664" s="28"/>
      <c r="I2664" s="28"/>
      <c r="J2664" s="28"/>
      <c r="K2664" s="9"/>
      <c r="O2664" s="9"/>
      <c r="P2664" s="77"/>
    </row>
    <row r="2665" spans="6:16" x14ac:dyDescent="0.2">
      <c r="F2665" s="28"/>
      <c r="H2665" s="28"/>
      <c r="I2665" s="28"/>
      <c r="J2665" s="28"/>
      <c r="K2665" s="9"/>
      <c r="O2665" s="9"/>
      <c r="P2665" s="77"/>
    </row>
    <row r="2666" spans="6:16" x14ac:dyDescent="0.2">
      <c r="F2666" s="28"/>
      <c r="H2666" s="28"/>
      <c r="I2666" s="28"/>
      <c r="J2666" s="28"/>
      <c r="K2666" s="9"/>
      <c r="O2666" s="9"/>
      <c r="P2666" s="77"/>
    </row>
    <row r="2667" spans="6:16" x14ac:dyDescent="0.2">
      <c r="F2667" s="28"/>
      <c r="H2667" s="28"/>
      <c r="I2667" s="28"/>
      <c r="J2667" s="28"/>
      <c r="K2667" s="9"/>
      <c r="O2667" s="9"/>
      <c r="P2667" s="77"/>
    </row>
    <row r="2668" spans="6:16" x14ac:dyDescent="0.2">
      <c r="F2668" s="28"/>
      <c r="H2668" s="28"/>
      <c r="I2668" s="28"/>
      <c r="J2668" s="28"/>
      <c r="K2668" s="9"/>
      <c r="O2668" s="9"/>
      <c r="P2668" s="77"/>
    </row>
    <row r="2669" spans="6:16" x14ac:dyDescent="0.2">
      <c r="F2669" s="28"/>
      <c r="H2669" s="28"/>
      <c r="I2669" s="28"/>
      <c r="J2669" s="28"/>
      <c r="K2669" s="9"/>
      <c r="O2669" s="9"/>
      <c r="P2669" s="77"/>
    </row>
    <row r="2670" spans="6:16" x14ac:dyDescent="0.2">
      <c r="F2670" s="28"/>
      <c r="H2670" s="28"/>
      <c r="I2670" s="28"/>
      <c r="J2670" s="28"/>
      <c r="K2670" s="9"/>
      <c r="O2670" s="9"/>
      <c r="P2670" s="77"/>
    </row>
    <row r="2671" spans="6:16" x14ac:dyDescent="0.2">
      <c r="F2671" s="28"/>
      <c r="H2671" s="28"/>
      <c r="I2671" s="28"/>
      <c r="J2671" s="28"/>
      <c r="K2671" s="9"/>
      <c r="O2671" s="9"/>
      <c r="P2671" s="77"/>
    </row>
    <row r="2672" spans="6:16" x14ac:dyDescent="0.2">
      <c r="F2672" s="28"/>
      <c r="H2672" s="28"/>
      <c r="I2672" s="28"/>
      <c r="J2672" s="28"/>
      <c r="K2672" s="9"/>
      <c r="O2672" s="9"/>
      <c r="P2672" s="77"/>
    </row>
    <row r="2673" spans="6:16" x14ac:dyDescent="0.2">
      <c r="F2673" s="28"/>
      <c r="H2673" s="28"/>
      <c r="I2673" s="28"/>
      <c r="J2673" s="28"/>
      <c r="K2673" s="9"/>
      <c r="O2673" s="9"/>
      <c r="P2673" s="77"/>
    </row>
    <row r="2674" spans="6:16" x14ac:dyDescent="0.2">
      <c r="F2674" s="28"/>
      <c r="H2674" s="28"/>
      <c r="I2674" s="28"/>
      <c r="J2674" s="28"/>
      <c r="K2674" s="9"/>
      <c r="O2674" s="9"/>
      <c r="P2674" s="77"/>
    </row>
    <row r="2675" spans="6:16" x14ac:dyDescent="0.2">
      <c r="F2675" s="28"/>
      <c r="H2675" s="28"/>
      <c r="I2675" s="28"/>
      <c r="J2675" s="28"/>
      <c r="K2675" s="9"/>
      <c r="O2675" s="9"/>
      <c r="P2675" s="77"/>
    </row>
    <row r="2676" spans="6:16" x14ac:dyDescent="0.2">
      <c r="F2676" s="28"/>
      <c r="H2676" s="28"/>
      <c r="I2676" s="28"/>
      <c r="J2676" s="28"/>
      <c r="K2676" s="9"/>
      <c r="O2676" s="9"/>
      <c r="P2676" s="77"/>
    </row>
    <row r="2677" spans="6:16" x14ac:dyDescent="0.2">
      <c r="F2677" s="28"/>
      <c r="H2677" s="28"/>
      <c r="I2677" s="28"/>
      <c r="J2677" s="28"/>
      <c r="K2677" s="9"/>
      <c r="O2677" s="9"/>
      <c r="P2677" s="77"/>
    </row>
    <row r="2678" spans="6:16" x14ac:dyDescent="0.2">
      <c r="F2678" s="28"/>
      <c r="H2678" s="28"/>
      <c r="I2678" s="28"/>
      <c r="J2678" s="28"/>
      <c r="K2678" s="9"/>
      <c r="O2678" s="9"/>
      <c r="P2678" s="77"/>
    </row>
    <row r="2679" spans="6:16" x14ac:dyDescent="0.2">
      <c r="F2679" s="28"/>
      <c r="H2679" s="28"/>
      <c r="I2679" s="28"/>
      <c r="J2679" s="28"/>
      <c r="K2679" s="9"/>
      <c r="O2679" s="9"/>
      <c r="P2679" s="77"/>
    </row>
    <row r="2680" spans="6:16" x14ac:dyDescent="0.2">
      <c r="F2680" s="28"/>
      <c r="H2680" s="28"/>
      <c r="I2680" s="28"/>
      <c r="J2680" s="28"/>
      <c r="K2680" s="9"/>
      <c r="O2680" s="9"/>
      <c r="P2680" s="77"/>
    </row>
    <row r="2681" spans="6:16" x14ac:dyDescent="0.2">
      <c r="F2681" s="28"/>
      <c r="H2681" s="28"/>
      <c r="I2681" s="28"/>
      <c r="J2681" s="28"/>
      <c r="K2681" s="9"/>
      <c r="O2681" s="9"/>
      <c r="P2681" s="77"/>
    </row>
    <row r="2682" spans="6:16" x14ac:dyDescent="0.2">
      <c r="F2682" s="28"/>
      <c r="H2682" s="28"/>
      <c r="I2682" s="28"/>
      <c r="J2682" s="28"/>
      <c r="K2682" s="9"/>
      <c r="O2682" s="9"/>
      <c r="P2682" s="77"/>
    </row>
    <row r="2683" spans="6:16" x14ac:dyDescent="0.2">
      <c r="F2683" s="28"/>
      <c r="H2683" s="28"/>
      <c r="I2683" s="28"/>
      <c r="J2683" s="28"/>
      <c r="K2683" s="9"/>
      <c r="O2683" s="9"/>
      <c r="P2683" s="77"/>
    </row>
    <row r="2684" spans="6:16" x14ac:dyDescent="0.2">
      <c r="F2684" s="28"/>
      <c r="H2684" s="28"/>
      <c r="I2684" s="28"/>
      <c r="J2684" s="28"/>
      <c r="K2684" s="9"/>
      <c r="O2684" s="9"/>
      <c r="P2684" s="77"/>
    </row>
    <row r="2685" spans="6:16" x14ac:dyDescent="0.2">
      <c r="F2685" s="28"/>
      <c r="H2685" s="28"/>
      <c r="I2685" s="28"/>
      <c r="J2685" s="28"/>
      <c r="K2685" s="9"/>
      <c r="O2685" s="9"/>
      <c r="P2685" s="77"/>
    </row>
    <row r="2686" spans="6:16" x14ac:dyDescent="0.2">
      <c r="F2686" s="28"/>
      <c r="H2686" s="28"/>
      <c r="I2686" s="28"/>
      <c r="J2686" s="28"/>
      <c r="K2686" s="9"/>
      <c r="O2686" s="9"/>
      <c r="P2686" s="77"/>
    </row>
    <row r="2687" spans="6:16" x14ac:dyDescent="0.2">
      <c r="F2687" s="28"/>
      <c r="H2687" s="28"/>
      <c r="I2687" s="28"/>
      <c r="J2687" s="28"/>
      <c r="K2687" s="9"/>
      <c r="O2687" s="9"/>
      <c r="P2687" s="77"/>
    </row>
    <row r="2688" spans="6:16" x14ac:dyDescent="0.2">
      <c r="F2688" s="28"/>
      <c r="H2688" s="28"/>
      <c r="I2688" s="28"/>
      <c r="J2688" s="28"/>
      <c r="K2688" s="9"/>
      <c r="O2688" s="9"/>
      <c r="P2688" s="77"/>
    </row>
    <row r="2689" spans="6:16" x14ac:dyDescent="0.2">
      <c r="F2689" s="28"/>
      <c r="H2689" s="28"/>
      <c r="I2689" s="28"/>
      <c r="J2689" s="28"/>
      <c r="K2689" s="9"/>
      <c r="O2689" s="9"/>
      <c r="P2689" s="77"/>
    </row>
    <row r="2690" spans="6:16" x14ac:dyDescent="0.2">
      <c r="F2690" s="28"/>
      <c r="H2690" s="28"/>
      <c r="I2690" s="28"/>
      <c r="J2690" s="28"/>
      <c r="K2690" s="9"/>
      <c r="O2690" s="9"/>
      <c r="P2690" s="77"/>
    </row>
    <row r="2691" spans="6:16" x14ac:dyDescent="0.2">
      <c r="F2691" s="28"/>
      <c r="H2691" s="28"/>
      <c r="I2691" s="28"/>
      <c r="J2691" s="28"/>
      <c r="K2691" s="9"/>
      <c r="O2691" s="9"/>
      <c r="P2691" s="77"/>
    </row>
    <row r="2692" spans="6:16" x14ac:dyDescent="0.2">
      <c r="F2692" s="28"/>
      <c r="H2692" s="28"/>
      <c r="I2692" s="28"/>
      <c r="J2692" s="28"/>
      <c r="K2692" s="9"/>
      <c r="O2692" s="9"/>
      <c r="P2692" s="77"/>
    </row>
    <row r="2693" spans="6:16" x14ac:dyDescent="0.2">
      <c r="F2693" s="28"/>
      <c r="H2693" s="28"/>
      <c r="I2693" s="28"/>
      <c r="J2693" s="28"/>
      <c r="K2693" s="9"/>
      <c r="O2693" s="9"/>
      <c r="P2693" s="77"/>
    </row>
    <row r="2694" spans="6:16" x14ac:dyDescent="0.2">
      <c r="F2694" s="28"/>
      <c r="H2694" s="28"/>
      <c r="I2694" s="28"/>
      <c r="J2694" s="28"/>
      <c r="K2694" s="9"/>
      <c r="O2694" s="9"/>
      <c r="P2694" s="77"/>
    </row>
    <row r="2695" spans="6:16" x14ac:dyDescent="0.2">
      <c r="F2695" s="28"/>
      <c r="H2695" s="28"/>
      <c r="I2695" s="28"/>
      <c r="J2695" s="28"/>
      <c r="K2695" s="9"/>
      <c r="O2695" s="9"/>
      <c r="P2695" s="77"/>
    </row>
    <row r="2696" spans="6:16" x14ac:dyDescent="0.2">
      <c r="F2696" s="28"/>
      <c r="H2696" s="28"/>
      <c r="I2696" s="28"/>
      <c r="J2696" s="28"/>
      <c r="K2696" s="9"/>
      <c r="O2696" s="9"/>
      <c r="P2696" s="77"/>
    </row>
    <row r="2697" spans="6:16" x14ac:dyDescent="0.2">
      <c r="F2697" s="28"/>
      <c r="H2697" s="28"/>
      <c r="I2697" s="28"/>
      <c r="J2697" s="28"/>
      <c r="K2697" s="9"/>
      <c r="O2697" s="9"/>
      <c r="P2697" s="77"/>
    </row>
    <row r="2698" spans="6:16" x14ac:dyDescent="0.2">
      <c r="F2698" s="28"/>
      <c r="H2698" s="28"/>
      <c r="I2698" s="28"/>
      <c r="J2698" s="28"/>
      <c r="K2698" s="9"/>
      <c r="O2698" s="9"/>
      <c r="P2698" s="77"/>
    </row>
    <row r="2699" spans="6:16" x14ac:dyDescent="0.2">
      <c r="F2699" s="28"/>
      <c r="H2699" s="28"/>
      <c r="I2699" s="28"/>
      <c r="J2699" s="28"/>
      <c r="K2699" s="9"/>
      <c r="O2699" s="9"/>
      <c r="P2699" s="77"/>
    </row>
    <row r="2700" spans="6:16" x14ac:dyDescent="0.2">
      <c r="F2700" s="28"/>
      <c r="H2700" s="28"/>
      <c r="I2700" s="28"/>
      <c r="J2700" s="28"/>
      <c r="K2700" s="9"/>
      <c r="O2700" s="9"/>
      <c r="P2700" s="77"/>
    </row>
    <row r="2701" spans="6:16" x14ac:dyDescent="0.2">
      <c r="F2701" s="28"/>
      <c r="H2701" s="28"/>
      <c r="I2701" s="28"/>
      <c r="J2701" s="28"/>
      <c r="K2701" s="9"/>
      <c r="O2701" s="9"/>
      <c r="P2701" s="77"/>
    </row>
    <row r="2702" spans="6:16" x14ac:dyDescent="0.2">
      <c r="F2702" s="28"/>
      <c r="H2702" s="28"/>
      <c r="I2702" s="28"/>
      <c r="J2702" s="28"/>
      <c r="K2702" s="9"/>
      <c r="O2702" s="9"/>
      <c r="P2702" s="77"/>
    </row>
    <row r="2703" spans="6:16" x14ac:dyDescent="0.2">
      <c r="F2703" s="28"/>
      <c r="H2703" s="28"/>
      <c r="I2703" s="28"/>
      <c r="J2703" s="28"/>
      <c r="K2703" s="9"/>
      <c r="O2703" s="9"/>
      <c r="P2703" s="77"/>
    </row>
    <row r="2704" spans="6:16" x14ac:dyDescent="0.2">
      <c r="F2704" s="28"/>
      <c r="H2704" s="28"/>
      <c r="I2704" s="28"/>
      <c r="J2704" s="28"/>
      <c r="K2704" s="9"/>
      <c r="O2704" s="9"/>
      <c r="P2704" s="77"/>
    </row>
    <row r="2705" spans="6:16" x14ac:dyDescent="0.2">
      <c r="F2705" s="28"/>
      <c r="H2705" s="28"/>
      <c r="I2705" s="28"/>
      <c r="J2705" s="28"/>
      <c r="K2705" s="9"/>
      <c r="O2705" s="9"/>
      <c r="P2705" s="77"/>
    </row>
    <row r="2706" spans="6:16" x14ac:dyDescent="0.2">
      <c r="F2706" s="28"/>
      <c r="H2706" s="28"/>
      <c r="I2706" s="28"/>
      <c r="J2706" s="28"/>
      <c r="K2706" s="9"/>
      <c r="O2706" s="9"/>
      <c r="P2706" s="77"/>
    </row>
    <row r="2707" spans="6:16" x14ac:dyDescent="0.2">
      <c r="F2707" s="28"/>
      <c r="H2707" s="28"/>
      <c r="I2707" s="28"/>
      <c r="J2707" s="28"/>
      <c r="K2707" s="9"/>
      <c r="O2707" s="9"/>
      <c r="P2707" s="77"/>
    </row>
    <row r="2708" spans="6:16" x14ac:dyDescent="0.2">
      <c r="F2708" s="28"/>
      <c r="H2708" s="28"/>
      <c r="I2708" s="28"/>
      <c r="J2708" s="28"/>
      <c r="K2708" s="9"/>
      <c r="O2708" s="9"/>
      <c r="P2708" s="77"/>
    </row>
    <row r="2709" spans="6:16" x14ac:dyDescent="0.2">
      <c r="F2709" s="28"/>
      <c r="H2709" s="28"/>
      <c r="I2709" s="28"/>
      <c r="J2709" s="28"/>
      <c r="K2709" s="9"/>
      <c r="O2709" s="9"/>
      <c r="P2709" s="77"/>
    </row>
    <row r="2710" spans="6:16" x14ac:dyDescent="0.2">
      <c r="F2710" s="28"/>
      <c r="H2710" s="28"/>
      <c r="I2710" s="28"/>
      <c r="J2710" s="28"/>
      <c r="K2710" s="9"/>
      <c r="O2710" s="9"/>
      <c r="P2710" s="77"/>
    </row>
    <row r="2711" spans="6:16" x14ac:dyDescent="0.2">
      <c r="F2711" s="28"/>
      <c r="H2711" s="28"/>
      <c r="I2711" s="28"/>
      <c r="J2711" s="28"/>
      <c r="K2711" s="9"/>
      <c r="O2711" s="9"/>
      <c r="P2711" s="77"/>
    </row>
    <row r="2712" spans="6:16" x14ac:dyDescent="0.2">
      <c r="F2712" s="28"/>
      <c r="H2712" s="28"/>
      <c r="I2712" s="28"/>
      <c r="J2712" s="28"/>
      <c r="K2712" s="9"/>
      <c r="O2712" s="9"/>
      <c r="P2712" s="77"/>
    </row>
    <row r="2713" spans="6:16" x14ac:dyDescent="0.2">
      <c r="F2713" s="28"/>
      <c r="H2713" s="28"/>
      <c r="I2713" s="28"/>
      <c r="J2713" s="28"/>
      <c r="K2713" s="9"/>
      <c r="O2713" s="9"/>
      <c r="P2713" s="77"/>
    </row>
    <row r="2714" spans="6:16" x14ac:dyDescent="0.2">
      <c r="F2714" s="28"/>
      <c r="H2714" s="28"/>
      <c r="I2714" s="28"/>
      <c r="J2714" s="28"/>
      <c r="K2714" s="9"/>
      <c r="O2714" s="9"/>
      <c r="P2714" s="77"/>
    </row>
    <row r="2715" spans="6:16" x14ac:dyDescent="0.2">
      <c r="F2715" s="28"/>
      <c r="H2715" s="28"/>
      <c r="I2715" s="28"/>
      <c r="J2715" s="28"/>
      <c r="K2715" s="9"/>
      <c r="O2715" s="9"/>
      <c r="P2715" s="77"/>
    </row>
    <row r="2716" spans="6:16" x14ac:dyDescent="0.2">
      <c r="F2716" s="28"/>
      <c r="H2716" s="28"/>
      <c r="I2716" s="28"/>
      <c r="J2716" s="28"/>
      <c r="K2716" s="9"/>
      <c r="O2716" s="9"/>
      <c r="P2716" s="77"/>
    </row>
    <row r="2717" spans="6:16" x14ac:dyDescent="0.2">
      <c r="F2717" s="28"/>
      <c r="H2717" s="28"/>
      <c r="I2717" s="28"/>
      <c r="J2717" s="28"/>
      <c r="K2717" s="9"/>
      <c r="O2717" s="9"/>
      <c r="P2717" s="77"/>
    </row>
    <row r="2718" spans="6:16" x14ac:dyDescent="0.2">
      <c r="F2718" s="28"/>
      <c r="H2718" s="28"/>
      <c r="I2718" s="28"/>
      <c r="J2718" s="28"/>
      <c r="K2718" s="9"/>
      <c r="O2718" s="9"/>
      <c r="P2718" s="77"/>
    </row>
    <row r="2719" spans="6:16" x14ac:dyDescent="0.2">
      <c r="F2719" s="28"/>
      <c r="H2719" s="28"/>
      <c r="I2719" s="28"/>
      <c r="J2719" s="28"/>
      <c r="K2719" s="9"/>
      <c r="O2719" s="9"/>
      <c r="P2719" s="77"/>
    </row>
    <row r="2720" spans="6:16" x14ac:dyDescent="0.2">
      <c r="F2720" s="28"/>
      <c r="H2720" s="28"/>
      <c r="I2720" s="28"/>
      <c r="J2720" s="28"/>
      <c r="K2720" s="9"/>
      <c r="O2720" s="9"/>
      <c r="P2720" s="77"/>
    </row>
    <row r="2721" spans="6:16" x14ac:dyDescent="0.2">
      <c r="F2721" s="28"/>
      <c r="H2721" s="28"/>
      <c r="I2721" s="28"/>
      <c r="J2721" s="28"/>
      <c r="K2721" s="9"/>
      <c r="O2721" s="9"/>
      <c r="P2721" s="77"/>
    </row>
    <row r="2722" spans="6:16" x14ac:dyDescent="0.2">
      <c r="F2722" s="28"/>
      <c r="H2722" s="28"/>
      <c r="I2722" s="28"/>
      <c r="J2722" s="28"/>
      <c r="K2722" s="9"/>
      <c r="O2722" s="9"/>
      <c r="P2722" s="77"/>
    </row>
    <row r="2723" spans="6:16" x14ac:dyDescent="0.2">
      <c r="F2723" s="28"/>
      <c r="H2723" s="28"/>
      <c r="I2723" s="28"/>
      <c r="J2723" s="28"/>
      <c r="K2723" s="9"/>
      <c r="O2723" s="9"/>
      <c r="P2723" s="77"/>
    </row>
    <row r="2724" spans="6:16" x14ac:dyDescent="0.2">
      <c r="F2724" s="28"/>
      <c r="H2724" s="28"/>
      <c r="I2724" s="28"/>
      <c r="J2724" s="28"/>
      <c r="K2724" s="9"/>
      <c r="O2724" s="9"/>
      <c r="P2724" s="77"/>
    </row>
    <row r="2725" spans="6:16" x14ac:dyDescent="0.2">
      <c r="F2725" s="28"/>
      <c r="H2725" s="28"/>
      <c r="I2725" s="28"/>
      <c r="J2725" s="28"/>
      <c r="K2725" s="9"/>
      <c r="O2725" s="9"/>
      <c r="P2725" s="77"/>
    </row>
    <row r="2726" spans="6:16" x14ac:dyDescent="0.2">
      <c r="F2726" s="28"/>
      <c r="H2726" s="28"/>
      <c r="I2726" s="28"/>
      <c r="J2726" s="28"/>
      <c r="K2726" s="9"/>
      <c r="O2726" s="9"/>
      <c r="P2726" s="77"/>
    </row>
    <row r="2727" spans="6:16" x14ac:dyDescent="0.2">
      <c r="F2727" s="28"/>
      <c r="H2727" s="28"/>
      <c r="I2727" s="28"/>
      <c r="J2727" s="28"/>
      <c r="K2727" s="9"/>
      <c r="O2727" s="9"/>
      <c r="P2727" s="77"/>
    </row>
    <row r="2728" spans="6:16" x14ac:dyDescent="0.2">
      <c r="F2728" s="28"/>
      <c r="H2728" s="28"/>
      <c r="I2728" s="28"/>
      <c r="J2728" s="28"/>
      <c r="K2728" s="9"/>
      <c r="O2728" s="9"/>
      <c r="P2728" s="77"/>
    </row>
    <row r="2729" spans="6:16" x14ac:dyDescent="0.2">
      <c r="F2729" s="28"/>
      <c r="H2729" s="28"/>
      <c r="I2729" s="28"/>
      <c r="J2729" s="28"/>
      <c r="K2729" s="9"/>
      <c r="O2729" s="9"/>
      <c r="P2729" s="77"/>
    </row>
    <row r="2730" spans="6:16" x14ac:dyDescent="0.2">
      <c r="F2730" s="28"/>
      <c r="H2730" s="28"/>
      <c r="I2730" s="28"/>
      <c r="J2730" s="28"/>
      <c r="K2730" s="9"/>
      <c r="O2730" s="9"/>
      <c r="P2730" s="77"/>
    </row>
    <row r="2731" spans="6:16" x14ac:dyDescent="0.2">
      <c r="F2731" s="28"/>
      <c r="H2731" s="28"/>
      <c r="I2731" s="28"/>
      <c r="J2731" s="28"/>
      <c r="K2731" s="9"/>
      <c r="O2731" s="9"/>
      <c r="P2731" s="77"/>
    </row>
    <row r="2732" spans="6:16" x14ac:dyDescent="0.2">
      <c r="F2732" s="28"/>
      <c r="H2732" s="28"/>
      <c r="I2732" s="28"/>
      <c r="J2732" s="28"/>
      <c r="K2732" s="9"/>
      <c r="O2732" s="9"/>
      <c r="P2732" s="77"/>
    </row>
    <row r="2733" spans="6:16" x14ac:dyDescent="0.2">
      <c r="F2733" s="28"/>
      <c r="H2733" s="28"/>
      <c r="I2733" s="28"/>
      <c r="J2733" s="28"/>
      <c r="K2733" s="9"/>
      <c r="O2733" s="9"/>
      <c r="P2733" s="77"/>
    </row>
    <row r="2734" spans="6:16" x14ac:dyDescent="0.2">
      <c r="F2734" s="28"/>
      <c r="H2734" s="28"/>
      <c r="I2734" s="28"/>
      <c r="J2734" s="28"/>
      <c r="K2734" s="9"/>
      <c r="O2734" s="9"/>
      <c r="P2734" s="77"/>
    </row>
    <row r="2735" spans="6:16" x14ac:dyDescent="0.2">
      <c r="F2735" s="28"/>
      <c r="H2735" s="28"/>
      <c r="I2735" s="28"/>
      <c r="J2735" s="28"/>
      <c r="K2735" s="9"/>
      <c r="O2735" s="9"/>
      <c r="P2735" s="77"/>
    </row>
    <row r="2736" spans="6:16" x14ac:dyDescent="0.2">
      <c r="F2736" s="28"/>
      <c r="H2736" s="28"/>
      <c r="I2736" s="28"/>
      <c r="J2736" s="28"/>
      <c r="K2736" s="9"/>
      <c r="O2736" s="9"/>
      <c r="P2736" s="77"/>
    </row>
    <row r="2737" spans="6:16" x14ac:dyDescent="0.2">
      <c r="F2737" s="28"/>
      <c r="H2737" s="28"/>
      <c r="I2737" s="28"/>
      <c r="J2737" s="28"/>
      <c r="K2737" s="9"/>
      <c r="O2737" s="9"/>
      <c r="P2737" s="77"/>
    </row>
    <row r="2738" spans="6:16" x14ac:dyDescent="0.2">
      <c r="F2738" s="28"/>
      <c r="H2738" s="28"/>
      <c r="I2738" s="28"/>
      <c r="J2738" s="28"/>
      <c r="K2738" s="9"/>
      <c r="O2738" s="9"/>
      <c r="P2738" s="77"/>
    </row>
    <row r="2739" spans="6:16" x14ac:dyDescent="0.2">
      <c r="F2739" s="28"/>
      <c r="H2739" s="28"/>
      <c r="I2739" s="28"/>
      <c r="J2739" s="28"/>
      <c r="K2739" s="9"/>
      <c r="O2739" s="9"/>
      <c r="P2739" s="77"/>
    </row>
    <row r="2740" spans="6:16" x14ac:dyDescent="0.2">
      <c r="F2740" s="28"/>
      <c r="H2740" s="28"/>
      <c r="I2740" s="28"/>
      <c r="J2740" s="28"/>
      <c r="K2740" s="9"/>
      <c r="O2740" s="9"/>
      <c r="P2740" s="77"/>
    </row>
    <row r="2741" spans="6:16" x14ac:dyDescent="0.2">
      <c r="F2741" s="28"/>
      <c r="H2741" s="28"/>
      <c r="I2741" s="28"/>
      <c r="J2741" s="28"/>
      <c r="K2741" s="9"/>
      <c r="O2741" s="9"/>
      <c r="P2741" s="77"/>
    </row>
    <row r="2742" spans="6:16" x14ac:dyDescent="0.2">
      <c r="F2742" s="28"/>
      <c r="H2742" s="28"/>
      <c r="I2742" s="28"/>
      <c r="J2742" s="28"/>
      <c r="K2742" s="9"/>
      <c r="O2742" s="9"/>
      <c r="P2742" s="77"/>
    </row>
    <row r="2743" spans="6:16" x14ac:dyDescent="0.2">
      <c r="F2743" s="28"/>
      <c r="H2743" s="28"/>
      <c r="I2743" s="28"/>
      <c r="J2743" s="28"/>
      <c r="K2743" s="9"/>
      <c r="O2743" s="9"/>
      <c r="P2743" s="77"/>
    </row>
    <row r="2744" spans="6:16" x14ac:dyDescent="0.2">
      <c r="F2744" s="28"/>
      <c r="H2744" s="28"/>
      <c r="I2744" s="28"/>
      <c r="J2744" s="28"/>
      <c r="K2744" s="9"/>
      <c r="O2744" s="9"/>
      <c r="P2744" s="77"/>
    </row>
    <row r="2745" spans="6:16" x14ac:dyDescent="0.2">
      <c r="F2745" s="28"/>
      <c r="H2745" s="28"/>
      <c r="I2745" s="28"/>
      <c r="J2745" s="28"/>
      <c r="K2745" s="9"/>
      <c r="O2745" s="9"/>
      <c r="P2745" s="77"/>
    </row>
    <row r="2746" spans="6:16" x14ac:dyDescent="0.2">
      <c r="F2746" s="28"/>
      <c r="H2746" s="28"/>
      <c r="I2746" s="28"/>
      <c r="J2746" s="28"/>
      <c r="K2746" s="9"/>
      <c r="O2746" s="9"/>
      <c r="P2746" s="77"/>
    </row>
    <row r="2747" spans="6:16" x14ac:dyDescent="0.2">
      <c r="F2747" s="28"/>
      <c r="H2747" s="28"/>
      <c r="I2747" s="28"/>
      <c r="J2747" s="28"/>
      <c r="K2747" s="9"/>
      <c r="O2747" s="9"/>
      <c r="P2747" s="77"/>
    </row>
    <row r="2748" spans="6:16" x14ac:dyDescent="0.2">
      <c r="F2748" s="28"/>
      <c r="H2748" s="28"/>
      <c r="I2748" s="28"/>
      <c r="J2748" s="28"/>
      <c r="K2748" s="9"/>
      <c r="O2748" s="9"/>
      <c r="P2748" s="77"/>
    </row>
    <row r="2749" spans="6:16" x14ac:dyDescent="0.2">
      <c r="F2749" s="28"/>
      <c r="H2749" s="28"/>
      <c r="I2749" s="28"/>
      <c r="J2749" s="28"/>
      <c r="K2749" s="9"/>
      <c r="O2749" s="9"/>
      <c r="P2749" s="77"/>
    </row>
    <row r="2750" spans="6:16" x14ac:dyDescent="0.2">
      <c r="F2750" s="28"/>
      <c r="H2750" s="28"/>
      <c r="I2750" s="28"/>
      <c r="J2750" s="28"/>
      <c r="K2750" s="9"/>
      <c r="O2750" s="9"/>
      <c r="P2750" s="77"/>
    </row>
    <row r="2751" spans="6:16" x14ac:dyDescent="0.2">
      <c r="F2751" s="28"/>
      <c r="H2751" s="28"/>
      <c r="I2751" s="28"/>
      <c r="J2751" s="28"/>
      <c r="K2751" s="9"/>
      <c r="O2751" s="9"/>
      <c r="P2751" s="77"/>
    </row>
    <row r="2752" spans="6:16" x14ac:dyDescent="0.2">
      <c r="F2752" s="28"/>
      <c r="H2752" s="28"/>
      <c r="I2752" s="28"/>
      <c r="J2752" s="28"/>
      <c r="K2752" s="9"/>
      <c r="O2752" s="9"/>
      <c r="P2752" s="77"/>
    </row>
    <row r="2753" spans="6:16" x14ac:dyDescent="0.2">
      <c r="F2753" s="28"/>
      <c r="H2753" s="28"/>
      <c r="I2753" s="28"/>
      <c r="J2753" s="28"/>
      <c r="K2753" s="9"/>
      <c r="O2753" s="9"/>
      <c r="P2753" s="77"/>
    </row>
    <row r="2754" spans="6:16" x14ac:dyDescent="0.2">
      <c r="F2754" s="28"/>
      <c r="H2754" s="28"/>
      <c r="I2754" s="28"/>
      <c r="J2754" s="28"/>
      <c r="K2754" s="9"/>
      <c r="O2754" s="9"/>
      <c r="P2754" s="77"/>
    </row>
    <row r="2755" spans="6:16" x14ac:dyDescent="0.2">
      <c r="F2755" s="28"/>
      <c r="H2755" s="28"/>
      <c r="I2755" s="28"/>
      <c r="J2755" s="28"/>
      <c r="K2755" s="9"/>
      <c r="O2755" s="9"/>
      <c r="P2755" s="77"/>
    </row>
    <row r="2756" spans="6:16" x14ac:dyDescent="0.2">
      <c r="F2756" s="28"/>
      <c r="H2756" s="28"/>
      <c r="I2756" s="28"/>
      <c r="J2756" s="28"/>
      <c r="K2756" s="9"/>
      <c r="O2756" s="9"/>
      <c r="P2756" s="77"/>
    </row>
    <row r="2757" spans="6:16" x14ac:dyDescent="0.2">
      <c r="F2757" s="28"/>
      <c r="H2757" s="28"/>
      <c r="I2757" s="28"/>
      <c r="J2757" s="28"/>
      <c r="K2757" s="9"/>
      <c r="O2757" s="9"/>
      <c r="P2757" s="77"/>
    </row>
    <row r="2758" spans="6:16" x14ac:dyDescent="0.2">
      <c r="F2758" s="28"/>
      <c r="H2758" s="28"/>
      <c r="I2758" s="28"/>
      <c r="J2758" s="28"/>
      <c r="K2758" s="9"/>
      <c r="O2758" s="9"/>
      <c r="P2758" s="77"/>
    </row>
    <row r="2759" spans="6:16" x14ac:dyDescent="0.2">
      <c r="F2759" s="28"/>
      <c r="H2759" s="28"/>
      <c r="I2759" s="28"/>
      <c r="J2759" s="28"/>
      <c r="K2759" s="9"/>
      <c r="O2759" s="9"/>
      <c r="P2759" s="77"/>
    </row>
    <row r="2760" spans="6:16" x14ac:dyDescent="0.2">
      <c r="F2760" s="28"/>
      <c r="H2760" s="28"/>
      <c r="I2760" s="28"/>
      <c r="J2760" s="28"/>
      <c r="K2760" s="9"/>
      <c r="O2760" s="9"/>
      <c r="P2760" s="77"/>
    </row>
    <row r="2761" spans="6:16" x14ac:dyDescent="0.2">
      <c r="F2761" s="28"/>
      <c r="H2761" s="28"/>
      <c r="I2761" s="28"/>
      <c r="J2761" s="28"/>
      <c r="K2761" s="9"/>
      <c r="O2761" s="9"/>
      <c r="P2761" s="77"/>
    </row>
    <row r="2762" spans="6:16" x14ac:dyDescent="0.2">
      <c r="F2762" s="28"/>
      <c r="H2762" s="28"/>
      <c r="I2762" s="28"/>
      <c r="J2762" s="28"/>
      <c r="K2762" s="9"/>
      <c r="O2762" s="9"/>
      <c r="P2762" s="77"/>
    </row>
    <row r="2763" spans="6:16" x14ac:dyDescent="0.2">
      <c r="F2763" s="28"/>
      <c r="H2763" s="28"/>
      <c r="I2763" s="28"/>
      <c r="J2763" s="28"/>
      <c r="K2763" s="9"/>
      <c r="O2763" s="9"/>
      <c r="P2763" s="77"/>
    </row>
    <row r="2764" spans="6:16" x14ac:dyDescent="0.2">
      <c r="F2764" s="28"/>
      <c r="H2764" s="28"/>
      <c r="I2764" s="28"/>
      <c r="J2764" s="28"/>
      <c r="K2764" s="9"/>
      <c r="O2764" s="9"/>
      <c r="P2764" s="77"/>
    </row>
    <row r="2765" spans="6:16" x14ac:dyDescent="0.2">
      <c r="F2765" s="28"/>
      <c r="H2765" s="28"/>
      <c r="I2765" s="28"/>
      <c r="J2765" s="28"/>
      <c r="K2765" s="9"/>
      <c r="O2765" s="9"/>
      <c r="P2765" s="77"/>
    </row>
    <row r="2766" spans="6:16" x14ac:dyDescent="0.2">
      <c r="F2766" s="28"/>
      <c r="H2766" s="28"/>
      <c r="I2766" s="28"/>
      <c r="J2766" s="28"/>
      <c r="K2766" s="9"/>
      <c r="O2766" s="9"/>
      <c r="P2766" s="77"/>
    </row>
    <row r="2767" spans="6:16" x14ac:dyDescent="0.2">
      <c r="F2767" s="28"/>
      <c r="H2767" s="28"/>
      <c r="I2767" s="28"/>
      <c r="J2767" s="28"/>
      <c r="K2767" s="9"/>
      <c r="O2767" s="9"/>
      <c r="P2767" s="77"/>
    </row>
    <row r="2768" spans="6:16" x14ac:dyDescent="0.2">
      <c r="F2768" s="28"/>
      <c r="H2768" s="28"/>
      <c r="I2768" s="28"/>
      <c r="J2768" s="28"/>
      <c r="K2768" s="9"/>
      <c r="O2768" s="9"/>
      <c r="P2768" s="77"/>
    </row>
    <row r="2769" spans="6:16" x14ac:dyDescent="0.2">
      <c r="F2769" s="28"/>
      <c r="H2769" s="28"/>
      <c r="I2769" s="28"/>
      <c r="J2769" s="28"/>
      <c r="K2769" s="9"/>
      <c r="O2769" s="9"/>
      <c r="P2769" s="77"/>
    </row>
    <row r="2770" spans="6:16" x14ac:dyDescent="0.2">
      <c r="F2770" s="28"/>
      <c r="H2770" s="28"/>
      <c r="I2770" s="28"/>
      <c r="J2770" s="28"/>
      <c r="K2770" s="9"/>
      <c r="O2770" s="9"/>
      <c r="P2770" s="77"/>
    </row>
    <row r="2771" spans="6:16" x14ac:dyDescent="0.2">
      <c r="F2771" s="28"/>
      <c r="H2771" s="28"/>
      <c r="I2771" s="28"/>
      <c r="J2771" s="28"/>
      <c r="K2771" s="9"/>
      <c r="O2771" s="9"/>
      <c r="P2771" s="77"/>
    </row>
    <row r="2772" spans="6:16" x14ac:dyDescent="0.2">
      <c r="F2772" s="28"/>
      <c r="H2772" s="28"/>
      <c r="I2772" s="28"/>
      <c r="J2772" s="28"/>
      <c r="K2772" s="9"/>
      <c r="O2772" s="9"/>
      <c r="P2772" s="77"/>
    </row>
    <row r="2773" spans="6:16" x14ac:dyDescent="0.2">
      <c r="F2773" s="28"/>
      <c r="H2773" s="28"/>
      <c r="I2773" s="28"/>
      <c r="J2773" s="28"/>
      <c r="K2773" s="9"/>
      <c r="O2773" s="9"/>
      <c r="P2773" s="77"/>
    </row>
    <row r="2774" spans="6:16" x14ac:dyDescent="0.2">
      <c r="F2774" s="28"/>
      <c r="H2774" s="28"/>
      <c r="I2774" s="28"/>
      <c r="J2774" s="28"/>
      <c r="K2774" s="9"/>
      <c r="O2774" s="9"/>
      <c r="P2774" s="77"/>
    </row>
    <row r="2775" spans="6:16" x14ac:dyDescent="0.2">
      <c r="F2775" s="28"/>
      <c r="H2775" s="28"/>
      <c r="I2775" s="28"/>
      <c r="J2775" s="28"/>
      <c r="K2775" s="9"/>
      <c r="O2775" s="9"/>
      <c r="P2775" s="77"/>
    </row>
    <row r="2776" spans="6:16" x14ac:dyDescent="0.2">
      <c r="F2776" s="28"/>
      <c r="H2776" s="28"/>
      <c r="I2776" s="28"/>
      <c r="J2776" s="28"/>
      <c r="K2776" s="9"/>
      <c r="O2776" s="9"/>
      <c r="P2776" s="77"/>
    </row>
    <row r="2777" spans="6:16" x14ac:dyDescent="0.2">
      <c r="F2777" s="28"/>
      <c r="H2777" s="28"/>
      <c r="I2777" s="28"/>
      <c r="J2777" s="28"/>
      <c r="K2777" s="9"/>
      <c r="O2777" s="9"/>
      <c r="P2777" s="77"/>
    </row>
    <row r="2778" spans="6:16" x14ac:dyDescent="0.2">
      <c r="F2778" s="28"/>
      <c r="H2778" s="28"/>
      <c r="I2778" s="28"/>
      <c r="J2778" s="28"/>
      <c r="K2778" s="9"/>
      <c r="O2778" s="9"/>
      <c r="P2778" s="77"/>
    </row>
    <row r="2779" spans="6:16" x14ac:dyDescent="0.2">
      <c r="F2779" s="28"/>
      <c r="H2779" s="28"/>
      <c r="I2779" s="28"/>
      <c r="J2779" s="28"/>
      <c r="K2779" s="9"/>
      <c r="O2779" s="9"/>
      <c r="P2779" s="77"/>
    </row>
    <row r="2780" spans="6:16" x14ac:dyDescent="0.2">
      <c r="F2780" s="28"/>
      <c r="H2780" s="28"/>
      <c r="I2780" s="28"/>
      <c r="J2780" s="28"/>
      <c r="K2780" s="9"/>
      <c r="O2780" s="9"/>
      <c r="P2780" s="77"/>
    </row>
    <row r="2781" spans="6:16" x14ac:dyDescent="0.2">
      <c r="F2781" s="28"/>
      <c r="H2781" s="28"/>
      <c r="I2781" s="28"/>
      <c r="J2781" s="28"/>
      <c r="K2781" s="9"/>
      <c r="O2781" s="9"/>
      <c r="P2781" s="77"/>
    </row>
    <row r="2782" spans="6:16" x14ac:dyDescent="0.2">
      <c r="F2782" s="28"/>
      <c r="H2782" s="28"/>
      <c r="I2782" s="28"/>
      <c r="J2782" s="28"/>
      <c r="K2782" s="9"/>
      <c r="O2782" s="9"/>
      <c r="P2782" s="77"/>
    </row>
    <row r="2783" spans="6:16" x14ac:dyDescent="0.2">
      <c r="F2783" s="28"/>
      <c r="H2783" s="28"/>
      <c r="I2783" s="28"/>
      <c r="J2783" s="28"/>
      <c r="K2783" s="9"/>
      <c r="O2783" s="9"/>
      <c r="P2783" s="77"/>
    </row>
    <row r="2784" spans="6:16" x14ac:dyDescent="0.2">
      <c r="F2784" s="28"/>
      <c r="H2784" s="28"/>
      <c r="I2784" s="28"/>
      <c r="J2784" s="28"/>
      <c r="K2784" s="9"/>
      <c r="O2784" s="9"/>
      <c r="P2784" s="77"/>
    </row>
    <row r="2785" spans="6:16" x14ac:dyDescent="0.2">
      <c r="F2785" s="28"/>
      <c r="H2785" s="28"/>
      <c r="I2785" s="28"/>
      <c r="J2785" s="28"/>
      <c r="K2785" s="9"/>
      <c r="O2785" s="9"/>
      <c r="P2785" s="77"/>
    </row>
    <row r="2786" spans="6:16" x14ac:dyDescent="0.2">
      <c r="F2786" s="28"/>
      <c r="H2786" s="28"/>
      <c r="I2786" s="28"/>
      <c r="J2786" s="28"/>
      <c r="K2786" s="9"/>
      <c r="O2786" s="9"/>
      <c r="P2786" s="77"/>
    </row>
    <row r="2787" spans="6:16" x14ac:dyDescent="0.2">
      <c r="F2787" s="28"/>
      <c r="H2787" s="28"/>
      <c r="I2787" s="28"/>
      <c r="J2787" s="28"/>
      <c r="K2787" s="9"/>
      <c r="O2787" s="9"/>
      <c r="P2787" s="77"/>
    </row>
    <row r="2788" spans="6:16" x14ac:dyDescent="0.2">
      <c r="F2788" s="28"/>
      <c r="H2788" s="28"/>
      <c r="I2788" s="28"/>
      <c r="J2788" s="28"/>
      <c r="K2788" s="9"/>
      <c r="O2788" s="9"/>
      <c r="P2788" s="77"/>
    </row>
    <row r="2789" spans="6:16" x14ac:dyDescent="0.2">
      <c r="F2789" s="28"/>
      <c r="H2789" s="28"/>
      <c r="I2789" s="28"/>
      <c r="J2789" s="28"/>
      <c r="K2789" s="9"/>
      <c r="O2789" s="9"/>
      <c r="P2789" s="77"/>
    </row>
    <row r="2790" spans="6:16" x14ac:dyDescent="0.2">
      <c r="F2790" s="28"/>
      <c r="H2790" s="28"/>
      <c r="I2790" s="28"/>
      <c r="J2790" s="28"/>
      <c r="K2790" s="9"/>
      <c r="O2790" s="9"/>
      <c r="P2790" s="77"/>
    </row>
    <row r="2791" spans="6:16" x14ac:dyDescent="0.2">
      <c r="F2791" s="28"/>
      <c r="H2791" s="28"/>
      <c r="I2791" s="28"/>
      <c r="J2791" s="28"/>
      <c r="K2791" s="9"/>
      <c r="O2791" s="9"/>
      <c r="P2791" s="77"/>
    </row>
    <row r="2792" spans="6:16" x14ac:dyDescent="0.2">
      <c r="F2792" s="28"/>
      <c r="H2792" s="28"/>
      <c r="I2792" s="28"/>
      <c r="J2792" s="28"/>
      <c r="K2792" s="9"/>
      <c r="O2792" s="9"/>
      <c r="P2792" s="77"/>
    </row>
    <row r="2793" spans="6:16" x14ac:dyDescent="0.2">
      <c r="F2793" s="28"/>
      <c r="H2793" s="28"/>
      <c r="I2793" s="28"/>
      <c r="J2793" s="28"/>
      <c r="K2793" s="9"/>
      <c r="O2793" s="9"/>
      <c r="P2793" s="77"/>
    </row>
    <row r="2794" spans="6:16" x14ac:dyDescent="0.2">
      <c r="F2794" s="28"/>
      <c r="H2794" s="28"/>
      <c r="I2794" s="28"/>
      <c r="J2794" s="28"/>
      <c r="K2794" s="9"/>
      <c r="O2794" s="9"/>
      <c r="P2794" s="77"/>
    </row>
    <row r="2795" spans="6:16" x14ac:dyDescent="0.2">
      <c r="F2795" s="28"/>
      <c r="H2795" s="28"/>
      <c r="I2795" s="28"/>
      <c r="J2795" s="28"/>
      <c r="K2795" s="9"/>
      <c r="O2795" s="9"/>
      <c r="P2795" s="77"/>
    </row>
    <row r="2796" spans="6:16" x14ac:dyDescent="0.2">
      <c r="F2796" s="28"/>
      <c r="H2796" s="28"/>
      <c r="I2796" s="28"/>
      <c r="J2796" s="28"/>
      <c r="K2796" s="9"/>
      <c r="O2796" s="9"/>
      <c r="P2796" s="77"/>
    </row>
    <row r="2797" spans="6:16" x14ac:dyDescent="0.2">
      <c r="F2797" s="28"/>
      <c r="H2797" s="28"/>
      <c r="I2797" s="28"/>
      <c r="J2797" s="28"/>
      <c r="K2797" s="9"/>
      <c r="O2797" s="9"/>
      <c r="P2797" s="77"/>
    </row>
    <row r="2798" spans="6:16" x14ac:dyDescent="0.2">
      <c r="F2798" s="28"/>
      <c r="H2798" s="28"/>
      <c r="I2798" s="28"/>
      <c r="J2798" s="28"/>
      <c r="K2798" s="9"/>
      <c r="O2798" s="9"/>
      <c r="P2798" s="77"/>
    </row>
    <row r="2799" spans="6:16" x14ac:dyDescent="0.2">
      <c r="F2799" s="28"/>
      <c r="H2799" s="28"/>
      <c r="I2799" s="28"/>
      <c r="J2799" s="28"/>
      <c r="K2799" s="9"/>
      <c r="O2799" s="9"/>
      <c r="P2799" s="77"/>
    </row>
    <row r="2800" spans="6:16" x14ac:dyDescent="0.2">
      <c r="F2800" s="28"/>
      <c r="H2800" s="28"/>
      <c r="I2800" s="28"/>
      <c r="J2800" s="28"/>
      <c r="K2800" s="9"/>
      <c r="O2800" s="9"/>
      <c r="P2800" s="77"/>
    </row>
    <row r="2801" spans="6:16" x14ac:dyDescent="0.2">
      <c r="F2801" s="28"/>
      <c r="H2801" s="28"/>
      <c r="I2801" s="28"/>
      <c r="J2801" s="28"/>
      <c r="K2801" s="9"/>
      <c r="O2801" s="9"/>
      <c r="P2801" s="77"/>
    </row>
    <row r="2802" spans="6:16" x14ac:dyDescent="0.2">
      <c r="F2802" s="28"/>
      <c r="H2802" s="28"/>
      <c r="I2802" s="28"/>
      <c r="J2802" s="28"/>
      <c r="K2802" s="9"/>
      <c r="O2802" s="9"/>
      <c r="P2802" s="77"/>
    </row>
    <row r="2803" spans="6:16" x14ac:dyDescent="0.2">
      <c r="F2803" s="28"/>
      <c r="H2803" s="28"/>
      <c r="I2803" s="28"/>
      <c r="J2803" s="28"/>
      <c r="K2803" s="9"/>
      <c r="O2803" s="9"/>
      <c r="P2803" s="77"/>
    </row>
  </sheetData>
  <customSheetViews>
    <customSheetView guid="{F15DEFD8-B0F4-4CC3-8896-92BF7E7815B1}" scale="75" showGridLines="0" fitToPage="1" printArea="1" hiddenRows="1">
      <pane ySplit="15" topLeftCell="A16" activePane="bottomLeft" state="frozen"/>
      <selection pane="bottomLeft" activeCell="L107" sqref="L107"/>
      <pageMargins left="0.47244094488188981" right="0.47244094488188981" top="0.59055118110236227" bottom="0.59055118110236227" header="0.35433070866141736" footer="0.35433070866141736"/>
      <pageSetup paperSize="9" scale="56" orientation="landscape" r:id="rId1"/>
      <headerFooter alignWithMargins="0">
        <oddHeader>&amp;R&amp;"Arial,Fett"&amp;12SST</oddHeader>
        <oddFooter>&amp;L&amp;F / &amp;A&amp;C&amp;P / &amp;N&amp;R&amp;D</oddFooter>
      </headerFooter>
    </customSheetView>
  </customSheetViews>
  <phoneticPr fontId="0" type="noConversion"/>
  <conditionalFormatting sqref="I85 I81 I77 I72 I64 I68 I60 I56 I52 I30 I46 I89 I96:I106 I38 I17 I22 I42">
    <cfRule type="cellIs" dxfId="59" priority="82" stopIfTrue="1" operator="equal">
      <formula>1</formula>
    </cfRule>
  </conditionalFormatting>
  <conditionalFormatting sqref="H1:H9 I10 H113:H65510 H11:H24 H38:H106 H29:H36">
    <cfRule type="cellIs" dxfId="58" priority="83" stopIfTrue="1" operator="equal">
      <formula>1</formula>
    </cfRule>
  </conditionalFormatting>
  <conditionalFormatting sqref="J113:J65510 J1:J24 J38:J106 J29:J36">
    <cfRule type="cellIs" dxfId="57" priority="84" stopIfTrue="1" operator="equal">
      <formula>1</formula>
    </cfRule>
  </conditionalFormatting>
  <conditionalFormatting sqref="I85 I81 I77 I72 I64 I68 I60 I56 I52 I30 I46 I89 I96:I106 I38 I17 I22 I42">
    <cfRule type="cellIs" dxfId="56" priority="81" stopIfTrue="1" operator="equal">
      <formula>1</formula>
    </cfRule>
  </conditionalFormatting>
  <conditionalFormatting sqref="H1:H9 I10 H113:H65510 H11:H24 H51:H106">
    <cfRule type="cellIs" dxfId="55" priority="80" stopIfTrue="1" operator="equal">
      <formula>1</formula>
    </cfRule>
  </conditionalFormatting>
  <conditionalFormatting sqref="J113:J65510 J1:J24 J51:J106">
    <cfRule type="cellIs" dxfId="54" priority="79" stopIfTrue="1" operator="equal">
      <formula>1</formula>
    </cfRule>
  </conditionalFormatting>
  <conditionalFormatting sqref="H37">
    <cfRule type="cellIs" dxfId="53" priority="77" stopIfTrue="1" operator="equal">
      <formula>1</formula>
    </cfRule>
  </conditionalFormatting>
  <conditionalFormatting sqref="J37">
    <cfRule type="cellIs" dxfId="52" priority="78" stopIfTrue="1" operator="equal">
      <formula>1</formula>
    </cfRule>
  </conditionalFormatting>
  <conditionalFormatting sqref="H37">
    <cfRule type="cellIs" dxfId="51" priority="76" stopIfTrue="1" operator="equal">
      <formula>1</formula>
    </cfRule>
  </conditionalFormatting>
  <conditionalFormatting sqref="J37">
    <cfRule type="cellIs" dxfId="50" priority="75" stopIfTrue="1" operator="equal">
      <formula>1</formula>
    </cfRule>
  </conditionalFormatting>
  <conditionalFormatting sqref="H27">
    <cfRule type="cellIs" dxfId="49" priority="65" stopIfTrue="1" operator="equal">
      <formula>1</formula>
    </cfRule>
  </conditionalFormatting>
  <conditionalFormatting sqref="J27">
    <cfRule type="cellIs" dxfId="48" priority="66" stopIfTrue="1" operator="equal">
      <formula>1</formula>
    </cfRule>
  </conditionalFormatting>
  <conditionalFormatting sqref="H27">
    <cfRule type="cellIs" dxfId="47" priority="64" stopIfTrue="1" operator="equal">
      <formula>1</formula>
    </cfRule>
  </conditionalFormatting>
  <conditionalFormatting sqref="J27">
    <cfRule type="cellIs" dxfId="46" priority="63" stopIfTrue="1" operator="equal">
      <formula>1</formula>
    </cfRule>
  </conditionalFormatting>
  <conditionalFormatting sqref="H28:H36">
    <cfRule type="cellIs" dxfId="45" priority="61" stopIfTrue="1" operator="equal">
      <formula>1</formula>
    </cfRule>
  </conditionalFormatting>
  <conditionalFormatting sqref="J28:J36">
    <cfRule type="cellIs" dxfId="44" priority="62" stopIfTrue="1" operator="equal">
      <formula>1</formula>
    </cfRule>
  </conditionalFormatting>
  <conditionalFormatting sqref="H28:H36">
    <cfRule type="cellIs" dxfId="43" priority="60" stopIfTrue="1" operator="equal">
      <formula>1</formula>
    </cfRule>
  </conditionalFormatting>
  <conditionalFormatting sqref="J28:J36">
    <cfRule type="cellIs" dxfId="42" priority="59" stopIfTrue="1" operator="equal">
      <formula>1</formula>
    </cfRule>
  </conditionalFormatting>
  <conditionalFormatting sqref="H25">
    <cfRule type="cellIs" dxfId="41" priority="49" stopIfTrue="1" operator="equal">
      <formula>1</formula>
    </cfRule>
  </conditionalFormatting>
  <conditionalFormatting sqref="J25">
    <cfRule type="cellIs" dxfId="40" priority="50" stopIfTrue="1" operator="equal">
      <formula>1</formula>
    </cfRule>
  </conditionalFormatting>
  <conditionalFormatting sqref="H25">
    <cfRule type="cellIs" dxfId="39" priority="48" stopIfTrue="1" operator="equal">
      <formula>1</formula>
    </cfRule>
  </conditionalFormatting>
  <conditionalFormatting sqref="J25">
    <cfRule type="cellIs" dxfId="38" priority="47" stopIfTrue="1" operator="equal">
      <formula>1</formula>
    </cfRule>
  </conditionalFormatting>
  <conditionalFormatting sqref="I26">
    <cfRule type="cellIs" dxfId="37" priority="38" stopIfTrue="1" operator="equal">
      <formula>1</formula>
    </cfRule>
  </conditionalFormatting>
  <conditionalFormatting sqref="H26">
    <cfRule type="cellIs" dxfId="36" priority="39" stopIfTrue="1" operator="equal">
      <formula>1</formula>
    </cfRule>
  </conditionalFormatting>
  <conditionalFormatting sqref="J26">
    <cfRule type="cellIs" dxfId="35" priority="40" stopIfTrue="1" operator="equal">
      <formula>1</formula>
    </cfRule>
  </conditionalFormatting>
  <conditionalFormatting sqref="I26">
    <cfRule type="cellIs" dxfId="34" priority="37" stopIfTrue="1" operator="equal">
      <formula>1</formula>
    </cfRule>
  </conditionalFormatting>
  <conditionalFormatting sqref="H26">
    <cfRule type="cellIs" dxfId="33" priority="36" stopIfTrue="1" operator="equal">
      <formula>1</formula>
    </cfRule>
  </conditionalFormatting>
  <conditionalFormatting sqref="J26">
    <cfRule type="cellIs" dxfId="32" priority="35" stopIfTrue="1" operator="equal">
      <formula>1</formula>
    </cfRule>
  </conditionalFormatting>
  <conditionalFormatting sqref="H33">
    <cfRule type="cellIs" dxfId="31" priority="27" stopIfTrue="1" operator="equal">
      <formula>1</formula>
    </cfRule>
  </conditionalFormatting>
  <conditionalFormatting sqref="J33">
    <cfRule type="cellIs" dxfId="30" priority="28" stopIfTrue="1" operator="equal">
      <formula>1</formula>
    </cfRule>
  </conditionalFormatting>
  <conditionalFormatting sqref="H33">
    <cfRule type="cellIs" dxfId="29" priority="26" stopIfTrue="1" operator="equal">
      <formula>1</formula>
    </cfRule>
  </conditionalFormatting>
  <conditionalFormatting sqref="J33">
    <cfRule type="cellIs" dxfId="28" priority="25" stopIfTrue="1" operator="equal">
      <formula>1</formula>
    </cfRule>
  </conditionalFormatting>
  <conditionalFormatting sqref="I34">
    <cfRule type="cellIs" dxfId="27" priority="16" stopIfTrue="1" operator="equal">
      <formula>1</formula>
    </cfRule>
  </conditionalFormatting>
  <conditionalFormatting sqref="H34">
    <cfRule type="cellIs" dxfId="26" priority="17" stopIfTrue="1" operator="equal">
      <formula>1</formula>
    </cfRule>
  </conditionalFormatting>
  <conditionalFormatting sqref="J34">
    <cfRule type="cellIs" dxfId="25" priority="18" stopIfTrue="1" operator="equal">
      <formula>1</formula>
    </cfRule>
  </conditionalFormatting>
  <conditionalFormatting sqref="I34">
    <cfRule type="cellIs" dxfId="24" priority="15" stopIfTrue="1" operator="equal">
      <formula>1</formula>
    </cfRule>
  </conditionalFormatting>
  <conditionalFormatting sqref="H34">
    <cfRule type="cellIs" dxfId="23" priority="14" stopIfTrue="1" operator="equal">
      <formula>1</formula>
    </cfRule>
  </conditionalFormatting>
  <conditionalFormatting sqref="J34">
    <cfRule type="cellIs" dxfId="22" priority="13" stopIfTrue="1" operator="equal">
      <formula>1</formula>
    </cfRule>
  </conditionalFormatting>
  <hyperlinks>
    <hyperlink ref="A1" location="list_of_sheets!A1" display="list_of_sheets!A1" xr:uid="{00000000-0004-0000-1000-000000000000}"/>
  </hyperlinks>
  <pageMargins left="0.47244094488188981" right="0.47244094488188981" top="0.59055118110236227" bottom="0.59055118110236227" header="0.35433070866141736" footer="0.35433070866141736"/>
  <pageSetup paperSize="9" scale="65" orientation="portrait" r:id="rId2"/>
  <headerFooter alignWithMargins="0">
    <oddHeader>&amp;R&amp;"Arial,Fett"&amp;12KVG-Solvenztest
Test de solvabilité LAMal</oddHeader>
    <oddFooter>&amp;L&amp;F / &amp;A&amp;C&amp;P /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tabColor rgb="FF800080"/>
  </sheetPr>
  <dimension ref="A1:F38"/>
  <sheetViews>
    <sheetView workbookViewId="0"/>
  </sheetViews>
  <sheetFormatPr baseColWidth="10" defaultColWidth="11.42578125" defaultRowHeight="12.75" x14ac:dyDescent="0.2"/>
  <cols>
    <col min="1" max="1" width="5.5703125" customWidth="1"/>
    <col min="2" max="2" width="44.42578125" customWidth="1"/>
    <col min="3" max="3" width="21" customWidth="1"/>
    <col min="5" max="5" width="20.5703125" customWidth="1"/>
  </cols>
  <sheetData>
    <row r="1" spans="1:6" s="24" customFormat="1" ht="21" thickBot="1" x14ac:dyDescent="0.35">
      <c r="A1" s="2196">
        <v>15</v>
      </c>
      <c r="B1" s="1316" t="str">
        <f>Translation!B440</f>
        <v>Kreditrisiko</v>
      </c>
      <c r="C1" s="1316"/>
      <c r="D1" s="1317"/>
      <c r="E1" s="1317"/>
      <c r="F1" s="1317"/>
    </row>
    <row r="2" spans="1:6" s="681" customFormat="1" ht="20.100000000000001" customHeight="1" x14ac:dyDescent="0.2">
      <c r="A2" s="682"/>
      <c r="B2" s="176" t="str">
        <f>Inputparam!C8</f>
        <v xml:space="preserve">0000 </v>
      </c>
    </row>
    <row r="5" spans="1:6" ht="31.5" customHeight="1" x14ac:dyDescent="0.2"/>
    <row r="6" spans="1:6" s="32" customFormat="1" ht="20.100000000000001" customHeight="1" x14ac:dyDescent="0.2">
      <c r="B6" s="38" t="str">
        <f>Translation!B441</f>
        <v xml:space="preserve">Kapitalkosten für das Kreditrisiko (Mio. CHF) </v>
      </c>
      <c r="E6" s="927">
        <f>E37/1000000</f>
        <v>0</v>
      </c>
    </row>
    <row r="10" spans="1:6" ht="26.25" x14ac:dyDescent="0.4">
      <c r="A10" s="722" t="str">
        <f>Translation!B442</f>
        <v>Risikogewichtete Aktiva</v>
      </c>
      <c r="B10" s="721"/>
      <c r="C10" s="721"/>
      <c r="D10" s="721"/>
      <c r="E10" s="720"/>
      <c r="F10" s="719"/>
    </row>
    <row r="11" spans="1:6" ht="18" x14ac:dyDescent="0.25">
      <c r="A11" s="718"/>
      <c r="B11" s="717"/>
      <c r="C11" s="717"/>
      <c r="D11" s="717"/>
      <c r="E11" s="716"/>
      <c r="F11" s="715"/>
    </row>
    <row r="12" spans="1:6" ht="18" x14ac:dyDescent="0.25">
      <c r="A12" s="714"/>
      <c r="B12" s="713"/>
      <c r="C12" s="713"/>
      <c r="D12" s="713"/>
      <c r="E12" s="712"/>
      <c r="F12" s="711"/>
    </row>
    <row r="13" spans="1:6" ht="18" x14ac:dyDescent="0.25">
      <c r="A13" s="707"/>
      <c r="B13" s="706"/>
      <c r="C13" s="706"/>
      <c r="D13" s="706"/>
      <c r="E13" s="710"/>
      <c r="F13" s="709"/>
    </row>
    <row r="14" spans="1:6" ht="18" x14ac:dyDescent="0.25">
      <c r="A14" s="707"/>
      <c r="B14" s="706"/>
      <c r="C14" s="706"/>
      <c r="D14" s="706"/>
      <c r="E14" s="694"/>
      <c r="F14" s="708"/>
    </row>
    <row r="15" spans="1:6" ht="18" x14ac:dyDescent="0.25">
      <c r="A15" s="707" t="str">
        <f>Translation!B443</f>
        <v>Positionen, bei denen externe Ratings verwendet werden können (sofern vorhanden)</v>
      </c>
      <c r="B15" s="706"/>
      <c r="C15" s="706"/>
      <c r="D15" s="706"/>
      <c r="E15" s="694"/>
      <c r="F15" s="708"/>
    </row>
    <row r="16" spans="1:6" ht="15" x14ac:dyDescent="0.2">
      <c r="A16" s="702"/>
      <c r="B16" s="705" t="str">
        <f>Translation!B444</f>
        <v>1 Zentralregierungen und Zentralbanken</v>
      </c>
      <c r="C16" s="704"/>
      <c r="D16" s="694"/>
      <c r="E16" s="697">
        <f>'Input Basel III'!C24</f>
        <v>0</v>
      </c>
      <c r="F16" s="693"/>
    </row>
    <row r="17" spans="1:6" ht="15" x14ac:dyDescent="0.2">
      <c r="A17" s="702"/>
      <c r="B17" s="705" t="str">
        <f>Translation!B445</f>
        <v>2 Öffentlichrechtliche Körperschaften</v>
      </c>
      <c r="C17" s="704"/>
      <c r="D17" s="694"/>
      <c r="E17" s="697">
        <f>'Input Basel III'!C42</f>
        <v>0</v>
      </c>
      <c r="F17" s="693"/>
    </row>
    <row r="18" spans="1:6" ht="15" x14ac:dyDescent="0.2">
      <c r="A18" s="702"/>
      <c r="B18" s="705" t="str">
        <f>Translation!B446</f>
        <v>3 BIZ, IWF und multilaterale Entwicklungsbanken</v>
      </c>
      <c r="C18" s="704"/>
      <c r="D18" s="694"/>
      <c r="E18" s="697">
        <f>'Input Basel III'!C61</f>
        <v>0</v>
      </c>
      <c r="F18" s="693"/>
    </row>
    <row r="19" spans="1:6" ht="15" x14ac:dyDescent="0.2">
      <c r="A19" s="702"/>
      <c r="B19" s="705" t="str">
        <f>Translation!B447</f>
        <v>4 Banken und Effektenhändler</v>
      </c>
      <c r="C19" s="704"/>
      <c r="D19" s="694"/>
      <c r="E19" s="697">
        <f>'Input Basel III'!C82</f>
        <v>0</v>
      </c>
      <c r="F19" s="693"/>
    </row>
    <row r="20" spans="1:6" ht="15" x14ac:dyDescent="0.2">
      <c r="A20" s="702"/>
      <c r="B20" s="705" t="str">
        <f>Translation!B448</f>
        <v>5 Gemeinschaftseinrichtungen</v>
      </c>
      <c r="C20" s="704"/>
      <c r="D20" s="694"/>
      <c r="E20" s="697">
        <f>'Input Basel III'!C100</f>
        <v>0</v>
      </c>
      <c r="F20" s="693"/>
    </row>
    <row r="21" spans="1:6" ht="15" x14ac:dyDescent="0.2">
      <c r="A21" s="702"/>
      <c r="B21" s="705" t="str">
        <f>Translation!B449</f>
        <v>6 Börsen und Clearinghäuser</v>
      </c>
      <c r="C21" s="704"/>
      <c r="D21" s="694"/>
      <c r="E21" s="697">
        <f>'Input Basel III'!C120</f>
        <v>0</v>
      </c>
      <c r="F21" s="693"/>
    </row>
    <row r="22" spans="1:6" ht="15" x14ac:dyDescent="0.2">
      <c r="A22" s="702"/>
      <c r="B22" s="705" t="str">
        <f>Translation!B450</f>
        <v xml:space="preserve">7 Unternehmen </v>
      </c>
      <c r="C22" s="704"/>
      <c r="D22" s="694"/>
      <c r="E22" s="697">
        <f>'Input Basel III'!C140</f>
        <v>0</v>
      </c>
      <c r="F22" s="693"/>
    </row>
    <row r="23" spans="1:6" ht="15" x14ac:dyDescent="0.2">
      <c r="A23" s="702"/>
      <c r="B23" s="705" t="str">
        <f>Translation!B451</f>
        <v xml:space="preserve">8 Verbriefungen </v>
      </c>
      <c r="C23" s="704"/>
      <c r="D23" s="694"/>
      <c r="E23" s="697">
        <f>'Input Basel III'!C162</f>
        <v>0</v>
      </c>
      <c r="F23" s="693"/>
    </row>
    <row r="24" spans="1:6" ht="15" x14ac:dyDescent="0.2">
      <c r="A24" s="702"/>
      <c r="B24" s="698"/>
      <c r="C24" s="698"/>
      <c r="D24" s="698"/>
      <c r="E24" s="701"/>
      <c r="F24" s="700"/>
    </row>
    <row r="25" spans="1:6" ht="18" x14ac:dyDescent="0.25">
      <c r="A25" s="707" t="str">
        <f>Translation!B452</f>
        <v>Positionen ohne Verwendung externer Ratings (ausser nachrangigen Positionen)</v>
      </c>
      <c r="B25" s="706"/>
      <c r="C25" s="706"/>
      <c r="D25" s="706"/>
      <c r="E25" s="701"/>
      <c r="F25" s="700"/>
    </row>
    <row r="26" spans="1:6" ht="15" x14ac:dyDescent="0.2">
      <c r="A26" s="702"/>
      <c r="B26" s="705" t="str">
        <f>Translation!B453</f>
        <v>1 Natürliche Personen und Kleinnunternehmen (Retail)</v>
      </c>
      <c r="C26" s="704"/>
      <c r="D26" s="694"/>
      <c r="E26" s="697">
        <f>'Input Basel III'!C181</f>
        <v>0</v>
      </c>
      <c r="F26" s="693"/>
    </row>
    <row r="27" spans="1:6" ht="15" x14ac:dyDescent="0.2">
      <c r="A27" s="702"/>
      <c r="B27" s="705" t="str">
        <f>Translation!B454</f>
        <v>2 Pfandbriefe</v>
      </c>
      <c r="C27" s="704"/>
      <c r="D27" s="694"/>
      <c r="E27" s="697">
        <f>'Input Basel III'!C195</f>
        <v>0</v>
      </c>
      <c r="F27" s="693"/>
    </row>
    <row r="28" spans="1:6" ht="15" x14ac:dyDescent="0.2">
      <c r="A28" s="702"/>
      <c r="B28" s="705" t="str">
        <f>Translation!B455</f>
        <v>3 Direkt und indirekt grundpandgesicherte Positionen</v>
      </c>
      <c r="C28" s="704"/>
      <c r="D28" s="694"/>
      <c r="E28" s="697">
        <f>'Input Basel III'!C209</f>
        <v>0</v>
      </c>
      <c r="F28" s="693"/>
    </row>
    <row r="29" spans="1:6" ht="15" x14ac:dyDescent="0.2">
      <c r="A29" s="702"/>
      <c r="B29" s="705" t="str">
        <f>Translation!B456</f>
        <v>4 Nachrangige Positionen</v>
      </c>
      <c r="C29" s="704"/>
      <c r="D29" s="694"/>
      <c r="E29" s="697">
        <f>'Input Basel III'!C223</f>
        <v>0</v>
      </c>
      <c r="F29" s="693"/>
    </row>
    <row r="30" spans="1:6" ht="15" x14ac:dyDescent="0.2">
      <c r="A30" s="702"/>
      <c r="B30" s="705" t="str">
        <f>Translation!B459</f>
        <v>5 Überfällige Positionen</v>
      </c>
      <c r="C30" s="704"/>
      <c r="D30" s="694"/>
      <c r="E30" s="697">
        <f>'Input Basel III'!C241</f>
        <v>0</v>
      </c>
      <c r="F30" s="693"/>
    </row>
    <row r="31" spans="1:6" ht="15" x14ac:dyDescent="0.2">
      <c r="A31" s="702"/>
      <c r="B31" s="705" t="str">
        <f>Translation!B460</f>
        <v>6 Übrige Positionen</v>
      </c>
      <c r="C31" s="704"/>
      <c r="D31" s="694"/>
      <c r="E31" s="697">
        <f>'Input Basel III'!C256</f>
        <v>0</v>
      </c>
      <c r="F31" s="693"/>
    </row>
    <row r="32" spans="1:6" ht="15" x14ac:dyDescent="0.2">
      <c r="A32" s="702"/>
      <c r="B32" s="694"/>
      <c r="C32" s="685"/>
      <c r="D32" s="694"/>
      <c r="E32" s="703"/>
      <c r="F32" s="693"/>
    </row>
    <row r="33" spans="1:6" ht="15" x14ac:dyDescent="0.2">
      <c r="A33" s="702"/>
      <c r="B33" s="698"/>
      <c r="C33" s="698"/>
      <c r="D33" s="698"/>
      <c r="E33" s="701"/>
      <c r="F33" s="700"/>
    </row>
    <row r="34" spans="1:6" ht="15.75" x14ac:dyDescent="0.25">
      <c r="A34" s="699" t="str">
        <f>Translation!B464</f>
        <v xml:space="preserve">Summe der risikogewichteten Positionen </v>
      </c>
      <c r="B34" s="698"/>
      <c r="C34" s="698"/>
      <c r="D34" s="698"/>
      <c r="E34" s="697">
        <f>(E16+E17+E18+E19+E20+E21+E22+E23+E26+E27+E28+E29+E30+E31)</f>
        <v>0</v>
      </c>
      <c r="F34" s="693"/>
    </row>
    <row r="35" spans="1:6" ht="15" x14ac:dyDescent="0.2">
      <c r="A35" s="702"/>
      <c r="B35" s="698"/>
      <c r="C35" s="698"/>
      <c r="D35" s="698"/>
      <c r="E35" s="701"/>
      <c r="F35" s="700"/>
    </row>
    <row r="36" spans="1:6" ht="15.75" x14ac:dyDescent="0.25">
      <c r="A36" s="699"/>
      <c r="B36" s="698"/>
      <c r="C36" s="698"/>
      <c r="D36" s="698"/>
      <c r="E36" s="695"/>
      <c r="F36" s="693"/>
    </row>
    <row r="37" spans="1:6" ht="15.75" x14ac:dyDescent="0.25">
      <c r="A37" s="699" t="str">
        <f>Translation!B465</f>
        <v>Kapitalbedarf für Kreditrisiko</v>
      </c>
      <c r="B37" s="698"/>
      <c r="C37" s="698"/>
      <c r="D37" s="698"/>
      <c r="E37" s="696">
        <f>E34*8%</f>
        <v>0</v>
      </c>
      <c r="F37" s="693"/>
    </row>
    <row r="38" spans="1:6" ht="15" x14ac:dyDescent="0.2">
      <c r="A38" s="692"/>
      <c r="B38" s="691"/>
      <c r="C38" s="691"/>
      <c r="D38" s="691"/>
      <c r="E38" s="690"/>
      <c r="F38" s="689"/>
    </row>
  </sheetData>
  <sheetProtection sheet="1"/>
  <customSheetViews>
    <customSheetView guid="{F15DEFD8-B0F4-4CC3-8896-92BF7E7815B1}" scale="75" showPageBreaks="1" showGridLines="0" printArea="1">
      <selection activeCell="A38" sqref="A38"/>
      <pageMargins left="0.47244094488188981" right="0.47244094488188981" top="0.59055118110236227" bottom="0.59055118110236227" header="0.35433070866141736" footer="0.35433070866141736"/>
      <pageSetup paperSize="9" scale="78" fitToHeight="6"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100-000000000000}"/>
  </hyperlinks>
  <pageMargins left="0.47244094488188981" right="0.47244094488188981" top="0.73" bottom="0.59055118110236227" header="0.35433070866141736" footer="0.35433070866141736"/>
  <pageSetup paperSize="9" scale="78" fitToHeight="6" orientation="landscape" r:id="rId2"/>
  <headerFooter alignWithMargins="0">
    <oddHeader>&amp;R&amp;"Arial,Fett"&amp;12KVG-Solvenztest
Test de solvabilité LAMal</oddHeader>
    <oddFooter>&amp;L&amp;F / &amp;A&amp;C&amp;P / &amp;N&amp;R&amp;D</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800080"/>
  </sheetPr>
  <dimension ref="A1:R257"/>
  <sheetViews>
    <sheetView zoomScale="85" zoomScaleNormal="85" workbookViewId="0"/>
  </sheetViews>
  <sheetFormatPr baseColWidth="10" defaultColWidth="10.42578125" defaultRowHeight="12.75" x14ac:dyDescent="0.2"/>
  <cols>
    <col min="1" max="1" width="10.28515625" style="684" customWidth="1"/>
    <col min="2" max="2" width="76" style="726" customWidth="1"/>
    <col min="3" max="3" width="17.42578125" style="724" customWidth="1"/>
    <col min="4" max="4" width="8.5703125" style="724" customWidth="1"/>
    <col min="5" max="5" width="15.42578125" style="724" hidden="1" customWidth="1"/>
    <col min="6" max="6" width="12.5703125" style="724" hidden="1" customWidth="1"/>
    <col min="7" max="7" width="22.5703125" style="684" customWidth="1"/>
    <col min="8" max="8" width="5.42578125" style="686" customWidth="1"/>
    <col min="9" max="9" width="16.42578125" style="724" customWidth="1"/>
    <col min="10" max="10" width="19" style="724" customWidth="1"/>
    <col min="11" max="11" width="2.42578125" style="725" customWidth="1"/>
    <col min="12" max="12" width="27.7109375" style="725" customWidth="1"/>
    <col min="13" max="13" width="26.5703125" style="725" customWidth="1"/>
    <col min="14" max="14" width="1.7109375" style="725" customWidth="1"/>
    <col min="15" max="16" width="14.42578125" style="724" customWidth="1"/>
    <col min="17" max="17" width="1.7109375" style="723" customWidth="1"/>
    <col min="18" max="18" width="10.42578125" style="684" customWidth="1"/>
    <col min="19" max="16384" width="10.42578125" style="684"/>
  </cols>
  <sheetData>
    <row r="1" spans="1:18" ht="21" thickBot="1" x14ac:dyDescent="0.35">
      <c r="A1" s="2196" t="s">
        <v>1725</v>
      </c>
      <c r="B1" s="1316" t="str">
        <f>Translation!B466</f>
        <v>Input Basel III</v>
      </c>
      <c r="C1" s="1316"/>
      <c r="D1" s="1317"/>
      <c r="E1" s="1317"/>
      <c r="F1" s="1317"/>
      <c r="G1" s="1317"/>
      <c r="H1" s="1317"/>
      <c r="I1" s="1317"/>
      <c r="J1" s="1317"/>
      <c r="K1" s="1317"/>
      <c r="L1" s="1317"/>
      <c r="M1" s="1317"/>
      <c r="N1" s="1317"/>
      <c r="O1" s="1317"/>
      <c r="P1" s="1317"/>
      <c r="Q1" s="1317"/>
    </row>
    <row r="2" spans="1:18" ht="15" x14ac:dyDescent="0.2">
      <c r="A2" s="682"/>
      <c r="B2" s="176" t="str">
        <f>Inputparam!C8</f>
        <v xml:space="preserve">0000 </v>
      </c>
      <c r="C2" s="681"/>
      <c r="D2" s="681"/>
      <c r="E2" s="681"/>
      <c r="F2" s="681"/>
      <c r="G2" s="681"/>
    </row>
    <row r="4" spans="1:18" ht="30" x14ac:dyDescent="0.4">
      <c r="A4" s="832" t="str">
        <f>Translation!B467</f>
        <v>Standardansatz Basel III SA-BIZ - Vereinfachter Ansatz</v>
      </c>
      <c r="B4" s="831"/>
      <c r="C4" s="830"/>
      <c r="D4" s="830"/>
      <c r="E4" s="830"/>
      <c r="F4" s="830"/>
      <c r="G4" s="720"/>
      <c r="H4" s="720"/>
      <c r="I4" s="830"/>
      <c r="J4" s="830"/>
      <c r="K4" s="830"/>
      <c r="L4" s="830"/>
      <c r="M4" s="830"/>
      <c r="N4" s="830"/>
      <c r="O4" s="830"/>
      <c r="P4" s="830"/>
      <c r="Q4" s="829"/>
    </row>
    <row r="5" spans="1:18" ht="15.75" x14ac:dyDescent="0.25">
      <c r="A5" s="707" t="str">
        <f>Translation!B468</f>
        <v>1 Zentralregierungen und Zentralbanken</v>
      </c>
      <c r="B5" s="817"/>
      <c r="C5" s="772"/>
      <c r="D5" s="772"/>
      <c r="E5" s="772"/>
      <c r="F5" s="772"/>
      <c r="G5" s="773"/>
      <c r="H5" s="773"/>
      <c r="I5" s="772"/>
      <c r="J5" s="772"/>
      <c r="K5" s="772"/>
      <c r="L5" s="772"/>
      <c r="M5" s="772"/>
      <c r="N5" s="772"/>
      <c r="O5" s="772"/>
      <c r="P5" s="772"/>
      <c r="Q5" s="783"/>
    </row>
    <row r="6" spans="1:18" ht="15.75" x14ac:dyDescent="0.25">
      <c r="A6" s="707"/>
      <c r="B6" s="770"/>
      <c r="C6" s="733"/>
      <c r="D6" s="733"/>
      <c r="E6" s="733"/>
      <c r="F6" s="733"/>
      <c r="G6" s="694"/>
      <c r="H6" s="694"/>
      <c r="I6" s="733"/>
      <c r="J6" s="733"/>
      <c r="K6" s="733"/>
      <c r="L6" s="733"/>
      <c r="M6" s="733"/>
      <c r="N6" s="733"/>
      <c r="O6" s="733"/>
      <c r="P6" s="733"/>
      <c r="Q6" s="782"/>
    </row>
    <row r="7" spans="1:18" ht="15.75" hidden="1" x14ac:dyDescent="0.25">
      <c r="A7" s="748"/>
      <c r="B7" s="767" t="s">
        <v>622</v>
      </c>
      <c r="C7" s="769"/>
      <c r="D7" s="736"/>
      <c r="E7" s="736"/>
      <c r="F7" s="736"/>
      <c r="G7" s="766"/>
      <c r="H7" s="766"/>
      <c r="I7" s="733"/>
      <c r="J7" s="733"/>
      <c r="K7" s="733"/>
      <c r="L7" s="733"/>
      <c r="M7" s="733"/>
      <c r="N7" s="733"/>
      <c r="O7" s="736"/>
      <c r="P7" s="733"/>
      <c r="Q7" s="782"/>
      <c r="R7" s="688"/>
    </row>
    <row r="8" spans="1:18" ht="15.75" hidden="1" x14ac:dyDescent="0.25">
      <c r="A8" s="748"/>
      <c r="B8" s="767" t="s">
        <v>621</v>
      </c>
      <c r="C8" s="769"/>
      <c r="D8" s="736"/>
      <c r="E8" s="736"/>
      <c r="F8" s="736"/>
      <c r="G8" s="766"/>
      <c r="H8" s="766"/>
      <c r="I8" s="733"/>
      <c r="J8" s="733"/>
      <c r="K8" s="733"/>
      <c r="L8" s="733"/>
      <c r="M8" s="733"/>
      <c r="N8" s="733"/>
      <c r="O8" s="736"/>
      <c r="P8" s="733"/>
      <c r="Q8" s="782"/>
      <c r="R8" s="688"/>
    </row>
    <row r="9" spans="1:18" ht="15.75" hidden="1" x14ac:dyDescent="0.25">
      <c r="A9" s="748"/>
      <c r="B9" s="767" t="s">
        <v>620</v>
      </c>
      <c r="C9" s="768"/>
      <c r="D9" s="736"/>
      <c r="E9" s="736"/>
      <c r="F9" s="736"/>
      <c r="G9" s="766"/>
      <c r="H9" s="766"/>
      <c r="I9" s="733"/>
      <c r="J9" s="733"/>
      <c r="K9" s="733"/>
      <c r="L9" s="733"/>
      <c r="M9" s="733"/>
      <c r="N9" s="733"/>
      <c r="O9" s="736"/>
      <c r="P9" s="733"/>
      <c r="Q9" s="782"/>
      <c r="R9" s="688"/>
    </row>
    <row r="10" spans="1:18" ht="15.75" hidden="1" x14ac:dyDescent="0.25">
      <c r="A10" s="748"/>
      <c r="B10" s="779" t="s">
        <v>619</v>
      </c>
      <c r="C10" s="781">
        <f>C9+C7</f>
        <v>0</v>
      </c>
      <c r="D10" s="780"/>
      <c r="E10" s="780"/>
      <c r="F10" s="736"/>
      <c r="G10" s="766"/>
      <c r="H10" s="766"/>
      <c r="I10" s="733"/>
      <c r="J10" s="733"/>
      <c r="K10" s="733"/>
      <c r="L10" s="733"/>
      <c r="M10" s="733"/>
      <c r="N10" s="733"/>
      <c r="O10" s="736"/>
      <c r="P10" s="733"/>
      <c r="Q10" s="731"/>
      <c r="R10" s="688"/>
    </row>
    <row r="11" spans="1:18" ht="15.75" hidden="1" customHeight="1" x14ac:dyDescent="0.25">
      <c r="A11" s="748"/>
      <c r="B11" s="792"/>
      <c r="C11" s="736"/>
      <c r="D11" s="736"/>
      <c r="E11" s="736"/>
      <c r="F11" s="736"/>
      <c r="G11" s="766"/>
      <c r="H11" s="694"/>
      <c r="I11" s="2542"/>
      <c r="J11" s="2543"/>
      <c r="K11" s="733"/>
      <c r="L11" s="765"/>
      <c r="M11" s="765"/>
      <c r="N11" s="733"/>
      <c r="O11" s="733"/>
      <c r="P11" s="733"/>
      <c r="Q11" s="731"/>
      <c r="R11" s="688"/>
    </row>
    <row r="12" spans="1:18" ht="38.25" customHeight="1" x14ac:dyDescent="0.25">
      <c r="A12" s="2541"/>
      <c r="B12" s="2540" t="str">
        <f>Translation!$B$518</f>
        <v>Kategorie</v>
      </c>
      <c r="C12" s="764" t="str">
        <f>Translation!$B$519</f>
        <v>Risikogewicht</v>
      </c>
      <c r="D12" s="759"/>
      <c r="E12" s="2538" t="s">
        <v>566</v>
      </c>
      <c r="F12" s="736"/>
      <c r="G12" s="761" t="str">
        <f>Translation!$B$520</f>
        <v>Positionen ohne Kreditrisikominderung (CRM)</v>
      </c>
      <c r="H12" s="763"/>
      <c r="J12" s="762" t="str">
        <f>Translation!$B$523</f>
        <v>Besicherte Positionen</v>
      </c>
      <c r="K12" s="763"/>
      <c r="M12" s="762" t="str">
        <f>Translation!$B$525</f>
        <v>Mit Garantien oder Kred.-Der. besicherte Positionen</v>
      </c>
      <c r="N12" s="745"/>
      <c r="O12" s="761" t="str">
        <f>Translation!$B$527</f>
        <v>Risikogew. Positionen vor CRM</v>
      </c>
      <c r="P12" s="761" t="str">
        <f>Translation!$B$528</f>
        <v>Risikogew. Positionen nach CRM</v>
      </c>
      <c r="Q12" s="731"/>
      <c r="R12" s="688"/>
    </row>
    <row r="13" spans="1:18" ht="17.25" customHeight="1" x14ac:dyDescent="0.25">
      <c r="A13" s="2541"/>
      <c r="B13" s="2540"/>
      <c r="C13" s="760"/>
      <c r="D13" s="759"/>
      <c r="E13" s="2539"/>
      <c r="F13" s="736"/>
      <c r="G13" s="758"/>
      <c r="H13" s="749"/>
      <c r="I13" s="757" t="str">
        <f>Translation!$B$521</f>
        <v xml:space="preserve">Vor Besicherung </v>
      </c>
      <c r="J13" s="757" t="str">
        <f>Translation!$B$522</f>
        <v>Nach Besicherung</v>
      </c>
      <c r="K13" s="749"/>
      <c r="L13" s="757" t="str">
        <f>Translation!$B$524</f>
        <v>Vor Garantien und Kreditderivate</v>
      </c>
      <c r="M13" s="757" t="str">
        <f>Translation!$B$526</f>
        <v>Nach Garantien und Kred.-.Der.</v>
      </c>
      <c r="N13" s="745"/>
      <c r="O13" s="756"/>
      <c r="P13" s="756"/>
      <c r="Q13" s="731"/>
      <c r="R13" s="688"/>
    </row>
    <row r="14" spans="1:18" ht="17.25" customHeight="1" x14ac:dyDescent="0.25">
      <c r="A14" s="753"/>
      <c r="B14" s="785" t="str">
        <f>Translation!B470</f>
        <v>Risikogewicht 0%</v>
      </c>
      <c r="C14" s="1318">
        <v>0</v>
      </c>
      <c r="D14" s="751"/>
      <c r="E14" s="746"/>
      <c r="F14" s="736"/>
      <c r="G14" s="1319">
        <v>0</v>
      </c>
      <c r="H14" s="749"/>
      <c r="I14" s="1319"/>
      <c r="J14" s="1319"/>
      <c r="K14" s="749"/>
      <c r="L14" s="1319"/>
      <c r="M14" s="1319"/>
      <c r="N14" s="745"/>
      <c r="O14" s="828">
        <f t="shared" ref="O14:O20" si="0">(G14+I14+L14)*C14</f>
        <v>0</v>
      </c>
      <c r="P14" s="828">
        <f t="shared" ref="P14:P20" si="1">(G14+J14+M14)*C14</f>
        <v>0</v>
      </c>
      <c r="Q14" s="731"/>
      <c r="R14" s="688"/>
    </row>
    <row r="15" spans="1:18" ht="15.75" x14ac:dyDescent="0.25">
      <c r="A15" s="789"/>
      <c r="B15" s="785" t="str">
        <f>Translation!B471</f>
        <v>Risikogewicht 20%</v>
      </c>
      <c r="C15" s="1320">
        <v>0.2</v>
      </c>
      <c r="D15" s="788"/>
      <c r="E15" s="746"/>
      <c r="F15" s="736"/>
      <c r="G15" s="1319">
        <v>0</v>
      </c>
      <c r="H15" s="749"/>
      <c r="I15" s="1319"/>
      <c r="J15" s="1319"/>
      <c r="K15" s="749"/>
      <c r="L15" s="1319"/>
      <c r="M15" s="1319"/>
      <c r="N15" s="745"/>
      <c r="O15" s="828">
        <f t="shared" si="0"/>
        <v>0</v>
      </c>
      <c r="P15" s="828">
        <f t="shared" si="1"/>
        <v>0</v>
      </c>
      <c r="Q15" s="731"/>
      <c r="R15" s="688"/>
    </row>
    <row r="16" spans="1:18" ht="15.75" x14ac:dyDescent="0.25">
      <c r="A16" s="789"/>
      <c r="B16" s="785" t="str">
        <f>Translation!B472</f>
        <v>Risikogewicht 50%</v>
      </c>
      <c r="C16" s="1320">
        <v>0.5</v>
      </c>
      <c r="D16" s="788"/>
      <c r="E16" s="746"/>
      <c r="F16" s="736"/>
      <c r="G16" s="1319">
        <v>0</v>
      </c>
      <c r="H16" s="749"/>
      <c r="I16" s="1319"/>
      <c r="J16" s="1319"/>
      <c r="K16" s="749"/>
      <c r="L16" s="1319"/>
      <c r="M16" s="1319"/>
      <c r="N16" s="745"/>
      <c r="O16" s="828">
        <f>(G16+I16+L16)*C16</f>
        <v>0</v>
      </c>
      <c r="P16" s="828">
        <f>(G16+J16+M16)*C16</f>
        <v>0</v>
      </c>
      <c r="Q16" s="731"/>
      <c r="R16" s="688"/>
    </row>
    <row r="17" spans="1:18" ht="15.75" x14ac:dyDescent="0.25">
      <c r="A17" s="753"/>
      <c r="B17" s="785" t="str">
        <f>Translation!B473</f>
        <v>Risikogewicht 100% (ohne ungeratete Positionen)</v>
      </c>
      <c r="C17" s="1320">
        <v>1</v>
      </c>
      <c r="D17" s="788"/>
      <c r="E17" s="746"/>
      <c r="F17" s="736"/>
      <c r="G17" s="1319">
        <v>0</v>
      </c>
      <c r="H17" s="749"/>
      <c r="I17" s="1319"/>
      <c r="J17" s="1319"/>
      <c r="K17" s="749"/>
      <c r="L17" s="1319"/>
      <c r="M17" s="1319"/>
      <c r="N17" s="745"/>
      <c r="O17" s="828">
        <f t="shared" si="0"/>
        <v>0</v>
      </c>
      <c r="P17" s="828">
        <f t="shared" si="1"/>
        <v>0</v>
      </c>
      <c r="Q17" s="731"/>
      <c r="R17" s="688"/>
    </row>
    <row r="18" spans="1:18" ht="15.75" x14ac:dyDescent="0.25">
      <c r="A18" s="753"/>
      <c r="B18" s="785" t="str">
        <f>Translation!B474</f>
        <v>Risikogewicht 150%</v>
      </c>
      <c r="C18" s="1320">
        <v>1.5</v>
      </c>
      <c r="D18" s="788"/>
      <c r="E18" s="746"/>
      <c r="F18" s="736"/>
      <c r="G18" s="1319">
        <v>0</v>
      </c>
      <c r="H18" s="749"/>
      <c r="I18" s="1319"/>
      <c r="J18" s="1319"/>
      <c r="K18" s="749"/>
      <c r="L18" s="1319"/>
      <c r="M18" s="1319"/>
      <c r="N18" s="745"/>
      <c r="O18" s="828">
        <f>(G18+I18+L18)*C18</f>
        <v>0</v>
      </c>
      <c r="P18" s="828">
        <f>(G18+J18+M18)*C18</f>
        <v>0</v>
      </c>
      <c r="Q18" s="731"/>
      <c r="R18" s="688"/>
    </row>
    <row r="19" spans="1:18" ht="15.75" x14ac:dyDescent="0.25">
      <c r="A19" s="789"/>
      <c r="B19" s="785" t="str">
        <f>Translation!B475</f>
        <v>Nicht geratet 100%</v>
      </c>
      <c r="C19" s="1320">
        <v>1</v>
      </c>
      <c r="D19" s="788"/>
      <c r="E19" s="746"/>
      <c r="F19" s="736"/>
      <c r="G19" s="1319">
        <v>0</v>
      </c>
      <c r="H19" s="749"/>
      <c r="I19" s="1319"/>
      <c r="J19" s="1319"/>
      <c r="K19" s="749"/>
      <c r="L19" s="1319"/>
      <c r="M19" s="1319"/>
      <c r="N19" s="745"/>
      <c r="O19" s="828">
        <f t="shared" si="0"/>
        <v>0</v>
      </c>
      <c r="P19" s="828">
        <f t="shared" si="1"/>
        <v>0</v>
      </c>
      <c r="Q19" s="731"/>
      <c r="R19" s="688"/>
    </row>
    <row r="20" spans="1:18" ht="15.75" x14ac:dyDescent="0.25">
      <c r="A20" s="748"/>
      <c r="B20" s="1188"/>
      <c r="C20" s="815"/>
      <c r="D20" s="747"/>
      <c r="E20" s="746"/>
      <c r="F20" s="736"/>
      <c r="G20" s="1189"/>
      <c r="H20" s="926"/>
      <c r="I20" s="1189"/>
      <c r="J20" s="1189"/>
      <c r="K20" s="926"/>
      <c r="L20" s="1189"/>
      <c r="M20" s="1189"/>
      <c r="N20" s="745"/>
      <c r="O20" s="828">
        <f t="shared" si="0"/>
        <v>0</v>
      </c>
      <c r="P20" s="828">
        <f t="shared" si="1"/>
        <v>0</v>
      </c>
      <c r="Q20" s="731"/>
      <c r="R20" s="688"/>
    </row>
    <row r="21" spans="1:18" s="827" customFormat="1" ht="15.75" x14ac:dyDescent="0.25">
      <c r="A21" s="744"/>
      <c r="B21" s="740"/>
      <c r="C21" s="777"/>
      <c r="D21" s="740"/>
      <c r="E21" s="739"/>
      <c r="F21" s="736"/>
      <c r="G21" s="739"/>
      <c r="H21" s="740"/>
      <c r="I21" s="739"/>
      <c r="J21" s="739"/>
      <c r="K21" s="739"/>
      <c r="L21" s="739"/>
      <c r="M21" s="739"/>
      <c r="N21" s="739"/>
      <c r="O21" s="739"/>
      <c r="P21" s="739"/>
      <c r="Q21" s="776"/>
      <c r="R21" s="688"/>
    </row>
    <row r="22" spans="1:18" ht="15.75" x14ac:dyDescent="0.25">
      <c r="A22" s="743"/>
      <c r="B22" s="814"/>
      <c r="C22" s="741"/>
      <c r="D22" s="741"/>
      <c r="E22" s="742"/>
      <c r="F22" s="736"/>
      <c r="G22" s="741"/>
      <c r="H22" s="694"/>
      <c r="I22" s="733"/>
      <c r="J22" s="733"/>
      <c r="K22" s="733"/>
      <c r="L22" s="733"/>
      <c r="M22" s="733"/>
      <c r="N22" s="733"/>
      <c r="O22" s="733"/>
      <c r="P22" s="733"/>
      <c r="Q22" s="731"/>
      <c r="R22" s="688"/>
    </row>
    <row r="23" spans="1:18" ht="12.75" customHeight="1" x14ac:dyDescent="0.25">
      <c r="A23" s="738"/>
      <c r="B23" s="819" t="str">
        <f>Translation!$B$516</f>
        <v>Summe der risikogewichteten Positionen vor CRM</v>
      </c>
      <c r="C23" s="737">
        <f>SUM(O14:O20)</f>
        <v>0</v>
      </c>
      <c r="D23" s="732"/>
      <c r="E23" s="732"/>
      <c r="F23" s="736"/>
      <c r="G23" s="735"/>
      <c r="H23" s="740"/>
      <c r="I23" s="733"/>
      <c r="J23" s="733"/>
      <c r="K23" s="733"/>
      <c r="L23" s="733"/>
      <c r="M23" s="733"/>
      <c r="N23" s="733"/>
      <c r="O23" s="739"/>
      <c r="P23" s="733"/>
      <c r="Q23" s="731"/>
      <c r="R23" s="688"/>
    </row>
    <row r="24" spans="1:18" ht="15.75" x14ac:dyDescent="0.25">
      <c r="A24" s="738"/>
      <c r="B24" s="819" t="str">
        <f>Translation!$B$517</f>
        <v>Summe der risikogewichteten Positionen nach CRM</v>
      </c>
      <c r="C24" s="737">
        <f>SUM(P14:P20)</f>
        <v>0</v>
      </c>
      <c r="D24" s="732"/>
      <c r="E24" s="732"/>
      <c r="F24" s="732"/>
      <c r="G24" s="735"/>
      <c r="H24" s="734"/>
      <c r="I24" s="733"/>
      <c r="J24" s="733"/>
      <c r="K24" s="733"/>
      <c r="L24" s="733"/>
      <c r="M24" s="733"/>
      <c r="N24" s="733"/>
      <c r="O24" s="732"/>
      <c r="P24" s="732"/>
      <c r="Q24" s="731"/>
      <c r="R24" s="688"/>
    </row>
    <row r="25" spans="1:18" ht="15.75" x14ac:dyDescent="0.25">
      <c r="A25" s="730"/>
      <c r="B25" s="818"/>
      <c r="C25" s="728"/>
      <c r="D25" s="728"/>
      <c r="E25" s="728"/>
      <c r="F25" s="728"/>
      <c r="G25" s="690"/>
      <c r="H25" s="690"/>
      <c r="I25" s="728"/>
      <c r="J25" s="728"/>
      <c r="K25" s="728"/>
      <c r="L25" s="728"/>
      <c r="M25" s="728"/>
      <c r="N25" s="728"/>
      <c r="O25" s="728"/>
      <c r="P25" s="728"/>
      <c r="Q25" s="727"/>
      <c r="R25" s="688"/>
    </row>
    <row r="26" spans="1:18" ht="15.75" x14ac:dyDescent="0.25">
      <c r="A26" s="699" t="str">
        <f>Translation!B469</f>
        <v>2 Öffentlichrechtliche Körperschaften</v>
      </c>
      <c r="B26" s="817"/>
      <c r="C26" s="772"/>
      <c r="D26" s="733"/>
      <c r="E26" s="772"/>
      <c r="F26" s="772"/>
      <c r="G26" s="773"/>
      <c r="H26" s="773"/>
      <c r="I26" s="772"/>
      <c r="J26" s="772"/>
      <c r="K26" s="772"/>
      <c r="L26" s="772"/>
      <c r="M26" s="772"/>
      <c r="N26" s="772"/>
      <c r="O26" s="772"/>
      <c r="P26" s="772"/>
      <c r="Q26" s="771"/>
      <c r="R26" s="688"/>
    </row>
    <row r="27" spans="1:18" ht="15.75" x14ac:dyDescent="0.25">
      <c r="A27" s="707"/>
      <c r="B27" s="770"/>
      <c r="C27" s="733"/>
      <c r="D27" s="733"/>
      <c r="E27" s="733"/>
      <c r="F27" s="733"/>
      <c r="G27" s="694"/>
      <c r="H27" s="694"/>
      <c r="I27" s="733"/>
      <c r="J27" s="733"/>
      <c r="K27" s="733"/>
      <c r="L27" s="733"/>
      <c r="M27" s="733"/>
      <c r="N27" s="733"/>
      <c r="O27" s="733"/>
      <c r="P27" s="733"/>
      <c r="Q27" s="731"/>
      <c r="R27" s="688"/>
    </row>
    <row r="28" spans="1:18" ht="15.75" hidden="1" x14ac:dyDescent="0.25">
      <c r="A28" s="748"/>
      <c r="B28" s="767" t="s">
        <v>616</v>
      </c>
      <c r="C28" s="769"/>
      <c r="D28" s="736"/>
      <c r="E28" s="736"/>
      <c r="F28" s="736"/>
      <c r="G28" s="766"/>
      <c r="H28" s="766"/>
      <c r="I28" s="733"/>
      <c r="J28" s="733"/>
      <c r="K28" s="733"/>
      <c r="L28" s="733"/>
      <c r="M28" s="733"/>
      <c r="N28" s="733"/>
      <c r="O28" s="736"/>
      <c r="P28" s="733"/>
      <c r="Q28" s="731"/>
      <c r="R28" s="688"/>
    </row>
    <row r="29" spans="1:18" ht="15.75" hidden="1" x14ac:dyDescent="0.25">
      <c r="A29" s="748"/>
      <c r="B29" s="767" t="s">
        <v>615</v>
      </c>
      <c r="C29" s="768"/>
      <c r="D29" s="736"/>
      <c r="E29" s="736"/>
      <c r="F29" s="736"/>
      <c r="G29" s="766"/>
      <c r="H29" s="766"/>
      <c r="I29" s="733"/>
      <c r="J29" s="733"/>
      <c r="K29" s="733"/>
      <c r="L29" s="733"/>
      <c r="M29" s="733"/>
      <c r="N29" s="733"/>
      <c r="O29" s="736"/>
      <c r="P29" s="733"/>
      <c r="Q29" s="731"/>
      <c r="R29" s="688"/>
    </row>
    <row r="30" spans="1:18" ht="15.75" hidden="1" x14ac:dyDescent="0.25">
      <c r="A30" s="748"/>
      <c r="B30" s="792"/>
      <c r="C30" s="736"/>
      <c r="D30" s="736"/>
      <c r="E30" s="736"/>
      <c r="F30" s="736"/>
      <c r="G30" s="766"/>
      <c r="H30" s="694"/>
      <c r="I30" s="2543"/>
      <c r="J30" s="2543"/>
      <c r="K30" s="733"/>
      <c r="L30" s="765"/>
      <c r="M30" s="733"/>
      <c r="N30" s="733"/>
      <c r="O30" s="733"/>
      <c r="P30" s="733"/>
      <c r="Q30" s="731"/>
      <c r="R30" s="688"/>
    </row>
    <row r="31" spans="1:18" ht="42" customHeight="1" x14ac:dyDescent="0.25">
      <c r="A31" s="2541"/>
      <c r="B31" s="1591" t="str">
        <f>Translation!$B$518</f>
        <v>Kategorie</v>
      </c>
      <c r="C31" s="1588" t="str">
        <f>Translation!$B$519</f>
        <v>Risikogewicht</v>
      </c>
      <c r="D31" s="759"/>
      <c r="E31" s="761" t="s">
        <v>566</v>
      </c>
      <c r="F31" s="736"/>
      <c r="G31" s="761" t="str">
        <f>Translation!$B$520</f>
        <v>Positionen ohne Kreditrisikominderung (CRM)</v>
      </c>
      <c r="H31" s="763"/>
      <c r="J31" s="762" t="str">
        <f>Translation!$B$523</f>
        <v>Besicherte Positionen</v>
      </c>
      <c r="K31" s="763"/>
      <c r="M31" s="762" t="str">
        <f>Translation!$B$525</f>
        <v>Mit Garantien oder Kred.-Der. besicherte Positionen</v>
      </c>
      <c r="N31" s="745"/>
      <c r="O31" s="761" t="str">
        <f>Translation!$B$527</f>
        <v>Risikogew. Positionen vor CRM</v>
      </c>
      <c r="P31" s="761" t="str">
        <f>Translation!$B$528</f>
        <v>Risikogew. Positionen nach CRM</v>
      </c>
      <c r="Q31" s="731"/>
      <c r="R31" s="688"/>
    </row>
    <row r="32" spans="1:18" ht="17.25" customHeight="1" x14ac:dyDescent="0.25">
      <c r="A32" s="2541"/>
      <c r="B32" s="1592"/>
      <c r="C32" s="1589"/>
      <c r="D32" s="759"/>
      <c r="E32" s="758"/>
      <c r="F32" s="736"/>
      <c r="G32" s="758"/>
      <c r="H32" s="749"/>
      <c r="I32" s="757" t="str">
        <f>Translation!$B$521</f>
        <v xml:space="preserve">Vor Besicherung </v>
      </c>
      <c r="J32" s="757" t="str">
        <f>Translation!$B$522</f>
        <v>Nach Besicherung</v>
      </c>
      <c r="K32" s="749"/>
      <c r="L32" s="757" t="str">
        <f>Translation!$B$524</f>
        <v>Vor Garantien und Kreditderivate</v>
      </c>
      <c r="M32" s="757" t="str">
        <f>Translation!$B$526</f>
        <v>Nach Garantien und Kred.-.Der.</v>
      </c>
      <c r="N32" s="745"/>
      <c r="O32" s="756"/>
      <c r="P32" s="756"/>
      <c r="Q32" s="731"/>
      <c r="R32" s="688"/>
    </row>
    <row r="33" spans="1:18" ht="15.75" x14ac:dyDescent="0.25">
      <c r="A33" s="789"/>
      <c r="B33" s="1590" t="str">
        <f>Translation!B471</f>
        <v>Risikogewicht 20%</v>
      </c>
      <c r="C33" s="1318">
        <v>0.2</v>
      </c>
      <c r="D33" s="788"/>
      <c r="E33" s="746"/>
      <c r="F33" s="736"/>
      <c r="G33" s="1319">
        <v>0</v>
      </c>
      <c r="H33" s="749"/>
      <c r="I33" s="1319"/>
      <c r="J33" s="1319"/>
      <c r="K33" s="749"/>
      <c r="L33" s="1319"/>
      <c r="M33" s="1319"/>
      <c r="N33" s="745"/>
      <c r="O33" s="828">
        <f t="shared" ref="O33:O38" si="2">(G33+I33+L33)*C33</f>
        <v>0</v>
      </c>
      <c r="P33" s="828">
        <f t="shared" ref="P33:P38" si="3">(G33+J33+M33)*C33</f>
        <v>0</v>
      </c>
      <c r="Q33" s="731"/>
      <c r="R33" s="688"/>
    </row>
    <row r="34" spans="1:18" ht="15.75" x14ac:dyDescent="0.25">
      <c r="A34" s="789"/>
      <c r="B34" s="809" t="str">
        <f>Translation!B472</f>
        <v>Risikogewicht 50%</v>
      </c>
      <c r="C34" s="1318">
        <v>0.5</v>
      </c>
      <c r="D34" s="788"/>
      <c r="E34" s="746"/>
      <c r="F34" s="736"/>
      <c r="G34" s="1319">
        <v>0</v>
      </c>
      <c r="H34" s="749"/>
      <c r="I34" s="1319"/>
      <c r="J34" s="1319"/>
      <c r="K34" s="749"/>
      <c r="L34" s="1319"/>
      <c r="M34" s="1319"/>
      <c r="N34" s="745"/>
      <c r="O34" s="828">
        <f t="shared" si="2"/>
        <v>0</v>
      </c>
      <c r="P34" s="828">
        <f t="shared" si="3"/>
        <v>0</v>
      </c>
      <c r="Q34" s="731"/>
      <c r="R34" s="688"/>
    </row>
    <row r="35" spans="1:18" ht="15.75" x14ac:dyDescent="0.25">
      <c r="A35" s="789"/>
      <c r="B35" s="809" t="str">
        <f>Translation!B473</f>
        <v>Risikogewicht 100% (ohne ungeratete Positionen)</v>
      </c>
      <c r="C35" s="1318">
        <v>1</v>
      </c>
      <c r="D35" s="788"/>
      <c r="E35" s="746"/>
      <c r="F35" s="736"/>
      <c r="G35" s="1319">
        <v>0</v>
      </c>
      <c r="H35" s="749"/>
      <c r="I35" s="1319"/>
      <c r="J35" s="1319"/>
      <c r="K35" s="749"/>
      <c r="L35" s="1319"/>
      <c r="M35" s="1319"/>
      <c r="N35" s="745"/>
      <c r="O35" s="828">
        <f t="shared" si="2"/>
        <v>0</v>
      </c>
      <c r="P35" s="828">
        <f t="shared" si="3"/>
        <v>0</v>
      </c>
      <c r="Q35" s="731"/>
      <c r="R35" s="688"/>
    </row>
    <row r="36" spans="1:18" ht="15.75" x14ac:dyDescent="0.25">
      <c r="A36" s="789"/>
      <c r="B36" s="809" t="str">
        <f>Translation!B474</f>
        <v>Risikogewicht 150%</v>
      </c>
      <c r="C36" s="1318">
        <v>1.5</v>
      </c>
      <c r="D36" s="788"/>
      <c r="E36" s="746"/>
      <c r="F36" s="736"/>
      <c r="G36" s="1319">
        <v>0</v>
      </c>
      <c r="H36" s="749"/>
      <c r="I36" s="1319"/>
      <c r="J36" s="1319"/>
      <c r="K36" s="749"/>
      <c r="L36" s="1319"/>
      <c r="M36" s="1319"/>
      <c r="N36" s="745"/>
      <c r="O36" s="828">
        <f t="shared" si="2"/>
        <v>0</v>
      </c>
      <c r="P36" s="828">
        <f t="shared" si="3"/>
        <v>0</v>
      </c>
      <c r="Q36" s="731"/>
      <c r="R36" s="688"/>
    </row>
    <row r="37" spans="1:18" ht="15.75" x14ac:dyDescent="0.25">
      <c r="A37" s="789"/>
      <c r="B37" s="809" t="str">
        <f>Translation!B475</f>
        <v>Nicht geratet 100%</v>
      </c>
      <c r="C37" s="1318">
        <v>1</v>
      </c>
      <c r="D37" s="788"/>
      <c r="E37" s="746"/>
      <c r="F37" s="736"/>
      <c r="G37" s="1319">
        <v>0</v>
      </c>
      <c r="H37" s="749"/>
      <c r="I37" s="1319"/>
      <c r="J37" s="1319"/>
      <c r="K37" s="749"/>
      <c r="L37" s="1319"/>
      <c r="M37" s="1319"/>
      <c r="N37" s="745"/>
      <c r="O37" s="828">
        <f t="shared" si="2"/>
        <v>0</v>
      </c>
      <c r="P37" s="828">
        <f t="shared" si="3"/>
        <v>0</v>
      </c>
      <c r="Q37" s="731"/>
      <c r="R37" s="688"/>
    </row>
    <row r="38" spans="1:18" ht="15.75" x14ac:dyDescent="0.25">
      <c r="A38" s="748"/>
      <c r="B38" s="1188"/>
      <c r="C38" s="815"/>
      <c r="D38" s="747"/>
      <c r="E38" s="746"/>
      <c r="F38" s="736"/>
      <c r="G38" s="1189"/>
      <c r="H38" s="926"/>
      <c r="I38" s="1189"/>
      <c r="J38" s="1189"/>
      <c r="K38" s="926"/>
      <c r="L38" s="1189"/>
      <c r="M38" s="1189"/>
      <c r="N38" s="745"/>
      <c r="O38" s="828">
        <f t="shared" si="2"/>
        <v>0</v>
      </c>
      <c r="P38" s="828">
        <f t="shared" si="3"/>
        <v>0</v>
      </c>
      <c r="Q38" s="731"/>
      <c r="R38" s="688"/>
    </row>
    <row r="39" spans="1:18" ht="15.75" x14ac:dyDescent="0.25">
      <c r="A39" s="744"/>
      <c r="B39" s="740"/>
      <c r="C39" s="739"/>
      <c r="D39" s="739"/>
      <c r="E39" s="739"/>
      <c r="F39" s="736"/>
      <c r="G39" s="740"/>
      <c r="H39" s="740"/>
      <c r="I39" s="739"/>
      <c r="J39" s="739"/>
      <c r="K39" s="739"/>
      <c r="L39" s="739"/>
      <c r="M39" s="733"/>
      <c r="N39" s="733"/>
      <c r="O39" s="739"/>
      <c r="P39" s="739"/>
      <c r="Q39" s="731"/>
      <c r="R39" s="688"/>
    </row>
    <row r="40" spans="1:18" ht="15.75" x14ac:dyDescent="0.25">
      <c r="A40" s="743"/>
      <c r="B40" s="814"/>
      <c r="C40" s="741"/>
      <c r="D40" s="741"/>
      <c r="E40" s="742"/>
      <c r="F40" s="736"/>
      <c r="G40" s="741"/>
      <c r="H40" s="694"/>
      <c r="I40" s="733"/>
      <c r="J40" s="733"/>
      <c r="K40" s="733"/>
      <c r="L40" s="733"/>
      <c r="M40" s="733"/>
      <c r="N40" s="733"/>
      <c r="O40" s="733"/>
      <c r="P40" s="733"/>
      <c r="Q40" s="731"/>
      <c r="R40" s="688"/>
    </row>
    <row r="41" spans="1:18" ht="15.75" x14ac:dyDescent="0.25">
      <c r="A41" s="738"/>
      <c r="B41" s="819" t="str">
        <f>Translation!$B$516</f>
        <v>Summe der risikogewichteten Positionen vor CRM</v>
      </c>
      <c r="C41" s="737">
        <f>SUM(O33:O38)</f>
        <v>0</v>
      </c>
      <c r="D41" s="732"/>
      <c r="E41" s="732"/>
      <c r="F41" s="732"/>
      <c r="G41" s="735"/>
      <c r="H41" s="740"/>
      <c r="I41" s="733"/>
      <c r="J41" s="733"/>
      <c r="K41" s="733"/>
      <c r="L41" s="733"/>
      <c r="M41" s="733"/>
      <c r="N41" s="733"/>
      <c r="O41" s="739"/>
      <c r="P41" s="733"/>
      <c r="Q41" s="731"/>
      <c r="R41" s="688"/>
    </row>
    <row r="42" spans="1:18" ht="15.75" x14ac:dyDescent="0.25">
      <c r="A42" s="738"/>
      <c r="B42" s="819" t="str">
        <f>Translation!$B$517</f>
        <v>Summe der risikogewichteten Positionen nach CRM</v>
      </c>
      <c r="C42" s="737">
        <f>SUM(P33:P38)</f>
        <v>0</v>
      </c>
      <c r="D42" s="732"/>
      <c r="E42" s="732"/>
      <c r="F42" s="732"/>
      <c r="G42" s="735"/>
      <c r="H42" s="734"/>
      <c r="I42" s="733"/>
      <c r="J42" s="733"/>
      <c r="K42" s="733"/>
      <c r="L42" s="733"/>
      <c r="M42" s="733"/>
      <c r="N42" s="733"/>
      <c r="O42" s="732"/>
      <c r="P42" s="732"/>
      <c r="Q42" s="731"/>
      <c r="R42" s="688"/>
    </row>
    <row r="43" spans="1:18" ht="15.75" x14ac:dyDescent="0.25">
      <c r="A43" s="730"/>
      <c r="B43" s="818"/>
      <c r="C43" s="728"/>
      <c r="D43" s="728"/>
      <c r="E43" s="728"/>
      <c r="F43" s="728"/>
      <c r="G43" s="690"/>
      <c r="H43" s="690"/>
      <c r="I43" s="728"/>
      <c r="J43" s="728"/>
      <c r="K43" s="728"/>
      <c r="L43" s="728"/>
      <c r="M43" s="728"/>
      <c r="N43" s="728"/>
      <c r="O43" s="728"/>
      <c r="P43" s="728"/>
      <c r="Q43" s="727"/>
      <c r="R43" s="688"/>
    </row>
    <row r="44" spans="1:18" ht="15.75" x14ac:dyDescent="0.25">
      <c r="A44" s="775" t="str">
        <f>Translation!B476</f>
        <v>3 BIZ, IWF und multilaterale Entwicklungsbanken</v>
      </c>
      <c r="B44" s="817"/>
      <c r="C44" s="773"/>
      <c r="D44" s="694"/>
      <c r="E44" s="773"/>
      <c r="F44" s="773"/>
      <c r="G44" s="773"/>
      <c r="H44" s="773"/>
      <c r="I44" s="826"/>
      <c r="J44" s="825"/>
      <c r="K44" s="825"/>
      <c r="L44" s="825"/>
      <c r="M44" s="825"/>
      <c r="N44" s="825"/>
      <c r="O44" s="825"/>
      <c r="P44" s="825"/>
      <c r="Q44" s="771"/>
      <c r="R44" s="688"/>
    </row>
    <row r="45" spans="1:18" ht="15.75" x14ac:dyDescent="0.25">
      <c r="A45" s="748"/>
      <c r="B45" s="770"/>
      <c r="C45" s="694"/>
      <c r="D45" s="694"/>
      <c r="E45" s="694"/>
      <c r="F45" s="694"/>
      <c r="G45" s="694"/>
      <c r="H45" s="694"/>
      <c r="I45" s="800"/>
      <c r="J45" s="810"/>
      <c r="K45" s="798"/>
      <c r="L45" s="798"/>
      <c r="M45" s="798"/>
      <c r="N45" s="798"/>
      <c r="O45" s="798"/>
      <c r="P45" s="798"/>
      <c r="Q45" s="731"/>
      <c r="R45" s="688"/>
    </row>
    <row r="46" spans="1:18" ht="15.75" hidden="1" x14ac:dyDescent="0.25">
      <c r="A46" s="748"/>
      <c r="B46" s="813" t="s">
        <v>585</v>
      </c>
      <c r="C46" s="812"/>
      <c r="D46" s="766"/>
      <c r="E46" s="766"/>
      <c r="F46" s="766"/>
      <c r="G46" s="686"/>
      <c r="H46" s="694"/>
      <c r="I46" s="733"/>
      <c r="J46" s="733"/>
      <c r="K46" s="733"/>
      <c r="L46" s="733"/>
      <c r="M46" s="798"/>
      <c r="N46" s="798"/>
      <c r="O46" s="798"/>
      <c r="P46" s="798"/>
      <c r="Q46" s="731"/>
      <c r="R46" s="688"/>
    </row>
    <row r="47" spans="1:18" ht="15.75" hidden="1" x14ac:dyDescent="0.25">
      <c r="A47" s="748"/>
      <c r="B47" s="811" t="s">
        <v>584</v>
      </c>
      <c r="C47" s="812"/>
      <c r="D47" s="766"/>
      <c r="E47" s="745"/>
      <c r="F47" s="745"/>
      <c r="G47" s="745"/>
      <c r="H47" s="745"/>
      <c r="I47" s="745"/>
      <c r="J47" s="798"/>
      <c r="K47" s="798"/>
      <c r="L47" s="798"/>
      <c r="M47" s="798"/>
      <c r="N47" s="798"/>
      <c r="O47" s="798"/>
      <c r="P47" s="798"/>
      <c r="Q47" s="731"/>
      <c r="R47" s="688"/>
    </row>
    <row r="48" spans="1:18" ht="15.75" hidden="1" x14ac:dyDescent="0.25">
      <c r="A48" s="2541"/>
      <c r="B48" s="792"/>
      <c r="C48" s="806"/>
      <c r="D48" s="806"/>
      <c r="E48" s="745"/>
      <c r="F48" s="745"/>
      <c r="G48" s="745"/>
      <c r="H48" s="745"/>
      <c r="I48" s="2544"/>
      <c r="J48" s="2544"/>
      <c r="K48" s="810"/>
      <c r="L48" s="2545"/>
      <c r="M48" s="2545"/>
      <c r="N48" s="798"/>
      <c r="O48" s="798"/>
      <c r="P48" s="798"/>
      <c r="Q48" s="731"/>
      <c r="R48" s="688"/>
    </row>
    <row r="49" spans="1:18" ht="36.75" customHeight="1" x14ac:dyDescent="0.25">
      <c r="A49" s="2541"/>
      <c r="B49" s="1591" t="str">
        <f>Translation!$B$518</f>
        <v>Kategorie</v>
      </c>
      <c r="C49" s="1588" t="str">
        <f>Translation!$B$519</f>
        <v>Risikogewicht</v>
      </c>
      <c r="D49" s="759"/>
      <c r="E49" s="761" t="s">
        <v>566</v>
      </c>
      <c r="F49" s="736"/>
      <c r="G49" s="761" t="str">
        <f>Translation!$B$520</f>
        <v>Positionen ohne Kreditrisikominderung (CRM)</v>
      </c>
      <c r="H49" s="763"/>
      <c r="J49" s="762" t="str">
        <f>Translation!$B$523</f>
        <v>Besicherte Positionen</v>
      </c>
      <c r="K49" s="763"/>
      <c r="M49" s="762" t="str">
        <f>Translation!$B$525</f>
        <v>Mit Garantien oder Kred.-Der. besicherte Positionen</v>
      </c>
      <c r="N49" s="745"/>
      <c r="O49" s="761" t="str">
        <f>Translation!$B$527</f>
        <v>Risikogew. Positionen vor CRM</v>
      </c>
      <c r="P49" s="761" t="str">
        <f>Translation!$B$528</f>
        <v>Risikogew. Positionen nach CRM</v>
      </c>
      <c r="Q49" s="731"/>
      <c r="R49" s="688"/>
    </row>
    <row r="50" spans="1:18" ht="30" customHeight="1" x14ac:dyDescent="0.25">
      <c r="A50" s="753"/>
      <c r="B50" s="1592"/>
      <c r="C50" s="1589"/>
      <c r="D50" s="759"/>
      <c r="E50" s="758"/>
      <c r="F50" s="736"/>
      <c r="G50" s="758"/>
      <c r="H50" s="749"/>
      <c r="I50" s="757" t="str">
        <f>Translation!$B$521</f>
        <v xml:space="preserve">Vor Besicherung </v>
      </c>
      <c r="J50" s="757" t="str">
        <f>Translation!$B$522</f>
        <v>Nach Besicherung</v>
      </c>
      <c r="K50" s="749"/>
      <c r="L50" s="757" t="str">
        <f>Translation!$B$524</f>
        <v>Vor Garantien und Kreditderivate</v>
      </c>
      <c r="M50" s="757" t="str">
        <f>Translation!$B$526</f>
        <v>Nach Garantien und Kred.-.Der.</v>
      </c>
      <c r="N50" s="745"/>
      <c r="O50" s="756"/>
      <c r="P50" s="756"/>
      <c r="Q50" s="731"/>
      <c r="R50" s="688"/>
    </row>
    <row r="51" spans="1:18" ht="15.75" x14ac:dyDescent="0.25">
      <c r="A51" s="789"/>
      <c r="B51" s="752" t="str">
        <f>Translation!B470</f>
        <v>Risikogewicht 0%</v>
      </c>
      <c r="C51" s="1318">
        <v>0</v>
      </c>
      <c r="D51" s="806"/>
      <c r="E51" s="745"/>
      <c r="F51" s="745"/>
      <c r="G51" s="1319">
        <v>0</v>
      </c>
      <c r="H51" s="749"/>
      <c r="I51" s="1319"/>
      <c r="J51" s="1319"/>
      <c r="K51" s="749"/>
      <c r="L51" s="1319"/>
      <c r="M51" s="1319"/>
      <c r="N51" s="745"/>
      <c r="O51" s="828">
        <f t="shared" ref="O51:O57" si="4">(G51+I51+L51)*C51</f>
        <v>0</v>
      </c>
      <c r="P51" s="828">
        <f t="shared" ref="P51:P57" si="5">(G51+J51+M51)*C51</f>
        <v>0</v>
      </c>
      <c r="Q51" s="731"/>
      <c r="R51" s="688"/>
    </row>
    <row r="52" spans="1:18" ht="15.75" x14ac:dyDescent="0.25">
      <c r="A52" s="789"/>
      <c r="B52" s="752" t="str">
        <f>Translation!B471</f>
        <v>Risikogewicht 20%</v>
      </c>
      <c r="C52" s="1318">
        <v>0.2</v>
      </c>
      <c r="D52" s="806"/>
      <c r="E52" s="745"/>
      <c r="F52" s="745"/>
      <c r="G52" s="1319">
        <v>0</v>
      </c>
      <c r="H52" s="749"/>
      <c r="I52" s="1319"/>
      <c r="J52" s="1319"/>
      <c r="K52" s="749"/>
      <c r="L52" s="1319"/>
      <c r="M52" s="1319"/>
      <c r="N52" s="745"/>
      <c r="O52" s="828">
        <f t="shared" si="4"/>
        <v>0</v>
      </c>
      <c r="P52" s="828">
        <f t="shared" si="5"/>
        <v>0</v>
      </c>
      <c r="Q52" s="731"/>
      <c r="R52" s="688"/>
    </row>
    <row r="53" spans="1:18" ht="15.75" x14ac:dyDescent="0.25">
      <c r="A53" s="789"/>
      <c r="B53" s="809" t="str">
        <f>Translation!B479</f>
        <v>Risikogewicht 50% (ohne ungeratete Positionen)</v>
      </c>
      <c r="C53" s="1318">
        <v>0.5</v>
      </c>
      <c r="D53" s="806"/>
      <c r="E53" s="745"/>
      <c r="F53" s="745"/>
      <c r="G53" s="1319">
        <v>0</v>
      </c>
      <c r="H53" s="749"/>
      <c r="I53" s="1319"/>
      <c r="J53" s="1319"/>
      <c r="K53" s="749"/>
      <c r="L53" s="1319"/>
      <c r="M53" s="1319"/>
      <c r="N53" s="745"/>
      <c r="O53" s="828">
        <f t="shared" si="4"/>
        <v>0</v>
      </c>
      <c r="P53" s="828">
        <f t="shared" si="5"/>
        <v>0</v>
      </c>
      <c r="Q53" s="731"/>
      <c r="R53" s="688"/>
    </row>
    <row r="54" spans="1:18" ht="15.75" x14ac:dyDescent="0.25">
      <c r="A54" s="789"/>
      <c r="B54" s="809" t="str">
        <f>Translation!B478</f>
        <v>Risikogewicht 100%</v>
      </c>
      <c r="C54" s="1318">
        <v>1</v>
      </c>
      <c r="D54" s="806"/>
      <c r="E54" s="745"/>
      <c r="F54" s="745"/>
      <c r="G54" s="1319">
        <v>0</v>
      </c>
      <c r="H54" s="749"/>
      <c r="I54" s="1319"/>
      <c r="J54" s="1319"/>
      <c r="K54" s="749"/>
      <c r="L54" s="1319"/>
      <c r="M54" s="1319"/>
      <c r="N54" s="745"/>
      <c r="O54" s="828">
        <f t="shared" si="4"/>
        <v>0</v>
      </c>
      <c r="P54" s="828">
        <f t="shared" si="5"/>
        <v>0</v>
      </c>
      <c r="Q54" s="731"/>
      <c r="R54" s="688"/>
    </row>
    <row r="55" spans="1:18" ht="15.75" x14ac:dyDescent="0.25">
      <c r="A55" s="789"/>
      <c r="B55" s="809" t="str">
        <f>Translation!B474</f>
        <v>Risikogewicht 150%</v>
      </c>
      <c r="C55" s="1318">
        <v>1.5</v>
      </c>
      <c r="D55" s="806"/>
      <c r="E55" s="745"/>
      <c r="F55" s="745"/>
      <c r="G55" s="1319">
        <v>0</v>
      </c>
      <c r="H55" s="749"/>
      <c r="I55" s="1319"/>
      <c r="J55" s="1319"/>
      <c r="K55" s="749"/>
      <c r="L55" s="1319"/>
      <c r="M55" s="1319"/>
      <c r="N55" s="745"/>
      <c r="O55" s="828">
        <f>(G55+I55+L55)*C55</f>
        <v>0</v>
      </c>
      <c r="P55" s="828">
        <f>(G55+J55+M55)*C55</f>
        <v>0</v>
      </c>
      <c r="Q55" s="731"/>
      <c r="R55" s="688"/>
    </row>
    <row r="56" spans="1:18" ht="15.75" x14ac:dyDescent="0.25">
      <c r="A56" s="789"/>
      <c r="B56" s="821" t="str">
        <f>Translation!B480</f>
        <v>Nicht gerated 50%</v>
      </c>
      <c r="C56" s="1318">
        <v>0.5</v>
      </c>
      <c r="D56" s="806"/>
      <c r="E56" s="745"/>
      <c r="F56" s="745"/>
      <c r="G56" s="1319">
        <v>0</v>
      </c>
      <c r="H56" s="749"/>
      <c r="I56" s="1319"/>
      <c r="J56" s="1319"/>
      <c r="K56" s="749"/>
      <c r="L56" s="1319"/>
      <c r="M56" s="1319"/>
      <c r="N56" s="745"/>
      <c r="O56" s="828">
        <f t="shared" si="4"/>
        <v>0</v>
      </c>
      <c r="P56" s="828">
        <f t="shared" si="5"/>
        <v>0</v>
      </c>
      <c r="Q56" s="731"/>
      <c r="R56" s="688"/>
    </row>
    <row r="57" spans="1:18" ht="15.75" x14ac:dyDescent="0.25">
      <c r="A57" s="744"/>
      <c r="B57" s="1188"/>
      <c r="C57" s="815"/>
      <c r="D57" s="806"/>
      <c r="E57" s="745"/>
      <c r="F57" s="745"/>
      <c r="G57" s="1189"/>
      <c r="H57" s="926"/>
      <c r="I57" s="1189"/>
      <c r="J57" s="1189"/>
      <c r="K57" s="926"/>
      <c r="L57" s="1189"/>
      <c r="M57" s="1189"/>
      <c r="N57" s="745"/>
      <c r="O57" s="828">
        <f t="shared" si="4"/>
        <v>0</v>
      </c>
      <c r="P57" s="828">
        <f t="shared" si="5"/>
        <v>0</v>
      </c>
      <c r="Q57" s="731"/>
      <c r="R57" s="688"/>
    </row>
    <row r="58" spans="1:18" ht="15.75" x14ac:dyDescent="0.25">
      <c r="A58" s="743"/>
      <c r="B58" s="740"/>
      <c r="C58" s="740"/>
      <c r="D58" s="806"/>
      <c r="E58" s="745"/>
      <c r="F58" s="745"/>
      <c r="G58" s="745"/>
      <c r="H58" s="745"/>
      <c r="I58" s="740"/>
      <c r="J58" s="740"/>
      <c r="K58" s="807"/>
      <c r="L58" s="808"/>
      <c r="M58" s="807"/>
      <c r="N58" s="807"/>
      <c r="O58" s="807"/>
      <c r="P58" s="807"/>
      <c r="Q58" s="776"/>
      <c r="R58" s="688"/>
    </row>
    <row r="59" spans="1:18" ht="15.75" x14ac:dyDescent="0.25">
      <c r="A59" s="738"/>
      <c r="B59" s="814"/>
      <c r="C59" s="741"/>
      <c r="D59" s="741"/>
      <c r="E59" s="741"/>
      <c r="F59" s="741"/>
      <c r="G59" s="741"/>
      <c r="H59" s="694"/>
      <c r="I59" s="800"/>
      <c r="J59" s="798"/>
      <c r="K59" s="798"/>
      <c r="L59" s="798"/>
      <c r="M59" s="798"/>
      <c r="N59" s="798"/>
      <c r="O59" s="798"/>
      <c r="P59" s="798"/>
      <c r="Q59" s="731"/>
      <c r="R59" s="688"/>
    </row>
    <row r="60" spans="1:18" ht="15.75" x14ac:dyDescent="0.25">
      <c r="A60" s="738"/>
      <c r="B60" s="819" t="str">
        <f>Translation!$B$516</f>
        <v>Summe der risikogewichteten Positionen vor CRM</v>
      </c>
      <c r="C60" s="801">
        <f>SUM(O51:O57)</f>
        <v>0</v>
      </c>
      <c r="D60" s="735"/>
      <c r="E60" s="688"/>
      <c r="F60" s="688"/>
      <c r="G60" s="688"/>
      <c r="H60" s="688"/>
      <c r="I60" s="688"/>
      <c r="J60" s="688"/>
      <c r="K60" s="688"/>
      <c r="L60" s="688"/>
      <c r="M60" s="688"/>
      <c r="N60" s="688"/>
      <c r="O60" s="688"/>
      <c r="P60" s="684"/>
      <c r="Q60" s="684"/>
    </row>
    <row r="61" spans="1:18" ht="15.75" x14ac:dyDescent="0.25">
      <c r="A61" s="738"/>
      <c r="B61" s="819" t="str">
        <f>Translation!$B$517</f>
        <v>Summe der risikogewichteten Positionen nach CRM</v>
      </c>
      <c r="C61" s="801">
        <f>SUM(P51:P57)</f>
        <v>0</v>
      </c>
      <c r="D61" s="735"/>
      <c r="E61" s="735"/>
      <c r="F61" s="735"/>
      <c r="G61" s="735"/>
      <c r="H61" s="734"/>
      <c r="I61" s="800"/>
      <c r="J61" s="798"/>
      <c r="K61" s="798"/>
      <c r="L61" s="798"/>
      <c r="M61" s="798"/>
      <c r="N61" s="798"/>
      <c r="O61" s="799"/>
      <c r="P61" s="798"/>
      <c r="Q61" s="731"/>
      <c r="R61" s="688"/>
    </row>
    <row r="62" spans="1:18" ht="15.75" x14ac:dyDescent="0.25">
      <c r="A62" s="797"/>
      <c r="B62" s="818"/>
      <c r="C62" s="690"/>
      <c r="D62" s="690"/>
      <c r="E62" s="690"/>
      <c r="F62" s="690"/>
      <c r="G62" s="690"/>
      <c r="H62" s="690"/>
      <c r="I62" s="795"/>
      <c r="J62" s="794"/>
      <c r="K62" s="794"/>
      <c r="L62" s="794"/>
      <c r="M62" s="794"/>
      <c r="N62" s="794"/>
      <c r="O62" s="794"/>
      <c r="P62" s="794"/>
      <c r="Q62" s="727"/>
      <c r="R62" s="688"/>
    </row>
    <row r="63" spans="1:18" ht="15.75" x14ac:dyDescent="0.25">
      <c r="A63" s="775" t="str">
        <f>Translation!B481</f>
        <v>4 Banken und Effektenhändler</v>
      </c>
      <c r="B63" s="817"/>
      <c r="C63" s="772"/>
      <c r="D63" s="772"/>
      <c r="E63" s="772"/>
      <c r="F63" s="772"/>
      <c r="G63" s="773"/>
      <c r="H63" s="773"/>
      <c r="I63" s="772"/>
      <c r="J63" s="772"/>
      <c r="K63" s="772"/>
      <c r="L63" s="772"/>
      <c r="M63" s="772"/>
      <c r="N63" s="772"/>
      <c r="O63" s="772"/>
      <c r="P63" s="772"/>
      <c r="Q63" s="783"/>
      <c r="R63" s="688"/>
    </row>
    <row r="64" spans="1:18" ht="15.75" x14ac:dyDescent="0.25">
      <c r="A64" s="707"/>
      <c r="B64" s="770"/>
      <c r="C64" s="733"/>
      <c r="D64" s="733"/>
      <c r="E64" s="733"/>
      <c r="F64" s="733"/>
      <c r="G64" s="694"/>
      <c r="H64" s="694"/>
      <c r="I64" s="733"/>
      <c r="J64" s="733"/>
      <c r="K64" s="733"/>
      <c r="L64" s="733"/>
      <c r="M64" s="733"/>
      <c r="N64" s="733"/>
      <c r="O64" s="733"/>
      <c r="P64" s="733"/>
      <c r="Q64" s="782"/>
      <c r="R64" s="688"/>
    </row>
    <row r="65" spans="1:18" ht="15.75" hidden="1" x14ac:dyDescent="0.25">
      <c r="A65" s="748"/>
      <c r="B65" s="767" t="s">
        <v>614</v>
      </c>
      <c r="C65" s="769"/>
      <c r="D65" s="736"/>
      <c r="E65" s="736"/>
      <c r="F65" s="736"/>
      <c r="G65" s="766"/>
      <c r="H65" s="766"/>
      <c r="I65" s="733"/>
      <c r="J65" s="733"/>
      <c r="K65" s="733"/>
      <c r="L65" s="733"/>
      <c r="M65" s="733"/>
      <c r="N65" s="733"/>
      <c r="O65" s="736"/>
      <c r="P65" s="733"/>
      <c r="Q65" s="782"/>
      <c r="R65" s="688"/>
    </row>
    <row r="66" spans="1:18" ht="15.75" hidden="1" x14ac:dyDescent="0.25">
      <c r="A66" s="748"/>
      <c r="B66" s="767" t="s">
        <v>613</v>
      </c>
      <c r="C66" s="769"/>
      <c r="D66" s="736"/>
      <c r="E66" s="736"/>
      <c r="F66" s="736"/>
      <c r="G66" s="766"/>
      <c r="H66" s="766"/>
      <c r="I66" s="733"/>
      <c r="J66" s="733"/>
      <c r="K66" s="733"/>
      <c r="L66" s="733"/>
      <c r="M66" s="733"/>
      <c r="N66" s="733"/>
      <c r="O66" s="736"/>
      <c r="P66" s="733"/>
      <c r="Q66" s="782"/>
      <c r="R66" s="688"/>
    </row>
    <row r="67" spans="1:18" ht="15.75" hidden="1" x14ac:dyDescent="0.25">
      <c r="A67" s="748"/>
      <c r="B67" s="767" t="s">
        <v>612</v>
      </c>
      <c r="C67" s="768"/>
      <c r="D67" s="736"/>
      <c r="E67" s="736"/>
      <c r="F67" s="736"/>
      <c r="G67" s="766"/>
      <c r="H67" s="766"/>
      <c r="I67" s="733"/>
      <c r="J67" s="733"/>
      <c r="K67" s="733"/>
      <c r="L67" s="733"/>
      <c r="M67" s="733"/>
      <c r="N67" s="733"/>
      <c r="O67" s="736"/>
      <c r="P67" s="733"/>
      <c r="Q67" s="782"/>
      <c r="R67" s="688"/>
    </row>
    <row r="68" spans="1:18" ht="15.75" hidden="1" x14ac:dyDescent="0.25">
      <c r="A68" s="748"/>
      <c r="B68" s="779" t="s">
        <v>611</v>
      </c>
      <c r="C68" s="781">
        <f>C67+C65</f>
        <v>0</v>
      </c>
      <c r="D68" s="780"/>
      <c r="E68" s="780"/>
      <c r="F68" s="736"/>
      <c r="G68" s="766"/>
      <c r="H68" s="766"/>
      <c r="I68" s="733"/>
      <c r="J68" s="733"/>
      <c r="K68" s="733"/>
      <c r="L68" s="733"/>
      <c r="M68" s="733"/>
      <c r="N68" s="733"/>
      <c r="O68" s="736"/>
      <c r="P68" s="733"/>
      <c r="Q68" s="731"/>
      <c r="R68" s="688"/>
    </row>
    <row r="69" spans="1:18" ht="15.75" hidden="1" x14ac:dyDescent="0.25">
      <c r="A69" s="748"/>
      <c r="B69" s="792"/>
      <c r="C69" s="736"/>
      <c r="D69" s="736"/>
      <c r="E69" s="736"/>
      <c r="F69" s="736"/>
      <c r="G69" s="766"/>
      <c r="H69" s="694"/>
      <c r="I69" s="2542"/>
      <c r="J69" s="2543"/>
      <c r="K69" s="733"/>
      <c r="L69" s="765"/>
      <c r="M69" s="765"/>
      <c r="N69" s="733"/>
      <c r="O69" s="733"/>
      <c r="P69" s="733"/>
      <c r="Q69" s="731"/>
      <c r="R69" s="688"/>
    </row>
    <row r="70" spans="1:18" ht="38.25" x14ac:dyDescent="0.25">
      <c r="A70" s="2541"/>
      <c r="B70" s="1591" t="str">
        <f>Translation!$B$518</f>
        <v>Kategorie</v>
      </c>
      <c r="C70" s="1588" t="str">
        <f>Translation!$B$519</f>
        <v>Risikogewicht</v>
      </c>
      <c r="D70" s="759"/>
      <c r="E70" s="761" t="s">
        <v>566</v>
      </c>
      <c r="F70" s="736"/>
      <c r="G70" s="761" t="str">
        <f>Translation!$B$520</f>
        <v>Positionen ohne Kreditrisikominderung (CRM)</v>
      </c>
      <c r="H70" s="763"/>
      <c r="J70" s="762" t="str">
        <f>Translation!$B$523</f>
        <v>Besicherte Positionen</v>
      </c>
      <c r="K70" s="763"/>
      <c r="M70" s="762" t="str">
        <f>Translation!$B$525</f>
        <v>Mit Garantien oder Kred.-Der. besicherte Positionen</v>
      </c>
      <c r="N70" s="745"/>
      <c r="O70" s="761" t="str">
        <f>Translation!$B$527</f>
        <v>Risikogew. Positionen vor CRM</v>
      </c>
      <c r="P70" s="761" t="str">
        <f>Translation!$B$528</f>
        <v>Risikogew. Positionen nach CRM</v>
      </c>
      <c r="Q70" s="731"/>
      <c r="R70" s="688"/>
    </row>
    <row r="71" spans="1:18" ht="15.75" x14ac:dyDescent="0.25">
      <c r="A71" s="2541"/>
      <c r="B71" s="1592"/>
      <c r="C71" s="1589"/>
      <c r="D71" s="759"/>
      <c r="E71" s="758"/>
      <c r="F71" s="736"/>
      <c r="G71" s="758"/>
      <c r="H71" s="749"/>
      <c r="I71" s="757" t="str">
        <f>Translation!$B$521</f>
        <v xml:space="preserve">Vor Besicherung </v>
      </c>
      <c r="J71" s="757" t="str">
        <f>Translation!$B$522</f>
        <v>Nach Besicherung</v>
      </c>
      <c r="K71" s="749"/>
      <c r="L71" s="757" t="str">
        <f>Translation!$B$524</f>
        <v>Vor Garantien und Kreditderivate</v>
      </c>
      <c r="M71" s="757" t="str">
        <f>Translation!$B$526</f>
        <v>Nach Garantien und Kred.-.Der.</v>
      </c>
      <c r="N71" s="745"/>
      <c r="O71" s="756"/>
      <c r="P71" s="756"/>
      <c r="Q71" s="731"/>
      <c r="R71" s="688"/>
    </row>
    <row r="72" spans="1:18" ht="15.75" x14ac:dyDescent="0.25">
      <c r="A72" s="753"/>
      <c r="B72" s="752" t="str">
        <f>Translation!B482</f>
        <v>Risikogewicht 20% (ohne ungeratete Positionen)</v>
      </c>
      <c r="C72" s="1318">
        <v>0.2</v>
      </c>
      <c r="D72" s="751"/>
      <c r="E72" s="824"/>
      <c r="F72" s="823"/>
      <c r="G72" s="1319">
        <v>0</v>
      </c>
      <c r="H72" s="749"/>
      <c r="I72" s="1319"/>
      <c r="J72" s="1319"/>
      <c r="K72" s="749"/>
      <c r="L72" s="1319"/>
      <c r="M72" s="1319"/>
      <c r="N72" s="745"/>
      <c r="O72" s="828">
        <f t="shared" ref="O72:O78" si="6">(G72+I72+L72)*C72</f>
        <v>0</v>
      </c>
      <c r="P72" s="828">
        <f t="shared" ref="P72:P78" si="7">(G72+J72+M72)*C72</f>
        <v>0</v>
      </c>
      <c r="Q72" s="731"/>
      <c r="R72" s="688"/>
    </row>
    <row r="73" spans="1:18" ht="15.75" x14ac:dyDescent="0.25">
      <c r="A73" s="753"/>
      <c r="B73" s="785" t="str">
        <f>Translation!B483</f>
        <v>Risikogewicht 50% (ohne ungeratete Positionen)</v>
      </c>
      <c r="C73" s="1318">
        <v>0.5</v>
      </c>
      <c r="D73" s="751"/>
      <c r="E73" s="824"/>
      <c r="F73" s="823"/>
      <c r="G73" s="1319">
        <v>0</v>
      </c>
      <c r="H73" s="749"/>
      <c r="I73" s="1319"/>
      <c r="J73" s="1319"/>
      <c r="K73" s="749"/>
      <c r="L73" s="1319"/>
      <c r="M73" s="1319"/>
      <c r="N73" s="745"/>
      <c r="O73" s="828">
        <f t="shared" si="6"/>
        <v>0</v>
      </c>
      <c r="P73" s="828">
        <f t="shared" si="7"/>
        <v>0</v>
      </c>
      <c r="Q73" s="731"/>
      <c r="R73" s="688"/>
    </row>
    <row r="74" spans="1:18" ht="15.75" x14ac:dyDescent="0.25">
      <c r="A74" s="789"/>
      <c r="B74" s="785" t="str">
        <f>Translation!B484</f>
        <v>Risikogewicht 100%</v>
      </c>
      <c r="C74" s="1318">
        <v>1</v>
      </c>
      <c r="D74" s="788"/>
      <c r="E74" s="822"/>
      <c r="F74" s="823"/>
      <c r="G74" s="1319">
        <v>0</v>
      </c>
      <c r="H74" s="749"/>
      <c r="I74" s="1319"/>
      <c r="J74" s="1319"/>
      <c r="K74" s="749"/>
      <c r="L74" s="1319"/>
      <c r="M74" s="1319"/>
      <c r="N74" s="745"/>
      <c r="O74" s="828">
        <f t="shared" si="6"/>
        <v>0</v>
      </c>
      <c r="P74" s="828">
        <f t="shared" si="7"/>
        <v>0</v>
      </c>
      <c r="Q74" s="731"/>
      <c r="R74" s="688"/>
    </row>
    <row r="75" spans="1:18" ht="15.75" x14ac:dyDescent="0.25">
      <c r="A75" s="789"/>
      <c r="B75" s="785" t="str">
        <f>Translation!B474</f>
        <v>Risikogewicht 150%</v>
      </c>
      <c r="C75" s="1318">
        <v>1.5</v>
      </c>
      <c r="D75" s="788"/>
      <c r="E75" s="822"/>
      <c r="F75" s="823"/>
      <c r="G75" s="1319">
        <v>0</v>
      </c>
      <c r="H75" s="749"/>
      <c r="I75" s="1319"/>
      <c r="J75" s="1319"/>
      <c r="K75" s="749"/>
      <c r="L75" s="1319"/>
      <c r="M75" s="1319"/>
      <c r="N75" s="745"/>
      <c r="O75" s="828">
        <f>(G75+I75+L75)*C75</f>
        <v>0</v>
      </c>
      <c r="P75" s="828">
        <f>(G75+J75+M75)*C75</f>
        <v>0</v>
      </c>
      <c r="Q75" s="731"/>
      <c r="R75" s="688"/>
    </row>
    <row r="76" spans="1:18" ht="15.75" x14ac:dyDescent="0.25">
      <c r="A76" s="789"/>
      <c r="B76" s="785" t="str">
        <f>Translation!B485</f>
        <v>nicht geratet 20%</v>
      </c>
      <c r="C76" s="1318">
        <v>0.2</v>
      </c>
      <c r="D76" s="788"/>
      <c r="E76" s="746"/>
      <c r="F76" s="736"/>
      <c r="G76" s="1319">
        <v>0</v>
      </c>
      <c r="H76" s="749"/>
      <c r="I76" s="1319"/>
      <c r="J76" s="1319"/>
      <c r="K76" s="749"/>
      <c r="L76" s="1319"/>
      <c r="M76" s="1319"/>
      <c r="N76" s="745"/>
      <c r="O76" s="828">
        <f>(G76+I76+L76)*C76</f>
        <v>0</v>
      </c>
      <c r="P76" s="828">
        <f t="shared" si="7"/>
        <v>0</v>
      </c>
      <c r="Q76" s="731"/>
      <c r="R76" s="688"/>
    </row>
    <row r="77" spans="1:18" ht="15.75" x14ac:dyDescent="0.25">
      <c r="A77" s="789"/>
      <c r="B77" s="785" t="str">
        <f>Translation!B486</f>
        <v>nicht geratet 50%</v>
      </c>
      <c r="C77" s="1318">
        <v>0.5</v>
      </c>
      <c r="D77" s="788"/>
      <c r="E77" s="746"/>
      <c r="F77" s="736"/>
      <c r="G77" s="1319">
        <v>0</v>
      </c>
      <c r="H77" s="749"/>
      <c r="I77" s="1319"/>
      <c r="J77" s="1319"/>
      <c r="K77" s="749"/>
      <c r="L77" s="1319"/>
      <c r="M77" s="1319"/>
      <c r="N77" s="745"/>
      <c r="O77" s="828">
        <f t="shared" si="6"/>
        <v>0</v>
      </c>
      <c r="P77" s="828">
        <f t="shared" si="7"/>
        <v>0</v>
      </c>
      <c r="Q77" s="731"/>
      <c r="R77" s="688"/>
    </row>
    <row r="78" spans="1:18" ht="15.75" x14ac:dyDescent="0.25">
      <c r="A78" s="748"/>
      <c r="B78" s="1188"/>
      <c r="C78" s="815"/>
      <c r="D78" s="747"/>
      <c r="E78" s="746"/>
      <c r="F78" s="736"/>
      <c r="G78" s="1189"/>
      <c r="H78" s="926"/>
      <c r="I78" s="1189"/>
      <c r="J78" s="1189"/>
      <c r="K78" s="926"/>
      <c r="L78" s="1189"/>
      <c r="M78" s="1189"/>
      <c r="N78" s="745"/>
      <c r="O78" s="828">
        <f t="shared" si="6"/>
        <v>0</v>
      </c>
      <c r="P78" s="828">
        <f t="shared" si="7"/>
        <v>0</v>
      </c>
      <c r="Q78" s="731"/>
      <c r="R78" s="688"/>
    </row>
    <row r="79" spans="1:18" ht="15.75" customHeight="1" x14ac:dyDescent="0.25">
      <c r="A79" s="744"/>
      <c r="B79" s="740"/>
      <c r="C79" s="777"/>
      <c r="D79" s="740"/>
      <c r="E79" s="739"/>
      <c r="F79" s="736"/>
      <c r="G79" s="739"/>
      <c r="H79" s="740"/>
      <c r="I79" s="739"/>
      <c r="J79" s="739"/>
      <c r="K79" s="739"/>
      <c r="L79" s="739"/>
      <c r="M79" s="739"/>
      <c r="N79" s="739"/>
      <c r="O79" s="739"/>
      <c r="P79" s="739"/>
      <c r="Q79" s="776"/>
      <c r="R79" s="688"/>
    </row>
    <row r="80" spans="1:18" ht="15.75" x14ac:dyDescent="0.25">
      <c r="A80" s="743"/>
      <c r="B80" s="814"/>
      <c r="C80" s="741"/>
      <c r="D80" s="741"/>
      <c r="E80" s="742"/>
      <c r="F80" s="736"/>
      <c r="G80" s="741"/>
      <c r="H80" s="694"/>
      <c r="I80" s="733"/>
      <c r="J80" s="733"/>
      <c r="K80" s="733"/>
      <c r="L80" s="733"/>
      <c r="M80" s="733"/>
      <c r="N80" s="733"/>
      <c r="O80" s="733"/>
      <c r="P80" s="733"/>
      <c r="Q80" s="731"/>
      <c r="R80" s="688"/>
    </row>
    <row r="81" spans="1:18" ht="15.75" x14ac:dyDescent="0.25">
      <c r="A81" s="738"/>
      <c r="B81" s="819" t="str">
        <f>Translation!$B$516</f>
        <v>Summe der risikogewichteten Positionen vor CRM</v>
      </c>
      <c r="C81" s="737">
        <f>SUM(O72:O78)</f>
        <v>0</v>
      </c>
      <c r="D81" s="732"/>
      <c r="E81" s="732"/>
      <c r="F81" s="732"/>
      <c r="G81" s="735"/>
      <c r="H81" s="740"/>
      <c r="I81" s="733"/>
      <c r="J81" s="733"/>
      <c r="K81" s="733"/>
      <c r="L81" s="733"/>
      <c r="M81" s="733"/>
      <c r="N81" s="733"/>
      <c r="O81" s="739"/>
      <c r="P81" s="733"/>
      <c r="Q81" s="731"/>
      <c r="R81" s="688"/>
    </row>
    <row r="82" spans="1:18" ht="15.75" x14ac:dyDescent="0.25">
      <c r="A82" s="738"/>
      <c r="B82" s="819" t="str">
        <f>Translation!$B$517</f>
        <v>Summe der risikogewichteten Positionen nach CRM</v>
      </c>
      <c r="C82" s="737">
        <f>SUM(P72:P78)</f>
        <v>0</v>
      </c>
      <c r="D82" s="732"/>
      <c r="E82" s="732"/>
      <c r="F82" s="732"/>
      <c r="G82" s="735"/>
      <c r="H82" s="734"/>
      <c r="I82" s="733"/>
      <c r="J82" s="733"/>
      <c r="K82" s="733"/>
      <c r="L82" s="733"/>
      <c r="M82" s="733"/>
      <c r="N82" s="733"/>
      <c r="O82" s="732"/>
      <c r="P82" s="732"/>
      <c r="Q82" s="731"/>
      <c r="R82" s="688"/>
    </row>
    <row r="83" spans="1:18" ht="15.75" x14ac:dyDescent="0.25">
      <c r="A83" s="730"/>
      <c r="B83" s="818"/>
      <c r="C83" s="728"/>
      <c r="D83" s="728"/>
      <c r="E83" s="728"/>
      <c r="F83" s="728"/>
      <c r="G83" s="690"/>
      <c r="H83" s="690"/>
      <c r="I83" s="728"/>
      <c r="J83" s="728"/>
      <c r="K83" s="728"/>
      <c r="L83" s="728"/>
      <c r="M83" s="728"/>
      <c r="N83" s="728"/>
      <c r="O83" s="728"/>
      <c r="P83" s="728"/>
      <c r="Q83" s="727"/>
      <c r="R83" s="688"/>
    </row>
    <row r="84" spans="1:18" ht="15.75" x14ac:dyDescent="0.25">
      <c r="A84" s="775" t="str">
        <f>Translation!B487</f>
        <v>5 Gemeinschaftseinrichtungen</v>
      </c>
      <c r="B84" s="817"/>
      <c r="C84" s="772"/>
      <c r="D84" s="733"/>
      <c r="E84" s="772"/>
      <c r="F84" s="772"/>
      <c r="G84" s="773"/>
      <c r="H84" s="773"/>
      <c r="I84" s="772"/>
      <c r="J84" s="772"/>
      <c r="K84" s="772"/>
      <c r="L84" s="772"/>
      <c r="M84" s="772"/>
      <c r="N84" s="772"/>
      <c r="O84" s="772"/>
      <c r="P84" s="772"/>
      <c r="Q84" s="771"/>
      <c r="R84" s="688"/>
    </row>
    <row r="85" spans="1:18" ht="15.75" x14ac:dyDescent="0.25">
      <c r="A85" s="707"/>
      <c r="B85" s="770"/>
      <c r="C85" s="733"/>
      <c r="D85" s="733"/>
      <c r="E85" s="733"/>
      <c r="F85" s="733"/>
      <c r="G85" s="694"/>
      <c r="H85" s="694"/>
      <c r="I85" s="733"/>
      <c r="J85" s="733"/>
      <c r="K85" s="733"/>
      <c r="L85" s="733"/>
      <c r="M85" s="733"/>
      <c r="N85" s="733"/>
      <c r="O85" s="733"/>
      <c r="P85" s="733"/>
      <c r="Q85" s="731"/>
      <c r="R85" s="688"/>
    </row>
    <row r="86" spans="1:18" ht="15.75" hidden="1" x14ac:dyDescent="0.25">
      <c r="A86" s="748"/>
      <c r="B86" s="767" t="s">
        <v>605</v>
      </c>
      <c r="C86" s="769"/>
      <c r="D86" s="736"/>
      <c r="E86" s="736"/>
      <c r="F86" s="736"/>
      <c r="G86" s="766"/>
      <c r="H86" s="766"/>
      <c r="I86" s="733"/>
      <c r="J86" s="733"/>
      <c r="K86" s="733"/>
      <c r="L86" s="733"/>
      <c r="M86" s="733"/>
      <c r="N86" s="733"/>
      <c r="O86" s="736"/>
      <c r="P86" s="733"/>
      <c r="Q86" s="731"/>
      <c r="R86" s="688"/>
    </row>
    <row r="87" spans="1:18" ht="15.75" hidden="1" x14ac:dyDescent="0.25">
      <c r="A87" s="748"/>
      <c r="B87" s="767" t="s">
        <v>604</v>
      </c>
      <c r="C87" s="768"/>
      <c r="D87" s="736"/>
      <c r="E87" s="736"/>
      <c r="F87" s="736"/>
      <c r="G87" s="766"/>
      <c r="H87" s="766"/>
      <c r="I87" s="733"/>
      <c r="J87" s="733"/>
      <c r="K87" s="733"/>
      <c r="L87" s="733"/>
      <c r="M87" s="733"/>
      <c r="N87" s="733"/>
      <c r="O87" s="736"/>
      <c r="P87" s="733"/>
      <c r="Q87" s="731"/>
      <c r="R87" s="688"/>
    </row>
    <row r="88" spans="1:18" ht="15.75" hidden="1" x14ac:dyDescent="0.25">
      <c r="A88" s="748"/>
      <c r="B88" s="792"/>
      <c r="C88" s="736"/>
      <c r="D88" s="736"/>
      <c r="E88" s="736"/>
      <c r="F88" s="736"/>
      <c r="G88" s="766"/>
      <c r="H88" s="694"/>
      <c r="I88" s="2543"/>
      <c r="J88" s="2543"/>
      <c r="K88" s="733"/>
      <c r="L88" s="765"/>
      <c r="M88" s="733"/>
      <c r="N88" s="733"/>
      <c r="O88" s="733"/>
      <c r="P88" s="733"/>
      <c r="Q88" s="731"/>
      <c r="R88" s="688"/>
    </row>
    <row r="89" spans="1:18" ht="38.25" x14ac:dyDescent="0.25">
      <c r="A89" s="2541"/>
      <c r="B89" s="1591" t="str">
        <f>Translation!$B$518</f>
        <v>Kategorie</v>
      </c>
      <c r="C89" s="1588" t="str">
        <f>Translation!$B$519</f>
        <v>Risikogewicht</v>
      </c>
      <c r="D89" s="759"/>
      <c r="E89" s="761" t="s">
        <v>566</v>
      </c>
      <c r="F89" s="736"/>
      <c r="G89" s="761" t="str">
        <f>Translation!$B$520</f>
        <v>Positionen ohne Kreditrisikominderung (CRM)</v>
      </c>
      <c r="H89" s="763"/>
      <c r="J89" s="762" t="str">
        <f>Translation!$B$523</f>
        <v>Besicherte Positionen</v>
      </c>
      <c r="K89" s="763"/>
      <c r="M89" s="762" t="str">
        <f>Translation!$B$525</f>
        <v>Mit Garantien oder Kred.-Der. besicherte Positionen</v>
      </c>
      <c r="N89" s="745"/>
      <c r="O89" s="761" t="str">
        <f>Translation!$B$527</f>
        <v>Risikogew. Positionen vor CRM</v>
      </c>
      <c r="P89" s="761" t="str">
        <f>Translation!$B$528</f>
        <v>Risikogew. Positionen nach CRM</v>
      </c>
      <c r="Q89" s="731"/>
      <c r="R89" s="688"/>
    </row>
    <row r="90" spans="1:18" ht="15.75" x14ac:dyDescent="0.25">
      <c r="A90" s="2541"/>
      <c r="B90" s="1592"/>
      <c r="C90" s="1589"/>
      <c r="D90" s="759"/>
      <c r="E90" s="758"/>
      <c r="F90" s="736"/>
      <c r="G90" s="758"/>
      <c r="H90" s="749"/>
      <c r="I90" s="757" t="str">
        <f>Translation!$B$521</f>
        <v xml:space="preserve">Vor Besicherung </v>
      </c>
      <c r="J90" s="757" t="str">
        <f>Translation!$B$522</f>
        <v>Nach Besicherung</v>
      </c>
      <c r="K90" s="749"/>
      <c r="L90" s="757" t="str">
        <f>Translation!$B$524</f>
        <v>Vor Garantien und Kreditderivate</v>
      </c>
      <c r="M90" s="757" t="str">
        <f>Translation!$B$526</f>
        <v>Nach Garantien und Kred.-.Der.</v>
      </c>
      <c r="N90" s="745"/>
      <c r="O90" s="756"/>
      <c r="P90" s="756"/>
      <c r="Q90" s="731"/>
      <c r="R90" s="688"/>
    </row>
    <row r="91" spans="1:18" ht="15.75" x14ac:dyDescent="0.25">
      <c r="A91" s="789"/>
      <c r="B91" s="1590" t="str">
        <f>Translation!B488</f>
        <v>Risikogewicht 20%</v>
      </c>
      <c r="C91" s="1318">
        <v>0.2</v>
      </c>
      <c r="D91" s="788"/>
      <c r="E91" s="822"/>
      <c r="F91" s="823"/>
      <c r="G91" s="1319">
        <v>0</v>
      </c>
      <c r="H91" s="749"/>
      <c r="I91" s="1319"/>
      <c r="J91" s="1319"/>
      <c r="K91" s="749"/>
      <c r="L91" s="1319"/>
      <c r="M91" s="1319"/>
      <c r="N91" s="745"/>
      <c r="O91" s="828">
        <f t="shared" ref="O91:O96" si="8">(G91+I91+L91)*C91</f>
        <v>0</v>
      </c>
      <c r="P91" s="828">
        <f t="shared" ref="P91:P96" si="9">(G91+J91+M91)*C91</f>
        <v>0</v>
      </c>
      <c r="Q91" s="731"/>
      <c r="R91" s="688"/>
    </row>
    <row r="92" spans="1:18" ht="15.75" x14ac:dyDescent="0.25">
      <c r="A92" s="789"/>
      <c r="B92" s="809" t="str">
        <f>Translation!B489</f>
        <v>Risikogewicht 50%</v>
      </c>
      <c r="C92" s="1318">
        <v>0.5</v>
      </c>
      <c r="D92" s="788"/>
      <c r="E92" s="822"/>
      <c r="F92" s="823"/>
      <c r="G92" s="1319">
        <v>0</v>
      </c>
      <c r="H92" s="749"/>
      <c r="I92" s="1319"/>
      <c r="J92" s="1319"/>
      <c r="K92" s="749"/>
      <c r="L92" s="1319"/>
      <c r="M92" s="1319"/>
      <c r="N92" s="745"/>
      <c r="O92" s="828">
        <f t="shared" si="8"/>
        <v>0</v>
      </c>
      <c r="P92" s="828">
        <f t="shared" si="9"/>
        <v>0</v>
      </c>
      <c r="Q92" s="731"/>
      <c r="R92" s="688"/>
    </row>
    <row r="93" spans="1:18" ht="15.75" x14ac:dyDescent="0.25">
      <c r="A93" s="789"/>
      <c r="B93" s="809" t="str">
        <f>Translation!B490</f>
        <v>Risikogewicht 100% (ohne ungeratete Positionen)</v>
      </c>
      <c r="C93" s="1318">
        <v>1</v>
      </c>
      <c r="D93" s="788"/>
      <c r="E93" s="822"/>
      <c r="F93" s="823"/>
      <c r="G93" s="1319">
        <v>0</v>
      </c>
      <c r="H93" s="749"/>
      <c r="I93" s="1319"/>
      <c r="J93" s="1319"/>
      <c r="K93" s="749"/>
      <c r="L93" s="1319"/>
      <c r="M93" s="1319"/>
      <c r="N93" s="745"/>
      <c r="O93" s="828">
        <f t="shared" si="8"/>
        <v>0</v>
      </c>
      <c r="P93" s="828">
        <f t="shared" si="9"/>
        <v>0</v>
      </c>
      <c r="Q93" s="731"/>
      <c r="R93" s="688"/>
    </row>
    <row r="94" spans="1:18" ht="15.75" x14ac:dyDescent="0.25">
      <c r="A94" s="789"/>
      <c r="B94" s="809" t="str">
        <f>Translation!B474</f>
        <v>Risikogewicht 150%</v>
      </c>
      <c r="C94" s="1318">
        <v>1.5</v>
      </c>
      <c r="D94" s="788"/>
      <c r="E94" s="822"/>
      <c r="F94" s="823"/>
      <c r="G94" s="1319">
        <v>0</v>
      </c>
      <c r="H94" s="749"/>
      <c r="I94" s="1319"/>
      <c r="J94" s="1319"/>
      <c r="K94" s="749"/>
      <c r="L94" s="1319"/>
      <c r="M94" s="1319"/>
      <c r="N94" s="745"/>
      <c r="O94" s="828">
        <f t="shared" si="8"/>
        <v>0</v>
      </c>
      <c r="P94" s="828">
        <f t="shared" si="9"/>
        <v>0</v>
      </c>
      <c r="Q94" s="731"/>
      <c r="R94" s="688"/>
    </row>
    <row r="95" spans="1:18" ht="15.75" x14ac:dyDescent="0.25">
      <c r="A95" s="789"/>
      <c r="B95" s="809" t="str">
        <f>Translation!B491</f>
        <v>nicht geratet 100%</v>
      </c>
      <c r="C95" s="1318">
        <v>1</v>
      </c>
      <c r="D95" s="788"/>
      <c r="E95" s="822"/>
      <c r="F95" s="823"/>
      <c r="G95" s="1319">
        <v>0</v>
      </c>
      <c r="H95" s="749"/>
      <c r="I95" s="1319"/>
      <c r="J95" s="1319"/>
      <c r="K95" s="749"/>
      <c r="L95" s="1319"/>
      <c r="M95" s="1319"/>
      <c r="N95" s="745"/>
      <c r="O95" s="828">
        <f t="shared" si="8"/>
        <v>0</v>
      </c>
      <c r="P95" s="828">
        <f t="shared" si="9"/>
        <v>0</v>
      </c>
      <c r="Q95" s="731"/>
      <c r="R95" s="688"/>
    </row>
    <row r="96" spans="1:18" ht="15.75" x14ac:dyDescent="0.25">
      <c r="A96" s="748"/>
      <c r="B96" s="1188"/>
      <c r="C96" s="815"/>
      <c r="D96" s="747"/>
      <c r="E96" s="822"/>
      <c r="F96" s="823"/>
      <c r="G96" s="1189"/>
      <c r="H96" s="926"/>
      <c r="I96" s="1189"/>
      <c r="J96" s="1189"/>
      <c r="K96" s="926"/>
      <c r="L96" s="1189"/>
      <c r="M96" s="1189"/>
      <c r="N96" s="745"/>
      <c r="O96" s="828">
        <f t="shared" si="8"/>
        <v>0</v>
      </c>
      <c r="P96" s="828">
        <f t="shared" si="9"/>
        <v>0</v>
      </c>
      <c r="Q96" s="731"/>
      <c r="R96" s="688"/>
    </row>
    <row r="97" spans="1:18" ht="15.75" x14ac:dyDescent="0.25">
      <c r="A97" s="744"/>
      <c r="B97" s="740"/>
      <c r="C97" s="739"/>
      <c r="D97" s="739"/>
      <c r="E97" s="739"/>
      <c r="F97" s="736"/>
      <c r="G97" s="740"/>
      <c r="H97" s="740"/>
      <c r="I97" s="739"/>
      <c r="J97" s="739"/>
      <c r="K97" s="739"/>
      <c r="L97" s="739"/>
      <c r="M97" s="733"/>
      <c r="N97" s="733"/>
      <c r="O97" s="739"/>
      <c r="P97" s="739"/>
      <c r="Q97" s="731"/>
      <c r="R97" s="688"/>
    </row>
    <row r="98" spans="1:18" ht="15.75" x14ac:dyDescent="0.25">
      <c r="A98" s="743"/>
      <c r="B98" s="814"/>
      <c r="C98" s="741"/>
      <c r="D98" s="741"/>
      <c r="E98" s="742"/>
      <c r="F98" s="736"/>
      <c r="G98" s="741"/>
      <c r="H98" s="694"/>
      <c r="I98" s="733"/>
      <c r="J98" s="733"/>
      <c r="K98" s="733"/>
      <c r="L98" s="733"/>
      <c r="M98" s="733"/>
      <c r="N98" s="733"/>
      <c r="O98" s="733"/>
      <c r="P98" s="733"/>
      <c r="Q98" s="731"/>
      <c r="R98" s="688"/>
    </row>
    <row r="99" spans="1:18" ht="15.75" x14ac:dyDescent="0.25">
      <c r="A99" s="738"/>
      <c r="B99" s="819" t="str">
        <f>Translation!$B$516</f>
        <v>Summe der risikogewichteten Positionen vor CRM</v>
      </c>
      <c r="C99" s="737">
        <f>SUM(O91:O96)</f>
        <v>0</v>
      </c>
      <c r="D99" s="732"/>
      <c r="E99" s="732"/>
      <c r="F99" s="736"/>
      <c r="G99" s="735"/>
      <c r="H99" s="740"/>
      <c r="I99" s="733"/>
      <c r="J99" s="733"/>
      <c r="K99" s="733"/>
      <c r="L99" s="733"/>
      <c r="M99" s="733"/>
      <c r="N99" s="733"/>
      <c r="O99" s="739"/>
      <c r="P99" s="733"/>
      <c r="Q99" s="731"/>
      <c r="R99" s="688"/>
    </row>
    <row r="100" spans="1:18" ht="15.75" x14ac:dyDescent="0.25">
      <c r="A100" s="738"/>
      <c r="B100" s="819" t="str">
        <f>Translation!$B$517</f>
        <v>Summe der risikogewichteten Positionen nach CRM</v>
      </c>
      <c r="C100" s="737">
        <f>SUM(P91:P96)</f>
        <v>0</v>
      </c>
      <c r="D100" s="732"/>
      <c r="E100" s="732"/>
      <c r="F100" s="732"/>
      <c r="G100" s="735"/>
      <c r="H100" s="734"/>
      <c r="I100" s="733"/>
      <c r="J100" s="733"/>
      <c r="K100" s="733"/>
      <c r="L100" s="733"/>
      <c r="M100" s="733"/>
      <c r="N100" s="733"/>
      <c r="O100" s="732"/>
      <c r="P100" s="732"/>
      <c r="Q100" s="731"/>
      <c r="R100" s="688"/>
    </row>
    <row r="101" spans="1:18" ht="15.75" x14ac:dyDescent="0.25">
      <c r="A101" s="730"/>
      <c r="B101" s="818"/>
      <c r="C101" s="728"/>
      <c r="D101" s="728"/>
      <c r="E101" s="728"/>
      <c r="F101" s="728"/>
      <c r="G101" s="690"/>
      <c r="H101" s="690"/>
      <c r="I101" s="728"/>
      <c r="J101" s="728"/>
      <c r="K101" s="728"/>
      <c r="L101" s="728"/>
      <c r="M101" s="728"/>
      <c r="N101" s="728"/>
      <c r="O101" s="728"/>
      <c r="P101" s="728"/>
      <c r="Q101" s="727"/>
      <c r="R101" s="688"/>
    </row>
    <row r="102" spans="1:18" ht="15.75" x14ac:dyDescent="0.25">
      <c r="A102" s="775" t="str">
        <f>Translation!B492</f>
        <v>6 Börsen und Clearinghäuser</v>
      </c>
      <c r="B102" s="817"/>
      <c r="C102" s="773"/>
      <c r="D102" s="694"/>
      <c r="E102" s="773"/>
      <c r="F102" s="773"/>
      <c r="G102" s="773"/>
      <c r="H102" s="773"/>
      <c r="I102" s="826"/>
      <c r="J102" s="825"/>
      <c r="K102" s="825"/>
      <c r="L102" s="825"/>
      <c r="M102" s="825"/>
      <c r="N102" s="825"/>
      <c r="O102" s="825"/>
      <c r="P102" s="825"/>
      <c r="Q102" s="771"/>
      <c r="R102" s="688"/>
    </row>
    <row r="103" spans="1:18" ht="15.75" x14ac:dyDescent="0.25">
      <c r="A103" s="748"/>
      <c r="B103" s="770"/>
      <c r="C103" s="694"/>
      <c r="D103" s="694"/>
      <c r="E103" s="694"/>
      <c r="F103" s="694"/>
      <c r="G103" s="694"/>
      <c r="H103" s="694"/>
      <c r="I103" s="800"/>
      <c r="J103" s="798"/>
      <c r="K103" s="798"/>
      <c r="L103" s="798"/>
      <c r="M103" s="798"/>
      <c r="N103" s="798"/>
      <c r="O103" s="798"/>
      <c r="P103" s="798"/>
      <c r="Q103" s="731"/>
      <c r="R103" s="688"/>
    </row>
    <row r="104" spans="1:18" ht="15.75" hidden="1" x14ac:dyDescent="0.25">
      <c r="A104" s="748"/>
      <c r="B104" s="813" t="s">
        <v>585</v>
      </c>
      <c r="C104" s="812"/>
      <c r="D104" s="766"/>
      <c r="E104" s="766"/>
      <c r="F104" s="766"/>
      <c r="G104" s="686"/>
      <c r="H104" s="694"/>
      <c r="I104" s="733"/>
      <c r="J104" s="733"/>
      <c r="K104" s="733"/>
      <c r="L104" s="733"/>
      <c r="M104" s="798"/>
      <c r="N104" s="798"/>
      <c r="O104" s="798"/>
      <c r="P104" s="798"/>
      <c r="Q104" s="731"/>
      <c r="R104" s="688"/>
    </row>
    <row r="105" spans="1:18" ht="15.75" hidden="1" x14ac:dyDescent="0.25">
      <c r="A105" s="748"/>
      <c r="B105" s="811" t="s">
        <v>584</v>
      </c>
      <c r="C105" s="812"/>
      <c r="D105" s="766"/>
      <c r="E105" s="766"/>
      <c r="F105" s="766"/>
      <c r="G105" s="745"/>
      <c r="H105" s="745"/>
      <c r="I105" s="745"/>
      <c r="J105" s="798"/>
      <c r="K105" s="798"/>
      <c r="L105" s="798"/>
      <c r="M105" s="798"/>
      <c r="N105" s="798"/>
      <c r="O105" s="798"/>
      <c r="P105" s="798"/>
      <c r="Q105" s="731"/>
      <c r="R105" s="688"/>
    </row>
    <row r="106" spans="1:18" ht="15.75" hidden="1" x14ac:dyDescent="0.25">
      <c r="A106" s="2541"/>
      <c r="B106" s="792"/>
      <c r="C106" s="806"/>
      <c r="D106" s="806"/>
      <c r="E106" s="806"/>
      <c r="F106" s="766"/>
      <c r="G106" s="745"/>
      <c r="H106" s="694"/>
      <c r="I106" s="2544"/>
      <c r="J106" s="2544"/>
      <c r="K106" s="810"/>
      <c r="L106" s="2545"/>
      <c r="M106" s="2545"/>
      <c r="N106" s="798"/>
      <c r="O106" s="798"/>
      <c r="P106" s="798"/>
      <c r="Q106" s="731"/>
      <c r="R106" s="688"/>
    </row>
    <row r="107" spans="1:18" ht="36.75" customHeight="1" x14ac:dyDescent="0.25">
      <c r="A107" s="2541"/>
      <c r="B107" s="1591" t="str">
        <f>Translation!$B$518</f>
        <v>Kategorie</v>
      </c>
      <c r="C107" s="1588" t="str">
        <f>Translation!$B$519</f>
        <v>Risikogewicht</v>
      </c>
      <c r="D107" s="759"/>
      <c r="E107" s="761" t="s">
        <v>566</v>
      </c>
      <c r="F107" s="736"/>
      <c r="G107" s="761" t="str">
        <f>Translation!$B$520</f>
        <v>Positionen ohne Kreditrisikominderung (CRM)</v>
      </c>
      <c r="H107" s="763"/>
      <c r="J107" s="762" t="str">
        <f>Translation!$B$523</f>
        <v>Besicherte Positionen</v>
      </c>
      <c r="K107" s="763"/>
      <c r="M107" s="762" t="str">
        <f>Translation!$B$525</f>
        <v>Mit Garantien oder Kred.-Der. besicherte Positionen</v>
      </c>
      <c r="N107" s="745"/>
      <c r="O107" s="761" t="str">
        <f>Translation!$B$527</f>
        <v>Risikogew. Positionen vor CRM</v>
      </c>
      <c r="P107" s="761" t="str">
        <f>Translation!$B$528</f>
        <v>Risikogew. Positionen nach CRM</v>
      </c>
      <c r="Q107" s="731"/>
      <c r="R107" s="688"/>
    </row>
    <row r="108" spans="1:18" ht="22.5" customHeight="1" x14ac:dyDescent="0.25">
      <c r="A108" s="753"/>
      <c r="B108" s="1592"/>
      <c r="C108" s="1589"/>
      <c r="D108" s="759"/>
      <c r="E108" s="758"/>
      <c r="F108" s="736"/>
      <c r="G108" s="758"/>
      <c r="H108" s="749"/>
      <c r="I108" s="757" t="str">
        <f>Translation!$B$521</f>
        <v xml:space="preserve">Vor Besicherung </v>
      </c>
      <c r="J108" s="757" t="str">
        <f>Translation!$B$522</f>
        <v>Nach Besicherung</v>
      </c>
      <c r="K108" s="749"/>
      <c r="L108" s="757" t="str">
        <f>Translation!$B$524</f>
        <v>Vor Garantien und Kreditderivate</v>
      </c>
      <c r="M108" s="757" t="str">
        <f>Translation!$B$526</f>
        <v>Nach Garantien und Kred.-.Der.</v>
      </c>
      <c r="N108" s="745"/>
      <c r="O108" s="756"/>
      <c r="P108" s="756"/>
      <c r="Q108" s="731"/>
      <c r="R108" s="688"/>
    </row>
    <row r="109" spans="1:18" ht="15.75" x14ac:dyDescent="0.25">
      <c r="A109" s="753"/>
      <c r="B109" s="752" t="str">
        <f>Translation!B493</f>
        <v>Risikogewicht 0%</v>
      </c>
      <c r="C109" s="1318">
        <v>0</v>
      </c>
      <c r="D109" s="806"/>
      <c r="E109" s="824"/>
      <c r="F109" s="823"/>
      <c r="G109" s="1319">
        <v>0</v>
      </c>
      <c r="H109" s="749"/>
      <c r="I109" s="1319"/>
      <c r="J109" s="1319"/>
      <c r="K109" s="749"/>
      <c r="L109" s="1319"/>
      <c r="M109" s="1319"/>
      <c r="N109" s="745"/>
      <c r="O109" s="828">
        <f t="shared" ref="O109:O116" si="10">(G109+I109+L109)*C109</f>
        <v>0</v>
      </c>
      <c r="P109" s="828">
        <f t="shared" ref="P109:P116" si="11">(G109+J109+M109)*C109</f>
        <v>0</v>
      </c>
      <c r="Q109" s="731"/>
      <c r="R109" s="688"/>
    </row>
    <row r="110" spans="1:18" ht="15.75" x14ac:dyDescent="0.25">
      <c r="A110" s="753"/>
      <c r="B110" s="752" t="str">
        <f>Translation!B494</f>
        <v>Risikogewicht 2%</v>
      </c>
      <c r="C110" s="1318">
        <v>0.02</v>
      </c>
      <c r="D110" s="806"/>
      <c r="E110" s="824"/>
      <c r="F110" s="823"/>
      <c r="G110" s="1319">
        <v>0</v>
      </c>
      <c r="H110" s="749"/>
      <c r="I110" s="1319"/>
      <c r="J110" s="1319"/>
      <c r="K110" s="749"/>
      <c r="L110" s="1319"/>
      <c r="M110" s="1319"/>
      <c r="N110" s="745"/>
      <c r="O110" s="828">
        <f t="shared" si="10"/>
        <v>0</v>
      </c>
      <c r="P110" s="828">
        <f>(G110+J110+M110)*C110</f>
        <v>0</v>
      </c>
      <c r="Q110" s="731"/>
      <c r="R110" s="688"/>
    </row>
    <row r="111" spans="1:18" ht="15.75" x14ac:dyDescent="0.25">
      <c r="A111" s="789"/>
      <c r="B111" s="752" t="str">
        <f>Translation!B495</f>
        <v>Risikogewicht 20%</v>
      </c>
      <c r="C111" s="1318">
        <v>0.2</v>
      </c>
      <c r="D111" s="806"/>
      <c r="E111" s="824"/>
      <c r="F111" s="823"/>
      <c r="G111" s="1319">
        <v>0</v>
      </c>
      <c r="H111" s="749"/>
      <c r="I111" s="1319"/>
      <c r="J111" s="1319"/>
      <c r="K111" s="749"/>
      <c r="L111" s="1319"/>
      <c r="M111" s="1319"/>
      <c r="N111" s="745"/>
      <c r="O111" s="828">
        <f t="shared" si="10"/>
        <v>0</v>
      </c>
      <c r="P111" s="828">
        <f t="shared" si="11"/>
        <v>0</v>
      </c>
      <c r="Q111" s="731"/>
      <c r="R111" s="688"/>
    </row>
    <row r="112" spans="1:18" ht="15.75" x14ac:dyDescent="0.25">
      <c r="A112" s="789"/>
      <c r="B112" s="752" t="str">
        <f>Translation!B496</f>
        <v>Risikogewicht 50%</v>
      </c>
      <c r="C112" s="1318">
        <v>0.5</v>
      </c>
      <c r="D112" s="806"/>
      <c r="E112" s="822"/>
      <c r="F112" s="823"/>
      <c r="G112" s="1319">
        <v>0</v>
      </c>
      <c r="H112" s="749"/>
      <c r="I112" s="1319"/>
      <c r="J112" s="1319"/>
      <c r="K112" s="749"/>
      <c r="L112" s="1319"/>
      <c r="M112" s="1319"/>
      <c r="N112" s="745"/>
      <c r="O112" s="828">
        <f t="shared" si="10"/>
        <v>0</v>
      </c>
      <c r="P112" s="828">
        <f>(G112+J112+M112)*C112</f>
        <v>0</v>
      </c>
      <c r="Q112" s="731"/>
      <c r="R112" s="688"/>
    </row>
    <row r="113" spans="1:18" ht="15.75" x14ac:dyDescent="0.25">
      <c r="A113" s="789"/>
      <c r="B113" s="752" t="str">
        <f>Translation!B497</f>
        <v>Risikogewicht 100% (ohne ungeratete Positionen)</v>
      </c>
      <c r="C113" s="1318">
        <v>1</v>
      </c>
      <c r="D113" s="806"/>
      <c r="E113" s="746"/>
      <c r="F113" s="736"/>
      <c r="G113" s="1319">
        <v>0</v>
      </c>
      <c r="H113" s="749"/>
      <c r="I113" s="1319"/>
      <c r="J113" s="1319"/>
      <c r="K113" s="749"/>
      <c r="L113" s="1319"/>
      <c r="M113" s="1319"/>
      <c r="N113" s="745"/>
      <c r="O113" s="828">
        <f t="shared" si="10"/>
        <v>0</v>
      </c>
      <c r="P113" s="828">
        <f t="shared" si="11"/>
        <v>0</v>
      </c>
      <c r="Q113" s="731"/>
      <c r="R113" s="688"/>
    </row>
    <row r="114" spans="1:18" ht="15.75" x14ac:dyDescent="0.25">
      <c r="A114" s="789"/>
      <c r="B114" s="809" t="str">
        <f>Translation!B474</f>
        <v>Risikogewicht 150%</v>
      </c>
      <c r="C114" s="1318">
        <v>1.5</v>
      </c>
      <c r="D114" s="806"/>
      <c r="E114" s="746"/>
      <c r="F114" s="736"/>
      <c r="G114" s="1319">
        <v>0</v>
      </c>
      <c r="H114" s="749"/>
      <c r="I114" s="1319"/>
      <c r="J114" s="1319"/>
      <c r="K114" s="749"/>
      <c r="L114" s="1319"/>
      <c r="M114" s="1319"/>
      <c r="N114" s="745"/>
      <c r="O114" s="828">
        <f t="shared" si="10"/>
        <v>0</v>
      </c>
      <c r="P114" s="828">
        <f t="shared" si="11"/>
        <v>0</v>
      </c>
      <c r="Q114" s="731"/>
      <c r="R114" s="688"/>
    </row>
    <row r="115" spans="1:18" ht="15.75" x14ac:dyDescent="0.25">
      <c r="A115" s="789"/>
      <c r="B115" s="752" t="str">
        <f>Translation!B498</f>
        <v>nicht geratet 100%</v>
      </c>
      <c r="C115" s="1318">
        <v>1</v>
      </c>
      <c r="D115" s="806"/>
      <c r="E115" s="746"/>
      <c r="F115" s="736"/>
      <c r="G115" s="1319">
        <v>0</v>
      </c>
      <c r="H115" s="749"/>
      <c r="I115" s="1319"/>
      <c r="J115" s="1319"/>
      <c r="K115" s="749"/>
      <c r="L115" s="1319"/>
      <c r="M115" s="1319"/>
      <c r="N115" s="745"/>
      <c r="O115" s="828">
        <f t="shared" si="10"/>
        <v>0</v>
      </c>
      <c r="P115" s="828">
        <f t="shared" si="11"/>
        <v>0</v>
      </c>
      <c r="Q115" s="731"/>
      <c r="R115" s="688"/>
    </row>
    <row r="116" spans="1:18" ht="17.25" customHeight="1" x14ac:dyDescent="0.25">
      <c r="A116" s="744"/>
      <c r="B116" s="1188"/>
      <c r="C116" s="815"/>
      <c r="D116" s="806"/>
      <c r="E116" s="746"/>
      <c r="F116" s="736"/>
      <c r="G116" s="1189"/>
      <c r="H116" s="926"/>
      <c r="I116" s="1189"/>
      <c r="J116" s="1189"/>
      <c r="K116" s="926"/>
      <c r="L116" s="1189"/>
      <c r="M116" s="1189"/>
      <c r="N116" s="745"/>
      <c r="O116" s="828">
        <f t="shared" si="10"/>
        <v>0</v>
      </c>
      <c r="P116" s="828">
        <f t="shared" si="11"/>
        <v>0</v>
      </c>
      <c r="Q116" s="731"/>
      <c r="R116" s="688"/>
    </row>
    <row r="117" spans="1:18" ht="15.75" x14ac:dyDescent="0.25">
      <c r="A117" s="743"/>
      <c r="B117" s="740"/>
      <c r="C117" s="740"/>
      <c r="D117" s="806"/>
      <c r="E117" s="806"/>
      <c r="F117" s="766"/>
      <c r="G117" s="745"/>
      <c r="H117" s="694"/>
      <c r="I117" s="740"/>
      <c r="J117" s="740"/>
      <c r="K117" s="807"/>
      <c r="L117" s="808"/>
      <c r="M117" s="807"/>
      <c r="N117" s="807"/>
      <c r="O117" s="807"/>
      <c r="P117" s="807"/>
      <c r="Q117" s="776"/>
      <c r="R117" s="688"/>
    </row>
    <row r="118" spans="1:18" ht="15.75" x14ac:dyDescent="0.25">
      <c r="A118" s="738"/>
      <c r="B118" s="814"/>
      <c r="C118" s="741"/>
      <c r="D118" s="741"/>
      <c r="E118" s="741"/>
      <c r="F118" s="766"/>
      <c r="G118" s="745"/>
      <c r="H118" s="694"/>
      <c r="I118" s="800"/>
      <c r="J118" s="798"/>
      <c r="K118" s="798"/>
      <c r="L118" s="798"/>
      <c r="M118" s="798"/>
      <c r="N118" s="798"/>
      <c r="O118" s="798"/>
      <c r="P118" s="798"/>
      <c r="Q118" s="731"/>
      <c r="R118" s="688"/>
    </row>
    <row r="119" spans="1:18" ht="15.75" x14ac:dyDescent="0.25">
      <c r="A119" s="738"/>
      <c r="B119" s="819" t="str">
        <f>Translation!$B$516</f>
        <v>Summe der risikogewichteten Positionen vor CRM</v>
      </c>
      <c r="C119" s="801">
        <f>SUM(O109:O116)</f>
        <v>0</v>
      </c>
      <c r="D119" s="735"/>
      <c r="E119" s="735"/>
      <c r="F119" s="766"/>
      <c r="G119" s="735"/>
      <c r="H119" s="734"/>
      <c r="I119" s="800"/>
      <c r="J119" s="798"/>
      <c r="K119" s="798"/>
      <c r="L119" s="798"/>
      <c r="M119" s="798"/>
      <c r="N119" s="798"/>
      <c r="O119" s="799"/>
      <c r="P119" s="798"/>
      <c r="Q119" s="731"/>
      <c r="R119" s="688"/>
    </row>
    <row r="120" spans="1:18" ht="15.75" x14ac:dyDescent="0.25">
      <c r="A120" s="738"/>
      <c r="B120" s="819" t="str">
        <f>Translation!$B$517</f>
        <v>Summe der risikogewichteten Positionen nach CRM</v>
      </c>
      <c r="C120" s="801">
        <f>SUM(P109:P116)</f>
        <v>0</v>
      </c>
      <c r="D120" s="735"/>
      <c r="E120" s="735"/>
      <c r="F120" s="735"/>
      <c r="G120" s="735"/>
      <c r="H120" s="734"/>
      <c r="I120" s="800"/>
      <c r="J120" s="798"/>
      <c r="K120" s="798"/>
      <c r="L120" s="798"/>
      <c r="M120" s="798"/>
      <c r="N120" s="798"/>
      <c r="O120" s="799"/>
      <c r="P120" s="798"/>
      <c r="Q120" s="731"/>
      <c r="R120" s="688"/>
    </row>
    <row r="121" spans="1:18" ht="15.75" x14ac:dyDescent="0.25">
      <c r="A121" s="797"/>
      <c r="B121" s="818"/>
      <c r="C121" s="690"/>
      <c r="D121" s="690"/>
      <c r="E121" s="690"/>
      <c r="F121" s="690"/>
      <c r="G121" s="690"/>
      <c r="H121" s="690"/>
      <c r="I121" s="795"/>
      <c r="J121" s="794"/>
      <c r="K121" s="794"/>
      <c r="L121" s="794"/>
      <c r="M121" s="794"/>
      <c r="N121" s="794"/>
      <c r="O121" s="794"/>
      <c r="P121" s="794"/>
      <c r="Q121" s="727"/>
      <c r="R121" s="688"/>
    </row>
    <row r="122" spans="1:18" ht="15.75" x14ac:dyDescent="0.25">
      <c r="A122" s="775" t="str">
        <f>Translation!B499</f>
        <v xml:space="preserve">7 Unternehmen </v>
      </c>
      <c r="B122" s="817"/>
      <c r="C122" s="772"/>
      <c r="D122" s="772"/>
      <c r="E122" s="772"/>
      <c r="F122" s="772"/>
      <c r="G122" s="773"/>
      <c r="H122" s="773"/>
      <c r="I122" s="772"/>
      <c r="J122" s="772"/>
      <c r="K122" s="772"/>
      <c r="L122" s="772"/>
      <c r="M122" s="772"/>
      <c r="N122" s="772"/>
      <c r="O122" s="772"/>
      <c r="P122" s="772"/>
      <c r="Q122" s="783"/>
      <c r="R122" s="688"/>
    </row>
    <row r="123" spans="1:18" ht="15.75" x14ac:dyDescent="0.25">
      <c r="A123" s="707"/>
      <c r="B123" s="770"/>
      <c r="C123" s="733"/>
      <c r="D123" s="733"/>
      <c r="E123" s="733"/>
      <c r="F123" s="733"/>
      <c r="G123" s="694"/>
      <c r="H123" s="694"/>
      <c r="I123" s="733"/>
      <c r="J123" s="733"/>
      <c r="K123" s="733"/>
      <c r="L123" s="733"/>
      <c r="M123" s="733"/>
      <c r="N123" s="733"/>
      <c r="O123" s="733"/>
      <c r="P123" s="733"/>
      <c r="Q123" s="782"/>
      <c r="R123" s="688"/>
    </row>
    <row r="124" spans="1:18" ht="15.75" hidden="1" x14ac:dyDescent="0.25">
      <c r="A124" s="748"/>
      <c r="B124" s="767" t="s">
        <v>602</v>
      </c>
      <c r="C124" s="769"/>
      <c r="D124" s="736"/>
      <c r="E124" s="736"/>
      <c r="F124" s="736"/>
      <c r="G124" s="766"/>
      <c r="H124" s="766"/>
      <c r="I124" s="733"/>
      <c r="J124" s="733"/>
      <c r="K124" s="733"/>
      <c r="L124" s="733"/>
      <c r="M124" s="733"/>
      <c r="N124" s="733"/>
      <c r="O124" s="736"/>
      <c r="P124" s="733"/>
      <c r="Q124" s="782"/>
      <c r="R124" s="688"/>
    </row>
    <row r="125" spans="1:18" ht="15.75" hidden="1" x14ac:dyDescent="0.25">
      <c r="A125" s="748"/>
      <c r="B125" s="767" t="s">
        <v>601</v>
      </c>
      <c r="C125" s="769"/>
      <c r="D125" s="736"/>
      <c r="E125" s="736"/>
      <c r="F125" s="736"/>
      <c r="G125" s="766"/>
      <c r="H125" s="766"/>
      <c r="I125" s="733"/>
      <c r="J125" s="733"/>
      <c r="K125" s="733"/>
      <c r="L125" s="733"/>
      <c r="M125" s="733"/>
      <c r="N125" s="733"/>
      <c r="O125" s="736"/>
      <c r="P125" s="733"/>
      <c r="Q125" s="782"/>
      <c r="R125" s="688"/>
    </row>
    <row r="126" spans="1:18" ht="15.75" hidden="1" x14ac:dyDescent="0.25">
      <c r="A126" s="748"/>
      <c r="B126" s="767" t="s">
        <v>600</v>
      </c>
      <c r="C126" s="768"/>
      <c r="D126" s="736"/>
      <c r="E126" s="736"/>
      <c r="F126" s="732"/>
      <c r="G126" s="766"/>
      <c r="H126" s="766"/>
      <c r="I126" s="733"/>
      <c r="J126" s="733"/>
      <c r="K126" s="733"/>
      <c r="L126" s="733"/>
      <c r="M126" s="733"/>
      <c r="N126" s="733"/>
      <c r="O126" s="736"/>
      <c r="P126" s="733"/>
      <c r="Q126" s="782"/>
      <c r="R126" s="688"/>
    </row>
    <row r="127" spans="1:18" ht="15.75" hidden="1" x14ac:dyDescent="0.25">
      <c r="A127" s="748"/>
      <c r="B127" s="779" t="s">
        <v>599</v>
      </c>
      <c r="C127" s="781">
        <f>C126+C124</f>
        <v>0</v>
      </c>
      <c r="D127" s="780"/>
      <c r="E127" s="780"/>
      <c r="F127" s="732"/>
      <c r="G127" s="766"/>
      <c r="H127" s="766"/>
      <c r="I127" s="733"/>
      <c r="J127" s="733"/>
      <c r="K127" s="733"/>
      <c r="L127" s="733"/>
      <c r="M127" s="733"/>
      <c r="N127" s="733"/>
      <c r="O127" s="736"/>
      <c r="P127" s="733"/>
      <c r="Q127" s="731"/>
      <c r="R127" s="688"/>
    </row>
    <row r="128" spans="1:18" ht="15.75" hidden="1" x14ac:dyDescent="0.25">
      <c r="A128" s="748"/>
      <c r="B128" s="792"/>
      <c r="C128" s="736"/>
      <c r="D128" s="736"/>
      <c r="E128" s="736"/>
      <c r="F128" s="732"/>
      <c r="G128" s="766"/>
      <c r="H128" s="694"/>
      <c r="I128" s="2542"/>
      <c r="J128" s="2543"/>
      <c r="K128" s="733"/>
      <c r="L128" s="765"/>
      <c r="M128" s="765"/>
      <c r="N128" s="733"/>
      <c r="O128" s="733"/>
      <c r="P128" s="733"/>
      <c r="Q128" s="731"/>
      <c r="R128" s="688"/>
    </row>
    <row r="129" spans="1:18" ht="28.5" customHeight="1" x14ac:dyDescent="0.25">
      <c r="A129" s="2541"/>
      <c r="B129" s="1591" t="str">
        <f>Translation!$B$518</f>
        <v>Kategorie</v>
      </c>
      <c r="C129" s="1588" t="str">
        <f>Translation!$B$519</f>
        <v>Risikogewicht</v>
      </c>
      <c r="D129" s="759"/>
      <c r="E129" s="761" t="s">
        <v>566</v>
      </c>
      <c r="F129" s="736"/>
      <c r="G129" s="2538" t="str">
        <f>Translation!$B$520</f>
        <v>Positionen ohne Kreditrisikominderung (CRM)</v>
      </c>
      <c r="H129" s="763"/>
      <c r="J129" s="762" t="str">
        <f>Translation!$B$523</f>
        <v>Besicherte Positionen</v>
      </c>
      <c r="K129" s="763"/>
      <c r="M129" s="762" t="str">
        <f>Translation!$B$525</f>
        <v>Mit Garantien oder Kred.-Der. besicherte Positionen</v>
      </c>
      <c r="N129" s="745"/>
      <c r="O129" s="2538" t="str">
        <f>Translation!$B$527</f>
        <v>Risikogew. Positionen vor CRM</v>
      </c>
      <c r="P129" s="2538" t="str">
        <f>Translation!$B$528</f>
        <v>Risikogew. Positionen nach CRM</v>
      </c>
      <c r="Q129" s="731"/>
      <c r="R129" s="688"/>
    </row>
    <row r="130" spans="1:18" ht="15.75" x14ac:dyDescent="0.25">
      <c r="A130" s="2541"/>
      <c r="B130" s="1592"/>
      <c r="C130" s="1589"/>
      <c r="D130" s="759"/>
      <c r="E130" s="758"/>
      <c r="F130" s="736"/>
      <c r="G130" s="2539"/>
      <c r="H130" s="749"/>
      <c r="I130" s="757" t="str">
        <f>Translation!$B$521</f>
        <v xml:space="preserve">Vor Besicherung </v>
      </c>
      <c r="J130" s="757" t="str">
        <f>Translation!$B$522</f>
        <v>Nach Besicherung</v>
      </c>
      <c r="K130" s="749"/>
      <c r="L130" s="757" t="str">
        <f>Translation!$B$524</f>
        <v>Vor Garantien und Kreditderivate</v>
      </c>
      <c r="M130" s="757" t="str">
        <f>Translation!$B$526</f>
        <v>Nach Garantien und Kred.-.Der.</v>
      </c>
      <c r="N130" s="745"/>
      <c r="O130" s="2539"/>
      <c r="P130" s="2539"/>
      <c r="Q130" s="731"/>
      <c r="R130" s="688"/>
    </row>
    <row r="131" spans="1:18" ht="15.75" x14ac:dyDescent="0.25">
      <c r="A131" s="789"/>
      <c r="B131" s="1590" t="str">
        <f>Translation!B500</f>
        <v>Risikogewicht 20%</v>
      </c>
      <c r="C131" s="1318">
        <v>0.2</v>
      </c>
      <c r="D131" s="788"/>
      <c r="E131" s="746"/>
      <c r="F131" s="732"/>
      <c r="G131" s="1319">
        <v>0</v>
      </c>
      <c r="H131" s="749"/>
      <c r="I131" s="1319"/>
      <c r="J131" s="1319"/>
      <c r="K131" s="749"/>
      <c r="L131" s="1319"/>
      <c r="M131" s="1319"/>
      <c r="N131" s="745"/>
      <c r="O131" s="828">
        <f t="shared" ref="O131:O136" si="12">(G131+I131+L131)*C131</f>
        <v>0</v>
      </c>
      <c r="P131" s="828">
        <f t="shared" ref="P131:P136" si="13">(G131+J131+M131)*C131</f>
        <v>0</v>
      </c>
      <c r="Q131" s="731"/>
      <c r="R131" s="688"/>
    </row>
    <row r="132" spans="1:18" ht="15.75" x14ac:dyDescent="0.25">
      <c r="A132" s="789"/>
      <c r="B132" s="809" t="str">
        <f>Translation!B501</f>
        <v>Risikogewicht 50%</v>
      </c>
      <c r="C132" s="1318">
        <v>0.5</v>
      </c>
      <c r="D132" s="788"/>
      <c r="E132" s="746"/>
      <c r="F132" s="732"/>
      <c r="G132" s="1319">
        <v>0</v>
      </c>
      <c r="H132" s="749"/>
      <c r="I132" s="1319"/>
      <c r="J132" s="1319"/>
      <c r="K132" s="749"/>
      <c r="L132" s="1319"/>
      <c r="M132" s="1319"/>
      <c r="N132" s="745"/>
      <c r="O132" s="828">
        <f t="shared" si="12"/>
        <v>0</v>
      </c>
      <c r="P132" s="828">
        <f t="shared" si="13"/>
        <v>0</v>
      </c>
      <c r="Q132" s="731"/>
      <c r="R132" s="688"/>
    </row>
    <row r="133" spans="1:18" ht="17.25" customHeight="1" x14ac:dyDescent="0.25">
      <c r="A133" s="789"/>
      <c r="B133" s="809" t="str">
        <f>Translation!B502</f>
        <v>Risikogewicht 100% (ohne ungeratete Positionen)</v>
      </c>
      <c r="C133" s="1318">
        <v>1</v>
      </c>
      <c r="D133" s="788"/>
      <c r="E133" s="746"/>
      <c r="F133" s="732"/>
      <c r="G133" s="1319">
        <v>0</v>
      </c>
      <c r="H133" s="749"/>
      <c r="I133" s="1319"/>
      <c r="J133" s="1319"/>
      <c r="K133" s="749"/>
      <c r="L133" s="1319"/>
      <c r="M133" s="1319"/>
      <c r="N133" s="745"/>
      <c r="O133" s="828">
        <f t="shared" si="12"/>
        <v>0</v>
      </c>
      <c r="P133" s="828">
        <f t="shared" si="13"/>
        <v>0</v>
      </c>
      <c r="Q133" s="731"/>
      <c r="R133" s="688"/>
    </row>
    <row r="134" spans="1:18" ht="15.75" x14ac:dyDescent="0.25">
      <c r="A134" s="789"/>
      <c r="B134" s="809" t="str">
        <f>Translation!B474</f>
        <v>Risikogewicht 150%</v>
      </c>
      <c r="C134" s="1318">
        <v>1.5</v>
      </c>
      <c r="D134" s="788"/>
      <c r="E134" s="746"/>
      <c r="F134" s="732"/>
      <c r="G134" s="1319">
        <v>0</v>
      </c>
      <c r="H134" s="749"/>
      <c r="I134" s="1319"/>
      <c r="J134" s="1319"/>
      <c r="K134" s="749"/>
      <c r="L134" s="1319"/>
      <c r="M134" s="1319"/>
      <c r="N134" s="745"/>
      <c r="O134" s="828">
        <f>(G134+I134+L134)*C134</f>
        <v>0</v>
      </c>
      <c r="P134" s="828">
        <f>(G134+J134+M134)*C134</f>
        <v>0</v>
      </c>
      <c r="Q134" s="731"/>
      <c r="R134" s="688"/>
    </row>
    <row r="135" spans="1:18" ht="15.75" x14ac:dyDescent="0.25">
      <c r="A135" s="789"/>
      <c r="B135" s="809" t="str">
        <f>Translation!B503</f>
        <v>nicht geratet 100%</v>
      </c>
      <c r="C135" s="1318">
        <v>1</v>
      </c>
      <c r="D135" s="788"/>
      <c r="E135" s="746"/>
      <c r="F135" s="732"/>
      <c r="G135" s="1319">
        <v>0</v>
      </c>
      <c r="H135" s="749"/>
      <c r="I135" s="1319"/>
      <c r="J135" s="1319"/>
      <c r="K135" s="749"/>
      <c r="L135" s="1319"/>
      <c r="M135" s="1319"/>
      <c r="N135" s="745"/>
      <c r="O135" s="828">
        <f t="shared" si="12"/>
        <v>0</v>
      </c>
      <c r="P135" s="828">
        <f t="shared" si="13"/>
        <v>0</v>
      </c>
      <c r="Q135" s="731"/>
      <c r="R135" s="688"/>
    </row>
    <row r="136" spans="1:18" ht="15.75" x14ac:dyDescent="0.25">
      <c r="A136" s="748"/>
      <c r="B136" s="1188"/>
      <c r="C136" s="815"/>
      <c r="D136" s="747"/>
      <c r="E136" s="746"/>
      <c r="F136" s="732"/>
      <c r="G136" s="1189"/>
      <c r="H136" s="926"/>
      <c r="I136" s="1189"/>
      <c r="J136" s="1189"/>
      <c r="K136" s="926"/>
      <c r="L136" s="1189"/>
      <c r="M136" s="1189"/>
      <c r="N136" s="745"/>
      <c r="O136" s="828">
        <f t="shared" si="12"/>
        <v>0</v>
      </c>
      <c r="P136" s="828">
        <f t="shared" si="13"/>
        <v>0</v>
      </c>
      <c r="Q136" s="731"/>
      <c r="R136" s="688"/>
    </row>
    <row r="137" spans="1:18" ht="15.75" x14ac:dyDescent="0.25">
      <c r="A137" s="744"/>
      <c r="B137" s="740"/>
      <c r="C137" s="777"/>
      <c r="D137" s="740"/>
      <c r="E137" s="739"/>
      <c r="F137" s="732"/>
      <c r="G137" s="739"/>
      <c r="H137" s="740"/>
      <c r="I137" s="739"/>
      <c r="J137" s="739"/>
      <c r="K137" s="739"/>
      <c r="L137" s="739"/>
      <c r="M137" s="739"/>
      <c r="N137" s="739"/>
      <c r="O137" s="739"/>
      <c r="P137" s="739"/>
      <c r="Q137" s="776"/>
      <c r="R137" s="688"/>
    </row>
    <row r="138" spans="1:18" ht="15.75" x14ac:dyDescent="0.25">
      <c r="A138" s="743"/>
      <c r="B138" s="814"/>
      <c r="C138" s="741"/>
      <c r="D138" s="741"/>
      <c r="E138" s="742"/>
      <c r="F138" s="732"/>
      <c r="G138" s="741"/>
      <c r="H138" s="694"/>
      <c r="I138" s="733"/>
      <c r="J138" s="733"/>
      <c r="K138" s="733"/>
      <c r="L138" s="733"/>
      <c r="M138" s="733"/>
      <c r="N138" s="733"/>
      <c r="O138" s="733"/>
      <c r="P138" s="733"/>
      <c r="Q138" s="731"/>
      <c r="R138" s="688"/>
    </row>
    <row r="139" spans="1:18" ht="15.75" x14ac:dyDescent="0.25">
      <c r="A139" s="738"/>
      <c r="B139" s="819" t="str">
        <f>Translation!$B$516</f>
        <v>Summe der risikogewichteten Positionen vor CRM</v>
      </c>
      <c r="C139" s="737">
        <f>SUM(O131:O136)</f>
        <v>0</v>
      </c>
      <c r="D139" s="732"/>
      <c r="E139" s="732"/>
      <c r="F139" s="732"/>
      <c r="G139" s="735"/>
      <c r="H139" s="740"/>
      <c r="I139" s="733"/>
      <c r="J139" s="733"/>
      <c r="K139" s="733"/>
      <c r="L139" s="733"/>
      <c r="M139" s="733"/>
      <c r="N139" s="733"/>
      <c r="O139" s="739"/>
      <c r="P139" s="733"/>
      <c r="Q139" s="731"/>
      <c r="R139" s="688"/>
    </row>
    <row r="140" spans="1:18" ht="15.75" x14ac:dyDescent="0.25">
      <c r="A140" s="738"/>
      <c r="B140" s="819" t="str">
        <f>Translation!$B$517</f>
        <v>Summe der risikogewichteten Positionen nach CRM</v>
      </c>
      <c r="C140" s="737">
        <f>SUM(P131:P136)</f>
        <v>0</v>
      </c>
      <c r="D140" s="732"/>
      <c r="E140" s="732"/>
      <c r="F140" s="732"/>
      <c r="G140" s="735"/>
      <c r="H140" s="734"/>
      <c r="I140" s="733"/>
      <c r="J140" s="733"/>
      <c r="K140" s="733"/>
      <c r="L140" s="733"/>
      <c r="M140" s="733"/>
      <c r="N140" s="733"/>
      <c r="O140" s="732"/>
      <c r="P140" s="732"/>
      <c r="Q140" s="731"/>
      <c r="R140" s="688"/>
    </row>
    <row r="141" spans="1:18" ht="15.75" x14ac:dyDescent="0.25">
      <c r="A141" s="730"/>
      <c r="B141" s="818"/>
      <c r="C141" s="728"/>
      <c r="D141" s="728"/>
      <c r="E141" s="728"/>
      <c r="F141" s="728"/>
      <c r="G141" s="690"/>
      <c r="H141" s="690"/>
      <c r="I141" s="728"/>
      <c r="J141" s="728"/>
      <c r="K141" s="728"/>
      <c r="L141" s="728"/>
      <c r="M141" s="728"/>
      <c r="N141" s="728"/>
      <c r="O141" s="728"/>
      <c r="P141" s="728"/>
      <c r="Q141" s="727"/>
      <c r="R141" s="688"/>
    </row>
    <row r="142" spans="1:18" ht="15.75" x14ac:dyDescent="0.25">
      <c r="A142" s="748"/>
      <c r="B142" s="792"/>
      <c r="C142" s="733"/>
      <c r="D142" s="733"/>
      <c r="E142" s="733"/>
      <c r="F142" s="733"/>
      <c r="G142" s="694"/>
      <c r="H142" s="694"/>
      <c r="I142" s="733"/>
      <c r="J142" s="733"/>
      <c r="K142" s="733"/>
      <c r="L142" s="733"/>
      <c r="M142" s="733"/>
      <c r="N142" s="733"/>
      <c r="O142" s="733"/>
      <c r="P142" s="733"/>
      <c r="Q142" s="731"/>
      <c r="R142" s="688"/>
    </row>
    <row r="143" spans="1:18" ht="15.75" x14ac:dyDescent="0.25">
      <c r="A143" s="748"/>
      <c r="B143" s="792"/>
      <c r="C143" s="733"/>
      <c r="D143" s="733"/>
      <c r="E143" s="733"/>
      <c r="F143" s="733"/>
      <c r="G143" s="694"/>
      <c r="H143" s="694"/>
      <c r="I143" s="733"/>
      <c r="J143" s="733"/>
      <c r="K143" s="733"/>
      <c r="L143" s="733"/>
      <c r="M143" s="733"/>
      <c r="N143" s="733"/>
      <c r="O143" s="733"/>
      <c r="P143" s="733"/>
      <c r="Q143" s="731"/>
      <c r="R143" s="688"/>
    </row>
    <row r="144" spans="1:18" ht="15.75" x14ac:dyDescent="0.25">
      <c r="A144" s="775" t="str">
        <f>Translation!B506</f>
        <v xml:space="preserve">8 Verbriefungen </v>
      </c>
      <c r="B144" s="817"/>
      <c r="C144" s="772"/>
      <c r="D144" s="772"/>
      <c r="E144" s="772"/>
      <c r="F144" s="772"/>
      <c r="G144" s="773"/>
      <c r="H144" s="773"/>
      <c r="I144" s="772"/>
      <c r="J144" s="772"/>
      <c r="K144" s="772"/>
      <c r="L144" s="772"/>
      <c r="M144" s="772"/>
      <c r="N144" s="772"/>
      <c r="O144" s="772"/>
      <c r="P144" s="772"/>
      <c r="Q144" s="783"/>
      <c r="R144" s="688"/>
    </row>
    <row r="145" spans="1:18" ht="15.75" x14ac:dyDescent="0.25">
      <c r="A145" s="707"/>
      <c r="B145" s="1584" t="s">
        <v>1971</v>
      </c>
      <c r="C145" s="1585"/>
      <c r="D145" s="1586"/>
      <c r="E145" s="1586"/>
      <c r="F145" s="1586"/>
      <c r="G145" s="1587"/>
      <c r="H145" s="694"/>
      <c r="I145" s="733"/>
      <c r="J145" s="733"/>
      <c r="K145" s="733"/>
      <c r="L145" s="733"/>
      <c r="M145" s="733"/>
      <c r="N145" s="733"/>
      <c r="O145" s="733"/>
      <c r="P145" s="733"/>
      <c r="Q145" s="782"/>
      <c r="R145" s="688"/>
    </row>
    <row r="146" spans="1:18" ht="15.75" x14ac:dyDescent="0.25">
      <c r="A146" s="748"/>
      <c r="B146" s="792"/>
      <c r="C146" s="736"/>
      <c r="D146" s="736"/>
      <c r="E146" s="736"/>
      <c r="F146" s="732"/>
      <c r="G146" s="766"/>
      <c r="H146" s="694"/>
      <c r="I146" s="2542"/>
      <c r="J146" s="2543"/>
      <c r="K146" s="733"/>
      <c r="L146" s="765"/>
      <c r="M146" s="765"/>
      <c r="N146" s="733"/>
      <c r="O146" s="733"/>
      <c r="P146" s="733"/>
      <c r="Q146" s="731"/>
      <c r="R146" s="688"/>
    </row>
    <row r="147" spans="1:18" ht="25.5" customHeight="1" x14ac:dyDescent="0.25">
      <c r="A147" s="2541"/>
      <c r="B147" s="1591" t="str">
        <f>Translation!$B$518</f>
        <v>Kategorie</v>
      </c>
      <c r="C147" s="1588" t="str">
        <f>Translation!$B$519</f>
        <v>Risikogewicht</v>
      </c>
      <c r="D147" s="759"/>
      <c r="E147" s="761" t="s">
        <v>566</v>
      </c>
      <c r="F147" s="736"/>
      <c r="G147" s="2538" t="str">
        <f>Translation!$B$520</f>
        <v>Positionen ohne Kreditrisikominderung (CRM)</v>
      </c>
      <c r="H147" s="763"/>
      <c r="J147" s="762" t="str">
        <f>Translation!$B$523</f>
        <v>Besicherte Positionen</v>
      </c>
      <c r="K147" s="763"/>
      <c r="M147" s="762" t="str">
        <f>Translation!$B$525</f>
        <v>Mit Garantien oder Kred.-Der. besicherte Positionen</v>
      </c>
      <c r="N147" s="745"/>
      <c r="O147" s="2538" t="str">
        <f>Translation!$B$527</f>
        <v>Risikogew. Positionen vor CRM</v>
      </c>
      <c r="P147" s="2538" t="str">
        <f>Translation!$B$528</f>
        <v>Risikogew. Positionen nach CRM</v>
      </c>
      <c r="Q147" s="731"/>
      <c r="R147" s="688"/>
    </row>
    <row r="148" spans="1:18" ht="15.75" x14ac:dyDescent="0.25">
      <c r="A148" s="2541"/>
      <c r="B148" s="1592"/>
      <c r="C148" s="1589"/>
      <c r="D148" s="759"/>
      <c r="E148" s="758"/>
      <c r="F148" s="736"/>
      <c r="G148" s="2539"/>
      <c r="H148" s="749"/>
      <c r="I148" s="757" t="str">
        <f>Translation!$B$521</f>
        <v xml:space="preserve">Vor Besicherung </v>
      </c>
      <c r="J148" s="757" t="str">
        <f>Translation!$B$522</f>
        <v>Nach Besicherung</v>
      </c>
      <c r="K148" s="749"/>
      <c r="L148" s="757" t="str">
        <f>Translation!$B$524</f>
        <v>Vor Garantien und Kreditderivate</v>
      </c>
      <c r="M148" s="757" t="str">
        <f>Translation!$B$526</f>
        <v>Nach Garantien und Kred.-.Der.</v>
      </c>
      <c r="N148" s="745"/>
      <c r="O148" s="2539"/>
      <c r="P148" s="2539"/>
      <c r="Q148" s="731"/>
      <c r="R148" s="688"/>
    </row>
    <row r="149" spans="1:18" ht="15.75" x14ac:dyDescent="0.25">
      <c r="A149" s="789"/>
      <c r="B149" s="1590" t="str">
        <f>Translation!B507</f>
        <v>Risikogewicht 20%</v>
      </c>
      <c r="C149" s="1318">
        <v>0.2</v>
      </c>
      <c r="D149" s="788"/>
      <c r="E149" s="746"/>
      <c r="F149" s="732"/>
      <c r="G149" s="1319">
        <v>0</v>
      </c>
      <c r="H149" s="749"/>
      <c r="I149" s="1319"/>
      <c r="J149" s="1319"/>
      <c r="K149" s="749"/>
      <c r="L149" s="1319"/>
      <c r="M149" s="1319"/>
      <c r="N149" s="745"/>
      <c r="O149" s="828">
        <f t="shared" ref="O149:O158" si="14">(G149+I149+L149)*C149</f>
        <v>0</v>
      </c>
      <c r="P149" s="828">
        <f t="shared" ref="P149:P158" si="15">(G149+J149+M149)*C149</f>
        <v>0</v>
      </c>
      <c r="Q149" s="731"/>
      <c r="R149" s="688"/>
    </row>
    <row r="150" spans="1:18" ht="15.75" x14ac:dyDescent="0.25">
      <c r="A150" s="789"/>
      <c r="B150" s="809" t="str">
        <f>Translation!B508</f>
        <v>Risikogewicht 40%</v>
      </c>
      <c r="C150" s="1318">
        <v>0.4</v>
      </c>
      <c r="D150" s="788"/>
      <c r="E150" s="746"/>
      <c r="F150" s="732"/>
      <c r="G150" s="1319">
        <v>0</v>
      </c>
      <c r="H150" s="749"/>
      <c r="I150" s="1319"/>
      <c r="J150" s="1319"/>
      <c r="K150" s="749"/>
      <c r="L150" s="1319"/>
      <c r="M150" s="1319"/>
      <c r="N150" s="745"/>
      <c r="O150" s="828">
        <f>(G150+I150+L150)*C150</f>
        <v>0</v>
      </c>
      <c r="P150" s="828">
        <f>(G150+J150+M150)*C150</f>
        <v>0</v>
      </c>
      <c r="Q150" s="731"/>
      <c r="R150" s="688"/>
    </row>
    <row r="151" spans="1:18" ht="15.75" x14ac:dyDescent="0.25">
      <c r="A151" s="789"/>
      <c r="B151" s="809" t="str">
        <f>Translation!B509</f>
        <v>Risikogewicht 50%</v>
      </c>
      <c r="C151" s="1318">
        <v>0.5</v>
      </c>
      <c r="D151" s="788"/>
      <c r="E151" s="746"/>
      <c r="F151" s="732"/>
      <c r="G151" s="1319">
        <v>0</v>
      </c>
      <c r="H151" s="749"/>
      <c r="I151" s="1319"/>
      <c r="J151" s="1319"/>
      <c r="K151" s="749"/>
      <c r="L151" s="1319"/>
      <c r="M151" s="1319"/>
      <c r="N151" s="745"/>
      <c r="O151" s="828">
        <f t="shared" si="14"/>
        <v>0</v>
      </c>
      <c r="P151" s="828">
        <f t="shared" si="15"/>
        <v>0</v>
      </c>
      <c r="Q151" s="731"/>
      <c r="R151" s="688"/>
    </row>
    <row r="152" spans="1:18" ht="15.75" x14ac:dyDescent="0.25">
      <c r="A152" s="789"/>
      <c r="B152" s="809" t="str">
        <f>Translation!B484</f>
        <v>Risikogewicht 100%</v>
      </c>
      <c r="C152" s="1318">
        <v>1</v>
      </c>
      <c r="D152" s="788"/>
      <c r="E152" s="746"/>
      <c r="F152" s="732"/>
      <c r="G152" s="1319">
        <v>0</v>
      </c>
      <c r="H152" s="749"/>
      <c r="I152" s="1319"/>
      <c r="J152" s="1319"/>
      <c r="K152" s="749"/>
      <c r="L152" s="1319"/>
      <c r="M152" s="1319"/>
      <c r="N152" s="745"/>
      <c r="O152" s="828">
        <f t="shared" si="14"/>
        <v>0</v>
      </c>
      <c r="P152" s="828">
        <f t="shared" si="15"/>
        <v>0</v>
      </c>
      <c r="Q152" s="731"/>
      <c r="R152" s="688"/>
    </row>
    <row r="153" spans="1:18" ht="15.75" x14ac:dyDescent="0.25">
      <c r="A153" s="789"/>
      <c r="B153" s="809" t="str">
        <f>Translation!B513</f>
        <v>Risikogewicht 225%</v>
      </c>
      <c r="C153" s="1318">
        <v>2.25</v>
      </c>
      <c r="D153" s="788"/>
      <c r="E153" s="746"/>
      <c r="F153" s="732"/>
      <c r="G153" s="1319">
        <v>0</v>
      </c>
      <c r="H153" s="749"/>
      <c r="I153" s="1319"/>
      <c r="J153" s="1319"/>
      <c r="K153" s="749"/>
      <c r="L153" s="1319"/>
      <c r="M153" s="1319"/>
      <c r="N153" s="745"/>
      <c r="O153" s="828">
        <f>(G153+I153+L153)*C153</f>
        <v>0</v>
      </c>
      <c r="P153" s="828">
        <f>(G153+J153+M153)*C153</f>
        <v>0</v>
      </c>
      <c r="Q153" s="731"/>
      <c r="R153" s="688"/>
    </row>
    <row r="154" spans="1:18" ht="15.75" x14ac:dyDescent="0.25">
      <c r="A154" s="789"/>
      <c r="B154" s="809" t="str">
        <f>Translation!B512</f>
        <v>Risikogewicht 350%</v>
      </c>
      <c r="C154" s="1318">
        <v>3.5</v>
      </c>
      <c r="D154" s="788"/>
      <c r="E154" s="746"/>
      <c r="F154" s="732"/>
      <c r="G154" s="1319">
        <v>0</v>
      </c>
      <c r="H154" s="749"/>
      <c r="I154" s="1319"/>
      <c r="J154" s="1319"/>
      <c r="K154" s="749"/>
      <c r="L154" s="1319"/>
      <c r="M154" s="1319"/>
      <c r="N154" s="745"/>
      <c r="O154" s="828">
        <f>(G154+I154+L154)*C154</f>
        <v>0</v>
      </c>
      <c r="P154" s="828">
        <f>(G154+J154+M154)*C154</f>
        <v>0</v>
      </c>
      <c r="Q154" s="731"/>
      <c r="R154" s="688"/>
    </row>
    <row r="155" spans="1:18" ht="15.75" x14ac:dyDescent="0.25">
      <c r="A155" s="789"/>
      <c r="B155" s="809" t="str">
        <f>Translation!B511</f>
        <v>Risikogewicht 650%</v>
      </c>
      <c r="C155" s="1318">
        <v>6.5</v>
      </c>
      <c r="D155" s="788"/>
      <c r="E155" s="746"/>
      <c r="F155" s="732"/>
      <c r="G155" s="1319">
        <v>0</v>
      </c>
      <c r="H155" s="749"/>
      <c r="I155" s="1319"/>
      <c r="J155" s="1319"/>
      <c r="K155" s="749"/>
      <c r="L155" s="1319"/>
      <c r="M155" s="1319"/>
      <c r="N155" s="745"/>
      <c r="O155" s="828">
        <f>(G155+I155+L155)*C155</f>
        <v>0</v>
      </c>
      <c r="P155" s="828">
        <f>(G155+J155+M155)*C155</f>
        <v>0</v>
      </c>
      <c r="Q155" s="731"/>
      <c r="R155" s="688"/>
    </row>
    <row r="156" spans="1:18" ht="15.75" x14ac:dyDescent="0.25">
      <c r="A156" s="789"/>
      <c r="B156" s="809" t="str">
        <f>Translation!B514</f>
        <v>Risikogewicht 1250% (ohne ungeratete Positionen)</v>
      </c>
      <c r="C156" s="1318">
        <v>12.5</v>
      </c>
      <c r="D156" s="788"/>
      <c r="E156" s="746"/>
      <c r="F156" s="732"/>
      <c r="G156" s="1319">
        <v>0</v>
      </c>
      <c r="H156" s="749"/>
      <c r="I156" s="1319"/>
      <c r="J156" s="1319"/>
      <c r="K156" s="749"/>
      <c r="L156" s="1319"/>
      <c r="M156" s="1319"/>
      <c r="N156" s="745"/>
      <c r="O156" s="828">
        <f t="shared" si="14"/>
        <v>0</v>
      </c>
      <c r="P156" s="828">
        <f t="shared" si="15"/>
        <v>0</v>
      </c>
      <c r="Q156" s="731"/>
      <c r="R156" s="688"/>
    </row>
    <row r="157" spans="1:18" ht="15.75" x14ac:dyDescent="0.25">
      <c r="A157" s="789"/>
      <c r="B157" s="809" t="str">
        <f>Translation!B515</f>
        <v>nicht geratet 1250%</v>
      </c>
      <c r="C157" s="1318">
        <v>12.5</v>
      </c>
      <c r="D157" s="788"/>
      <c r="E157" s="820"/>
      <c r="F157" s="732"/>
      <c r="G157" s="1319">
        <v>0</v>
      </c>
      <c r="H157" s="749"/>
      <c r="I157" s="1319"/>
      <c r="J157" s="1319"/>
      <c r="K157" s="749"/>
      <c r="L157" s="1319"/>
      <c r="M157" s="1319"/>
      <c r="N157" s="745"/>
      <c r="O157" s="828">
        <f t="shared" si="14"/>
        <v>0</v>
      </c>
      <c r="P157" s="828">
        <f t="shared" si="15"/>
        <v>0</v>
      </c>
      <c r="Q157" s="731"/>
      <c r="R157" s="688"/>
    </row>
    <row r="158" spans="1:18" ht="15.75" x14ac:dyDescent="0.25">
      <c r="A158" s="748"/>
      <c r="B158" s="1188"/>
      <c r="C158" s="815"/>
      <c r="D158" s="747"/>
      <c r="E158" s="746"/>
      <c r="F158" s="732"/>
      <c r="G158" s="1189"/>
      <c r="H158" s="926"/>
      <c r="I158" s="1189"/>
      <c r="J158" s="1189"/>
      <c r="K158" s="926"/>
      <c r="L158" s="1189"/>
      <c r="M158" s="1189"/>
      <c r="N158" s="745"/>
      <c r="O158" s="828">
        <f t="shared" si="14"/>
        <v>0</v>
      </c>
      <c r="P158" s="828">
        <f t="shared" si="15"/>
        <v>0</v>
      </c>
      <c r="Q158" s="731"/>
      <c r="R158" s="688"/>
    </row>
    <row r="159" spans="1:18" ht="15.75" x14ac:dyDescent="0.25">
      <c r="A159" s="744"/>
      <c r="B159" s="740"/>
      <c r="C159" s="777"/>
      <c r="D159" s="740"/>
      <c r="E159" s="739"/>
      <c r="F159" s="732"/>
      <c r="G159" s="739"/>
      <c r="H159" s="740"/>
      <c r="I159" s="739"/>
      <c r="J159" s="739"/>
      <c r="K159" s="739"/>
      <c r="L159" s="739"/>
      <c r="M159" s="739"/>
      <c r="N159" s="739"/>
      <c r="O159" s="739"/>
      <c r="P159" s="739"/>
      <c r="Q159" s="776"/>
      <c r="R159" s="688"/>
    </row>
    <row r="160" spans="1:18" ht="15.75" x14ac:dyDescent="0.25">
      <c r="A160" s="743"/>
      <c r="B160" s="814"/>
      <c r="C160" s="741"/>
      <c r="D160" s="741"/>
      <c r="E160" s="742"/>
      <c r="F160" s="732"/>
      <c r="G160" s="741"/>
      <c r="H160" s="694"/>
      <c r="I160" s="733"/>
      <c r="J160" s="733"/>
      <c r="K160" s="733"/>
      <c r="L160" s="733"/>
      <c r="M160" s="733"/>
      <c r="N160" s="733"/>
      <c r="O160" s="733"/>
      <c r="P160" s="733"/>
      <c r="Q160" s="731"/>
      <c r="R160" s="688"/>
    </row>
    <row r="161" spans="1:18" ht="15.75" x14ac:dyDescent="0.25">
      <c r="A161" s="738"/>
      <c r="B161" s="819" t="str">
        <f>Translation!$B$516</f>
        <v>Summe der risikogewichteten Positionen vor CRM</v>
      </c>
      <c r="C161" s="737">
        <f>SUM(O149:O158)</f>
        <v>0</v>
      </c>
      <c r="D161" s="732"/>
      <c r="E161" s="732"/>
      <c r="F161" s="732"/>
      <c r="G161" s="735"/>
      <c r="H161" s="740"/>
      <c r="I161" s="733"/>
      <c r="J161" s="733"/>
      <c r="K161" s="733"/>
      <c r="L161" s="733"/>
      <c r="M161" s="733"/>
      <c r="N161" s="733"/>
      <c r="O161" s="739"/>
      <c r="P161" s="733"/>
      <c r="Q161" s="731"/>
      <c r="R161" s="688"/>
    </row>
    <row r="162" spans="1:18" ht="15.75" x14ac:dyDescent="0.25">
      <c r="A162" s="738"/>
      <c r="B162" s="819" t="str">
        <f>Translation!$B$517</f>
        <v>Summe der risikogewichteten Positionen nach CRM</v>
      </c>
      <c r="C162" s="737">
        <f>SUM(P149:P158)</f>
        <v>0</v>
      </c>
      <c r="D162" s="732"/>
      <c r="E162" s="732"/>
      <c r="F162" s="732"/>
      <c r="G162" s="735"/>
      <c r="H162" s="734"/>
      <c r="I162" s="733"/>
      <c r="J162" s="733"/>
      <c r="K162" s="733"/>
      <c r="L162" s="733"/>
      <c r="M162" s="733"/>
      <c r="N162" s="733"/>
      <c r="O162" s="732"/>
      <c r="P162" s="732"/>
      <c r="Q162" s="731"/>
      <c r="R162" s="688"/>
    </row>
    <row r="163" spans="1:18" ht="15.75" x14ac:dyDescent="0.25">
      <c r="A163" s="730"/>
      <c r="B163" s="818"/>
      <c r="C163" s="728"/>
      <c r="D163" s="728"/>
      <c r="E163" s="728"/>
      <c r="F163" s="728"/>
      <c r="G163" s="690"/>
      <c r="H163" s="690"/>
      <c r="I163" s="728"/>
      <c r="J163" s="728"/>
      <c r="K163" s="728"/>
      <c r="L163" s="728"/>
      <c r="M163" s="728"/>
      <c r="N163" s="728"/>
      <c r="O163" s="728"/>
      <c r="P163" s="728"/>
      <c r="Q163" s="727"/>
      <c r="R163" s="688"/>
    </row>
    <row r="164" spans="1:18" ht="15.75" x14ac:dyDescent="0.25">
      <c r="A164" s="748"/>
      <c r="B164" s="792"/>
      <c r="C164" s="733"/>
      <c r="D164" s="733"/>
      <c r="E164" s="733"/>
      <c r="F164" s="733"/>
      <c r="G164" s="694"/>
      <c r="H164" s="694"/>
      <c r="I164" s="733"/>
      <c r="J164" s="733"/>
      <c r="K164" s="733"/>
      <c r="L164" s="733"/>
      <c r="M164" s="733"/>
      <c r="N164" s="733"/>
      <c r="O164" s="733"/>
      <c r="P164" s="733"/>
      <c r="Q164" s="731"/>
      <c r="R164" s="688"/>
    </row>
    <row r="165" spans="1:18" ht="15.75" x14ac:dyDescent="0.25">
      <c r="A165" s="748"/>
      <c r="B165" s="792"/>
      <c r="C165" s="733"/>
      <c r="D165" s="733"/>
      <c r="E165" s="733"/>
      <c r="F165" s="733"/>
      <c r="G165" s="694"/>
      <c r="H165" s="694"/>
      <c r="I165" s="733"/>
      <c r="J165" s="733"/>
      <c r="K165" s="733"/>
      <c r="L165" s="733"/>
      <c r="M165" s="733"/>
      <c r="N165" s="733"/>
      <c r="O165" s="733"/>
      <c r="P165" s="733"/>
      <c r="Q165" s="731"/>
      <c r="R165" s="688"/>
    </row>
    <row r="166" spans="1:18" ht="18" x14ac:dyDescent="0.25">
      <c r="A166" s="718" t="str">
        <f>Translation!B529</f>
        <v>Positionsklassen SA-BIZ ohne die Möglichkeit der Verwendung externer Ratings und deren Risikogewichtung</v>
      </c>
      <c r="B166" s="817"/>
      <c r="C166" s="772"/>
      <c r="D166" s="772"/>
      <c r="E166" s="772"/>
      <c r="F166" s="772"/>
      <c r="G166" s="773"/>
      <c r="H166" s="773"/>
      <c r="I166" s="772"/>
      <c r="J166" s="772"/>
      <c r="K166" s="772"/>
      <c r="L166" s="772"/>
      <c r="M166" s="772"/>
      <c r="N166" s="772"/>
      <c r="O166" s="772"/>
      <c r="P166" s="772"/>
      <c r="Q166" s="771"/>
      <c r="R166" s="688"/>
    </row>
    <row r="167" spans="1:18" ht="18" x14ac:dyDescent="0.25">
      <c r="A167" s="816"/>
      <c r="B167" s="770"/>
      <c r="C167" s="733"/>
      <c r="D167" s="733"/>
      <c r="E167" s="733"/>
      <c r="F167" s="733"/>
      <c r="G167" s="694"/>
      <c r="H167" s="694"/>
      <c r="I167" s="733"/>
      <c r="J167" s="733"/>
      <c r="K167" s="733"/>
      <c r="L167" s="733"/>
      <c r="M167" s="733"/>
      <c r="N167" s="733"/>
      <c r="O167" s="733"/>
      <c r="P167" s="733"/>
      <c r="Q167" s="731"/>
      <c r="R167" s="688"/>
    </row>
    <row r="168" spans="1:18" ht="18" x14ac:dyDescent="0.25">
      <c r="A168" s="816" t="str">
        <f>Translation!B530</f>
        <v>1 Natürliche Personen und Kleinnunternehmen (Retail)</v>
      </c>
      <c r="B168" s="770"/>
      <c r="C168" s="733"/>
      <c r="D168" s="733"/>
      <c r="E168" s="733"/>
      <c r="F168" s="733"/>
      <c r="G168" s="694"/>
      <c r="H168" s="694"/>
      <c r="I168" s="733"/>
      <c r="J168" s="733"/>
      <c r="K168" s="733"/>
      <c r="L168" s="733"/>
      <c r="M168" s="733"/>
      <c r="N168" s="733"/>
      <c r="O168" s="733"/>
      <c r="P168" s="733"/>
      <c r="Q168" s="731"/>
      <c r="R168" s="688"/>
    </row>
    <row r="169" spans="1:18" ht="15.75" x14ac:dyDescent="0.25">
      <c r="A169" s="707"/>
      <c r="B169" s="770"/>
      <c r="C169" s="733"/>
      <c r="D169" s="733"/>
      <c r="E169" s="733"/>
      <c r="F169" s="733"/>
      <c r="G169" s="694"/>
      <c r="H169" s="694"/>
      <c r="I169" s="733"/>
      <c r="J169" s="733"/>
      <c r="K169" s="733"/>
      <c r="L169" s="733"/>
      <c r="M169" s="733"/>
      <c r="N169" s="733"/>
      <c r="O169" s="733"/>
      <c r="P169" s="733"/>
      <c r="Q169" s="731"/>
      <c r="R169" s="688"/>
    </row>
    <row r="170" spans="1:18" ht="15.75" hidden="1" customHeight="1" x14ac:dyDescent="0.25">
      <c r="A170" s="748"/>
      <c r="B170" s="767" t="s">
        <v>589</v>
      </c>
      <c r="C170" s="769"/>
      <c r="D170" s="736"/>
      <c r="E170" s="736"/>
      <c r="F170" s="736"/>
      <c r="G170" s="766"/>
      <c r="H170" s="766"/>
      <c r="I170" s="733"/>
      <c r="J170" s="733"/>
      <c r="K170" s="733"/>
      <c r="L170" s="733"/>
      <c r="M170" s="733"/>
      <c r="N170" s="733"/>
      <c r="O170" s="736"/>
      <c r="P170" s="733"/>
      <c r="Q170" s="731"/>
      <c r="R170" s="688"/>
    </row>
    <row r="171" spans="1:18" ht="15.75" hidden="1" customHeight="1" x14ac:dyDescent="0.25">
      <c r="A171" s="748"/>
      <c r="B171" s="767" t="s">
        <v>588</v>
      </c>
      <c r="C171" s="768"/>
      <c r="D171" s="736"/>
      <c r="E171" s="736"/>
      <c r="F171" s="736"/>
      <c r="G171" s="766"/>
      <c r="H171" s="766"/>
      <c r="I171" s="733"/>
      <c r="J171" s="733"/>
      <c r="K171" s="733"/>
      <c r="L171" s="733"/>
      <c r="M171" s="733"/>
      <c r="N171" s="733"/>
      <c r="O171" s="736"/>
      <c r="P171" s="733"/>
      <c r="Q171" s="731"/>
      <c r="R171" s="688"/>
    </row>
    <row r="172" spans="1:18" ht="15.75" hidden="1" customHeight="1" x14ac:dyDescent="0.25">
      <c r="A172" s="748"/>
      <c r="B172" s="792"/>
      <c r="C172" s="736"/>
      <c r="D172" s="736"/>
      <c r="E172" s="736"/>
      <c r="F172" s="736"/>
      <c r="G172" s="766"/>
      <c r="H172" s="694"/>
      <c r="I172" s="2543"/>
      <c r="J172" s="2543"/>
      <c r="K172" s="733"/>
      <c r="L172" s="765"/>
      <c r="M172" s="733"/>
      <c r="N172" s="733"/>
      <c r="O172" s="733"/>
      <c r="P172" s="733"/>
      <c r="Q172" s="731"/>
      <c r="R172" s="688"/>
    </row>
    <row r="173" spans="1:18" ht="38.25" x14ac:dyDescent="0.25">
      <c r="A173" s="2541"/>
      <c r="B173" s="1591" t="str">
        <f>Translation!$B$518</f>
        <v>Kategorie</v>
      </c>
      <c r="C173" s="1588" t="str">
        <f>Translation!$B$519</f>
        <v>Risikogewicht</v>
      </c>
      <c r="D173" s="759"/>
      <c r="E173" s="761" t="s">
        <v>566</v>
      </c>
      <c r="F173" s="736"/>
      <c r="G173" s="761" t="str">
        <f>Translation!$B$520</f>
        <v>Positionen ohne Kreditrisikominderung (CRM)</v>
      </c>
      <c r="H173" s="763"/>
      <c r="J173" s="762" t="str">
        <f>Translation!$B$523</f>
        <v>Besicherte Positionen</v>
      </c>
      <c r="K173" s="763"/>
      <c r="M173" s="762" t="str">
        <f>Translation!$B$525</f>
        <v>Mit Garantien oder Kred.-Der. besicherte Positionen</v>
      </c>
      <c r="N173" s="745"/>
      <c r="O173" s="761" t="str">
        <f>Translation!$B$527</f>
        <v>Risikogew. Positionen vor CRM</v>
      </c>
      <c r="P173" s="761" t="str">
        <f>Translation!$B$528</f>
        <v>Risikogew. Positionen nach CRM</v>
      </c>
      <c r="Q173" s="731"/>
      <c r="R173" s="688"/>
    </row>
    <row r="174" spans="1:18" ht="15.75" x14ac:dyDescent="0.25">
      <c r="A174" s="2541"/>
      <c r="B174" s="1592"/>
      <c r="C174" s="1589"/>
      <c r="D174" s="759"/>
      <c r="E174" s="758"/>
      <c r="F174" s="736"/>
      <c r="G174" s="758"/>
      <c r="H174" s="749"/>
      <c r="I174" s="757" t="str">
        <f>Translation!$B$521</f>
        <v xml:space="preserve">Vor Besicherung </v>
      </c>
      <c r="J174" s="757" t="str">
        <f>Translation!$B$522</f>
        <v>Nach Besicherung</v>
      </c>
      <c r="K174" s="749"/>
      <c r="L174" s="757" t="str">
        <f>Translation!$B$524</f>
        <v>Vor Garantien und Kreditderivate</v>
      </c>
      <c r="M174" s="757" t="str">
        <f>Translation!$B$526</f>
        <v>Nach Garantien und Kred.-.Der.</v>
      </c>
      <c r="N174" s="745"/>
      <c r="O174" s="756"/>
      <c r="P174" s="756"/>
      <c r="Q174" s="731"/>
      <c r="R174" s="688"/>
    </row>
    <row r="175" spans="1:18" ht="51.75" x14ac:dyDescent="0.25">
      <c r="A175" s="753"/>
      <c r="B175" s="1594" t="str">
        <f>Translation!B531</f>
        <v>Retailpositionen, wenn der Gesamtwert der Positionen nach Art 37 Abs. 1, ohne grundpfandrechtliche Sicherung, gegenüber einer Gegenpartei 1,5 Mio Franken und 1% aller Retailpositionen nicht übersteigt</v>
      </c>
      <c r="C175" s="1318">
        <v>0.75</v>
      </c>
      <c r="D175" s="751"/>
      <c r="E175" s="746"/>
      <c r="F175" s="736"/>
      <c r="G175" s="1319">
        <v>0</v>
      </c>
      <c r="H175" s="749"/>
      <c r="I175" s="1319"/>
      <c r="J175" s="1319"/>
      <c r="K175" s="749"/>
      <c r="L175" s="1319"/>
      <c r="M175" s="1319"/>
      <c r="N175" s="745"/>
      <c r="O175" s="828">
        <f>(G175+I175+L175)*C175</f>
        <v>0</v>
      </c>
      <c r="P175" s="828">
        <f>(G175+J175+M175)*C175</f>
        <v>0</v>
      </c>
      <c r="Q175" s="731"/>
      <c r="R175" s="688"/>
    </row>
    <row r="176" spans="1:18" ht="15.75" x14ac:dyDescent="0.25">
      <c r="A176" s="753"/>
      <c r="B176" s="790" t="str">
        <f>Translation!B532</f>
        <v>Übrige Retailpositionen</v>
      </c>
      <c r="C176" s="1318">
        <v>1</v>
      </c>
      <c r="D176" s="751"/>
      <c r="E176" s="746"/>
      <c r="F176" s="736"/>
      <c r="G176" s="1319">
        <v>0</v>
      </c>
      <c r="H176" s="749"/>
      <c r="I176" s="1319"/>
      <c r="J176" s="1319"/>
      <c r="K176" s="749"/>
      <c r="L176" s="1319"/>
      <c r="M176" s="1319"/>
      <c r="N176" s="745"/>
      <c r="O176" s="828">
        <f>(G176+I176+L176)*C176</f>
        <v>0</v>
      </c>
      <c r="P176" s="828">
        <f>(G176+J176+M176)*C176</f>
        <v>0</v>
      </c>
      <c r="Q176" s="731"/>
      <c r="R176" s="688"/>
    </row>
    <row r="177" spans="1:18" ht="15.75" x14ac:dyDescent="0.25">
      <c r="A177" s="748"/>
      <c r="B177" s="1188"/>
      <c r="C177" s="815"/>
      <c r="D177" s="747"/>
      <c r="E177" s="746"/>
      <c r="F177" s="736"/>
      <c r="G177" s="1189"/>
      <c r="H177" s="926"/>
      <c r="I177" s="1189"/>
      <c r="J177" s="1189"/>
      <c r="K177" s="926"/>
      <c r="L177" s="1189"/>
      <c r="M177" s="1189"/>
      <c r="N177" s="745"/>
      <c r="O177" s="828">
        <f>(G177+I177+L177)*C177</f>
        <v>0</v>
      </c>
      <c r="P177" s="828">
        <f>(G177+J177+M177)*C177</f>
        <v>0</v>
      </c>
      <c r="Q177" s="731"/>
      <c r="R177" s="688"/>
    </row>
    <row r="178" spans="1:18" ht="15.75" x14ac:dyDescent="0.25">
      <c r="A178" s="744"/>
      <c r="B178" s="684"/>
      <c r="C178" s="739"/>
      <c r="D178" s="739"/>
      <c r="E178" s="736"/>
      <c r="F178" s="740"/>
      <c r="G178" s="740"/>
      <c r="H178" s="739"/>
      <c r="I178" s="739"/>
      <c r="J178" s="739"/>
      <c r="K178" s="739"/>
      <c r="L178" s="733"/>
      <c r="M178" s="733"/>
      <c r="N178" s="739"/>
      <c r="O178" s="739"/>
      <c r="P178" s="731"/>
      <c r="Q178" s="688"/>
      <c r="R178" s="688"/>
    </row>
    <row r="179" spans="1:18" ht="15.75" x14ac:dyDescent="0.25">
      <c r="A179" s="743"/>
      <c r="B179" s="814"/>
      <c r="C179" s="741"/>
      <c r="D179" s="741"/>
      <c r="E179" s="742"/>
      <c r="F179" s="736"/>
      <c r="G179" s="741"/>
      <c r="H179" s="694"/>
      <c r="I179" s="733"/>
      <c r="J179" s="733"/>
      <c r="K179" s="733"/>
      <c r="L179" s="733"/>
      <c r="M179" s="733"/>
      <c r="N179" s="733"/>
      <c r="O179" s="733"/>
      <c r="P179" s="733"/>
      <c r="Q179" s="731"/>
      <c r="R179" s="688"/>
    </row>
    <row r="180" spans="1:18" ht="15.75" x14ac:dyDescent="0.25">
      <c r="A180" s="738"/>
      <c r="B180" s="819" t="str">
        <f>Translation!$B$516</f>
        <v>Summe der risikogewichteten Positionen vor CRM</v>
      </c>
      <c r="C180" s="737">
        <f>SUM(O175:O177)</f>
        <v>0</v>
      </c>
      <c r="D180" s="732"/>
      <c r="E180" s="732"/>
      <c r="F180" s="736"/>
      <c r="G180" s="735"/>
      <c r="H180" s="740"/>
      <c r="I180" s="733"/>
      <c r="J180" s="733"/>
      <c r="K180" s="733"/>
      <c r="L180" s="733"/>
      <c r="M180" s="733"/>
      <c r="N180" s="733"/>
      <c r="O180" s="739"/>
      <c r="P180" s="733"/>
      <c r="Q180" s="731"/>
      <c r="R180" s="688"/>
    </row>
    <row r="181" spans="1:18" ht="15.75" x14ac:dyDescent="0.25">
      <c r="A181" s="738"/>
      <c r="B181" s="819" t="str">
        <f>Translation!$B$517</f>
        <v>Summe der risikogewichteten Positionen nach CRM</v>
      </c>
      <c r="C181" s="737">
        <f>SUM(P175:P177)</f>
        <v>0</v>
      </c>
      <c r="D181" s="732"/>
      <c r="E181" s="732"/>
      <c r="F181" s="732"/>
      <c r="G181" s="735"/>
      <c r="H181" s="734"/>
      <c r="I181" s="733"/>
      <c r="J181" s="733"/>
      <c r="K181" s="733"/>
      <c r="L181" s="733"/>
      <c r="M181" s="733"/>
      <c r="N181" s="733"/>
      <c r="O181" s="732"/>
      <c r="P181" s="732"/>
      <c r="Q181" s="731"/>
      <c r="R181" s="688"/>
    </row>
    <row r="182" spans="1:18" ht="15.75" x14ac:dyDescent="0.25">
      <c r="A182" s="748"/>
      <c r="B182" s="684"/>
      <c r="C182" s="772"/>
      <c r="D182" s="733"/>
      <c r="E182" s="733"/>
      <c r="F182" s="733"/>
      <c r="G182" s="694"/>
      <c r="H182" s="694"/>
      <c r="I182" s="733"/>
      <c r="J182" s="733"/>
      <c r="K182" s="733"/>
      <c r="L182" s="733"/>
      <c r="M182" s="733"/>
      <c r="N182" s="733"/>
      <c r="O182" s="733"/>
      <c r="P182" s="733"/>
      <c r="Q182" s="731"/>
      <c r="R182" s="688"/>
    </row>
    <row r="183" spans="1:18" s="686" customFormat="1" ht="15.75" x14ac:dyDescent="0.25">
      <c r="A183" s="730"/>
      <c r="B183" s="784"/>
      <c r="C183" s="728"/>
      <c r="D183" s="728"/>
      <c r="E183" s="728"/>
      <c r="F183" s="728"/>
      <c r="G183" s="690"/>
      <c r="H183" s="690"/>
      <c r="I183" s="728"/>
      <c r="J183" s="728"/>
      <c r="K183" s="728"/>
      <c r="L183" s="728"/>
      <c r="M183" s="728"/>
      <c r="N183" s="728"/>
      <c r="O183" s="728"/>
      <c r="P183" s="728"/>
      <c r="Q183" s="727"/>
      <c r="R183" s="793"/>
    </row>
    <row r="184" spans="1:18" ht="15.75" x14ac:dyDescent="0.25">
      <c r="A184" s="707" t="str">
        <f>Translation!B533</f>
        <v>2 Pfandbriefe</v>
      </c>
      <c r="B184" s="792"/>
      <c r="C184" s="694"/>
      <c r="D184" s="694"/>
      <c r="E184" s="694"/>
      <c r="F184" s="694"/>
      <c r="G184" s="694"/>
      <c r="H184" s="694"/>
      <c r="I184" s="800"/>
      <c r="J184" s="798"/>
      <c r="K184" s="798"/>
      <c r="L184" s="798"/>
      <c r="M184" s="798"/>
      <c r="N184" s="798"/>
      <c r="O184" s="798"/>
      <c r="P184" s="798"/>
      <c r="Q184" s="731"/>
      <c r="R184" s="688"/>
    </row>
    <row r="185" spans="1:18" ht="27" customHeight="1" x14ac:dyDescent="0.25">
      <c r="A185" s="748"/>
      <c r="B185" s="770"/>
      <c r="C185" s="694"/>
      <c r="D185" s="694"/>
      <c r="E185" s="694"/>
      <c r="F185" s="694"/>
      <c r="G185" s="694"/>
      <c r="H185" s="694"/>
      <c r="I185" s="800"/>
      <c r="J185" s="798"/>
      <c r="K185" s="798"/>
      <c r="L185" s="798"/>
      <c r="M185" s="798"/>
      <c r="N185" s="798"/>
      <c r="O185" s="798"/>
      <c r="P185" s="798"/>
      <c r="Q185" s="731"/>
      <c r="R185" s="688"/>
    </row>
    <row r="186" spans="1:18" ht="15.75" hidden="1" x14ac:dyDescent="0.25">
      <c r="A186" s="748"/>
      <c r="B186" s="770"/>
      <c r="C186" s="812"/>
      <c r="D186" s="766"/>
      <c r="E186" s="766"/>
      <c r="F186" s="766"/>
      <c r="G186" s="686"/>
      <c r="H186" s="694"/>
      <c r="I186" s="733"/>
      <c r="J186" s="733"/>
      <c r="K186" s="733"/>
      <c r="L186" s="733"/>
      <c r="M186" s="798"/>
      <c r="N186" s="798"/>
      <c r="O186" s="798"/>
      <c r="P186" s="798"/>
      <c r="Q186" s="731"/>
      <c r="R186" s="688"/>
    </row>
    <row r="187" spans="1:18" ht="15.75" hidden="1" x14ac:dyDescent="0.25">
      <c r="A187" s="748"/>
      <c r="B187" s="813" t="s">
        <v>585</v>
      </c>
      <c r="C187" s="812"/>
      <c r="D187" s="766"/>
      <c r="E187" s="766"/>
      <c r="F187" s="766"/>
      <c r="G187" s="745"/>
      <c r="H187" s="745"/>
      <c r="I187" s="745"/>
      <c r="J187" s="798"/>
      <c r="K187" s="798"/>
      <c r="L187" s="798"/>
      <c r="M187" s="798"/>
      <c r="N187" s="798"/>
      <c r="O187" s="798"/>
      <c r="P187" s="798"/>
      <c r="Q187" s="731"/>
      <c r="R187" s="688"/>
    </row>
    <row r="188" spans="1:18" ht="15.75" hidden="1" x14ac:dyDescent="0.25">
      <c r="A188" s="2541"/>
      <c r="B188" s="1595" t="s">
        <v>584</v>
      </c>
      <c r="C188" s="806"/>
      <c r="D188" s="806"/>
      <c r="E188" s="806"/>
      <c r="F188" s="806"/>
      <c r="G188" s="766"/>
      <c r="H188" s="694"/>
      <c r="I188" s="2544"/>
      <c r="J188" s="2544"/>
      <c r="K188" s="810"/>
      <c r="L188" s="2545"/>
      <c r="M188" s="2545"/>
      <c r="N188" s="798"/>
      <c r="O188" s="798"/>
      <c r="P188" s="798"/>
      <c r="Q188" s="731"/>
      <c r="R188" s="688"/>
    </row>
    <row r="189" spans="1:18" ht="15.75" customHeight="1" x14ac:dyDescent="0.25">
      <c r="A189" s="2541"/>
      <c r="B189" s="1591" t="str">
        <f>Translation!$B$518</f>
        <v>Kategorie</v>
      </c>
      <c r="C189" s="1588" t="str">
        <f>Translation!$B$519</f>
        <v>Risikogewicht</v>
      </c>
      <c r="D189" s="759"/>
      <c r="E189" s="761" t="s">
        <v>566</v>
      </c>
      <c r="F189" s="736"/>
      <c r="G189" s="2538" t="str">
        <f>Translation!$B$520</f>
        <v>Positionen ohne Kreditrisikominderung (CRM)</v>
      </c>
      <c r="H189" s="763"/>
      <c r="J189" s="762" t="str">
        <f>Translation!$B$523</f>
        <v>Besicherte Positionen</v>
      </c>
      <c r="K189" s="763"/>
      <c r="M189" s="762" t="str">
        <f>Translation!$B$525</f>
        <v>Mit Garantien oder Kred.-Der. besicherte Positionen</v>
      </c>
      <c r="N189" s="745"/>
      <c r="O189" s="2538" t="str">
        <f>Translation!$B$527</f>
        <v>Risikogew. Positionen vor CRM</v>
      </c>
      <c r="P189" s="2538" t="str">
        <f>Translation!$B$528</f>
        <v>Risikogew. Positionen nach CRM</v>
      </c>
      <c r="Q189" s="731"/>
      <c r="R189" s="688"/>
    </row>
    <row r="190" spans="1:18" ht="24.75" customHeight="1" x14ac:dyDescent="0.25">
      <c r="A190" s="753"/>
      <c r="B190" s="1592"/>
      <c r="C190" s="1589"/>
      <c r="D190" s="759"/>
      <c r="E190" s="758"/>
      <c r="F190" s="736"/>
      <c r="G190" s="2539"/>
      <c r="H190" s="749"/>
      <c r="I190" s="757" t="str">
        <f>Translation!$B$521</f>
        <v xml:space="preserve">Vor Besicherung </v>
      </c>
      <c r="J190" s="757" t="str">
        <f>Translation!$B$522</f>
        <v>Nach Besicherung</v>
      </c>
      <c r="K190" s="749"/>
      <c r="L190" s="757" t="str">
        <f>Translation!$B$524</f>
        <v>Vor Garantien und Kreditderivate</v>
      </c>
      <c r="M190" s="757" t="str">
        <f>Translation!$B$526</f>
        <v>Nach Garantien und Kred.-.Der.</v>
      </c>
      <c r="N190" s="745"/>
      <c r="O190" s="2539"/>
      <c r="P190" s="2539"/>
      <c r="Q190" s="731"/>
      <c r="R190" s="688"/>
    </row>
    <row r="191" spans="1:18" ht="15.75" x14ac:dyDescent="0.25">
      <c r="A191" s="753"/>
      <c r="B191" s="1590" t="str">
        <f>Translation!B534</f>
        <v>Inländische Pfandbriefe</v>
      </c>
      <c r="C191" s="1318">
        <v>0.2</v>
      </c>
      <c r="D191" s="806"/>
      <c r="E191" s="746"/>
      <c r="F191" s="736"/>
      <c r="G191" s="1319">
        <v>0</v>
      </c>
      <c r="H191" s="749"/>
      <c r="I191" s="1319"/>
      <c r="J191" s="1319"/>
      <c r="K191" s="749"/>
      <c r="L191" s="1319"/>
      <c r="M191" s="1319"/>
      <c r="N191" s="745"/>
      <c r="O191" s="828">
        <f>(G191+I191+L191)*C191</f>
        <v>0</v>
      </c>
      <c r="P191" s="828">
        <f>(G191+J191+M191)*C191</f>
        <v>0</v>
      </c>
      <c r="Q191" s="731"/>
      <c r="R191" s="688"/>
    </row>
    <row r="192" spans="1:18" ht="15.75" x14ac:dyDescent="0.25">
      <c r="A192" s="744"/>
      <c r="B192" s="1188"/>
      <c r="C192" s="815"/>
      <c r="D192" s="806"/>
      <c r="E192" s="806"/>
      <c r="F192" s="806"/>
      <c r="G192" s="1319">
        <v>0</v>
      </c>
      <c r="H192" s="926"/>
      <c r="I192" s="1319"/>
      <c r="J192" s="1319"/>
      <c r="K192" s="926"/>
      <c r="L192" s="1319"/>
      <c r="M192" s="1319"/>
      <c r="N192" s="688"/>
      <c r="O192" s="828">
        <f>(G192+I192+L192)*C192</f>
        <v>0</v>
      </c>
      <c r="P192" s="828">
        <f>(G192+J192+M192)*C192</f>
        <v>0</v>
      </c>
      <c r="Q192" s="688"/>
      <c r="R192" s="688"/>
    </row>
    <row r="193" spans="1:18" ht="15.75" x14ac:dyDescent="0.25">
      <c r="A193" s="743"/>
      <c r="B193" s="684"/>
      <c r="C193" s="740"/>
      <c r="D193" s="806"/>
      <c r="E193" s="806"/>
      <c r="F193" s="806"/>
      <c r="G193" s="766"/>
      <c r="H193" s="694"/>
      <c r="I193" s="740"/>
      <c r="J193" s="740"/>
      <c r="K193" s="807"/>
      <c r="L193" s="808"/>
      <c r="M193" s="807"/>
      <c r="N193" s="807"/>
      <c r="O193" s="807"/>
      <c r="P193" s="807"/>
      <c r="Q193" s="776"/>
      <c r="R193" s="688"/>
    </row>
    <row r="194" spans="1:18" ht="15.75" x14ac:dyDescent="0.25">
      <c r="A194" s="738"/>
      <c r="B194" s="819" t="str">
        <f>Translation!$B$516</f>
        <v>Summe der risikogewichteten Positionen vor CRM</v>
      </c>
      <c r="C194" s="801">
        <f>SUM(O191:O192)</f>
        <v>0</v>
      </c>
      <c r="D194" s="806"/>
      <c r="E194" s="806"/>
      <c r="F194" s="806"/>
      <c r="G194" s="805"/>
      <c r="H194" s="687"/>
      <c r="I194" s="804"/>
      <c r="J194" s="725"/>
      <c r="K194" s="805"/>
      <c r="L194" s="804"/>
      <c r="M194" s="803"/>
      <c r="N194" s="803"/>
      <c r="O194" s="802"/>
      <c r="P194" s="798"/>
      <c r="Q194" s="731"/>
      <c r="R194" s="688"/>
    </row>
    <row r="195" spans="1:18" ht="15.75" x14ac:dyDescent="0.25">
      <c r="A195" s="738"/>
      <c r="B195" s="819" t="str">
        <f>Translation!$B$517</f>
        <v>Summe der risikogewichteten Positionen nach CRM</v>
      </c>
      <c r="C195" s="801">
        <f>SUM(P191:P192)</f>
        <v>0</v>
      </c>
      <c r="D195" s="735"/>
      <c r="E195" s="735"/>
      <c r="F195" s="735"/>
      <c r="G195" s="735"/>
      <c r="H195" s="734"/>
      <c r="I195" s="800"/>
      <c r="J195" s="798"/>
      <c r="K195" s="798"/>
      <c r="L195" s="798"/>
      <c r="M195" s="798"/>
      <c r="N195" s="798"/>
      <c r="O195" s="799"/>
      <c r="P195" s="798"/>
      <c r="Q195" s="731"/>
      <c r="R195" s="688"/>
    </row>
    <row r="196" spans="1:18" s="686" customFormat="1" ht="17.25" customHeight="1" x14ac:dyDescent="0.25">
      <c r="A196" s="797"/>
      <c r="B196" s="796"/>
      <c r="C196" s="690"/>
      <c r="D196" s="690"/>
      <c r="E196" s="690"/>
      <c r="F196" s="690"/>
      <c r="G196" s="690"/>
      <c r="H196" s="690"/>
      <c r="I196" s="795"/>
      <c r="J196" s="794"/>
      <c r="K196" s="794"/>
      <c r="L196" s="794"/>
      <c r="M196" s="794"/>
      <c r="N196" s="794"/>
      <c r="O196" s="794"/>
      <c r="P196" s="794"/>
      <c r="Q196" s="727"/>
      <c r="R196" s="793"/>
    </row>
    <row r="197" spans="1:18" ht="15.75" x14ac:dyDescent="0.25">
      <c r="A197" s="707" t="str">
        <f>Translation!B535</f>
        <v>3 Direkt und indirekt grundpfandgesicherte Positionen</v>
      </c>
      <c r="B197" s="792"/>
      <c r="C197" s="733"/>
      <c r="D197" s="733"/>
      <c r="E197" s="733"/>
      <c r="F197" s="733"/>
      <c r="G197" s="694"/>
      <c r="H197" s="694"/>
      <c r="I197" s="733"/>
      <c r="J197" s="733"/>
      <c r="K197" s="733"/>
      <c r="L197" s="733"/>
      <c r="M197" s="733"/>
      <c r="N197" s="733"/>
      <c r="O197" s="733"/>
      <c r="P197" s="733"/>
      <c r="Q197" s="782"/>
      <c r="R197" s="688"/>
    </row>
    <row r="198" spans="1:18" ht="15.75" x14ac:dyDescent="0.25">
      <c r="A198" s="707"/>
      <c r="B198" s="770"/>
      <c r="C198" s="733"/>
      <c r="D198" s="733"/>
      <c r="E198" s="733"/>
      <c r="F198" s="733"/>
      <c r="G198" s="694"/>
      <c r="H198" s="694"/>
      <c r="I198" s="733"/>
      <c r="J198" s="733"/>
      <c r="K198" s="733"/>
      <c r="L198" s="733"/>
      <c r="M198" s="733"/>
      <c r="N198" s="733"/>
      <c r="O198" s="733"/>
      <c r="P198" s="733"/>
      <c r="Q198" s="782"/>
      <c r="R198" s="688"/>
    </row>
    <row r="199" spans="1:18" ht="38.25" x14ac:dyDescent="0.25">
      <c r="A199" s="2541"/>
      <c r="B199" s="1598" t="str">
        <f>Translation!$B$518</f>
        <v>Kategorie</v>
      </c>
      <c r="C199" s="764" t="str">
        <f>Translation!$B$519</f>
        <v>Risikogewicht</v>
      </c>
      <c r="D199" s="1597"/>
      <c r="E199" s="761" t="s">
        <v>566</v>
      </c>
      <c r="F199" s="736"/>
      <c r="G199" s="761" t="str">
        <f>Translation!$B$520</f>
        <v>Positionen ohne Kreditrisikominderung (CRM)</v>
      </c>
      <c r="H199" s="763"/>
      <c r="I199" s="1600"/>
      <c r="J199" s="762" t="str">
        <f>Translation!$B$523</f>
        <v>Besicherte Positionen</v>
      </c>
      <c r="K199" s="763"/>
      <c r="L199" s="1601"/>
      <c r="M199" s="762" t="str">
        <f>Translation!$B$525</f>
        <v>Mit Garantien oder Kred.-Der. besicherte Positionen</v>
      </c>
      <c r="N199" s="745"/>
      <c r="O199" s="761" t="str">
        <f>Translation!$B$527</f>
        <v>Risikogew. Positionen vor CRM</v>
      </c>
      <c r="P199" s="761" t="str">
        <f>Translation!$B$528</f>
        <v>Risikogew. Positionen nach CRM</v>
      </c>
      <c r="Q199" s="731"/>
      <c r="R199" s="688"/>
    </row>
    <row r="200" spans="1:18" ht="15.75" x14ac:dyDescent="0.25">
      <c r="A200" s="2541"/>
      <c r="B200" s="1599"/>
      <c r="C200" s="760"/>
      <c r="D200" s="1597"/>
      <c r="E200" s="758"/>
      <c r="F200" s="736"/>
      <c r="G200" s="758"/>
      <c r="H200" s="749"/>
      <c r="I200" s="757" t="str">
        <f>Translation!$B$521</f>
        <v xml:space="preserve">Vor Besicherung </v>
      </c>
      <c r="J200" s="757" t="str">
        <f>Translation!$B$522</f>
        <v>Nach Besicherung</v>
      </c>
      <c r="K200" s="749"/>
      <c r="L200" s="757" t="str">
        <f>Translation!$B$524</f>
        <v>Vor Garantien und Kreditderivate</v>
      </c>
      <c r="M200" s="757" t="str">
        <f>Translation!$B$526</f>
        <v>Nach Garantien und Kred.-.Der.</v>
      </c>
      <c r="N200" s="745"/>
      <c r="O200" s="756"/>
      <c r="P200" s="756"/>
      <c r="Q200" s="731"/>
      <c r="R200" s="688"/>
    </row>
    <row r="201" spans="1:18" ht="58.5" customHeight="1" x14ac:dyDescent="0.25">
      <c r="A201" s="753"/>
      <c r="B201" s="1602" t="str">
        <f>Translation!B536</f>
        <v>Direkt und indirekt grundpfandgesicherte Positionen: Wohnliegenschaften in der Schweiz und im Ausland, bis zwei Drittel des Verkehrswertes, welche die „Richtlinie betreffend Mindestanforderungen bei Hypothekarfinanzierung“ der Schweizerischen Bankiervereinigung einhalten.</v>
      </c>
      <c r="C201" s="1318">
        <v>0.35</v>
      </c>
      <c r="D201" s="751"/>
      <c r="E201" s="754"/>
      <c r="F201" s="732"/>
      <c r="G201" s="1319">
        <v>0</v>
      </c>
      <c r="H201" s="749"/>
      <c r="I201" s="1319"/>
      <c r="J201" s="1319"/>
      <c r="K201" s="749"/>
      <c r="L201" s="1319"/>
      <c r="M201" s="1319"/>
      <c r="N201" s="745"/>
      <c r="O201" s="828">
        <f>(G201+I201+L201)*C201</f>
        <v>0</v>
      </c>
      <c r="P201" s="828">
        <f>(G201+J201+M201)*C201</f>
        <v>0</v>
      </c>
      <c r="Q201" s="731"/>
      <c r="R201" s="688"/>
    </row>
    <row r="202" spans="1:18" ht="56.25" customHeight="1" x14ac:dyDescent="0.25">
      <c r="A202" s="753"/>
      <c r="B202" s="1603" t="str">
        <f>Translation!B537</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202" s="1318">
        <v>0.75</v>
      </c>
      <c r="D202" s="751"/>
      <c r="E202" s="754"/>
      <c r="F202" s="732"/>
      <c r="G202" s="1319">
        <v>0</v>
      </c>
      <c r="H202" s="749"/>
      <c r="I202" s="1319"/>
      <c r="J202" s="1319"/>
      <c r="K202" s="749"/>
      <c r="L202" s="1319"/>
      <c r="M202" s="1319"/>
      <c r="N202" s="745"/>
      <c r="O202" s="828">
        <f>(G202+I202+L202)*C202</f>
        <v>0</v>
      </c>
      <c r="P202" s="828">
        <f>(G202+J202+M202)*C202</f>
        <v>0</v>
      </c>
      <c r="Q202" s="731"/>
      <c r="R202" s="688"/>
    </row>
    <row r="203" spans="1:18" ht="33" customHeight="1" x14ac:dyDescent="0.25">
      <c r="A203" s="753"/>
      <c r="B203" s="1603" t="str">
        <f>Translation!B538</f>
        <v>Direkt und indirekt grundpfandgesicherte Positionen: Wohnliegenschaften in der Schweiz und im Ausland, über 80% des Verkehrswertes</v>
      </c>
      <c r="C203" s="1318">
        <v>1</v>
      </c>
      <c r="D203" s="751"/>
      <c r="E203" s="754"/>
      <c r="F203" s="732"/>
      <c r="G203" s="1319">
        <v>0</v>
      </c>
      <c r="H203" s="749"/>
      <c r="I203" s="1319"/>
      <c r="J203" s="1319"/>
      <c r="K203" s="749"/>
      <c r="L203" s="1319"/>
      <c r="M203" s="1319"/>
      <c r="N203" s="745"/>
      <c r="O203" s="828">
        <f>(G203+I203+L203)*C203</f>
        <v>0</v>
      </c>
      <c r="P203" s="828">
        <f>(G203+J203+M203)*C203</f>
        <v>0</v>
      </c>
      <c r="Q203" s="731"/>
      <c r="R203" s="688"/>
    </row>
    <row r="204" spans="1:18" ht="15" customHeight="1" x14ac:dyDescent="0.25">
      <c r="A204" s="748"/>
      <c r="B204" s="791" t="str">
        <f>Translation!B542</f>
        <v xml:space="preserve">Direkt und indirekt grundpfandgesicherte Positionen: Übrige Liegenschaften </v>
      </c>
      <c r="C204" s="1318">
        <v>1</v>
      </c>
      <c r="D204" s="747"/>
      <c r="E204" s="746"/>
      <c r="F204" s="732"/>
      <c r="G204" s="1319">
        <v>0</v>
      </c>
      <c r="H204" s="749"/>
      <c r="I204" s="1319"/>
      <c r="J204" s="1319"/>
      <c r="K204" s="749"/>
      <c r="L204" s="1319"/>
      <c r="M204" s="1319"/>
      <c r="N204" s="745"/>
      <c r="O204" s="828">
        <f>(G204+I204+L204)*C204</f>
        <v>0</v>
      </c>
      <c r="P204" s="828">
        <f>(G204+J204+M204)*C204</f>
        <v>0</v>
      </c>
      <c r="Q204" s="731"/>
      <c r="R204" s="688"/>
    </row>
    <row r="205" spans="1:18" ht="15.75" x14ac:dyDescent="0.25">
      <c r="A205" s="744"/>
      <c r="B205" s="1188"/>
      <c r="C205" s="815"/>
      <c r="D205" s="740"/>
      <c r="E205" s="739"/>
      <c r="F205" s="732"/>
      <c r="G205" s="1189"/>
      <c r="H205" s="926"/>
      <c r="I205" s="1189"/>
      <c r="J205" s="1189"/>
      <c r="K205" s="926"/>
      <c r="L205" s="1189"/>
      <c r="M205" s="1189"/>
      <c r="N205" s="739"/>
      <c r="O205" s="1604">
        <f>(G205+I205+L205)*C205</f>
        <v>0</v>
      </c>
      <c r="P205" s="1604">
        <f>(G205+J205+M205)*C205</f>
        <v>0</v>
      </c>
      <c r="Q205" s="776"/>
      <c r="R205" s="688"/>
    </row>
    <row r="206" spans="1:18" s="686" customFormat="1" ht="15.75" x14ac:dyDescent="0.25">
      <c r="A206" s="1593"/>
      <c r="B206" s="740"/>
      <c r="C206" s="741"/>
      <c r="D206" s="741"/>
      <c r="E206" s="742"/>
      <c r="F206" s="732"/>
      <c r="G206" s="742"/>
      <c r="H206" s="694"/>
      <c r="I206" s="742"/>
      <c r="J206" s="733"/>
      <c r="K206" s="733"/>
      <c r="L206" s="742"/>
      <c r="M206" s="742"/>
      <c r="N206" s="733"/>
      <c r="O206" s="733"/>
      <c r="P206" s="733"/>
      <c r="Q206" s="798"/>
      <c r="R206" s="793"/>
    </row>
    <row r="207" spans="1:18" ht="15.75" x14ac:dyDescent="0.25">
      <c r="A207" s="743"/>
      <c r="B207" s="814"/>
      <c r="C207" s="741"/>
      <c r="D207" s="741"/>
      <c r="E207" s="742"/>
      <c r="F207" s="732"/>
      <c r="G207" s="741"/>
      <c r="H207" s="694"/>
      <c r="I207" s="733"/>
      <c r="J207" s="733"/>
      <c r="K207" s="733"/>
      <c r="L207" s="733"/>
      <c r="M207" s="733"/>
      <c r="N207" s="733"/>
      <c r="O207" s="733"/>
      <c r="P207" s="733"/>
      <c r="Q207" s="731"/>
      <c r="R207" s="688"/>
    </row>
    <row r="208" spans="1:18" ht="15.75" x14ac:dyDescent="0.25">
      <c r="A208" s="738"/>
      <c r="B208" s="819" t="str">
        <f>Translation!$B$516</f>
        <v>Summe der risikogewichteten Positionen vor CRM</v>
      </c>
      <c r="C208" s="737">
        <f>SUM(O201:O205)</f>
        <v>0</v>
      </c>
      <c r="D208" s="732"/>
      <c r="E208" s="732"/>
      <c r="F208" s="732"/>
      <c r="G208" s="735"/>
      <c r="H208" s="740"/>
      <c r="I208" s="733"/>
      <c r="J208" s="733"/>
      <c r="K208" s="733"/>
      <c r="L208" s="733"/>
      <c r="M208" s="733"/>
      <c r="N208" s="733"/>
      <c r="O208" s="739"/>
      <c r="P208" s="733"/>
      <c r="Q208" s="731"/>
      <c r="R208" s="688"/>
    </row>
    <row r="209" spans="1:18" ht="15.75" x14ac:dyDescent="0.25">
      <c r="A209" s="738"/>
      <c r="B209" s="819" t="str">
        <f>Translation!$B$517</f>
        <v>Summe der risikogewichteten Positionen nach CRM</v>
      </c>
      <c r="C209" s="737">
        <f>SUM(P201:P205)</f>
        <v>0</v>
      </c>
      <c r="D209" s="732"/>
      <c r="E209" s="732"/>
      <c r="F209" s="732"/>
      <c r="G209" s="735"/>
      <c r="H209" s="734"/>
      <c r="I209" s="733"/>
      <c r="J209" s="733"/>
      <c r="K209" s="733"/>
      <c r="L209" s="733"/>
      <c r="M209" s="733"/>
      <c r="N209" s="733"/>
      <c r="O209" s="732"/>
      <c r="P209" s="732"/>
      <c r="Q209" s="731"/>
      <c r="R209" s="688"/>
    </row>
    <row r="210" spans="1:18" ht="15.75" x14ac:dyDescent="0.25">
      <c r="A210" s="730"/>
      <c r="B210" s="787"/>
      <c r="C210" s="728"/>
      <c r="D210" s="728"/>
      <c r="E210" s="728"/>
      <c r="F210" s="728"/>
      <c r="G210" s="690"/>
      <c r="H210" s="690"/>
      <c r="I210" s="728"/>
      <c r="J210" s="728"/>
      <c r="K210" s="728"/>
      <c r="L210" s="728"/>
      <c r="M210" s="728"/>
      <c r="N210" s="728"/>
      <c r="O210" s="728"/>
      <c r="P210" s="728"/>
      <c r="Q210" s="727"/>
      <c r="R210" s="688"/>
    </row>
    <row r="211" spans="1:18" ht="15.75" x14ac:dyDescent="0.25">
      <c r="A211" s="775" t="str">
        <f>Translation!B543</f>
        <v>4 Nachrangige Positionen</v>
      </c>
      <c r="B211" s="774"/>
      <c r="C211" s="772"/>
      <c r="D211" s="733"/>
      <c r="E211" s="772"/>
      <c r="F211" s="772"/>
      <c r="G211" s="773"/>
      <c r="H211" s="773"/>
      <c r="I211" s="772"/>
      <c r="J211" s="772"/>
      <c r="K211" s="772"/>
      <c r="L211" s="772"/>
      <c r="M211" s="772"/>
      <c r="N211" s="772"/>
      <c r="O211" s="772"/>
      <c r="P211" s="772"/>
      <c r="Q211" s="771"/>
      <c r="R211" s="688"/>
    </row>
    <row r="212" spans="1:18" ht="15.75" x14ac:dyDescent="0.25">
      <c r="A212" s="707"/>
      <c r="B212" s="770"/>
      <c r="C212" s="733"/>
      <c r="D212" s="733"/>
      <c r="E212" s="733"/>
      <c r="F212" s="733"/>
      <c r="G212" s="694"/>
      <c r="H212" s="694"/>
      <c r="I212" s="733"/>
      <c r="J212" s="733"/>
      <c r="K212" s="733"/>
      <c r="L212" s="733"/>
      <c r="M212" s="733"/>
      <c r="N212" s="733"/>
      <c r="O212" s="733"/>
      <c r="P212" s="733"/>
      <c r="Q212" s="731"/>
      <c r="R212" s="688"/>
    </row>
    <row r="213" spans="1:18" ht="15.75" hidden="1" x14ac:dyDescent="0.25">
      <c r="A213" s="748"/>
      <c r="B213" s="770"/>
      <c r="C213" s="769"/>
      <c r="D213" s="736"/>
      <c r="E213" s="736"/>
      <c r="F213" s="736"/>
      <c r="G213" s="766"/>
      <c r="H213" s="766"/>
      <c r="I213" s="733"/>
      <c r="J213" s="733"/>
      <c r="K213" s="733"/>
      <c r="L213" s="733"/>
      <c r="M213" s="733"/>
      <c r="N213" s="733"/>
      <c r="O213" s="736"/>
      <c r="P213" s="733"/>
      <c r="Q213" s="731"/>
      <c r="R213" s="688"/>
    </row>
    <row r="214" spans="1:18" ht="15.75" hidden="1" x14ac:dyDescent="0.25">
      <c r="A214" s="748"/>
      <c r="B214" s="767" t="s">
        <v>579</v>
      </c>
      <c r="C214" s="768"/>
      <c r="D214" s="736"/>
      <c r="E214" s="736"/>
      <c r="F214" s="732"/>
      <c r="G214" s="766"/>
      <c r="H214" s="766"/>
      <c r="I214" s="733"/>
      <c r="J214" s="733"/>
      <c r="K214" s="733"/>
      <c r="L214" s="733"/>
      <c r="M214" s="733"/>
      <c r="N214" s="733"/>
      <c r="O214" s="736"/>
      <c r="P214" s="733"/>
      <c r="Q214" s="731"/>
      <c r="R214" s="688"/>
    </row>
    <row r="215" spans="1:18" ht="15.75" hidden="1" x14ac:dyDescent="0.25">
      <c r="A215" s="748"/>
      <c r="B215" s="1607" t="s">
        <v>578</v>
      </c>
      <c r="C215" s="736"/>
      <c r="D215" s="736"/>
      <c r="E215" s="736"/>
      <c r="F215" s="732"/>
      <c r="G215" s="766"/>
      <c r="H215" s="694"/>
      <c r="I215" s="2543"/>
      <c r="J215" s="2543"/>
      <c r="K215" s="733"/>
      <c r="L215" s="765"/>
      <c r="M215" s="733"/>
      <c r="N215" s="733"/>
      <c r="O215" s="733"/>
      <c r="P215" s="733"/>
      <c r="Q215" s="731"/>
      <c r="R215" s="688"/>
    </row>
    <row r="216" spans="1:18" ht="38.25" x14ac:dyDescent="0.25">
      <c r="A216" s="2541"/>
      <c r="B216" s="1591" t="str">
        <f>Translation!$B$518</f>
        <v>Kategorie</v>
      </c>
      <c r="C216" s="1588" t="str">
        <f>Translation!$B$519</f>
        <v>Risikogewicht</v>
      </c>
      <c r="D216" s="759"/>
      <c r="E216" s="761" t="s">
        <v>566</v>
      </c>
      <c r="F216" s="736"/>
      <c r="G216" s="761" t="str">
        <f>Translation!$B$520</f>
        <v>Positionen ohne Kreditrisikominderung (CRM)</v>
      </c>
      <c r="H216" s="763"/>
      <c r="I216" s="1605"/>
      <c r="J216" s="762" t="str">
        <f>Translation!$B$523</f>
        <v>Besicherte Positionen</v>
      </c>
      <c r="K216" s="763"/>
      <c r="L216" s="1601"/>
      <c r="M216" s="762" t="str">
        <f>Translation!$B$525</f>
        <v>Mit Garantien oder Kred.-Der. besicherte Positionen</v>
      </c>
      <c r="N216" s="745"/>
      <c r="O216" s="761" t="str">
        <f>Translation!$B$527</f>
        <v>Risikogew. Positionen vor CRM</v>
      </c>
      <c r="P216" s="761" t="str">
        <f>Translation!$B$528</f>
        <v>Risikogew. Positionen nach CRM</v>
      </c>
      <c r="Q216" s="731"/>
      <c r="R216" s="688"/>
    </row>
    <row r="217" spans="1:18" ht="15.75" x14ac:dyDescent="0.25">
      <c r="A217" s="2541"/>
      <c r="B217" s="1592"/>
      <c r="C217" s="1589"/>
      <c r="D217" s="759"/>
      <c r="E217" s="758"/>
      <c r="F217" s="736"/>
      <c r="G217" s="758"/>
      <c r="H217" s="749"/>
      <c r="I217" s="757" t="str">
        <f>Translation!$B$521</f>
        <v xml:space="preserve">Vor Besicherung </v>
      </c>
      <c r="J217" s="757" t="str">
        <f>Translation!$B$522</f>
        <v>Nach Besicherung</v>
      </c>
      <c r="K217" s="749"/>
      <c r="L217" s="757" t="str">
        <f>Translation!$B$524</f>
        <v>Vor Garantien und Kreditderivate</v>
      </c>
      <c r="M217" s="1606" t="str">
        <f>Translation!$B$526</f>
        <v>Nach Garantien und Kred.-.Der.</v>
      </c>
      <c r="N217" s="745"/>
      <c r="O217" s="756"/>
      <c r="P217" s="756"/>
      <c r="Q217" s="731"/>
      <c r="R217" s="688"/>
    </row>
    <row r="218" spans="1:18" ht="38.25" x14ac:dyDescent="0.25">
      <c r="A218" s="753"/>
      <c r="B218" s="786" t="str">
        <f>Translation!B544</f>
        <v>Nachrangige Positionen gegenüber öffentlichrechtlichen Körperschaften, deren Risikogewicht nach Anhang 2  (SA-BIZ) höchstens 50 % beträgt</v>
      </c>
      <c r="C218" s="1319"/>
      <c r="D218" s="751"/>
      <c r="E218" s="754"/>
      <c r="F218" s="732"/>
      <c r="G218" s="1319">
        <v>0</v>
      </c>
      <c r="H218" s="749"/>
      <c r="I218" s="1319"/>
      <c r="J218" s="1319"/>
      <c r="K218" s="749"/>
      <c r="L218" s="1319"/>
      <c r="M218" s="1319"/>
      <c r="N218" s="745"/>
      <c r="O218" s="828">
        <f>(G218+I218+L218)*C218</f>
        <v>0</v>
      </c>
      <c r="P218" s="828">
        <f>(G218+J218+M218)*C218</f>
        <v>0</v>
      </c>
      <c r="Q218" s="731"/>
      <c r="R218" s="688"/>
    </row>
    <row r="219" spans="1:18" ht="15.75" x14ac:dyDescent="0.25">
      <c r="A219" s="753"/>
      <c r="B219" s="785" t="str">
        <f>Translation!B545</f>
        <v>Übrige nachrangige Positionen</v>
      </c>
      <c r="C219" s="1319"/>
      <c r="D219" s="751"/>
      <c r="E219" s="754"/>
      <c r="F219" s="732"/>
      <c r="G219" s="1319">
        <v>0</v>
      </c>
      <c r="H219" s="749"/>
      <c r="I219" s="1319"/>
      <c r="J219" s="1319"/>
      <c r="K219" s="749"/>
      <c r="L219" s="1319"/>
      <c r="M219" s="1319"/>
      <c r="N219" s="745"/>
      <c r="O219" s="828">
        <f>(G219+I219+L219)*C219</f>
        <v>0</v>
      </c>
      <c r="P219" s="828">
        <f>(G219+J219+M219)*C219</f>
        <v>0</v>
      </c>
      <c r="Q219" s="731"/>
      <c r="R219" s="688"/>
    </row>
    <row r="220" spans="1:18" ht="15.75" x14ac:dyDescent="0.25">
      <c r="A220" s="748"/>
      <c r="B220" s="1188"/>
      <c r="C220" s="1189"/>
      <c r="D220" s="747"/>
      <c r="E220" s="746"/>
      <c r="F220" s="732"/>
      <c r="G220" s="1189"/>
      <c r="H220" s="926"/>
      <c r="I220" s="1189"/>
      <c r="J220" s="1189"/>
      <c r="K220" s="926"/>
      <c r="L220" s="1189"/>
      <c r="M220" s="1189"/>
      <c r="N220" s="745"/>
      <c r="O220" s="828">
        <f>(G220+I220+L220)*C220</f>
        <v>0</v>
      </c>
      <c r="P220" s="828">
        <f>(G220+J220+M220)*C220</f>
        <v>0</v>
      </c>
      <c r="Q220" s="731"/>
      <c r="R220" s="688"/>
    </row>
    <row r="221" spans="1:18" ht="15.75" x14ac:dyDescent="0.25">
      <c r="A221" s="744"/>
      <c r="B221" s="684"/>
      <c r="C221" s="739"/>
      <c r="D221" s="739"/>
      <c r="E221" s="739"/>
      <c r="F221" s="732"/>
      <c r="G221" s="740"/>
      <c r="H221" s="740"/>
      <c r="I221" s="739"/>
      <c r="J221" s="739"/>
      <c r="K221" s="739"/>
      <c r="L221" s="739"/>
      <c r="M221" s="733"/>
      <c r="N221" s="733"/>
      <c r="O221" s="739"/>
      <c r="P221" s="739"/>
      <c r="Q221" s="731"/>
      <c r="R221" s="688"/>
    </row>
    <row r="222" spans="1:18" ht="15.75" x14ac:dyDescent="0.25">
      <c r="A222" s="738"/>
      <c r="B222" s="819" t="str">
        <f>Translation!$B$516</f>
        <v>Summe der risikogewichteten Positionen vor CRM</v>
      </c>
      <c r="C222" s="737">
        <f>SUM(O218:O220)</f>
        <v>0</v>
      </c>
      <c r="D222" s="732"/>
      <c r="E222" s="732"/>
      <c r="F222" s="732"/>
      <c r="G222" s="735"/>
      <c r="H222" s="740"/>
      <c r="I222" s="733"/>
      <c r="J222" s="733"/>
      <c r="K222" s="733"/>
      <c r="L222" s="733"/>
      <c r="M222" s="733"/>
      <c r="N222" s="733"/>
      <c r="O222" s="739"/>
      <c r="P222" s="733"/>
      <c r="Q222" s="731"/>
      <c r="R222" s="688"/>
    </row>
    <row r="223" spans="1:18" ht="15.75" x14ac:dyDescent="0.25">
      <c r="A223" s="738"/>
      <c r="B223" s="819" t="str">
        <f>Translation!$B$517</f>
        <v>Summe der risikogewichteten Positionen nach CRM</v>
      </c>
      <c r="C223" s="737">
        <f>SUM(P218:P220)</f>
        <v>0</v>
      </c>
      <c r="D223" s="732"/>
      <c r="E223" s="732"/>
      <c r="F223" s="732"/>
      <c r="G223" s="735"/>
      <c r="H223" s="734"/>
      <c r="I223" s="733"/>
      <c r="J223" s="733"/>
      <c r="K223" s="733"/>
      <c r="L223" s="733"/>
      <c r="M223" s="733"/>
      <c r="N223" s="733"/>
      <c r="O223" s="732"/>
      <c r="P223" s="732"/>
      <c r="Q223" s="731"/>
      <c r="R223" s="688"/>
    </row>
    <row r="224" spans="1:18" ht="15.75" x14ac:dyDescent="0.25">
      <c r="A224" s="748"/>
      <c r="B224" s="684"/>
      <c r="C224" s="733"/>
      <c r="D224" s="733"/>
      <c r="E224" s="733"/>
      <c r="F224" s="733"/>
      <c r="G224" s="694"/>
      <c r="H224" s="694"/>
      <c r="I224" s="733"/>
      <c r="J224" s="733"/>
      <c r="K224" s="733"/>
      <c r="L224" s="733"/>
      <c r="M224" s="733"/>
      <c r="N224" s="733"/>
      <c r="O224" s="733"/>
      <c r="P224" s="733"/>
      <c r="Q224" s="731"/>
      <c r="R224" s="688"/>
    </row>
    <row r="225" spans="1:18" ht="15.75" x14ac:dyDescent="0.25">
      <c r="A225" s="748"/>
      <c r="B225" s="784"/>
      <c r="C225" s="733"/>
      <c r="D225" s="733"/>
      <c r="E225" s="733"/>
      <c r="F225" s="733"/>
      <c r="G225" s="694"/>
      <c r="H225" s="694"/>
      <c r="I225" s="733"/>
      <c r="J225" s="733"/>
      <c r="K225" s="733"/>
      <c r="L225" s="733"/>
      <c r="M225" s="733"/>
      <c r="N225" s="733"/>
      <c r="O225" s="733"/>
      <c r="P225" s="733"/>
      <c r="Q225" s="731"/>
      <c r="R225" s="688"/>
    </row>
    <row r="226" spans="1:18" ht="15.75" x14ac:dyDescent="0.25">
      <c r="A226" s="775" t="str">
        <f>Translation!B546</f>
        <v>5 Überfällige Positionen</v>
      </c>
      <c r="B226" s="774"/>
      <c r="C226" s="772"/>
      <c r="D226" s="772"/>
      <c r="E226" s="772"/>
      <c r="F226" s="772"/>
      <c r="G226" s="773"/>
      <c r="H226" s="773"/>
      <c r="I226" s="772"/>
      <c r="J226" s="772"/>
      <c r="K226" s="772"/>
      <c r="L226" s="772"/>
      <c r="M226" s="772"/>
      <c r="N226" s="772"/>
      <c r="O226" s="772"/>
      <c r="P226" s="772"/>
      <c r="Q226" s="783"/>
      <c r="R226" s="688"/>
    </row>
    <row r="227" spans="1:18" ht="15.75" x14ac:dyDescent="0.25">
      <c r="A227" s="707"/>
      <c r="B227" s="770"/>
      <c r="C227" s="733"/>
      <c r="D227" s="733"/>
      <c r="E227" s="733"/>
      <c r="F227" s="733"/>
      <c r="G227" s="694"/>
      <c r="H227" s="694"/>
      <c r="I227" s="733"/>
      <c r="J227" s="733"/>
      <c r="K227" s="733"/>
      <c r="L227" s="733"/>
      <c r="M227" s="733"/>
      <c r="N227" s="733"/>
      <c r="O227" s="733"/>
      <c r="P227" s="733"/>
      <c r="Q227" s="782"/>
      <c r="R227" s="688"/>
    </row>
    <row r="228" spans="1:18" ht="15.75" hidden="1" x14ac:dyDescent="0.25">
      <c r="A228" s="748"/>
      <c r="B228" s="770"/>
      <c r="C228" s="769"/>
      <c r="D228" s="736"/>
      <c r="E228" s="736"/>
      <c r="F228" s="736"/>
      <c r="G228" s="766"/>
      <c r="H228" s="766"/>
      <c r="I228" s="733"/>
      <c r="J228" s="733"/>
      <c r="K228" s="733"/>
      <c r="L228" s="733"/>
      <c r="M228" s="733"/>
      <c r="N228" s="733"/>
      <c r="O228" s="736"/>
      <c r="P228" s="733"/>
      <c r="Q228" s="782"/>
      <c r="R228" s="688"/>
    </row>
    <row r="229" spans="1:18" ht="15.75" hidden="1" x14ac:dyDescent="0.25">
      <c r="A229" s="748"/>
      <c r="B229" s="767" t="s">
        <v>575</v>
      </c>
      <c r="C229" s="769"/>
      <c r="D229" s="736"/>
      <c r="E229" s="736"/>
      <c r="F229" s="736"/>
      <c r="G229" s="766"/>
      <c r="H229" s="766"/>
      <c r="I229" s="733"/>
      <c r="J229" s="733"/>
      <c r="K229" s="733"/>
      <c r="L229" s="733"/>
      <c r="M229" s="733"/>
      <c r="N229" s="733"/>
      <c r="O229" s="736"/>
      <c r="P229" s="733"/>
      <c r="Q229" s="782"/>
      <c r="R229" s="688"/>
    </row>
    <row r="230" spans="1:18" ht="15.75" hidden="1" x14ac:dyDescent="0.25">
      <c r="A230" s="748"/>
      <c r="B230" s="767" t="s">
        <v>574</v>
      </c>
      <c r="C230" s="768"/>
      <c r="D230" s="736"/>
      <c r="E230" s="736"/>
      <c r="F230" s="736"/>
      <c r="G230" s="766"/>
      <c r="H230" s="766"/>
      <c r="I230" s="733"/>
      <c r="J230" s="733"/>
      <c r="K230" s="733"/>
      <c r="L230" s="733"/>
      <c r="M230" s="733"/>
      <c r="N230" s="733"/>
      <c r="O230" s="736"/>
      <c r="P230" s="733"/>
      <c r="Q230" s="782"/>
      <c r="R230" s="688"/>
    </row>
    <row r="231" spans="1:18" ht="15.75" hidden="1" x14ac:dyDescent="0.25">
      <c r="A231" s="748"/>
      <c r="B231" s="767" t="s">
        <v>573</v>
      </c>
      <c r="C231" s="781">
        <f>C230+C228</f>
        <v>0</v>
      </c>
      <c r="D231" s="780"/>
      <c r="E231" s="780"/>
      <c r="F231" s="736"/>
      <c r="G231" s="766"/>
      <c r="H231" s="766"/>
      <c r="I231" s="733"/>
      <c r="J231" s="733"/>
      <c r="K231" s="733"/>
      <c r="L231" s="733"/>
      <c r="M231" s="733"/>
      <c r="N231" s="733"/>
      <c r="O231" s="736"/>
      <c r="P231" s="733"/>
      <c r="Q231" s="731"/>
      <c r="R231" s="688"/>
    </row>
    <row r="232" spans="1:18" ht="15.75" hidden="1" x14ac:dyDescent="0.25">
      <c r="A232" s="748"/>
      <c r="B232" s="1596" t="s">
        <v>572</v>
      </c>
      <c r="C232" s="736"/>
      <c r="D232" s="736"/>
      <c r="E232" s="736"/>
      <c r="F232" s="736"/>
      <c r="G232" s="766"/>
      <c r="H232" s="694"/>
      <c r="I232" s="2542"/>
      <c r="J232" s="2543"/>
      <c r="K232" s="733"/>
      <c r="L232" s="765"/>
      <c r="M232" s="765"/>
      <c r="N232" s="733"/>
      <c r="O232" s="733"/>
      <c r="P232" s="733"/>
      <c r="Q232" s="731"/>
      <c r="R232" s="688"/>
    </row>
    <row r="233" spans="1:18" ht="38.25" x14ac:dyDescent="0.25">
      <c r="A233" s="2541"/>
      <c r="B233" s="1591" t="str">
        <f>Translation!$B$518</f>
        <v>Kategorie</v>
      </c>
      <c r="C233" s="1588" t="str">
        <f>Translation!$B$519</f>
        <v>Risikogewicht</v>
      </c>
      <c r="D233" s="759"/>
      <c r="E233" s="761" t="s">
        <v>566</v>
      </c>
      <c r="F233" s="736"/>
      <c r="G233" s="761" t="str">
        <f>Translation!$B$520</f>
        <v>Positionen ohne Kreditrisikominderung (CRM)</v>
      </c>
      <c r="H233" s="763"/>
      <c r="J233" s="762" t="str">
        <f>Translation!$B$523</f>
        <v>Besicherte Positionen</v>
      </c>
      <c r="K233" s="763"/>
      <c r="M233" s="762" t="str">
        <f>Translation!$B$525</f>
        <v>Mit Garantien oder Kred.-Der. besicherte Positionen</v>
      </c>
      <c r="N233" s="745"/>
      <c r="O233" s="761" t="str">
        <f>Translation!$B$527</f>
        <v>Risikogew. Positionen vor CRM</v>
      </c>
      <c r="P233" s="761" t="str">
        <f>Translation!$B$528</f>
        <v>Risikogew. Positionen nach CRM</v>
      </c>
      <c r="Q233" s="731"/>
      <c r="R233" s="688"/>
    </row>
    <row r="234" spans="1:18" ht="15.75" x14ac:dyDescent="0.25">
      <c r="A234" s="2541"/>
      <c r="B234" s="1592"/>
      <c r="C234" s="1589"/>
      <c r="D234" s="759"/>
      <c r="E234" s="758"/>
      <c r="F234" s="736"/>
      <c r="G234" s="758"/>
      <c r="H234" s="749"/>
      <c r="I234" s="757" t="str">
        <f>Translation!$B$521</f>
        <v xml:space="preserve">Vor Besicherung </v>
      </c>
      <c r="J234" s="757" t="str">
        <f>Translation!$B$522</f>
        <v>Nach Besicherung</v>
      </c>
      <c r="K234" s="749"/>
      <c r="L234" s="757" t="str">
        <f>Translation!$B$524</f>
        <v>Vor Garantien und Kreditderivate</v>
      </c>
      <c r="M234" s="757" t="str">
        <f>Translation!$B$526</f>
        <v>Nach Garantien und Kred.-.Der.</v>
      </c>
      <c r="N234" s="745"/>
      <c r="O234" s="756"/>
      <c r="P234" s="756"/>
      <c r="Q234" s="731"/>
      <c r="R234" s="688"/>
    </row>
    <row r="235" spans="1:18" ht="35.25" customHeight="1" x14ac:dyDescent="0.25">
      <c r="A235" s="753"/>
      <c r="B235" s="778" t="str">
        <f>Translation!B547</f>
        <v>Die um die Einzelwertberichtigungen korrigierten Positionen nach Ziffer 3.1, wobei grundpfandgesicherte Positionen nach den Ziffern 3.2-3.4 als unbesichert gelten</v>
      </c>
      <c r="C235" s="1318">
        <v>1</v>
      </c>
      <c r="D235" s="751"/>
      <c r="E235" s="754"/>
      <c r="F235" s="736"/>
      <c r="G235" s="1319">
        <v>0</v>
      </c>
      <c r="H235" s="749"/>
      <c r="I235" s="1319"/>
      <c r="J235" s="1319"/>
      <c r="K235" s="749"/>
      <c r="L235" s="1319"/>
      <c r="M235" s="1319"/>
      <c r="N235" s="745"/>
      <c r="O235" s="828">
        <f>(G235+I235+L235)*C235</f>
        <v>0</v>
      </c>
      <c r="P235" s="828">
        <f>(G235+J235+M235)*C235</f>
        <v>0</v>
      </c>
      <c r="Q235" s="731"/>
      <c r="R235" s="688"/>
    </row>
    <row r="236" spans="1:18" ht="38.25" customHeight="1" x14ac:dyDescent="0.25">
      <c r="A236" s="753"/>
      <c r="B236" s="778" t="str">
        <f>Translation!B548</f>
        <v>Die um die Einzelwertberichtigungen korrigierten unbesicherten Positionsanteile, sofern die Einzelwertberichtigungen mindestens 20 % des ausstehenden Betrags ausmachen</v>
      </c>
      <c r="C236" s="1318">
        <v>1</v>
      </c>
      <c r="D236" s="751"/>
      <c r="E236" s="754"/>
      <c r="F236" s="736"/>
      <c r="G236" s="1319">
        <v>0</v>
      </c>
      <c r="H236" s="749"/>
      <c r="I236" s="1319"/>
      <c r="J236" s="1319"/>
      <c r="K236" s="749"/>
      <c r="L236" s="1319"/>
      <c r="M236" s="1319"/>
      <c r="N236" s="745"/>
      <c r="O236" s="828">
        <f>(G236+I236+L236)*C236</f>
        <v>0</v>
      </c>
      <c r="P236" s="828">
        <f>(G236+J236+M236)*C236</f>
        <v>0</v>
      </c>
      <c r="Q236" s="731"/>
      <c r="R236" s="688"/>
    </row>
    <row r="237" spans="1:18" ht="37.5" customHeight="1" x14ac:dyDescent="0.25">
      <c r="A237" s="753"/>
      <c r="B237" s="778" t="str">
        <f>Translation!B549</f>
        <v>Die um die Einzelwertberichtigungen korrigierten unbesicherten Positionsanteile, sofern die Einzelwertberichtigungen weniger als 20 % des ausstehenden Betrags ausmachen</v>
      </c>
      <c r="C237" s="1318">
        <v>1.5</v>
      </c>
      <c r="D237" s="751"/>
      <c r="E237" s="750"/>
      <c r="F237" s="736"/>
      <c r="G237" s="1319">
        <v>0</v>
      </c>
      <c r="H237" s="749"/>
      <c r="I237" s="1319"/>
      <c r="J237" s="1319"/>
      <c r="K237" s="749"/>
      <c r="L237" s="1319"/>
      <c r="M237" s="1319"/>
      <c r="N237" s="745"/>
      <c r="O237" s="828">
        <f>(G237+I237+L237)*C237</f>
        <v>0</v>
      </c>
      <c r="P237" s="828">
        <f>(G237+J237+M237)*C237</f>
        <v>0</v>
      </c>
      <c r="Q237" s="731"/>
      <c r="R237" s="688"/>
    </row>
    <row r="238" spans="1:18" ht="15.75" x14ac:dyDescent="0.25">
      <c r="A238" s="748"/>
      <c r="B238" s="1188"/>
      <c r="C238" s="815"/>
      <c r="D238" s="747"/>
      <c r="E238" s="746"/>
      <c r="F238" s="736"/>
      <c r="G238" s="1189"/>
      <c r="H238" s="926"/>
      <c r="I238" s="1189"/>
      <c r="J238" s="1189"/>
      <c r="K238" s="926"/>
      <c r="L238" s="1189"/>
      <c r="M238" s="1189"/>
      <c r="N238" s="745"/>
      <c r="O238" s="828">
        <f>(G238+I238+L238)*C238</f>
        <v>0</v>
      </c>
      <c r="P238" s="828">
        <f>(G238+J238+M238)*C238</f>
        <v>0</v>
      </c>
      <c r="Q238" s="731"/>
      <c r="R238" s="688"/>
    </row>
    <row r="239" spans="1:18" ht="15.75" x14ac:dyDescent="0.25">
      <c r="A239" s="744"/>
      <c r="B239" s="684"/>
      <c r="C239" s="777"/>
      <c r="D239" s="740"/>
      <c r="E239" s="739"/>
      <c r="F239" s="736"/>
      <c r="G239" s="739"/>
      <c r="H239" s="740"/>
      <c r="I239" s="739"/>
      <c r="J239" s="739"/>
      <c r="K239" s="739"/>
      <c r="L239" s="739"/>
      <c r="M239" s="739"/>
      <c r="N239" s="739"/>
      <c r="O239" s="739"/>
      <c r="P239" s="739"/>
      <c r="Q239" s="776"/>
      <c r="R239" s="688"/>
    </row>
    <row r="240" spans="1:18" ht="15.75" x14ac:dyDescent="0.25">
      <c r="A240" s="738"/>
      <c r="B240" s="819" t="str">
        <f>Translation!$B$516</f>
        <v>Summe der risikogewichteten Positionen vor CRM</v>
      </c>
      <c r="C240" s="737">
        <f>SUM(O235:O238)</f>
        <v>0</v>
      </c>
      <c r="D240" s="732"/>
      <c r="E240" s="732"/>
      <c r="F240" s="736"/>
      <c r="G240" s="735"/>
      <c r="H240" s="740"/>
      <c r="I240" s="733"/>
      <c r="J240" s="733"/>
      <c r="K240" s="733"/>
      <c r="L240" s="733"/>
      <c r="M240" s="733"/>
      <c r="N240" s="733"/>
      <c r="O240" s="739"/>
      <c r="P240" s="733"/>
      <c r="Q240" s="731"/>
      <c r="R240" s="688"/>
    </row>
    <row r="241" spans="1:18" ht="15.75" x14ac:dyDescent="0.25">
      <c r="A241" s="738"/>
      <c r="B241" s="819" t="str">
        <f>Translation!$B$517</f>
        <v>Summe der risikogewichteten Positionen nach CRM</v>
      </c>
      <c r="C241" s="737">
        <f>SUM(P235:P238)</f>
        <v>0</v>
      </c>
      <c r="D241" s="732"/>
      <c r="E241" s="732"/>
      <c r="F241" s="732"/>
      <c r="G241" s="735"/>
      <c r="H241" s="734"/>
      <c r="I241" s="733"/>
      <c r="J241" s="733"/>
      <c r="K241" s="733"/>
      <c r="L241" s="733"/>
      <c r="M241" s="733"/>
      <c r="N241" s="733"/>
      <c r="O241" s="732"/>
      <c r="P241" s="732"/>
      <c r="Q241" s="731"/>
      <c r="R241" s="688"/>
    </row>
    <row r="242" spans="1:18" ht="15.75" x14ac:dyDescent="0.25">
      <c r="A242" s="730"/>
      <c r="B242" s="729"/>
      <c r="C242" s="728"/>
      <c r="D242" s="728"/>
      <c r="E242" s="728"/>
      <c r="F242" s="728"/>
      <c r="G242" s="690"/>
      <c r="H242" s="690"/>
      <c r="I242" s="728"/>
      <c r="J242" s="728"/>
      <c r="K242" s="728"/>
      <c r="L242" s="728"/>
      <c r="M242" s="728"/>
      <c r="N242" s="728"/>
      <c r="O242" s="728"/>
      <c r="P242" s="728"/>
      <c r="Q242" s="727"/>
      <c r="R242" s="688"/>
    </row>
    <row r="243" spans="1:18" ht="15.75" x14ac:dyDescent="0.25">
      <c r="A243" s="775" t="str">
        <f>Translation!B550</f>
        <v>6 Übrige Positionen</v>
      </c>
      <c r="B243" s="774"/>
      <c r="C243" s="772"/>
      <c r="D243" s="733"/>
      <c r="E243" s="772"/>
      <c r="F243" s="772"/>
      <c r="G243" s="773"/>
      <c r="H243" s="773"/>
      <c r="I243" s="772"/>
      <c r="J243" s="772"/>
      <c r="K243" s="772"/>
      <c r="L243" s="772"/>
      <c r="M243" s="772"/>
      <c r="N243" s="772"/>
      <c r="O243" s="772"/>
      <c r="P243" s="772"/>
      <c r="Q243" s="771"/>
      <c r="R243" s="688"/>
    </row>
    <row r="244" spans="1:18" ht="15.75" x14ac:dyDescent="0.25">
      <c r="A244" s="707"/>
      <c r="B244" s="770"/>
      <c r="C244" s="733"/>
      <c r="D244" s="733"/>
      <c r="E244" s="733"/>
      <c r="F244" s="733"/>
      <c r="G244" s="694"/>
      <c r="H244" s="694"/>
      <c r="I244" s="733"/>
      <c r="J244" s="733"/>
      <c r="K244" s="733"/>
      <c r="L244" s="733"/>
      <c r="M244" s="733"/>
      <c r="N244" s="733"/>
      <c r="O244" s="733"/>
      <c r="P244" s="733"/>
      <c r="Q244" s="731"/>
      <c r="R244" s="688"/>
    </row>
    <row r="245" spans="1:18" ht="15.75" hidden="1" x14ac:dyDescent="0.25">
      <c r="A245" s="748"/>
      <c r="B245" s="770"/>
      <c r="C245" s="769"/>
      <c r="D245" s="736"/>
      <c r="E245" s="736"/>
      <c r="F245" s="736"/>
      <c r="G245" s="766"/>
      <c r="H245" s="766"/>
      <c r="I245" s="733"/>
      <c r="J245" s="733"/>
      <c r="K245" s="733"/>
      <c r="L245" s="733"/>
      <c r="M245" s="733"/>
      <c r="N245" s="733"/>
      <c r="O245" s="736"/>
      <c r="P245" s="733"/>
      <c r="Q245" s="731"/>
      <c r="R245" s="688"/>
    </row>
    <row r="246" spans="1:18" ht="15.75" hidden="1" x14ac:dyDescent="0.25">
      <c r="A246" s="748"/>
      <c r="B246" s="767" t="s">
        <v>569</v>
      </c>
      <c r="C246" s="768"/>
      <c r="D246" s="736"/>
      <c r="E246" s="736"/>
      <c r="F246" s="736"/>
      <c r="G246" s="766"/>
      <c r="H246" s="766"/>
      <c r="I246" s="733"/>
      <c r="J246" s="733"/>
      <c r="K246" s="733"/>
      <c r="L246" s="733"/>
      <c r="M246" s="733"/>
      <c r="N246" s="733"/>
      <c r="O246" s="736"/>
      <c r="P246" s="733"/>
      <c r="Q246" s="731"/>
      <c r="R246" s="688"/>
    </row>
    <row r="247" spans="1:18" ht="15.75" hidden="1" x14ac:dyDescent="0.25">
      <c r="A247" s="748"/>
      <c r="B247" s="767" t="s">
        <v>568</v>
      </c>
      <c r="C247" s="736"/>
      <c r="D247" s="736"/>
      <c r="E247" s="736"/>
      <c r="F247" s="736"/>
      <c r="G247" s="766"/>
      <c r="H247" s="694"/>
      <c r="I247" s="2543"/>
      <c r="J247" s="2543"/>
      <c r="K247" s="733"/>
      <c r="L247" s="765"/>
      <c r="M247" s="733"/>
      <c r="N247" s="733"/>
      <c r="O247" s="733"/>
      <c r="P247" s="733"/>
      <c r="Q247" s="731"/>
      <c r="R247" s="688"/>
    </row>
    <row r="248" spans="1:18" ht="41.25" customHeight="1" x14ac:dyDescent="0.25">
      <c r="A248" s="2541"/>
      <c r="B248" s="934" t="str">
        <f>Translation!$B$518</f>
        <v>Kategorie</v>
      </c>
      <c r="C248" s="764" t="str">
        <f>Translation!$B$519</f>
        <v>Risikogewicht</v>
      </c>
      <c r="D248" s="759"/>
      <c r="E248" s="761" t="s">
        <v>566</v>
      </c>
      <c r="F248" s="736"/>
      <c r="G248" s="761" t="str">
        <f>Translation!$B$520</f>
        <v>Positionen ohne Kreditrisikominderung (CRM)</v>
      </c>
      <c r="H248" s="763"/>
      <c r="J248" s="762" t="str">
        <f>Translation!$B$523</f>
        <v>Besicherte Positionen</v>
      </c>
      <c r="K248" s="763"/>
      <c r="M248" s="762" t="str">
        <f>Translation!$B$525</f>
        <v>Mit Garantien oder Kred.-Der. besicherte Positionen</v>
      </c>
      <c r="N248" s="745"/>
      <c r="O248" s="761" t="str">
        <f>Translation!$B$527</f>
        <v>Risikogew. Positionen vor CRM</v>
      </c>
      <c r="P248" s="761" t="str">
        <f>Translation!$B$528</f>
        <v>Risikogew. Positionen nach CRM</v>
      </c>
      <c r="Q248" s="731"/>
      <c r="R248" s="688"/>
    </row>
    <row r="249" spans="1:18" ht="17.25" customHeight="1" x14ac:dyDescent="0.25">
      <c r="A249" s="2541"/>
      <c r="B249" s="934"/>
      <c r="C249" s="760"/>
      <c r="D249" s="759"/>
      <c r="E249" s="758"/>
      <c r="F249" s="736"/>
      <c r="G249" s="758"/>
      <c r="H249" s="749"/>
      <c r="I249" s="757" t="str">
        <f>Translation!$B$521</f>
        <v xml:space="preserve">Vor Besicherung </v>
      </c>
      <c r="J249" s="757" t="str">
        <f>Translation!$B$522</f>
        <v>Nach Besicherung</v>
      </c>
      <c r="K249" s="749"/>
      <c r="L249" s="757" t="str">
        <f>Translation!$B$524</f>
        <v>Vor Garantien und Kreditderivate</v>
      </c>
      <c r="M249" s="757" t="str">
        <f>Translation!$B$526</f>
        <v>Nach Garantien und Kred.-.Der.</v>
      </c>
      <c r="N249" s="745"/>
      <c r="O249" s="756"/>
      <c r="P249" s="756"/>
      <c r="Q249" s="731"/>
      <c r="R249" s="688"/>
    </row>
    <row r="250" spans="1:18" ht="15.75" x14ac:dyDescent="0.25">
      <c r="A250" s="753"/>
      <c r="B250" s="755" t="str">
        <f>Translation!B551</f>
        <v xml:space="preserve">Flüssige Mittel, jedoch ohne Positionen unter Blatt "Positionsklassen",  A.) 6.2  </v>
      </c>
      <c r="C250" s="1318">
        <v>0</v>
      </c>
      <c r="D250" s="751"/>
      <c r="E250" s="754"/>
      <c r="F250" s="736"/>
      <c r="G250" s="1319">
        <v>0</v>
      </c>
      <c r="H250" s="749"/>
      <c r="I250" s="1319"/>
      <c r="J250" s="1319"/>
      <c r="K250" s="749"/>
      <c r="L250" s="1319"/>
      <c r="M250" s="1319"/>
      <c r="N250" s="745"/>
      <c r="O250" s="828">
        <f>(G250+I250+L250)*C250</f>
        <v>0</v>
      </c>
      <c r="P250" s="828">
        <f>(G250+J250+M250)*C250</f>
        <v>0</v>
      </c>
      <c r="Q250" s="731"/>
      <c r="R250" s="688"/>
    </row>
    <row r="251" spans="1:18" ht="15.75" x14ac:dyDescent="0.25">
      <c r="A251" s="753"/>
      <c r="B251" s="755" t="str">
        <f>Translation!B552</f>
        <v>Kreditäquivalente aus Einzahlungs- und Nachschussverpflichtungen</v>
      </c>
      <c r="C251" s="1318">
        <v>1</v>
      </c>
      <c r="D251" s="751"/>
      <c r="E251" s="754"/>
      <c r="F251" s="736"/>
      <c r="G251" s="1319">
        <v>0</v>
      </c>
      <c r="H251" s="749"/>
      <c r="I251" s="1319"/>
      <c r="J251" s="1319"/>
      <c r="K251" s="749"/>
      <c r="L251" s="1319"/>
      <c r="M251" s="1319"/>
      <c r="N251" s="745"/>
      <c r="O251" s="828">
        <f>(G251+I251+L251)*C251</f>
        <v>0</v>
      </c>
      <c r="P251" s="828">
        <f>(G251+J251+M251)*C251</f>
        <v>0</v>
      </c>
      <c r="Q251" s="731"/>
      <c r="R251" s="688"/>
    </row>
    <row r="252" spans="1:18" ht="15.75" x14ac:dyDescent="0.25">
      <c r="A252" s="753"/>
      <c r="B252" s="755" t="str">
        <f>Translation!B553</f>
        <v>Übrige Positionen (inkl. Rechnungsbegrenzungsposten)</v>
      </c>
      <c r="C252" s="1318">
        <v>1</v>
      </c>
      <c r="D252" s="751"/>
      <c r="E252" s="750"/>
      <c r="F252" s="736"/>
      <c r="G252" s="1319">
        <v>0</v>
      </c>
      <c r="H252" s="749"/>
      <c r="I252" s="1319"/>
      <c r="J252" s="1319"/>
      <c r="K252" s="749"/>
      <c r="L252" s="1319"/>
      <c r="M252" s="1319"/>
      <c r="N252" s="745"/>
      <c r="O252" s="828">
        <f>(G252+I252+L252)*C252</f>
        <v>0</v>
      </c>
      <c r="P252" s="828">
        <f>(G252+J252+M252)*C252</f>
        <v>0</v>
      </c>
      <c r="Q252" s="731"/>
      <c r="R252" s="688"/>
    </row>
    <row r="253" spans="1:18" ht="15.75" x14ac:dyDescent="0.25">
      <c r="A253" s="748"/>
      <c r="B253" s="1188"/>
      <c r="C253" s="815"/>
      <c r="D253" s="747"/>
      <c r="E253" s="746"/>
      <c r="F253" s="736"/>
      <c r="G253" s="1189"/>
      <c r="H253" s="926"/>
      <c r="I253" s="1189"/>
      <c r="J253" s="1189"/>
      <c r="K253" s="926"/>
      <c r="L253" s="1189"/>
      <c r="M253" s="1189"/>
      <c r="N253" s="745"/>
      <c r="O253" s="828">
        <f>(G253+I253+L253)*C253</f>
        <v>0</v>
      </c>
      <c r="P253" s="828">
        <f>(G253+J253+M253)*C253</f>
        <v>0</v>
      </c>
      <c r="Q253" s="731"/>
      <c r="R253" s="688"/>
    </row>
    <row r="254" spans="1:18" ht="15.75" x14ac:dyDescent="0.25">
      <c r="A254" s="744"/>
      <c r="B254" s="684"/>
      <c r="C254" s="739"/>
      <c r="D254" s="739"/>
      <c r="E254" s="739"/>
      <c r="F254" s="736"/>
      <c r="G254" s="740"/>
      <c r="H254" s="740"/>
      <c r="I254" s="739"/>
      <c r="J254" s="739"/>
      <c r="K254" s="739"/>
      <c r="L254" s="739"/>
      <c r="M254" s="733"/>
      <c r="N254" s="733"/>
      <c r="O254" s="739"/>
      <c r="P254" s="739"/>
      <c r="Q254" s="731"/>
      <c r="R254" s="688"/>
    </row>
    <row r="255" spans="1:18" ht="15.75" x14ac:dyDescent="0.25">
      <c r="A255" s="738"/>
      <c r="B255" s="819" t="str">
        <f>Translation!$B$516</f>
        <v>Summe der risikogewichteten Positionen vor CRM</v>
      </c>
      <c r="C255" s="737">
        <f>SUM(O250:O253)</f>
        <v>0</v>
      </c>
      <c r="D255" s="732"/>
      <c r="E255" s="732"/>
      <c r="F255" s="736"/>
      <c r="G255" s="735"/>
      <c r="H255" s="740"/>
      <c r="I255" s="733"/>
      <c r="J255" s="733"/>
      <c r="K255" s="733"/>
      <c r="L255" s="733"/>
      <c r="M255" s="733"/>
      <c r="N255" s="733"/>
      <c r="O255" s="739"/>
      <c r="P255" s="733"/>
      <c r="Q255" s="731"/>
      <c r="R255" s="688"/>
    </row>
    <row r="256" spans="1:18" ht="15.75" x14ac:dyDescent="0.25">
      <c r="A256" s="738"/>
      <c r="B256" s="819" t="str">
        <f>Translation!$B$517</f>
        <v>Summe der risikogewichteten Positionen nach CRM</v>
      </c>
      <c r="C256" s="737">
        <f>SUM(P250:P253)</f>
        <v>0</v>
      </c>
      <c r="D256" s="732"/>
      <c r="E256" s="732"/>
      <c r="F256" s="736"/>
      <c r="G256" s="735"/>
      <c r="H256" s="734"/>
      <c r="I256" s="733"/>
      <c r="J256" s="733"/>
      <c r="K256" s="733"/>
      <c r="L256" s="733"/>
      <c r="M256" s="733"/>
      <c r="N256" s="733"/>
      <c r="O256" s="732"/>
      <c r="P256" s="732"/>
      <c r="Q256" s="731"/>
      <c r="R256" s="688"/>
    </row>
    <row r="257" spans="1:18" ht="15.75" x14ac:dyDescent="0.25">
      <c r="A257" s="730"/>
      <c r="B257" s="729"/>
      <c r="C257" s="728"/>
      <c r="D257" s="728"/>
      <c r="E257" s="728"/>
      <c r="F257" s="728"/>
      <c r="G257" s="690"/>
      <c r="H257" s="690"/>
      <c r="I257" s="728"/>
      <c r="J257" s="728"/>
      <c r="K257" s="728"/>
      <c r="L257" s="728"/>
      <c r="M257" s="728"/>
      <c r="N257" s="728"/>
      <c r="O257" s="728"/>
      <c r="P257" s="728"/>
      <c r="Q257" s="727"/>
      <c r="R257" s="688"/>
    </row>
  </sheetData>
  <sheetProtection sheet="1" objects="1" scenarios="1"/>
  <customSheetViews>
    <customSheetView guid="{F15DEFD8-B0F4-4CC3-8896-92BF7E7815B1}" scale="75" showPageBreaks="1" showGridLines="0" printArea="1" hiddenRows="1" hiddenColumns="1" topLeftCell="A244">
      <selection activeCell="A272" sqref="A272"/>
      <rowBreaks count="3" manualBreakCount="3">
        <brk id="65" max="15" man="1"/>
        <brk id="126" max="15" man="1"/>
        <brk id="251" max="15" man="1"/>
      </rowBreaks>
      <pageMargins left="0.78740157499999996" right="0.78740157499999996" top="0.984251969" bottom="0.984251969" header="0.5" footer="0.5"/>
      <pageSetup paperSize="9" scale="36" fitToHeight="9" orientation="portrait" r:id="rId1"/>
      <headerFooter alignWithMargins="0">
        <oddHeader>&amp;R&amp;"Arial,Regular"&amp;8&amp;D  &amp;T</oddHeader>
        <oddFooter>&amp;C&amp;"Arial,Regular"&amp;8Page &amp;P of &amp;N</oddFooter>
      </headerFooter>
    </customSheetView>
  </customSheetViews>
  <mergeCells count="41">
    <mergeCell ref="L48:M48"/>
    <mergeCell ref="I232:J232"/>
    <mergeCell ref="I88:J88"/>
    <mergeCell ref="I106:J106"/>
    <mergeCell ref="L106:M106"/>
    <mergeCell ref="L188:M188"/>
    <mergeCell ref="A248:A249"/>
    <mergeCell ref="A48:A49"/>
    <mergeCell ref="A89:A90"/>
    <mergeCell ref="A129:A130"/>
    <mergeCell ref="A70:A71"/>
    <mergeCell ref="A106:A107"/>
    <mergeCell ref="A147:A148"/>
    <mergeCell ref="A216:A217"/>
    <mergeCell ref="A233:A234"/>
    <mergeCell ref="A188:A189"/>
    <mergeCell ref="I247:J247"/>
    <mergeCell ref="I69:J69"/>
    <mergeCell ref="I48:J48"/>
    <mergeCell ref="I128:J128"/>
    <mergeCell ref="I172:J172"/>
    <mergeCell ref="I146:J146"/>
    <mergeCell ref="I188:J188"/>
    <mergeCell ref="I215:J215"/>
    <mergeCell ref="B12:B13"/>
    <mergeCell ref="E12:E13"/>
    <mergeCell ref="A173:A174"/>
    <mergeCell ref="A199:A200"/>
    <mergeCell ref="I11:J11"/>
    <mergeCell ref="I30:J30"/>
    <mergeCell ref="A12:A13"/>
    <mergeCell ref="A31:A32"/>
    <mergeCell ref="G129:G130"/>
    <mergeCell ref="G189:G190"/>
    <mergeCell ref="O189:O190"/>
    <mergeCell ref="P189:P190"/>
    <mergeCell ref="O129:O130"/>
    <mergeCell ref="P129:P130"/>
    <mergeCell ref="G147:G148"/>
    <mergeCell ref="O147:O148"/>
    <mergeCell ref="P147:P148"/>
  </mergeCells>
  <dataValidations count="4">
    <dataValidation type="list" allowBlank="1" showInputMessage="1" showErrorMessage="1" sqref="O194" xr:uid="{00000000-0002-0000-1200-000000000000}">
      <formula1>#REF!</formula1>
    </dataValidation>
    <dataValidation type="decimal" operator="greaterThanOrEqual" allowBlank="1" showInputMessage="1" showErrorMessage="1" promptTitle="Data Input" prompt="Enter risk weight as a percentage." sqref="C253:D253 C177:D177 C38:D38 C57 C78:D78 C96:D96 C116 C136:D136 C158:D158 C205 D204 C20:D20 C192 C220:D220 C238:D238" xr:uid="{00000000-0002-0000-1200-000001000000}">
      <formula1>0</formula1>
    </dataValidation>
    <dataValidation type="decimal" operator="greaterThanOrEqual" allowBlank="1" showInputMessage="1" showErrorMessage="1" promptTitle="Data Input" prompt="Enter value greater than or equal to zero." sqref="I253 L191:M192 I191:J192 M109:M116 E112:E116 G112:G116 L112:L116 I112:I116 J109:J116 E14:E20 G15:G20 L15:L20 I15:I20 M33:M38 J33:J38 I33:I34 L33:L34 G33:G38 E33:E38 I37:I38 L37:L38 M14:M20 J14:J20 M72:M78 E74:E78 G74:G78 L74:L78 I74:I78 J72:J78 L91:M96 I91:J96 E91:E96 G91:G96 L52:L57 I52:I57 M51:M57 J51:J57 G52:G57 M131 L131:L132 I131:I132 E191 G191:G192 M149:M150 E149:E158 G149:G158 L149:L151 I149:I151 J149:J158 M152:M158 I154:I158 L154:L158 E175:E177 G175:G177 L175:M177 I175:J177 E220 J218:J220 M218:M220 L220 G220 I220 E238 G238 M235:M238 L238 I238:J238 J235:J237 E253 J250:J253 M250:M253 G253 L253 L134:L136 I134:I136 M133:M136 J131:J136 G131:G136 E131:E136 J201:J203 I204:J205 L204:L205 M201:M205 G204:G205 E204" xr:uid="{00000000-0002-0000-1200-000002000000}">
      <formula1>0</formula1>
    </dataValidation>
    <dataValidation type="decimal" operator="greaterThanOrEqual" allowBlank="1" showInputMessage="1" showErrorMessage="1" promptTitle="Data Input" prompt="Enter exposures after credit conversion." sqref="C246:D246 F107:F116 C9:F9 C29:D29 C67:F67 C87:D87 C126:E126 C171:D171 C214:D214 C230:F230 F68:F80 F231:F240 F10:F23" xr:uid="{00000000-0002-0000-1200-000003000000}">
      <formula1>0</formula1>
    </dataValidation>
  </dataValidations>
  <hyperlinks>
    <hyperlink ref="A1" location="list_of_sheets!A1" display="15b" xr:uid="{00000000-0004-0000-1200-000000000000}"/>
  </hyperlinks>
  <pageMargins left="0.78740157480314965" right="0.78740157480314965" top="0.98425196850393704" bottom="0.98425196850393704" header="0.51181102362204722" footer="0.51181102362204722"/>
  <pageSetup paperSize="9" scale="31" fitToHeight="4" orientation="portrait" r:id="rId2"/>
  <headerFooter alignWithMargins="0">
    <oddHeader>&amp;R&amp;"Arial,Fett"&amp;12KVG-Solvenztest
Test de solvabilité LAMal</oddHeader>
    <oddFooter>&amp;L&amp;F / &amp;A&amp;C&amp;P / &amp;N&amp;R&amp;D</oddFooter>
  </headerFooter>
  <rowBreaks count="1" manualBreakCount="1">
    <brk id="164" max="16"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
    <tabColor rgb="FF008080"/>
  </sheetPr>
  <dimension ref="A1:CK251"/>
  <sheetViews>
    <sheetView zoomScaleNormal="100" workbookViewId="0"/>
  </sheetViews>
  <sheetFormatPr baseColWidth="10" defaultColWidth="11.42578125" defaultRowHeight="12.75" x14ac:dyDescent="0.2"/>
  <cols>
    <col min="1" max="1" width="11.42578125" style="1426"/>
    <col min="7" max="62" width="6.5703125" customWidth="1"/>
    <col min="63" max="89" width="11.42578125" style="1426"/>
  </cols>
  <sheetData>
    <row r="1" spans="1:89" s="644" customFormat="1" ht="21" thickBot="1" x14ac:dyDescent="0.35">
      <c r="A1" s="2197">
        <v>36</v>
      </c>
      <c r="B1" s="1440" t="str">
        <f>Translation!B559</f>
        <v xml:space="preserve">Risikoausgleich </v>
      </c>
      <c r="C1" s="1441"/>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0"/>
      <c r="AH1" s="1440"/>
      <c r="AI1" s="1440"/>
      <c r="AJ1" s="1440"/>
      <c r="AK1" s="1440"/>
      <c r="AL1" s="1440"/>
      <c r="AM1" s="1440"/>
      <c r="AN1" s="1440"/>
      <c r="AO1" s="1440"/>
      <c r="AP1" s="1440"/>
      <c r="AQ1" s="1440"/>
      <c r="AR1" s="1440"/>
      <c r="AS1" s="1440"/>
      <c r="AT1" s="1440"/>
      <c r="AU1" s="1440"/>
      <c r="AV1" s="1440"/>
      <c r="AW1" s="1440"/>
      <c r="AX1" s="1440"/>
      <c r="AY1" s="1440"/>
      <c r="AZ1" s="1440"/>
      <c r="BA1" s="1440"/>
      <c r="BB1" s="1440"/>
      <c r="BC1" s="1440"/>
      <c r="BD1" s="1440"/>
      <c r="BE1" s="1440"/>
      <c r="BF1" s="1440"/>
      <c r="BG1" s="1440"/>
      <c r="BH1" s="1440"/>
      <c r="BI1" s="1440"/>
      <c r="BK1" s="1426"/>
      <c r="BL1" s="1426"/>
      <c r="BM1" s="1426"/>
      <c r="BN1" s="1426"/>
      <c r="BO1" s="1426"/>
      <c r="BP1" s="1426"/>
      <c r="BQ1" s="1426"/>
      <c r="BR1" s="1426"/>
      <c r="BS1" s="1426"/>
      <c r="BT1" s="1426"/>
      <c r="BU1" s="1426"/>
      <c r="BV1" s="1426"/>
      <c r="BW1" s="1426"/>
      <c r="BX1" s="1426"/>
      <c r="BY1" s="1426"/>
      <c r="BZ1" s="1426"/>
      <c r="CA1" s="1426"/>
      <c r="CB1" s="1426"/>
      <c r="CC1" s="1426"/>
      <c r="CD1" s="1426"/>
      <c r="CE1" s="1426"/>
      <c r="CF1" s="1426"/>
      <c r="CG1" s="1426"/>
      <c r="CH1" s="1426"/>
      <c r="CI1" s="1426"/>
      <c r="CJ1" s="1426"/>
      <c r="CK1" s="1426"/>
    </row>
    <row r="2" spans="1:89" s="1819" customFormat="1" x14ac:dyDescent="0.2">
      <c r="B2" s="2117" t="str">
        <f>Inputparam!C8</f>
        <v xml:space="preserve">0000 </v>
      </c>
      <c r="BK2" s="1426"/>
      <c r="BL2" s="1426"/>
      <c r="BM2" s="1426"/>
      <c r="BN2" s="1426"/>
      <c r="BO2" s="1426"/>
      <c r="BP2" s="1426"/>
      <c r="BQ2" s="1426"/>
      <c r="BR2" s="1426"/>
      <c r="BS2" s="1426"/>
      <c r="BT2" s="1426"/>
      <c r="BU2" s="1426"/>
      <c r="BV2" s="1426"/>
      <c r="BW2" s="1426"/>
      <c r="BX2" s="1426"/>
      <c r="BY2" s="1426"/>
      <c r="BZ2" s="1426"/>
      <c r="CA2" s="1426"/>
      <c r="CB2" s="1426"/>
      <c r="CC2" s="1426"/>
      <c r="CD2" s="1426"/>
      <c r="CE2" s="1426"/>
      <c r="CF2" s="1426"/>
      <c r="CG2" s="1426"/>
      <c r="CH2" s="1426"/>
      <c r="CI2" s="1426"/>
      <c r="CJ2" s="1426"/>
      <c r="CK2" s="1426"/>
    </row>
    <row r="3" spans="1:89" x14ac:dyDescent="0.2">
      <c r="B3" s="1426"/>
      <c r="C3" s="1427"/>
      <c r="D3" s="1426"/>
      <c r="E3" s="1426"/>
      <c r="F3" s="644"/>
      <c r="G3" s="644"/>
      <c r="H3" s="644"/>
      <c r="I3" s="644"/>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655"/>
      <c r="AI3" s="1846"/>
      <c r="AJ3" s="1846"/>
      <c r="AK3" s="1426"/>
      <c r="AL3" s="1426"/>
      <c r="AM3" s="1426"/>
      <c r="AN3" s="1426"/>
      <c r="AO3" s="1426"/>
      <c r="AP3" s="1426"/>
      <c r="AQ3" s="1426"/>
      <c r="AR3" s="1426"/>
      <c r="AS3" s="1426"/>
      <c r="AT3" s="1426"/>
      <c r="AU3" s="1426"/>
      <c r="AV3" s="1426"/>
      <c r="AW3" s="1426"/>
      <c r="AX3" s="1426"/>
      <c r="AY3" s="1426"/>
      <c r="AZ3" s="1426"/>
      <c r="BA3" s="1426"/>
      <c r="BB3" s="1426"/>
      <c r="BC3" s="1426"/>
      <c r="BD3" s="1426"/>
      <c r="BE3" s="1426"/>
      <c r="BF3" s="1426"/>
      <c r="BG3" s="1426"/>
      <c r="BH3" s="1426"/>
      <c r="BI3" s="1426"/>
      <c r="BJ3" s="1426"/>
    </row>
    <row r="4" spans="1:89" x14ac:dyDescent="0.2">
      <c r="B4" s="1428"/>
      <c r="C4" s="2069"/>
      <c r="D4" s="2070"/>
      <c r="E4" s="2070"/>
      <c r="F4" s="2548" t="str">
        <f>Translation!B$581</f>
        <v>Risiko-gruppe</v>
      </c>
      <c r="G4" s="2549"/>
      <c r="H4" s="2548" t="s">
        <v>2341</v>
      </c>
      <c r="I4" s="2549"/>
      <c r="J4" s="2548" t="s">
        <v>55</v>
      </c>
      <c r="K4" s="2550"/>
      <c r="L4" s="1442"/>
      <c r="M4" s="1844"/>
      <c r="N4" s="1427"/>
      <c r="O4" s="644"/>
      <c r="P4" s="1819"/>
      <c r="Q4" s="1827"/>
      <c r="R4" s="655"/>
      <c r="S4" s="655"/>
      <c r="T4" s="655"/>
      <c r="U4" s="655"/>
      <c r="V4" s="655"/>
      <c r="W4" s="1820"/>
      <c r="X4" s="1819"/>
      <c r="Y4" s="1819"/>
      <c r="Z4" s="1819"/>
      <c r="AA4" s="1428"/>
      <c r="AB4" s="1428"/>
      <c r="AC4" s="1428"/>
      <c r="AD4" s="1428"/>
      <c r="AE4" s="655"/>
      <c r="AF4" s="1846"/>
      <c r="AG4" s="1846"/>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644"/>
      <c r="BI4" s="644"/>
      <c r="BJ4" s="644"/>
    </row>
    <row r="5" spans="1:89" x14ac:dyDescent="0.2">
      <c r="B5" s="1426"/>
      <c r="C5" s="2554" t="str">
        <f>Translation!B$560</f>
        <v>Erwartungswert Risikoausgleich</v>
      </c>
      <c r="D5" s="2555"/>
      <c r="E5" s="2555"/>
      <c r="F5" s="2551">
        <f>SUM(Risk_Compensation_calc!AI72:BH72)</f>
        <v>0</v>
      </c>
      <c r="G5" s="2552"/>
      <c r="H5" s="2551">
        <f>SUM(Risk_Compensation_calc!AI116:BH116)</f>
        <v>0</v>
      </c>
      <c r="I5" s="2552"/>
      <c r="J5" s="2551">
        <f>F5+H5</f>
        <v>0</v>
      </c>
      <c r="K5" s="2553" t="s">
        <v>98</v>
      </c>
      <c r="L5" s="2546" t="s">
        <v>98</v>
      </c>
      <c r="M5" s="2547"/>
      <c r="N5" s="1427"/>
      <c r="O5" s="644"/>
      <c r="P5" s="1426"/>
      <c r="Q5" s="1820"/>
      <c r="R5" s="1820"/>
      <c r="S5" s="1820"/>
      <c r="T5" s="1820"/>
      <c r="U5" s="1820"/>
      <c r="V5" s="1820"/>
      <c r="W5" s="1820"/>
      <c r="X5" s="1819"/>
      <c r="Y5" s="1819"/>
      <c r="Z5" s="1819"/>
      <c r="AA5" s="1428"/>
      <c r="AB5" s="1428"/>
      <c r="AC5" s="1428"/>
      <c r="AD5" s="1426"/>
      <c r="AE5" s="655"/>
      <c r="AF5" s="1846"/>
      <c r="AG5" s="1846"/>
      <c r="AH5" s="1819"/>
      <c r="AI5" s="1819"/>
      <c r="AJ5" s="1819"/>
      <c r="AK5" s="1819"/>
      <c r="AL5" s="1819"/>
      <c r="AM5" s="1819"/>
      <c r="AN5" s="1819"/>
      <c r="AO5" s="1819"/>
      <c r="AP5" s="1819"/>
      <c r="AQ5" s="1819"/>
      <c r="AR5" s="1819"/>
      <c r="AS5" s="1819"/>
      <c r="AT5" s="1819"/>
      <c r="AU5" s="1819"/>
      <c r="AV5" s="1819"/>
      <c r="AW5" s="1819"/>
      <c r="AX5" s="1819"/>
      <c r="AY5" s="1819"/>
      <c r="AZ5" s="1819"/>
      <c r="BA5" s="1819"/>
      <c r="BB5" s="1819"/>
      <c r="BC5" s="1819"/>
      <c r="BD5" s="1819"/>
      <c r="BE5" s="1819"/>
      <c r="BF5" s="1819"/>
      <c r="BG5" s="1819"/>
      <c r="BH5" s="644"/>
      <c r="BI5" s="644"/>
      <c r="BJ5" s="644"/>
    </row>
    <row r="6" spans="1:89" x14ac:dyDescent="0.2">
      <c r="B6" s="1426"/>
      <c r="C6" s="2556"/>
      <c r="D6" s="2555"/>
      <c r="E6" s="2555"/>
      <c r="F6" s="1820"/>
      <c r="G6" s="1820"/>
      <c r="H6" s="1820"/>
      <c r="I6" s="1820"/>
      <c r="J6" s="1820"/>
      <c r="K6" s="1820"/>
      <c r="L6" s="1820"/>
      <c r="M6" s="2085"/>
      <c r="N6" s="1427"/>
      <c r="O6" s="644"/>
      <c r="P6" s="1819"/>
      <c r="Q6" s="1819"/>
      <c r="R6" s="1819"/>
      <c r="S6" s="1819"/>
      <c r="T6" s="1819"/>
      <c r="U6" s="1819"/>
      <c r="V6" s="1819"/>
      <c r="W6" s="1428"/>
      <c r="X6" s="1426"/>
      <c r="Y6" s="1426"/>
      <c r="Z6" s="1426"/>
      <c r="AA6" s="1426"/>
      <c r="AB6" s="1426"/>
      <c r="AC6" s="1426"/>
      <c r="AD6" s="1426"/>
      <c r="AE6" s="655"/>
      <c r="AF6" s="1846"/>
      <c r="AG6" s="1846"/>
      <c r="AH6" s="1426"/>
      <c r="AI6" s="1426"/>
      <c r="AJ6" s="1426"/>
      <c r="AK6" s="1426"/>
      <c r="AL6" s="1426"/>
      <c r="AM6" s="1426"/>
      <c r="AN6" s="1426"/>
      <c r="AO6" s="1426"/>
      <c r="AP6" s="1426"/>
      <c r="AQ6" s="1426"/>
      <c r="AR6" s="1426"/>
      <c r="AS6" s="1426"/>
      <c r="AT6" s="1426"/>
      <c r="AU6" s="1426"/>
      <c r="AV6" s="1426"/>
      <c r="AW6" s="1426"/>
      <c r="AX6" s="1426"/>
      <c r="AY6" s="1426"/>
      <c r="AZ6" s="1426"/>
      <c r="BA6" s="1426"/>
      <c r="BB6" s="1426"/>
      <c r="BC6" s="1426"/>
      <c r="BD6" s="1426"/>
      <c r="BE6" s="1426"/>
      <c r="BF6" s="1426"/>
      <c r="BG6" s="1426"/>
      <c r="BH6" s="644"/>
      <c r="BI6" s="644"/>
      <c r="BJ6" s="644"/>
    </row>
    <row r="7" spans="1:89" x14ac:dyDescent="0.2">
      <c r="B7" s="1426"/>
      <c r="C7" s="1842" t="str">
        <f>Translation!B$561</f>
        <v>Standardabweichung Risikoausgleich</v>
      </c>
      <c r="D7" s="1841"/>
      <c r="E7" s="1841"/>
      <c r="F7" s="2551">
        <f>SQRT(F8^2+F9^2)</f>
        <v>0</v>
      </c>
      <c r="G7" s="2552"/>
      <c r="H7" s="2551">
        <f>SQRT(H8^2+H9^2)</f>
        <v>0</v>
      </c>
      <c r="I7" s="2552"/>
      <c r="J7" s="2551">
        <f>SQRT(J8^2+J9^2)</f>
        <v>0</v>
      </c>
      <c r="K7" s="2552"/>
      <c r="L7" s="2546" t="s">
        <v>98</v>
      </c>
      <c r="M7" s="2547"/>
      <c r="N7" s="644"/>
      <c r="O7" s="644"/>
      <c r="P7" s="1819"/>
      <c r="Q7" s="1820"/>
      <c r="R7" s="1820"/>
      <c r="S7" s="1820"/>
      <c r="T7" s="1820"/>
      <c r="U7" s="1820"/>
      <c r="V7" s="1820"/>
      <c r="W7" s="1820"/>
      <c r="X7" s="1426"/>
      <c r="Y7" s="1426"/>
      <c r="Z7" s="1426"/>
      <c r="AA7" s="1426"/>
      <c r="AB7" s="1426"/>
      <c r="AC7" s="1426"/>
      <c r="AD7" s="1426"/>
      <c r="AE7" s="655"/>
      <c r="AF7" s="1846"/>
      <c r="AG7" s="1846"/>
      <c r="AH7" s="1426"/>
      <c r="AI7" s="1426"/>
      <c r="AJ7" s="1426"/>
      <c r="AK7" s="1426"/>
      <c r="AL7" s="1426"/>
      <c r="AM7" s="1426"/>
      <c r="AN7" s="1426"/>
      <c r="AO7" s="1426"/>
      <c r="AP7" s="1426"/>
      <c r="AQ7" s="1426"/>
      <c r="AR7" s="1426"/>
      <c r="AS7" s="1426"/>
      <c r="AT7" s="1426"/>
      <c r="AU7" s="1426"/>
      <c r="AV7" s="1426"/>
      <c r="AW7" s="1426"/>
      <c r="AX7" s="1426"/>
      <c r="AY7" s="1426"/>
      <c r="AZ7" s="1426"/>
      <c r="BA7" s="1426"/>
      <c r="BB7" s="1426"/>
      <c r="BC7" s="1426"/>
      <c r="BD7" s="1426"/>
      <c r="BE7" s="1426"/>
      <c r="BF7" s="1426"/>
      <c r="BG7" s="1426"/>
      <c r="BH7" s="644"/>
      <c r="BI7" s="644"/>
      <c r="BJ7" s="644"/>
    </row>
    <row r="8" spans="1:89" x14ac:dyDescent="0.2">
      <c r="B8" s="1426"/>
      <c r="C8" s="1842" t="str">
        <f>Translation!B$562</f>
        <v>Standardabweichung Zufallsrisiko</v>
      </c>
      <c r="D8" s="1841"/>
      <c r="E8" s="1841"/>
      <c r="F8" s="2551">
        <f>SQRT(SUM(Risk_Compensation_calc!CN72:DM72))</f>
        <v>0</v>
      </c>
      <c r="G8" s="2552"/>
      <c r="H8" s="2551">
        <f>SQRT(SUM(Risk_Compensation_calc!CN116:DM116))</f>
        <v>0</v>
      </c>
      <c r="I8" s="2552"/>
      <c r="J8" s="2551">
        <f>SQRT(F8^2+H8^2)</f>
        <v>0</v>
      </c>
      <c r="K8" s="2552"/>
      <c r="L8" s="2546" t="s">
        <v>98</v>
      </c>
      <c r="M8" s="2547"/>
      <c r="N8" s="1427"/>
      <c r="O8" s="644"/>
      <c r="P8" s="1819"/>
      <c r="Q8" s="1819"/>
      <c r="R8" s="655"/>
      <c r="S8" s="655"/>
      <c r="T8" s="655"/>
      <c r="U8" s="655"/>
      <c r="V8" s="655"/>
      <c r="W8" s="1820"/>
      <c r="X8" s="1426"/>
      <c r="Y8" s="1426"/>
      <c r="Z8" s="1426"/>
      <c r="AA8" s="1426"/>
      <c r="AB8" s="1426"/>
      <c r="AC8" s="1426"/>
      <c r="AD8" s="1426"/>
      <c r="AE8" s="655"/>
      <c r="AF8" s="1846"/>
      <c r="AG8" s="1846"/>
      <c r="AH8" s="1429"/>
      <c r="AI8" s="1429"/>
      <c r="AJ8" s="1429"/>
      <c r="AK8" s="1429"/>
      <c r="AL8" s="1429"/>
      <c r="AM8" s="1429"/>
      <c r="AN8" s="1429"/>
      <c r="AO8" s="1429"/>
      <c r="AP8" s="1429"/>
      <c r="AQ8" s="1429"/>
      <c r="AR8" s="1429"/>
      <c r="AS8" s="1429"/>
      <c r="AT8" s="1429"/>
      <c r="AU8" s="1429"/>
      <c r="AV8" s="1429"/>
      <c r="AW8" s="1429"/>
      <c r="AX8" s="1429"/>
      <c r="AY8" s="1429"/>
      <c r="AZ8" s="1429"/>
      <c r="BA8" s="1429"/>
      <c r="BB8" s="1429"/>
      <c r="BC8" s="1429"/>
      <c r="BD8" s="1429"/>
      <c r="BE8" s="1429"/>
      <c r="BF8" s="1429"/>
      <c r="BG8" s="1429"/>
      <c r="BH8" s="644"/>
      <c r="BI8" s="644"/>
      <c r="BJ8" s="644"/>
    </row>
    <row r="9" spans="1:89" x14ac:dyDescent="0.2">
      <c r="B9" s="1426"/>
      <c r="C9" s="1842" t="str">
        <f>Translation!B$563</f>
        <v>Standardabweichung Parameterrisiko</v>
      </c>
      <c r="D9" s="1841"/>
      <c r="E9" s="1841"/>
      <c r="F9" s="2551">
        <f>$G$11*ABS(F5)</f>
        <v>0</v>
      </c>
      <c r="G9" s="2552"/>
      <c r="H9" s="2551">
        <f>$I$11*ABS(H5)</f>
        <v>0</v>
      </c>
      <c r="I9" s="2552"/>
      <c r="J9" s="2551">
        <f>SQRT(F9^2+H9^2+2*(-0.5*F9*H9))</f>
        <v>0</v>
      </c>
      <c r="K9" s="2552"/>
      <c r="L9" s="2546" t="s">
        <v>98</v>
      </c>
      <c r="M9" s="2547"/>
      <c r="N9" s="2270"/>
      <c r="O9" s="644"/>
      <c r="P9" s="1819"/>
      <c r="Q9" s="1819"/>
      <c r="R9" s="655"/>
      <c r="S9" s="655"/>
      <c r="T9" s="655"/>
      <c r="U9" s="655"/>
      <c r="V9" s="655"/>
      <c r="W9" s="1820"/>
      <c r="X9" s="1426"/>
      <c r="Y9" s="1426"/>
      <c r="Z9" s="1426"/>
      <c r="AA9" s="1426"/>
      <c r="AB9" s="1426"/>
      <c r="AC9" s="1426"/>
      <c r="AD9" s="1426"/>
      <c r="AE9" s="655"/>
      <c r="AF9" s="1846"/>
      <c r="AG9" s="1846"/>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644"/>
      <c r="BI9" s="644"/>
      <c r="BJ9" s="644"/>
    </row>
    <row r="10" spans="1:89" x14ac:dyDescent="0.2">
      <c r="B10" s="1426"/>
      <c r="C10" s="1843"/>
      <c r="D10" s="1820"/>
      <c r="E10" s="1820"/>
      <c r="F10" s="1820"/>
      <c r="G10" s="1820"/>
      <c r="H10" s="1820"/>
      <c r="I10" s="1820"/>
      <c r="J10" s="1820"/>
      <c r="K10" s="1820"/>
      <c r="L10" s="1820"/>
      <c r="M10" s="2085"/>
      <c r="N10" s="1427"/>
      <c r="O10" s="644"/>
      <c r="P10" s="1819"/>
      <c r="Q10" s="1819"/>
      <c r="R10" s="655"/>
      <c r="S10" s="655"/>
      <c r="T10" s="655"/>
      <c r="U10" s="655"/>
      <c r="V10" s="655"/>
      <c r="W10" s="1820"/>
      <c r="X10" s="1426"/>
      <c r="Y10" s="1426"/>
      <c r="Z10" s="1426"/>
      <c r="AA10" s="1426"/>
      <c r="AB10" s="1426"/>
      <c r="AC10" s="1426"/>
      <c r="AD10" s="1426"/>
      <c r="AE10" s="655"/>
      <c r="AF10" s="1846"/>
      <c r="AG10" s="1846"/>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644"/>
      <c r="BI10" s="644"/>
      <c r="BJ10" s="644"/>
    </row>
    <row r="11" spans="1:89" x14ac:dyDescent="0.2">
      <c r="B11" s="1426"/>
      <c r="C11" s="1839" t="str">
        <f>Translation!B$564</f>
        <v>Variationskoeffizient Parameterrisiko</v>
      </c>
      <c r="D11" s="1838"/>
      <c r="E11" s="1838"/>
      <c r="F11" s="2075"/>
      <c r="G11" s="2269">
        <v>0.06</v>
      </c>
      <c r="H11" s="1838"/>
      <c r="I11" s="2269">
        <v>0.06</v>
      </c>
      <c r="J11" s="1838"/>
      <c r="K11" s="1838"/>
      <c r="L11" s="1838"/>
      <c r="M11" s="2086"/>
      <c r="N11" s="644"/>
      <c r="O11" s="644"/>
      <c r="P11" s="1819"/>
      <c r="Q11" s="1819"/>
      <c r="R11" s="655"/>
      <c r="S11" s="655"/>
      <c r="T11" s="655"/>
      <c r="U11" s="655"/>
      <c r="V11" s="655"/>
      <c r="W11" s="1820"/>
      <c r="X11" s="1426"/>
      <c r="Y11" s="1426"/>
      <c r="Z11" s="1426"/>
      <c r="AA11" s="1426"/>
      <c r="AB11" s="1426"/>
      <c r="AC11" s="1426"/>
      <c r="AD11" s="1426"/>
      <c r="AE11" s="655"/>
      <c r="AF11" s="1846"/>
      <c r="AG11" s="1846"/>
      <c r="AH11" s="1429"/>
      <c r="AI11" s="1429"/>
      <c r="AJ11" s="1429"/>
      <c r="AK11" s="1429"/>
      <c r="AL11" s="1429"/>
      <c r="AM11" s="1429"/>
      <c r="AN11" s="1429"/>
      <c r="AO11" s="1429"/>
      <c r="AP11" s="1429"/>
      <c r="AQ11" s="1429"/>
      <c r="AR11" s="1429"/>
      <c r="AS11" s="1429"/>
      <c r="AT11" s="1429"/>
      <c r="AU11" s="1429"/>
      <c r="AV11" s="1429"/>
      <c r="AW11" s="1429"/>
      <c r="AX11" s="1429"/>
      <c r="AY11" s="1429"/>
      <c r="AZ11" s="1429"/>
      <c r="BA11" s="1429"/>
      <c r="BB11" s="1429"/>
      <c r="BC11" s="1429"/>
      <c r="BD11" s="1429"/>
      <c r="BE11" s="1429"/>
      <c r="BF11" s="1429"/>
      <c r="BG11" s="1429"/>
      <c r="BH11" s="644"/>
      <c r="BI11" s="644"/>
      <c r="BJ11" s="644"/>
    </row>
    <row r="12" spans="1:89" x14ac:dyDescent="0.2">
      <c r="B12" s="1426"/>
      <c r="C12" s="644"/>
      <c r="D12" s="644"/>
      <c r="E12" s="644"/>
      <c r="F12" s="644"/>
      <c r="G12" s="644"/>
      <c r="H12" s="644"/>
      <c r="I12" s="644"/>
      <c r="J12" s="644"/>
      <c r="K12" s="644"/>
      <c r="L12" s="644"/>
      <c r="M12" s="644"/>
      <c r="N12" s="644"/>
      <c r="O12" s="644"/>
      <c r="P12" s="644"/>
      <c r="Q12" s="644"/>
      <c r="R12" s="644"/>
      <c r="S12" s="644"/>
      <c r="T12" s="644"/>
      <c r="U12" s="644"/>
      <c r="V12" s="1430"/>
      <c r="W12" s="1430"/>
      <c r="X12" s="1430"/>
      <c r="Y12" s="1430"/>
      <c r="Z12" s="1426"/>
      <c r="AA12" s="1426"/>
      <c r="AB12" s="1426"/>
      <c r="AC12" s="1426"/>
      <c r="AD12" s="1426"/>
      <c r="AE12" s="1426"/>
      <c r="AF12" s="1426"/>
      <c r="AG12" s="1426"/>
      <c r="AH12" s="655"/>
      <c r="AI12" s="1846"/>
      <c r="AJ12" s="1846"/>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row>
    <row r="13" spans="1:89" x14ac:dyDescent="0.2">
      <c r="B13" s="1426"/>
      <c r="C13" s="1427"/>
      <c r="D13" s="1426"/>
      <c r="E13" s="1426"/>
      <c r="F13" s="1426"/>
      <c r="G13" s="1427" t="s">
        <v>53</v>
      </c>
      <c r="H13" s="1429"/>
      <c r="I13" s="1429"/>
      <c r="J13" s="1429"/>
      <c r="K13" s="1429"/>
      <c r="L13" s="1429"/>
      <c r="M13" s="1429"/>
      <c r="N13" s="1429"/>
      <c r="O13" s="1429"/>
      <c r="P13" s="1429"/>
      <c r="Q13" s="1429"/>
      <c r="R13" s="1429"/>
      <c r="S13" s="1429"/>
      <c r="T13" s="1429"/>
      <c r="U13" s="1429"/>
      <c r="V13" s="1430"/>
      <c r="W13" s="1430"/>
      <c r="X13" s="1430"/>
      <c r="Y13" s="1430"/>
      <c r="Z13" s="1426"/>
      <c r="AA13" s="1426"/>
      <c r="AB13" s="1426"/>
      <c r="AC13" s="1426"/>
      <c r="AD13" s="1426"/>
      <c r="AE13" s="1426"/>
      <c r="AF13" s="1426"/>
      <c r="AG13" s="1426"/>
      <c r="AH13" s="655"/>
      <c r="AI13" s="1846"/>
      <c r="AJ13" s="1821" t="s">
        <v>53</v>
      </c>
      <c r="AK13" s="1429"/>
      <c r="AL13" s="1429"/>
      <c r="AM13" s="1429"/>
      <c r="AN13" s="1429"/>
      <c r="AO13" s="1429"/>
      <c r="AP13" s="1429"/>
      <c r="AQ13" s="1429"/>
      <c r="AR13" s="1429"/>
      <c r="AS13" s="1429"/>
      <c r="AT13" s="1429"/>
      <c r="AU13" s="1429"/>
      <c r="AV13" s="1429"/>
      <c r="AW13" s="1429"/>
      <c r="AX13" s="1429"/>
      <c r="AY13" s="1429"/>
      <c r="AZ13" s="1429"/>
      <c r="BA13" s="1429"/>
      <c r="BB13" s="1429"/>
      <c r="BC13" s="1429"/>
      <c r="BD13" s="1429"/>
      <c r="BE13" s="1429"/>
      <c r="BF13" s="1429"/>
      <c r="BG13" s="1429"/>
      <c r="BH13" s="1429"/>
      <c r="BI13" s="1429"/>
      <c r="BJ13" s="1429"/>
    </row>
    <row r="14" spans="1:89" x14ac:dyDescent="0.2">
      <c r="B14" s="1426"/>
      <c r="C14" s="1426"/>
      <c r="D14" s="1426"/>
      <c r="E14" s="1426"/>
      <c r="F14" s="1426"/>
      <c r="G14" s="2571" t="str">
        <f>Translation!B$565</f>
        <v>Geschätzter Durchschnittsbestand pro Risikoklasse für das Jahr 2025</v>
      </c>
      <c r="H14" s="2571"/>
      <c r="I14" s="2571"/>
      <c r="J14" s="2571"/>
      <c r="K14" s="2571"/>
      <c r="L14" s="2571"/>
      <c r="M14" s="2571"/>
      <c r="N14" s="2571"/>
      <c r="O14" s="2571"/>
      <c r="P14" s="2571"/>
      <c r="Q14" s="2571"/>
      <c r="R14" s="2571"/>
      <c r="S14" s="2571"/>
      <c r="T14" s="2571"/>
      <c r="U14" s="2571"/>
      <c r="V14" s="1426"/>
      <c r="W14" s="1426"/>
      <c r="X14" s="1426"/>
      <c r="Y14" s="1426"/>
      <c r="Z14" s="1426"/>
      <c r="AA14" s="1426"/>
      <c r="AB14" s="1426"/>
      <c r="AC14" s="1426"/>
      <c r="AD14" s="1426"/>
      <c r="AE14" s="1426"/>
      <c r="AF14" s="1426"/>
      <c r="AG14" s="1426"/>
      <c r="AH14" s="655"/>
      <c r="AI14" s="1846"/>
      <c r="AJ14" s="1846" t="str">
        <f>Translation!B$567</f>
        <v>geschätzte Risikoausgleichssätze, pro Monat in CHF (ohne Entlastung junge Erwachsene)</v>
      </c>
      <c r="AK14" s="1846"/>
      <c r="AL14" s="1846"/>
      <c r="AM14" s="1846"/>
      <c r="AN14" s="1846"/>
      <c r="AO14" s="644"/>
      <c r="AP14" s="644"/>
      <c r="AQ14" s="644"/>
      <c r="AR14" s="644"/>
      <c r="AS14" s="644"/>
      <c r="AT14" s="644"/>
      <c r="AU14" s="644"/>
      <c r="AV14" s="644"/>
      <c r="AW14" s="644"/>
      <c r="AX14" s="644"/>
      <c r="AY14" s="644"/>
      <c r="AZ14" s="644"/>
      <c r="BA14" s="644"/>
      <c r="BB14" s="644"/>
      <c r="BC14" s="644"/>
      <c r="BD14" s="644"/>
      <c r="BE14" s="644"/>
      <c r="BF14" s="644"/>
      <c r="BG14" s="644"/>
      <c r="BH14" s="644"/>
      <c r="BI14" s="644"/>
      <c r="BJ14" s="644"/>
    </row>
    <row r="15" spans="1:89" x14ac:dyDescent="0.2">
      <c r="B15" s="1426"/>
      <c r="C15" s="1431"/>
      <c r="D15" s="1432" t="str">
        <f>Translation!B574</f>
        <v>Legende</v>
      </c>
      <c r="E15" s="1433"/>
      <c r="F15" s="1433"/>
      <c r="G15" s="2567" t="str">
        <f>Translation!B$581</f>
        <v>Risiko-gruppe</v>
      </c>
      <c r="H15" s="2564" t="str">
        <f>Translation!B$583</f>
        <v xml:space="preserve">Kanton </v>
      </c>
      <c r="I15" s="2565"/>
      <c r="J15" s="2565"/>
      <c r="K15" s="2565"/>
      <c r="L15" s="2565"/>
      <c r="M15" s="2565"/>
      <c r="N15" s="2565"/>
      <c r="O15" s="2565"/>
      <c r="P15" s="2565"/>
      <c r="Q15" s="2565"/>
      <c r="R15" s="2565"/>
      <c r="S15" s="2565"/>
      <c r="T15" s="2565"/>
      <c r="U15" s="2565"/>
      <c r="V15" s="2565"/>
      <c r="W15" s="2565"/>
      <c r="X15" s="2565"/>
      <c r="Y15" s="2565"/>
      <c r="Z15" s="2565"/>
      <c r="AA15" s="2565"/>
      <c r="AB15" s="2565"/>
      <c r="AC15" s="2565"/>
      <c r="AD15" s="2565"/>
      <c r="AE15" s="2565"/>
      <c r="AF15" s="2565"/>
      <c r="AG15" s="2566"/>
      <c r="AH15" s="655"/>
      <c r="AI15" s="1846"/>
      <c r="AJ15" s="2567" t="str">
        <f>Translation!B$581</f>
        <v>Risiko-gruppe</v>
      </c>
      <c r="AK15" s="2564" t="str">
        <f>Translation!B$583</f>
        <v xml:space="preserve">Kanton </v>
      </c>
      <c r="AL15" s="2569"/>
      <c r="AM15" s="2569"/>
      <c r="AN15" s="2569"/>
      <c r="AO15" s="2569"/>
      <c r="AP15" s="2569"/>
      <c r="AQ15" s="2569"/>
      <c r="AR15" s="2569"/>
      <c r="AS15" s="2569"/>
      <c r="AT15" s="2569"/>
      <c r="AU15" s="2569"/>
      <c r="AV15" s="2569"/>
      <c r="AW15" s="2569"/>
      <c r="AX15" s="2569"/>
      <c r="AY15" s="2569"/>
      <c r="AZ15" s="2569"/>
      <c r="BA15" s="2569"/>
      <c r="BB15" s="2569"/>
      <c r="BC15" s="2569"/>
      <c r="BD15" s="2569"/>
      <c r="BE15" s="2569"/>
      <c r="BF15" s="2569"/>
      <c r="BG15" s="2569"/>
      <c r="BH15" s="2569"/>
      <c r="BI15" s="2569"/>
      <c r="BJ15" s="2570"/>
      <c r="BK15" s="1431"/>
      <c r="BL15" s="1432" t="str">
        <f>Translation!B574</f>
        <v>Legende</v>
      </c>
      <c r="BM15" s="1433"/>
      <c r="BN15" s="1433"/>
    </row>
    <row r="16" spans="1:89" x14ac:dyDescent="0.2">
      <c r="B16" s="1426"/>
      <c r="C16" s="1426"/>
      <c r="D16" s="1426"/>
      <c r="E16" s="1426"/>
      <c r="F16" s="1426"/>
      <c r="G16" s="2568"/>
      <c r="H16" s="1434">
        <v>1</v>
      </c>
      <c r="I16" s="1434">
        <v>2</v>
      </c>
      <c r="J16" s="1434">
        <v>3</v>
      </c>
      <c r="K16" s="1434">
        <v>4</v>
      </c>
      <c r="L16" s="1434">
        <v>5</v>
      </c>
      <c r="M16" s="1434">
        <v>6</v>
      </c>
      <c r="N16" s="1434">
        <v>7</v>
      </c>
      <c r="O16" s="1434">
        <v>8</v>
      </c>
      <c r="P16" s="1434">
        <v>9</v>
      </c>
      <c r="Q16" s="1434">
        <v>10</v>
      </c>
      <c r="R16" s="1434">
        <v>11</v>
      </c>
      <c r="S16" s="1434">
        <v>12</v>
      </c>
      <c r="T16" s="1434">
        <v>13</v>
      </c>
      <c r="U16" s="1434">
        <v>14</v>
      </c>
      <c r="V16" s="1434">
        <v>15</v>
      </c>
      <c r="W16" s="1434">
        <v>16</v>
      </c>
      <c r="X16" s="1434">
        <v>17</v>
      </c>
      <c r="Y16" s="1434">
        <v>18</v>
      </c>
      <c r="Z16" s="1434">
        <v>19</v>
      </c>
      <c r="AA16" s="1434">
        <v>20</v>
      </c>
      <c r="AB16" s="1434">
        <v>21</v>
      </c>
      <c r="AC16" s="1434">
        <v>22</v>
      </c>
      <c r="AD16" s="1434">
        <v>23</v>
      </c>
      <c r="AE16" s="1434">
        <v>24</v>
      </c>
      <c r="AF16" s="1434">
        <v>25</v>
      </c>
      <c r="AG16" s="1435">
        <v>26</v>
      </c>
      <c r="AH16" s="655"/>
      <c r="AI16" s="1846"/>
      <c r="AJ16" s="2568"/>
      <c r="AK16" s="1825">
        <v>1</v>
      </c>
      <c r="AL16" s="1434">
        <v>2</v>
      </c>
      <c r="AM16" s="1434">
        <v>3</v>
      </c>
      <c r="AN16" s="1434">
        <v>4</v>
      </c>
      <c r="AO16" s="1434">
        <v>5</v>
      </c>
      <c r="AP16" s="1434">
        <v>6</v>
      </c>
      <c r="AQ16" s="1434">
        <v>7</v>
      </c>
      <c r="AR16" s="1434">
        <v>8</v>
      </c>
      <c r="AS16" s="1434">
        <v>9</v>
      </c>
      <c r="AT16" s="1434">
        <v>10</v>
      </c>
      <c r="AU16" s="1434">
        <v>11</v>
      </c>
      <c r="AV16" s="1434">
        <v>12</v>
      </c>
      <c r="AW16" s="1434">
        <v>13</v>
      </c>
      <c r="AX16" s="1434">
        <v>14</v>
      </c>
      <c r="AY16" s="1434">
        <v>15</v>
      </c>
      <c r="AZ16" s="1434">
        <v>16</v>
      </c>
      <c r="BA16" s="1434">
        <v>17</v>
      </c>
      <c r="BB16" s="1434">
        <v>18</v>
      </c>
      <c r="BC16" s="1434">
        <v>19</v>
      </c>
      <c r="BD16" s="1434">
        <v>20</v>
      </c>
      <c r="BE16" s="1434">
        <v>21</v>
      </c>
      <c r="BF16" s="1434">
        <v>22</v>
      </c>
      <c r="BG16" s="1434">
        <v>23</v>
      </c>
      <c r="BH16" s="1434">
        <v>24</v>
      </c>
      <c r="BI16" s="1434">
        <v>25</v>
      </c>
      <c r="BJ16" s="1435">
        <v>26</v>
      </c>
    </row>
    <row r="17" spans="2:66" x14ac:dyDescent="0.2">
      <c r="B17" s="1426"/>
      <c r="C17" s="1436" t="str">
        <f>Translation!B$575</f>
        <v>Risikogruppe</v>
      </c>
      <c r="D17" s="1436" t="str">
        <f>Translation!B$576</f>
        <v>Geschlecht</v>
      </c>
      <c r="E17" s="1436" t="str">
        <f>Translation!B$577</f>
        <v>Alter</v>
      </c>
      <c r="F17" s="1436" t="str">
        <f>Translation!B$578</f>
        <v>Hospitalisation</v>
      </c>
      <c r="G17" s="2568"/>
      <c r="H17" s="1437" t="s">
        <v>1877</v>
      </c>
      <c r="I17" s="1437" t="s">
        <v>1878</v>
      </c>
      <c r="J17" s="1437" t="s">
        <v>1879</v>
      </c>
      <c r="K17" s="1437" t="s">
        <v>1880</v>
      </c>
      <c r="L17" s="1437" t="s">
        <v>1881</v>
      </c>
      <c r="M17" s="1437" t="s">
        <v>1882</v>
      </c>
      <c r="N17" s="1437" t="s">
        <v>1883</v>
      </c>
      <c r="O17" s="1437" t="s">
        <v>1884</v>
      </c>
      <c r="P17" s="1437" t="s">
        <v>1885</v>
      </c>
      <c r="Q17" s="1437" t="s">
        <v>1886</v>
      </c>
      <c r="R17" s="1437" t="s">
        <v>1887</v>
      </c>
      <c r="S17" s="1437" t="s">
        <v>1888</v>
      </c>
      <c r="T17" s="1437" t="s">
        <v>1889</v>
      </c>
      <c r="U17" s="1437" t="s">
        <v>1890</v>
      </c>
      <c r="V17" s="1437" t="s">
        <v>1891</v>
      </c>
      <c r="W17" s="1437" t="s">
        <v>1892</v>
      </c>
      <c r="X17" s="1437" t="s">
        <v>1893</v>
      </c>
      <c r="Y17" s="1437" t="s">
        <v>1894</v>
      </c>
      <c r="Z17" s="1437" t="s">
        <v>1895</v>
      </c>
      <c r="AA17" s="1437" t="s">
        <v>1896</v>
      </c>
      <c r="AB17" s="1437" t="s">
        <v>1897</v>
      </c>
      <c r="AC17" s="1437" t="s">
        <v>1898</v>
      </c>
      <c r="AD17" s="1437" t="s">
        <v>1899</v>
      </c>
      <c r="AE17" s="1437" t="s">
        <v>1900</v>
      </c>
      <c r="AF17" s="1437" t="s">
        <v>1901</v>
      </c>
      <c r="AG17" s="1438" t="s">
        <v>1902</v>
      </c>
      <c r="AH17" s="655"/>
      <c r="AI17" s="1846"/>
      <c r="AJ17" s="2568"/>
      <c r="AK17" s="1826" t="s">
        <v>1877</v>
      </c>
      <c r="AL17" s="1814" t="s">
        <v>1878</v>
      </c>
      <c r="AM17" s="1814" t="s">
        <v>1879</v>
      </c>
      <c r="AN17" s="1814" t="s">
        <v>1880</v>
      </c>
      <c r="AO17" s="1814" t="s">
        <v>1881</v>
      </c>
      <c r="AP17" s="1814" t="s">
        <v>1882</v>
      </c>
      <c r="AQ17" s="1814" t="s">
        <v>1883</v>
      </c>
      <c r="AR17" s="1814" t="s">
        <v>1884</v>
      </c>
      <c r="AS17" s="1814" t="s">
        <v>1885</v>
      </c>
      <c r="AT17" s="1814" t="s">
        <v>1886</v>
      </c>
      <c r="AU17" s="1814" t="s">
        <v>1887</v>
      </c>
      <c r="AV17" s="1814" t="s">
        <v>1888</v>
      </c>
      <c r="AW17" s="1814" t="s">
        <v>1889</v>
      </c>
      <c r="AX17" s="1814" t="s">
        <v>1890</v>
      </c>
      <c r="AY17" s="1814" t="s">
        <v>1891</v>
      </c>
      <c r="AZ17" s="1814" t="s">
        <v>1892</v>
      </c>
      <c r="BA17" s="1814" t="s">
        <v>1893</v>
      </c>
      <c r="BB17" s="1814" t="s">
        <v>1894</v>
      </c>
      <c r="BC17" s="1814" t="s">
        <v>1895</v>
      </c>
      <c r="BD17" s="1814" t="s">
        <v>1896</v>
      </c>
      <c r="BE17" s="1814" t="s">
        <v>1897</v>
      </c>
      <c r="BF17" s="1814" t="s">
        <v>1898</v>
      </c>
      <c r="BG17" s="1814" t="s">
        <v>1899</v>
      </c>
      <c r="BH17" s="1814" t="s">
        <v>1900</v>
      </c>
      <c r="BI17" s="1814" t="s">
        <v>1901</v>
      </c>
      <c r="BJ17" s="1815" t="s">
        <v>1902</v>
      </c>
      <c r="BK17" s="1436" t="str">
        <f>Translation!B$575</f>
        <v>Risikogruppe</v>
      </c>
      <c r="BL17" s="1436" t="str">
        <f>Translation!B$576</f>
        <v>Geschlecht</v>
      </c>
      <c r="BM17" s="1436" t="str">
        <f>Translation!B$577</f>
        <v>Alter</v>
      </c>
      <c r="BN17" s="1436" t="str">
        <f>Translation!B$578</f>
        <v>Hospitalisation</v>
      </c>
    </row>
    <row r="18" spans="2:66" x14ac:dyDescent="0.2">
      <c r="B18" s="1426"/>
      <c r="C18" s="2090">
        <v>1</v>
      </c>
      <c r="D18" s="2090" t="s">
        <v>1903</v>
      </c>
      <c r="E18" s="2090" t="s">
        <v>1904</v>
      </c>
      <c r="F18" s="2090" t="str">
        <f>Translation!B$579</f>
        <v>Ja</v>
      </c>
      <c r="G18" s="1621">
        <v>1</v>
      </c>
      <c r="H18" s="1443"/>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4"/>
      <c r="AH18" s="655"/>
      <c r="AI18" s="1846"/>
      <c r="AJ18" s="1621">
        <v>1</v>
      </c>
      <c r="AK18" s="1443">
        <v>397.56548314277501</v>
      </c>
      <c r="AL18" s="1443">
        <v>420.90246826249501</v>
      </c>
      <c r="AM18" s="1443">
        <v>57.4242945298774</v>
      </c>
      <c r="AN18" s="1443">
        <v>404.02520111502901</v>
      </c>
      <c r="AO18" s="1443">
        <v>348.91314374417198</v>
      </c>
      <c r="AP18" s="1443">
        <v>304.149061421407</v>
      </c>
      <c r="AQ18" s="1443">
        <v>419.54472558396799</v>
      </c>
      <c r="AR18" s="1443">
        <v>244.277775823181</v>
      </c>
      <c r="AS18" s="1443">
        <v>701.96663391831601</v>
      </c>
      <c r="AT18" s="1443">
        <v>224.040495488228</v>
      </c>
      <c r="AU18" s="1443">
        <v>2475.7359039851899</v>
      </c>
      <c r="AV18" s="1443">
        <v>440.194980824965</v>
      </c>
      <c r="AW18" s="1443">
        <v>77.853029225784098</v>
      </c>
      <c r="AX18" s="1443">
        <v>200.63003207276</v>
      </c>
      <c r="AY18" s="1443">
        <v>680.53703438129003</v>
      </c>
      <c r="AZ18" s="1443">
        <v>299.275960693169</v>
      </c>
      <c r="BA18" s="1443">
        <v>459.19197034298202</v>
      </c>
      <c r="BB18" s="1443">
        <v>274.23158139186398</v>
      </c>
      <c r="BC18" s="1443">
        <v>950.97450559910897</v>
      </c>
      <c r="BD18" s="1443">
        <v>292.99534448485798</v>
      </c>
      <c r="BE18" s="1443">
        <v>143.87062239634</v>
      </c>
      <c r="BF18" s="1443">
        <v>575.17097759763703</v>
      </c>
      <c r="BG18" s="1443">
        <v>705.33851387601601</v>
      </c>
      <c r="BH18" s="1443">
        <v>426.98421358375299</v>
      </c>
      <c r="BI18" s="1443">
        <v>97.599147192785097</v>
      </c>
      <c r="BJ18" s="1444">
        <v>508.44689383951697</v>
      </c>
      <c r="BK18" s="2207">
        <v>1</v>
      </c>
      <c r="BL18" s="2207" t="s">
        <v>1903</v>
      </c>
      <c r="BM18" s="2207" t="s">
        <v>1904</v>
      </c>
      <c r="BN18" s="2207" t="str">
        <f>Translation!B$579</f>
        <v>Ja</v>
      </c>
    </row>
    <row r="19" spans="2:66" x14ac:dyDescent="0.2">
      <c r="B19" s="1426"/>
      <c r="C19" s="2090">
        <v>2</v>
      </c>
      <c r="D19" s="2090" t="s">
        <v>1903</v>
      </c>
      <c r="E19" s="2090" t="s">
        <v>1904</v>
      </c>
      <c r="F19" s="2090" t="str">
        <f>Translation!B$580</f>
        <v>Nein</v>
      </c>
      <c r="G19" s="1622">
        <v>2</v>
      </c>
      <c r="H19" s="2283"/>
      <c r="I19" s="2283"/>
      <c r="J19" s="2283"/>
      <c r="K19" s="2283"/>
      <c r="L19" s="2283"/>
      <c r="M19" s="2283"/>
      <c r="N19" s="2283"/>
      <c r="O19" s="2283"/>
      <c r="P19" s="2283"/>
      <c r="Q19" s="2283"/>
      <c r="R19" s="2283"/>
      <c r="S19" s="2283"/>
      <c r="T19" s="2283"/>
      <c r="U19" s="2283"/>
      <c r="V19" s="2283"/>
      <c r="W19" s="2283"/>
      <c r="X19" s="2283"/>
      <c r="Y19" s="2283"/>
      <c r="Z19" s="2283"/>
      <c r="AA19" s="2283"/>
      <c r="AB19" s="2283"/>
      <c r="AC19" s="2283"/>
      <c r="AD19" s="2283"/>
      <c r="AE19" s="2283"/>
      <c r="AF19" s="2283"/>
      <c r="AG19" s="1445"/>
      <c r="AH19" s="655"/>
      <c r="AI19" s="1846"/>
      <c r="AJ19" s="1622">
        <v>2</v>
      </c>
      <c r="AK19" s="2283">
        <v>-294.51408029097701</v>
      </c>
      <c r="AL19" s="2283">
        <v>-230.194469179919</v>
      </c>
      <c r="AM19" s="2283">
        <v>-283.59500624960498</v>
      </c>
      <c r="AN19" s="2283">
        <v>-329.83462648775497</v>
      </c>
      <c r="AO19" s="2283">
        <v>-359.68135914861199</v>
      </c>
      <c r="AP19" s="2283">
        <v>-377.71026152289397</v>
      </c>
      <c r="AQ19" s="2283">
        <v>-300.68265811425499</v>
      </c>
      <c r="AR19" s="2283">
        <v>-394.73625769499898</v>
      </c>
      <c r="AS19" s="2283">
        <v>-275.718884682213</v>
      </c>
      <c r="AT19" s="2283">
        <v>-279.65460088083699</v>
      </c>
      <c r="AU19" s="2283">
        <v>-373.25357543399502</v>
      </c>
      <c r="AV19" s="2283">
        <v>-275.22873128459202</v>
      </c>
      <c r="AW19" s="2283">
        <v>-382.17186835199402</v>
      </c>
      <c r="AX19" s="2283">
        <v>-254.25474532239599</v>
      </c>
      <c r="AY19" s="2283">
        <v>-236.53542828875001</v>
      </c>
      <c r="AZ19" s="2283">
        <v>-273.655753609393</v>
      </c>
      <c r="BA19" s="2283">
        <v>-320.569718242357</v>
      </c>
      <c r="BB19" s="2283">
        <v>-327.80206550195402</v>
      </c>
      <c r="BC19" s="2283">
        <v>-272.21318502947798</v>
      </c>
      <c r="BD19" s="2283">
        <v>-280.33172150407802</v>
      </c>
      <c r="BE19" s="2283">
        <v>-380.90964089190601</v>
      </c>
      <c r="BF19" s="2283">
        <v>-260.881209967892</v>
      </c>
      <c r="BG19" s="2283">
        <v>-356.08278961447701</v>
      </c>
      <c r="BH19" s="2283">
        <v>-308.19967837846798</v>
      </c>
      <c r="BI19" s="2283">
        <v>-253.28041490650699</v>
      </c>
      <c r="BJ19" s="1445">
        <v>-292.45361445687098</v>
      </c>
      <c r="BK19" s="2207">
        <v>2</v>
      </c>
      <c r="BL19" s="2207" t="s">
        <v>1903</v>
      </c>
      <c r="BM19" s="2207" t="s">
        <v>1904</v>
      </c>
      <c r="BN19" s="2207" t="str">
        <f>Translation!B$580</f>
        <v>Nein</v>
      </c>
    </row>
    <row r="20" spans="2:66" x14ac:dyDescent="0.2">
      <c r="B20" s="1426"/>
      <c r="C20" s="2090">
        <v>3</v>
      </c>
      <c r="D20" s="2090" t="s">
        <v>1903</v>
      </c>
      <c r="E20" s="2090" t="s">
        <v>1905</v>
      </c>
      <c r="F20" s="2090" t="str">
        <f>Translation!B$579</f>
        <v>Ja</v>
      </c>
      <c r="G20" s="1622">
        <v>3</v>
      </c>
      <c r="H20" s="2283"/>
      <c r="I20" s="2283"/>
      <c r="J20" s="2283"/>
      <c r="K20" s="2283"/>
      <c r="L20" s="2283"/>
      <c r="M20" s="2283"/>
      <c r="N20" s="2283"/>
      <c r="O20" s="2283"/>
      <c r="P20" s="2283"/>
      <c r="Q20" s="2283"/>
      <c r="R20" s="2283"/>
      <c r="S20" s="2283"/>
      <c r="T20" s="2283"/>
      <c r="U20" s="2283"/>
      <c r="V20" s="2283"/>
      <c r="W20" s="2283"/>
      <c r="X20" s="2283"/>
      <c r="Y20" s="2283"/>
      <c r="Z20" s="2283"/>
      <c r="AA20" s="2283"/>
      <c r="AB20" s="2283"/>
      <c r="AC20" s="2283"/>
      <c r="AD20" s="2283"/>
      <c r="AE20" s="2283"/>
      <c r="AF20" s="2283"/>
      <c r="AG20" s="1445"/>
      <c r="AH20" s="655"/>
      <c r="AI20" s="1846"/>
      <c r="AJ20" s="1622">
        <v>3</v>
      </c>
      <c r="AK20" s="2283">
        <v>509.45367663636398</v>
      </c>
      <c r="AL20" s="2283">
        <v>-37.7003797517077</v>
      </c>
      <c r="AM20" s="2283">
        <v>156.16559770973501</v>
      </c>
      <c r="AN20" s="2283">
        <v>423.98207704668403</v>
      </c>
      <c r="AO20" s="2283">
        <v>206.24826862841999</v>
      </c>
      <c r="AP20" s="2283">
        <v>471.62429447255602</v>
      </c>
      <c r="AQ20" s="2283">
        <v>288.66478469925698</v>
      </c>
      <c r="AR20" s="2283">
        <v>392.601627246899</v>
      </c>
      <c r="AS20" s="2283">
        <v>476.61275110097102</v>
      </c>
      <c r="AT20" s="2283">
        <v>193.75282313213901</v>
      </c>
      <c r="AU20" s="2283">
        <v>-60.9410016319544</v>
      </c>
      <c r="AV20" s="2283">
        <v>318.42296998393601</v>
      </c>
      <c r="AW20" s="2283">
        <v>403.606527198246</v>
      </c>
      <c r="AX20" s="2283">
        <v>47.1703060191291</v>
      </c>
      <c r="AY20" s="2283">
        <v>-236.35063895529899</v>
      </c>
      <c r="AZ20" s="2283">
        <v>463.92347323965998</v>
      </c>
      <c r="BA20" s="2283">
        <v>26.988084085127099</v>
      </c>
      <c r="BB20" s="2283">
        <v>306.91749666247</v>
      </c>
      <c r="BC20" s="2283">
        <v>115.68671529343101</v>
      </c>
      <c r="BD20" s="2283">
        <v>330.59073386916998</v>
      </c>
      <c r="BE20" s="2283">
        <v>615.76629514587501</v>
      </c>
      <c r="BF20" s="2283">
        <v>-243.05318622692701</v>
      </c>
      <c r="BG20" s="2283">
        <v>559.31811180435295</v>
      </c>
      <c r="BH20" s="2283">
        <v>300.56055346299001</v>
      </c>
      <c r="BI20" s="2283">
        <v>16.778495307129798</v>
      </c>
      <c r="BJ20" s="1445">
        <v>511.21732257350999</v>
      </c>
      <c r="BK20" s="2207">
        <v>3</v>
      </c>
      <c r="BL20" s="2207" t="s">
        <v>1903</v>
      </c>
      <c r="BM20" s="2207" t="s">
        <v>1905</v>
      </c>
      <c r="BN20" s="2207" t="str">
        <f>Translation!B$579</f>
        <v>Ja</v>
      </c>
    </row>
    <row r="21" spans="2:66" x14ac:dyDescent="0.2">
      <c r="B21" s="1426"/>
      <c r="C21" s="2090">
        <v>4</v>
      </c>
      <c r="D21" s="2090" t="s">
        <v>1903</v>
      </c>
      <c r="E21" s="2090" t="s">
        <v>1905</v>
      </c>
      <c r="F21" s="2090" t="str">
        <f>Translation!B$580</f>
        <v>Nein</v>
      </c>
      <c r="G21" s="1622">
        <v>4</v>
      </c>
      <c r="H21" s="2283"/>
      <c r="I21" s="2283"/>
      <c r="J21" s="2283"/>
      <c r="K21" s="2283"/>
      <c r="L21" s="2283"/>
      <c r="M21" s="2283"/>
      <c r="N21" s="2283"/>
      <c r="O21" s="2283"/>
      <c r="P21" s="2283"/>
      <c r="Q21" s="2283"/>
      <c r="R21" s="2283"/>
      <c r="S21" s="2283"/>
      <c r="T21" s="2283"/>
      <c r="U21" s="2283"/>
      <c r="V21" s="2283"/>
      <c r="W21" s="2283"/>
      <c r="X21" s="2283"/>
      <c r="Y21" s="2283"/>
      <c r="Z21" s="2283"/>
      <c r="AA21" s="2283"/>
      <c r="AB21" s="2283"/>
      <c r="AC21" s="2283"/>
      <c r="AD21" s="2283"/>
      <c r="AE21" s="2283"/>
      <c r="AF21" s="2283"/>
      <c r="AG21" s="1445"/>
      <c r="AH21" s="655"/>
      <c r="AI21" s="1846"/>
      <c r="AJ21" s="1622">
        <v>4</v>
      </c>
      <c r="AK21" s="2283">
        <v>-299.36142990666201</v>
      </c>
      <c r="AL21" s="2283">
        <v>-235.45073776661499</v>
      </c>
      <c r="AM21" s="2283">
        <v>-296.79816745025403</v>
      </c>
      <c r="AN21" s="2283">
        <v>-336.913262170069</v>
      </c>
      <c r="AO21" s="2283">
        <v>-359.769576910333</v>
      </c>
      <c r="AP21" s="2283">
        <v>-394.50265560649802</v>
      </c>
      <c r="AQ21" s="2283">
        <v>-312.58309289204999</v>
      </c>
      <c r="AR21" s="2283">
        <v>-400.75344968121999</v>
      </c>
      <c r="AS21" s="2283">
        <v>-309.36532799001401</v>
      </c>
      <c r="AT21" s="2283">
        <v>-264.34877507320198</v>
      </c>
      <c r="AU21" s="2283">
        <v>-392.24349184072503</v>
      </c>
      <c r="AV21" s="2283">
        <v>-281.30550331761901</v>
      </c>
      <c r="AW21" s="2283">
        <v>-394.13667332812997</v>
      </c>
      <c r="AX21" s="2283">
        <v>-263.86135769225803</v>
      </c>
      <c r="AY21" s="2283">
        <v>-246.287048613439</v>
      </c>
      <c r="AZ21" s="2283">
        <v>-284.26912320152798</v>
      </c>
      <c r="BA21" s="2283">
        <v>-317.68540932939101</v>
      </c>
      <c r="BB21" s="2283">
        <v>-323.59373412999298</v>
      </c>
      <c r="BC21" s="2283">
        <v>-283.81198590860299</v>
      </c>
      <c r="BD21" s="2283">
        <v>-285.78783880201399</v>
      </c>
      <c r="BE21" s="2283">
        <v>-410.376937371069</v>
      </c>
      <c r="BF21" s="2283">
        <v>-231.646800258974</v>
      </c>
      <c r="BG21" s="2283">
        <v>-367.650543091744</v>
      </c>
      <c r="BH21" s="2283">
        <v>-316.60148255606703</v>
      </c>
      <c r="BI21" s="2283">
        <v>-252.667275252303</v>
      </c>
      <c r="BJ21" s="1445">
        <v>-300.03271725027599</v>
      </c>
      <c r="BK21" s="2207">
        <v>4</v>
      </c>
      <c r="BL21" s="2207" t="s">
        <v>1903</v>
      </c>
      <c r="BM21" s="2207" t="s">
        <v>1905</v>
      </c>
      <c r="BN21" s="2207" t="str">
        <f>Translation!B$580</f>
        <v>Nein</v>
      </c>
    </row>
    <row r="22" spans="2:66" x14ac:dyDescent="0.2">
      <c r="B22" s="1426"/>
      <c r="C22" s="2090">
        <v>5</v>
      </c>
      <c r="D22" s="2090" t="s">
        <v>1903</v>
      </c>
      <c r="E22" s="2090" t="s">
        <v>1906</v>
      </c>
      <c r="F22" s="2090" t="str">
        <f>Translation!B$579</f>
        <v>Ja</v>
      </c>
      <c r="G22" s="1622">
        <v>5</v>
      </c>
      <c r="H22" s="2283"/>
      <c r="I22" s="2283"/>
      <c r="J22" s="2283"/>
      <c r="K22" s="2283"/>
      <c r="L22" s="2283"/>
      <c r="M22" s="2283"/>
      <c r="N22" s="2283"/>
      <c r="O22" s="2283"/>
      <c r="P22" s="2283"/>
      <c r="Q22" s="2283"/>
      <c r="R22" s="2283"/>
      <c r="S22" s="2283"/>
      <c r="T22" s="2283"/>
      <c r="U22" s="2283"/>
      <c r="V22" s="2283"/>
      <c r="W22" s="2283"/>
      <c r="X22" s="2283"/>
      <c r="Y22" s="2283"/>
      <c r="Z22" s="2283"/>
      <c r="AA22" s="2283"/>
      <c r="AB22" s="2283"/>
      <c r="AC22" s="2283"/>
      <c r="AD22" s="2283"/>
      <c r="AE22" s="2283"/>
      <c r="AF22" s="2283"/>
      <c r="AG22" s="1445"/>
      <c r="AH22" s="655"/>
      <c r="AI22" s="1846"/>
      <c r="AJ22" s="1622">
        <v>5</v>
      </c>
      <c r="AK22" s="2283">
        <v>275.638971729128</v>
      </c>
      <c r="AL22" s="2283">
        <v>-93.733154237873293</v>
      </c>
      <c r="AM22" s="2283">
        <v>165.08538615078601</v>
      </c>
      <c r="AN22" s="2283">
        <v>426.31059494016898</v>
      </c>
      <c r="AO22" s="2283">
        <v>116.471189448921</v>
      </c>
      <c r="AP22" s="2283">
        <v>386.41181328298501</v>
      </c>
      <c r="AQ22" s="2283">
        <v>506.23526621874601</v>
      </c>
      <c r="AR22" s="2283">
        <v>224.652051466393</v>
      </c>
      <c r="AS22" s="2283">
        <v>236.579148988052</v>
      </c>
      <c r="AT22" s="2283">
        <v>185.32405629978999</v>
      </c>
      <c r="AU22" s="2283">
        <v>162.46809492320301</v>
      </c>
      <c r="AV22" s="2283">
        <v>187.41967660378199</v>
      </c>
      <c r="AW22" s="2283">
        <v>393.56616364148698</v>
      </c>
      <c r="AX22" s="2283">
        <v>-265.76033184616603</v>
      </c>
      <c r="AY22" s="2283">
        <v>163.77055112052199</v>
      </c>
      <c r="AZ22" s="2283">
        <v>410.93897548455999</v>
      </c>
      <c r="BA22" s="2283">
        <v>167.979981778813</v>
      </c>
      <c r="BB22" s="2283">
        <v>289.464777123099</v>
      </c>
      <c r="BC22" s="2283">
        <v>139.66763272378901</v>
      </c>
      <c r="BD22" s="2283">
        <v>394.35514723978901</v>
      </c>
      <c r="BE22" s="2283">
        <v>244.035791783131</v>
      </c>
      <c r="BF22" s="2283">
        <v>394.10016497477898</v>
      </c>
      <c r="BG22" s="2283">
        <v>754.22663742027601</v>
      </c>
      <c r="BH22" s="2283">
        <v>491.89693017083403</v>
      </c>
      <c r="BI22" s="2283">
        <v>127.430600399122</v>
      </c>
      <c r="BJ22" s="1445">
        <v>384.30788482361999</v>
      </c>
      <c r="BK22" s="2207">
        <v>5</v>
      </c>
      <c r="BL22" s="2207" t="s">
        <v>1903</v>
      </c>
      <c r="BM22" s="2207" t="s">
        <v>1906</v>
      </c>
      <c r="BN22" s="2207" t="str">
        <f>Translation!B$579</f>
        <v>Ja</v>
      </c>
    </row>
    <row r="23" spans="2:66" x14ac:dyDescent="0.2">
      <c r="B23" s="1426"/>
      <c r="C23" s="2090">
        <v>6</v>
      </c>
      <c r="D23" s="2090" t="s">
        <v>1903</v>
      </c>
      <c r="E23" s="2090" t="s">
        <v>1906</v>
      </c>
      <c r="F23" s="2090" t="str">
        <f>Translation!B$580</f>
        <v>Nein</v>
      </c>
      <c r="G23" s="1622">
        <v>6</v>
      </c>
      <c r="H23" s="2283"/>
      <c r="I23" s="2283"/>
      <c r="J23" s="2283"/>
      <c r="K23" s="2283"/>
      <c r="L23" s="2283"/>
      <c r="M23" s="2283"/>
      <c r="N23" s="2283"/>
      <c r="O23" s="2283"/>
      <c r="P23" s="2283"/>
      <c r="Q23" s="2283"/>
      <c r="R23" s="2283"/>
      <c r="S23" s="2283"/>
      <c r="T23" s="2283"/>
      <c r="U23" s="2283"/>
      <c r="V23" s="2283"/>
      <c r="W23" s="2283"/>
      <c r="X23" s="2283"/>
      <c r="Y23" s="2283"/>
      <c r="Z23" s="2283"/>
      <c r="AA23" s="2283"/>
      <c r="AB23" s="2283"/>
      <c r="AC23" s="2283"/>
      <c r="AD23" s="2283"/>
      <c r="AE23" s="2283"/>
      <c r="AF23" s="2283"/>
      <c r="AG23" s="1445"/>
      <c r="AH23" s="655"/>
      <c r="AI23" s="1846"/>
      <c r="AJ23" s="1622">
        <v>6</v>
      </c>
      <c r="AK23" s="2283">
        <v>-298.05934865217</v>
      </c>
      <c r="AL23" s="2283">
        <v>-246.66560644735301</v>
      </c>
      <c r="AM23" s="2283">
        <v>-288.97708546529799</v>
      </c>
      <c r="AN23" s="2283">
        <v>-338.67670021843901</v>
      </c>
      <c r="AO23" s="2283">
        <v>-350.542462313079</v>
      </c>
      <c r="AP23" s="2283">
        <v>-399.990901864725</v>
      </c>
      <c r="AQ23" s="2283">
        <v>-310.87053182006599</v>
      </c>
      <c r="AR23" s="2283">
        <v>-401.74326625359498</v>
      </c>
      <c r="AS23" s="2283">
        <v>-289.097737982323</v>
      </c>
      <c r="AT23" s="2283">
        <v>-282.43453303419801</v>
      </c>
      <c r="AU23" s="2283">
        <v>-377.08758619857002</v>
      </c>
      <c r="AV23" s="2283">
        <v>-274.467786924797</v>
      </c>
      <c r="AW23" s="2283">
        <v>-383.11897733186203</v>
      </c>
      <c r="AX23" s="2283">
        <v>-286.00194209449</v>
      </c>
      <c r="AY23" s="2283">
        <v>-265.01178349582</v>
      </c>
      <c r="AZ23" s="2283">
        <v>-284.31355549665301</v>
      </c>
      <c r="BA23" s="2283">
        <v>-316.62239834382501</v>
      </c>
      <c r="BB23" s="2283">
        <v>-325.79852122870102</v>
      </c>
      <c r="BC23" s="2283">
        <v>-281.79476642381701</v>
      </c>
      <c r="BD23" s="2283">
        <v>-294.44396924301998</v>
      </c>
      <c r="BE23" s="2283">
        <v>-409.58913014538399</v>
      </c>
      <c r="BF23" s="2283">
        <v>-271.22635988523803</v>
      </c>
      <c r="BG23" s="2283">
        <v>-360.85117835752999</v>
      </c>
      <c r="BH23" s="2283">
        <v>-313.93552740857501</v>
      </c>
      <c r="BI23" s="2283">
        <v>-262.652146330395</v>
      </c>
      <c r="BJ23" s="1445">
        <v>-297.177294244417</v>
      </c>
      <c r="BK23" s="2207">
        <v>6</v>
      </c>
      <c r="BL23" s="2207" t="s">
        <v>1903</v>
      </c>
      <c r="BM23" s="2207" t="s">
        <v>1906</v>
      </c>
      <c r="BN23" s="2207" t="str">
        <f>Translation!B$580</f>
        <v>Nein</v>
      </c>
    </row>
    <row r="24" spans="2:66" x14ac:dyDescent="0.2">
      <c r="B24" s="1426"/>
      <c r="C24" s="2090">
        <v>7</v>
      </c>
      <c r="D24" s="2090" t="s">
        <v>1903</v>
      </c>
      <c r="E24" s="2090" t="s">
        <v>1907</v>
      </c>
      <c r="F24" s="2090" t="str">
        <f>Translation!B$579</f>
        <v>Ja</v>
      </c>
      <c r="G24" s="1622">
        <v>7</v>
      </c>
      <c r="H24" s="2283"/>
      <c r="I24" s="2283"/>
      <c r="J24" s="2283"/>
      <c r="K24" s="2283"/>
      <c r="L24" s="2283"/>
      <c r="M24" s="2283"/>
      <c r="N24" s="2283"/>
      <c r="O24" s="2283"/>
      <c r="P24" s="2283"/>
      <c r="Q24" s="2283"/>
      <c r="R24" s="2283"/>
      <c r="S24" s="2283"/>
      <c r="T24" s="2283"/>
      <c r="U24" s="2283"/>
      <c r="V24" s="2283"/>
      <c r="W24" s="2283"/>
      <c r="X24" s="2283"/>
      <c r="Y24" s="2283"/>
      <c r="Z24" s="2283"/>
      <c r="AA24" s="2283"/>
      <c r="AB24" s="2283"/>
      <c r="AC24" s="2283"/>
      <c r="AD24" s="2283"/>
      <c r="AE24" s="2283"/>
      <c r="AF24" s="2283"/>
      <c r="AG24" s="1445"/>
      <c r="AH24" s="655"/>
      <c r="AI24" s="1846"/>
      <c r="AJ24" s="1622">
        <v>7</v>
      </c>
      <c r="AK24" s="2283">
        <v>309.276887377847</v>
      </c>
      <c r="AL24" s="2283">
        <v>-41.6116090013535</v>
      </c>
      <c r="AM24" s="2283">
        <v>417.423054626002</v>
      </c>
      <c r="AN24" s="2283">
        <v>489.23945248054702</v>
      </c>
      <c r="AO24" s="2283">
        <v>342.71066657275298</v>
      </c>
      <c r="AP24" s="2283">
        <v>237.18190670768601</v>
      </c>
      <c r="AQ24" s="2283">
        <v>481.71686778201899</v>
      </c>
      <c r="AR24" s="2283">
        <v>357.56355629151102</v>
      </c>
      <c r="AS24" s="2283">
        <v>-118.34941110653099</v>
      </c>
      <c r="AT24" s="2283">
        <v>312.37918084353799</v>
      </c>
      <c r="AU24" s="2283">
        <v>469.57749344236498</v>
      </c>
      <c r="AV24" s="2283">
        <v>425.90302763867902</v>
      </c>
      <c r="AW24" s="2283">
        <v>773.13475044690495</v>
      </c>
      <c r="AX24" s="2283">
        <v>55.6092340749681</v>
      </c>
      <c r="AY24" s="2283">
        <v>-21.583966738210901</v>
      </c>
      <c r="AZ24" s="2283">
        <v>522.56174355432199</v>
      </c>
      <c r="BA24" s="2283">
        <v>282.50242936124903</v>
      </c>
      <c r="BB24" s="2283">
        <v>199.073150270469</v>
      </c>
      <c r="BC24" s="2283">
        <v>94.503540835135496</v>
      </c>
      <c r="BD24" s="2283">
        <v>326.16810553550903</v>
      </c>
      <c r="BE24" s="2283">
        <v>136.64228977495699</v>
      </c>
      <c r="BF24" s="2283">
        <v>531.939984511342</v>
      </c>
      <c r="BG24" s="2283">
        <v>545.11546439973301</v>
      </c>
      <c r="BH24" s="2283">
        <v>285.36660219961601</v>
      </c>
      <c r="BI24" s="2283">
        <v>531.88668112855305</v>
      </c>
      <c r="BJ24" s="1445">
        <v>547.62496534843604</v>
      </c>
      <c r="BK24" s="2207">
        <v>7</v>
      </c>
      <c r="BL24" s="2207" t="s">
        <v>1903</v>
      </c>
      <c r="BM24" s="2207" t="s">
        <v>1907</v>
      </c>
      <c r="BN24" s="2207" t="str">
        <f>Translation!B$579</f>
        <v>Ja</v>
      </c>
    </row>
    <row r="25" spans="2:66" x14ac:dyDescent="0.2">
      <c r="B25" s="1428"/>
      <c r="C25" s="2090">
        <v>8</v>
      </c>
      <c r="D25" s="2090" t="s">
        <v>1903</v>
      </c>
      <c r="E25" s="2090" t="s">
        <v>1907</v>
      </c>
      <c r="F25" s="2090" t="str">
        <f>Translation!B$580</f>
        <v>Nein</v>
      </c>
      <c r="G25" s="1622">
        <v>8</v>
      </c>
      <c r="H25" s="2283"/>
      <c r="I25" s="2283"/>
      <c r="J25" s="2283"/>
      <c r="K25" s="2283"/>
      <c r="L25" s="2283"/>
      <c r="M25" s="2283"/>
      <c r="N25" s="2283"/>
      <c r="O25" s="2283"/>
      <c r="P25" s="2283"/>
      <c r="Q25" s="2283"/>
      <c r="R25" s="2283"/>
      <c r="S25" s="2283"/>
      <c r="T25" s="2283"/>
      <c r="U25" s="2283"/>
      <c r="V25" s="2283"/>
      <c r="W25" s="2283"/>
      <c r="X25" s="2283"/>
      <c r="Y25" s="2283"/>
      <c r="Z25" s="2283"/>
      <c r="AA25" s="2283"/>
      <c r="AB25" s="2283"/>
      <c r="AC25" s="2283"/>
      <c r="AD25" s="2283"/>
      <c r="AE25" s="2283"/>
      <c r="AF25" s="2283"/>
      <c r="AG25" s="1445"/>
      <c r="AH25" s="655"/>
      <c r="AI25" s="1846"/>
      <c r="AJ25" s="1622">
        <v>8</v>
      </c>
      <c r="AK25" s="2283">
        <v>-293.62590031177001</v>
      </c>
      <c r="AL25" s="2283">
        <v>-230.43781237131</v>
      </c>
      <c r="AM25" s="2283">
        <v>-299.09573799367502</v>
      </c>
      <c r="AN25" s="2283">
        <v>-330.256491957332</v>
      </c>
      <c r="AO25" s="2283">
        <v>-355.21259102508998</v>
      </c>
      <c r="AP25" s="2283">
        <v>-378.03475765441198</v>
      </c>
      <c r="AQ25" s="2283">
        <v>-299.18404829669799</v>
      </c>
      <c r="AR25" s="2283">
        <v>-384.35688303445801</v>
      </c>
      <c r="AS25" s="2283">
        <v>-297.34299618915401</v>
      </c>
      <c r="AT25" s="2283">
        <v>-280.26892224705301</v>
      </c>
      <c r="AU25" s="2283">
        <v>-381.77502290192001</v>
      </c>
      <c r="AV25" s="2283">
        <v>-270.61476227865302</v>
      </c>
      <c r="AW25" s="2283">
        <v>-387.02070194729299</v>
      </c>
      <c r="AX25" s="2283">
        <v>-247.18097386134301</v>
      </c>
      <c r="AY25" s="2283">
        <v>-241.732673259682</v>
      </c>
      <c r="AZ25" s="2283">
        <v>-272.77096952114698</v>
      </c>
      <c r="BA25" s="2283">
        <v>-310.86995433246</v>
      </c>
      <c r="BB25" s="2283">
        <v>-318.540355408246</v>
      </c>
      <c r="BC25" s="2283">
        <v>-279.26782035120698</v>
      </c>
      <c r="BD25" s="2283">
        <v>-280.300513128288</v>
      </c>
      <c r="BE25" s="2283">
        <v>-404.15718157128202</v>
      </c>
      <c r="BF25" s="2283">
        <v>-272.82973566596002</v>
      </c>
      <c r="BG25" s="2283">
        <v>-356.18649303440299</v>
      </c>
      <c r="BH25" s="2283">
        <v>-311.850637986506</v>
      </c>
      <c r="BI25" s="2283">
        <v>-258.055492477131</v>
      </c>
      <c r="BJ25" s="1445">
        <v>-297.00111955810303</v>
      </c>
      <c r="BK25" s="2207">
        <v>8</v>
      </c>
      <c r="BL25" s="2207" t="s">
        <v>1903</v>
      </c>
      <c r="BM25" s="2207" t="s">
        <v>1907</v>
      </c>
      <c r="BN25" s="2207" t="str">
        <f>Translation!B$580</f>
        <v>Nein</v>
      </c>
    </row>
    <row r="26" spans="2:66" x14ac:dyDescent="0.2">
      <c r="B26" s="1426"/>
      <c r="C26" s="2090">
        <v>9</v>
      </c>
      <c r="D26" s="2090" t="s">
        <v>1903</v>
      </c>
      <c r="E26" s="2090" t="s">
        <v>1908</v>
      </c>
      <c r="F26" s="2090" t="str">
        <f>Translation!B$579</f>
        <v>Ja</v>
      </c>
      <c r="G26" s="1622">
        <v>9</v>
      </c>
      <c r="H26" s="2283"/>
      <c r="I26" s="2283"/>
      <c r="J26" s="2283"/>
      <c r="K26" s="2283"/>
      <c r="L26" s="2283"/>
      <c r="M26" s="2283"/>
      <c r="N26" s="2283"/>
      <c r="O26" s="2283"/>
      <c r="P26" s="2283"/>
      <c r="Q26" s="2283"/>
      <c r="R26" s="2283"/>
      <c r="S26" s="2283"/>
      <c r="T26" s="2283"/>
      <c r="U26" s="2283"/>
      <c r="V26" s="2283"/>
      <c r="W26" s="2283"/>
      <c r="X26" s="2283"/>
      <c r="Y26" s="2283"/>
      <c r="Z26" s="2283"/>
      <c r="AA26" s="2283"/>
      <c r="AB26" s="2283"/>
      <c r="AC26" s="2283"/>
      <c r="AD26" s="2283"/>
      <c r="AE26" s="2283"/>
      <c r="AF26" s="2283"/>
      <c r="AG26" s="1445"/>
      <c r="AH26" s="655"/>
      <c r="AI26" s="1846"/>
      <c r="AJ26" s="1622">
        <v>9</v>
      </c>
      <c r="AK26" s="2283">
        <v>289.96903314131799</v>
      </c>
      <c r="AL26" s="2283">
        <v>538.21759148011597</v>
      </c>
      <c r="AM26" s="2283">
        <v>735.27403935336895</v>
      </c>
      <c r="AN26" s="2283">
        <v>327.75010363102803</v>
      </c>
      <c r="AO26" s="2283">
        <v>278.99811164956202</v>
      </c>
      <c r="AP26" s="2283">
        <v>365.45645733548702</v>
      </c>
      <c r="AQ26" s="2283">
        <v>159.06026563316999</v>
      </c>
      <c r="AR26" s="2283">
        <v>925.28342425680501</v>
      </c>
      <c r="AS26" s="2283">
        <v>353.22703519500999</v>
      </c>
      <c r="AT26" s="2283">
        <v>279.515546813534</v>
      </c>
      <c r="AU26" s="2283">
        <v>148.80053234321099</v>
      </c>
      <c r="AV26" s="2283">
        <v>287.61756023550998</v>
      </c>
      <c r="AW26" s="2283">
        <v>250.84185570388101</v>
      </c>
      <c r="AX26" s="2283">
        <v>92.931615948228298</v>
      </c>
      <c r="AY26" s="2283">
        <v>-210.55001422701301</v>
      </c>
      <c r="AZ26" s="2283">
        <v>304.41727554070002</v>
      </c>
      <c r="BA26" s="2283">
        <v>328.22888179705802</v>
      </c>
      <c r="BB26" s="2283">
        <v>234.881031786384</v>
      </c>
      <c r="BC26" s="2283">
        <v>388.91225364794701</v>
      </c>
      <c r="BD26" s="2283">
        <v>307.32445066560302</v>
      </c>
      <c r="BE26" s="2283">
        <v>397.74515972668399</v>
      </c>
      <c r="BF26" s="2283">
        <v>493.02855647902499</v>
      </c>
      <c r="BG26" s="2283">
        <v>575.34157397918705</v>
      </c>
      <c r="BH26" s="2283">
        <v>98.957169290342307</v>
      </c>
      <c r="BI26" s="2283">
        <v>515.360968622511</v>
      </c>
      <c r="BJ26" s="1445">
        <v>467.28157787279298</v>
      </c>
      <c r="BK26" s="2207">
        <v>9</v>
      </c>
      <c r="BL26" s="2207" t="s">
        <v>1903</v>
      </c>
      <c r="BM26" s="2207" t="s">
        <v>1908</v>
      </c>
      <c r="BN26" s="2207" t="str">
        <f>Translation!B$579</f>
        <v>Ja</v>
      </c>
    </row>
    <row r="27" spans="2:66" x14ac:dyDescent="0.2">
      <c r="B27" s="1426"/>
      <c r="C27" s="2090">
        <v>10</v>
      </c>
      <c r="D27" s="2090" t="s">
        <v>1903</v>
      </c>
      <c r="E27" s="2090" t="s">
        <v>1908</v>
      </c>
      <c r="F27" s="2090" t="str">
        <f>Translation!B$580</f>
        <v>Nein</v>
      </c>
      <c r="G27" s="1622">
        <v>10</v>
      </c>
      <c r="H27" s="2283"/>
      <c r="I27" s="2283"/>
      <c r="J27" s="2283"/>
      <c r="K27" s="2283"/>
      <c r="L27" s="2283"/>
      <c r="M27" s="2283"/>
      <c r="N27" s="2283"/>
      <c r="O27" s="2283"/>
      <c r="P27" s="2283"/>
      <c r="Q27" s="2283"/>
      <c r="R27" s="2283"/>
      <c r="S27" s="2283"/>
      <c r="T27" s="2283"/>
      <c r="U27" s="2283"/>
      <c r="V27" s="2283"/>
      <c r="W27" s="2283"/>
      <c r="X27" s="2283"/>
      <c r="Y27" s="2283"/>
      <c r="Z27" s="2283"/>
      <c r="AA27" s="2283"/>
      <c r="AB27" s="2283"/>
      <c r="AC27" s="2283"/>
      <c r="AD27" s="2283"/>
      <c r="AE27" s="2283"/>
      <c r="AF27" s="2283"/>
      <c r="AG27" s="1445"/>
      <c r="AH27" s="655"/>
      <c r="AI27" s="1846"/>
      <c r="AJ27" s="1622">
        <v>10</v>
      </c>
      <c r="AK27" s="2283">
        <v>-292.55738089512499</v>
      </c>
      <c r="AL27" s="2283">
        <v>-234.95081876225299</v>
      </c>
      <c r="AM27" s="2283">
        <v>-269.42283832537601</v>
      </c>
      <c r="AN27" s="2283">
        <v>-325.922467425658</v>
      </c>
      <c r="AO27" s="2283">
        <v>-357.59215848005101</v>
      </c>
      <c r="AP27" s="2283">
        <v>-378.84815161849099</v>
      </c>
      <c r="AQ27" s="2283">
        <v>-290.67644571442497</v>
      </c>
      <c r="AR27" s="2283">
        <v>-376.80125863637602</v>
      </c>
      <c r="AS27" s="2283">
        <v>-282.902775111192</v>
      </c>
      <c r="AT27" s="2283">
        <v>-278.142796507691</v>
      </c>
      <c r="AU27" s="2283">
        <v>-360.02710682951698</v>
      </c>
      <c r="AV27" s="2283">
        <v>-274.30347302527099</v>
      </c>
      <c r="AW27" s="2283">
        <v>-369.00138089136902</v>
      </c>
      <c r="AX27" s="2283">
        <v>-248.022117883552</v>
      </c>
      <c r="AY27" s="2283">
        <v>-248.395958394947</v>
      </c>
      <c r="AZ27" s="2283">
        <v>-268.59013559178197</v>
      </c>
      <c r="BA27" s="2283">
        <v>-307.56537857583697</v>
      </c>
      <c r="BB27" s="2283">
        <v>-303.86487948189802</v>
      </c>
      <c r="BC27" s="2283">
        <v>-262.21486352574999</v>
      </c>
      <c r="BD27" s="2283">
        <v>-277.07822243820902</v>
      </c>
      <c r="BE27" s="2283">
        <v>-394.60328450357201</v>
      </c>
      <c r="BF27" s="2283">
        <v>-256.14016477096999</v>
      </c>
      <c r="BG27" s="2283">
        <v>-340.94431663197599</v>
      </c>
      <c r="BH27" s="2283">
        <v>-296.10330598645402</v>
      </c>
      <c r="BI27" s="2283">
        <v>-243.77809102370799</v>
      </c>
      <c r="BJ27" s="1445">
        <v>-292.79011733183103</v>
      </c>
      <c r="BK27" s="2207">
        <v>10</v>
      </c>
      <c r="BL27" s="2207" t="s">
        <v>1903</v>
      </c>
      <c r="BM27" s="2207" t="s">
        <v>1908</v>
      </c>
      <c r="BN27" s="2207" t="str">
        <f>Translation!B$580</f>
        <v>Nein</v>
      </c>
    </row>
    <row r="28" spans="2:66" x14ac:dyDescent="0.2">
      <c r="B28" s="1426"/>
      <c r="C28" s="2090">
        <v>11</v>
      </c>
      <c r="D28" s="2090" t="s">
        <v>1903</v>
      </c>
      <c r="E28" s="2090" t="s">
        <v>1909</v>
      </c>
      <c r="F28" s="2090" t="str">
        <f>Translation!B$579</f>
        <v>Ja</v>
      </c>
      <c r="G28" s="1622">
        <v>11</v>
      </c>
      <c r="H28" s="2283"/>
      <c r="I28" s="2283"/>
      <c r="J28" s="2283"/>
      <c r="K28" s="2283"/>
      <c r="L28" s="2283"/>
      <c r="M28" s="2283"/>
      <c r="N28" s="2283"/>
      <c r="O28" s="2283"/>
      <c r="P28" s="2283"/>
      <c r="Q28" s="2283"/>
      <c r="R28" s="2283"/>
      <c r="S28" s="2283"/>
      <c r="T28" s="2283"/>
      <c r="U28" s="2283"/>
      <c r="V28" s="2283"/>
      <c r="W28" s="2283"/>
      <c r="X28" s="2283"/>
      <c r="Y28" s="2283"/>
      <c r="Z28" s="2283"/>
      <c r="AA28" s="2283"/>
      <c r="AB28" s="2283"/>
      <c r="AC28" s="2283"/>
      <c r="AD28" s="2283"/>
      <c r="AE28" s="2283"/>
      <c r="AF28" s="2283"/>
      <c r="AG28" s="1445"/>
      <c r="AH28" s="655"/>
      <c r="AI28" s="1846"/>
      <c r="AJ28" s="1622">
        <v>11</v>
      </c>
      <c r="AK28" s="2283">
        <v>386.41364120342803</v>
      </c>
      <c r="AL28" s="2283">
        <v>166.73991851536101</v>
      </c>
      <c r="AM28" s="2283">
        <v>274.56060636226903</v>
      </c>
      <c r="AN28" s="2283">
        <v>446.29408366078798</v>
      </c>
      <c r="AO28" s="2283">
        <v>298.72856485925797</v>
      </c>
      <c r="AP28" s="2283">
        <v>556.20445112168795</v>
      </c>
      <c r="AQ28" s="2283">
        <v>482.11537296797798</v>
      </c>
      <c r="AR28" s="2283">
        <v>550.588156976611</v>
      </c>
      <c r="AS28" s="2283">
        <v>413.97935160164798</v>
      </c>
      <c r="AT28" s="2283">
        <v>195.19233986942999</v>
      </c>
      <c r="AU28" s="2283">
        <v>-81.034565186839004</v>
      </c>
      <c r="AV28" s="2283">
        <v>295.32323653590697</v>
      </c>
      <c r="AW28" s="2283">
        <v>760.78940028645195</v>
      </c>
      <c r="AX28" s="2283">
        <v>195.877094349472</v>
      </c>
      <c r="AY28" s="2283">
        <v>524.651270236286</v>
      </c>
      <c r="AZ28" s="2283">
        <v>356.12818956786901</v>
      </c>
      <c r="BA28" s="2283">
        <v>840.21579630735505</v>
      </c>
      <c r="BB28" s="2283">
        <v>104.724138155457</v>
      </c>
      <c r="BC28" s="2283">
        <v>580.490917938964</v>
      </c>
      <c r="BD28" s="2283">
        <v>375.506153205521</v>
      </c>
      <c r="BE28" s="2283">
        <v>286.96009073909602</v>
      </c>
      <c r="BF28" s="2283">
        <v>317.45881944281501</v>
      </c>
      <c r="BG28" s="2283">
        <v>629.48322413848996</v>
      </c>
      <c r="BH28" s="2283">
        <v>399.70252321057501</v>
      </c>
      <c r="BI28" s="2283">
        <v>541.03601059251105</v>
      </c>
      <c r="BJ28" s="1445">
        <v>451.74710363141799</v>
      </c>
      <c r="BK28" s="2207">
        <v>11</v>
      </c>
      <c r="BL28" s="2207" t="s">
        <v>1903</v>
      </c>
      <c r="BM28" s="2207" t="s">
        <v>1909</v>
      </c>
      <c r="BN28" s="2207" t="str">
        <f>Translation!B$579</f>
        <v>Ja</v>
      </c>
    </row>
    <row r="29" spans="2:66" x14ac:dyDescent="0.2">
      <c r="B29" s="1426"/>
      <c r="C29" s="2090">
        <v>12</v>
      </c>
      <c r="D29" s="2090" t="s">
        <v>1903</v>
      </c>
      <c r="E29" s="2090" t="s">
        <v>1909</v>
      </c>
      <c r="F29" s="2090" t="str">
        <f>Translation!B$580</f>
        <v>Nein</v>
      </c>
      <c r="G29" s="1622">
        <v>12</v>
      </c>
      <c r="H29" s="2283"/>
      <c r="I29" s="2283"/>
      <c r="J29" s="2283"/>
      <c r="K29" s="2283"/>
      <c r="L29" s="2283"/>
      <c r="M29" s="2283"/>
      <c r="N29" s="2283"/>
      <c r="O29" s="2283"/>
      <c r="P29" s="2283"/>
      <c r="Q29" s="2283"/>
      <c r="R29" s="2283"/>
      <c r="S29" s="2283"/>
      <c r="T29" s="2283"/>
      <c r="U29" s="2283"/>
      <c r="V29" s="2283"/>
      <c r="W29" s="2283"/>
      <c r="X29" s="2283"/>
      <c r="Y29" s="2283"/>
      <c r="Z29" s="2283"/>
      <c r="AA29" s="2283"/>
      <c r="AB29" s="2283"/>
      <c r="AC29" s="2283"/>
      <c r="AD29" s="2283"/>
      <c r="AE29" s="2283"/>
      <c r="AF29" s="2283"/>
      <c r="AG29" s="1445"/>
      <c r="AH29" s="655"/>
      <c r="AI29" s="1846"/>
      <c r="AJ29" s="1622">
        <v>12</v>
      </c>
      <c r="AK29" s="2283">
        <v>-267.46054214937902</v>
      </c>
      <c r="AL29" s="2283">
        <v>-224.49651666391</v>
      </c>
      <c r="AM29" s="2283">
        <v>-268.33090287181301</v>
      </c>
      <c r="AN29" s="2283">
        <v>-300.806962436861</v>
      </c>
      <c r="AO29" s="2283">
        <v>-329.19953179747398</v>
      </c>
      <c r="AP29" s="2283">
        <v>-362.87582496750201</v>
      </c>
      <c r="AQ29" s="2283">
        <v>-288.21883262708297</v>
      </c>
      <c r="AR29" s="2283">
        <v>-342.23368733020698</v>
      </c>
      <c r="AS29" s="2283">
        <v>-249.30220522367</v>
      </c>
      <c r="AT29" s="2283">
        <v>-258.60768426354099</v>
      </c>
      <c r="AU29" s="2283">
        <v>-335.21057366580101</v>
      </c>
      <c r="AV29" s="2283">
        <v>-243.284195540285</v>
      </c>
      <c r="AW29" s="2283">
        <v>-362.49617756899602</v>
      </c>
      <c r="AX29" s="2283">
        <v>-247.63794096997901</v>
      </c>
      <c r="AY29" s="2283">
        <v>-172.77639119568599</v>
      </c>
      <c r="AZ29" s="2283">
        <v>-255.622230850953</v>
      </c>
      <c r="BA29" s="2283">
        <v>-293.92102364616301</v>
      </c>
      <c r="BB29" s="2283">
        <v>-297.63773406728899</v>
      </c>
      <c r="BC29" s="2283">
        <v>-260.87431384189</v>
      </c>
      <c r="BD29" s="2283">
        <v>-249.60378493472399</v>
      </c>
      <c r="BE29" s="2283">
        <v>-379.665830902148</v>
      </c>
      <c r="BF29" s="2283">
        <v>-226.35204390699499</v>
      </c>
      <c r="BG29" s="2283">
        <v>-319.47471836614102</v>
      </c>
      <c r="BH29" s="2283">
        <v>-280.39025057461299</v>
      </c>
      <c r="BI29" s="2283">
        <v>-242.464719796232</v>
      </c>
      <c r="BJ29" s="1445">
        <v>-266.78019000422</v>
      </c>
      <c r="BK29" s="2207">
        <v>12</v>
      </c>
      <c r="BL29" s="2207" t="s">
        <v>1903</v>
      </c>
      <c r="BM29" s="2207" t="s">
        <v>1909</v>
      </c>
      <c r="BN29" s="2207" t="str">
        <f>Translation!B$580</f>
        <v>Nein</v>
      </c>
    </row>
    <row r="30" spans="2:66" x14ac:dyDescent="0.2">
      <c r="B30" s="1426"/>
      <c r="C30" s="2090">
        <v>13</v>
      </c>
      <c r="D30" s="2090" t="s">
        <v>1903</v>
      </c>
      <c r="E30" s="2090" t="s">
        <v>1910</v>
      </c>
      <c r="F30" s="2090" t="str">
        <f>Translation!B$579</f>
        <v>Ja</v>
      </c>
      <c r="G30" s="1622">
        <v>13</v>
      </c>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1445"/>
      <c r="AH30" s="655"/>
      <c r="AI30" s="1846"/>
      <c r="AJ30" s="1622">
        <v>13</v>
      </c>
      <c r="AK30" s="2283">
        <v>179.702721181074</v>
      </c>
      <c r="AL30" s="2283">
        <v>345.85898541621202</v>
      </c>
      <c r="AM30" s="2283">
        <v>532.80485363438595</v>
      </c>
      <c r="AN30" s="2283">
        <v>436.08161325511497</v>
      </c>
      <c r="AO30" s="2283">
        <v>416.78542228172398</v>
      </c>
      <c r="AP30" s="2283">
        <v>911.14107648240804</v>
      </c>
      <c r="AQ30" s="2283">
        <v>296.40234132890902</v>
      </c>
      <c r="AR30" s="2283">
        <v>720.54105149497798</v>
      </c>
      <c r="AS30" s="2283">
        <v>315.77412626584498</v>
      </c>
      <c r="AT30" s="2283">
        <v>418.48036150259497</v>
      </c>
      <c r="AU30" s="2283">
        <v>422.95146874688902</v>
      </c>
      <c r="AV30" s="2283">
        <v>351.92267764938902</v>
      </c>
      <c r="AW30" s="2283">
        <v>463.09362725791698</v>
      </c>
      <c r="AX30" s="2283">
        <v>85.788904026393197</v>
      </c>
      <c r="AY30" s="2283">
        <v>112.772754821183</v>
      </c>
      <c r="AZ30" s="2283">
        <v>419.00159613729898</v>
      </c>
      <c r="BA30" s="2283">
        <v>299.23021258298201</v>
      </c>
      <c r="BB30" s="2283">
        <v>244.42744021189401</v>
      </c>
      <c r="BC30" s="2283">
        <v>147.52155337775599</v>
      </c>
      <c r="BD30" s="2283">
        <v>469.68266445547499</v>
      </c>
      <c r="BE30" s="2283">
        <v>374.56610242899097</v>
      </c>
      <c r="BF30" s="2283">
        <v>310.00910703384</v>
      </c>
      <c r="BG30" s="2283">
        <v>681.98408031653798</v>
      </c>
      <c r="BH30" s="2283">
        <v>425.75587314939202</v>
      </c>
      <c r="BI30" s="2283">
        <v>699.57061995414097</v>
      </c>
      <c r="BJ30" s="1445">
        <v>472.50455849558699</v>
      </c>
      <c r="BK30" s="2207">
        <v>13</v>
      </c>
      <c r="BL30" s="2207" t="s">
        <v>1903</v>
      </c>
      <c r="BM30" s="2207" t="s">
        <v>1910</v>
      </c>
      <c r="BN30" s="2207" t="str">
        <f>Translation!B$579</f>
        <v>Ja</v>
      </c>
    </row>
    <row r="31" spans="2:66" x14ac:dyDescent="0.2">
      <c r="B31" s="1426"/>
      <c r="C31" s="2090">
        <v>14</v>
      </c>
      <c r="D31" s="2090" t="s">
        <v>1903</v>
      </c>
      <c r="E31" s="2090" t="s">
        <v>1910</v>
      </c>
      <c r="F31" s="2090" t="str">
        <f>Translation!B$580</f>
        <v>Nein</v>
      </c>
      <c r="G31" s="1622">
        <v>14</v>
      </c>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1445"/>
      <c r="AH31" s="655"/>
      <c r="AI31" s="1846"/>
      <c r="AJ31" s="1622">
        <v>14</v>
      </c>
      <c r="AK31" s="2283">
        <v>-240.83198524532801</v>
      </c>
      <c r="AL31" s="2283">
        <v>-175.566209327704</v>
      </c>
      <c r="AM31" s="2283">
        <v>-241.128780094962</v>
      </c>
      <c r="AN31" s="2283">
        <v>-273.15961684530299</v>
      </c>
      <c r="AO31" s="2283">
        <v>-308.517139868328</v>
      </c>
      <c r="AP31" s="2283">
        <v>-308.417217131879</v>
      </c>
      <c r="AQ31" s="2283">
        <v>-237.470812942767</v>
      </c>
      <c r="AR31" s="2283">
        <v>-310.50552584880501</v>
      </c>
      <c r="AS31" s="2283">
        <v>-253.538185798917</v>
      </c>
      <c r="AT31" s="2283">
        <v>-221.72016956311899</v>
      </c>
      <c r="AU31" s="2283">
        <v>-309.33409262917701</v>
      </c>
      <c r="AV31" s="2283">
        <v>-216.96276375104401</v>
      </c>
      <c r="AW31" s="2283">
        <v>-311.96086099335997</v>
      </c>
      <c r="AX31" s="2283">
        <v>-207.43901131509901</v>
      </c>
      <c r="AY31" s="2283">
        <v>-233.03624784194599</v>
      </c>
      <c r="AZ31" s="2283">
        <v>-228.76047673970399</v>
      </c>
      <c r="BA31" s="2283">
        <v>-254.21862261470099</v>
      </c>
      <c r="BB31" s="2283">
        <v>-271.08517059373099</v>
      </c>
      <c r="BC31" s="2283">
        <v>-220.55677237793</v>
      </c>
      <c r="BD31" s="2283">
        <v>-235.10907757699201</v>
      </c>
      <c r="BE31" s="2283">
        <v>-338.30632960173102</v>
      </c>
      <c r="BF31" s="2283">
        <v>-212.07608889073899</v>
      </c>
      <c r="BG31" s="2283">
        <v>-289.467008089214</v>
      </c>
      <c r="BH31" s="2283">
        <v>-247.14196685949901</v>
      </c>
      <c r="BI31" s="2283">
        <v>-203.80468195199501</v>
      </c>
      <c r="BJ31" s="1445">
        <v>-243.254027550399</v>
      </c>
      <c r="BK31" s="2207">
        <v>14</v>
      </c>
      <c r="BL31" s="2207" t="s">
        <v>1903</v>
      </c>
      <c r="BM31" s="2207" t="s">
        <v>1910</v>
      </c>
      <c r="BN31" s="2207" t="str">
        <f>Translation!B$580</f>
        <v>Nein</v>
      </c>
    </row>
    <row r="32" spans="2:66" x14ac:dyDescent="0.2">
      <c r="B32" s="1426"/>
      <c r="C32" s="2090">
        <v>15</v>
      </c>
      <c r="D32" s="2090" t="s">
        <v>1903</v>
      </c>
      <c r="E32" s="2090" t="s">
        <v>1911</v>
      </c>
      <c r="F32" s="2090" t="str">
        <f>Translation!B$579</f>
        <v>Ja</v>
      </c>
      <c r="G32" s="1622">
        <v>15</v>
      </c>
      <c r="H32" s="2283"/>
      <c r="I32" s="2283"/>
      <c r="J32" s="2283"/>
      <c r="K32" s="2283"/>
      <c r="L32" s="2283"/>
      <c r="M32" s="2283"/>
      <c r="N32" s="2283"/>
      <c r="O32" s="2283"/>
      <c r="P32" s="2283"/>
      <c r="Q32" s="2283"/>
      <c r="R32" s="2283"/>
      <c r="S32" s="2283"/>
      <c r="T32" s="2283"/>
      <c r="U32" s="2283"/>
      <c r="V32" s="2283"/>
      <c r="W32" s="2283"/>
      <c r="X32" s="2283"/>
      <c r="Y32" s="2283"/>
      <c r="Z32" s="2283"/>
      <c r="AA32" s="2283"/>
      <c r="AB32" s="2283"/>
      <c r="AC32" s="2283"/>
      <c r="AD32" s="2283"/>
      <c r="AE32" s="2283"/>
      <c r="AF32" s="2283"/>
      <c r="AG32" s="1445"/>
      <c r="AH32" s="655"/>
      <c r="AI32" s="1846"/>
      <c r="AJ32" s="1622">
        <v>15</v>
      </c>
      <c r="AK32" s="2283">
        <v>408.75285336284998</v>
      </c>
      <c r="AL32" s="2283">
        <v>331.16396967680799</v>
      </c>
      <c r="AM32" s="2283">
        <v>496.18113695008799</v>
      </c>
      <c r="AN32" s="2283">
        <v>557.26088801102696</v>
      </c>
      <c r="AO32" s="2283">
        <v>457.40375331291801</v>
      </c>
      <c r="AP32" s="2283">
        <v>731.47235181488895</v>
      </c>
      <c r="AQ32" s="2283">
        <v>574.12238159271499</v>
      </c>
      <c r="AR32" s="2283">
        <v>599.014205173655</v>
      </c>
      <c r="AS32" s="2283">
        <v>619.77146275750101</v>
      </c>
      <c r="AT32" s="2283">
        <v>299.87602990418799</v>
      </c>
      <c r="AU32" s="2283">
        <v>337.936322131238</v>
      </c>
      <c r="AV32" s="2283">
        <v>334.83246005966998</v>
      </c>
      <c r="AW32" s="2283">
        <v>611.45562788360496</v>
      </c>
      <c r="AX32" s="2283">
        <v>199.832517368943</v>
      </c>
      <c r="AY32" s="2283">
        <v>149.13701121512401</v>
      </c>
      <c r="AZ32" s="2283">
        <v>337.11185347302302</v>
      </c>
      <c r="BA32" s="2283">
        <v>597.61783135297605</v>
      </c>
      <c r="BB32" s="2283">
        <v>373.94703120693498</v>
      </c>
      <c r="BC32" s="2283">
        <v>587.07812154757596</v>
      </c>
      <c r="BD32" s="2283">
        <v>343.87072747404198</v>
      </c>
      <c r="BE32" s="2283">
        <v>371.87828583329201</v>
      </c>
      <c r="BF32" s="2283">
        <v>502.053110852278</v>
      </c>
      <c r="BG32" s="2283">
        <v>651.37576416305501</v>
      </c>
      <c r="BH32" s="2283">
        <v>546.56239733281802</v>
      </c>
      <c r="BI32" s="2283">
        <v>247.57924188690399</v>
      </c>
      <c r="BJ32" s="1445">
        <v>531.42600641616696</v>
      </c>
      <c r="BK32" s="2207">
        <v>15</v>
      </c>
      <c r="BL32" s="2207" t="s">
        <v>1903</v>
      </c>
      <c r="BM32" s="2207" t="s">
        <v>1911</v>
      </c>
      <c r="BN32" s="2207" t="str">
        <f>Translation!B$579</f>
        <v>Ja</v>
      </c>
    </row>
    <row r="33" spans="2:66" x14ac:dyDescent="0.2">
      <c r="B33" s="1426"/>
      <c r="C33" s="2090">
        <v>16</v>
      </c>
      <c r="D33" s="2090" t="s">
        <v>1903</v>
      </c>
      <c r="E33" s="2090" t="s">
        <v>1911</v>
      </c>
      <c r="F33" s="2090" t="str">
        <f>Translation!B$580</f>
        <v>Nein</v>
      </c>
      <c r="G33" s="1622">
        <v>16</v>
      </c>
      <c r="H33" s="2283"/>
      <c r="I33" s="2283"/>
      <c r="J33" s="2283"/>
      <c r="K33" s="2283"/>
      <c r="L33" s="2283"/>
      <c r="M33" s="2283"/>
      <c r="N33" s="2283"/>
      <c r="O33" s="2283"/>
      <c r="P33" s="2283"/>
      <c r="Q33" s="2283"/>
      <c r="R33" s="2283"/>
      <c r="S33" s="2283"/>
      <c r="T33" s="2283"/>
      <c r="U33" s="2283"/>
      <c r="V33" s="2283"/>
      <c r="W33" s="2283"/>
      <c r="X33" s="2283"/>
      <c r="Y33" s="2283"/>
      <c r="Z33" s="2283"/>
      <c r="AA33" s="2283"/>
      <c r="AB33" s="2283"/>
      <c r="AC33" s="2283"/>
      <c r="AD33" s="2283"/>
      <c r="AE33" s="2283"/>
      <c r="AF33" s="2283"/>
      <c r="AG33" s="1445"/>
      <c r="AH33" s="655"/>
      <c r="AI33" s="1846"/>
      <c r="AJ33" s="1622">
        <v>16</v>
      </c>
      <c r="AK33" s="2283">
        <v>-199.80187193771201</v>
      </c>
      <c r="AL33" s="2283">
        <v>-132.697051741857</v>
      </c>
      <c r="AM33" s="2283">
        <v>-200.06865892145899</v>
      </c>
      <c r="AN33" s="2283">
        <v>-245.498542901105</v>
      </c>
      <c r="AO33" s="2283">
        <v>-260.641123544408</v>
      </c>
      <c r="AP33" s="2283">
        <v>-289.07132259911498</v>
      </c>
      <c r="AQ33" s="2283">
        <v>-222.56142329105199</v>
      </c>
      <c r="AR33" s="2283">
        <v>-268.00525083932598</v>
      </c>
      <c r="AS33" s="2283">
        <v>-210.325846281482</v>
      </c>
      <c r="AT33" s="2283">
        <v>-190.145089853234</v>
      </c>
      <c r="AU33" s="2283">
        <v>-280.27271698470099</v>
      </c>
      <c r="AV33" s="2283">
        <v>-199.73331307424701</v>
      </c>
      <c r="AW33" s="2283">
        <v>-277.05591276135902</v>
      </c>
      <c r="AX33" s="2283">
        <v>-192.962669240293</v>
      </c>
      <c r="AY33" s="2283">
        <v>-171.26512039637501</v>
      </c>
      <c r="AZ33" s="2283">
        <v>-189.55195542247901</v>
      </c>
      <c r="BA33" s="2283">
        <v>-231.78408462156301</v>
      </c>
      <c r="BB33" s="2283">
        <v>-243.506209622109</v>
      </c>
      <c r="BC33" s="2283">
        <v>-182.04932317276399</v>
      </c>
      <c r="BD33" s="2283">
        <v>-198.03712637827499</v>
      </c>
      <c r="BE33" s="2283">
        <v>-292.95571169493201</v>
      </c>
      <c r="BF33" s="2283">
        <v>-197.94352891801299</v>
      </c>
      <c r="BG33" s="2283">
        <v>-235.95174218890699</v>
      </c>
      <c r="BH33" s="2283">
        <v>-205.47063141132401</v>
      </c>
      <c r="BI33" s="2283">
        <v>-165.99530728976001</v>
      </c>
      <c r="BJ33" s="1445">
        <v>-205.988363883766</v>
      </c>
      <c r="BK33" s="2207">
        <v>16</v>
      </c>
      <c r="BL33" s="2207" t="s">
        <v>1903</v>
      </c>
      <c r="BM33" s="2207" t="s">
        <v>1911</v>
      </c>
      <c r="BN33" s="2207" t="str">
        <f>Translation!B$580</f>
        <v>Nein</v>
      </c>
    </row>
    <row r="34" spans="2:66" x14ac:dyDescent="0.2">
      <c r="B34" s="1426"/>
      <c r="C34" s="2090">
        <v>17</v>
      </c>
      <c r="D34" s="2090" t="s">
        <v>1903</v>
      </c>
      <c r="E34" s="2090" t="s">
        <v>1912</v>
      </c>
      <c r="F34" s="2090" t="str">
        <f>Translation!B$579</f>
        <v>Ja</v>
      </c>
      <c r="G34" s="1622">
        <v>17</v>
      </c>
      <c r="H34" s="2283"/>
      <c r="I34" s="2283"/>
      <c r="J34" s="2283"/>
      <c r="K34" s="2283"/>
      <c r="L34" s="2283"/>
      <c r="M34" s="2283"/>
      <c r="N34" s="2283"/>
      <c r="O34" s="2283"/>
      <c r="P34" s="2283"/>
      <c r="Q34" s="2283"/>
      <c r="R34" s="2283"/>
      <c r="S34" s="2283"/>
      <c r="T34" s="2283"/>
      <c r="U34" s="2283"/>
      <c r="V34" s="2283"/>
      <c r="W34" s="2283"/>
      <c r="X34" s="2283"/>
      <c r="Y34" s="2283"/>
      <c r="Z34" s="2283"/>
      <c r="AA34" s="2283"/>
      <c r="AB34" s="2283"/>
      <c r="AC34" s="2283"/>
      <c r="AD34" s="2283"/>
      <c r="AE34" s="2283"/>
      <c r="AF34" s="2283"/>
      <c r="AG34" s="1445"/>
      <c r="AH34" s="655"/>
      <c r="AI34" s="1846"/>
      <c r="AJ34" s="1622">
        <v>17</v>
      </c>
      <c r="AK34" s="2283">
        <v>468.29360745806099</v>
      </c>
      <c r="AL34" s="2283">
        <v>329.67492017279102</v>
      </c>
      <c r="AM34" s="2283">
        <v>387.10853790282499</v>
      </c>
      <c r="AN34" s="2283">
        <v>468.67462078369601</v>
      </c>
      <c r="AO34" s="2283">
        <v>455.12294447494702</v>
      </c>
      <c r="AP34" s="2283">
        <v>530.36889317546002</v>
      </c>
      <c r="AQ34" s="2283">
        <v>556.09940161765201</v>
      </c>
      <c r="AR34" s="2283">
        <v>863.51772072770905</v>
      </c>
      <c r="AS34" s="2283">
        <v>527.34809425911101</v>
      </c>
      <c r="AT34" s="2283">
        <v>424.98633702232701</v>
      </c>
      <c r="AU34" s="2283">
        <v>498.01537327994703</v>
      </c>
      <c r="AV34" s="2283">
        <v>579.66916618724701</v>
      </c>
      <c r="AW34" s="2283">
        <v>654.10216207744099</v>
      </c>
      <c r="AX34" s="2283">
        <v>704.72378546915797</v>
      </c>
      <c r="AY34" s="2283">
        <v>68.930775926262896</v>
      </c>
      <c r="AZ34" s="2283">
        <v>492.97621457112001</v>
      </c>
      <c r="BA34" s="2283">
        <v>461.38118985395698</v>
      </c>
      <c r="BB34" s="2283">
        <v>272.78142950945102</v>
      </c>
      <c r="BC34" s="2283">
        <v>333.91734506471403</v>
      </c>
      <c r="BD34" s="2283">
        <v>327.62953169966801</v>
      </c>
      <c r="BE34" s="2283">
        <v>621.47032725420297</v>
      </c>
      <c r="BF34" s="2283">
        <v>319.060938781819</v>
      </c>
      <c r="BG34" s="2283">
        <v>825.07879946255002</v>
      </c>
      <c r="BH34" s="2283">
        <v>673.97426954555306</v>
      </c>
      <c r="BI34" s="2283">
        <v>373.02568011136299</v>
      </c>
      <c r="BJ34" s="1445">
        <v>617.98620642696596</v>
      </c>
      <c r="BK34" s="2207">
        <v>17</v>
      </c>
      <c r="BL34" s="2207" t="s">
        <v>1903</v>
      </c>
      <c r="BM34" s="2207" t="s">
        <v>1912</v>
      </c>
      <c r="BN34" s="2207" t="str">
        <f>Translation!B$579</f>
        <v>Ja</v>
      </c>
    </row>
    <row r="35" spans="2:66" x14ac:dyDescent="0.2">
      <c r="B35" s="1426"/>
      <c r="C35" s="2090">
        <v>18</v>
      </c>
      <c r="D35" s="2090" t="s">
        <v>1903</v>
      </c>
      <c r="E35" s="2090" t="s">
        <v>1912</v>
      </c>
      <c r="F35" s="2090" t="str">
        <f>Translation!B$580</f>
        <v>Nein</v>
      </c>
      <c r="G35" s="1622">
        <v>18</v>
      </c>
      <c r="H35" s="2283"/>
      <c r="I35" s="2283"/>
      <c r="J35" s="2283"/>
      <c r="K35" s="2283"/>
      <c r="L35" s="2283"/>
      <c r="M35" s="2283"/>
      <c r="N35" s="2283"/>
      <c r="O35" s="2283"/>
      <c r="P35" s="2283"/>
      <c r="Q35" s="2283"/>
      <c r="R35" s="2283"/>
      <c r="S35" s="2283"/>
      <c r="T35" s="2283"/>
      <c r="U35" s="2283"/>
      <c r="V35" s="2283"/>
      <c r="W35" s="2283"/>
      <c r="X35" s="2283"/>
      <c r="Y35" s="2283"/>
      <c r="Z35" s="2283"/>
      <c r="AA35" s="2283"/>
      <c r="AB35" s="2283"/>
      <c r="AC35" s="2283"/>
      <c r="AD35" s="2283"/>
      <c r="AE35" s="2283"/>
      <c r="AF35" s="2283"/>
      <c r="AG35" s="1445"/>
      <c r="AH35" s="655"/>
      <c r="AI35" s="1846"/>
      <c r="AJ35" s="1622">
        <v>18</v>
      </c>
      <c r="AK35" s="2283">
        <v>-152.352156578972</v>
      </c>
      <c r="AL35" s="2283">
        <v>-93.371950274107604</v>
      </c>
      <c r="AM35" s="2283">
        <v>-153.58912128081499</v>
      </c>
      <c r="AN35" s="2283">
        <v>-184.72166659258201</v>
      </c>
      <c r="AO35" s="2283">
        <v>-224.73153320831199</v>
      </c>
      <c r="AP35" s="2283">
        <v>-237.51226278551499</v>
      </c>
      <c r="AQ35" s="2283">
        <v>-145.49416888476301</v>
      </c>
      <c r="AR35" s="2283">
        <v>-178.332254057635</v>
      </c>
      <c r="AS35" s="2283">
        <v>-205.17576057914101</v>
      </c>
      <c r="AT35" s="2283">
        <v>-144.316167170412</v>
      </c>
      <c r="AU35" s="2283">
        <v>-247.90985340245899</v>
      </c>
      <c r="AV35" s="2283">
        <v>-143.30169520790599</v>
      </c>
      <c r="AW35" s="2283">
        <v>-229.197493107182</v>
      </c>
      <c r="AX35" s="2283">
        <v>-169.332770824166</v>
      </c>
      <c r="AY35" s="2283">
        <v>-125.36635205113799</v>
      </c>
      <c r="AZ35" s="2283">
        <v>-159.70472368252899</v>
      </c>
      <c r="BA35" s="2283">
        <v>-185.58986569938099</v>
      </c>
      <c r="BB35" s="2283">
        <v>-161.577104608415</v>
      </c>
      <c r="BC35" s="2283">
        <v>-121.13972030904399</v>
      </c>
      <c r="BD35" s="2283">
        <v>-151.70855336761599</v>
      </c>
      <c r="BE35" s="2283">
        <v>-238.77572796513499</v>
      </c>
      <c r="BF35" s="2283">
        <v>-131.58762520582101</v>
      </c>
      <c r="BG35" s="2283">
        <v>-187.783976062455</v>
      </c>
      <c r="BH35" s="2283">
        <v>-150.76640483689701</v>
      </c>
      <c r="BI35" s="2283">
        <v>-151.37116630515601</v>
      </c>
      <c r="BJ35" s="1445">
        <v>-149.76348246524</v>
      </c>
      <c r="BK35" s="2207">
        <v>18</v>
      </c>
      <c r="BL35" s="2207" t="s">
        <v>1903</v>
      </c>
      <c r="BM35" s="2207" t="s">
        <v>1912</v>
      </c>
      <c r="BN35" s="2207" t="str">
        <f>Translation!B$580</f>
        <v>Nein</v>
      </c>
    </row>
    <row r="36" spans="2:66" x14ac:dyDescent="0.2">
      <c r="B36" s="1426"/>
      <c r="C36" s="2090">
        <v>19</v>
      </c>
      <c r="D36" s="2090" t="s">
        <v>1903</v>
      </c>
      <c r="E36" s="2090" t="s">
        <v>1913</v>
      </c>
      <c r="F36" s="2090" t="str">
        <f>Translation!B$579</f>
        <v>Ja</v>
      </c>
      <c r="G36" s="1622">
        <v>19</v>
      </c>
      <c r="H36" s="2283"/>
      <c r="I36" s="2283"/>
      <c r="J36" s="2283"/>
      <c r="K36" s="2283"/>
      <c r="L36" s="2283"/>
      <c r="M36" s="2283"/>
      <c r="N36" s="2283"/>
      <c r="O36" s="2283"/>
      <c r="P36" s="2283"/>
      <c r="Q36" s="2283"/>
      <c r="R36" s="2283"/>
      <c r="S36" s="2283"/>
      <c r="T36" s="2283"/>
      <c r="U36" s="2283"/>
      <c r="V36" s="2283"/>
      <c r="W36" s="2283"/>
      <c r="X36" s="2283"/>
      <c r="Y36" s="2283"/>
      <c r="Z36" s="2283"/>
      <c r="AA36" s="2283"/>
      <c r="AB36" s="2283"/>
      <c r="AC36" s="2283"/>
      <c r="AD36" s="2283"/>
      <c r="AE36" s="2283"/>
      <c r="AF36" s="2283"/>
      <c r="AG36" s="1445"/>
      <c r="AH36" s="655"/>
      <c r="AI36" s="1846"/>
      <c r="AJ36" s="1622">
        <v>19</v>
      </c>
      <c r="AK36" s="2283">
        <v>621.93506744923604</v>
      </c>
      <c r="AL36" s="2283">
        <v>753.31592961939998</v>
      </c>
      <c r="AM36" s="2283">
        <v>541.59776879440005</v>
      </c>
      <c r="AN36" s="2283">
        <v>656.59386691879695</v>
      </c>
      <c r="AO36" s="2283">
        <v>556.69618486135801</v>
      </c>
      <c r="AP36" s="2283">
        <v>1066.5090865862501</v>
      </c>
      <c r="AQ36" s="2283">
        <v>852.86477988228705</v>
      </c>
      <c r="AR36" s="2283">
        <v>1062.6898469632999</v>
      </c>
      <c r="AS36" s="2283">
        <v>368.22894012875798</v>
      </c>
      <c r="AT36" s="2283">
        <v>508.20615079438801</v>
      </c>
      <c r="AU36" s="2283">
        <v>615.26018401021201</v>
      </c>
      <c r="AV36" s="2283">
        <v>543.62355800884995</v>
      </c>
      <c r="AW36" s="2283">
        <v>965.89067385066301</v>
      </c>
      <c r="AX36" s="2283">
        <v>628.04857666062901</v>
      </c>
      <c r="AY36" s="2283">
        <v>53.044412697907703</v>
      </c>
      <c r="AZ36" s="2283">
        <v>425.406594602452</v>
      </c>
      <c r="BA36" s="2283">
        <v>365.44474561271397</v>
      </c>
      <c r="BB36" s="2283">
        <v>677.43074312501506</v>
      </c>
      <c r="BC36" s="2283">
        <v>477.829670240653</v>
      </c>
      <c r="BD36" s="2283">
        <v>482.22506141512002</v>
      </c>
      <c r="BE36" s="2283">
        <v>538.10344710485106</v>
      </c>
      <c r="BF36" s="2283">
        <v>845.15875296642105</v>
      </c>
      <c r="BG36" s="2283">
        <v>1015.60877181305</v>
      </c>
      <c r="BH36" s="2283">
        <v>569.53147341706904</v>
      </c>
      <c r="BI36" s="2283">
        <v>308.93644777739701</v>
      </c>
      <c r="BJ36" s="1445">
        <v>658.28761191300305</v>
      </c>
      <c r="BK36" s="2207">
        <v>19</v>
      </c>
      <c r="BL36" s="2207" t="s">
        <v>1903</v>
      </c>
      <c r="BM36" s="2207" t="s">
        <v>1913</v>
      </c>
      <c r="BN36" s="2207" t="str">
        <f>Translation!B$579</f>
        <v>Ja</v>
      </c>
    </row>
    <row r="37" spans="2:66" x14ac:dyDescent="0.2">
      <c r="B37" s="1426"/>
      <c r="C37" s="2090">
        <v>20</v>
      </c>
      <c r="D37" s="2090" t="s">
        <v>1903</v>
      </c>
      <c r="E37" s="2090" t="s">
        <v>1913</v>
      </c>
      <c r="F37" s="2090" t="str">
        <f>Translation!B$580</f>
        <v>Nein</v>
      </c>
      <c r="G37" s="1622">
        <v>20</v>
      </c>
      <c r="H37" s="2283"/>
      <c r="I37" s="2283"/>
      <c r="J37" s="2283"/>
      <c r="K37" s="2283"/>
      <c r="L37" s="2283"/>
      <c r="M37" s="2283"/>
      <c r="N37" s="2283"/>
      <c r="O37" s="2283"/>
      <c r="P37" s="2283"/>
      <c r="Q37" s="2283"/>
      <c r="R37" s="2283"/>
      <c r="S37" s="2283"/>
      <c r="T37" s="2283"/>
      <c r="U37" s="2283"/>
      <c r="V37" s="2283"/>
      <c r="W37" s="2283"/>
      <c r="X37" s="2283"/>
      <c r="Y37" s="2283"/>
      <c r="Z37" s="2283"/>
      <c r="AA37" s="2283"/>
      <c r="AB37" s="2283"/>
      <c r="AC37" s="2283"/>
      <c r="AD37" s="2283"/>
      <c r="AE37" s="2283"/>
      <c r="AF37" s="2283"/>
      <c r="AG37" s="1445"/>
      <c r="AH37" s="655"/>
      <c r="AI37" s="1846"/>
      <c r="AJ37" s="1622">
        <v>20</v>
      </c>
      <c r="AK37" s="2283">
        <v>-78.221399229123307</v>
      </c>
      <c r="AL37" s="2283">
        <v>-71.5041517794523</v>
      </c>
      <c r="AM37" s="2283">
        <v>-53.023608116362901</v>
      </c>
      <c r="AN37" s="2283">
        <v>-116.23978457674001</v>
      </c>
      <c r="AO37" s="2283">
        <v>-144.70718313866601</v>
      </c>
      <c r="AP37" s="2283">
        <v>-155.48011440852099</v>
      </c>
      <c r="AQ37" s="2283">
        <v>-71.528075280175102</v>
      </c>
      <c r="AR37" s="2283">
        <v>-82.979305618357301</v>
      </c>
      <c r="AS37" s="2283">
        <v>-115.053071172956</v>
      </c>
      <c r="AT37" s="2283">
        <v>-102.493174750923</v>
      </c>
      <c r="AU37" s="2283">
        <v>-168.61205751338301</v>
      </c>
      <c r="AV37" s="2283">
        <v>-75.879729617774004</v>
      </c>
      <c r="AW37" s="2283">
        <v>-122.898841066659</v>
      </c>
      <c r="AX37" s="2283">
        <v>-46.687909385597301</v>
      </c>
      <c r="AY37" s="2283">
        <v>-80.0175662396571</v>
      </c>
      <c r="AZ37" s="2283">
        <v>-80.448116439318397</v>
      </c>
      <c r="BA37" s="2283">
        <v>-130.08790528684</v>
      </c>
      <c r="BB37" s="2283">
        <v>-122.23526876000901</v>
      </c>
      <c r="BC37" s="2283">
        <v>-39.721828009177301</v>
      </c>
      <c r="BD37" s="2283">
        <v>-71.107835856676502</v>
      </c>
      <c r="BE37" s="2283">
        <v>-153.212935530393</v>
      </c>
      <c r="BF37" s="2283">
        <v>-76.141122701088605</v>
      </c>
      <c r="BG37" s="2283">
        <v>-83.344181189412296</v>
      </c>
      <c r="BH37" s="2283">
        <v>-84.043622962090893</v>
      </c>
      <c r="BI37" s="2283">
        <v>-70.294636809402206</v>
      </c>
      <c r="BJ37" s="1445">
        <v>-81.189476618202903</v>
      </c>
      <c r="BK37" s="2207">
        <v>20</v>
      </c>
      <c r="BL37" s="2207" t="s">
        <v>1903</v>
      </c>
      <c r="BM37" s="2207" t="s">
        <v>1913</v>
      </c>
      <c r="BN37" s="2207" t="str">
        <f>Translation!B$580</f>
        <v>Nein</v>
      </c>
    </row>
    <row r="38" spans="2:66" x14ac:dyDescent="0.2">
      <c r="B38" s="1426"/>
      <c r="C38" s="2090">
        <v>21</v>
      </c>
      <c r="D38" s="2090" t="s">
        <v>1903</v>
      </c>
      <c r="E38" s="2090" t="s">
        <v>1914</v>
      </c>
      <c r="F38" s="2090" t="str">
        <f>Translation!B$579</f>
        <v>Ja</v>
      </c>
      <c r="G38" s="1622">
        <v>21</v>
      </c>
      <c r="H38" s="2283"/>
      <c r="I38" s="2283"/>
      <c r="J38" s="2283"/>
      <c r="K38" s="2283"/>
      <c r="L38" s="2283"/>
      <c r="M38" s="2283"/>
      <c r="N38" s="2283"/>
      <c r="O38" s="2283"/>
      <c r="P38" s="2283"/>
      <c r="Q38" s="2283"/>
      <c r="R38" s="2283"/>
      <c r="S38" s="2283"/>
      <c r="T38" s="2283"/>
      <c r="U38" s="2283"/>
      <c r="V38" s="2283"/>
      <c r="W38" s="2283"/>
      <c r="X38" s="2283"/>
      <c r="Y38" s="2283"/>
      <c r="Z38" s="2283"/>
      <c r="AA38" s="2283"/>
      <c r="AB38" s="2283"/>
      <c r="AC38" s="2283"/>
      <c r="AD38" s="2283"/>
      <c r="AE38" s="2283"/>
      <c r="AF38" s="2283"/>
      <c r="AG38" s="1445"/>
      <c r="AH38" s="655"/>
      <c r="AI38" s="1846"/>
      <c r="AJ38" s="1622">
        <v>21</v>
      </c>
      <c r="AK38" s="2283">
        <v>699.74784134283198</v>
      </c>
      <c r="AL38" s="2283">
        <v>591.98764670769003</v>
      </c>
      <c r="AM38" s="2283">
        <v>460.55475319174502</v>
      </c>
      <c r="AN38" s="2283">
        <v>752.79144655092603</v>
      </c>
      <c r="AO38" s="2283">
        <v>654.09985932074403</v>
      </c>
      <c r="AP38" s="2283">
        <v>916.45572032970802</v>
      </c>
      <c r="AQ38" s="2283">
        <v>686.95174657385405</v>
      </c>
      <c r="AR38" s="2283">
        <v>1330.6215621730501</v>
      </c>
      <c r="AS38" s="2283">
        <v>567.31789498996295</v>
      </c>
      <c r="AT38" s="2283">
        <v>596.92280303700704</v>
      </c>
      <c r="AU38" s="2283">
        <v>888.34652841414004</v>
      </c>
      <c r="AV38" s="2283">
        <v>719.09956914666998</v>
      </c>
      <c r="AW38" s="2283">
        <v>913.071472124465</v>
      </c>
      <c r="AX38" s="2283">
        <v>635.14597395242401</v>
      </c>
      <c r="AY38" s="2283">
        <v>457.18703092943798</v>
      </c>
      <c r="AZ38" s="2283">
        <v>661.62355467727798</v>
      </c>
      <c r="BA38" s="2283">
        <v>498.73940248533398</v>
      </c>
      <c r="BB38" s="2283">
        <v>679.93950272122299</v>
      </c>
      <c r="BC38" s="2283">
        <v>527.03066695291898</v>
      </c>
      <c r="BD38" s="2283">
        <v>722.874020317391</v>
      </c>
      <c r="BE38" s="2283">
        <v>915.01015022100205</v>
      </c>
      <c r="BF38" s="2283">
        <v>468.37883385605602</v>
      </c>
      <c r="BG38" s="2283">
        <v>1023.97411130283</v>
      </c>
      <c r="BH38" s="2283">
        <v>724.548814366393</v>
      </c>
      <c r="BI38" s="2283">
        <v>763.71333058142795</v>
      </c>
      <c r="BJ38" s="1445">
        <v>825.47044665079795</v>
      </c>
      <c r="BK38" s="2207">
        <v>21</v>
      </c>
      <c r="BL38" s="2207" t="s">
        <v>1903</v>
      </c>
      <c r="BM38" s="2207" t="s">
        <v>1914</v>
      </c>
      <c r="BN38" s="2207" t="str">
        <f>Translation!B$579</f>
        <v>Ja</v>
      </c>
    </row>
    <row r="39" spans="2:66" x14ac:dyDescent="0.2">
      <c r="B39" s="1426"/>
      <c r="C39" s="2090">
        <v>22</v>
      </c>
      <c r="D39" s="2090" t="s">
        <v>1903</v>
      </c>
      <c r="E39" s="2090" t="s">
        <v>1914</v>
      </c>
      <c r="F39" s="2090" t="str">
        <f>Translation!B$580</f>
        <v>Nein</v>
      </c>
      <c r="G39" s="1622">
        <v>22</v>
      </c>
      <c r="H39" s="2283"/>
      <c r="I39" s="2283"/>
      <c r="J39" s="2283"/>
      <c r="K39" s="2283"/>
      <c r="L39" s="2283"/>
      <c r="M39" s="2283"/>
      <c r="N39" s="2283"/>
      <c r="O39" s="2283"/>
      <c r="P39" s="2283"/>
      <c r="Q39" s="2283"/>
      <c r="R39" s="2283"/>
      <c r="S39" s="2283"/>
      <c r="T39" s="2283"/>
      <c r="U39" s="2283"/>
      <c r="V39" s="2283"/>
      <c r="W39" s="2283"/>
      <c r="X39" s="2283"/>
      <c r="Y39" s="2283"/>
      <c r="Z39" s="2283"/>
      <c r="AA39" s="2283"/>
      <c r="AB39" s="2283"/>
      <c r="AC39" s="2283"/>
      <c r="AD39" s="2283"/>
      <c r="AE39" s="2283"/>
      <c r="AF39" s="2283"/>
      <c r="AG39" s="1445"/>
      <c r="AH39" s="655"/>
      <c r="AI39" s="1846"/>
      <c r="AJ39" s="1622">
        <v>22</v>
      </c>
      <c r="AK39" s="2283">
        <v>5.2397389848045997</v>
      </c>
      <c r="AL39" s="2283">
        <v>40.3902453019967</v>
      </c>
      <c r="AM39" s="2283">
        <v>13.715411761965401</v>
      </c>
      <c r="AN39" s="2283">
        <v>-57.2847474285416</v>
      </c>
      <c r="AO39" s="2283">
        <v>-53.496423804785898</v>
      </c>
      <c r="AP39" s="2283">
        <v>-36.908821358984703</v>
      </c>
      <c r="AQ39" s="2283">
        <v>58.622419270745397</v>
      </c>
      <c r="AR39" s="2283">
        <v>-2.8724213813647999</v>
      </c>
      <c r="AS39" s="2283">
        <v>11.8283764196739</v>
      </c>
      <c r="AT39" s="2283">
        <v>-28.313969876688098</v>
      </c>
      <c r="AU39" s="2283">
        <v>-101.087242228204</v>
      </c>
      <c r="AV39" s="2283">
        <v>-11.945991760816399</v>
      </c>
      <c r="AW39" s="2283">
        <v>-31.301906172058501</v>
      </c>
      <c r="AX39" s="2283">
        <v>14.887623178373101</v>
      </c>
      <c r="AY39" s="2283">
        <v>47.5191754180007</v>
      </c>
      <c r="AZ39" s="2283">
        <v>-9.5645982965842204</v>
      </c>
      <c r="BA39" s="2283">
        <v>-49.363589647175097</v>
      </c>
      <c r="BB39" s="2283">
        <v>-26.358499729731999</v>
      </c>
      <c r="BC39" s="2283">
        <v>24.237108603737301</v>
      </c>
      <c r="BD39" s="2283">
        <v>27.5499626733945</v>
      </c>
      <c r="BE39" s="2283">
        <v>-42.227942915952902</v>
      </c>
      <c r="BF39" s="2283">
        <v>2.4477821936586701</v>
      </c>
      <c r="BG39" s="2283">
        <v>33.928879363349203</v>
      </c>
      <c r="BH39" s="2283">
        <v>24.6807497712173</v>
      </c>
      <c r="BI39" s="2283">
        <v>-19.2572190833232</v>
      </c>
      <c r="BJ39" s="1445">
        <v>4.2646496990075198</v>
      </c>
      <c r="BK39" s="2207">
        <v>22</v>
      </c>
      <c r="BL39" s="2207" t="s">
        <v>1903</v>
      </c>
      <c r="BM39" s="2207" t="s">
        <v>1914</v>
      </c>
      <c r="BN39" s="2207" t="str">
        <f>Translation!B$580</f>
        <v>Nein</v>
      </c>
    </row>
    <row r="40" spans="2:66" x14ac:dyDescent="0.2">
      <c r="B40" s="1426"/>
      <c r="C40" s="2090">
        <v>23</v>
      </c>
      <c r="D40" s="2090" t="s">
        <v>1903</v>
      </c>
      <c r="E40" s="2090" t="s">
        <v>1915</v>
      </c>
      <c r="F40" s="2090" t="str">
        <f>Translation!B$579</f>
        <v>Ja</v>
      </c>
      <c r="G40" s="1622">
        <v>23</v>
      </c>
      <c r="H40" s="2283"/>
      <c r="I40" s="2283"/>
      <c r="J40" s="2283"/>
      <c r="K40" s="2283"/>
      <c r="L40" s="2283"/>
      <c r="M40" s="2283"/>
      <c r="N40" s="2283"/>
      <c r="O40" s="2283"/>
      <c r="P40" s="2283"/>
      <c r="Q40" s="2283"/>
      <c r="R40" s="2283"/>
      <c r="S40" s="2283"/>
      <c r="T40" s="2283"/>
      <c r="U40" s="2283"/>
      <c r="V40" s="2283"/>
      <c r="W40" s="2283"/>
      <c r="X40" s="2283"/>
      <c r="Y40" s="2283"/>
      <c r="Z40" s="2283"/>
      <c r="AA40" s="2283"/>
      <c r="AB40" s="2283"/>
      <c r="AC40" s="2283"/>
      <c r="AD40" s="2283"/>
      <c r="AE40" s="2283"/>
      <c r="AF40" s="2283"/>
      <c r="AG40" s="1445"/>
      <c r="AH40" s="655"/>
      <c r="AI40" s="1846"/>
      <c r="AJ40" s="1622">
        <v>23</v>
      </c>
      <c r="AK40" s="2283">
        <v>879.449808044355</v>
      </c>
      <c r="AL40" s="2283">
        <v>302.84198572623001</v>
      </c>
      <c r="AM40" s="2283">
        <v>905.68384009017404</v>
      </c>
      <c r="AN40" s="2283">
        <v>914.07732037743199</v>
      </c>
      <c r="AO40" s="2283">
        <v>791.02439413409002</v>
      </c>
      <c r="AP40" s="2283">
        <v>1130.09927444338</v>
      </c>
      <c r="AQ40" s="2283">
        <v>991.92596599766603</v>
      </c>
      <c r="AR40" s="2283">
        <v>1266.67893538056</v>
      </c>
      <c r="AS40" s="2283">
        <v>804.96289990535604</v>
      </c>
      <c r="AT40" s="2283">
        <v>776.00632995222998</v>
      </c>
      <c r="AU40" s="2283">
        <v>1361.07950427114</v>
      </c>
      <c r="AV40" s="2283">
        <v>724.95572329268498</v>
      </c>
      <c r="AW40" s="2283">
        <v>1201.4015121826999</v>
      </c>
      <c r="AX40" s="2283">
        <v>713.90975742505896</v>
      </c>
      <c r="AY40" s="2283">
        <v>538.583490518144</v>
      </c>
      <c r="AZ40" s="2283">
        <v>698.76058782649704</v>
      </c>
      <c r="BA40" s="2283">
        <v>734.57475705124295</v>
      </c>
      <c r="BB40" s="2283">
        <v>987.51251308572103</v>
      </c>
      <c r="BC40" s="2283">
        <v>873.185427153055</v>
      </c>
      <c r="BD40" s="2283">
        <v>931.43438532011203</v>
      </c>
      <c r="BE40" s="2283">
        <v>1132.20733156643</v>
      </c>
      <c r="BF40" s="2283">
        <v>1004.61890779433</v>
      </c>
      <c r="BG40" s="2283">
        <v>1389.6748635413001</v>
      </c>
      <c r="BH40" s="2283">
        <v>932.74510325778601</v>
      </c>
      <c r="BI40" s="2283">
        <v>842.29909085501004</v>
      </c>
      <c r="BJ40" s="1445">
        <v>963.883688081895</v>
      </c>
      <c r="BK40" s="2207">
        <v>23</v>
      </c>
      <c r="BL40" s="2207" t="s">
        <v>1903</v>
      </c>
      <c r="BM40" s="2207" t="s">
        <v>1915</v>
      </c>
      <c r="BN40" s="2207" t="str">
        <f>Translation!B$579</f>
        <v>Ja</v>
      </c>
    </row>
    <row r="41" spans="2:66" x14ac:dyDescent="0.2">
      <c r="B41" s="1426"/>
      <c r="C41" s="2090">
        <v>24</v>
      </c>
      <c r="D41" s="2090" t="s">
        <v>1903</v>
      </c>
      <c r="E41" s="2090" t="s">
        <v>1915</v>
      </c>
      <c r="F41" s="2090" t="str">
        <f>Translation!B$580</f>
        <v>Nein</v>
      </c>
      <c r="G41" s="1622">
        <v>24</v>
      </c>
      <c r="H41" s="2283"/>
      <c r="I41" s="2283"/>
      <c r="J41" s="2283"/>
      <c r="K41" s="2283"/>
      <c r="L41" s="2283"/>
      <c r="M41" s="2283"/>
      <c r="N41" s="2283"/>
      <c r="O41" s="2283"/>
      <c r="P41" s="2283"/>
      <c r="Q41" s="2283"/>
      <c r="R41" s="2283"/>
      <c r="S41" s="2283"/>
      <c r="T41" s="2283"/>
      <c r="U41" s="2283"/>
      <c r="V41" s="2283"/>
      <c r="W41" s="2283"/>
      <c r="X41" s="2283"/>
      <c r="Y41" s="2283"/>
      <c r="Z41" s="2283"/>
      <c r="AA41" s="2283"/>
      <c r="AB41" s="2283"/>
      <c r="AC41" s="2283"/>
      <c r="AD41" s="2283"/>
      <c r="AE41" s="2283"/>
      <c r="AF41" s="2283"/>
      <c r="AG41" s="1445"/>
      <c r="AH41" s="655"/>
      <c r="AI41" s="1846"/>
      <c r="AJ41" s="1622">
        <v>24</v>
      </c>
      <c r="AK41" s="2283">
        <v>85.106404876093904</v>
      </c>
      <c r="AL41" s="2283">
        <v>-90.364042243472397</v>
      </c>
      <c r="AM41" s="2283">
        <v>179.11199422592799</v>
      </c>
      <c r="AN41" s="2283">
        <v>27.619181146065898</v>
      </c>
      <c r="AO41" s="2283">
        <v>20.063391924450201</v>
      </c>
      <c r="AP41" s="2283">
        <v>94.683974661774201</v>
      </c>
      <c r="AQ41" s="2283">
        <v>126.198474250582</v>
      </c>
      <c r="AR41" s="2283">
        <v>132.37369429567599</v>
      </c>
      <c r="AS41" s="2283">
        <v>72.760047613074505</v>
      </c>
      <c r="AT41" s="2283">
        <v>10.0401172263695</v>
      </c>
      <c r="AU41" s="2283">
        <v>54.467590025909203</v>
      </c>
      <c r="AV41" s="2283">
        <v>113.58109019017</v>
      </c>
      <c r="AW41" s="2283">
        <v>78.923015410046105</v>
      </c>
      <c r="AX41" s="2283">
        <v>10.0348775045703</v>
      </c>
      <c r="AY41" s="2283">
        <v>49.953447551031203</v>
      </c>
      <c r="AZ41" s="2283">
        <v>73.910184766148106</v>
      </c>
      <c r="BA41" s="2283">
        <v>119.571244817878</v>
      </c>
      <c r="BB41" s="2283">
        <v>89.528239157151702</v>
      </c>
      <c r="BC41" s="2283">
        <v>75.569287930181503</v>
      </c>
      <c r="BD41" s="2283">
        <v>89.510604279775507</v>
      </c>
      <c r="BE41" s="2283">
        <v>47.003569667240299</v>
      </c>
      <c r="BF41" s="2283">
        <v>95.812675862344904</v>
      </c>
      <c r="BG41" s="2283">
        <v>135.75349275475401</v>
      </c>
      <c r="BH41" s="2283">
        <v>100.116841345758</v>
      </c>
      <c r="BI41" s="2283">
        <v>65.089411358037097</v>
      </c>
      <c r="BJ41" s="1445">
        <v>112.290348231775</v>
      </c>
      <c r="BK41" s="2207">
        <v>24</v>
      </c>
      <c r="BL41" s="2207" t="s">
        <v>1903</v>
      </c>
      <c r="BM41" s="2207" t="s">
        <v>1915</v>
      </c>
      <c r="BN41" s="2207" t="str">
        <f>Translation!B$580</f>
        <v>Nein</v>
      </c>
    </row>
    <row r="42" spans="2:66" x14ac:dyDescent="0.2">
      <c r="B42" s="1426"/>
      <c r="C42" s="2090">
        <v>25</v>
      </c>
      <c r="D42" s="2090" t="s">
        <v>1903</v>
      </c>
      <c r="E42" s="2090" t="s">
        <v>1916</v>
      </c>
      <c r="F42" s="2090" t="str">
        <f>Translation!B$579</f>
        <v>Ja</v>
      </c>
      <c r="G42" s="1622">
        <v>25</v>
      </c>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1445"/>
      <c r="AH42" s="655"/>
      <c r="AI42" s="1846"/>
      <c r="AJ42" s="1622">
        <v>25</v>
      </c>
      <c r="AK42" s="2283">
        <v>1023.54608105527</v>
      </c>
      <c r="AL42" s="2283">
        <v>1224.2229073445301</v>
      </c>
      <c r="AM42" s="2283">
        <v>866.50391809574899</v>
      </c>
      <c r="AN42" s="2283">
        <v>1003.114881584</v>
      </c>
      <c r="AO42" s="2283">
        <v>1091.0172157734601</v>
      </c>
      <c r="AP42" s="2283">
        <v>1163.86620580356</v>
      </c>
      <c r="AQ42" s="2283">
        <v>1118.2427937357199</v>
      </c>
      <c r="AR42" s="2283">
        <v>1450.5677106657499</v>
      </c>
      <c r="AS42" s="2283">
        <v>1116.9629709030501</v>
      </c>
      <c r="AT42" s="2283">
        <v>921.34044505624195</v>
      </c>
      <c r="AU42" s="2283">
        <v>1535.21671034324</v>
      </c>
      <c r="AV42" s="2283">
        <v>979.85893739367702</v>
      </c>
      <c r="AW42" s="2283">
        <v>1464.0175124254799</v>
      </c>
      <c r="AX42" s="2283">
        <v>829.07666061071996</v>
      </c>
      <c r="AY42" s="2283">
        <v>686.43310395285596</v>
      </c>
      <c r="AZ42" s="2283">
        <v>937.14439580142903</v>
      </c>
      <c r="BA42" s="2283">
        <v>643.99350787135904</v>
      </c>
      <c r="BB42" s="2283">
        <v>941.99120852132103</v>
      </c>
      <c r="BC42" s="2283">
        <v>1055.27605265225</v>
      </c>
      <c r="BD42" s="2283">
        <v>1051.1043775856899</v>
      </c>
      <c r="BE42" s="2283">
        <v>1350.5827292149099</v>
      </c>
      <c r="BF42" s="2283">
        <v>619.02860212239204</v>
      </c>
      <c r="BG42" s="2283">
        <v>1512.5602440479699</v>
      </c>
      <c r="BH42" s="2283">
        <v>1103.7915748437299</v>
      </c>
      <c r="BI42" s="2283">
        <v>1031.45108761083</v>
      </c>
      <c r="BJ42" s="1445">
        <v>1129.57550118886</v>
      </c>
      <c r="BK42" s="2207">
        <v>25</v>
      </c>
      <c r="BL42" s="2207" t="s">
        <v>1903</v>
      </c>
      <c r="BM42" s="2207" t="s">
        <v>1916</v>
      </c>
      <c r="BN42" s="2207" t="str">
        <f>Translation!B$579</f>
        <v>Ja</v>
      </c>
    </row>
    <row r="43" spans="2:66" x14ac:dyDescent="0.2">
      <c r="B43" s="1426"/>
      <c r="C43" s="2090">
        <v>26</v>
      </c>
      <c r="D43" s="2090" t="s">
        <v>1903</v>
      </c>
      <c r="E43" s="2090" t="s">
        <v>1916</v>
      </c>
      <c r="F43" s="2090" t="str">
        <f>Translation!B$580</f>
        <v>Nein</v>
      </c>
      <c r="G43" s="1622">
        <v>26</v>
      </c>
      <c r="H43" s="2283"/>
      <c r="I43" s="2283"/>
      <c r="J43" s="2283"/>
      <c r="K43" s="2283"/>
      <c r="L43" s="2283"/>
      <c r="M43" s="2283"/>
      <c r="N43" s="2283"/>
      <c r="O43" s="2283"/>
      <c r="P43" s="2283"/>
      <c r="Q43" s="2283"/>
      <c r="R43" s="2283"/>
      <c r="S43" s="2283"/>
      <c r="T43" s="2283"/>
      <c r="U43" s="2283"/>
      <c r="V43" s="2283"/>
      <c r="W43" s="2283"/>
      <c r="X43" s="2283"/>
      <c r="Y43" s="2283"/>
      <c r="Z43" s="2283"/>
      <c r="AA43" s="2283"/>
      <c r="AB43" s="2283"/>
      <c r="AC43" s="2283"/>
      <c r="AD43" s="2283"/>
      <c r="AE43" s="2283"/>
      <c r="AF43" s="2283"/>
      <c r="AG43" s="1445"/>
      <c r="AH43" s="655"/>
      <c r="AI43" s="1846"/>
      <c r="AJ43" s="1622">
        <v>26</v>
      </c>
      <c r="AK43" s="2283">
        <v>160.96992488999999</v>
      </c>
      <c r="AL43" s="2283">
        <v>76.466711022733506</v>
      </c>
      <c r="AM43" s="2283">
        <v>54.137037747383602</v>
      </c>
      <c r="AN43" s="2283">
        <v>113.85182911758901</v>
      </c>
      <c r="AO43" s="2283">
        <v>116.752419464667</v>
      </c>
      <c r="AP43" s="2283">
        <v>201.35767473119</v>
      </c>
      <c r="AQ43" s="2283">
        <v>148.816183055127</v>
      </c>
      <c r="AR43" s="2283">
        <v>243.19129557064201</v>
      </c>
      <c r="AS43" s="2283">
        <v>190.055119209868</v>
      </c>
      <c r="AT43" s="2283">
        <v>99.898986645678207</v>
      </c>
      <c r="AU43" s="2283">
        <v>227.124092975547</v>
      </c>
      <c r="AV43" s="2283">
        <v>174.255187326011</v>
      </c>
      <c r="AW43" s="2283">
        <v>189.11402353715101</v>
      </c>
      <c r="AX43" s="2283">
        <v>107.680921887851</v>
      </c>
      <c r="AY43" s="2283">
        <v>61.239732329177698</v>
      </c>
      <c r="AZ43" s="2283">
        <v>132.75792014286199</v>
      </c>
      <c r="BA43" s="2283">
        <v>112.69172925703801</v>
      </c>
      <c r="BB43" s="2283">
        <v>114.478843853577</v>
      </c>
      <c r="BC43" s="2283">
        <v>150.68952699581001</v>
      </c>
      <c r="BD43" s="2283">
        <v>166.981153636453</v>
      </c>
      <c r="BE43" s="2283">
        <v>200.17802914650699</v>
      </c>
      <c r="BF43" s="2283">
        <v>118.442494821493</v>
      </c>
      <c r="BG43" s="2283">
        <v>308.88151678082602</v>
      </c>
      <c r="BH43" s="2283">
        <v>154.32051868199301</v>
      </c>
      <c r="BI43" s="2283">
        <v>254.92399293847399</v>
      </c>
      <c r="BJ43" s="1445">
        <v>175.09496959795601</v>
      </c>
      <c r="BK43" s="2207">
        <v>26</v>
      </c>
      <c r="BL43" s="2207" t="s">
        <v>1903</v>
      </c>
      <c r="BM43" s="2207" t="s">
        <v>1916</v>
      </c>
      <c r="BN43" s="2207" t="str">
        <f>Translation!B$580</f>
        <v>Nein</v>
      </c>
    </row>
    <row r="44" spans="2:66" x14ac:dyDescent="0.2">
      <c r="B44" s="1426"/>
      <c r="C44" s="2090">
        <v>27</v>
      </c>
      <c r="D44" s="2090" t="s">
        <v>1903</v>
      </c>
      <c r="E44" s="2090" t="s">
        <v>1917</v>
      </c>
      <c r="F44" s="2090" t="str">
        <f>Translation!B$579</f>
        <v>Ja</v>
      </c>
      <c r="G44" s="1622">
        <v>27</v>
      </c>
      <c r="H44" s="2283"/>
      <c r="I44" s="2283"/>
      <c r="J44" s="2283"/>
      <c r="K44" s="2283"/>
      <c r="L44" s="2283"/>
      <c r="M44" s="2283"/>
      <c r="N44" s="2283"/>
      <c r="O44" s="2283"/>
      <c r="P44" s="2283"/>
      <c r="Q44" s="2283"/>
      <c r="R44" s="2283"/>
      <c r="S44" s="2283"/>
      <c r="T44" s="2283"/>
      <c r="U44" s="2283"/>
      <c r="V44" s="2283"/>
      <c r="W44" s="2283"/>
      <c r="X44" s="2283"/>
      <c r="Y44" s="2283"/>
      <c r="Z44" s="2283"/>
      <c r="AA44" s="2283"/>
      <c r="AB44" s="2283"/>
      <c r="AC44" s="2283"/>
      <c r="AD44" s="2283"/>
      <c r="AE44" s="2283"/>
      <c r="AF44" s="2283"/>
      <c r="AG44" s="1445"/>
      <c r="AH44" s="655"/>
      <c r="AI44" s="1846"/>
      <c r="AJ44" s="1622">
        <v>27</v>
      </c>
      <c r="AK44" s="2283">
        <v>1139.44210574212</v>
      </c>
      <c r="AL44" s="2283">
        <v>988.01631578844297</v>
      </c>
      <c r="AM44" s="2283">
        <v>981.21154802164403</v>
      </c>
      <c r="AN44" s="2283">
        <v>1196.0944514348801</v>
      </c>
      <c r="AO44" s="2283">
        <v>1204.16373441826</v>
      </c>
      <c r="AP44" s="2283">
        <v>1376.9022649019701</v>
      </c>
      <c r="AQ44" s="2283">
        <v>1573.64523426336</v>
      </c>
      <c r="AR44" s="2283">
        <v>2062.3283525708498</v>
      </c>
      <c r="AS44" s="2283">
        <v>884.50793181028598</v>
      </c>
      <c r="AT44" s="2283">
        <v>868.51265777533797</v>
      </c>
      <c r="AU44" s="2283">
        <v>1568.56267824103</v>
      </c>
      <c r="AV44" s="2283">
        <v>1121.7499865119</v>
      </c>
      <c r="AW44" s="2283">
        <v>1471.3046431610201</v>
      </c>
      <c r="AX44" s="2283">
        <v>832.36948473637699</v>
      </c>
      <c r="AY44" s="2283">
        <v>977.46328018960901</v>
      </c>
      <c r="AZ44" s="2283">
        <v>862.89146906738404</v>
      </c>
      <c r="BA44" s="2283">
        <v>621.44741822037304</v>
      </c>
      <c r="BB44" s="2283">
        <v>1039.6611605319199</v>
      </c>
      <c r="BC44" s="2283">
        <v>1140.54777569156</v>
      </c>
      <c r="BD44" s="2283">
        <v>1169.14534429833</v>
      </c>
      <c r="BE44" s="2283">
        <v>1549.8247254015</v>
      </c>
      <c r="BF44" s="2283">
        <v>809.11963894644305</v>
      </c>
      <c r="BG44" s="2283">
        <v>1886.76001905932</v>
      </c>
      <c r="BH44" s="2283">
        <v>1337.1998007858699</v>
      </c>
      <c r="BI44" s="2283">
        <v>1047.6163175774</v>
      </c>
      <c r="BJ44" s="1445">
        <v>1299.7279121026299</v>
      </c>
      <c r="BK44" s="2207">
        <v>27</v>
      </c>
      <c r="BL44" s="2207" t="s">
        <v>1903</v>
      </c>
      <c r="BM44" s="2207" t="s">
        <v>1917</v>
      </c>
      <c r="BN44" s="2207" t="str">
        <f>Translation!B$579</f>
        <v>Ja</v>
      </c>
    </row>
    <row r="45" spans="2:66" x14ac:dyDescent="0.2">
      <c r="B45" s="1426"/>
      <c r="C45" s="2090">
        <v>28</v>
      </c>
      <c r="D45" s="2090" t="s">
        <v>1903</v>
      </c>
      <c r="E45" s="2090" t="s">
        <v>1917</v>
      </c>
      <c r="F45" s="2090" t="str">
        <f>Translation!B$580</f>
        <v>Nein</v>
      </c>
      <c r="G45" s="1622">
        <v>28</v>
      </c>
      <c r="H45" s="2283"/>
      <c r="I45" s="2283"/>
      <c r="J45" s="2283"/>
      <c r="K45" s="2283"/>
      <c r="L45" s="2283"/>
      <c r="M45" s="2283"/>
      <c r="N45" s="2283"/>
      <c r="O45" s="2283"/>
      <c r="P45" s="2283"/>
      <c r="Q45" s="2283"/>
      <c r="R45" s="2283"/>
      <c r="S45" s="2283"/>
      <c r="T45" s="2283"/>
      <c r="U45" s="2283"/>
      <c r="V45" s="2283"/>
      <c r="W45" s="2283"/>
      <c r="X45" s="2283"/>
      <c r="Y45" s="2283"/>
      <c r="Z45" s="2283"/>
      <c r="AA45" s="2283"/>
      <c r="AB45" s="2283"/>
      <c r="AC45" s="2283"/>
      <c r="AD45" s="2283"/>
      <c r="AE45" s="2283"/>
      <c r="AF45" s="2283"/>
      <c r="AG45" s="1445"/>
      <c r="AH45" s="655"/>
      <c r="AI45" s="1846"/>
      <c r="AJ45" s="1622">
        <v>28</v>
      </c>
      <c r="AK45" s="2283">
        <v>258.11818880491398</v>
      </c>
      <c r="AL45" s="2283">
        <v>127.11769697131901</v>
      </c>
      <c r="AM45" s="2283">
        <v>206.20055932412799</v>
      </c>
      <c r="AN45" s="2283">
        <v>236.43361702614999</v>
      </c>
      <c r="AO45" s="2283">
        <v>246.95181594587601</v>
      </c>
      <c r="AP45" s="2283">
        <v>360.34273966309001</v>
      </c>
      <c r="AQ45" s="2283">
        <v>298.08148250253902</v>
      </c>
      <c r="AR45" s="2283">
        <v>459.58248400660898</v>
      </c>
      <c r="AS45" s="2283">
        <v>195.51071267805901</v>
      </c>
      <c r="AT45" s="2283">
        <v>129.752547117821</v>
      </c>
      <c r="AU45" s="2283">
        <v>353.95917489423601</v>
      </c>
      <c r="AV45" s="2283">
        <v>219.02686935813</v>
      </c>
      <c r="AW45" s="2283">
        <v>235.164878416341</v>
      </c>
      <c r="AX45" s="2283">
        <v>105.80814782108</v>
      </c>
      <c r="AY45" s="2283">
        <v>143.070616554276</v>
      </c>
      <c r="AZ45" s="2283">
        <v>206.49721722699999</v>
      </c>
      <c r="BA45" s="2283">
        <v>181.79932979772801</v>
      </c>
      <c r="BB45" s="2283">
        <v>173.48396660009499</v>
      </c>
      <c r="BC45" s="2283">
        <v>346.71873147393001</v>
      </c>
      <c r="BD45" s="2283">
        <v>214.67657250175401</v>
      </c>
      <c r="BE45" s="2283">
        <v>389.38848088462498</v>
      </c>
      <c r="BF45" s="2283">
        <v>194.58835237289699</v>
      </c>
      <c r="BG45" s="2283">
        <v>423.00257777866398</v>
      </c>
      <c r="BH45" s="2283">
        <v>267.49863686175303</v>
      </c>
      <c r="BI45" s="2283">
        <v>310.53065342237898</v>
      </c>
      <c r="BJ45" s="1445">
        <v>262.64143179935297</v>
      </c>
      <c r="BK45" s="2207">
        <v>28</v>
      </c>
      <c r="BL45" s="2207" t="s">
        <v>1903</v>
      </c>
      <c r="BM45" s="2207" t="s">
        <v>1917</v>
      </c>
      <c r="BN45" s="2207" t="str">
        <f>Translation!B$580</f>
        <v>Nein</v>
      </c>
    </row>
    <row r="46" spans="2:66" x14ac:dyDescent="0.2">
      <c r="B46" s="1426"/>
      <c r="C46" s="2090">
        <v>29</v>
      </c>
      <c r="D46" s="2090" t="s">
        <v>1903</v>
      </c>
      <c r="E46" s="1437" t="s">
        <v>1918</v>
      </c>
      <c r="F46" s="2090" t="str">
        <f>Translation!B$579</f>
        <v>Ja</v>
      </c>
      <c r="G46" s="1622">
        <v>29</v>
      </c>
      <c r="H46" s="2283"/>
      <c r="I46" s="2283"/>
      <c r="J46" s="2283"/>
      <c r="K46" s="2283"/>
      <c r="L46" s="2283"/>
      <c r="M46" s="2283"/>
      <c r="N46" s="2283"/>
      <c r="O46" s="2283"/>
      <c r="P46" s="2283"/>
      <c r="Q46" s="2283"/>
      <c r="R46" s="2283"/>
      <c r="S46" s="2283"/>
      <c r="T46" s="2283"/>
      <c r="U46" s="2283"/>
      <c r="V46" s="2283"/>
      <c r="W46" s="2283"/>
      <c r="X46" s="2283"/>
      <c r="Y46" s="2283"/>
      <c r="Z46" s="2283"/>
      <c r="AA46" s="2283"/>
      <c r="AB46" s="2283"/>
      <c r="AC46" s="2283"/>
      <c r="AD46" s="2283"/>
      <c r="AE46" s="2283"/>
      <c r="AF46" s="2283"/>
      <c r="AG46" s="1445"/>
      <c r="AH46" s="655"/>
      <c r="AI46" s="1846"/>
      <c r="AJ46" s="1622">
        <v>29</v>
      </c>
      <c r="AK46" s="2283">
        <v>1451.71069988103</v>
      </c>
      <c r="AL46" s="2283">
        <v>901.200466453525</v>
      </c>
      <c r="AM46" s="2283">
        <v>1224.6984106050299</v>
      </c>
      <c r="AN46" s="2283">
        <v>1505.78626136003</v>
      </c>
      <c r="AO46" s="2283">
        <v>1394.1838702104301</v>
      </c>
      <c r="AP46" s="2283">
        <v>1680.00517309567</v>
      </c>
      <c r="AQ46" s="2283">
        <v>1517.53675184245</v>
      </c>
      <c r="AR46" s="2283">
        <v>2345.0851395591699</v>
      </c>
      <c r="AS46" s="2283">
        <v>964.35414387804894</v>
      </c>
      <c r="AT46" s="2283">
        <v>1170.6873466264799</v>
      </c>
      <c r="AU46" s="2283">
        <v>2254.2291178302899</v>
      </c>
      <c r="AV46" s="2283">
        <v>1175.95048968426</v>
      </c>
      <c r="AW46" s="2283">
        <v>2161.10301675338</v>
      </c>
      <c r="AX46" s="2283">
        <v>985.748881210484</v>
      </c>
      <c r="AY46" s="2283">
        <v>1056.43570469217</v>
      </c>
      <c r="AZ46" s="2283">
        <v>1154.6565345745</v>
      </c>
      <c r="BA46" s="2283">
        <v>1242.85725447961</v>
      </c>
      <c r="BB46" s="2283">
        <v>1444.81186097614</v>
      </c>
      <c r="BC46" s="2283">
        <v>1307.9127983630401</v>
      </c>
      <c r="BD46" s="2283">
        <v>1395.4866602129</v>
      </c>
      <c r="BE46" s="2283">
        <v>2018.1293626935999</v>
      </c>
      <c r="BF46" s="2283">
        <v>1074.7435683242099</v>
      </c>
      <c r="BG46" s="2283">
        <v>2268.32050960282</v>
      </c>
      <c r="BH46" s="2283">
        <v>1653.3202374602699</v>
      </c>
      <c r="BI46" s="2283">
        <v>1138.21329667182</v>
      </c>
      <c r="BJ46" s="1445">
        <v>1473.65272205778</v>
      </c>
      <c r="BK46" s="2207">
        <v>29</v>
      </c>
      <c r="BL46" s="2207" t="s">
        <v>1903</v>
      </c>
      <c r="BM46" s="2207" t="s">
        <v>1918</v>
      </c>
      <c r="BN46" s="2207" t="str">
        <f>Translation!B$579</f>
        <v>Ja</v>
      </c>
    </row>
    <row r="47" spans="2:66" x14ac:dyDescent="0.2">
      <c r="B47" s="1426"/>
      <c r="C47" s="2090">
        <v>30</v>
      </c>
      <c r="D47" s="2090" t="s">
        <v>1903</v>
      </c>
      <c r="E47" s="1437" t="s">
        <v>1918</v>
      </c>
      <c r="F47" s="2090" t="str">
        <f>Translation!B$580</f>
        <v>Nein</v>
      </c>
      <c r="G47" s="1622">
        <v>30</v>
      </c>
      <c r="H47" s="2283"/>
      <c r="I47" s="2283"/>
      <c r="J47" s="2283"/>
      <c r="K47" s="2283"/>
      <c r="L47" s="2283"/>
      <c r="M47" s="2283"/>
      <c r="N47" s="2283"/>
      <c r="O47" s="2283"/>
      <c r="P47" s="2283"/>
      <c r="Q47" s="2283"/>
      <c r="R47" s="2283"/>
      <c r="S47" s="2283"/>
      <c r="T47" s="2283"/>
      <c r="U47" s="2283"/>
      <c r="V47" s="2283"/>
      <c r="W47" s="2283"/>
      <c r="X47" s="2283"/>
      <c r="Y47" s="2283"/>
      <c r="Z47" s="2283"/>
      <c r="AA47" s="2283"/>
      <c r="AB47" s="2283"/>
      <c r="AC47" s="2283"/>
      <c r="AD47" s="2283"/>
      <c r="AE47" s="2283"/>
      <c r="AF47" s="2283"/>
      <c r="AG47" s="1445"/>
      <c r="AH47" s="655"/>
      <c r="AI47" s="1846"/>
      <c r="AJ47" s="1622">
        <v>30</v>
      </c>
      <c r="AK47" s="2283">
        <v>425.67083036842502</v>
      </c>
      <c r="AL47" s="2283">
        <v>326.78875389369603</v>
      </c>
      <c r="AM47" s="2283">
        <v>76.890009377395998</v>
      </c>
      <c r="AN47" s="2283">
        <v>465.32965420672599</v>
      </c>
      <c r="AO47" s="2283">
        <v>478.499628528409</v>
      </c>
      <c r="AP47" s="2283">
        <v>493.98124773489701</v>
      </c>
      <c r="AQ47" s="2283">
        <v>705.88650169592302</v>
      </c>
      <c r="AR47" s="2283">
        <v>625.64126886950498</v>
      </c>
      <c r="AS47" s="2283">
        <v>210.66628700773899</v>
      </c>
      <c r="AT47" s="2283">
        <v>307.89287562395901</v>
      </c>
      <c r="AU47" s="2283">
        <v>362.03620437340999</v>
      </c>
      <c r="AV47" s="2283">
        <v>403.73888313937601</v>
      </c>
      <c r="AW47" s="2283">
        <v>670.81548675451495</v>
      </c>
      <c r="AX47" s="2283">
        <v>419.90717754524297</v>
      </c>
      <c r="AY47" s="2283">
        <v>356.89979281083902</v>
      </c>
      <c r="AZ47" s="2283">
        <v>284.16908610316</v>
      </c>
      <c r="BA47" s="2283">
        <v>339.38720900853002</v>
      </c>
      <c r="BB47" s="2283">
        <v>397.98936333654098</v>
      </c>
      <c r="BC47" s="2283">
        <v>393.93556970628703</v>
      </c>
      <c r="BD47" s="2283">
        <v>318.14646331843397</v>
      </c>
      <c r="BE47" s="2283">
        <v>586.445791219424</v>
      </c>
      <c r="BF47" s="2283">
        <v>185.741938701431</v>
      </c>
      <c r="BG47" s="2283">
        <v>762.76279542034604</v>
      </c>
      <c r="BH47" s="2283">
        <v>393.90212437655202</v>
      </c>
      <c r="BI47" s="2283">
        <v>440.37766561317801</v>
      </c>
      <c r="BJ47" s="1445">
        <v>484.131038262522</v>
      </c>
      <c r="BK47" s="2207">
        <v>30</v>
      </c>
      <c r="BL47" s="2207" t="s">
        <v>1903</v>
      </c>
      <c r="BM47" s="2207" t="s">
        <v>1918</v>
      </c>
      <c r="BN47" s="2207" t="str">
        <f>Translation!B$580</f>
        <v>Nein</v>
      </c>
    </row>
    <row r="48" spans="2:66" x14ac:dyDescent="0.2">
      <c r="B48" s="1426"/>
      <c r="C48" s="2090">
        <v>31</v>
      </c>
      <c r="D48" s="2090" t="s">
        <v>162</v>
      </c>
      <c r="E48" s="2090" t="s">
        <v>1904</v>
      </c>
      <c r="F48" s="2090" t="str">
        <f>Translation!B$579</f>
        <v>Ja</v>
      </c>
      <c r="G48" s="1622">
        <v>31</v>
      </c>
      <c r="H48" s="2283"/>
      <c r="I48" s="2283"/>
      <c r="J48" s="2283"/>
      <c r="K48" s="2283"/>
      <c r="L48" s="2283"/>
      <c r="M48" s="2283"/>
      <c r="N48" s="2283"/>
      <c r="O48" s="2283"/>
      <c r="P48" s="2283"/>
      <c r="Q48" s="2283"/>
      <c r="R48" s="2283"/>
      <c r="S48" s="2283"/>
      <c r="T48" s="2283"/>
      <c r="U48" s="2283"/>
      <c r="V48" s="2283"/>
      <c r="W48" s="2283"/>
      <c r="X48" s="2283"/>
      <c r="Y48" s="2283"/>
      <c r="Z48" s="2283"/>
      <c r="AA48" s="2283"/>
      <c r="AB48" s="2283"/>
      <c r="AC48" s="2283"/>
      <c r="AD48" s="2283"/>
      <c r="AE48" s="2283"/>
      <c r="AF48" s="2283"/>
      <c r="AG48" s="1445"/>
      <c r="AH48" s="655"/>
      <c r="AI48" s="1846"/>
      <c r="AJ48" s="1622">
        <v>31</v>
      </c>
      <c r="AK48" s="2283">
        <v>371.89584053598298</v>
      </c>
      <c r="AL48" s="2283">
        <v>554.610091827313</v>
      </c>
      <c r="AM48" s="2283">
        <v>476.310665084368</v>
      </c>
      <c r="AN48" s="2283">
        <v>516.35433667257303</v>
      </c>
      <c r="AO48" s="2283">
        <v>389.467152210135</v>
      </c>
      <c r="AP48" s="2283">
        <v>464.63644648733901</v>
      </c>
      <c r="AQ48" s="2283">
        <v>507.85616039963702</v>
      </c>
      <c r="AR48" s="2283">
        <v>703.97868666945601</v>
      </c>
      <c r="AS48" s="2283">
        <v>986.26267691297096</v>
      </c>
      <c r="AT48" s="2283">
        <v>450.07302761814401</v>
      </c>
      <c r="AU48" s="2283">
        <v>57.331166677554499</v>
      </c>
      <c r="AV48" s="2283">
        <v>595.70449483912</v>
      </c>
      <c r="AW48" s="2283">
        <v>397.51639264895903</v>
      </c>
      <c r="AX48" s="2283">
        <v>500.84732508529299</v>
      </c>
      <c r="AY48" s="2283">
        <v>174.31731145272599</v>
      </c>
      <c r="AZ48" s="2283">
        <v>434.84259461193</v>
      </c>
      <c r="BA48" s="2283">
        <v>308.52133907195702</v>
      </c>
      <c r="BB48" s="2283">
        <v>300.41187088528602</v>
      </c>
      <c r="BC48" s="2283">
        <v>442.557815613039</v>
      </c>
      <c r="BD48" s="2283">
        <v>521.43096617279502</v>
      </c>
      <c r="BE48" s="2283">
        <v>250.37214004989499</v>
      </c>
      <c r="BF48" s="2283">
        <v>215.024955360235</v>
      </c>
      <c r="BG48" s="2283">
        <v>614.98277547949999</v>
      </c>
      <c r="BH48" s="2283">
        <v>441.98540040005702</v>
      </c>
      <c r="BI48" s="2283">
        <v>236.43681994105401</v>
      </c>
      <c r="BJ48" s="1445">
        <v>526.53745858743696</v>
      </c>
      <c r="BK48" s="2207">
        <v>31</v>
      </c>
      <c r="BL48" s="2207" t="s">
        <v>162</v>
      </c>
      <c r="BM48" s="2207" t="s">
        <v>1904</v>
      </c>
      <c r="BN48" s="2207" t="str">
        <f>Translation!B$579</f>
        <v>Ja</v>
      </c>
    </row>
    <row r="49" spans="2:66" x14ac:dyDescent="0.2">
      <c r="B49" s="1426"/>
      <c r="C49" s="2090">
        <v>32</v>
      </c>
      <c r="D49" s="2090" t="s">
        <v>162</v>
      </c>
      <c r="E49" s="2090" t="s">
        <v>1904</v>
      </c>
      <c r="F49" s="2090" t="str">
        <f>Translation!B$580</f>
        <v>Nein</v>
      </c>
      <c r="G49" s="1622">
        <v>32</v>
      </c>
      <c r="H49" s="2283"/>
      <c r="I49" s="2283"/>
      <c r="J49" s="2283"/>
      <c r="K49" s="2283"/>
      <c r="L49" s="2283"/>
      <c r="M49" s="2283"/>
      <c r="N49" s="2283"/>
      <c r="O49" s="2283"/>
      <c r="P49" s="2283"/>
      <c r="Q49" s="2283"/>
      <c r="R49" s="2283"/>
      <c r="S49" s="2283"/>
      <c r="T49" s="2283"/>
      <c r="U49" s="2283"/>
      <c r="V49" s="2283"/>
      <c r="W49" s="2283"/>
      <c r="X49" s="2283"/>
      <c r="Y49" s="2283"/>
      <c r="Z49" s="2283"/>
      <c r="AA49" s="2283"/>
      <c r="AB49" s="2283"/>
      <c r="AC49" s="2283"/>
      <c r="AD49" s="2283"/>
      <c r="AE49" s="2283"/>
      <c r="AF49" s="2283"/>
      <c r="AG49" s="1445"/>
      <c r="AH49" s="655"/>
      <c r="AI49" s="1846"/>
      <c r="AJ49" s="1622">
        <v>32</v>
      </c>
      <c r="AK49" s="2283">
        <v>-233.232972275686</v>
      </c>
      <c r="AL49" s="2283">
        <v>-201.21251662914801</v>
      </c>
      <c r="AM49" s="2283">
        <v>-221.90422537823301</v>
      </c>
      <c r="AN49" s="2283">
        <v>-274.73657065082199</v>
      </c>
      <c r="AO49" s="2283">
        <v>-294.55328807618503</v>
      </c>
      <c r="AP49" s="2283">
        <v>-306.62478688313098</v>
      </c>
      <c r="AQ49" s="2283">
        <v>-244.42572654286499</v>
      </c>
      <c r="AR49" s="2283">
        <v>-295.555814097606</v>
      </c>
      <c r="AS49" s="2283">
        <v>-212.950329564279</v>
      </c>
      <c r="AT49" s="2283">
        <v>-233.60331283268201</v>
      </c>
      <c r="AU49" s="2283">
        <v>-334.02706459496198</v>
      </c>
      <c r="AV49" s="2283">
        <v>-223.26373275658901</v>
      </c>
      <c r="AW49" s="2283">
        <v>-319.80633826982699</v>
      </c>
      <c r="AX49" s="2283">
        <v>-216.10356108205599</v>
      </c>
      <c r="AY49" s="2283">
        <v>-222.83950850716201</v>
      </c>
      <c r="AZ49" s="2283">
        <v>-222.463771821899</v>
      </c>
      <c r="BA49" s="2283">
        <v>-250.15559231687601</v>
      </c>
      <c r="BB49" s="2283">
        <v>-254.19360090199501</v>
      </c>
      <c r="BC49" s="2283">
        <v>-223.98983715860899</v>
      </c>
      <c r="BD49" s="2283">
        <v>-225.18744575238301</v>
      </c>
      <c r="BE49" s="2283">
        <v>-345.17880946872702</v>
      </c>
      <c r="BF49" s="2283">
        <v>-228.61506717282401</v>
      </c>
      <c r="BG49" s="2283">
        <v>-283.97912940492199</v>
      </c>
      <c r="BH49" s="2283">
        <v>-251.24978799267299</v>
      </c>
      <c r="BI49" s="2283">
        <v>-197.38593715301701</v>
      </c>
      <c r="BJ49" s="1445">
        <v>-232.18022337309199</v>
      </c>
      <c r="BK49" s="2207">
        <v>32</v>
      </c>
      <c r="BL49" s="2207" t="s">
        <v>162</v>
      </c>
      <c r="BM49" s="2207" t="s">
        <v>1904</v>
      </c>
      <c r="BN49" s="2207" t="str">
        <f>Translation!B$580</f>
        <v>Nein</v>
      </c>
    </row>
    <row r="50" spans="2:66" x14ac:dyDescent="0.2">
      <c r="B50" s="1426"/>
      <c r="C50" s="2090">
        <v>33</v>
      </c>
      <c r="D50" s="2090" t="s">
        <v>162</v>
      </c>
      <c r="E50" s="2090" t="s">
        <v>1905</v>
      </c>
      <c r="F50" s="2090" t="str">
        <f>Translation!B$579</f>
        <v>Ja</v>
      </c>
      <c r="G50" s="1622">
        <v>33</v>
      </c>
      <c r="H50" s="2283"/>
      <c r="I50" s="2283"/>
      <c r="J50" s="2283"/>
      <c r="K50" s="2283"/>
      <c r="L50" s="2283"/>
      <c r="M50" s="2283"/>
      <c r="N50" s="2283"/>
      <c r="O50" s="2283"/>
      <c r="P50" s="2283"/>
      <c r="Q50" s="2283"/>
      <c r="R50" s="2283"/>
      <c r="S50" s="2283"/>
      <c r="T50" s="2283"/>
      <c r="U50" s="2283"/>
      <c r="V50" s="2283"/>
      <c r="W50" s="2283"/>
      <c r="X50" s="2283"/>
      <c r="Y50" s="2283"/>
      <c r="Z50" s="2283"/>
      <c r="AA50" s="2283"/>
      <c r="AB50" s="2283"/>
      <c r="AC50" s="2283"/>
      <c r="AD50" s="2283"/>
      <c r="AE50" s="2283"/>
      <c r="AF50" s="2283"/>
      <c r="AG50" s="1445"/>
      <c r="AH50" s="655"/>
      <c r="AI50" s="1846"/>
      <c r="AJ50" s="1622">
        <v>33</v>
      </c>
      <c r="AK50" s="2283">
        <v>312.50413496228299</v>
      </c>
      <c r="AL50" s="2283">
        <v>572.50384033467901</v>
      </c>
      <c r="AM50" s="2283">
        <v>492.13174921027399</v>
      </c>
      <c r="AN50" s="2283">
        <v>475.76402984568603</v>
      </c>
      <c r="AO50" s="2283">
        <v>189.57465023023099</v>
      </c>
      <c r="AP50" s="2283">
        <v>330.15665620480701</v>
      </c>
      <c r="AQ50" s="2283">
        <v>347.43499810347203</v>
      </c>
      <c r="AR50" s="2283">
        <v>600.03926504907201</v>
      </c>
      <c r="AS50" s="2283">
        <v>351.25280754444901</v>
      </c>
      <c r="AT50" s="2283">
        <v>306.036877164575</v>
      </c>
      <c r="AU50" s="2283">
        <v>570.93108810009505</v>
      </c>
      <c r="AV50" s="2283">
        <v>276.59139716454303</v>
      </c>
      <c r="AW50" s="2283">
        <v>159.88125932047399</v>
      </c>
      <c r="AX50" s="2283">
        <v>91.990442610044596</v>
      </c>
      <c r="AY50" s="2283">
        <v>329.26465393247003</v>
      </c>
      <c r="AZ50" s="2283">
        <v>427.19305494572598</v>
      </c>
      <c r="BA50" s="2283">
        <v>896.65798910166598</v>
      </c>
      <c r="BB50" s="2283">
        <v>354.12406062476902</v>
      </c>
      <c r="BC50" s="2283">
        <v>258.459057083228</v>
      </c>
      <c r="BD50" s="2283">
        <v>378.74539364898197</v>
      </c>
      <c r="BE50" s="2283">
        <v>259.752397037349</v>
      </c>
      <c r="BF50" s="2283">
        <v>525.3755887323</v>
      </c>
      <c r="BG50" s="2283">
        <v>676.730085951359</v>
      </c>
      <c r="BH50" s="2283">
        <v>435.731455909945</v>
      </c>
      <c r="BI50" s="2283">
        <v>227.743495274125</v>
      </c>
      <c r="BJ50" s="1445">
        <v>438.20646511548</v>
      </c>
      <c r="BK50" s="2207">
        <v>33</v>
      </c>
      <c r="BL50" s="2207" t="s">
        <v>162</v>
      </c>
      <c r="BM50" s="2207" t="s">
        <v>1905</v>
      </c>
      <c r="BN50" s="2207" t="str">
        <f>Translation!B$579</f>
        <v>Ja</v>
      </c>
    </row>
    <row r="51" spans="2:66" x14ac:dyDescent="0.2">
      <c r="B51" s="1426"/>
      <c r="C51" s="2090">
        <v>34</v>
      </c>
      <c r="D51" s="2090" t="s">
        <v>162</v>
      </c>
      <c r="E51" s="2090" t="s">
        <v>1905</v>
      </c>
      <c r="F51" s="2090" t="str">
        <f>Translation!B$580</f>
        <v>Nein</v>
      </c>
      <c r="G51" s="1622">
        <v>34</v>
      </c>
      <c r="H51" s="2283"/>
      <c r="I51" s="2283"/>
      <c r="J51" s="2283"/>
      <c r="K51" s="2283"/>
      <c r="L51" s="2283"/>
      <c r="M51" s="2283"/>
      <c r="N51" s="2283"/>
      <c r="O51" s="2283"/>
      <c r="P51" s="2283"/>
      <c r="Q51" s="2283"/>
      <c r="R51" s="2283"/>
      <c r="S51" s="2283"/>
      <c r="T51" s="2283"/>
      <c r="U51" s="2283"/>
      <c r="V51" s="2283"/>
      <c r="W51" s="2283"/>
      <c r="X51" s="2283"/>
      <c r="Y51" s="2283"/>
      <c r="Z51" s="2283"/>
      <c r="AA51" s="2283"/>
      <c r="AB51" s="2283"/>
      <c r="AC51" s="2283"/>
      <c r="AD51" s="2283"/>
      <c r="AE51" s="2283"/>
      <c r="AF51" s="2283"/>
      <c r="AG51" s="1445"/>
      <c r="AH51" s="655"/>
      <c r="AI51" s="1846"/>
      <c r="AJ51" s="1622">
        <v>34</v>
      </c>
      <c r="AK51" s="2283">
        <v>-171.416413047003</v>
      </c>
      <c r="AL51" s="2283">
        <v>-116.746985103344</v>
      </c>
      <c r="AM51" s="2283">
        <v>-160.79212690317601</v>
      </c>
      <c r="AN51" s="2283">
        <v>-232.85865357872501</v>
      </c>
      <c r="AO51" s="2283">
        <v>-220.80327909278699</v>
      </c>
      <c r="AP51" s="2283">
        <v>-318.03000223015903</v>
      </c>
      <c r="AQ51" s="2283">
        <v>-180.02660654461701</v>
      </c>
      <c r="AR51" s="2283">
        <v>-250.55950589815001</v>
      </c>
      <c r="AS51" s="2283">
        <v>-150.72529286531201</v>
      </c>
      <c r="AT51" s="2283">
        <v>-194.74874501963399</v>
      </c>
      <c r="AU51" s="2283">
        <v>-265.07887399703901</v>
      </c>
      <c r="AV51" s="2283">
        <v>-182.94280192567999</v>
      </c>
      <c r="AW51" s="2283">
        <v>-266.442574221744</v>
      </c>
      <c r="AX51" s="2283">
        <v>-185.25549608085601</v>
      </c>
      <c r="AY51" s="2283">
        <v>-155.97273348806701</v>
      </c>
      <c r="AZ51" s="2283">
        <v>-165.89672452812499</v>
      </c>
      <c r="BA51" s="2283">
        <v>-211.87668613791399</v>
      </c>
      <c r="BB51" s="2283">
        <v>-195.95084786586401</v>
      </c>
      <c r="BC51" s="2283">
        <v>-159.93653183509801</v>
      </c>
      <c r="BD51" s="2283">
        <v>-164.23777898479901</v>
      </c>
      <c r="BE51" s="2283">
        <v>-303.19801364479099</v>
      </c>
      <c r="BF51" s="2283">
        <v>-176.879173142192</v>
      </c>
      <c r="BG51" s="2283">
        <v>-236.760905334646</v>
      </c>
      <c r="BH51" s="2283">
        <v>-207.36734745407</v>
      </c>
      <c r="BI51" s="2283">
        <v>-148.04725198860001</v>
      </c>
      <c r="BJ51" s="1445">
        <v>-199.984954550118</v>
      </c>
      <c r="BK51" s="2207">
        <v>34</v>
      </c>
      <c r="BL51" s="2207" t="s">
        <v>162</v>
      </c>
      <c r="BM51" s="2207" t="s">
        <v>1905</v>
      </c>
      <c r="BN51" s="2207" t="str">
        <f>Translation!B$580</f>
        <v>Nein</v>
      </c>
    </row>
    <row r="52" spans="2:66" x14ac:dyDescent="0.2">
      <c r="B52" s="1426"/>
      <c r="C52" s="2090">
        <v>35</v>
      </c>
      <c r="D52" s="2090" t="s">
        <v>162</v>
      </c>
      <c r="E52" s="2090" t="s">
        <v>1906</v>
      </c>
      <c r="F52" s="2090" t="str">
        <f>Translation!B$579</f>
        <v>Ja</v>
      </c>
      <c r="G52" s="1622">
        <v>35</v>
      </c>
      <c r="H52" s="2283"/>
      <c r="I52" s="2283"/>
      <c r="J52" s="2283"/>
      <c r="K52" s="2283"/>
      <c r="L52" s="2283"/>
      <c r="M52" s="2283"/>
      <c r="N52" s="2283"/>
      <c r="O52" s="2283"/>
      <c r="P52" s="2283"/>
      <c r="Q52" s="2283"/>
      <c r="R52" s="2283"/>
      <c r="S52" s="2283"/>
      <c r="T52" s="2283"/>
      <c r="U52" s="2283"/>
      <c r="V52" s="2283"/>
      <c r="W52" s="2283"/>
      <c r="X52" s="2283"/>
      <c r="Y52" s="2283"/>
      <c r="Z52" s="2283"/>
      <c r="AA52" s="2283"/>
      <c r="AB52" s="2283"/>
      <c r="AC52" s="2283"/>
      <c r="AD52" s="2283"/>
      <c r="AE52" s="2283"/>
      <c r="AF52" s="2283"/>
      <c r="AG52" s="1445"/>
      <c r="AH52" s="655"/>
      <c r="AI52" s="1846"/>
      <c r="AJ52" s="1622">
        <v>35</v>
      </c>
      <c r="AK52" s="2283">
        <v>303.539773460221</v>
      </c>
      <c r="AL52" s="2283">
        <v>609.34802083485101</v>
      </c>
      <c r="AM52" s="2283">
        <v>271.72254946100702</v>
      </c>
      <c r="AN52" s="2283">
        <v>295.527801997898</v>
      </c>
      <c r="AO52" s="2283">
        <v>387.01786865983701</v>
      </c>
      <c r="AP52" s="2283">
        <v>221.66992030737001</v>
      </c>
      <c r="AQ52" s="2283">
        <v>183.959165819465</v>
      </c>
      <c r="AR52" s="2283">
        <v>432.95320496244602</v>
      </c>
      <c r="AS52" s="2283">
        <v>103.27956645250499</v>
      </c>
      <c r="AT52" s="2283">
        <v>276.70209359180399</v>
      </c>
      <c r="AU52" s="2283">
        <v>915.09491900546595</v>
      </c>
      <c r="AV52" s="2283">
        <v>281.81459506992798</v>
      </c>
      <c r="AW52" s="2283">
        <v>220.269575145201</v>
      </c>
      <c r="AX52" s="2283">
        <v>7.2642621533041698</v>
      </c>
      <c r="AY52" s="2283">
        <v>252.925079473468</v>
      </c>
      <c r="AZ52" s="2283">
        <v>428.83517162924699</v>
      </c>
      <c r="BA52" s="2283">
        <v>394.67968397706801</v>
      </c>
      <c r="BB52" s="2283">
        <v>356.66475390889201</v>
      </c>
      <c r="BC52" s="2283">
        <v>119.296596340508</v>
      </c>
      <c r="BD52" s="2283">
        <v>124.41042618482599</v>
      </c>
      <c r="BE52" s="2283">
        <v>30.634434872987999</v>
      </c>
      <c r="BF52" s="2283">
        <v>227.946083683149</v>
      </c>
      <c r="BG52" s="2283">
        <v>478.64775732048702</v>
      </c>
      <c r="BH52" s="2283">
        <v>203.086431249339</v>
      </c>
      <c r="BI52" s="2283">
        <v>49.839872158941098</v>
      </c>
      <c r="BJ52" s="1445">
        <v>357.900505387838</v>
      </c>
      <c r="BK52" s="2207">
        <v>35</v>
      </c>
      <c r="BL52" s="2207" t="s">
        <v>162</v>
      </c>
      <c r="BM52" s="2207" t="s">
        <v>1906</v>
      </c>
      <c r="BN52" s="2207" t="str">
        <f>Translation!B$579</f>
        <v>Ja</v>
      </c>
    </row>
    <row r="53" spans="2:66" x14ac:dyDescent="0.2">
      <c r="B53" s="1426"/>
      <c r="C53" s="2090">
        <v>36</v>
      </c>
      <c r="D53" s="2090" t="s">
        <v>162</v>
      </c>
      <c r="E53" s="2090" t="s">
        <v>1906</v>
      </c>
      <c r="F53" s="2090" t="str">
        <f>Translation!B$580</f>
        <v>Nein</v>
      </c>
      <c r="G53" s="1622">
        <v>36</v>
      </c>
      <c r="H53" s="2283"/>
      <c r="I53" s="2283"/>
      <c r="J53" s="2283"/>
      <c r="K53" s="2283"/>
      <c r="L53" s="2283"/>
      <c r="M53" s="2283"/>
      <c r="N53" s="2283"/>
      <c r="O53" s="2283"/>
      <c r="P53" s="2283"/>
      <c r="Q53" s="2283"/>
      <c r="R53" s="2283"/>
      <c r="S53" s="2283"/>
      <c r="T53" s="2283"/>
      <c r="U53" s="2283"/>
      <c r="V53" s="2283"/>
      <c r="W53" s="2283"/>
      <c r="X53" s="2283"/>
      <c r="Y53" s="2283"/>
      <c r="Z53" s="2283"/>
      <c r="AA53" s="2283"/>
      <c r="AB53" s="2283"/>
      <c r="AC53" s="2283"/>
      <c r="AD53" s="2283"/>
      <c r="AE53" s="2283"/>
      <c r="AF53" s="2283"/>
      <c r="AG53" s="1445"/>
      <c r="AH53" s="655"/>
      <c r="AI53" s="1846"/>
      <c r="AJ53" s="1622">
        <v>36</v>
      </c>
      <c r="AK53" s="2283">
        <v>-141.855100416845</v>
      </c>
      <c r="AL53" s="2283">
        <v>-109.991749086786</v>
      </c>
      <c r="AM53" s="2283">
        <v>-143.12851082386999</v>
      </c>
      <c r="AN53" s="2283">
        <v>-195.556892801982</v>
      </c>
      <c r="AO53" s="2283">
        <v>-188.47158917988699</v>
      </c>
      <c r="AP53" s="2283">
        <v>-242.79634157386801</v>
      </c>
      <c r="AQ53" s="2283">
        <v>-149.34206544729901</v>
      </c>
      <c r="AR53" s="2283">
        <v>-196.30303917518</v>
      </c>
      <c r="AS53" s="2283">
        <v>-132.27936324289101</v>
      </c>
      <c r="AT53" s="2283">
        <v>-165.587036493721</v>
      </c>
      <c r="AU53" s="2283">
        <v>-240.200979736394</v>
      </c>
      <c r="AV53" s="2283">
        <v>-132.48873384019899</v>
      </c>
      <c r="AW53" s="2283">
        <v>-226.287295173237</v>
      </c>
      <c r="AX53" s="2283">
        <v>-115.592661414696</v>
      </c>
      <c r="AY53" s="2283">
        <v>-132.16168778184999</v>
      </c>
      <c r="AZ53" s="2283">
        <v>-138.62999688292601</v>
      </c>
      <c r="BA53" s="2283">
        <v>-172.693413014371</v>
      </c>
      <c r="BB53" s="2283">
        <v>-174.14490758029299</v>
      </c>
      <c r="BC53" s="2283">
        <v>-113.12178873127</v>
      </c>
      <c r="BD53" s="2283">
        <v>-142.041037988716</v>
      </c>
      <c r="BE53" s="2283">
        <v>-249.448007198097</v>
      </c>
      <c r="BF53" s="2283">
        <v>-128.70758538849299</v>
      </c>
      <c r="BG53" s="2283">
        <v>-190.75272955948401</v>
      </c>
      <c r="BH53" s="2283">
        <v>-180.307332399552</v>
      </c>
      <c r="BI53" s="2283">
        <v>-104.75048366583501</v>
      </c>
      <c r="BJ53" s="1445">
        <v>-159.383887230103</v>
      </c>
      <c r="BK53" s="2207">
        <v>36</v>
      </c>
      <c r="BL53" s="2207" t="s">
        <v>162</v>
      </c>
      <c r="BM53" s="2207" t="s">
        <v>1906</v>
      </c>
      <c r="BN53" s="2207" t="str">
        <f>Translation!B$580</f>
        <v>Nein</v>
      </c>
    </row>
    <row r="54" spans="2:66" x14ac:dyDescent="0.2">
      <c r="B54" s="1426"/>
      <c r="C54" s="2090">
        <v>37</v>
      </c>
      <c r="D54" s="2090" t="s">
        <v>162</v>
      </c>
      <c r="E54" s="2090" t="s">
        <v>1907</v>
      </c>
      <c r="F54" s="2090" t="str">
        <f>Translation!B$579</f>
        <v>Ja</v>
      </c>
      <c r="G54" s="1622">
        <v>37</v>
      </c>
      <c r="H54" s="2283"/>
      <c r="I54" s="2283"/>
      <c r="J54" s="2283"/>
      <c r="K54" s="2283"/>
      <c r="L54" s="2283"/>
      <c r="M54" s="2283"/>
      <c r="N54" s="2283"/>
      <c r="O54" s="2283"/>
      <c r="P54" s="2283"/>
      <c r="Q54" s="2283"/>
      <c r="R54" s="2283"/>
      <c r="S54" s="2283"/>
      <c r="T54" s="2283"/>
      <c r="U54" s="2283"/>
      <c r="V54" s="2283"/>
      <c r="W54" s="2283"/>
      <c r="X54" s="2283"/>
      <c r="Y54" s="2283"/>
      <c r="Z54" s="2283"/>
      <c r="AA54" s="2283"/>
      <c r="AB54" s="2283"/>
      <c r="AC54" s="2283"/>
      <c r="AD54" s="2283"/>
      <c r="AE54" s="2283"/>
      <c r="AF54" s="2283"/>
      <c r="AG54" s="1445"/>
      <c r="AH54" s="655"/>
      <c r="AI54" s="1846"/>
      <c r="AJ54" s="1622">
        <v>37</v>
      </c>
      <c r="AK54" s="2283">
        <v>227.16652668384199</v>
      </c>
      <c r="AL54" s="2283">
        <v>856.52530635575795</v>
      </c>
      <c r="AM54" s="2283">
        <v>273.29571401673599</v>
      </c>
      <c r="AN54" s="2283">
        <v>423.36283674445002</v>
      </c>
      <c r="AO54" s="2283">
        <v>313.50410562686699</v>
      </c>
      <c r="AP54" s="2283">
        <v>452.91913542380502</v>
      </c>
      <c r="AQ54" s="2283">
        <v>521.47137422524702</v>
      </c>
      <c r="AR54" s="2283">
        <v>471.17896386907898</v>
      </c>
      <c r="AS54" s="2283">
        <v>306.43629718461699</v>
      </c>
      <c r="AT54" s="2283">
        <v>370.14588671880801</v>
      </c>
      <c r="AU54" s="2283">
        <v>-27.801952733675702</v>
      </c>
      <c r="AV54" s="2283">
        <v>295.12282208883698</v>
      </c>
      <c r="AW54" s="2283">
        <v>-60.349472363316202</v>
      </c>
      <c r="AX54" s="2283">
        <v>79.914593165263796</v>
      </c>
      <c r="AY54" s="2283">
        <v>231.44605289766201</v>
      </c>
      <c r="AZ54" s="2283">
        <v>233.096376488212</v>
      </c>
      <c r="BA54" s="2283">
        <v>356.37222079007103</v>
      </c>
      <c r="BB54" s="2283">
        <v>55.207403081362997</v>
      </c>
      <c r="BC54" s="2283">
        <v>102.469388214576</v>
      </c>
      <c r="BD54" s="2283">
        <v>322.74732290012201</v>
      </c>
      <c r="BE54" s="2283">
        <v>207.23211852373899</v>
      </c>
      <c r="BF54" s="2283">
        <v>2.6274165193421499</v>
      </c>
      <c r="BG54" s="2283">
        <v>303.36105082170798</v>
      </c>
      <c r="BH54" s="2283">
        <v>209.099275679116</v>
      </c>
      <c r="BI54" s="2283">
        <v>209.00750358221501</v>
      </c>
      <c r="BJ54" s="1445">
        <v>388.28101485346099</v>
      </c>
      <c r="BK54" s="2207">
        <v>37</v>
      </c>
      <c r="BL54" s="2207" t="s">
        <v>162</v>
      </c>
      <c r="BM54" s="2207" t="s">
        <v>1907</v>
      </c>
      <c r="BN54" s="2207" t="str">
        <f>Translation!B$579</f>
        <v>Ja</v>
      </c>
    </row>
    <row r="55" spans="2:66" x14ac:dyDescent="0.2">
      <c r="B55" s="1426"/>
      <c r="C55" s="2090">
        <v>38</v>
      </c>
      <c r="D55" s="2090" t="s">
        <v>162</v>
      </c>
      <c r="E55" s="2090" t="s">
        <v>1907</v>
      </c>
      <c r="F55" s="2090" t="str">
        <f>Translation!B$580</f>
        <v>Nein</v>
      </c>
      <c r="G55" s="1622">
        <v>38</v>
      </c>
      <c r="H55" s="2283"/>
      <c r="I55" s="2283"/>
      <c r="J55" s="2283"/>
      <c r="K55" s="2283"/>
      <c r="L55" s="2283"/>
      <c r="M55" s="2283"/>
      <c r="N55" s="2283"/>
      <c r="O55" s="2283"/>
      <c r="P55" s="2283"/>
      <c r="Q55" s="2283"/>
      <c r="R55" s="2283"/>
      <c r="S55" s="2283"/>
      <c r="T55" s="2283"/>
      <c r="U55" s="2283"/>
      <c r="V55" s="2283"/>
      <c r="W55" s="2283"/>
      <c r="X55" s="2283"/>
      <c r="Y55" s="2283"/>
      <c r="Z55" s="2283"/>
      <c r="AA55" s="2283"/>
      <c r="AB55" s="2283"/>
      <c r="AC55" s="2283"/>
      <c r="AD55" s="2283"/>
      <c r="AE55" s="2283"/>
      <c r="AF55" s="2283"/>
      <c r="AG55" s="1445"/>
      <c r="AH55" s="655"/>
      <c r="AI55" s="1846"/>
      <c r="AJ55" s="1622">
        <v>38</v>
      </c>
      <c r="AK55" s="2283">
        <v>-188.49912722191701</v>
      </c>
      <c r="AL55" s="2283">
        <v>-169.54215079238301</v>
      </c>
      <c r="AM55" s="2283">
        <v>-208.68497903872199</v>
      </c>
      <c r="AN55" s="2283">
        <v>-233.697678508704</v>
      </c>
      <c r="AO55" s="2283">
        <v>-238.901432929013</v>
      </c>
      <c r="AP55" s="2283">
        <v>-257.49201978460502</v>
      </c>
      <c r="AQ55" s="2283">
        <v>-196.100786560535</v>
      </c>
      <c r="AR55" s="2283">
        <v>-204.15641463351599</v>
      </c>
      <c r="AS55" s="2283">
        <v>-187.62789569146599</v>
      </c>
      <c r="AT55" s="2283">
        <v>-196.81131834554</v>
      </c>
      <c r="AU55" s="2283">
        <v>-280.12363432287498</v>
      </c>
      <c r="AV55" s="2283">
        <v>-174.00310247458199</v>
      </c>
      <c r="AW55" s="2283">
        <v>-254.86494409156001</v>
      </c>
      <c r="AX55" s="2283">
        <v>-165.66233402407201</v>
      </c>
      <c r="AY55" s="2283">
        <v>-178.145152466783</v>
      </c>
      <c r="AZ55" s="2283">
        <v>-180.66343705552501</v>
      </c>
      <c r="BA55" s="2283">
        <v>-217.72077702763301</v>
      </c>
      <c r="BB55" s="2283">
        <v>-228.30661264685901</v>
      </c>
      <c r="BC55" s="2283">
        <v>-170.749159451515</v>
      </c>
      <c r="BD55" s="2283">
        <v>-192.709287807397</v>
      </c>
      <c r="BE55" s="2283">
        <v>-278.54832485571399</v>
      </c>
      <c r="BF55" s="2283">
        <v>-197.83444852643399</v>
      </c>
      <c r="BG55" s="2283">
        <v>-219.36648752708999</v>
      </c>
      <c r="BH55" s="2283">
        <v>-214.67808432789599</v>
      </c>
      <c r="BI55" s="2283">
        <v>-149.60910633879399</v>
      </c>
      <c r="BJ55" s="1445">
        <v>-172.57346979984499</v>
      </c>
      <c r="BK55" s="2207">
        <v>38</v>
      </c>
      <c r="BL55" s="2207" t="s">
        <v>162</v>
      </c>
      <c r="BM55" s="2207" t="s">
        <v>1907</v>
      </c>
      <c r="BN55" s="2207" t="str">
        <f>Translation!B$580</f>
        <v>Nein</v>
      </c>
    </row>
    <row r="56" spans="2:66" x14ac:dyDescent="0.2">
      <c r="B56" s="1426"/>
      <c r="C56" s="2090">
        <v>39</v>
      </c>
      <c r="D56" s="2090" t="s">
        <v>162</v>
      </c>
      <c r="E56" s="2090" t="s">
        <v>1908</v>
      </c>
      <c r="F56" s="2090" t="str">
        <f>Translation!B$579</f>
        <v>Ja</v>
      </c>
      <c r="G56" s="1622">
        <v>39</v>
      </c>
      <c r="H56" s="2283"/>
      <c r="I56" s="2283"/>
      <c r="J56" s="2283"/>
      <c r="K56" s="2283"/>
      <c r="L56" s="2283"/>
      <c r="M56" s="2283"/>
      <c r="N56" s="2283"/>
      <c r="O56" s="2283"/>
      <c r="P56" s="2283"/>
      <c r="Q56" s="2283"/>
      <c r="R56" s="2283"/>
      <c r="S56" s="2283"/>
      <c r="T56" s="2283"/>
      <c r="U56" s="2283"/>
      <c r="V56" s="2283"/>
      <c r="W56" s="2283"/>
      <c r="X56" s="2283"/>
      <c r="Y56" s="2283"/>
      <c r="Z56" s="2283"/>
      <c r="AA56" s="2283"/>
      <c r="AB56" s="2283"/>
      <c r="AC56" s="2283"/>
      <c r="AD56" s="2283"/>
      <c r="AE56" s="2283"/>
      <c r="AF56" s="2283"/>
      <c r="AG56" s="1445"/>
      <c r="AH56" s="655"/>
      <c r="AI56" s="1846"/>
      <c r="AJ56" s="1622">
        <v>39</v>
      </c>
      <c r="AK56" s="2283">
        <v>215.272728891529</v>
      </c>
      <c r="AL56" s="2283">
        <v>-3.1990360233034498</v>
      </c>
      <c r="AM56" s="2283">
        <v>644.65257444256997</v>
      </c>
      <c r="AN56" s="2283">
        <v>182.541843658028</v>
      </c>
      <c r="AO56" s="2283">
        <v>280.52160285069601</v>
      </c>
      <c r="AP56" s="2283">
        <v>580.69536772002596</v>
      </c>
      <c r="AQ56" s="2283">
        <v>358.22314154476101</v>
      </c>
      <c r="AR56" s="2283">
        <v>421.53379756832101</v>
      </c>
      <c r="AS56" s="2283">
        <v>175.90965566592899</v>
      </c>
      <c r="AT56" s="2283">
        <v>408.803325967185</v>
      </c>
      <c r="AU56" s="2283">
        <v>307.18342237806701</v>
      </c>
      <c r="AV56" s="2283">
        <v>406.77361756545599</v>
      </c>
      <c r="AW56" s="2283">
        <v>493.91546882275202</v>
      </c>
      <c r="AX56" s="2283">
        <v>128.63913785572399</v>
      </c>
      <c r="AY56" s="2283">
        <v>103.931113700297</v>
      </c>
      <c r="AZ56" s="2283">
        <v>232.03170432260799</v>
      </c>
      <c r="BA56" s="2283">
        <v>221.733193514482</v>
      </c>
      <c r="BB56" s="2283">
        <v>348.70970170101498</v>
      </c>
      <c r="BC56" s="2283">
        <v>255.74650223955399</v>
      </c>
      <c r="BD56" s="2283">
        <v>386.13135379903099</v>
      </c>
      <c r="BE56" s="2283">
        <v>225.82464535328299</v>
      </c>
      <c r="BF56" s="2283">
        <v>447.59436884125103</v>
      </c>
      <c r="BG56" s="2283">
        <v>411.744297640041</v>
      </c>
      <c r="BH56" s="2283">
        <v>236.019882408385</v>
      </c>
      <c r="BI56" s="2283">
        <v>259.44967466651298</v>
      </c>
      <c r="BJ56" s="1445">
        <v>450.42863103745799</v>
      </c>
      <c r="BK56" s="2207">
        <v>39</v>
      </c>
      <c r="BL56" s="2207" t="s">
        <v>162</v>
      </c>
      <c r="BM56" s="2207" t="s">
        <v>1908</v>
      </c>
      <c r="BN56" s="2207" t="str">
        <f>Translation!B$579</f>
        <v>Ja</v>
      </c>
    </row>
    <row r="57" spans="2:66" x14ac:dyDescent="0.2">
      <c r="B57" s="1426"/>
      <c r="C57" s="2090">
        <v>40</v>
      </c>
      <c r="D57" s="2090" t="s">
        <v>162</v>
      </c>
      <c r="E57" s="2090" t="s">
        <v>1908</v>
      </c>
      <c r="F57" s="2090" t="str">
        <f>Translation!B$580</f>
        <v>Nein</v>
      </c>
      <c r="G57" s="1622">
        <v>40</v>
      </c>
      <c r="H57" s="2283"/>
      <c r="I57" s="2283"/>
      <c r="J57" s="2283"/>
      <c r="K57" s="2283"/>
      <c r="L57" s="2283"/>
      <c r="M57" s="2283"/>
      <c r="N57" s="2283"/>
      <c r="O57" s="2283"/>
      <c r="P57" s="2283"/>
      <c r="Q57" s="2283"/>
      <c r="R57" s="2283"/>
      <c r="S57" s="2283"/>
      <c r="T57" s="2283"/>
      <c r="U57" s="2283"/>
      <c r="V57" s="2283"/>
      <c r="W57" s="2283"/>
      <c r="X57" s="2283"/>
      <c r="Y57" s="2283"/>
      <c r="Z57" s="2283"/>
      <c r="AA57" s="2283"/>
      <c r="AB57" s="2283"/>
      <c r="AC57" s="2283"/>
      <c r="AD57" s="2283"/>
      <c r="AE57" s="2283"/>
      <c r="AF57" s="2283"/>
      <c r="AG57" s="1445"/>
      <c r="AH57" s="655"/>
      <c r="AI57" s="1846"/>
      <c r="AJ57" s="1622">
        <v>40</v>
      </c>
      <c r="AK57" s="2283">
        <v>-221.377508760024</v>
      </c>
      <c r="AL57" s="2283">
        <v>-214.03427782963399</v>
      </c>
      <c r="AM57" s="2283">
        <v>-239.044537033404</v>
      </c>
      <c r="AN57" s="2283">
        <v>-269.78193293826098</v>
      </c>
      <c r="AO57" s="2283">
        <v>-273.38502072236901</v>
      </c>
      <c r="AP57" s="2283">
        <v>-295.756307608425</v>
      </c>
      <c r="AQ57" s="2283">
        <v>-221.538339628703</v>
      </c>
      <c r="AR57" s="2283">
        <v>-252.51350624854501</v>
      </c>
      <c r="AS57" s="2283">
        <v>-244.53518669475901</v>
      </c>
      <c r="AT57" s="2283">
        <v>-223.51940515638</v>
      </c>
      <c r="AU57" s="2283">
        <v>-311.81435045931602</v>
      </c>
      <c r="AV57" s="2283">
        <v>-217.39981769155801</v>
      </c>
      <c r="AW57" s="2283">
        <v>-304.71416188169701</v>
      </c>
      <c r="AX57" s="2283">
        <v>-212.79571425553101</v>
      </c>
      <c r="AY57" s="2283">
        <v>-214.33852321411001</v>
      </c>
      <c r="AZ57" s="2283">
        <v>-215.174628902965</v>
      </c>
      <c r="BA57" s="2283">
        <v>-232.61342500406101</v>
      </c>
      <c r="BB57" s="2283">
        <v>-258.24948834404</v>
      </c>
      <c r="BC57" s="2283">
        <v>-209.10895174718601</v>
      </c>
      <c r="BD57" s="2283">
        <v>-214.14888112131101</v>
      </c>
      <c r="BE57" s="2283">
        <v>-311.247608785941</v>
      </c>
      <c r="BF57" s="2283">
        <v>-226.05924862982801</v>
      </c>
      <c r="BG57" s="2283">
        <v>-247.76303003279301</v>
      </c>
      <c r="BH57" s="2283">
        <v>-227.52155934742299</v>
      </c>
      <c r="BI57" s="2283">
        <v>-178.45782664779301</v>
      </c>
      <c r="BJ57" s="1445">
        <v>-211.400980742434</v>
      </c>
      <c r="BK57" s="2207">
        <v>40</v>
      </c>
      <c r="BL57" s="2207" t="s">
        <v>162</v>
      </c>
      <c r="BM57" s="2207" t="s">
        <v>1908</v>
      </c>
      <c r="BN57" s="2207" t="str">
        <f>Translation!B$580</f>
        <v>Nein</v>
      </c>
    </row>
    <row r="58" spans="2:66" x14ac:dyDescent="0.2">
      <c r="B58" s="1426"/>
      <c r="C58" s="2090">
        <v>41</v>
      </c>
      <c r="D58" s="2090" t="s">
        <v>162</v>
      </c>
      <c r="E58" s="2090" t="s">
        <v>1909</v>
      </c>
      <c r="F58" s="2090" t="str">
        <f>Translation!B$579</f>
        <v>Ja</v>
      </c>
      <c r="G58" s="1622">
        <v>41</v>
      </c>
      <c r="H58" s="2283"/>
      <c r="I58" s="2283"/>
      <c r="J58" s="2283"/>
      <c r="K58" s="2283"/>
      <c r="L58" s="2283"/>
      <c r="M58" s="2283"/>
      <c r="N58" s="2283"/>
      <c r="O58" s="2283"/>
      <c r="P58" s="2283"/>
      <c r="Q58" s="2283"/>
      <c r="R58" s="2283"/>
      <c r="S58" s="2283"/>
      <c r="T58" s="2283"/>
      <c r="U58" s="2283"/>
      <c r="V58" s="2283"/>
      <c r="W58" s="2283"/>
      <c r="X58" s="2283"/>
      <c r="Y58" s="2283"/>
      <c r="Z58" s="2283"/>
      <c r="AA58" s="2283"/>
      <c r="AB58" s="2283"/>
      <c r="AC58" s="2283"/>
      <c r="AD58" s="2283"/>
      <c r="AE58" s="2283"/>
      <c r="AF58" s="2283"/>
      <c r="AG58" s="1445"/>
      <c r="AH58" s="655"/>
      <c r="AI58" s="1846"/>
      <c r="AJ58" s="1622">
        <v>41</v>
      </c>
      <c r="AK58" s="2283">
        <v>306.30372351858603</v>
      </c>
      <c r="AL58" s="2283">
        <v>297.49579379347801</v>
      </c>
      <c r="AM58" s="2283">
        <v>544.623865098294</v>
      </c>
      <c r="AN58" s="2283">
        <v>393.12772576259999</v>
      </c>
      <c r="AO58" s="2283">
        <v>98.706123821373595</v>
      </c>
      <c r="AP58" s="2283">
        <v>431.19132105106598</v>
      </c>
      <c r="AQ58" s="2283">
        <v>269.22397055120302</v>
      </c>
      <c r="AR58" s="2283">
        <v>691.25564699504196</v>
      </c>
      <c r="AS58" s="2283">
        <v>140.09316378184499</v>
      </c>
      <c r="AT58" s="2283">
        <v>207.15947259350801</v>
      </c>
      <c r="AU58" s="2283">
        <v>339.70132759915401</v>
      </c>
      <c r="AV58" s="2283">
        <v>467.88607128687897</v>
      </c>
      <c r="AW58" s="2283">
        <v>535.01627810255502</v>
      </c>
      <c r="AX58" s="2283">
        <v>-89.366130244400296</v>
      </c>
      <c r="AY58" s="2283">
        <v>441.12910834440203</v>
      </c>
      <c r="AZ58" s="2283">
        <v>305.558527297632</v>
      </c>
      <c r="BA58" s="2283">
        <v>77.258254350706906</v>
      </c>
      <c r="BB58" s="2283">
        <v>187.32730483463101</v>
      </c>
      <c r="BC58" s="2283">
        <v>245.37607275177399</v>
      </c>
      <c r="BD58" s="2283">
        <v>381.55526611490802</v>
      </c>
      <c r="BE58" s="2283">
        <v>203.53630099599999</v>
      </c>
      <c r="BF58" s="2283">
        <v>261.08590364305201</v>
      </c>
      <c r="BG58" s="2283">
        <v>548.68388869033004</v>
      </c>
      <c r="BH58" s="2283">
        <v>233.459364930438</v>
      </c>
      <c r="BI58" s="2283">
        <v>185.505538679311</v>
      </c>
      <c r="BJ58" s="1445">
        <v>464.59009155803602</v>
      </c>
      <c r="BK58" s="2207">
        <v>41</v>
      </c>
      <c r="BL58" s="2207" t="s">
        <v>162</v>
      </c>
      <c r="BM58" s="2207" t="s">
        <v>1909</v>
      </c>
      <c r="BN58" s="2207" t="str">
        <f>Translation!B$579</f>
        <v>Ja</v>
      </c>
    </row>
    <row r="59" spans="2:66" x14ac:dyDescent="0.2">
      <c r="B59" s="1426"/>
      <c r="C59" s="2090">
        <v>42</v>
      </c>
      <c r="D59" s="2090" t="s">
        <v>162</v>
      </c>
      <c r="E59" s="2090" t="s">
        <v>1909</v>
      </c>
      <c r="F59" s="2090" t="str">
        <f>Translation!B$580</f>
        <v>Nein</v>
      </c>
      <c r="G59" s="1622">
        <v>42</v>
      </c>
      <c r="H59" s="2283"/>
      <c r="I59" s="2283"/>
      <c r="J59" s="2283"/>
      <c r="K59" s="2283"/>
      <c r="L59" s="2283"/>
      <c r="M59" s="2283"/>
      <c r="N59" s="2283"/>
      <c r="O59" s="2283"/>
      <c r="P59" s="2283"/>
      <c r="Q59" s="2283"/>
      <c r="R59" s="2283"/>
      <c r="S59" s="2283"/>
      <c r="T59" s="2283"/>
      <c r="U59" s="2283"/>
      <c r="V59" s="2283"/>
      <c r="W59" s="2283"/>
      <c r="X59" s="2283"/>
      <c r="Y59" s="2283"/>
      <c r="Z59" s="2283"/>
      <c r="AA59" s="2283"/>
      <c r="AB59" s="2283"/>
      <c r="AC59" s="2283"/>
      <c r="AD59" s="2283"/>
      <c r="AE59" s="2283"/>
      <c r="AF59" s="2283"/>
      <c r="AG59" s="1445"/>
      <c r="AH59" s="655"/>
      <c r="AI59" s="1846"/>
      <c r="AJ59" s="1622">
        <v>42</v>
      </c>
      <c r="AK59" s="2283">
        <v>-212.651902832101</v>
      </c>
      <c r="AL59" s="2283">
        <v>-177.46485206001799</v>
      </c>
      <c r="AM59" s="2283">
        <v>-232.642611850592</v>
      </c>
      <c r="AN59" s="2283">
        <v>-262.13445119669598</v>
      </c>
      <c r="AO59" s="2283">
        <v>-280.85119059623997</v>
      </c>
      <c r="AP59" s="2283">
        <v>-283.247545891752</v>
      </c>
      <c r="AQ59" s="2283">
        <v>-216.77293615636799</v>
      </c>
      <c r="AR59" s="2283">
        <v>-242.041865370164</v>
      </c>
      <c r="AS59" s="2283">
        <v>-219.02344213483599</v>
      </c>
      <c r="AT59" s="2283">
        <v>-210.49450627378599</v>
      </c>
      <c r="AU59" s="2283">
        <v>-293.94844175214899</v>
      </c>
      <c r="AV59" s="2283">
        <v>-207.60516941697901</v>
      </c>
      <c r="AW59" s="2283">
        <v>-291.10165317839301</v>
      </c>
      <c r="AX59" s="2283">
        <v>-215.19860551963501</v>
      </c>
      <c r="AY59" s="2283">
        <v>-210.932783020286</v>
      </c>
      <c r="AZ59" s="2283">
        <v>-207.380625433853</v>
      </c>
      <c r="BA59" s="2283">
        <v>-249.53728426715901</v>
      </c>
      <c r="BB59" s="2283">
        <v>-247.34402855123099</v>
      </c>
      <c r="BC59" s="2283">
        <v>-204.452984297781</v>
      </c>
      <c r="BD59" s="2283">
        <v>-219.388567354283</v>
      </c>
      <c r="BE59" s="2283">
        <v>-295.53283366327503</v>
      </c>
      <c r="BF59" s="2283">
        <v>-236.98143877907901</v>
      </c>
      <c r="BG59" s="2283">
        <v>-247.58970248989101</v>
      </c>
      <c r="BH59" s="2283">
        <v>-223.45601420743299</v>
      </c>
      <c r="BI59" s="2283">
        <v>-190.447656331047</v>
      </c>
      <c r="BJ59" s="1445">
        <v>-208.108355808585</v>
      </c>
      <c r="BK59" s="2207">
        <v>42</v>
      </c>
      <c r="BL59" s="2207" t="s">
        <v>162</v>
      </c>
      <c r="BM59" s="2207" t="s">
        <v>1909</v>
      </c>
      <c r="BN59" s="2207" t="str">
        <f>Translation!B$580</f>
        <v>Nein</v>
      </c>
    </row>
    <row r="60" spans="2:66" x14ac:dyDescent="0.2">
      <c r="B60" s="1426"/>
      <c r="C60" s="2090">
        <v>43</v>
      </c>
      <c r="D60" s="2090" t="s">
        <v>162</v>
      </c>
      <c r="E60" s="2090" t="s">
        <v>1910</v>
      </c>
      <c r="F60" s="2090" t="str">
        <f>Translation!B$579</f>
        <v>Ja</v>
      </c>
      <c r="G60" s="1622">
        <v>43</v>
      </c>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1445"/>
      <c r="AH60" s="655"/>
      <c r="AI60" s="1846"/>
      <c r="AJ60" s="1622">
        <v>43</v>
      </c>
      <c r="AK60" s="2283">
        <v>434.22618715646701</v>
      </c>
      <c r="AL60" s="2283">
        <v>507.66333599645702</v>
      </c>
      <c r="AM60" s="2283">
        <v>204.022659832947</v>
      </c>
      <c r="AN60" s="2283">
        <v>381.14779660663999</v>
      </c>
      <c r="AO60" s="2283">
        <v>433.44905113754697</v>
      </c>
      <c r="AP60" s="2283">
        <v>393.90690660298901</v>
      </c>
      <c r="AQ60" s="2283">
        <v>398.10683184124701</v>
      </c>
      <c r="AR60" s="2283">
        <v>506.59039948361402</v>
      </c>
      <c r="AS60" s="2283">
        <v>157.15160392995199</v>
      </c>
      <c r="AT60" s="2283">
        <v>281.54265552372601</v>
      </c>
      <c r="AU60" s="2283">
        <v>72.663746837857701</v>
      </c>
      <c r="AV60" s="2283">
        <v>460.21596750591698</v>
      </c>
      <c r="AW60" s="2283">
        <v>483.027120572255</v>
      </c>
      <c r="AX60" s="2283">
        <v>764.47617772915305</v>
      </c>
      <c r="AY60" s="2283">
        <v>487.29402179814502</v>
      </c>
      <c r="AZ60" s="2283">
        <v>421.11096956298098</v>
      </c>
      <c r="BA60" s="2283">
        <v>371.63507444748001</v>
      </c>
      <c r="BB60" s="2283">
        <v>257.95803188627201</v>
      </c>
      <c r="BC60" s="2283">
        <v>453.61729618282999</v>
      </c>
      <c r="BD60" s="2283">
        <v>350.394774626654</v>
      </c>
      <c r="BE60" s="2283">
        <v>270.66004549803398</v>
      </c>
      <c r="BF60" s="2283">
        <v>509.912348423644</v>
      </c>
      <c r="BG60" s="2283">
        <v>576.93693268831896</v>
      </c>
      <c r="BH60" s="2283">
        <v>440.38449483946101</v>
      </c>
      <c r="BI60" s="2283">
        <v>124.651235378347</v>
      </c>
      <c r="BJ60" s="1445">
        <v>594.46915433627498</v>
      </c>
      <c r="BK60" s="2207">
        <v>43</v>
      </c>
      <c r="BL60" s="2207" t="s">
        <v>162</v>
      </c>
      <c r="BM60" s="2207" t="s">
        <v>1910</v>
      </c>
      <c r="BN60" s="2207" t="str">
        <f>Translation!B$579</f>
        <v>Ja</v>
      </c>
    </row>
    <row r="61" spans="2:66" x14ac:dyDescent="0.2">
      <c r="B61" s="1426"/>
      <c r="C61" s="2090">
        <v>44</v>
      </c>
      <c r="D61" s="2090" t="s">
        <v>162</v>
      </c>
      <c r="E61" s="2090" t="s">
        <v>1910</v>
      </c>
      <c r="F61" s="2090" t="str">
        <f>Translation!B$580</f>
        <v>Nein</v>
      </c>
      <c r="G61" s="1622">
        <v>44</v>
      </c>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1445"/>
      <c r="AH61" s="655"/>
      <c r="AI61" s="1846"/>
      <c r="AJ61" s="1622">
        <v>44</v>
      </c>
      <c r="AK61" s="2283">
        <v>-200.701326932846</v>
      </c>
      <c r="AL61" s="2283">
        <v>-161.05179903579199</v>
      </c>
      <c r="AM61" s="2283">
        <v>-190.57080066430299</v>
      </c>
      <c r="AN61" s="2283">
        <v>-244.014514474051</v>
      </c>
      <c r="AO61" s="2283">
        <v>-250.868928549473</v>
      </c>
      <c r="AP61" s="2283">
        <v>-260.36353775779003</v>
      </c>
      <c r="AQ61" s="2283">
        <v>-191.22922413395301</v>
      </c>
      <c r="AR61" s="2283">
        <v>-208.71658548374799</v>
      </c>
      <c r="AS61" s="2283">
        <v>-169.96336815702199</v>
      </c>
      <c r="AT61" s="2283">
        <v>-198.33911844937299</v>
      </c>
      <c r="AU61" s="2283">
        <v>-303.05412952156399</v>
      </c>
      <c r="AV61" s="2283">
        <v>-186.432678593731</v>
      </c>
      <c r="AW61" s="2283">
        <v>-269.83916429951302</v>
      </c>
      <c r="AX61" s="2283">
        <v>-194.55551345806001</v>
      </c>
      <c r="AY61" s="2283">
        <v>-194.39259971545499</v>
      </c>
      <c r="AZ61" s="2283">
        <v>-190.00963010950201</v>
      </c>
      <c r="BA61" s="2283">
        <v>-218.73691468099099</v>
      </c>
      <c r="BB61" s="2283">
        <v>-238.598598182594</v>
      </c>
      <c r="BC61" s="2283">
        <v>-186.68068958489701</v>
      </c>
      <c r="BD61" s="2283">
        <v>-201.36361484997499</v>
      </c>
      <c r="BE61" s="2283">
        <v>-276.05797872756699</v>
      </c>
      <c r="BF61" s="2283">
        <v>-186.829288781722</v>
      </c>
      <c r="BG61" s="2283">
        <v>-216.17816735009501</v>
      </c>
      <c r="BH61" s="2283">
        <v>-205.96352993930799</v>
      </c>
      <c r="BI61" s="2283">
        <v>-164.53477810843799</v>
      </c>
      <c r="BJ61" s="1445">
        <v>-188.604647622752</v>
      </c>
      <c r="BK61" s="2207">
        <v>44</v>
      </c>
      <c r="BL61" s="2207" t="s">
        <v>162</v>
      </c>
      <c r="BM61" s="2207" t="s">
        <v>1910</v>
      </c>
      <c r="BN61" s="2207" t="str">
        <f>Translation!B$580</f>
        <v>Nein</v>
      </c>
    </row>
    <row r="62" spans="2:66" x14ac:dyDescent="0.2">
      <c r="B62" s="1426"/>
      <c r="C62" s="2090">
        <v>45</v>
      </c>
      <c r="D62" s="2090" t="s">
        <v>162</v>
      </c>
      <c r="E62" s="2090" t="s">
        <v>1911</v>
      </c>
      <c r="F62" s="2090" t="str">
        <f>Translation!B$579</f>
        <v>Ja</v>
      </c>
      <c r="G62" s="1622">
        <v>45</v>
      </c>
      <c r="H62" s="2283"/>
      <c r="I62" s="2283"/>
      <c r="J62" s="2283"/>
      <c r="K62" s="2283"/>
      <c r="L62" s="2283"/>
      <c r="M62" s="2283"/>
      <c r="N62" s="2283"/>
      <c r="O62" s="2283"/>
      <c r="P62" s="2283"/>
      <c r="Q62" s="2283"/>
      <c r="R62" s="2283"/>
      <c r="S62" s="2283"/>
      <c r="T62" s="2283"/>
      <c r="U62" s="2283"/>
      <c r="V62" s="2283"/>
      <c r="W62" s="2283"/>
      <c r="X62" s="2283"/>
      <c r="Y62" s="2283"/>
      <c r="Z62" s="2283"/>
      <c r="AA62" s="2283"/>
      <c r="AB62" s="2283"/>
      <c r="AC62" s="2283"/>
      <c r="AD62" s="2283"/>
      <c r="AE62" s="2283"/>
      <c r="AF62" s="2283"/>
      <c r="AG62" s="1445"/>
      <c r="AH62" s="655"/>
      <c r="AI62" s="1846"/>
      <c r="AJ62" s="1622">
        <v>45</v>
      </c>
      <c r="AK62" s="2283">
        <v>420.76002836812103</v>
      </c>
      <c r="AL62" s="2283">
        <v>125.159637823438</v>
      </c>
      <c r="AM62" s="2283">
        <v>813.91149216850204</v>
      </c>
      <c r="AN62" s="2283">
        <v>367.35529421983802</v>
      </c>
      <c r="AO62" s="2283">
        <v>431.97208564835603</v>
      </c>
      <c r="AP62" s="2283">
        <v>580.01041411134997</v>
      </c>
      <c r="AQ62" s="2283">
        <v>443.83588325586101</v>
      </c>
      <c r="AR62" s="2283">
        <v>766.02121263883998</v>
      </c>
      <c r="AS62" s="2283">
        <v>145.867719114088</v>
      </c>
      <c r="AT62" s="2283">
        <v>406.40237504365598</v>
      </c>
      <c r="AU62" s="2283">
        <v>473.65315989408703</v>
      </c>
      <c r="AV62" s="2283">
        <v>341.56113987101003</v>
      </c>
      <c r="AW62" s="2283">
        <v>578.96994627561605</v>
      </c>
      <c r="AX62" s="2283">
        <v>514.43377787920599</v>
      </c>
      <c r="AY62" s="2283">
        <v>385.29623083320098</v>
      </c>
      <c r="AZ62" s="2283">
        <v>259.41548704201102</v>
      </c>
      <c r="BA62" s="2283">
        <v>97.244183931437504</v>
      </c>
      <c r="BB62" s="2283">
        <v>358.56375511810802</v>
      </c>
      <c r="BC62" s="2283">
        <v>284.12192147827898</v>
      </c>
      <c r="BD62" s="2283">
        <v>499.67562984755</v>
      </c>
      <c r="BE62" s="2283">
        <v>403.62306083643102</v>
      </c>
      <c r="BF62" s="2283">
        <v>42.910126997198098</v>
      </c>
      <c r="BG62" s="2283">
        <v>690.66761306711896</v>
      </c>
      <c r="BH62" s="2283">
        <v>515.57344825944006</v>
      </c>
      <c r="BI62" s="2283">
        <v>656.40301587098804</v>
      </c>
      <c r="BJ62" s="1445">
        <v>484.02549668637698</v>
      </c>
      <c r="BK62" s="2207">
        <v>45</v>
      </c>
      <c r="BL62" s="2207" t="s">
        <v>162</v>
      </c>
      <c r="BM62" s="2207" t="s">
        <v>1911</v>
      </c>
      <c r="BN62" s="2207" t="str">
        <f>Translation!B$579</f>
        <v>Ja</v>
      </c>
    </row>
    <row r="63" spans="2:66" x14ac:dyDescent="0.2">
      <c r="B63" s="1426"/>
      <c r="C63" s="2090">
        <v>46</v>
      </c>
      <c r="D63" s="2090" t="s">
        <v>162</v>
      </c>
      <c r="E63" s="2090" t="s">
        <v>1911</v>
      </c>
      <c r="F63" s="2090" t="str">
        <f>Translation!B$580</f>
        <v>Nein</v>
      </c>
      <c r="G63" s="1622">
        <v>46</v>
      </c>
      <c r="H63" s="2283"/>
      <c r="I63" s="2283"/>
      <c r="J63" s="2283"/>
      <c r="K63" s="2283"/>
      <c r="L63" s="2283"/>
      <c r="M63" s="2283"/>
      <c r="N63" s="2283"/>
      <c r="O63" s="2283"/>
      <c r="P63" s="2283"/>
      <c r="Q63" s="2283"/>
      <c r="R63" s="2283"/>
      <c r="S63" s="2283"/>
      <c r="T63" s="2283"/>
      <c r="U63" s="2283"/>
      <c r="V63" s="2283"/>
      <c r="W63" s="2283"/>
      <c r="X63" s="2283"/>
      <c r="Y63" s="2283"/>
      <c r="Z63" s="2283"/>
      <c r="AA63" s="2283"/>
      <c r="AB63" s="2283"/>
      <c r="AC63" s="2283"/>
      <c r="AD63" s="2283"/>
      <c r="AE63" s="2283"/>
      <c r="AF63" s="2283"/>
      <c r="AG63" s="1445"/>
      <c r="AH63" s="655"/>
      <c r="AI63" s="1846"/>
      <c r="AJ63" s="1622">
        <v>46</v>
      </c>
      <c r="AK63" s="2283">
        <v>-188.86271225042501</v>
      </c>
      <c r="AL63" s="2283">
        <v>-179.256354608344</v>
      </c>
      <c r="AM63" s="2283">
        <v>-209.36566827214699</v>
      </c>
      <c r="AN63" s="2283">
        <v>-231.71417490689399</v>
      </c>
      <c r="AO63" s="2283">
        <v>-243.40397148371201</v>
      </c>
      <c r="AP63" s="2283">
        <v>-242.588964212512</v>
      </c>
      <c r="AQ63" s="2283">
        <v>-181.346162843803</v>
      </c>
      <c r="AR63" s="2283">
        <v>-204.80919458216999</v>
      </c>
      <c r="AS63" s="2283">
        <v>-183.51863398915401</v>
      </c>
      <c r="AT63" s="2283">
        <v>-185.885129452602</v>
      </c>
      <c r="AU63" s="2283">
        <v>-303.12006729266699</v>
      </c>
      <c r="AV63" s="2283">
        <v>-170.67687236893801</v>
      </c>
      <c r="AW63" s="2283">
        <v>-252.89811862000499</v>
      </c>
      <c r="AX63" s="2283">
        <v>-165.78304330259999</v>
      </c>
      <c r="AY63" s="2283">
        <v>-163.58627957613399</v>
      </c>
      <c r="AZ63" s="2283">
        <v>-191.607357024121</v>
      </c>
      <c r="BA63" s="2283">
        <v>-208.143180078564</v>
      </c>
      <c r="BB63" s="2283">
        <v>-223.392964900398</v>
      </c>
      <c r="BC63" s="2283">
        <v>-177.775041952284</v>
      </c>
      <c r="BD63" s="2283">
        <v>-179.034165152692</v>
      </c>
      <c r="BE63" s="2283">
        <v>-260.82258655676901</v>
      </c>
      <c r="BF63" s="2283">
        <v>-178.964981265652</v>
      </c>
      <c r="BG63" s="2283">
        <v>-208.669459221106</v>
      </c>
      <c r="BH63" s="2283">
        <v>-199.60528709424699</v>
      </c>
      <c r="BI63" s="2283">
        <v>-166.68787014807199</v>
      </c>
      <c r="BJ63" s="1445">
        <v>-173.28245051863701</v>
      </c>
      <c r="BK63" s="2207">
        <v>46</v>
      </c>
      <c r="BL63" s="2207" t="s">
        <v>162</v>
      </c>
      <c r="BM63" s="2207" t="s">
        <v>1911</v>
      </c>
      <c r="BN63" s="2207" t="str">
        <f>Translation!B$580</f>
        <v>Nein</v>
      </c>
    </row>
    <row r="64" spans="2:66" x14ac:dyDescent="0.2">
      <c r="B64" s="1426"/>
      <c r="C64" s="2090">
        <v>47</v>
      </c>
      <c r="D64" s="2090" t="s">
        <v>162</v>
      </c>
      <c r="E64" s="2090" t="s">
        <v>1912</v>
      </c>
      <c r="F64" s="2090" t="str">
        <f>Translation!B$579</f>
        <v>Ja</v>
      </c>
      <c r="G64" s="1622">
        <v>47</v>
      </c>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1445"/>
      <c r="AH64" s="655"/>
      <c r="AI64" s="1846"/>
      <c r="AJ64" s="1622">
        <v>47</v>
      </c>
      <c r="AK64" s="2283">
        <v>396.42066278034298</v>
      </c>
      <c r="AL64" s="2283">
        <v>-57.560034936750803</v>
      </c>
      <c r="AM64" s="2283">
        <v>203.53318609102499</v>
      </c>
      <c r="AN64" s="2283">
        <v>461.155013598778</v>
      </c>
      <c r="AO64" s="2283">
        <v>481.14430049722</v>
      </c>
      <c r="AP64" s="2283">
        <v>775.46492997422001</v>
      </c>
      <c r="AQ64" s="2283">
        <v>496.62281266692798</v>
      </c>
      <c r="AR64" s="2283">
        <v>625.98274559678202</v>
      </c>
      <c r="AS64" s="2283">
        <v>265.11008188371102</v>
      </c>
      <c r="AT64" s="2283">
        <v>385.88943310465999</v>
      </c>
      <c r="AU64" s="2283">
        <v>356.333770553752</v>
      </c>
      <c r="AV64" s="2283">
        <v>449.91587124417703</v>
      </c>
      <c r="AW64" s="2283">
        <v>519.58014022738996</v>
      </c>
      <c r="AX64" s="2283">
        <v>355.959114138232</v>
      </c>
      <c r="AY64" s="2283">
        <v>574.27197354660404</v>
      </c>
      <c r="AZ64" s="2283">
        <v>429.00667663532198</v>
      </c>
      <c r="BA64" s="2283">
        <v>226.44580454915101</v>
      </c>
      <c r="BB64" s="2283">
        <v>287.53596467871103</v>
      </c>
      <c r="BC64" s="2283">
        <v>207.78281579459201</v>
      </c>
      <c r="BD64" s="2283">
        <v>450.86915637015801</v>
      </c>
      <c r="BE64" s="2283">
        <v>463.19704728287297</v>
      </c>
      <c r="BF64" s="2283">
        <v>410.28654005417098</v>
      </c>
      <c r="BG64" s="2283">
        <v>796.12053857616002</v>
      </c>
      <c r="BH64" s="2283">
        <v>531.24118885212704</v>
      </c>
      <c r="BI64" s="2283">
        <v>615.99511649116903</v>
      </c>
      <c r="BJ64" s="1445">
        <v>617.60012054469598</v>
      </c>
      <c r="BK64" s="2207">
        <v>47</v>
      </c>
      <c r="BL64" s="2207" t="s">
        <v>162</v>
      </c>
      <c r="BM64" s="2207" t="s">
        <v>1912</v>
      </c>
      <c r="BN64" s="2207" t="str">
        <f>Translation!B$579</f>
        <v>Ja</v>
      </c>
    </row>
    <row r="65" spans="2:66" x14ac:dyDescent="0.2">
      <c r="B65" s="1426"/>
      <c r="C65" s="2090">
        <v>48</v>
      </c>
      <c r="D65" s="2090" t="s">
        <v>162</v>
      </c>
      <c r="E65" s="2090" t="s">
        <v>1912</v>
      </c>
      <c r="F65" s="2090" t="str">
        <f>Translation!B$580</f>
        <v>Nein</v>
      </c>
      <c r="G65" s="1622">
        <v>48</v>
      </c>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1445"/>
      <c r="AH65" s="655"/>
      <c r="AI65" s="1846"/>
      <c r="AJ65" s="1622">
        <v>48</v>
      </c>
      <c r="AK65" s="2283">
        <v>-169.567095156297</v>
      </c>
      <c r="AL65" s="2283">
        <v>-134.13700702052799</v>
      </c>
      <c r="AM65" s="2283">
        <v>-199.942162616362</v>
      </c>
      <c r="AN65" s="2283">
        <v>-213.85847078232001</v>
      </c>
      <c r="AO65" s="2283">
        <v>-225.589754864702</v>
      </c>
      <c r="AP65" s="2283">
        <v>-221.71215371082701</v>
      </c>
      <c r="AQ65" s="2283">
        <v>-160.336697470686</v>
      </c>
      <c r="AR65" s="2283">
        <v>-159.742170875098</v>
      </c>
      <c r="AS65" s="2283">
        <v>-151.07464771021699</v>
      </c>
      <c r="AT65" s="2283">
        <v>-172.92267794713399</v>
      </c>
      <c r="AU65" s="2283">
        <v>-241.37735231741399</v>
      </c>
      <c r="AV65" s="2283">
        <v>-157.02486446224401</v>
      </c>
      <c r="AW65" s="2283">
        <v>-203.72090699130899</v>
      </c>
      <c r="AX65" s="2283">
        <v>-165.85538700930499</v>
      </c>
      <c r="AY65" s="2283">
        <v>-164.69467336484399</v>
      </c>
      <c r="AZ65" s="2283">
        <v>-149.12658501302499</v>
      </c>
      <c r="BA65" s="2283">
        <v>-188.27324739390201</v>
      </c>
      <c r="BB65" s="2283">
        <v>-210.449688157525</v>
      </c>
      <c r="BC65" s="2283">
        <v>-139.68985694156001</v>
      </c>
      <c r="BD65" s="2283">
        <v>-151.32942417548301</v>
      </c>
      <c r="BE65" s="2283">
        <v>-225.171100739362</v>
      </c>
      <c r="BF65" s="2283">
        <v>-194.503675604948</v>
      </c>
      <c r="BG65" s="2283">
        <v>-180.32198661227801</v>
      </c>
      <c r="BH65" s="2283">
        <v>-178.60765706581799</v>
      </c>
      <c r="BI65" s="2283">
        <v>-128.68696328467399</v>
      </c>
      <c r="BJ65" s="1445">
        <v>-152.11386361488999</v>
      </c>
      <c r="BK65" s="2207">
        <v>48</v>
      </c>
      <c r="BL65" s="2207" t="s">
        <v>162</v>
      </c>
      <c r="BM65" s="2207" t="s">
        <v>1912</v>
      </c>
      <c r="BN65" s="2207" t="str">
        <f>Translation!B$580</f>
        <v>Nein</v>
      </c>
    </row>
    <row r="66" spans="2:66" x14ac:dyDescent="0.2">
      <c r="B66" s="1426"/>
      <c r="C66" s="2090">
        <v>49</v>
      </c>
      <c r="D66" s="2090" t="s">
        <v>162</v>
      </c>
      <c r="E66" s="2090" t="s">
        <v>1913</v>
      </c>
      <c r="F66" s="2090" t="str">
        <f>Translation!B$579</f>
        <v>Ja</v>
      </c>
      <c r="G66" s="1622">
        <v>49</v>
      </c>
      <c r="H66" s="2283"/>
      <c r="I66" s="2283"/>
      <c r="J66" s="2283"/>
      <c r="K66" s="2283"/>
      <c r="L66" s="2283"/>
      <c r="M66" s="2283"/>
      <c r="N66" s="2283"/>
      <c r="O66" s="2283"/>
      <c r="P66" s="2283"/>
      <c r="Q66" s="2283"/>
      <c r="R66" s="2283"/>
      <c r="S66" s="2283"/>
      <c r="T66" s="2283"/>
      <c r="U66" s="2283"/>
      <c r="V66" s="2283"/>
      <c r="W66" s="2283"/>
      <c r="X66" s="2283"/>
      <c r="Y66" s="2283"/>
      <c r="Z66" s="2283"/>
      <c r="AA66" s="2283"/>
      <c r="AB66" s="2283"/>
      <c r="AC66" s="2283"/>
      <c r="AD66" s="2283"/>
      <c r="AE66" s="2283"/>
      <c r="AF66" s="2283"/>
      <c r="AG66" s="1445"/>
      <c r="AH66" s="655"/>
      <c r="AI66" s="1846"/>
      <c r="AJ66" s="1622">
        <v>49</v>
      </c>
      <c r="AK66" s="2283">
        <v>445.54608199376099</v>
      </c>
      <c r="AL66" s="2283">
        <v>444.03252185429398</v>
      </c>
      <c r="AM66" s="2283">
        <v>880.56928240088098</v>
      </c>
      <c r="AN66" s="2283">
        <v>470.22137677868102</v>
      </c>
      <c r="AO66" s="2283">
        <v>572.71413341684399</v>
      </c>
      <c r="AP66" s="2283">
        <v>668.80249829579498</v>
      </c>
      <c r="AQ66" s="2283">
        <v>487.95393779804999</v>
      </c>
      <c r="AR66" s="2283">
        <v>905.55453300418696</v>
      </c>
      <c r="AS66" s="2283">
        <v>113.829267898298</v>
      </c>
      <c r="AT66" s="2283">
        <v>315.577275356249</v>
      </c>
      <c r="AU66" s="2283">
        <v>137.250936539924</v>
      </c>
      <c r="AV66" s="2283">
        <v>670.00546991657495</v>
      </c>
      <c r="AW66" s="2283">
        <v>733.03425791246798</v>
      </c>
      <c r="AX66" s="2283">
        <v>549.01274761367802</v>
      </c>
      <c r="AY66" s="2283">
        <v>175.104077250915</v>
      </c>
      <c r="AZ66" s="2283">
        <v>397.961942719533</v>
      </c>
      <c r="BA66" s="2283">
        <v>485.67679965392801</v>
      </c>
      <c r="BB66" s="2283">
        <v>426.987135553982</v>
      </c>
      <c r="BC66" s="2283">
        <v>538.23250402042095</v>
      </c>
      <c r="BD66" s="2283">
        <v>505.280361936102</v>
      </c>
      <c r="BE66" s="2283">
        <v>649.99318431856796</v>
      </c>
      <c r="BF66" s="2283">
        <v>446.20223087613101</v>
      </c>
      <c r="BG66" s="2283">
        <v>927.64006208493299</v>
      </c>
      <c r="BH66" s="2283">
        <v>651.041752232254</v>
      </c>
      <c r="BI66" s="2283">
        <v>327.79340486720997</v>
      </c>
      <c r="BJ66" s="1445">
        <v>663.63480363378505</v>
      </c>
      <c r="BK66" s="2207">
        <v>49</v>
      </c>
      <c r="BL66" s="2207" t="s">
        <v>162</v>
      </c>
      <c r="BM66" s="2207" t="s">
        <v>1913</v>
      </c>
      <c r="BN66" s="2207" t="str">
        <f>Translation!B$579</f>
        <v>Ja</v>
      </c>
    </row>
    <row r="67" spans="2:66" x14ac:dyDescent="0.2">
      <c r="B67" s="1426"/>
      <c r="C67" s="2090">
        <v>50</v>
      </c>
      <c r="D67" s="2090" t="s">
        <v>162</v>
      </c>
      <c r="E67" s="2090" t="s">
        <v>1913</v>
      </c>
      <c r="F67" s="2090" t="str">
        <f>Translation!B$580</f>
        <v>Nein</v>
      </c>
      <c r="G67" s="1622">
        <v>50</v>
      </c>
      <c r="H67" s="2283"/>
      <c r="I67" s="2283"/>
      <c r="J67" s="2283"/>
      <c r="K67" s="2283"/>
      <c r="L67" s="2283"/>
      <c r="M67" s="2283"/>
      <c r="N67" s="2283"/>
      <c r="O67" s="2283"/>
      <c r="P67" s="2283"/>
      <c r="Q67" s="2283"/>
      <c r="R67" s="2283"/>
      <c r="S67" s="2283"/>
      <c r="T67" s="2283"/>
      <c r="U67" s="2283"/>
      <c r="V67" s="2283"/>
      <c r="W67" s="2283"/>
      <c r="X67" s="2283"/>
      <c r="Y67" s="2283"/>
      <c r="Z67" s="2283"/>
      <c r="AA67" s="2283"/>
      <c r="AB67" s="2283"/>
      <c r="AC67" s="2283"/>
      <c r="AD67" s="2283"/>
      <c r="AE67" s="2283"/>
      <c r="AF67" s="2283"/>
      <c r="AG67" s="1445"/>
      <c r="AH67" s="655"/>
      <c r="AI67" s="1846"/>
      <c r="AJ67" s="1622">
        <v>50</v>
      </c>
      <c r="AK67" s="2283">
        <v>-101.794709017755</v>
      </c>
      <c r="AL67" s="2283">
        <v>-131.576046832565</v>
      </c>
      <c r="AM67" s="2283">
        <v>-156.05114752128799</v>
      </c>
      <c r="AN67" s="2283">
        <v>-151.33166280439801</v>
      </c>
      <c r="AO67" s="2283">
        <v>-161.356766837919</v>
      </c>
      <c r="AP67" s="2283">
        <v>-183.470981134016</v>
      </c>
      <c r="AQ67" s="2283">
        <v>-112.51841631811</v>
      </c>
      <c r="AR67" s="2283">
        <v>-106.120094148097</v>
      </c>
      <c r="AS67" s="2283">
        <v>-188.23882303508699</v>
      </c>
      <c r="AT67" s="2283">
        <v>-117.77861550508599</v>
      </c>
      <c r="AU67" s="2283">
        <v>-192.79351617352501</v>
      </c>
      <c r="AV67" s="2283">
        <v>-121.402230358377</v>
      </c>
      <c r="AW67" s="2283">
        <v>-151.07889488113699</v>
      </c>
      <c r="AX67" s="2283">
        <v>-77.159159920015995</v>
      </c>
      <c r="AY67" s="2283">
        <v>-20.5227845430922</v>
      </c>
      <c r="AZ67" s="2283">
        <v>-104.67009854742901</v>
      </c>
      <c r="BA67" s="2283">
        <v>-140.47882848522599</v>
      </c>
      <c r="BB67" s="2283">
        <v>-160.66749757561999</v>
      </c>
      <c r="BC67" s="2283">
        <v>-106.27536329121899</v>
      </c>
      <c r="BD67" s="2283">
        <v>-101.256986587443</v>
      </c>
      <c r="BE67" s="2283">
        <v>-166.55339807311699</v>
      </c>
      <c r="BF67" s="2283">
        <v>-97.831140125812198</v>
      </c>
      <c r="BG67" s="2283">
        <v>-115.51563249066599</v>
      </c>
      <c r="BH67" s="2283">
        <v>-122.655717195581</v>
      </c>
      <c r="BI67" s="2283">
        <v>-97.116459487780503</v>
      </c>
      <c r="BJ67" s="1445">
        <v>-78.433076792858401</v>
      </c>
      <c r="BK67" s="2207">
        <v>50</v>
      </c>
      <c r="BL67" s="2207" t="s">
        <v>162</v>
      </c>
      <c r="BM67" s="2207" t="s">
        <v>1913</v>
      </c>
      <c r="BN67" s="2207" t="str">
        <f>Translation!B$580</f>
        <v>Nein</v>
      </c>
    </row>
    <row r="68" spans="2:66" x14ac:dyDescent="0.2">
      <c r="B68" s="1426"/>
      <c r="C68" s="2090">
        <v>51</v>
      </c>
      <c r="D68" s="2090" t="s">
        <v>162</v>
      </c>
      <c r="E68" s="2090" t="s">
        <v>1914</v>
      </c>
      <c r="F68" s="2090" t="str">
        <f>Translation!B$579</f>
        <v>Ja</v>
      </c>
      <c r="G68" s="1622">
        <v>51</v>
      </c>
      <c r="H68" s="2283"/>
      <c r="I68" s="2283"/>
      <c r="J68" s="2283"/>
      <c r="K68" s="2283"/>
      <c r="L68" s="2283"/>
      <c r="M68" s="2283"/>
      <c r="N68" s="2283"/>
      <c r="O68" s="2283"/>
      <c r="P68" s="2283"/>
      <c r="Q68" s="2283"/>
      <c r="R68" s="2283"/>
      <c r="S68" s="2283"/>
      <c r="T68" s="2283"/>
      <c r="U68" s="2283"/>
      <c r="V68" s="2283"/>
      <c r="W68" s="2283"/>
      <c r="X68" s="2283"/>
      <c r="Y68" s="2283"/>
      <c r="Z68" s="2283"/>
      <c r="AA68" s="2283"/>
      <c r="AB68" s="2283"/>
      <c r="AC68" s="2283"/>
      <c r="AD68" s="2283"/>
      <c r="AE68" s="2283"/>
      <c r="AF68" s="2283"/>
      <c r="AG68" s="1445"/>
      <c r="AH68" s="655"/>
      <c r="AI68" s="1846"/>
      <c r="AJ68" s="1622">
        <v>51</v>
      </c>
      <c r="AK68" s="2283">
        <v>642.80588748373805</v>
      </c>
      <c r="AL68" s="2283">
        <v>289.161184050244</v>
      </c>
      <c r="AM68" s="2283">
        <v>781.45359429545704</v>
      </c>
      <c r="AN68" s="2283">
        <v>662.812308975875</v>
      </c>
      <c r="AO68" s="2283">
        <v>596.30866182217505</v>
      </c>
      <c r="AP68" s="2283">
        <v>848.92519210229102</v>
      </c>
      <c r="AQ68" s="2283">
        <v>669.98345928308299</v>
      </c>
      <c r="AR68" s="2283">
        <v>1127.7322463907601</v>
      </c>
      <c r="AS68" s="2283">
        <v>506.65279338576102</v>
      </c>
      <c r="AT68" s="2283">
        <v>525.99291000753499</v>
      </c>
      <c r="AU68" s="2283">
        <v>757.81054157868903</v>
      </c>
      <c r="AV68" s="2283">
        <v>452.52832269027903</v>
      </c>
      <c r="AW68" s="2283">
        <v>1096.8274829883201</v>
      </c>
      <c r="AX68" s="2283">
        <v>407.110088576701</v>
      </c>
      <c r="AY68" s="2283">
        <v>513.527490423053</v>
      </c>
      <c r="AZ68" s="2283">
        <v>591.89167117835996</v>
      </c>
      <c r="BA68" s="2283">
        <v>451.77608806429703</v>
      </c>
      <c r="BB68" s="2283">
        <v>688.38337415883302</v>
      </c>
      <c r="BC68" s="2283">
        <v>623.407456026163</v>
      </c>
      <c r="BD68" s="2283">
        <v>671.36205059094402</v>
      </c>
      <c r="BE68" s="2283">
        <v>717.90699800523998</v>
      </c>
      <c r="BF68" s="2283">
        <v>391.12157776339899</v>
      </c>
      <c r="BG68" s="2283">
        <v>1005.01794077864</v>
      </c>
      <c r="BH68" s="2283">
        <v>597.93060434956203</v>
      </c>
      <c r="BI68" s="2283">
        <v>546.03644818006603</v>
      </c>
      <c r="BJ68" s="1445">
        <v>754.57474906366997</v>
      </c>
      <c r="BK68" s="2207">
        <v>51</v>
      </c>
      <c r="BL68" s="2207" t="s">
        <v>162</v>
      </c>
      <c r="BM68" s="2207" t="s">
        <v>1914</v>
      </c>
      <c r="BN68" s="2207" t="str">
        <f>Translation!B$579</f>
        <v>Ja</v>
      </c>
    </row>
    <row r="69" spans="2:66" x14ac:dyDescent="0.2">
      <c r="B69" s="1426"/>
      <c r="C69" s="2090">
        <v>52</v>
      </c>
      <c r="D69" s="2090" t="s">
        <v>162</v>
      </c>
      <c r="E69" s="2090" t="s">
        <v>1914</v>
      </c>
      <c r="F69" s="2090" t="str">
        <f>Translation!B$580</f>
        <v>Nein</v>
      </c>
      <c r="G69" s="1622">
        <v>52</v>
      </c>
      <c r="H69" s="2283"/>
      <c r="I69" s="2283"/>
      <c r="J69" s="2283"/>
      <c r="K69" s="2283"/>
      <c r="L69" s="2283"/>
      <c r="M69" s="2283"/>
      <c r="N69" s="2283"/>
      <c r="O69" s="2283"/>
      <c r="P69" s="2283"/>
      <c r="Q69" s="2283"/>
      <c r="R69" s="2283"/>
      <c r="S69" s="2283"/>
      <c r="T69" s="2283"/>
      <c r="U69" s="2283"/>
      <c r="V69" s="2283"/>
      <c r="W69" s="2283"/>
      <c r="X69" s="2283"/>
      <c r="Y69" s="2283"/>
      <c r="Z69" s="2283"/>
      <c r="AA69" s="2283"/>
      <c r="AB69" s="2283"/>
      <c r="AC69" s="2283"/>
      <c r="AD69" s="2283"/>
      <c r="AE69" s="2283"/>
      <c r="AF69" s="2283"/>
      <c r="AG69" s="1445"/>
      <c r="AH69" s="655"/>
      <c r="AI69" s="1846"/>
      <c r="AJ69" s="1622">
        <v>52</v>
      </c>
      <c r="AK69" s="2283">
        <v>-48.934649425057998</v>
      </c>
      <c r="AL69" s="2283">
        <v>-51.794149639477702</v>
      </c>
      <c r="AM69" s="2283">
        <v>-99.970758067092206</v>
      </c>
      <c r="AN69" s="2283">
        <v>-92.445886326434604</v>
      </c>
      <c r="AO69" s="2283">
        <v>-66.4794938121249</v>
      </c>
      <c r="AP69" s="2283">
        <v>-65.946921195791901</v>
      </c>
      <c r="AQ69" s="2283">
        <v>-46.081902691960998</v>
      </c>
      <c r="AR69" s="2283">
        <v>-50.512327690049901</v>
      </c>
      <c r="AS69" s="2283">
        <v>-103.99401476704899</v>
      </c>
      <c r="AT69" s="2283">
        <v>-53.105057565266897</v>
      </c>
      <c r="AU69" s="2283">
        <v>-128.24680398613799</v>
      </c>
      <c r="AV69" s="2283">
        <v>-26.939190764969599</v>
      </c>
      <c r="AW69" s="2283">
        <v>-79.939889164775096</v>
      </c>
      <c r="AX69" s="2283">
        <v>-32.018084355730402</v>
      </c>
      <c r="AY69" s="2283">
        <v>-60.940633057320099</v>
      </c>
      <c r="AZ69" s="2283">
        <v>-44.917745616673898</v>
      </c>
      <c r="BA69" s="2283">
        <v>-73.053338691820599</v>
      </c>
      <c r="BB69" s="2283">
        <v>-87.478240145364595</v>
      </c>
      <c r="BC69" s="2283">
        <v>-48.604134630822699</v>
      </c>
      <c r="BD69" s="2283">
        <v>-72.482641671697607</v>
      </c>
      <c r="BE69" s="2283">
        <v>-127.384749761249</v>
      </c>
      <c r="BF69" s="2283">
        <v>-75.779033185901298</v>
      </c>
      <c r="BG69" s="2283">
        <v>-32.884065673798403</v>
      </c>
      <c r="BH69" s="2283">
        <v>-73.174905850816899</v>
      </c>
      <c r="BI69" s="2283">
        <v>-17.6700129755536</v>
      </c>
      <c r="BJ69" s="1445">
        <v>-19.887723434144601</v>
      </c>
      <c r="BK69" s="2207">
        <v>52</v>
      </c>
      <c r="BL69" s="2207" t="s">
        <v>162</v>
      </c>
      <c r="BM69" s="2207" t="s">
        <v>1914</v>
      </c>
      <c r="BN69" s="2207" t="str">
        <f>Translation!B$580</f>
        <v>Nein</v>
      </c>
    </row>
    <row r="70" spans="2:66" x14ac:dyDescent="0.2">
      <c r="B70" s="1426"/>
      <c r="C70" s="2090">
        <v>53</v>
      </c>
      <c r="D70" s="2090" t="s">
        <v>162</v>
      </c>
      <c r="E70" s="2090" t="s">
        <v>1915</v>
      </c>
      <c r="F70" s="2090" t="str">
        <f>Translation!B$579</f>
        <v>Ja</v>
      </c>
      <c r="G70" s="1622">
        <v>53</v>
      </c>
      <c r="H70" s="2283"/>
      <c r="I70" s="2283"/>
      <c r="J70" s="2283"/>
      <c r="K70" s="2283"/>
      <c r="L70" s="2283"/>
      <c r="M70" s="2283"/>
      <c r="N70" s="2283"/>
      <c r="O70" s="2283"/>
      <c r="P70" s="2283"/>
      <c r="Q70" s="2283"/>
      <c r="R70" s="2283"/>
      <c r="S70" s="2283"/>
      <c r="T70" s="2283"/>
      <c r="U70" s="2283"/>
      <c r="V70" s="2283"/>
      <c r="W70" s="2283"/>
      <c r="X70" s="2283"/>
      <c r="Y70" s="2283"/>
      <c r="Z70" s="2283"/>
      <c r="AA70" s="2283"/>
      <c r="AB70" s="2283"/>
      <c r="AC70" s="2283"/>
      <c r="AD70" s="2283"/>
      <c r="AE70" s="2283"/>
      <c r="AF70" s="2283"/>
      <c r="AG70" s="1445"/>
      <c r="AH70" s="655"/>
      <c r="AI70" s="1846"/>
      <c r="AJ70" s="1622">
        <v>53</v>
      </c>
      <c r="AK70" s="2283">
        <v>841.57570074048601</v>
      </c>
      <c r="AL70" s="2283">
        <v>453.778003136167</v>
      </c>
      <c r="AM70" s="2283">
        <v>704.22501558786098</v>
      </c>
      <c r="AN70" s="2283">
        <v>745.14436807523498</v>
      </c>
      <c r="AO70" s="2283">
        <v>821.015423010257</v>
      </c>
      <c r="AP70" s="2283">
        <v>1033.7956855907701</v>
      </c>
      <c r="AQ70" s="2283">
        <v>902.99311166170696</v>
      </c>
      <c r="AR70" s="2283">
        <v>1285.0671648191801</v>
      </c>
      <c r="AS70" s="2283">
        <v>517.67882972554696</v>
      </c>
      <c r="AT70" s="2283">
        <v>788.24402582701396</v>
      </c>
      <c r="AU70" s="2283">
        <v>1147.4760815301199</v>
      </c>
      <c r="AV70" s="2283">
        <v>874.42559454910395</v>
      </c>
      <c r="AW70" s="2283">
        <v>858.76731085875099</v>
      </c>
      <c r="AX70" s="2283">
        <v>890.91116288917306</v>
      </c>
      <c r="AY70" s="2283">
        <v>458.94702325344502</v>
      </c>
      <c r="AZ70" s="2283">
        <v>634.33955632858294</v>
      </c>
      <c r="BA70" s="2283">
        <v>735.16248937003502</v>
      </c>
      <c r="BB70" s="2283">
        <v>841.92223604118306</v>
      </c>
      <c r="BC70" s="2283">
        <v>849.19422768356105</v>
      </c>
      <c r="BD70" s="2283">
        <v>782.90618085727101</v>
      </c>
      <c r="BE70" s="2283">
        <v>1062.420192091</v>
      </c>
      <c r="BF70" s="2283">
        <v>649.363047228347</v>
      </c>
      <c r="BG70" s="2283">
        <v>1206.6691549903401</v>
      </c>
      <c r="BH70" s="2283">
        <v>903.87287075658605</v>
      </c>
      <c r="BI70" s="2283">
        <v>737.42068758198195</v>
      </c>
      <c r="BJ70" s="1445">
        <v>955.55931489441798</v>
      </c>
      <c r="BK70" s="2207">
        <v>53</v>
      </c>
      <c r="BL70" s="2207" t="s">
        <v>162</v>
      </c>
      <c r="BM70" s="2207" t="s">
        <v>1915</v>
      </c>
      <c r="BN70" s="2207" t="str">
        <f>Translation!B$579</f>
        <v>Ja</v>
      </c>
    </row>
    <row r="71" spans="2:66" x14ac:dyDescent="0.2">
      <c r="B71" s="1426"/>
      <c r="C71" s="2090">
        <v>54</v>
      </c>
      <c r="D71" s="2090" t="s">
        <v>162</v>
      </c>
      <c r="E71" s="2090" t="s">
        <v>1915</v>
      </c>
      <c r="F71" s="2090" t="str">
        <f>Translation!B$580</f>
        <v>Nein</v>
      </c>
      <c r="G71" s="1622">
        <v>54</v>
      </c>
      <c r="H71" s="2283"/>
      <c r="I71" s="2283"/>
      <c r="J71" s="2283"/>
      <c r="K71" s="2283"/>
      <c r="L71" s="2283"/>
      <c r="M71" s="2283"/>
      <c r="N71" s="2283"/>
      <c r="O71" s="2283"/>
      <c r="P71" s="2283"/>
      <c r="Q71" s="2283"/>
      <c r="R71" s="2283"/>
      <c r="S71" s="2283"/>
      <c r="T71" s="2283"/>
      <c r="U71" s="2283"/>
      <c r="V71" s="2283"/>
      <c r="W71" s="2283"/>
      <c r="X71" s="2283"/>
      <c r="Y71" s="2283"/>
      <c r="Z71" s="2283"/>
      <c r="AA71" s="2283"/>
      <c r="AB71" s="2283"/>
      <c r="AC71" s="2283"/>
      <c r="AD71" s="2283"/>
      <c r="AE71" s="2283"/>
      <c r="AF71" s="2283"/>
      <c r="AG71" s="1445"/>
      <c r="AH71" s="655"/>
      <c r="AI71" s="1846"/>
      <c r="AJ71" s="1622">
        <v>54</v>
      </c>
      <c r="AK71" s="2283">
        <v>15.9953327463063</v>
      </c>
      <c r="AL71" s="2283">
        <v>14.3860378092259</v>
      </c>
      <c r="AM71" s="2283">
        <v>-4.8611194690175203</v>
      </c>
      <c r="AN71" s="2283">
        <v>-26.417675990606298</v>
      </c>
      <c r="AO71" s="2283">
        <v>-5.9773883643885002</v>
      </c>
      <c r="AP71" s="2283">
        <v>22.076848308339201</v>
      </c>
      <c r="AQ71" s="2283">
        <v>24.583297476000698</v>
      </c>
      <c r="AR71" s="2283">
        <v>69.023917941457498</v>
      </c>
      <c r="AS71" s="2283">
        <v>-13.000398704652</v>
      </c>
      <c r="AT71" s="2283">
        <v>-33.050985602828398</v>
      </c>
      <c r="AU71" s="2283">
        <v>-2.6716047965541598</v>
      </c>
      <c r="AV71" s="2283">
        <v>22.3788884873121</v>
      </c>
      <c r="AW71" s="2283">
        <v>-2.17855294724643</v>
      </c>
      <c r="AX71" s="2283">
        <v>14.3046618607596</v>
      </c>
      <c r="AY71" s="2283">
        <v>6.76922319876223</v>
      </c>
      <c r="AZ71" s="2283">
        <v>39.399047989272397</v>
      </c>
      <c r="BA71" s="2283">
        <v>9.5347407674196294</v>
      </c>
      <c r="BB71" s="2283">
        <v>-13.5103999210837</v>
      </c>
      <c r="BC71" s="2283">
        <v>55.609901195926398</v>
      </c>
      <c r="BD71" s="2283">
        <v>33.645873540046502</v>
      </c>
      <c r="BE71" s="2283">
        <v>-28.754258006752099</v>
      </c>
      <c r="BF71" s="2283">
        <v>2.7061053491061702</v>
      </c>
      <c r="BG71" s="2283">
        <v>51.461938561508703</v>
      </c>
      <c r="BH71" s="2283">
        <v>-4.5805608568308598</v>
      </c>
      <c r="BI71" s="2283">
        <v>83.551236353572506</v>
      </c>
      <c r="BJ71" s="1445">
        <v>70.079857715739905</v>
      </c>
      <c r="BK71" s="2207">
        <v>54</v>
      </c>
      <c r="BL71" s="2207" t="s">
        <v>162</v>
      </c>
      <c r="BM71" s="2207" t="s">
        <v>1915</v>
      </c>
      <c r="BN71" s="2207" t="str">
        <f>Translation!B$580</f>
        <v>Nein</v>
      </c>
    </row>
    <row r="72" spans="2:66" x14ac:dyDescent="0.2">
      <c r="B72" s="1426"/>
      <c r="C72" s="2090">
        <v>55</v>
      </c>
      <c r="D72" s="2090" t="s">
        <v>162</v>
      </c>
      <c r="E72" s="2090" t="s">
        <v>1916</v>
      </c>
      <c r="F72" s="2090" t="str">
        <f>Translation!B$579</f>
        <v>Ja</v>
      </c>
      <c r="G72" s="1622">
        <v>55</v>
      </c>
      <c r="H72" s="2283"/>
      <c r="I72" s="2283"/>
      <c r="J72" s="2283"/>
      <c r="K72" s="2283"/>
      <c r="L72" s="2283"/>
      <c r="M72" s="2283"/>
      <c r="N72" s="2283"/>
      <c r="O72" s="2283"/>
      <c r="P72" s="2283"/>
      <c r="Q72" s="2283"/>
      <c r="R72" s="2283"/>
      <c r="S72" s="2283"/>
      <c r="T72" s="2283"/>
      <c r="U72" s="2283"/>
      <c r="V72" s="2283"/>
      <c r="W72" s="2283"/>
      <c r="X72" s="2283"/>
      <c r="Y72" s="2283"/>
      <c r="Z72" s="2283"/>
      <c r="AA72" s="2283"/>
      <c r="AB72" s="2283"/>
      <c r="AC72" s="2283"/>
      <c r="AD72" s="2283"/>
      <c r="AE72" s="2283"/>
      <c r="AF72" s="2283"/>
      <c r="AG72" s="1445"/>
      <c r="AH72" s="655"/>
      <c r="AI72" s="1846"/>
      <c r="AJ72" s="1622">
        <v>55</v>
      </c>
      <c r="AK72" s="2283">
        <v>941.52874058612997</v>
      </c>
      <c r="AL72" s="2283">
        <v>754.78728260278899</v>
      </c>
      <c r="AM72" s="2283">
        <v>720.30914852096305</v>
      </c>
      <c r="AN72" s="2283">
        <v>1020.9506474401099</v>
      </c>
      <c r="AO72" s="2283">
        <v>1015.51619970459</v>
      </c>
      <c r="AP72" s="2283">
        <v>1296.76273733166</v>
      </c>
      <c r="AQ72" s="2283">
        <v>1245.6766252930099</v>
      </c>
      <c r="AR72" s="2283">
        <v>1691.98629707036</v>
      </c>
      <c r="AS72" s="2283">
        <v>754.31522954450804</v>
      </c>
      <c r="AT72" s="2283">
        <v>838.38564801095299</v>
      </c>
      <c r="AU72" s="2283">
        <v>1253.2766106435099</v>
      </c>
      <c r="AV72" s="2283">
        <v>993.308660806136</v>
      </c>
      <c r="AW72" s="2283">
        <v>1417.7727778906999</v>
      </c>
      <c r="AX72" s="2283">
        <v>894.26616235148697</v>
      </c>
      <c r="AY72" s="2283">
        <v>716.634146622564</v>
      </c>
      <c r="AZ72" s="2283">
        <v>866.07145931832804</v>
      </c>
      <c r="BA72" s="2283">
        <v>849.90090653027096</v>
      </c>
      <c r="BB72" s="2283">
        <v>956.17987419283997</v>
      </c>
      <c r="BC72" s="2283">
        <v>944.33957226570794</v>
      </c>
      <c r="BD72" s="2283">
        <v>855.87578093994796</v>
      </c>
      <c r="BE72" s="2283">
        <v>1350.50214822518</v>
      </c>
      <c r="BF72" s="2283">
        <v>924.63499026868601</v>
      </c>
      <c r="BG72" s="2283">
        <v>1559.6903313733601</v>
      </c>
      <c r="BH72" s="2283">
        <v>1212.27614790901</v>
      </c>
      <c r="BI72" s="2283">
        <v>953.86041141528005</v>
      </c>
      <c r="BJ72" s="1445">
        <v>1136.8251711440601</v>
      </c>
      <c r="BK72" s="2207">
        <v>55</v>
      </c>
      <c r="BL72" s="2207" t="s">
        <v>162</v>
      </c>
      <c r="BM72" s="2207" t="s">
        <v>1916</v>
      </c>
      <c r="BN72" s="2207" t="str">
        <f>Translation!B$579</f>
        <v>Ja</v>
      </c>
    </row>
    <row r="73" spans="2:66" x14ac:dyDescent="0.2">
      <c r="B73" s="1426"/>
      <c r="C73" s="2090">
        <v>56</v>
      </c>
      <c r="D73" s="2090" t="s">
        <v>162</v>
      </c>
      <c r="E73" s="2090" t="s">
        <v>1916</v>
      </c>
      <c r="F73" s="2090" t="str">
        <f>Translation!B$580</f>
        <v>Nein</v>
      </c>
      <c r="G73" s="1622">
        <v>56</v>
      </c>
      <c r="H73" s="2283"/>
      <c r="I73" s="2283"/>
      <c r="J73" s="2283"/>
      <c r="K73" s="2283"/>
      <c r="L73" s="2283"/>
      <c r="M73" s="2283"/>
      <c r="N73" s="2283"/>
      <c r="O73" s="2283"/>
      <c r="P73" s="2283"/>
      <c r="Q73" s="2283"/>
      <c r="R73" s="2283"/>
      <c r="S73" s="2283"/>
      <c r="T73" s="2283"/>
      <c r="U73" s="2283"/>
      <c r="V73" s="2283"/>
      <c r="W73" s="2283"/>
      <c r="X73" s="2283"/>
      <c r="Y73" s="2283"/>
      <c r="Z73" s="2283"/>
      <c r="AA73" s="2283"/>
      <c r="AB73" s="2283"/>
      <c r="AC73" s="2283"/>
      <c r="AD73" s="2283"/>
      <c r="AE73" s="2283"/>
      <c r="AF73" s="2283"/>
      <c r="AG73" s="1445"/>
      <c r="AH73" s="655"/>
      <c r="AI73" s="1846"/>
      <c r="AJ73" s="1622">
        <v>56</v>
      </c>
      <c r="AK73" s="2283">
        <v>140.43233192513799</v>
      </c>
      <c r="AL73" s="2283">
        <v>153.194333266835</v>
      </c>
      <c r="AM73" s="2283">
        <v>92.362285253197697</v>
      </c>
      <c r="AN73" s="2283">
        <v>82.005336321116602</v>
      </c>
      <c r="AO73" s="2283">
        <v>130.82246067538401</v>
      </c>
      <c r="AP73" s="2283">
        <v>132.01013892549901</v>
      </c>
      <c r="AQ73" s="2283">
        <v>94.278777491434894</v>
      </c>
      <c r="AR73" s="2283">
        <v>183.517346357836</v>
      </c>
      <c r="AS73" s="2283">
        <v>104.112233015716</v>
      </c>
      <c r="AT73" s="2283">
        <v>99.246314526578104</v>
      </c>
      <c r="AU73" s="2283">
        <v>103.665495834702</v>
      </c>
      <c r="AV73" s="2283">
        <v>93.729021690704997</v>
      </c>
      <c r="AW73" s="2283">
        <v>90.4842403416785</v>
      </c>
      <c r="AX73" s="2283">
        <v>51.035241294508999</v>
      </c>
      <c r="AY73" s="2283">
        <v>100.06290668059</v>
      </c>
      <c r="AZ73" s="2283">
        <v>107.05295058646</v>
      </c>
      <c r="BA73" s="2283">
        <v>88.644963421186205</v>
      </c>
      <c r="BB73" s="2283">
        <v>83.327418245774297</v>
      </c>
      <c r="BC73" s="2283">
        <v>111.368511739068</v>
      </c>
      <c r="BD73" s="2283">
        <v>138.28227791911999</v>
      </c>
      <c r="BE73" s="2283">
        <v>129.265551348212</v>
      </c>
      <c r="BF73" s="2283">
        <v>47.880657079739798</v>
      </c>
      <c r="BG73" s="2283">
        <v>215.7776521934</v>
      </c>
      <c r="BH73" s="2283">
        <v>128.112145147181</v>
      </c>
      <c r="BI73" s="2283">
        <v>120.57468709352401</v>
      </c>
      <c r="BJ73" s="1445">
        <v>189.760268734558</v>
      </c>
      <c r="BK73" s="2207">
        <v>56</v>
      </c>
      <c r="BL73" s="2207" t="s">
        <v>162</v>
      </c>
      <c r="BM73" s="2207" t="s">
        <v>1916</v>
      </c>
      <c r="BN73" s="2207" t="str">
        <f>Translation!B$580</f>
        <v>Nein</v>
      </c>
    </row>
    <row r="74" spans="2:66" x14ac:dyDescent="0.2">
      <c r="B74" s="1426"/>
      <c r="C74" s="2090">
        <v>57</v>
      </c>
      <c r="D74" s="2090" t="s">
        <v>162</v>
      </c>
      <c r="E74" s="2090" t="s">
        <v>1917</v>
      </c>
      <c r="F74" s="2090" t="str">
        <f>Translation!B$579</f>
        <v>Ja</v>
      </c>
      <c r="G74" s="1622">
        <v>57</v>
      </c>
      <c r="H74" s="2283"/>
      <c r="I74" s="2283"/>
      <c r="J74" s="2283"/>
      <c r="K74" s="2283"/>
      <c r="L74" s="2283"/>
      <c r="M74" s="2283"/>
      <c r="N74" s="2283"/>
      <c r="O74" s="2283"/>
      <c r="P74" s="2283"/>
      <c r="Q74" s="2283"/>
      <c r="R74" s="2283"/>
      <c r="S74" s="2283"/>
      <c r="T74" s="2283"/>
      <c r="U74" s="2283"/>
      <c r="V74" s="2283"/>
      <c r="W74" s="2283"/>
      <c r="X74" s="2283"/>
      <c r="Y74" s="2283"/>
      <c r="Z74" s="2283"/>
      <c r="AA74" s="2283"/>
      <c r="AB74" s="2283"/>
      <c r="AC74" s="2283"/>
      <c r="AD74" s="2283"/>
      <c r="AE74" s="2283"/>
      <c r="AF74" s="2283"/>
      <c r="AG74" s="1445"/>
      <c r="AH74" s="655"/>
      <c r="AI74" s="1846"/>
      <c r="AJ74" s="1622">
        <v>57</v>
      </c>
      <c r="AK74" s="2283">
        <v>1197.3887312461</v>
      </c>
      <c r="AL74" s="2283">
        <v>845.57597943263795</v>
      </c>
      <c r="AM74" s="2283">
        <v>1203.64087281305</v>
      </c>
      <c r="AN74" s="2283">
        <v>1265.1719108404</v>
      </c>
      <c r="AO74" s="2283">
        <v>1239.7594118211</v>
      </c>
      <c r="AP74" s="2283">
        <v>1530.34592482019</v>
      </c>
      <c r="AQ74" s="2283">
        <v>1423.15448599808</v>
      </c>
      <c r="AR74" s="2283">
        <v>1966.36190344641</v>
      </c>
      <c r="AS74" s="2283">
        <v>987.44172884241596</v>
      </c>
      <c r="AT74" s="2283">
        <v>1126.2341976842399</v>
      </c>
      <c r="AU74" s="2283">
        <v>2022.6111571322001</v>
      </c>
      <c r="AV74" s="2283">
        <v>1192.42810988975</v>
      </c>
      <c r="AW74" s="2283">
        <v>1685.6818225090201</v>
      </c>
      <c r="AX74" s="2283">
        <v>1040.6328037471999</v>
      </c>
      <c r="AY74" s="2283">
        <v>1040.58404782755</v>
      </c>
      <c r="AZ74" s="2283">
        <v>1078.91868478743</v>
      </c>
      <c r="BA74" s="2283">
        <v>921.80206771076701</v>
      </c>
      <c r="BB74" s="2283">
        <v>1203.2774448192199</v>
      </c>
      <c r="BC74" s="2283">
        <v>1136.4079981357299</v>
      </c>
      <c r="BD74" s="2283">
        <v>1097.89209886034</v>
      </c>
      <c r="BE74" s="2283">
        <v>1632.0894578990501</v>
      </c>
      <c r="BF74" s="2283">
        <v>1030.3193179688601</v>
      </c>
      <c r="BG74" s="2283">
        <v>1886.0680090306</v>
      </c>
      <c r="BH74" s="2283">
        <v>1495.95116220611</v>
      </c>
      <c r="BI74" s="2283">
        <v>1060.7403461420899</v>
      </c>
      <c r="BJ74" s="1445">
        <v>1320.79923120735</v>
      </c>
      <c r="BK74" s="2207">
        <v>57</v>
      </c>
      <c r="BL74" s="2207" t="s">
        <v>162</v>
      </c>
      <c r="BM74" s="2207" t="s">
        <v>1917</v>
      </c>
      <c r="BN74" s="2207" t="str">
        <f>Translation!B$579</f>
        <v>Ja</v>
      </c>
    </row>
    <row r="75" spans="2:66" x14ac:dyDescent="0.2">
      <c r="B75" s="1426"/>
      <c r="C75" s="2090">
        <v>58</v>
      </c>
      <c r="D75" s="2090" t="s">
        <v>162</v>
      </c>
      <c r="E75" s="2090" t="s">
        <v>1917</v>
      </c>
      <c r="F75" s="2090" t="str">
        <f>Translation!B$580</f>
        <v>Nein</v>
      </c>
      <c r="G75" s="1622">
        <v>58</v>
      </c>
      <c r="H75" s="2283"/>
      <c r="I75" s="2283"/>
      <c r="J75" s="2283"/>
      <c r="K75" s="2283"/>
      <c r="L75" s="2283"/>
      <c r="M75" s="2283"/>
      <c r="N75" s="2283"/>
      <c r="O75" s="2283"/>
      <c r="P75" s="2283"/>
      <c r="Q75" s="2283"/>
      <c r="R75" s="2283"/>
      <c r="S75" s="2283"/>
      <c r="T75" s="2283"/>
      <c r="U75" s="2283"/>
      <c r="V75" s="2283"/>
      <c r="W75" s="2283"/>
      <c r="X75" s="2283"/>
      <c r="Y75" s="2283"/>
      <c r="Z75" s="2283"/>
      <c r="AA75" s="2283"/>
      <c r="AB75" s="2283"/>
      <c r="AC75" s="2283"/>
      <c r="AD75" s="2283"/>
      <c r="AE75" s="2283"/>
      <c r="AF75" s="2283"/>
      <c r="AG75" s="1445"/>
      <c r="AH75" s="655"/>
      <c r="AI75" s="1846"/>
      <c r="AJ75" s="1622">
        <v>58</v>
      </c>
      <c r="AK75" s="2283">
        <v>258.81740791144699</v>
      </c>
      <c r="AL75" s="2283">
        <v>241.74844792318501</v>
      </c>
      <c r="AM75" s="2283">
        <v>171.35380930604401</v>
      </c>
      <c r="AN75" s="2283">
        <v>231.97534881294001</v>
      </c>
      <c r="AO75" s="2283">
        <v>239.510651964516</v>
      </c>
      <c r="AP75" s="2283">
        <v>369.539244180867</v>
      </c>
      <c r="AQ75" s="2283">
        <v>306.87092127991002</v>
      </c>
      <c r="AR75" s="2283">
        <v>430.52006392557797</v>
      </c>
      <c r="AS75" s="2283">
        <v>191.52328503212499</v>
      </c>
      <c r="AT75" s="2283">
        <v>169.76349983839799</v>
      </c>
      <c r="AU75" s="2283">
        <v>309.12209940145101</v>
      </c>
      <c r="AV75" s="2283">
        <v>207.29306373707001</v>
      </c>
      <c r="AW75" s="2283">
        <v>274.15144767053101</v>
      </c>
      <c r="AX75" s="2283">
        <v>210.817138368663</v>
      </c>
      <c r="AY75" s="2283">
        <v>299.46792933706797</v>
      </c>
      <c r="AZ75" s="2283">
        <v>179.13078002087201</v>
      </c>
      <c r="BA75" s="2283">
        <v>272.50169184079698</v>
      </c>
      <c r="BB75" s="2283">
        <v>215.03791754263199</v>
      </c>
      <c r="BC75" s="2283">
        <v>231.89917660898499</v>
      </c>
      <c r="BD75" s="2283">
        <v>235.16267464101799</v>
      </c>
      <c r="BE75" s="2283">
        <v>280.20359240125902</v>
      </c>
      <c r="BF75" s="2283">
        <v>40.630041791022997</v>
      </c>
      <c r="BG75" s="2283">
        <v>422.37172827142803</v>
      </c>
      <c r="BH75" s="2283">
        <v>275.93573505458198</v>
      </c>
      <c r="BI75" s="2283">
        <v>245.59385005536001</v>
      </c>
      <c r="BJ75" s="1445">
        <v>296.048012204099</v>
      </c>
      <c r="BK75" s="2207">
        <v>58</v>
      </c>
      <c r="BL75" s="2207" t="s">
        <v>162</v>
      </c>
      <c r="BM75" s="2207" t="s">
        <v>1917</v>
      </c>
      <c r="BN75" s="2207" t="str">
        <f>Translation!B$580</f>
        <v>Nein</v>
      </c>
    </row>
    <row r="76" spans="2:66" x14ac:dyDescent="0.2">
      <c r="B76" s="1426"/>
      <c r="C76" s="2090">
        <v>59</v>
      </c>
      <c r="D76" s="2090" t="s">
        <v>162</v>
      </c>
      <c r="E76" s="1437" t="s">
        <v>1918</v>
      </c>
      <c r="F76" s="2090" t="str">
        <f>Translation!B$579</f>
        <v>Ja</v>
      </c>
      <c r="G76" s="1622">
        <v>59</v>
      </c>
      <c r="H76" s="2283"/>
      <c r="I76" s="2283"/>
      <c r="J76" s="2283"/>
      <c r="K76" s="2283"/>
      <c r="L76" s="2283"/>
      <c r="M76" s="2283"/>
      <c r="N76" s="2283"/>
      <c r="O76" s="2283"/>
      <c r="P76" s="2283"/>
      <c r="Q76" s="2283"/>
      <c r="R76" s="2283"/>
      <c r="S76" s="2283"/>
      <c r="T76" s="2283"/>
      <c r="U76" s="2283"/>
      <c r="V76" s="2283"/>
      <c r="W76" s="2283"/>
      <c r="X76" s="2283"/>
      <c r="Y76" s="2283"/>
      <c r="Z76" s="2283"/>
      <c r="AA76" s="2283"/>
      <c r="AB76" s="2283"/>
      <c r="AC76" s="2283"/>
      <c r="AD76" s="2283"/>
      <c r="AE76" s="2283"/>
      <c r="AF76" s="2283"/>
      <c r="AG76" s="1445"/>
      <c r="AH76" s="655"/>
      <c r="AI76" s="1846"/>
      <c r="AJ76" s="1622">
        <v>59</v>
      </c>
      <c r="AK76" s="2283">
        <v>1466.56193819547</v>
      </c>
      <c r="AL76" s="2283">
        <v>1275.3445721584601</v>
      </c>
      <c r="AM76" s="2283">
        <v>1302.57784901575</v>
      </c>
      <c r="AN76" s="2283">
        <v>1571.2816715378499</v>
      </c>
      <c r="AO76" s="2283">
        <v>1455.43956545789</v>
      </c>
      <c r="AP76" s="2283">
        <v>1772.9843592521099</v>
      </c>
      <c r="AQ76" s="2283">
        <v>1732.0250424681301</v>
      </c>
      <c r="AR76" s="2283">
        <v>2449.4307575477301</v>
      </c>
      <c r="AS76" s="2283">
        <v>1129.75183025755</v>
      </c>
      <c r="AT76" s="2283">
        <v>1470.2598179576401</v>
      </c>
      <c r="AU76" s="2283">
        <v>2347.0197913075499</v>
      </c>
      <c r="AV76" s="2283">
        <v>1417.77010498255</v>
      </c>
      <c r="AW76" s="2283">
        <v>2282.2759068749401</v>
      </c>
      <c r="AX76" s="2283">
        <v>1408.42714495363</v>
      </c>
      <c r="AY76" s="2283">
        <v>1133.11646867329</v>
      </c>
      <c r="AZ76" s="2283">
        <v>1342.8239058105801</v>
      </c>
      <c r="BA76" s="2283">
        <v>1183.9588797773799</v>
      </c>
      <c r="BB76" s="2283">
        <v>1449.00908687579</v>
      </c>
      <c r="BC76" s="2283">
        <v>1497.83868010177</v>
      </c>
      <c r="BD76" s="2283">
        <v>1358.8081978611999</v>
      </c>
      <c r="BE76" s="2283">
        <v>1994.8858334904901</v>
      </c>
      <c r="BF76" s="2283">
        <v>1303.66170762857</v>
      </c>
      <c r="BG76" s="2283">
        <v>2430.5386963655601</v>
      </c>
      <c r="BH76" s="2283">
        <v>1850.4064023185099</v>
      </c>
      <c r="BI76" s="2283">
        <v>1249.0067475283099</v>
      </c>
      <c r="BJ76" s="1445">
        <v>1586.9172648333999</v>
      </c>
      <c r="BK76" s="2207">
        <v>59</v>
      </c>
      <c r="BL76" s="2207" t="s">
        <v>162</v>
      </c>
      <c r="BM76" s="2207" t="s">
        <v>1918</v>
      </c>
      <c r="BN76" s="2207" t="str">
        <f>Translation!B$579</f>
        <v>Ja</v>
      </c>
    </row>
    <row r="77" spans="2:66" x14ac:dyDescent="0.2">
      <c r="B77" s="1426"/>
      <c r="C77" s="2090">
        <v>60</v>
      </c>
      <c r="D77" s="2090" t="s">
        <v>162</v>
      </c>
      <c r="E77" s="1437" t="s">
        <v>1918</v>
      </c>
      <c r="F77" s="2090" t="str">
        <f>Translation!B$580</f>
        <v>Nein</v>
      </c>
      <c r="G77" s="1623">
        <v>60</v>
      </c>
      <c r="H77" s="1446"/>
      <c r="I77" s="1446"/>
      <c r="J77" s="1446"/>
      <c r="K77" s="1446"/>
      <c r="L77" s="1446"/>
      <c r="M77" s="1446"/>
      <c r="N77" s="1446"/>
      <c r="O77" s="1446"/>
      <c r="P77" s="1446"/>
      <c r="Q77" s="1446"/>
      <c r="R77" s="1446"/>
      <c r="S77" s="1446"/>
      <c r="T77" s="1446"/>
      <c r="U77" s="1446"/>
      <c r="V77" s="1446"/>
      <c r="W77" s="1446"/>
      <c r="X77" s="1446"/>
      <c r="Y77" s="1446"/>
      <c r="Z77" s="1446"/>
      <c r="AA77" s="1446"/>
      <c r="AB77" s="1446"/>
      <c r="AC77" s="1446"/>
      <c r="AD77" s="1446"/>
      <c r="AE77" s="1446"/>
      <c r="AF77" s="1446"/>
      <c r="AG77" s="1447"/>
      <c r="AH77" s="655"/>
      <c r="AI77" s="1846"/>
      <c r="AJ77" s="1623">
        <v>60</v>
      </c>
      <c r="AK77" s="1446">
        <v>410.66852848673102</v>
      </c>
      <c r="AL77" s="1446">
        <v>494.08585374172401</v>
      </c>
      <c r="AM77" s="1446">
        <v>223.286172862163</v>
      </c>
      <c r="AN77" s="1446">
        <v>461.53167880598397</v>
      </c>
      <c r="AO77" s="1446">
        <v>608.11515948508304</v>
      </c>
      <c r="AP77" s="1446">
        <v>715.23860926302405</v>
      </c>
      <c r="AQ77" s="1446">
        <v>606.41774866275102</v>
      </c>
      <c r="AR77" s="1446">
        <v>786.735188839996</v>
      </c>
      <c r="AS77" s="1446">
        <v>350.63598567892598</v>
      </c>
      <c r="AT77" s="1446">
        <v>414.126249941124</v>
      </c>
      <c r="AU77" s="1446">
        <v>776.76838882232903</v>
      </c>
      <c r="AV77" s="1446">
        <v>413.54430403931502</v>
      </c>
      <c r="AW77" s="1446">
        <v>607.88598642844397</v>
      </c>
      <c r="AX77" s="1446">
        <v>366.70527029767698</v>
      </c>
      <c r="AY77" s="1446">
        <v>404.84464987526599</v>
      </c>
      <c r="AZ77" s="1446">
        <v>384.05643901536303</v>
      </c>
      <c r="BA77" s="1446">
        <v>359.61345917267198</v>
      </c>
      <c r="BB77" s="1446">
        <v>424.585761354407</v>
      </c>
      <c r="BC77" s="1446">
        <v>374.45436128747298</v>
      </c>
      <c r="BD77" s="1446">
        <v>420.61372830662998</v>
      </c>
      <c r="BE77" s="1446">
        <v>626.06659188510901</v>
      </c>
      <c r="BF77" s="1446">
        <v>227.623774563556</v>
      </c>
      <c r="BG77" s="1446">
        <v>768.49918005208099</v>
      </c>
      <c r="BH77" s="1446">
        <v>583.78917522159304</v>
      </c>
      <c r="BI77" s="1446">
        <v>321.90454460168098</v>
      </c>
      <c r="BJ77" s="1447">
        <v>569.33419871056196</v>
      </c>
      <c r="BK77" s="2207">
        <v>60</v>
      </c>
      <c r="BL77" s="2207" t="s">
        <v>162</v>
      </c>
      <c r="BM77" s="2207" t="s">
        <v>1918</v>
      </c>
      <c r="BN77" s="2207" t="str">
        <f>Translation!B$580</f>
        <v>Nein</v>
      </c>
    </row>
    <row r="78" spans="2:66" x14ac:dyDescent="0.2">
      <c r="B78" s="1426"/>
      <c r="C78" s="1426"/>
      <c r="D78" s="1426"/>
      <c r="E78" s="1426"/>
      <c r="F78" s="1426"/>
      <c r="G78" s="1426"/>
      <c r="H78" s="1426"/>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c r="AF78" s="1426"/>
      <c r="AG78" s="1426"/>
      <c r="AH78" s="655"/>
      <c r="AI78" s="1846"/>
      <c r="AJ78" s="1846"/>
      <c r="AK78" s="1426"/>
      <c r="AL78" s="1426"/>
      <c r="AM78" s="1426"/>
      <c r="AN78" s="1426"/>
      <c r="AO78" s="1426"/>
      <c r="AP78" s="1426"/>
      <c r="AQ78" s="1426"/>
      <c r="AR78" s="1426"/>
      <c r="AS78" s="1426"/>
      <c r="AT78" s="1426"/>
      <c r="AU78" s="1426"/>
      <c r="AV78" s="1426"/>
      <c r="AW78" s="1426"/>
      <c r="AX78" s="1426"/>
      <c r="AY78" s="1426"/>
      <c r="AZ78" s="1426"/>
      <c r="BA78" s="1426"/>
      <c r="BB78" s="1426"/>
      <c r="BC78" s="1426"/>
      <c r="BD78" s="1426"/>
      <c r="BE78" s="1426"/>
      <c r="BF78" s="1426"/>
      <c r="BG78" s="1426"/>
      <c r="BH78" s="1426"/>
      <c r="BI78" s="1426"/>
      <c r="BJ78" s="1426"/>
    </row>
    <row r="79" spans="2:66" x14ac:dyDescent="0.2">
      <c r="B79" s="1426"/>
      <c r="C79" s="1426"/>
      <c r="D79" s="1426"/>
      <c r="E79" s="1426"/>
      <c r="F79" s="1426"/>
      <c r="G79" s="1439" t="str">
        <f>Translation!B$582</f>
        <v>Summe</v>
      </c>
      <c r="H79" s="1822">
        <f t="shared" ref="H79:AG79" si="0">SUM(H18:H77)</f>
        <v>0</v>
      </c>
      <c r="I79" s="1624">
        <f t="shared" si="0"/>
        <v>0</v>
      </c>
      <c r="J79" s="1624">
        <f t="shared" si="0"/>
        <v>0</v>
      </c>
      <c r="K79" s="1624">
        <f t="shared" si="0"/>
        <v>0</v>
      </c>
      <c r="L79" s="1624">
        <f t="shared" si="0"/>
        <v>0</v>
      </c>
      <c r="M79" s="1624">
        <f t="shared" si="0"/>
        <v>0</v>
      </c>
      <c r="N79" s="1624">
        <f t="shared" si="0"/>
        <v>0</v>
      </c>
      <c r="O79" s="1624">
        <f t="shared" si="0"/>
        <v>0</v>
      </c>
      <c r="P79" s="1624">
        <f t="shared" si="0"/>
        <v>0</v>
      </c>
      <c r="Q79" s="1624">
        <f t="shared" si="0"/>
        <v>0</v>
      </c>
      <c r="R79" s="1624">
        <f t="shared" si="0"/>
        <v>0</v>
      </c>
      <c r="S79" s="1624">
        <f t="shared" si="0"/>
        <v>0</v>
      </c>
      <c r="T79" s="1624">
        <f t="shared" si="0"/>
        <v>0</v>
      </c>
      <c r="U79" s="1624">
        <f t="shared" si="0"/>
        <v>0</v>
      </c>
      <c r="V79" s="1624">
        <f t="shared" si="0"/>
        <v>0</v>
      </c>
      <c r="W79" s="1624">
        <f t="shared" si="0"/>
        <v>0</v>
      </c>
      <c r="X79" s="1624">
        <f t="shared" si="0"/>
        <v>0</v>
      </c>
      <c r="Y79" s="1624">
        <f t="shared" si="0"/>
        <v>0</v>
      </c>
      <c r="Z79" s="1624">
        <f t="shared" si="0"/>
        <v>0</v>
      </c>
      <c r="AA79" s="1624">
        <f t="shared" si="0"/>
        <v>0</v>
      </c>
      <c r="AB79" s="1624">
        <f t="shared" si="0"/>
        <v>0</v>
      </c>
      <c r="AC79" s="1624">
        <f t="shared" si="0"/>
        <v>0</v>
      </c>
      <c r="AD79" s="1624">
        <f t="shared" si="0"/>
        <v>0</v>
      </c>
      <c r="AE79" s="1624">
        <f t="shared" si="0"/>
        <v>0</v>
      </c>
      <c r="AF79" s="1624">
        <f t="shared" si="0"/>
        <v>0</v>
      </c>
      <c r="AG79" s="1817">
        <f t="shared" si="0"/>
        <v>0</v>
      </c>
      <c r="AH79" s="655"/>
      <c r="AI79" s="1846"/>
      <c r="AJ79" s="1846"/>
      <c r="AK79" s="1846"/>
      <c r="AL79" s="1846"/>
      <c r="AM79" s="1846"/>
      <c r="AN79" s="1846"/>
      <c r="AO79" s="1846"/>
      <c r="AP79" s="1846"/>
      <c r="AQ79" s="1846"/>
      <c r="AR79" s="1846"/>
      <c r="AS79" s="1846"/>
      <c r="AT79" s="1846"/>
      <c r="AU79" s="1846"/>
      <c r="AV79" s="1846"/>
      <c r="AW79" s="1846"/>
      <c r="AX79" s="1846"/>
      <c r="AY79" s="1846"/>
      <c r="AZ79" s="1846"/>
      <c r="BA79" s="1846"/>
      <c r="BB79" s="1846"/>
      <c r="BC79" s="1846"/>
      <c r="BD79" s="1846"/>
      <c r="BE79" s="1846"/>
      <c r="BF79" s="1846"/>
      <c r="BG79" s="1846"/>
      <c r="BH79" s="1846"/>
      <c r="BI79" s="1846"/>
      <c r="BJ79" s="1846"/>
    </row>
    <row r="80" spans="2:66" s="1426" customFormat="1" ht="11.25" x14ac:dyDescent="0.2">
      <c r="H80" s="2144"/>
    </row>
    <row r="81" spans="4:40" s="1426" customFormat="1" ht="11.25" x14ac:dyDescent="0.2"/>
    <row r="82" spans="4:40" s="1426" customFormat="1" ht="11.25" x14ac:dyDescent="0.2"/>
    <row r="83" spans="4:40" s="1426" customFormat="1" x14ac:dyDescent="0.2">
      <c r="G83" s="1820"/>
      <c r="H83" s="2561" t="str">
        <f>Translation!B$566</f>
        <v>Geschätzter Durchschnittsbestand pro PCG für das Jahr  2025</v>
      </c>
      <c r="I83" s="2562"/>
      <c r="J83" s="2562"/>
      <c r="K83" s="2562"/>
      <c r="L83" s="2562"/>
      <c r="M83" s="2562"/>
      <c r="N83" s="2562"/>
      <c r="O83" s="2562"/>
      <c r="P83" s="2562"/>
      <c r="Q83" s="2562"/>
      <c r="R83" s="2562"/>
      <c r="S83" s="2562"/>
      <c r="T83" s="2091"/>
      <c r="U83" s="2091"/>
    </row>
    <row r="84" spans="4:40" s="1426" customFormat="1" ht="12.75" customHeight="1" x14ac:dyDescent="0.2">
      <c r="D84" s="2076"/>
      <c r="E84" s="644"/>
      <c r="G84" s="2563"/>
      <c r="H84" s="2564" t="str">
        <f>Translation!B$583</f>
        <v xml:space="preserve">Kanton </v>
      </c>
      <c r="I84" s="2565"/>
      <c r="J84" s="2565"/>
      <c r="K84" s="2565"/>
      <c r="L84" s="2565"/>
      <c r="M84" s="2565"/>
      <c r="N84" s="2565"/>
      <c r="O84" s="2565"/>
      <c r="P84" s="2565"/>
      <c r="Q84" s="2565"/>
      <c r="R84" s="2565"/>
      <c r="S84" s="2565"/>
      <c r="T84" s="2565"/>
      <c r="U84" s="2565"/>
      <c r="V84" s="2565"/>
      <c r="W84" s="2565"/>
      <c r="X84" s="2565"/>
      <c r="Y84" s="2565"/>
      <c r="Z84" s="2565"/>
      <c r="AA84" s="2565"/>
      <c r="AB84" s="2565"/>
      <c r="AC84" s="2565"/>
      <c r="AD84" s="2565"/>
      <c r="AE84" s="2565"/>
      <c r="AF84" s="2565"/>
      <c r="AG84" s="2566"/>
      <c r="AJ84" s="2557" t="str">
        <f>Translation!B$568</f>
        <v xml:space="preserve">PCG-Zuschlag pro Monat in CHF </v>
      </c>
      <c r="AK84" s="2558"/>
      <c r="AL84" s="1431"/>
      <c r="AM84" s="1432"/>
    </row>
    <row r="85" spans="4:40" s="1426" customFormat="1" ht="12.75" customHeight="1" x14ac:dyDescent="0.2">
      <c r="D85" s="644"/>
      <c r="G85" s="2563"/>
      <c r="H85" s="1434">
        <v>1</v>
      </c>
      <c r="I85" s="1434">
        <v>2</v>
      </c>
      <c r="J85" s="1434">
        <v>3</v>
      </c>
      <c r="K85" s="1434">
        <v>4</v>
      </c>
      <c r="L85" s="1434">
        <v>5</v>
      </c>
      <c r="M85" s="1434">
        <v>6</v>
      </c>
      <c r="N85" s="1434">
        <v>7</v>
      </c>
      <c r="O85" s="1434">
        <v>8</v>
      </c>
      <c r="P85" s="1434">
        <v>9</v>
      </c>
      <c r="Q85" s="1434">
        <v>10</v>
      </c>
      <c r="R85" s="1434">
        <v>11</v>
      </c>
      <c r="S85" s="1434">
        <v>12</v>
      </c>
      <c r="T85" s="1434">
        <v>13</v>
      </c>
      <c r="U85" s="1434">
        <v>14</v>
      </c>
      <c r="V85" s="1434">
        <v>15</v>
      </c>
      <c r="W85" s="1434">
        <v>16</v>
      </c>
      <c r="X85" s="1434">
        <v>17</v>
      </c>
      <c r="Y85" s="1434">
        <v>18</v>
      </c>
      <c r="Z85" s="1434">
        <v>19</v>
      </c>
      <c r="AA85" s="1434">
        <v>20</v>
      </c>
      <c r="AB85" s="1434">
        <v>21</v>
      </c>
      <c r="AC85" s="1434">
        <v>22</v>
      </c>
      <c r="AD85" s="1434">
        <v>23</v>
      </c>
      <c r="AE85" s="1434">
        <v>24</v>
      </c>
      <c r="AF85" s="1434">
        <v>25</v>
      </c>
      <c r="AG85" s="1435">
        <v>26</v>
      </c>
      <c r="AJ85" s="2559"/>
      <c r="AK85" s="2560"/>
      <c r="AM85" s="2167"/>
    </row>
    <row r="86" spans="4:40" s="1426" customFormat="1" ht="12.75" customHeight="1" x14ac:dyDescent="0.2">
      <c r="D86" s="2077" t="s">
        <v>2341</v>
      </c>
      <c r="E86" s="1436"/>
      <c r="G86" s="2563"/>
      <c r="H86" s="1437" t="s">
        <v>1877</v>
      </c>
      <c r="I86" s="1437" t="s">
        <v>1878</v>
      </c>
      <c r="J86" s="1437" t="s">
        <v>1879</v>
      </c>
      <c r="K86" s="1437" t="s">
        <v>1880</v>
      </c>
      <c r="L86" s="1437" t="s">
        <v>1881</v>
      </c>
      <c r="M86" s="1437" t="s">
        <v>1882</v>
      </c>
      <c r="N86" s="1437" t="s">
        <v>1883</v>
      </c>
      <c r="O86" s="1437" t="s">
        <v>1884</v>
      </c>
      <c r="P86" s="1437" t="s">
        <v>1885</v>
      </c>
      <c r="Q86" s="1437" t="s">
        <v>1886</v>
      </c>
      <c r="R86" s="1437" t="s">
        <v>1887</v>
      </c>
      <c r="S86" s="1437" t="s">
        <v>1888</v>
      </c>
      <c r="T86" s="1437" t="s">
        <v>1889</v>
      </c>
      <c r="U86" s="1437" t="s">
        <v>1890</v>
      </c>
      <c r="V86" s="1437" t="s">
        <v>1891</v>
      </c>
      <c r="W86" s="1437" t="s">
        <v>1892</v>
      </c>
      <c r="X86" s="1437" t="s">
        <v>1893</v>
      </c>
      <c r="Y86" s="1437" t="s">
        <v>1894</v>
      </c>
      <c r="Z86" s="1437" t="s">
        <v>1895</v>
      </c>
      <c r="AA86" s="1437" t="s">
        <v>1896</v>
      </c>
      <c r="AB86" s="1437" t="s">
        <v>1897</v>
      </c>
      <c r="AC86" s="1437" t="s">
        <v>1898</v>
      </c>
      <c r="AD86" s="1437" t="s">
        <v>1899</v>
      </c>
      <c r="AE86" s="1437" t="s">
        <v>1900</v>
      </c>
      <c r="AF86" s="1437" t="s">
        <v>1901</v>
      </c>
      <c r="AG86" s="1438" t="s">
        <v>1902</v>
      </c>
      <c r="AJ86" s="2559"/>
      <c r="AK86" s="2560"/>
      <c r="AM86" s="2077" t="s">
        <v>2341</v>
      </c>
      <c r="AN86" s="2087"/>
    </row>
    <row r="87" spans="4:40" s="1426" customFormat="1" ht="11.25" x14ac:dyDescent="0.2">
      <c r="D87" s="1442" t="s">
        <v>2344</v>
      </c>
      <c r="E87" s="1426" t="str">
        <f>Translation!B$584</f>
        <v>Sucht ohne Nikotin</v>
      </c>
      <c r="G87" s="1437"/>
      <c r="H87" s="2073"/>
      <c r="I87" s="1443"/>
      <c r="J87" s="1443"/>
      <c r="K87" s="1443"/>
      <c r="L87" s="1443"/>
      <c r="M87" s="1443"/>
      <c r="N87" s="1443"/>
      <c r="O87" s="1443"/>
      <c r="P87" s="1443"/>
      <c r="Q87" s="1443"/>
      <c r="R87" s="1443"/>
      <c r="S87" s="1443"/>
      <c r="T87" s="1443"/>
      <c r="U87" s="1443"/>
      <c r="V87" s="1443"/>
      <c r="W87" s="1443"/>
      <c r="X87" s="1443"/>
      <c r="Y87" s="1443"/>
      <c r="Z87" s="1443"/>
      <c r="AA87" s="1443"/>
      <c r="AB87" s="1443"/>
      <c r="AC87" s="1443"/>
      <c r="AD87" s="1443"/>
      <c r="AE87" s="1443"/>
      <c r="AF87" s="1443"/>
      <c r="AG87" s="1444"/>
      <c r="AI87" s="1846"/>
      <c r="AJ87" s="2162"/>
      <c r="AK87" s="1444">
        <v>478.70721435540003</v>
      </c>
      <c r="AM87" s="1428" t="s">
        <v>2344</v>
      </c>
      <c r="AN87" s="1426" t="str">
        <f>Translation!B$584</f>
        <v>Sucht ohne Nikotin</v>
      </c>
    </row>
    <row r="88" spans="4:40" s="1426" customFormat="1" ht="11.25" x14ac:dyDescent="0.2">
      <c r="D88" s="1428" t="s">
        <v>2346</v>
      </c>
      <c r="E88" s="1426" t="str">
        <f>Translation!B$585</f>
        <v>ADHS</v>
      </c>
      <c r="G88" s="1437"/>
      <c r="H88" s="2081"/>
      <c r="I88" s="2283"/>
      <c r="J88" s="2283"/>
      <c r="K88" s="2283"/>
      <c r="L88" s="2283"/>
      <c r="M88" s="2283"/>
      <c r="N88" s="2283"/>
      <c r="O88" s="2283"/>
      <c r="P88" s="2283"/>
      <c r="Q88" s="2283"/>
      <c r="R88" s="2283"/>
      <c r="S88" s="2283"/>
      <c r="T88" s="2283"/>
      <c r="U88" s="2283"/>
      <c r="V88" s="2283"/>
      <c r="W88" s="2283"/>
      <c r="X88" s="2283"/>
      <c r="Y88" s="2283"/>
      <c r="Z88" s="2283"/>
      <c r="AA88" s="2283"/>
      <c r="AB88" s="2283"/>
      <c r="AC88" s="2283"/>
      <c r="AD88" s="2283"/>
      <c r="AE88" s="2283"/>
      <c r="AF88" s="2283"/>
      <c r="AG88" s="1445"/>
      <c r="AI88" s="1846"/>
      <c r="AJ88" s="1823"/>
      <c r="AK88" s="1445">
        <v>293.94256591790003</v>
      </c>
      <c r="AM88" s="1428" t="s">
        <v>2346</v>
      </c>
      <c r="AN88" s="1426" t="str">
        <f>Translation!B$585</f>
        <v>ADHS</v>
      </c>
    </row>
    <row r="89" spans="4:40" s="1426" customFormat="1" ht="11.25" x14ac:dyDescent="0.2">
      <c r="D89" s="1428" t="s">
        <v>2348</v>
      </c>
      <c r="E89" s="1426" t="str">
        <f>Translation!B$586</f>
        <v>Autoimmunkrankheiten</v>
      </c>
      <c r="G89" s="1437"/>
      <c r="H89" s="2081"/>
      <c r="I89" s="2283"/>
      <c r="J89" s="2283"/>
      <c r="K89" s="2283"/>
      <c r="L89" s="2283"/>
      <c r="M89" s="2283"/>
      <c r="N89" s="2283"/>
      <c r="O89" s="2283"/>
      <c r="P89" s="2283"/>
      <c r="Q89" s="2283"/>
      <c r="R89" s="2283"/>
      <c r="S89" s="2283"/>
      <c r="T89" s="2283"/>
      <c r="U89" s="2283"/>
      <c r="V89" s="2283"/>
      <c r="W89" s="2283"/>
      <c r="X89" s="2283"/>
      <c r="Y89" s="2283"/>
      <c r="Z89" s="2283"/>
      <c r="AA89" s="2283"/>
      <c r="AB89" s="2283"/>
      <c r="AC89" s="2283"/>
      <c r="AD89" s="2283"/>
      <c r="AE89" s="2283"/>
      <c r="AF89" s="2283"/>
      <c r="AG89" s="1445"/>
      <c r="AI89" s="1846"/>
      <c r="AJ89" s="1823"/>
      <c r="AK89" s="1445">
        <v>1548.3742675781</v>
      </c>
      <c r="AM89" s="1428" t="s">
        <v>2348</v>
      </c>
      <c r="AN89" s="1426" t="str">
        <f>Translation!B$586</f>
        <v>Autoimmunkrankheiten</v>
      </c>
    </row>
    <row r="90" spans="4:40" s="1426" customFormat="1" ht="11.25" x14ac:dyDescent="0.2">
      <c r="D90" s="1428" t="s">
        <v>2350</v>
      </c>
      <c r="E90" s="1426" t="str">
        <f>Translation!B$587</f>
        <v>Alzheimer</v>
      </c>
      <c r="G90" s="1437"/>
      <c r="H90" s="2081"/>
      <c r="I90" s="2283"/>
      <c r="J90" s="2283"/>
      <c r="K90" s="2283"/>
      <c r="L90" s="2283"/>
      <c r="M90" s="2283"/>
      <c r="N90" s="2283"/>
      <c r="O90" s="2283"/>
      <c r="P90" s="2283"/>
      <c r="Q90" s="2283"/>
      <c r="R90" s="2283"/>
      <c r="S90" s="2283"/>
      <c r="T90" s="2283"/>
      <c r="U90" s="2283"/>
      <c r="V90" s="2283"/>
      <c r="W90" s="2283"/>
      <c r="X90" s="2283"/>
      <c r="Y90" s="2283"/>
      <c r="Z90" s="2283"/>
      <c r="AA90" s="2283"/>
      <c r="AB90" s="2283"/>
      <c r="AC90" s="2283"/>
      <c r="AD90" s="2283"/>
      <c r="AE90" s="2283"/>
      <c r="AF90" s="2283"/>
      <c r="AG90" s="1445"/>
      <c r="AI90" s="1846"/>
      <c r="AJ90" s="1823"/>
      <c r="AK90" s="1445">
        <v>624.53460693349996</v>
      </c>
      <c r="AM90" s="1428" t="s">
        <v>2350</v>
      </c>
      <c r="AN90" s="1426" t="str">
        <f>Translation!B$587</f>
        <v>Alzheimer</v>
      </c>
    </row>
    <row r="91" spans="4:40" s="1426" customFormat="1" ht="11.25" x14ac:dyDescent="0.2">
      <c r="D91" s="1428" t="s">
        <v>2352</v>
      </c>
      <c r="E91" s="1426" t="str">
        <f>Translation!B$588</f>
        <v>Asthma</v>
      </c>
      <c r="G91" s="1437"/>
      <c r="H91" s="2081"/>
      <c r="I91" s="2283"/>
      <c r="J91" s="2283"/>
      <c r="K91" s="2283"/>
      <c r="L91" s="2283"/>
      <c r="M91" s="2283"/>
      <c r="N91" s="2283"/>
      <c r="O91" s="2283"/>
      <c r="P91" s="2283"/>
      <c r="Q91" s="2283"/>
      <c r="R91" s="2283"/>
      <c r="S91" s="2283"/>
      <c r="T91" s="2283"/>
      <c r="U91" s="2283"/>
      <c r="V91" s="2283"/>
      <c r="W91" s="2283"/>
      <c r="X91" s="2283"/>
      <c r="Y91" s="2283"/>
      <c r="Z91" s="2283"/>
      <c r="AA91" s="2283"/>
      <c r="AB91" s="2283"/>
      <c r="AC91" s="2283"/>
      <c r="AD91" s="2283"/>
      <c r="AE91" s="2283"/>
      <c r="AF91" s="2283"/>
      <c r="AG91" s="1445"/>
      <c r="AI91" s="1846"/>
      <c r="AJ91" s="1823"/>
      <c r="AK91" s="1445">
        <v>251.21760559079999</v>
      </c>
      <c r="AM91" s="1428" t="s">
        <v>2352</v>
      </c>
      <c r="AN91" s="1426" t="str">
        <f>Translation!B$588</f>
        <v>Asthma</v>
      </c>
    </row>
    <row r="92" spans="4:40" s="1426" customFormat="1" ht="11.25" x14ac:dyDescent="0.2">
      <c r="D92" s="1428" t="s">
        <v>2354</v>
      </c>
      <c r="E92" s="1426" t="str">
        <f>Translation!B$589</f>
        <v>Bipolare Störung regulär</v>
      </c>
      <c r="G92" s="1437"/>
      <c r="H92" s="2081"/>
      <c r="I92" s="2283"/>
      <c r="J92" s="2283"/>
      <c r="K92" s="2283"/>
      <c r="L92" s="2283"/>
      <c r="M92" s="2283"/>
      <c r="N92" s="2283"/>
      <c r="O92" s="2283"/>
      <c r="P92" s="2283"/>
      <c r="Q92" s="2283"/>
      <c r="R92" s="2283"/>
      <c r="S92" s="2283"/>
      <c r="T92" s="2283"/>
      <c r="U92" s="2283"/>
      <c r="V92" s="2283"/>
      <c r="W92" s="2283"/>
      <c r="X92" s="2283"/>
      <c r="Y92" s="2283"/>
      <c r="Z92" s="2283"/>
      <c r="AA92" s="2283"/>
      <c r="AB92" s="2283"/>
      <c r="AC92" s="2283"/>
      <c r="AD92" s="2283"/>
      <c r="AE92" s="2283"/>
      <c r="AF92" s="2283"/>
      <c r="AG92" s="1445"/>
      <c r="AI92" s="1846"/>
      <c r="AJ92" s="1823"/>
      <c r="AK92" s="1445">
        <v>249.94161987300001</v>
      </c>
      <c r="AM92" s="1428" t="s">
        <v>2354</v>
      </c>
      <c r="AN92" s="1426" t="str">
        <f>Translation!B$589</f>
        <v>Bipolare Störung regulär</v>
      </c>
    </row>
    <row r="93" spans="4:40" s="1426" customFormat="1" ht="11.25" x14ac:dyDescent="0.2">
      <c r="D93" s="1428" t="s">
        <v>2356</v>
      </c>
      <c r="E93" s="1426" t="str">
        <f>Translation!B$590</f>
        <v>Herzleiden</v>
      </c>
      <c r="G93" s="1437"/>
      <c r="H93" s="2081"/>
      <c r="I93" s="2283"/>
      <c r="J93" s="2283"/>
      <c r="K93" s="2283"/>
      <c r="L93" s="2283"/>
      <c r="M93" s="2283"/>
      <c r="N93" s="2283"/>
      <c r="O93" s="2283"/>
      <c r="P93" s="2283"/>
      <c r="Q93" s="2283"/>
      <c r="R93" s="2283"/>
      <c r="S93" s="2283"/>
      <c r="T93" s="2283"/>
      <c r="U93" s="2283"/>
      <c r="V93" s="2283"/>
      <c r="W93" s="2283"/>
      <c r="X93" s="2283"/>
      <c r="Y93" s="2283"/>
      <c r="Z93" s="2283"/>
      <c r="AA93" s="2283"/>
      <c r="AB93" s="2283"/>
      <c r="AC93" s="2283"/>
      <c r="AD93" s="2283"/>
      <c r="AE93" s="2283"/>
      <c r="AF93" s="2283"/>
      <c r="AG93" s="1445"/>
      <c r="AI93" s="1846"/>
      <c r="AJ93" s="1823"/>
      <c r="AK93" s="1445">
        <v>471.18014526360002</v>
      </c>
      <c r="AM93" s="1428" t="s">
        <v>2356</v>
      </c>
      <c r="AN93" s="1426" t="str">
        <f>Translation!B$590</f>
        <v>Herzleiden</v>
      </c>
    </row>
    <row r="94" spans="4:40" s="1426" customFormat="1" ht="11.25" x14ac:dyDescent="0.2">
      <c r="D94" s="1428" t="s">
        <v>2358</v>
      </c>
      <c r="E94" s="1426" t="str">
        <f>Translation!B$591</f>
        <v>COPD / Schweres Asthma</v>
      </c>
      <c r="G94" s="1437"/>
      <c r="H94" s="2081"/>
      <c r="I94" s="2283"/>
      <c r="J94" s="2283"/>
      <c r="K94" s="2283"/>
      <c r="L94" s="2283"/>
      <c r="M94" s="2283"/>
      <c r="N94" s="2283"/>
      <c r="O94" s="2283"/>
      <c r="P94" s="2283"/>
      <c r="Q94" s="2283"/>
      <c r="R94" s="2283"/>
      <c r="S94" s="2283"/>
      <c r="T94" s="2283"/>
      <c r="U94" s="2283"/>
      <c r="V94" s="2283"/>
      <c r="W94" s="2283"/>
      <c r="X94" s="2283"/>
      <c r="Y94" s="2283"/>
      <c r="Z94" s="2283"/>
      <c r="AA94" s="2283"/>
      <c r="AB94" s="2283"/>
      <c r="AC94" s="2283"/>
      <c r="AD94" s="2283"/>
      <c r="AE94" s="2283"/>
      <c r="AF94" s="2283"/>
      <c r="AG94" s="1445"/>
      <c r="AI94" s="1846"/>
      <c r="AJ94" s="1823"/>
      <c r="AK94" s="1445">
        <v>636.32360839839998</v>
      </c>
      <c r="AM94" s="1428" t="s">
        <v>2358</v>
      </c>
      <c r="AN94" s="1426" t="str">
        <f>Translation!B$591</f>
        <v>COPD / Schweres Asthma</v>
      </c>
    </row>
    <row r="95" spans="4:40" s="1426" customFormat="1" ht="11.25" x14ac:dyDescent="0.2">
      <c r="D95" s="1428" t="s">
        <v>2360</v>
      </c>
      <c r="E95" s="1426" t="str">
        <f>Translation!B$592</f>
        <v>Depression</v>
      </c>
      <c r="G95" s="1437"/>
      <c r="H95" s="2081"/>
      <c r="I95" s="2283"/>
      <c r="J95" s="2283"/>
      <c r="K95" s="2283"/>
      <c r="L95" s="2283"/>
      <c r="M95" s="2283"/>
      <c r="N95" s="2283"/>
      <c r="O95" s="2283"/>
      <c r="P95" s="2283"/>
      <c r="Q95" s="2283"/>
      <c r="R95" s="2283"/>
      <c r="S95" s="2283"/>
      <c r="T95" s="2283"/>
      <c r="U95" s="2283"/>
      <c r="V95" s="2283"/>
      <c r="W95" s="2283"/>
      <c r="X95" s="2283"/>
      <c r="Y95" s="2283"/>
      <c r="Z95" s="2283"/>
      <c r="AA95" s="2283"/>
      <c r="AB95" s="2283"/>
      <c r="AC95" s="2283"/>
      <c r="AD95" s="2283"/>
      <c r="AE95" s="2283"/>
      <c r="AF95" s="2283"/>
      <c r="AG95" s="1445"/>
      <c r="AI95" s="1846"/>
      <c r="AJ95" s="1823"/>
      <c r="AK95" s="1445">
        <v>372.12539672849999</v>
      </c>
      <c r="AM95" s="1428" t="s">
        <v>2360</v>
      </c>
      <c r="AN95" s="1426" t="str">
        <f>Translation!B$592</f>
        <v>Depression</v>
      </c>
    </row>
    <row r="96" spans="4:40" s="1426" customFormat="1" ht="11.25" x14ac:dyDescent="0.2">
      <c r="D96" s="1428" t="s">
        <v>2362</v>
      </c>
      <c r="E96" s="1426" t="str">
        <f>Translation!B$593</f>
        <v>Diabetes Typ-I</v>
      </c>
      <c r="G96" s="1437"/>
      <c r="H96" s="2081"/>
      <c r="I96" s="2283"/>
      <c r="J96" s="2283"/>
      <c r="K96" s="2283"/>
      <c r="L96" s="2283"/>
      <c r="M96" s="2283"/>
      <c r="N96" s="2283"/>
      <c r="O96" s="2283"/>
      <c r="P96" s="2283"/>
      <c r="Q96" s="2283"/>
      <c r="R96" s="2283"/>
      <c r="S96" s="2283"/>
      <c r="T96" s="2283"/>
      <c r="U96" s="2283"/>
      <c r="V96" s="2283"/>
      <c r="W96" s="2283"/>
      <c r="X96" s="2283"/>
      <c r="Y96" s="2283"/>
      <c r="Z96" s="2283"/>
      <c r="AA96" s="2283"/>
      <c r="AB96" s="2283"/>
      <c r="AC96" s="2283"/>
      <c r="AD96" s="2283"/>
      <c r="AE96" s="2283"/>
      <c r="AF96" s="2283"/>
      <c r="AG96" s="1445"/>
      <c r="AI96" s="1846"/>
      <c r="AJ96" s="1823"/>
      <c r="AK96" s="1445">
        <v>743.63946533199999</v>
      </c>
      <c r="AM96" s="1428" t="s">
        <v>2362</v>
      </c>
      <c r="AN96" s="1426" t="str">
        <f>Translation!B$593</f>
        <v>Diabetes Typ-I</v>
      </c>
    </row>
    <row r="97" spans="4:40" s="1426" customFormat="1" ht="11.25" x14ac:dyDescent="0.2">
      <c r="D97" s="1428" t="s">
        <v>2364</v>
      </c>
      <c r="E97" s="1426" t="str">
        <f>Translation!B$594</f>
        <v>Diabetes Typ-2</v>
      </c>
      <c r="G97" s="1437"/>
      <c r="H97" s="2081"/>
      <c r="I97" s="2283"/>
      <c r="J97" s="2283"/>
      <c r="K97" s="2283"/>
      <c r="L97" s="2283"/>
      <c r="M97" s="2283"/>
      <c r="N97" s="2283"/>
      <c r="O97" s="2283"/>
      <c r="P97" s="2283"/>
      <c r="Q97" s="2283"/>
      <c r="R97" s="2283"/>
      <c r="S97" s="2283"/>
      <c r="T97" s="2283"/>
      <c r="U97" s="2283"/>
      <c r="V97" s="2283"/>
      <c r="W97" s="2283"/>
      <c r="X97" s="2283"/>
      <c r="Y97" s="2283"/>
      <c r="Z97" s="2283"/>
      <c r="AA97" s="2283"/>
      <c r="AB97" s="2283"/>
      <c r="AC97" s="2283"/>
      <c r="AD97" s="2283"/>
      <c r="AE97" s="2283"/>
      <c r="AF97" s="2283"/>
      <c r="AG97" s="1445"/>
      <c r="AI97" s="1846"/>
      <c r="AJ97" s="1823"/>
      <c r="AK97" s="1445">
        <v>237.429321289</v>
      </c>
      <c r="AM97" s="1428" t="s">
        <v>2364</v>
      </c>
      <c r="AN97" s="1426" t="str">
        <f>Translation!B$594</f>
        <v>Diabetes Typ-2</v>
      </c>
    </row>
    <row r="98" spans="4:40" s="1426" customFormat="1" ht="11.25" x14ac:dyDescent="0.2">
      <c r="D98" s="1428" t="s">
        <v>2366</v>
      </c>
      <c r="E98" s="1426" t="str">
        <f>Translation!B$595</f>
        <v>Epilepsie</v>
      </c>
      <c r="G98" s="1437"/>
      <c r="H98" s="2081"/>
      <c r="I98" s="2283"/>
      <c r="J98" s="2283"/>
      <c r="K98" s="2283"/>
      <c r="L98" s="2283"/>
      <c r="M98" s="2283"/>
      <c r="N98" s="2283"/>
      <c r="O98" s="2283"/>
      <c r="P98" s="2283"/>
      <c r="Q98" s="2283"/>
      <c r="R98" s="2283"/>
      <c r="S98" s="2283"/>
      <c r="T98" s="2283"/>
      <c r="U98" s="2283"/>
      <c r="V98" s="2283"/>
      <c r="W98" s="2283"/>
      <c r="X98" s="2283"/>
      <c r="Y98" s="2283"/>
      <c r="Z98" s="2283"/>
      <c r="AA98" s="2283"/>
      <c r="AB98" s="2283"/>
      <c r="AC98" s="2283"/>
      <c r="AD98" s="2283"/>
      <c r="AE98" s="2283"/>
      <c r="AF98" s="2283"/>
      <c r="AG98" s="1445"/>
      <c r="AI98" s="1846"/>
      <c r="AJ98" s="1823"/>
      <c r="AK98" s="1445">
        <v>525.6919555664</v>
      </c>
      <c r="AM98" s="1428" t="s">
        <v>2366</v>
      </c>
      <c r="AN98" s="1426" t="str">
        <f>Translation!B$595</f>
        <v>Epilepsie</v>
      </c>
    </row>
    <row r="99" spans="4:40" s="1426" customFormat="1" ht="11.25" x14ac:dyDescent="0.2">
      <c r="D99" s="1428" t="s">
        <v>2368</v>
      </c>
      <c r="E99" s="1426" t="str">
        <f>Translation!B$596</f>
        <v>Glaukom</v>
      </c>
      <c r="G99" s="1437"/>
      <c r="H99" s="2081"/>
      <c r="I99" s="2283"/>
      <c r="J99" s="2283"/>
      <c r="K99" s="2283"/>
      <c r="L99" s="2283"/>
      <c r="M99" s="2283"/>
      <c r="N99" s="2283"/>
      <c r="O99" s="2283"/>
      <c r="P99" s="2283"/>
      <c r="Q99" s="2283"/>
      <c r="R99" s="2283"/>
      <c r="S99" s="2283"/>
      <c r="T99" s="2283"/>
      <c r="U99" s="2283"/>
      <c r="V99" s="2283"/>
      <c r="W99" s="2283"/>
      <c r="X99" s="2283"/>
      <c r="Y99" s="2283"/>
      <c r="Z99" s="2283"/>
      <c r="AA99" s="2283"/>
      <c r="AB99" s="2283"/>
      <c r="AC99" s="2283"/>
      <c r="AD99" s="2283"/>
      <c r="AE99" s="2283"/>
      <c r="AF99" s="2283"/>
      <c r="AG99" s="1445"/>
      <c r="AI99" s="1846"/>
      <c r="AJ99" s="1823"/>
      <c r="AK99" s="1445">
        <v>102.1604309082</v>
      </c>
      <c r="AM99" s="1428" t="s">
        <v>2368</v>
      </c>
      <c r="AN99" s="1426" t="str">
        <f>Translation!B$596</f>
        <v>Glaukom</v>
      </c>
    </row>
    <row r="100" spans="4:40" s="1426" customFormat="1" ht="11.25" x14ac:dyDescent="0.2">
      <c r="D100" s="1428" t="s">
        <v>2370</v>
      </c>
      <c r="E100" s="1426" t="str">
        <f>Translation!B$597</f>
        <v>Hohes Cholesterin</v>
      </c>
      <c r="G100" s="1437"/>
      <c r="H100" s="2081"/>
      <c r="I100" s="2283"/>
      <c r="J100" s="2283"/>
      <c r="K100" s="2283"/>
      <c r="L100" s="2283"/>
      <c r="M100" s="2283"/>
      <c r="N100" s="2283"/>
      <c r="O100" s="2283"/>
      <c r="P100" s="2283"/>
      <c r="Q100" s="2283"/>
      <c r="R100" s="2283"/>
      <c r="S100" s="2283"/>
      <c r="T100" s="2283"/>
      <c r="U100" s="2283"/>
      <c r="V100" s="2283"/>
      <c r="W100" s="2283"/>
      <c r="X100" s="2283"/>
      <c r="Y100" s="2283"/>
      <c r="Z100" s="2283"/>
      <c r="AA100" s="2283"/>
      <c r="AB100" s="2283"/>
      <c r="AC100" s="2283"/>
      <c r="AD100" s="2283"/>
      <c r="AE100" s="2283"/>
      <c r="AF100" s="2283"/>
      <c r="AG100" s="1445"/>
      <c r="AI100" s="1846"/>
      <c r="AJ100" s="1823"/>
      <c r="AK100" s="1445">
        <v>112.14567565909999</v>
      </c>
      <c r="AM100" s="1428" t="s">
        <v>2370</v>
      </c>
      <c r="AN100" s="1426" t="str">
        <f>Translation!B$597</f>
        <v>Hohes Cholesterin</v>
      </c>
    </row>
    <row r="101" spans="4:40" s="1426" customFormat="1" ht="11.25" x14ac:dyDescent="0.2">
      <c r="D101" s="1428" t="s">
        <v>2372</v>
      </c>
      <c r="E101" s="1426" t="str">
        <f>Translation!B$598</f>
        <v>HIV / AIDS</v>
      </c>
      <c r="G101" s="1437"/>
      <c r="H101" s="2081"/>
      <c r="I101" s="2283"/>
      <c r="J101" s="2283"/>
      <c r="K101" s="2283"/>
      <c r="L101" s="2283"/>
      <c r="M101" s="2283"/>
      <c r="N101" s="2283"/>
      <c r="O101" s="2283"/>
      <c r="P101" s="2283"/>
      <c r="Q101" s="2283"/>
      <c r="R101" s="2283"/>
      <c r="S101" s="2283"/>
      <c r="T101" s="2283"/>
      <c r="U101" s="2283"/>
      <c r="V101" s="2283"/>
      <c r="W101" s="2283"/>
      <c r="X101" s="2283"/>
      <c r="Y101" s="2283"/>
      <c r="Z101" s="2283"/>
      <c r="AA101" s="2283"/>
      <c r="AB101" s="2283"/>
      <c r="AC101" s="2283"/>
      <c r="AD101" s="2283"/>
      <c r="AE101" s="2283"/>
      <c r="AF101" s="2283"/>
      <c r="AG101" s="1445"/>
      <c r="AI101" s="1846"/>
      <c r="AJ101" s="1823"/>
      <c r="AK101" s="1445">
        <v>1395.6036376953</v>
      </c>
      <c r="AM101" s="1428" t="s">
        <v>2372</v>
      </c>
      <c r="AN101" s="1426" t="str">
        <f>Translation!B$598</f>
        <v>HIV / AIDS</v>
      </c>
    </row>
    <row r="102" spans="4:40" s="1426" customFormat="1" ht="11.25" x14ac:dyDescent="0.2">
      <c r="D102" s="1428" t="s">
        <v>2374</v>
      </c>
      <c r="E102" s="1426" t="str">
        <f>Translation!B$599</f>
        <v>Hormonsensitive Tumore</v>
      </c>
      <c r="G102" s="1437"/>
      <c r="H102" s="2081"/>
      <c r="I102" s="2283"/>
      <c r="J102" s="2283"/>
      <c r="K102" s="2283"/>
      <c r="L102" s="2283"/>
      <c r="M102" s="2283"/>
      <c r="N102" s="2283"/>
      <c r="O102" s="2283"/>
      <c r="P102" s="2283"/>
      <c r="Q102" s="2283"/>
      <c r="R102" s="2283"/>
      <c r="S102" s="2283"/>
      <c r="T102" s="2283"/>
      <c r="U102" s="2283"/>
      <c r="V102" s="2283"/>
      <c r="W102" s="2283"/>
      <c r="X102" s="2283"/>
      <c r="Y102" s="2283"/>
      <c r="Z102" s="2283"/>
      <c r="AA102" s="2283"/>
      <c r="AB102" s="2283"/>
      <c r="AC102" s="2283"/>
      <c r="AD102" s="2283"/>
      <c r="AE102" s="2283"/>
      <c r="AF102" s="2283"/>
      <c r="AG102" s="1445"/>
      <c r="AI102" s="1846"/>
      <c r="AJ102" s="1823"/>
      <c r="AK102" s="1445">
        <v>380.09869384759998</v>
      </c>
      <c r="AM102" s="1428" t="s">
        <v>2374</v>
      </c>
      <c r="AN102" s="1426" t="str">
        <f>Translation!B$599</f>
        <v>Hormonsensitive Tumore</v>
      </c>
    </row>
    <row r="103" spans="4:40" s="1426" customFormat="1" ht="11.25" x14ac:dyDescent="0.2">
      <c r="D103" s="1428" t="s">
        <v>2376</v>
      </c>
      <c r="E103" s="1426" t="str">
        <f>Translation!B$600</f>
        <v>Krebs</v>
      </c>
      <c r="G103" s="1437"/>
      <c r="H103" s="2081"/>
      <c r="I103" s="2283"/>
      <c r="J103" s="2283"/>
      <c r="K103" s="2283"/>
      <c r="L103" s="2283"/>
      <c r="M103" s="2283"/>
      <c r="N103" s="2283"/>
      <c r="O103" s="2283"/>
      <c r="P103" s="2283"/>
      <c r="Q103" s="2283"/>
      <c r="R103" s="2283"/>
      <c r="S103" s="2283"/>
      <c r="T103" s="2283"/>
      <c r="U103" s="2283"/>
      <c r="V103" s="2283"/>
      <c r="W103" s="2283"/>
      <c r="X103" s="2283"/>
      <c r="Y103" s="2283"/>
      <c r="Z103" s="2283"/>
      <c r="AA103" s="2283"/>
      <c r="AB103" s="2283"/>
      <c r="AC103" s="2283"/>
      <c r="AD103" s="2283"/>
      <c r="AE103" s="2283"/>
      <c r="AF103" s="2283"/>
      <c r="AG103" s="1445"/>
      <c r="AI103" s="1846"/>
      <c r="AJ103" s="1823"/>
      <c r="AK103" s="1445">
        <v>660.80895996089998</v>
      </c>
      <c r="AM103" s="1428" t="s">
        <v>2376</v>
      </c>
      <c r="AN103" s="1426" t="str">
        <f>Translation!B$600</f>
        <v>Krebs</v>
      </c>
    </row>
    <row r="104" spans="4:40" s="1426" customFormat="1" ht="11.25" x14ac:dyDescent="0.2">
      <c r="D104" s="1428" t="s">
        <v>2378</v>
      </c>
      <c r="E104" s="1426" t="str">
        <f>Translation!B$601</f>
        <v>Krebs komplex</v>
      </c>
      <c r="G104" s="1437"/>
      <c r="H104" s="2081"/>
      <c r="I104" s="2283"/>
      <c r="J104" s="2283"/>
      <c r="K104" s="2283"/>
      <c r="L104" s="2283"/>
      <c r="M104" s="2283"/>
      <c r="N104" s="2283"/>
      <c r="O104" s="2283"/>
      <c r="P104" s="2283"/>
      <c r="Q104" s="2283"/>
      <c r="R104" s="2283"/>
      <c r="S104" s="2283"/>
      <c r="T104" s="2283"/>
      <c r="U104" s="2283"/>
      <c r="V104" s="2283"/>
      <c r="W104" s="2283"/>
      <c r="X104" s="2283"/>
      <c r="Y104" s="2283"/>
      <c r="Z104" s="2283"/>
      <c r="AA104" s="2283"/>
      <c r="AB104" s="2283"/>
      <c r="AC104" s="2283"/>
      <c r="AD104" s="2283"/>
      <c r="AE104" s="2283"/>
      <c r="AF104" s="2283"/>
      <c r="AG104" s="1445"/>
      <c r="AI104" s="1846"/>
      <c r="AJ104" s="1823"/>
      <c r="AK104" s="1445">
        <v>3487.7263183593</v>
      </c>
      <c r="AM104" s="1428" t="s">
        <v>2378</v>
      </c>
      <c r="AN104" s="1426" t="str">
        <f>Translation!B$601</f>
        <v>Krebs komplex</v>
      </c>
    </row>
    <row r="105" spans="4:40" s="1426" customFormat="1" ht="11.25" x14ac:dyDescent="0.2">
      <c r="D105" s="1428" t="s">
        <v>2380</v>
      </c>
      <c r="E105" s="1426" t="str">
        <f>Translation!B$602</f>
        <v>Morbus Crohn / Colitis ulcerosa</v>
      </c>
      <c r="G105" s="1437"/>
      <c r="H105" s="2081"/>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1445"/>
      <c r="AI105" s="1846"/>
      <c r="AJ105" s="1823"/>
      <c r="AK105" s="1445">
        <v>335.96752929680002</v>
      </c>
      <c r="AM105" s="1428" t="s">
        <v>2380</v>
      </c>
      <c r="AN105" s="1426" t="str">
        <f>Translation!B$602</f>
        <v>Morbus Crohn / Colitis ulcerosa</v>
      </c>
    </row>
    <row r="106" spans="4:40" s="1426" customFormat="1" ht="11.25" x14ac:dyDescent="0.2">
      <c r="D106" s="1428" t="s">
        <v>2382</v>
      </c>
      <c r="E106" s="1426" t="str">
        <f>Translation!B$603</f>
        <v>Multiple Sklerose</v>
      </c>
      <c r="G106" s="1437"/>
      <c r="H106" s="2081"/>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1445"/>
      <c r="AI106" s="1846"/>
      <c r="AJ106" s="1823"/>
      <c r="AK106" s="1445">
        <v>1790.4907226562</v>
      </c>
      <c r="AM106" s="1428" t="s">
        <v>2382</v>
      </c>
      <c r="AN106" s="1426" t="str">
        <f>Translation!B$603</f>
        <v>Multiple Sklerose</v>
      </c>
    </row>
    <row r="107" spans="4:40" s="1426" customFormat="1" ht="11.25" x14ac:dyDescent="0.2">
      <c r="D107" s="1428" t="s">
        <v>2384</v>
      </c>
      <c r="E107" s="1426" t="str">
        <f>Translation!B$604</f>
        <v>Nierenerkrankung</v>
      </c>
      <c r="G107" s="1437"/>
      <c r="H107" s="2081"/>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1445"/>
      <c r="AI107" s="1846"/>
      <c r="AJ107" s="1823"/>
      <c r="AK107" s="1445">
        <v>5702.1538085937</v>
      </c>
      <c r="AM107" s="1428" t="s">
        <v>2384</v>
      </c>
      <c r="AN107" s="1426" t="str">
        <f>Translation!B$604</f>
        <v>Nierenerkrankung</v>
      </c>
    </row>
    <row r="108" spans="4:40" s="1426" customFormat="1" ht="11.25" x14ac:dyDescent="0.2">
      <c r="D108" s="1428" t="s">
        <v>2386</v>
      </c>
      <c r="E108" s="1426" t="str">
        <f>Translation!B$605</f>
        <v>Pulmonale (arterielle) Hypertonie</v>
      </c>
      <c r="G108" s="1437"/>
      <c r="H108" s="2081"/>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1445"/>
      <c r="AI108" s="1846"/>
      <c r="AJ108" s="1823"/>
      <c r="AK108" s="1445">
        <v>4576.818359375</v>
      </c>
      <c r="AM108" s="1428" t="s">
        <v>2386</v>
      </c>
      <c r="AN108" s="1426" t="str">
        <f>Translation!B$605</f>
        <v>Pulmonale (arterielle) Hypertonie</v>
      </c>
    </row>
    <row r="109" spans="4:40" s="1426" customFormat="1" ht="11.25" x14ac:dyDescent="0.2">
      <c r="D109" s="1428" t="s">
        <v>2388</v>
      </c>
      <c r="E109" s="1426" t="str">
        <f>Translation!B$606</f>
        <v>Morbus Parkinson</v>
      </c>
      <c r="G109" s="1437"/>
      <c r="H109" s="2081"/>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1445"/>
      <c r="AI109" s="1846"/>
      <c r="AJ109" s="1823"/>
      <c r="AK109" s="1445">
        <v>941.32928466789997</v>
      </c>
      <c r="AM109" s="1428" t="s">
        <v>2388</v>
      </c>
      <c r="AN109" s="1426" t="str">
        <f>Translation!B$606</f>
        <v>Morbus Parkinson</v>
      </c>
    </row>
    <row r="110" spans="4:40" s="1426" customFormat="1" ht="11.25" x14ac:dyDescent="0.2">
      <c r="D110" s="1428" t="s">
        <v>2390</v>
      </c>
      <c r="E110" s="1426" t="str">
        <f>Translation!B$607</f>
        <v>Psoriasis</v>
      </c>
      <c r="G110" s="1437"/>
      <c r="H110" s="2081"/>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1445"/>
      <c r="AI110" s="1846"/>
      <c r="AJ110" s="1823"/>
      <c r="AK110" s="1445">
        <v>286.74380493159998</v>
      </c>
      <c r="AM110" s="1428" t="s">
        <v>2390</v>
      </c>
      <c r="AN110" s="1426" t="str">
        <f>Translation!B$607</f>
        <v>Psoriasis</v>
      </c>
    </row>
    <row r="111" spans="4:40" s="1426" customFormat="1" ht="11.25" x14ac:dyDescent="0.2">
      <c r="D111" s="1428" t="s">
        <v>2392</v>
      </c>
      <c r="E111" s="1426" t="str">
        <f>Translation!B$608</f>
        <v>Psychose</v>
      </c>
      <c r="G111" s="1437"/>
      <c r="H111" s="2081"/>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1445"/>
      <c r="AI111" s="1846"/>
      <c r="AJ111" s="1823"/>
      <c r="AK111" s="1445">
        <v>627.86938476559999</v>
      </c>
      <c r="AM111" s="1428" t="s">
        <v>2392</v>
      </c>
      <c r="AN111" s="1426" t="str">
        <f>Translation!B$608</f>
        <v>Psychose</v>
      </c>
    </row>
    <row r="112" spans="4:40" s="1426" customFormat="1" ht="11.25" x14ac:dyDescent="0.2">
      <c r="D112" s="1428" t="s">
        <v>2394</v>
      </c>
      <c r="E112" s="1426" t="str">
        <f>Translation!B$609</f>
        <v>Rheuma</v>
      </c>
      <c r="G112" s="1437"/>
      <c r="H112" s="2081"/>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1445"/>
      <c r="AI112" s="1846"/>
      <c r="AJ112" s="1823"/>
      <c r="AK112" s="1445">
        <v>355.33056640619998</v>
      </c>
      <c r="AM112" s="1428" t="s">
        <v>2394</v>
      </c>
      <c r="AN112" s="1426" t="str">
        <f>Translation!B$609</f>
        <v>Rheuma</v>
      </c>
    </row>
    <row r="113" spans="4:40" s="1426" customFormat="1" ht="11.25" x14ac:dyDescent="0.2">
      <c r="D113" s="1428" t="s">
        <v>2396</v>
      </c>
      <c r="E113" s="1426" t="str">
        <f>Translation!B$610</f>
        <v>Chronische Schmerzen ohne Opioide</v>
      </c>
      <c r="G113" s="1437"/>
      <c r="H113" s="2081"/>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1445"/>
      <c r="AI113" s="1846"/>
      <c r="AJ113" s="1823"/>
      <c r="AK113" s="1445">
        <v>269.16455078119998</v>
      </c>
      <c r="AM113" s="1428" t="s">
        <v>2396</v>
      </c>
      <c r="AN113" s="1426" t="str">
        <f>Translation!B$610</f>
        <v>Chronische Schmerzen ohne Opioide</v>
      </c>
    </row>
    <row r="114" spans="4:40" s="1426" customFormat="1" ht="11.25" x14ac:dyDescent="0.2">
      <c r="D114" s="1428" t="s">
        <v>2398</v>
      </c>
      <c r="E114" s="1426" t="str">
        <f>Translation!B$611</f>
        <v>Neuropathischer Schmerz</v>
      </c>
      <c r="G114" s="1437"/>
      <c r="H114" s="2081"/>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1445"/>
      <c r="AI114" s="1846"/>
      <c r="AJ114" s="1823"/>
      <c r="AK114" s="1445">
        <v>723.60095214839998</v>
      </c>
      <c r="AM114" s="1428" t="s">
        <v>2398</v>
      </c>
      <c r="AN114" s="1426" t="str">
        <f>Translation!B$611</f>
        <v>Neuropathischer Schmerz</v>
      </c>
    </row>
    <row r="115" spans="4:40" s="1426" customFormat="1" ht="11.25" x14ac:dyDescent="0.2">
      <c r="D115" s="1428" t="s">
        <v>2400</v>
      </c>
      <c r="E115" s="1426" t="str">
        <f>Translation!B$612</f>
        <v>Schilddrüsenerkrankungen</v>
      </c>
      <c r="G115" s="1437"/>
      <c r="H115" s="2081"/>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1445"/>
      <c r="AI115" s="1846"/>
      <c r="AJ115" s="1823"/>
      <c r="AK115" s="1445">
        <v>119.89582061759999</v>
      </c>
      <c r="AM115" s="1428" t="s">
        <v>2400</v>
      </c>
      <c r="AN115" s="1426" t="str">
        <f>Translation!B$612</f>
        <v>Schilddrüsenerkrankungen</v>
      </c>
    </row>
    <row r="116" spans="4:40" s="1426" customFormat="1" ht="11.25" x14ac:dyDescent="0.2">
      <c r="D116" s="1428" t="s">
        <v>2402</v>
      </c>
      <c r="E116" s="1426" t="str">
        <f>Translation!B$613</f>
        <v>Transplantationen</v>
      </c>
      <c r="G116" s="1437"/>
      <c r="H116" s="2081"/>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1445"/>
      <c r="AI116" s="1846"/>
      <c r="AJ116" s="1823"/>
      <c r="AK116" s="1445">
        <v>1624.5346679687</v>
      </c>
      <c r="AM116" s="1428" t="s">
        <v>2402</v>
      </c>
      <c r="AN116" s="1426" t="str">
        <f>Translation!B$613</f>
        <v>Transplantationen</v>
      </c>
    </row>
    <row r="117" spans="4:40" s="1426" customFormat="1" ht="11.25" x14ac:dyDescent="0.2">
      <c r="D117" s="1428" t="s">
        <v>2404</v>
      </c>
      <c r="E117" s="1426" t="str">
        <f>Translation!B$614</f>
        <v>Wachstumsstörung</v>
      </c>
      <c r="G117" s="1437"/>
      <c r="H117" s="2081"/>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1445"/>
      <c r="AI117" s="1846"/>
      <c r="AJ117" s="1823"/>
      <c r="AK117" s="1445">
        <v>1142.3956298828</v>
      </c>
      <c r="AM117" s="1428" t="s">
        <v>2404</v>
      </c>
      <c r="AN117" s="1426" t="str">
        <f>Translation!B$614</f>
        <v>Wachstumsstörung</v>
      </c>
    </row>
    <row r="118" spans="4:40" s="1426" customFormat="1" ht="11.25" x14ac:dyDescent="0.2">
      <c r="D118" s="1428" t="s">
        <v>2406</v>
      </c>
      <c r="E118" s="1426" t="str">
        <f>Translation!B$615</f>
        <v>Zystische Fibrose / Pankreasenzyme</v>
      </c>
      <c r="G118" s="1437"/>
      <c r="H118" s="2081"/>
      <c r="I118" s="2283"/>
      <c r="J118" s="2283"/>
      <c r="K118" s="2283"/>
      <c r="L118" s="2283"/>
      <c r="M118" s="2283"/>
      <c r="N118" s="2283"/>
      <c r="O118" s="2283"/>
      <c r="P118" s="2283"/>
      <c r="Q118" s="2283"/>
      <c r="R118" s="2283"/>
      <c r="S118" s="2283"/>
      <c r="T118" s="2283"/>
      <c r="U118" s="2283"/>
      <c r="V118" s="2283"/>
      <c r="W118" s="2283"/>
      <c r="X118" s="2283"/>
      <c r="Y118" s="2283"/>
      <c r="Z118" s="2283"/>
      <c r="AA118" s="2283"/>
      <c r="AB118" s="2283"/>
      <c r="AC118" s="2283"/>
      <c r="AD118" s="2283"/>
      <c r="AE118" s="2283"/>
      <c r="AF118" s="2283"/>
      <c r="AG118" s="1445"/>
      <c r="AI118" s="1846"/>
      <c r="AJ118" s="1823"/>
      <c r="AK118" s="1445">
        <v>1685.2724609375</v>
      </c>
      <c r="AM118" s="1428" t="s">
        <v>2406</v>
      </c>
      <c r="AN118" s="1426" t="str">
        <f>Translation!B$615</f>
        <v>Zystische Fibrose / Pankreasenzyme</v>
      </c>
    </row>
    <row r="119" spans="4:40" s="1426" customFormat="1" ht="11.25" x14ac:dyDescent="0.2">
      <c r="D119" s="1428" t="s">
        <v>2408</v>
      </c>
      <c r="E119" s="1426" t="str">
        <f>Translation!B$616</f>
        <v>Krankheiten des ZN ohne Multiple Sklerose</v>
      </c>
      <c r="G119" s="1437"/>
      <c r="H119" s="2081"/>
      <c r="I119" s="2283"/>
      <c r="J119" s="2283"/>
      <c r="K119" s="2283"/>
      <c r="L119" s="2283"/>
      <c r="M119" s="2283"/>
      <c r="N119" s="2283"/>
      <c r="O119" s="2283"/>
      <c r="P119" s="2283"/>
      <c r="Q119" s="2283"/>
      <c r="R119" s="2283"/>
      <c r="S119" s="2283"/>
      <c r="T119" s="2283"/>
      <c r="U119" s="2283"/>
      <c r="V119" s="2283"/>
      <c r="W119" s="2283"/>
      <c r="X119" s="2283"/>
      <c r="Y119" s="2283"/>
      <c r="Z119" s="2283"/>
      <c r="AA119" s="2283"/>
      <c r="AB119" s="2283"/>
      <c r="AC119" s="2283"/>
      <c r="AD119" s="2283"/>
      <c r="AE119" s="2283"/>
      <c r="AF119" s="2283"/>
      <c r="AG119" s="1445"/>
      <c r="AI119" s="1846"/>
      <c r="AJ119" s="1823"/>
      <c r="AK119" s="1445">
        <v>1310.7658691406</v>
      </c>
      <c r="AM119" s="1428" t="s">
        <v>2408</v>
      </c>
      <c r="AN119" s="1426" t="str">
        <f>Translation!B$616</f>
        <v>Krankheiten des ZN ohne Multiple Sklerose</v>
      </c>
    </row>
    <row r="120" spans="4:40" s="1426" customFormat="1" ht="11.25" x14ac:dyDescent="0.2">
      <c r="D120" s="1428" t="s">
        <v>2410</v>
      </c>
      <c r="E120" s="1426" t="str">
        <f>Translation!B$617</f>
        <v>Diabetes Typ-2 mit Bluthochdruck</v>
      </c>
      <c r="G120" s="1437"/>
      <c r="H120" s="2074"/>
      <c r="I120" s="1446"/>
      <c r="J120" s="1446"/>
      <c r="K120" s="1446"/>
      <c r="L120" s="1446"/>
      <c r="M120" s="1446"/>
      <c r="N120" s="1446"/>
      <c r="O120" s="1446"/>
      <c r="P120" s="1446"/>
      <c r="Q120" s="1446"/>
      <c r="R120" s="1446"/>
      <c r="S120" s="1446"/>
      <c r="T120" s="1446"/>
      <c r="U120" s="1446"/>
      <c r="V120" s="1446"/>
      <c r="W120" s="1446"/>
      <c r="X120" s="1446"/>
      <c r="Y120" s="1446"/>
      <c r="Z120" s="1446"/>
      <c r="AA120" s="1446"/>
      <c r="AB120" s="1446"/>
      <c r="AC120" s="1446"/>
      <c r="AD120" s="1446"/>
      <c r="AE120" s="1446"/>
      <c r="AF120" s="1446"/>
      <c r="AG120" s="1447"/>
      <c r="AI120" s="1846"/>
      <c r="AJ120" s="1824"/>
      <c r="AK120" s="1447">
        <v>280.48406982419999</v>
      </c>
      <c r="AM120" s="1428" t="s">
        <v>2410</v>
      </c>
      <c r="AN120" s="1426" t="str">
        <f>Translation!B$617</f>
        <v>Diabetes Typ-2 mit Bluthochdruck</v>
      </c>
    </row>
    <row r="121" spans="4:40" s="1426" customFormat="1" x14ac:dyDescent="0.2">
      <c r="E121" s="644"/>
      <c r="F121" s="644"/>
      <c r="G121" s="644"/>
      <c r="H121" s="644"/>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row>
    <row r="122" spans="4:40" s="1426" customFormat="1" x14ac:dyDescent="0.2">
      <c r="E122" s="644"/>
      <c r="F122" s="2088"/>
      <c r="G122" s="1437" t="str">
        <f>Translation!B$582</f>
        <v>Summe</v>
      </c>
      <c r="H122" s="2092">
        <f t="shared" ref="H122:AG122" si="1">SUM(H87:H120)</f>
        <v>0</v>
      </c>
      <c r="I122" s="2093">
        <f t="shared" si="1"/>
        <v>0</v>
      </c>
      <c r="J122" s="2093">
        <f t="shared" si="1"/>
        <v>0</v>
      </c>
      <c r="K122" s="2093">
        <f t="shared" si="1"/>
        <v>0</v>
      </c>
      <c r="L122" s="2093">
        <f t="shared" si="1"/>
        <v>0</v>
      </c>
      <c r="M122" s="2093">
        <f t="shared" si="1"/>
        <v>0</v>
      </c>
      <c r="N122" s="2093">
        <f t="shared" si="1"/>
        <v>0</v>
      </c>
      <c r="O122" s="2093">
        <f t="shared" si="1"/>
        <v>0</v>
      </c>
      <c r="P122" s="2093">
        <f t="shared" si="1"/>
        <v>0</v>
      </c>
      <c r="Q122" s="2093">
        <f t="shared" si="1"/>
        <v>0</v>
      </c>
      <c r="R122" s="2093">
        <f t="shared" si="1"/>
        <v>0</v>
      </c>
      <c r="S122" s="2093">
        <f t="shared" si="1"/>
        <v>0</v>
      </c>
      <c r="T122" s="2093">
        <f t="shared" si="1"/>
        <v>0</v>
      </c>
      <c r="U122" s="2093">
        <f t="shared" si="1"/>
        <v>0</v>
      </c>
      <c r="V122" s="2093">
        <f t="shared" si="1"/>
        <v>0</v>
      </c>
      <c r="W122" s="2093">
        <f t="shared" si="1"/>
        <v>0</v>
      </c>
      <c r="X122" s="2093">
        <f t="shared" si="1"/>
        <v>0</v>
      </c>
      <c r="Y122" s="2093">
        <f t="shared" si="1"/>
        <v>0</v>
      </c>
      <c r="Z122" s="2093">
        <f t="shared" si="1"/>
        <v>0</v>
      </c>
      <c r="AA122" s="2093">
        <f t="shared" si="1"/>
        <v>0</v>
      </c>
      <c r="AB122" s="2093">
        <f t="shared" si="1"/>
        <v>0</v>
      </c>
      <c r="AC122" s="2093">
        <f t="shared" si="1"/>
        <v>0</v>
      </c>
      <c r="AD122" s="2093">
        <f t="shared" si="1"/>
        <v>0</v>
      </c>
      <c r="AE122" s="2093">
        <f t="shared" si="1"/>
        <v>0</v>
      </c>
      <c r="AF122" s="2093">
        <f t="shared" si="1"/>
        <v>0</v>
      </c>
      <c r="AG122" s="2094">
        <f t="shared" si="1"/>
        <v>0</v>
      </c>
    </row>
    <row r="123" spans="4:40" s="1426" customFormat="1" ht="11.25" x14ac:dyDescent="0.2"/>
    <row r="124" spans="4:40" s="1426" customFormat="1" ht="11.25" x14ac:dyDescent="0.2"/>
    <row r="125" spans="4:40" s="1426" customFormat="1" ht="11.25" x14ac:dyDescent="0.2"/>
    <row r="126" spans="4:40" s="1426" customFormat="1" ht="11.25" x14ac:dyDescent="0.2"/>
    <row r="127" spans="4:40" s="1426" customFormat="1" ht="11.25" x14ac:dyDescent="0.2"/>
    <row r="128" spans="4:40" s="1426" customFormat="1" ht="11.25" x14ac:dyDescent="0.2"/>
    <row r="129" s="1426" customFormat="1" ht="11.25" x14ac:dyDescent="0.2"/>
    <row r="130" s="1426" customFormat="1" ht="11.25" x14ac:dyDescent="0.2"/>
    <row r="131" s="1426" customFormat="1" ht="11.25" x14ac:dyDescent="0.2"/>
    <row r="132" s="1426" customFormat="1" ht="11.25" x14ac:dyDescent="0.2"/>
    <row r="133" s="1426" customFormat="1" ht="11.25" x14ac:dyDescent="0.2"/>
    <row r="134" s="1426" customFormat="1" ht="11.25" x14ac:dyDescent="0.2"/>
    <row r="135" s="1426" customFormat="1" ht="11.25" x14ac:dyDescent="0.2"/>
    <row r="136" s="1426" customFormat="1" ht="11.25" x14ac:dyDescent="0.2"/>
    <row r="137" s="1426" customFormat="1" ht="11.25" x14ac:dyDescent="0.2"/>
    <row r="138" s="1426" customFormat="1" ht="11.25" x14ac:dyDescent="0.2"/>
    <row r="139" s="1426" customFormat="1" ht="11.25" x14ac:dyDescent="0.2"/>
    <row r="140" s="1426" customFormat="1" ht="11.25" x14ac:dyDescent="0.2"/>
    <row r="141" s="1426" customFormat="1" ht="11.25" x14ac:dyDescent="0.2"/>
    <row r="142" s="1426" customFormat="1" ht="11.25" x14ac:dyDescent="0.2"/>
    <row r="143" s="1426" customFormat="1" ht="11.25" x14ac:dyDescent="0.2"/>
    <row r="144" s="1426" customFormat="1" ht="11.25" x14ac:dyDescent="0.2"/>
    <row r="145" s="1426" customFormat="1" ht="11.25" x14ac:dyDescent="0.2"/>
    <row r="146" s="1426" customFormat="1" ht="11.25" x14ac:dyDescent="0.2"/>
    <row r="147" s="1426" customFormat="1" ht="11.25" x14ac:dyDescent="0.2"/>
    <row r="148" s="1426" customFormat="1" ht="11.25" x14ac:dyDescent="0.2"/>
    <row r="149" s="1426" customFormat="1" ht="11.25" x14ac:dyDescent="0.2"/>
    <row r="150" s="1426" customFormat="1" ht="11.25" x14ac:dyDescent="0.2"/>
    <row r="151" s="1426" customFormat="1" ht="11.25" x14ac:dyDescent="0.2"/>
    <row r="152" s="1426" customFormat="1" ht="11.25" x14ac:dyDescent="0.2"/>
    <row r="153" s="1426" customFormat="1" ht="11.25" x14ac:dyDescent="0.2"/>
    <row r="154" s="1426" customFormat="1" ht="11.25" x14ac:dyDescent="0.2"/>
    <row r="155" s="1426" customFormat="1" ht="11.25" x14ac:dyDescent="0.2"/>
    <row r="156" s="1426" customFormat="1" ht="11.25" x14ac:dyDescent="0.2"/>
    <row r="157" s="1426" customFormat="1" ht="11.25" x14ac:dyDescent="0.2"/>
    <row r="158" s="1426" customFormat="1" ht="11.25" x14ac:dyDescent="0.2"/>
    <row r="159" s="1426" customFormat="1" ht="11.25" x14ac:dyDescent="0.2"/>
    <row r="160" s="1426" customFormat="1" ht="11.25" x14ac:dyDescent="0.2"/>
    <row r="161" s="1426" customFormat="1" ht="11.25" x14ac:dyDescent="0.2"/>
    <row r="162" s="1426" customFormat="1" ht="11.25" x14ac:dyDescent="0.2"/>
    <row r="163" s="1426" customFormat="1" ht="11.25" x14ac:dyDescent="0.2"/>
    <row r="164" s="1426" customFormat="1" ht="11.25" x14ac:dyDescent="0.2"/>
    <row r="165" s="1426" customFormat="1" ht="11.25" x14ac:dyDescent="0.2"/>
    <row r="166" s="1426" customFormat="1" ht="11.25" x14ac:dyDescent="0.2"/>
    <row r="167" s="1426" customFormat="1" ht="11.25" x14ac:dyDescent="0.2"/>
    <row r="168" s="1426" customFormat="1" ht="11.25" x14ac:dyDescent="0.2"/>
    <row r="169" s="1426" customFormat="1" ht="11.25" x14ac:dyDescent="0.2"/>
    <row r="170" s="1426" customFormat="1" ht="11.25" x14ac:dyDescent="0.2"/>
    <row r="171" s="1426" customFormat="1" ht="11.25" x14ac:dyDescent="0.2"/>
    <row r="172" s="1426" customFormat="1" ht="11.25" x14ac:dyDescent="0.2"/>
    <row r="173" s="1426" customFormat="1" ht="11.25" x14ac:dyDescent="0.2"/>
    <row r="174" s="1426" customFormat="1" ht="11.25" x14ac:dyDescent="0.2"/>
    <row r="175" s="1426" customFormat="1" ht="11.25" x14ac:dyDescent="0.2"/>
    <row r="176" s="1426" customFormat="1" ht="11.25" x14ac:dyDescent="0.2"/>
    <row r="177" s="1426" customFormat="1" ht="11.25" x14ac:dyDescent="0.2"/>
    <row r="178" s="1426" customFormat="1" ht="11.25" x14ac:dyDescent="0.2"/>
    <row r="179" s="1426" customFormat="1" ht="11.25" x14ac:dyDescent="0.2"/>
    <row r="180" s="1426" customFormat="1" ht="11.25" x14ac:dyDescent="0.2"/>
    <row r="181" s="1426" customFormat="1" ht="11.25" x14ac:dyDescent="0.2"/>
    <row r="182" s="1426" customFormat="1" ht="11.25" x14ac:dyDescent="0.2"/>
    <row r="183" s="1426" customFormat="1" ht="11.25" x14ac:dyDescent="0.2"/>
    <row r="184" s="1426" customFormat="1" ht="11.25" x14ac:dyDescent="0.2"/>
    <row r="185" s="1426" customFormat="1" ht="11.25" x14ac:dyDescent="0.2"/>
    <row r="186" s="1426" customFormat="1" ht="11.25" x14ac:dyDescent="0.2"/>
    <row r="187" s="1426" customFormat="1" ht="11.25" x14ac:dyDescent="0.2"/>
    <row r="188" s="1426" customFormat="1" ht="11.25" x14ac:dyDescent="0.2"/>
    <row r="189" s="1426" customFormat="1" ht="11.25" x14ac:dyDescent="0.2"/>
    <row r="190" s="1426" customFormat="1" ht="11.25" x14ac:dyDescent="0.2"/>
    <row r="191" s="1426" customFormat="1" ht="11.25" x14ac:dyDescent="0.2"/>
    <row r="192" s="1426" customFormat="1" ht="11.25" x14ac:dyDescent="0.2"/>
    <row r="193" s="1426" customFormat="1" ht="11.25" x14ac:dyDescent="0.2"/>
    <row r="194" s="1426" customFormat="1" ht="11.25" x14ac:dyDescent="0.2"/>
    <row r="195" s="1426" customFormat="1" ht="11.25" x14ac:dyDescent="0.2"/>
    <row r="196" s="1426" customFormat="1" ht="11.25" x14ac:dyDescent="0.2"/>
    <row r="197" s="1426" customFormat="1" ht="11.25" x14ac:dyDescent="0.2"/>
    <row r="198" s="1426" customFormat="1" ht="11.25" x14ac:dyDescent="0.2"/>
    <row r="199" s="1426" customFormat="1" ht="11.25" x14ac:dyDescent="0.2"/>
    <row r="200" s="1426" customFormat="1" ht="11.25" x14ac:dyDescent="0.2"/>
    <row r="201" s="1426" customFormat="1" ht="11.25" x14ac:dyDescent="0.2"/>
    <row r="202" s="1426" customFormat="1" ht="11.25" x14ac:dyDescent="0.2"/>
    <row r="203" s="1426" customFormat="1" ht="11.25" x14ac:dyDescent="0.2"/>
    <row r="204" s="1426" customFormat="1" ht="11.25" x14ac:dyDescent="0.2"/>
    <row r="205" s="1426" customFormat="1" ht="11.25" x14ac:dyDescent="0.2"/>
    <row r="206" s="1426" customFormat="1" ht="11.25" x14ac:dyDescent="0.2"/>
    <row r="207" s="1426" customFormat="1" ht="11.25" x14ac:dyDescent="0.2"/>
    <row r="208" s="1426" customFormat="1" ht="11.25" x14ac:dyDescent="0.2"/>
    <row r="209" s="1426" customFormat="1" ht="11.25" x14ac:dyDescent="0.2"/>
    <row r="210" s="1426" customFormat="1" ht="11.25" x14ac:dyDescent="0.2"/>
    <row r="211" s="1426" customFormat="1" ht="11.25" x14ac:dyDescent="0.2"/>
    <row r="212" s="1426" customFormat="1" ht="11.25" x14ac:dyDescent="0.2"/>
    <row r="213" s="1426" customFormat="1" ht="11.25" x14ac:dyDescent="0.2"/>
    <row r="214" s="1426" customFormat="1" ht="11.25" x14ac:dyDescent="0.2"/>
    <row r="215" s="1426" customFormat="1" ht="11.25" x14ac:dyDescent="0.2"/>
    <row r="216" s="1426" customFormat="1" ht="11.25" x14ac:dyDescent="0.2"/>
    <row r="217" s="1426" customFormat="1" ht="11.25" x14ac:dyDescent="0.2"/>
    <row r="218" s="1426" customFormat="1" ht="11.25" x14ac:dyDescent="0.2"/>
    <row r="219" s="1426" customFormat="1" ht="11.25" x14ac:dyDescent="0.2"/>
    <row r="220" s="1426" customFormat="1" ht="11.25" x14ac:dyDescent="0.2"/>
    <row r="221" s="1426" customFormat="1" ht="11.25" x14ac:dyDescent="0.2"/>
    <row r="222" s="1426" customFormat="1" ht="11.25" x14ac:dyDescent="0.2"/>
    <row r="223" s="1426" customFormat="1" ht="11.25" x14ac:dyDescent="0.2"/>
    <row r="224" s="1426" customFormat="1" ht="11.25" x14ac:dyDescent="0.2"/>
    <row r="225" s="1426" customFormat="1" ht="11.25" x14ac:dyDescent="0.2"/>
    <row r="226" s="1426" customFormat="1" ht="11.25" x14ac:dyDescent="0.2"/>
    <row r="227" s="1426" customFormat="1" ht="11.25" x14ac:dyDescent="0.2"/>
    <row r="228" s="1426" customFormat="1" ht="11.25" x14ac:dyDescent="0.2"/>
    <row r="229" s="1426" customFormat="1" ht="11.25" x14ac:dyDescent="0.2"/>
    <row r="230" s="1426" customFormat="1" ht="11.25" x14ac:dyDescent="0.2"/>
    <row r="231" s="1426" customFormat="1" ht="11.25" x14ac:dyDescent="0.2"/>
    <row r="232" s="1426" customFormat="1" ht="11.25" x14ac:dyDescent="0.2"/>
    <row r="233" s="1426" customFormat="1" ht="11.25" x14ac:dyDescent="0.2"/>
    <row r="234" s="1426" customFormat="1" ht="11.25" x14ac:dyDescent="0.2"/>
    <row r="235" s="1426" customFormat="1" ht="11.25" x14ac:dyDescent="0.2"/>
    <row r="236" s="1426" customFormat="1" ht="11.25" x14ac:dyDescent="0.2"/>
    <row r="237" s="1426" customFormat="1" ht="11.25" x14ac:dyDescent="0.2"/>
    <row r="238" s="1426" customFormat="1" ht="11.25" x14ac:dyDescent="0.2"/>
    <row r="239" s="1426" customFormat="1" ht="11.25" x14ac:dyDescent="0.2"/>
    <row r="240" s="1426" customFormat="1" ht="11.25" x14ac:dyDescent="0.2"/>
    <row r="241" s="1426" customFormat="1" ht="11.25" x14ac:dyDescent="0.2"/>
    <row r="242" s="1426" customFormat="1" ht="11.25" x14ac:dyDescent="0.2"/>
    <row r="243" s="1426" customFormat="1" ht="11.25" x14ac:dyDescent="0.2"/>
    <row r="244" s="1426" customFormat="1" ht="11.25" x14ac:dyDescent="0.2"/>
    <row r="245" s="1426" customFormat="1" ht="11.25" x14ac:dyDescent="0.2"/>
    <row r="246" s="1426" customFormat="1" ht="11.25" x14ac:dyDescent="0.2"/>
    <row r="247" s="1426" customFormat="1" ht="11.25" x14ac:dyDescent="0.2"/>
    <row r="248" s="1426" customFormat="1" ht="11.25" x14ac:dyDescent="0.2"/>
    <row r="249" s="1426" customFormat="1" ht="11.25" x14ac:dyDescent="0.2"/>
    <row r="250" s="1426" customFormat="1" ht="11.25" x14ac:dyDescent="0.2"/>
    <row r="251" s="1426" customFormat="1" ht="11.25" x14ac:dyDescent="0.2"/>
  </sheetData>
  <mergeCells count="29">
    <mergeCell ref="C5:E6"/>
    <mergeCell ref="AJ84:AK86"/>
    <mergeCell ref="H83:S83"/>
    <mergeCell ref="G84:G86"/>
    <mergeCell ref="H84:AG84"/>
    <mergeCell ref="AJ15:AJ17"/>
    <mergeCell ref="AK15:BJ15"/>
    <mergeCell ref="F9:G9"/>
    <mergeCell ref="H9:I9"/>
    <mergeCell ref="J9:K9"/>
    <mergeCell ref="L9:M9"/>
    <mergeCell ref="G14:U14"/>
    <mergeCell ref="G15:G17"/>
    <mergeCell ref="H15:AG15"/>
    <mergeCell ref="F7:G7"/>
    <mergeCell ref="H7:I7"/>
    <mergeCell ref="J7:K7"/>
    <mergeCell ref="L7:M7"/>
    <mergeCell ref="F8:G8"/>
    <mergeCell ref="H8:I8"/>
    <mergeCell ref="J8:K8"/>
    <mergeCell ref="L8:M8"/>
    <mergeCell ref="L5:M5"/>
    <mergeCell ref="F4:G4"/>
    <mergeCell ref="H4:I4"/>
    <mergeCell ref="J4:K4"/>
    <mergeCell ref="F5:G5"/>
    <mergeCell ref="H5:I5"/>
    <mergeCell ref="J5:K5"/>
  </mergeCells>
  <hyperlinks>
    <hyperlink ref="A1" location="list_of_sheets!A1" display="list_of_sheets!A1" xr:uid="{00000000-0004-0000-1400-000000000000}"/>
  </hyperlinks>
  <pageMargins left="0.7" right="0.7" top="0.78740157499999996" bottom="0.78740157499999996" header="0.3" footer="0.3"/>
  <pageSetup paperSize="9" orientation="portrait" r:id="rId1"/>
  <ignoredErrors>
    <ignoredError sqref="F19:F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tabColor rgb="FF008080"/>
  </sheetPr>
  <dimension ref="A1:FE199"/>
  <sheetViews>
    <sheetView showGridLines="0" zoomScale="85" zoomScaleNormal="85" workbookViewId="0"/>
  </sheetViews>
  <sheetFormatPr baseColWidth="10" defaultColWidth="11.42578125" defaultRowHeight="11.25" x14ac:dyDescent="0.2"/>
  <cols>
    <col min="1" max="5" width="11.42578125" style="1426"/>
    <col min="6" max="31" width="6.5703125" style="1426" customWidth="1"/>
    <col min="32" max="32" width="9.42578125" style="1426" customWidth="1"/>
    <col min="33" max="63" width="6.5703125" style="1426" customWidth="1"/>
    <col min="64" max="64" width="10.42578125" style="1426" bestFit="1" customWidth="1"/>
    <col min="65" max="117" width="6.5703125" style="1426" customWidth="1"/>
    <col min="118" max="118" width="7.5703125" style="1426" customWidth="1"/>
    <col min="119" max="119" width="9.7109375" style="1426" customWidth="1"/>
    <col min="120" max="148" width="6.5703125" style="1426" customWidth="1"/>
    <col min="149" max="149" width="13.42578125" style="1426" customWidth="1"/>
    <col min="150" max="150" width="6.5703125" style="1426" customWidth="1"/>
    <col min="151" max="151" width="11.7109375" style="1426" customWidth="1"/>
    <col min="152" max="152" width="9.5703125" style="1426" customWidth="1"/>
    <col min="153" max="153" width="6.5703125" style="1426" customWidth="1"/>
    <col min="154" max="154" width="13" style="1426" customWidth="1"/>
    <col min="155" max="161" width="11.42578125" style="1426"/>
    <col min="162" max="163" width="6.5703125" style="1426" customWidth="1"/>
    <col min="164" max="16384" width="11.42578125" style="1426"/>
  </cols>
  <sheetData>
    <row r="1" spans="1:161" s="644" customFormat="1" ht="21" thickBot="1" x14ac:dyDescent="0.35">
      <c r="A1" s="2197" t="s">
        <v>2342</v>
      </c>
      <c r="B1" s="1440" t="str">
        <f>Translation!B558</f>
        <v>Parametrisierung Risikoausgleich</v>
      </c>
      <c r="C1" s="1441"/>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0"/>
      <c r="AH1" s="1440"/>
      <c r="AI1" s="1440"/>
      <c r="AJ1" s="1440"/>
      <c r="AK1" s="1440"/>
      <c r="AL1" s="1440"/>
      <c r="AM1" s="1440"/>
      <c r="AN1" s="1440"/>
      <c r="AO1" s="1440"/>
      <c r="AP1" s="1440"/>
      <c r="AQ1" s="1440"/>
      <c r="AR1" s="1440"/>
      <c r="AS1" s="1440"/>
      <c r="AT1" s="1440"/>
      <c r="AU1" s="1440"/>
      <c r="AV1" s="1440"/>
      <c r="AW1" s="1440"/>
      <c r="AX1" s="1440"/>
      <c r="AY1" s="1440"/>
      <c r="AZ1" s="1440"/>
      <c r="BA1" s="1440"/>
      <c r="BB1" s="1440"/>
      <c r="BC1" s="1440"/>
      <c r="BD1" s="1440"/>
      <c r="BE1" s="1440"/>
      <c r="BF1" s="1440"/>
      <c r="BG1" s="1440"/>
      <c r="BH1" s="1440"/>
      <c r="BI1" s="1440"/>
      <c r="BJ1" s="2133"/>
      <c r="BK1" s="2133"/>
      <c r="BL1" s="2133"/>
      <c r="BM1" s="2133"/>
      <c r="BN1" s="2133"/>
      <c r="BO1" s="2133"/>
      <c r="BP1" s="2133"/>
      <c r="BQ1" s="2133"/>
      <c r="BR1" s="2133"/>
      <c r="BS1" s="2133"/>
      <c r="BT1" s="2133"/>
      <c r="BU1" s="2133"/>
      <c r="BV1" s="2133"/>
      <c r="BW1" s="2133"/>
      <c r="BX1" s="2133"/>
      <c r="BY1" s="2133"/>
      <c r="BZ1" s="2133"/>
      <c r="CA1" s="2133"/>
      <c r="CB1" s="2133"/>
      <c r="CC1" s="2133"/>
      <c r="CD1" s="2133"/>
      <c r="CE1" s="2133"/>
      <c r="CF1" s="2133"/>
      <c r="CG1" s="2133"/>
      <c r="CH1" s="2133"/>
      <c r="CI1" s="2133"/>
      <c r="CJ1" s="2133"/>
      <c r="CK1" s="2133"/>
      <c r="CL1" s="2133"/>
      <c r="CM1" s="2133"/>
      <c r="CN1" s="2133"/>
      <c r="CO1" s="2133"/>
      <c r="CP1" s="2133"/>
      <c r="CQ1" s="2133"/>
      <c r="CR1" s="2133"/>
      <c r="CS1" s="2133"/>
      <c r="CT1" s="2133"/>
      <c r="CU1" s="2133"/>
      <c r="CV1" s="2133"/>
      <c r="CW1" s="2133"/>
      <c r="CX1" s="2133"/>
      <c r="CY1" s="2133"/>
      <c r="CZ1" s="2133"/>
      <c r="DA1" s="2133"/>
      <c r="DB1" s="2133"/>
      <c r="DC1" s="2133"/>
      <c r="DD1" s="2133"/>
      <c r="DE1" s="2133"/>
      <c r="DF1" s="2133"/>
      <c r="DG1" s="2133"/>
      <c r="DH1" s="2133"/>
      <c r="DI1" s="2133"/>
      <c r="DJ1" s="2133"/>
      <c r="DK1" s="2133"/>
      <c r="DL1" s="2133"/>
      <c r="DM1" s="2133"/>
      <c r="DN1" s="2133"/>
      <c r="DO1" s="2133"/>
      <c r="DP1" s="2133"/>
      <c r="DQ1" s="2133"/>
      <c r="DR1" s="2133"/>
      <c r="DS1" s="2133"/>
      <c r="DT1" s="2133"/>
      <c r="DU1" s="2133"/>
      <c r="EY1" s="1426"/>
      <c r="EZ1" s="1426"/>
      <c r="FA1" s="1426"/>
      <c r="FB1" s="1426"/>
      <c r="FC1" s="1426"/>
      <c r="FD1" s="1426"/>
      <c r="FE1" s="1426"/>
    </row>
    <row r="2" spans="1:161" s="1819" customFormat="1" ht="12.75" x14ac:dyDescent="0.2">
      <c r="B2" s="2117" t="str">
        <f>Inputparam!C8</f>
        <v xml:space="preserve">0000 </v>
      </c>
      <c r="CN2" s="1426"/>
      <c r="CO2" s="1426"/>
      <c r="CP2" s="1426"/>
      <c r="CQ2" s="1426"/>
      <c r="CR2" s="1426"/>
      <c r="CS2" s="1426"/>
      <c r="CT2" s="1426"/>
      <c r="CU2" s="1426"/>
      <c r="CV2" s="1426"/>
      <c r="CW2" s="1426"/>
      <c r="CX2" s="1426"/>
      <c r="CY2" s="1426"/>
      <c r="CZ2" s="1426"/>
      <c r="DA2" s="1426"/>
      <c r="DB2" s="1426"/>
      <c r="DC2" s="1426"/>
      <c r="DD2" s="1426"/>
      <c r="DE2" s="1426"/>
      <c r="DF2" s="1426"/>
      <c r="DG2" s="1426"/>
      <c r="DH2" s="1426"/>
      <c r="DI2" s="1426"/>
      <c r="DJ2" s="1426"/>
      <c r="DK2" s="1426"/>
      <c r="DL2" s="1426"/>
      <c r="DM2" s="1426"/>
      <c r="DN2" s="1426"/>
      <c r="EY2" s="1426"/>
      <c r="EZ2" s="1426"/>
      <c r="FA2" s="1426"/>
      <c r="FB2" s="1426"/>
      <c r="FC2" s="1426"/>
      <c r="FD2" s="1426"/>
      <c r="FE2" s="1426"/>
    </row>
    <row r="3" spans="1:161" x14ac:dyDescent="0.2">
      <c r="CO3" s="2145"/>
    </row>
    <row r="5" spans="1:161" x14ac:dyDescent="0.2">
      <c r="AH5" s="2158"/>
    </row>
    <row r="6" spans="1:161" ht="12.75" x14ac:dyDescent="0.2">
      <c r="B6" s="644"/>
      <c r="C6" s="644"/>
      <c r="D6" s="644"/>
      <c r="E6" s="644"/>
      <c r="F6" s="1426" t="str">
        <f>Translation!B$618</f>
        <v>Geschätzter Durchschnittsbestand der Gesamtbranche pro Risikoklasse für das Jahr  2025</v>
      </c>
      <c r="AH6" s="1846" t="str">
        <f>Translation!B$571</f>
        <v>Risikoausgleich pro Risikoklasse in Mio. CHF</v>
      </c>
      <c r="BI6" s="644"/>
      <c r="BJ6" s="1846" t="s">
        <v>2431</v>
      </c>
      <c r="BK6" s="644"/>
      <c r="BL6" s="644"/>
      <c r="BM6" s="644"/>
      <c r="BN6" s="644"/>
      <c r="BO6" s="644"/>
      <c r="BP6" s="644"/>
      <c r="BQ6" s="644"/>
      <c r="BR6" s="644"/>
      <c r="BS6" s="644"/>
      <c r="BT6" s="644"/>
      <c r="BU6" s="644"/>
      <c r="BV6" s="644"/>
      <c r="BW6" s="644"/>
      <c r="BX6" s="644"/>
      <c r="BY6" s="644"/>
      <c r="BZ6" s="644"/>
      <c r="CA6" s="644"/>
      <c r="CB6" s="644"/>
      <c r="CC6" s="644"/>
      <c r="CD6" s="644"/>
      <c r="CE6" s="644"/>
      <c r="CF6" s="644"/>
      <c r="CG6" s="644"/>
      <c r="CH6" s="644"/>
      <c r="CI6" s="644"/>
      <c r="CJ6" s="644"/>
      <c r="CK6" s="644"/>
      <c r="CL6" s="644"/>
      <c r="CM6" s="1846" t="str">
        <f>Translation!B623</f>
        <v>Zufallsrisiko der Risikoausgleichsklassen</v>
      </c>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29"/>
      <c r="DJ6" s="1429"/>
      <c r="DK6" s="1429"/>
      <c r="DL6" s="1429"/>
      <c r="DM6" s="1429"/>
      <c r="DN6" s="644"/>
      <c r="DO6" s="1846" t="str">
        <f>Translation!B633</f>
        <v>Modifizierte Gruppendurchschnitte</v>
      </c>
      <c r="DP6" s="644"/>
      <c r="DQ6" s="644"/>
      <c r="DR6" s="644"/>
      <c r="DS6" s="644"/>
      <c r="DT6" s="644"/>
      <c r="DU6" s="644"/>
    </row>
    <row r="7" spans="1:161" ht="12.75" x14ac:dyDescent="0.2">
      <c r="B7" s="644"/>
      <c r="C7" s="644"/>
      <c r="D7" s="644"/>
      <c r="E7" s="644"/>
      <c r="F7" s="644"/>
      <c r="AH7" s="1846"/>
      <c r="BI7" s="644"/>
      <c r="BJ7" s="644"/>
      <c r="BK7" s="644"/>
      <c r="BL7" s="644"/>
      <c r="BM7" s="644"/>
      <c r="BN7" s="644"/>
      <c r="BO7" s="644"/>
      <c r="BP7" s="644"/>
      <c r="BQ7" s="644"/>
      <c r="BR7" s="644"/>
      <c r="BS7" s="644"/>
      <c r="BT7" s="644"/>
      <c r="BU7" s="644"/>
      <c r="BV7" s="644"/>
      <c r="BW7" s="644"/>
      <c r="BX7" s="644"/>
      <c r="BY7" s="644"/>
      <c r="BZ7" s="644"/>
      <c r="CA7" s="644"/>
      <c r="CB7" s="644"/>
      <c r="CC7" s="644"/>
      <c r="CD7" s="644"/>
      <c r="CE7" s="644"/>
      <c r="CF7" s="644"/>
      <c r="CG7" s="644"/>
      <c r="CH7" s="644"/>
      <c r="CI7" s="644"/>
      <c r="CJ7" s="644"/>
      <c r="CK7" s="644"/>
      <c r="CL7" s="644"/>
      <c r="CM7" s="1846"/>
      <c r="CN7" s="1846"/>
      <c r="CO7" s="1846"/>
      <c r="CP7" s="1846"/>
      <c r="CQ7" s="1846"/>
      <c r="CR7" s="644"/>
      <c r="CS7" s="644"/>
      <c r="CT7" s="644"/>
      <c r="CU7" s="644"/>
      <c r="CV7" s="644"/>
      <c r="CW7" s="644"/>
      <c r="CX7" s="644"/>
      <c r="CY7" s="644"/>
      <c r="CZ7" s="644"/>
      <c r="DA7" s="644"/>
      <c r="DB7" s="644"/>
      <c r="DC7" s="644"/>
      <c r="DD7" s="644"/>
      <c r="DE7" s="644"/>
      <c r="DF7" s="644"/>
      <c r="DG7" s="644"/>
      <c r="DH7" s="644"/>
      <c r="DI7" s="644"/>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row>
    <row r="8" spans="1:161" ht="12.75" customHeight="1" x14ac:dyDescent="0.2">
      <c r="B8" s="644"/>
      <c r="C8" s="2118" t="str">
        <f>Translation!B574</f>
        <v>Legende</v>
      </c>
      <c r="D8" s="644"/>
      <c r="E8" s="644"/>
      <c r="F8" s="2567" t="str">
        <f>Translation!B$581</f>
        <v>Risiko-gruppe</v>
      </c>
      <c r="G8" s="2564" t="str">
        <f>Translation!B$583</f>
        <v xml:space="preserve">Kanton </v>
      </c>
      <c r="H8" s="2565"/>
      <c r="I8" s="2565"/>
      <c r="J8" s="2565"/>
      <c r="K8" s="2565"/>
      <c r="L8" s="2565"/>
      <c r="M8" s="2565"/>
      <c r="N8" s="2565"/>
      <c r="O8" s="2565"/>
      <c r="P8" s="2565"/>
      <c r="Q8" s="2565"/>
      <c r="R8" s="2565"/>
      <c r="S8" s="2565"/>
      <c r="T8" s="2565"/>
      <c r="U8" s="2565"/>
      <c r="V8" s="2565"/>
      <c r="W8" s="2565"/>
      <c r="X8" s="2565"/>
      <c r="Y8" s="2565"/>
      <c r="Z8" s="2565"/>
      <c r="AA8" s="2565"/>
      <c r="AB8" s="2565"/>
      <c r="AC8" s="2565"/>
      <c r="AD8" s="2565"/>
      <c r="AE8" s="2565"/>
      <c r="AF8" s="2566"/>
      <c r="AH8" s="2567" t="str">
        <f>Translation!B$581</f>
        <v>Risiko-gruppe</v>
      </c>
      <c r="AI8" s="2564" t="str">
        <f>Translation!B$583</f>
        <v xml:space="preserve">Kanton </v>
      </c>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6"/>
      <c r="BI8" s="644"/>
      <c r="BJ8" s="2567" t="str">
        <f>Translation!B$581</f>
        <v>Risiko-gruppe</v>
      </c>
      <c r="BK8" s="2564" t="str">
        <f>Translation!B$583</f>
        <v xml:space="preserve">Kanton </v>
      </c>
      <c r="BL8" s="2565"/>
      <c r="BM8" s="2565"/>
      <c r="BN8" s="2565"/>
      <c r="BO8" s="2565"/>
      <c r="BP8" s="2565"/>
      <c r="BQ8" s="2565"/>
      <c r="BR8" s="2565"/>
      <c r="BS8" s="2565"/>
      <c r="BT8" s="2565"/>
      <c r="BU8" s="2565"/>
      <c r="BV8" s="2565"/>
      <c r="BW8" s="2565"/>
      <c r="BX8" s="2565"/>
      <c r="BY8" s="2565"/>
      <c r="BZ8" s="2565"/>
      <c r="CA8" s="2565"/>
      <c r="CB8" s="2565"/>
      <c r="CC8" s="2565"/>
      <c r="CD8" s="2565"/>
      <c r="CE8" s="2565"/>
      <c r="CF8" s="2565"/>
      <c r="CG8" s="2565"/>
      <c r="CH8" s="2565"/>
      <c r="CI8" s="2565"/>
      <c r="CJ8" s="2566"/>
      <c r="CK8" s="644"/>
      <c r="CL8" s="644"/>
      <c r="CM8" s="2567" t="str">
        <f>Translation!B$581</f>
        <v>Risiko-gruppe</v>
      </c>
      <c r="CN8" s="2564" t="str">
        <f>Translation!B$583</f>
        <v xml:space="preserve">Kanton </v>
      </c>
      <c r="CO8" s="2576"/>
      <c r="CP8" s="2576"/>
      <c r="CQ8" s="2576"/>
      <c r="CR8" s="2576"/>
      <c r="CS8" s="2576"/>
      <c r="CT8" s="2576"/>
      <c r="CU8" s="2576"/>
      <c r="CV8" s="2576"/>
      <c r="CW8" s="2576"/>
      <c r="CX8" s="2576"/>
      <c r="CY8" s="2576"/>
      <c r="CZ8" s="2576"/>
      <c r="DA8" s="2576"/>
      <c r="DB8" s="2576"/>
      <c r="DC8" s="2576"/>
      <c r="DD8" s="2576"/>
      <c r="DE8" s="2576"/>
      <c r="DF8" s="2576"/>
      <c r="DG8" s="2576"/>
      <c r="DH8" s="2576"/>
      <c r="DI8" s="2576"/>
      <c r="DJ8" s="2576"/>
      <c r="DK8" s="2576"/>
      <c r="DL8" s="2576"/>
      <c r="DM8" s="2577"/>
      <c r="DN8" s="644"/>
      <c r="DO8" s="2567" t="str">
        <f>Translation!B$581</f>
        <v>Risiko-gruppe</v>
      </c>
      <c r="DP8" s="2564" t="str">
        <f>Translation!B$583</f>
        <v xml:space="preserve">Kanton </v>
      </c>
      <c r="DQ8" s="2576"/>
      <c r="DR8" s="2576"/>
      <c r="DS8" s="2576"/>
      <c r="DT8" s="2576"/>
      <c r="DU8" s="2576"/>
      <c r="DV8" s="2576"/>
      <c r="DW8" s="2576"/>
      <c r="DX8" s="2576"/>
      <c r="DY8" s="2576"/>
      <c r="DZ8" s="2576"/>
      <c r="EA8" s="2576"/>
      <c r="EB8" s="2576"/>
      <c r="EC8" s="2576"/>
      <c r="ED8" s="2576"/>
      <c r="EE8" s="2576"/>
      <c r="EF8" s="2576"/>
      <c r="EG8" s="2576"/>
      <c r="EH8" s="2576"/>
      <c r="EI8" s="2576"/>
      <c r="EJ8" s="2576"/>
      <c r="EK8" s="2576"/>
      <c r="EL8" s="2576"/>
      <c r="EM8" s="2576"/>
      <c r="EN8" s="2576"/>
      <c r="EO8" s="2577"/>
      <c r="ER8" s="2567" t="str">
        <f>Translation!B$581</f>
        <v>Risiko-gruppe</v>
      </c>
      <c r="ES8" s="2567" t="str">
        <f>Translation!B556</f>
        <v>Variations-koeffizienten der Einzelleistungen</v>
      </c>
      <c r="ET8" s="644"/>
      <c r="EU8" s="1431"/>
      <c r="EV8" s="1432" t="str">
        <f>Translation!B574</f>
        <v>Legende</v>
      </c>
      <c r="EW8" s="2090"/>
      <c r="EX8" s="2090"/>
    </row>
    <row r="9" spans="1:161" ht="12.75" x14ac:dyDescent="0.2">
      <c r="B9" s="644"/>
      <c r="C9" s="644"/>
      <c r="D9" s="644"/>
      <c r="E9" s="644"/>
      <c r="F9" s="2568"/>
      <c r="G9" s="1434">
        <v>1</v>
      </c>
      <c r="H9" s="1434">
        <v>2</v>
      </c>
      <c r="I9" s="1434">
        <v>3</v>
      </c>
      <c r="J9" s="1434">
        <v>4</v>
      </c>
      <c r="K9" s="1434">
        <v>5</v>
      </c>
      <c r="L9" s="1434">
        <v>6</v>
      </c>
      <c r="M9" s="1434">
        <v>7</v>
      </c>
      <c r="N9" s="1434">
        <v>8</v>
      </c>
      <c r="O9" s="1434">
        <v>9</v>
      </c>
      <c r="P9" s="1434">
        <v>10</v>
      </c>
      <c r="Q9" s="1434">
        <v>11</v>
      </c>
      <c r="R9" s="1434">
        <v>12</v>
      </c>
      <c r="S9" s="1434">
        <v>13</v>
      </c>
      <c r="T9" s="1434">
        <v>14</v>
      </c>
      <c r="U9" s="1434">
        <v>15</v>
      </c>
      <c r="V9" s="1434">
        <v>16</v>
      </c>
      <c r="W9" s="1434">
        <v>17</v>
      </c>
      <c r="X9" s="1434">
        <v>18</v>
      </c>
      <c r="Y9" s="1434">
        <v>19</v>
      </c>
      <c r="Z9" s="1434">
        <v>20</v>
      </c>
      <c r="AA9" s="1434">
        <v>21</v>
      </c>
      <c r="AB9" s="1434">
        <v>22</v>
      </c>
      <c r="AC9" s="1434">
        <v>23</v>
      </c>
      <c r="AD9" s="1434">
        <v>24</v>
      </c>
      <c r="AE9" s="1434">
        <v>25</v>
      </c>
      <c r="AF9" s="1435">
        <v>26</v>
      </c>
      <c r="AH9" s="2568"/>
      <c r="AI9" s="1434">
        <v>1</v>
      </c>
      <c r="AJ9" s="1434">
        <v>2</v>
      </c>
      <c r="AK9" s="1434">
        <v>3</v>
      </c>
      <c r="AL9" s="1434">
        <v>4</v>
      </c>
      <c r="AM9" s="1434">
        <v>5</v>
      </c>
      <c r="AN9" s="1434">
        <v>6</v>
      </c>
      <c r="AO9" s="1434">
        <v>7</v>
      </c>
      <c r="AP9" s="1434">
        <v>8</v>
      </c>
      <c r="AQ9" s="1434">
        <v>9</v>
      </c>
      <c r="AR9" s="1434">
        <v>10</v>
      </c>
      <c r="AS9" s="1434">
        <v>11</v>
      </c>
      <c r="AT9" s="1434">
        <v>12</v>
      </c>
      <c r="AU9" s="1434">
        <v>13</v>
      </c>
      <c r="AV9" s="1434">
        <v>14</v>
      </c>
      <c r="AW9" s="1434">
        <v>15</v>
      </c>
      <c r="AX9" s="1434">
        <v>16</v>
      </c>
      <c r="AY9" s="1434">
        <v>17</v>
      </c>
      <c r="AZ9" s="1434">
        <v>18</v>
      </c>
      <c r="BA9" s="1434">
        <v>19</v>
      </c>
      <c r="BB9" s="1434">
        <v>20</v>
      </c>
      <c r="BC9" s="1434">
        <v>21</v>
      </c>
      <c r="BD9" s="1434">
        <v>22</v>
      </c>
      <c r="BE9" s="1434">
        <v>23</v>
      </c>
      <c r="BF9" s="1434">
        <v>24</v>
      </c>
      <c r="BG9" s="1434">
        <v>25</v>
      </c>
      <c r="BH9" s="1435">
        <v>26</v>
      </c>
      <c r="BI9" s="644"/>
      <c r="BJ9" s="2568"/>
      <c r="BK9" s="1434">
        <v>1</v>
      </c>
      <c r="BL9" s="1434">
        <v>2</v>
      </c>
      <c r="BM9" s="1434">
        <v>3</v>
      </c>
      <c r="BN9" s="1434">
        <v>4</v>
      </c>
      <c r="BO9" s="1434">
        <v>5</v>
      </c>
      <c r="BP9" s="1434">
        <v>6</v>
      </c>
      <c r="BQ9" s="1434">
        <v>7</v>
      </c>
      <c r="BR9" s="1434">
        <v>8</v>
      </c>
      <c r="BS9" s="1434">
        <v>9</v>
      </c>
      <c r="BT9" s="1434">
        <v>10</v>
      </c>
      <c r="BU9" s="1434">
        <v>11</v>
      </c>
      <c r="BV9" s="1434">
        <v>12</v>
      </c>
      <c r="BW9" s="1434">
        <v>13</v>
      </c>
      <c r="BX9" s="1434">
        <v>14</v>
      </c>
      <c r="BY9" s="1434">
        <v>15</v>
      </c>
      <c r="BZ9" s="1434">
        <v>16</v>
      </c>
      <c r="CA9" s="1434">
        <v>17</v>
      </c>
      <c r="CB9" s="1434">
        <v>18</v>
      </c>
      <c r="CC9" s="1434">
        <v>19</v>
      </c>
      <c r="CD9" s="1434">
        <v>20</v>
      </c>
      <c r="CE9" s="1434">
        <v>21</v>
      </c>
      <c r="CF9" s="1434">
        <v>22</v>
      </c>
      <c r="CG9" s="1434">
        <v>23</v>
      </c>
      <c r="CH9" s="1434">
        <v>24</v>
      </c>
      <c r="CI9" s="1434">
        <v>25</v>
      </c>
      <c r="CJ9" s="1435">
        <v>26</v>
      </c>
      <c r="CK9" s="644"/>
      <c r="CL9" s="644"/>
      <c r="CM9" s="2578"/>
      <c r="CN9" s="1825">
        <v>1</v>
      </c>
      <c r="CO9" s="1434">
        <v>2</v>
      </c>
      <c r="CP9" s="1434">
        <v>3</v>
      </c>
      <c r="CQ9" s="1434">
        <v>4</v>
      </c>
      <c r="CR9" s="1434">
        <v>5</v>
      </c>
      <c r="CS9" s="1434">
        <v>6</v>
      </c>
      <c r="CT9" s="1434">
        <v>7</v>
      </c>
      <c r="CU9" s="1434">
        <v>8</v>
      </c>
      <c r="CV9" s="1434">
        <v>9</v>
      </c>
      <c r="CW9" s="1434">
        <v>10</v>
      </c>
      <c r="CX9" s="1434">
        <v>11</v>
      </c>
      <c r="CY9" s="1434">
        <v>12</v>
      </c>
      <c r="CZ9" s="1434">
        <v>13</v>
      </c>
      <c r="DA9" s="1434">
        <v>14</v>
      </c>
      <c r="DB9" s="1434">
        <v>15</v>
      </c>
      <c r="DC9" s="1434">
        <v>16</v>
      </c>
      <c r="DD9" s="1434">
        <v>17</v>
      </c>
      <c r="DE9" s="1434">
        <v>18</v>
      </c>
      <c r="DF9" s="1434">
        <v>19</v>
      </c>
      <c r="DG9" s="1434">
        <v>20</v>
      </c>
      <c r="DH9" s="1434">
        <v>21</v>
      </c>
      <c r="DI9" s="1434">
        <v>22</v>
      </c>
      <c r="DJ9" s="1434">
        <v>23</v>
      </c>
      <c r="DK9" s="1434">
        <v>24</v>
      </c>
      <c r="DL9" s="1434">
        <v>25</v>
      </c>
      <c r="DM9" s="1435">
        <v>26</v>
      </c>
      <c r="DN9" s="644"/>
      <c r="DO9" s="2578"/>
      <c r="DP9" s="1434">
        <v>1</v>
      </c>
      <c r="DQ9" s="1434">
        <v>2</v>
      </c>
      <c r="DR9" s="1434">
        <v>3</v>
      </c>
      <c r="DS9" s="1434">
        <v>4</v>
      </c>
      <c r="DT9" s="1434">
        <v>5</v>
      </c>
      <c r="DU9" s="1434">
        <v>6</v>
      </c>
      <c r="DV9" s="1434">
        <v>7</v>
      </c>
      <c r="DW9" s="1434">
        <v>8</v>
      </c>
      <c r="DX9" s="1434">
        <v>9</v>
      </c>
      <c r="DY9" s="1434">
        <v>10</v>
      </c>
      <c r="DZ9" s="1434">
        <v>11</v>
      </c>
      <c r="EA9" s="1434">
        <v>12</v>
      </c>
      <c r="EB9" s="1434">
        <v>13</v>
      </c>
      <c r="EC9" s="1434">
        <v>14</v>
      </c>
      <c r="ED9" s="1434">
        <v>15</v>
      </c>
      <c r="EE9" s="1434">
        <v>16</v>
      </c>
      <c r="EF9" s="1434">
        <v>17</v>
      </c>
      <c r="EG9" s="1434">
        <v>18</v>
      </c>
      <c r="EH9" s="1434">
        <v>19</v>
      </c>
      <c r="EI9" s="1434">
        <v>20</v>
      </c>
      <c r="EJ9" s="1434">
        <v>21</v>
      </c>
      <c r="EK9" s="1434">
        <v>22</v>
      </c>
      <c r="EL9" s="1434">
        <v>23</v>
      </c>
      <c r="EM9" s="1434">
        <v>24</v>
      </c>
      <c r="EN9" s="1434">
        <v>25</v>
      </c>
      <c r="EO9" s="1435">
        <v>26</v>
      </c>
      <c r="ER9" s="2568"/>
      <c r="ES9" s="2568"/>
      <c r="ET9" s="644"/>
    </row>
    <row r="10" spans="1:161" ht="12.75" x14ac:dyDescent="0.2">
      <c r="B10" s="1436" t="str">
        <f>Translation!B$575</f>
        <v>Risikogruppe</v>
      </c>
      <c r="C10" s="1436" t="str">
        <f>Translation!B$576</f>
        <v>Geschlecht</v>
      </c>
      <c r="D10" s="1436" t="str">
        <f>Translation!B$577</f>
        <v>Alter</v>
      </c>
      <c r="E10" s="1436" t="str">
        <f>Translation!B$578</f>
        <v>Hospitalisation</v>
      </c>
      <c r="F10" s="2572"/>
      <c r="G10" s="1814" t="s">
        <v>1877</v>
      </c>
      <c r="H10" s="1814" t="s">
        <v>1878</v>
      </c>
      <c r="I10" s="1814" t="s">
        <v>1879</v>
      </c>
      <c r="J10" s="1814" t="s">
        <v>1880</v>
      </c>
      <c r="K10" s="1814" t="s">
        <v>1881</v>
      </c>
      <c r="L10" s="1814" t="s">
        <v>1882</v>
      </c>
      <c r="M10" s="1814" t="s">
        <v>1883</v>
      </c>
      <c r="N10" s="1814" t="s">
        <v>1884</v>
      </c>
      <c r="O10" s="1814" t="s">
        <v>1885</v>
      </c>
      <c r="P10" s="1814" t="s">
        <v>1886</v>
      </c>
      <c r="Q10" s="1814" t="s">
        <v>1887</v>
      </c>
      <c r="R10" s="1814" t="s">
        <v>1888</v>
      </c>
      <c r="S10" s="1814" t="s">
        <v>1889</v>
      </c>
      <c r="T10" s="1814" t="s">
        <v>1890</v>
      </c>
      <c r="U10" s="1814" t="s">
        <v>1891</v>
      </c>
      <c r="V10" s="1814" t="s">
        <v>1892</v>
      </c>
      <c r="W10" s="1814" t="s">
        <v>1893</v>
      </c>
      <c r="X10" s="1814" t="s">
        <v>1894</v>
      </c>
      <c r="Y10" s="1814" t="s">
        <v>1895</v>
      </c>
      <c r="Z10" s="1814" t="s">
        <v>1896</v>
      </c>
      <c r="AA10" s="1814" t="s">
        <v>1897</v>
      </c>
      <c r="AB10" s="1814" t="s">
        <v>1898</v>
      </c>
      <c r="AC10" s="1814" t="s">
        <v>1899</v>
      </c>
      <c r="AD10" s="1814" t="s">
        <v>1900</v>
      </c>
      <c r="AE10" s="1814" t="s">
        <v>1901</v>
      </c>
      <c r="AF10" s="1815" t="s">
        <v>1902</v>
      </c>
      <c r="AH10" s="2572"/>
      <c r="AI10" s="1437" t="s">
        <v>1877</v>
      </c>
      <c r="AJ10" s="1437" t="s">
        <v>1878</v>
      </c>
      <c r="AK10" s="1437" t="s">
        <v>1879</v>
      </c>
      <c r="AL10" s="1437" t="s">
        <v>1880</v>
      </c>
      <c r="AM10" s="1437" t="s">
        <v>1881</v>
      </c>
      <c r="AN10" s="1437" t="s">
        <v>1882</v>
      </c>
      <c r="AO10" s="1437" t="s">
        <v>1883</v>
      </c>
      <c r="AP10" s="1437" t="s">
        <v>1884</v>
      </c>
      <c r="AQ10" s="1437" t="s">
        <v>1885</v>
      </c>
      <c r="AR10" s="1437" t="s">
        <v>1886</v>
      </c>
      <c r="AS10" s="1437" t="s">
        <v>1887</v>
      </c>
      <c r="AT10" s="1437" t="s">
        <v>1888</v>
      </c>
      <c r="AU10" s="1437" t="s">
        <v>1889</v>
      </c>
      <c r="AV10" s="1437" t="s">
        <v>1890</v>
      </c>
      <c r="AW10" s="1437" t="s">
        <v>1891</v>
      </c>
      <c r="AX10" s="1437" t="s">
        <v>1892</v>
      </c>
      <c r="AY10" s="1437" t="s">
        <v>1893</v>
      </c>
      <c r="AZ10" s="1437" t="s">
        <v>1894</v>
      </c>
      <c r="BA10" s="1437" t="s">
        <v>1895</v>
      </c>
      <c r="BB10" s="1437" t="s">
        <v>1896</v>
      </c>
      <c r="BC10" s="1437" t="s">
        <v>1897</v>
      </c>
      <c r="BD10" s="1437" t="s">
        <v>1898</v>
      </c>
      <c r="BE10" s="1437" t="s">
        <v>1899</v>
      </c>
      <c r="BF10" s="1437" t="s">
        <v>1900</v>
      </c>
      <c r="BG10" s="1437" t="s">
        <v>1901</v>
      </c>
      <c r="BH10" s="1438" t="s">
        <v>1902</v>
      </c>
      <c r="BI10" s="644"/>
      <c r="BJ10" s="2572"/>
      <c r="BK10" s="1437" t="s">
        <v>1877</v>
      </c>
      <c r="BL10" s="1437" t="s">
        <v>1878</v>
      </c>
      <c r="BM10" s="1437" t="s">
        <v>1879</v>
      </c>
      <c r="BN10" s="1437" t="s">
        <v>1880</v>
      </c>
      <c r="BO10" s="1437" t="s">
        <v>1881</v>
      </c>
      <c r="BP10" s="1437" t="s">
        <v>1882</v>
      </c>
      <c r="BQ10" s="1437" t="s">
        <v>1883</v>
      </c>
      <c r="BR10" s="1437" t="s">
        <v>1884</v>
      </c>
      <c r="BS10" s="1437" t="s">
        <v>1885</v>
      </c>
      <c r="BT10" s="1437" t="s">
        <v>1886</v>
      </c>
      <c r="BU10" s="1437" t="s">
        <v>1887</v>
      </c>
      <c r="BV10" s="1437" t="s">
        <v>1888</v>
      </c>
      <c r="BW10" s="1437" t="s">
        <v>1889</v>
      </c>
      <c r="BX10" s="1437" t="s">
        <v>1890</v>
      </c>
      <c r="BY10" s="1437" t="s">
        <v>1891</v>
      </c>
      <c r="BZ10" s="1437" t="s">
        <v>1892</v>
      </c>
      <c r="CA10" s="1437" t="s">
        <v>1893</v>
      </c>
      <c r="CB10" s="1437" t="s">
        <v>1894</v>
      </c>
      <c r="CC10" s="1437" t="s">
        <v>1895</v>
      </c>
      <c r="CD10" s="1437" t="s">
        <v>1896</v>
      </c>
      <c r="CE10" s="1437" t="s">
        <v>1897</v>
      </c>
      <c r="CF10" s="1437" t="s">
        <v>1898</v>
      </c>
      <c r="CG10" s="1437" t="s">
        <v>1899</v>
      </c>
      <c r="CH10" s="1437" t="s">
        <v>1900</v>
      </c>
      <c r="CI10" s="1437" t="s">
        <v>1901</v>
      </c>
      <c r="CJ10" s="1438" t="s">
        <v>1902</v>
      </c>
      <c r="CK10" s="2580" t="s">
        <v>2442</v>
      </c>
      <c r="CL10" s="2581"/>
      <c r="CM10" s="2579"/>
      <c r="CN10" s="1829" t="s">
        <v>1877</v>
      </c>
      <c r="CO10" s="1437" t="s">
        <v>1878</v>
      </c>
      <c r="CP10" s="1437" t="s">
        <v>1879</v>
      </c>
      <c r="CQ10" s="1437" t="s">
        <v>1880</v>
      </c>
      <c r="CR10" s="1437" t="s">
        <v>1881</v>
      </c>
      <c r="CS10" s="1437" t="s">
        <v>1882</v>
      </c>
      <c r="CT10" s="1437" t="s">
        <v>1883</v>
      </c>
      <c r="CU10" s="1437" t="s">
        <v>1884</v>
      </c>
      <c r="CV10" s="1437" t="s">
        <v>1885</v>
      </c>
      <c r="CW10" s="1437" t="s">
        <v>1886</v>
      </c>
      <c r="CX10" s="1437" t="s">
        <v>1887</v>
      </c>
      <c r="CY10" s="1437" t="s">
        <v>1888</v>
      </c>
      <c r="CZ10" s="1437" t="s">
        <v>1889</v>
      </c>
      <c r="DA10" s="1437" t="s">
        <v>1890</v>
      </c>
      <c r="DB10" s="1437" t="s">
        <v>1891</v>
      </c>
      <c r="DC10" s="1437" t="s">
        <v>1892</v>
      </c>
      <c r="DD10" s="1437" t="s">
        <v>1893</v>
      </c>
      <c r="DE10" s="1437" t="s">
        <v>1894</v>
      </c>
      <c r="DF10" s="1437" t="s">
        <v>1895</v>
      </c>
      <c r="DG10" s="1437" t="s">
        <v>1896</v>
      </c>
      <c r="DH10" s="1437" t="s">
        <v>1897</v>
      </c>
      <c r="DI10" s="1437" t="s">
        <v>1898</v>
      </c>
      <c r="DJ10" s="1437" t="s">
        <v>1899</v>
      </c>
      <c r="DK10" s="1437" t="s">
        <v>1900</v>
      </c>
      <c r="DL10" s="1437" t="s">
        <v>1901</v>
      </c>
      <c r="DM10" s="1438" t="s">
        <v>1902</v>
      </c>
      <c r="DN10" s="644"/>
      <c r="DO10" s="2579"/>
      <c r="DP10" s="1437" t="s">
        <v>1877</v>
      </c>
      <c r="DQ10" s="1437" t="s">
        <v>1878</v>
      </c>
      <c r="DR10" s="1437" t="s">
        <v>1879</v>
      </c>
      <c r="DS10" s="1437" t="s">
        <v>1880</v>
      </c>
      <c r="DT10" s="1437" t="s">
        <v>1881</v>
      </c>
      <c r="DU10" s="1437" t="s">
        <v>1882</v>
      </c>
      <c r="DV10" s="1437" t="s">
        <v>1883</v>
      </c>
      <c r="DW10" s="1437" t="s">
        <v>1884</v>
      </c>
      <c r="DX10" s="1437" t="s">
        <v>1885</v>
      </c>
      <c r="DY10" s="1437" t="s">
        <v>1886</v>
      </c>
      <c r="DZ10" s="1437" t="s">
        <v>1887</v>
      </c>
      <c r="EA10" s="1437" t="s">
        <v>1888</v>
      </c>
      <c r="EB10" s="1437" t="s">
        <v>1889</v>
      </c>
      <c r="EC10" s="1437" t="s">
        <v>1890</v>
      </c>
      <c r="ED10" s="1437" t="s">
        <v>1891</v>
      </c>
      <c r="EE10" s="1437" t="s">
        <v>1892</v>
      </c>
      <c r="EF10" s="1437" t="s">
        <v>1893</v>
      </c>
      <c r="EG10" s="1437" t="s">
        <v>1894</v>
      </c>
      <c r="EH10" s="1437" t="s">
        <v>1895</v>
      </c>
      <c r="EI10" s="1437" t="s">
        <v>1896</v>
      </c>
      <c r="EJ10" s="1437" t="s">
        <v>1897</v>
      </c>
      <c r="EK10" s="1437" t="s">
        <v>1898</v>
      </c>
      <c r="EL10" s="1437" t="s">
        <v>1899</v>
      </c>
      <c r="EM10" s="1437" t="s">
        <v>1900</v>
      </c>
      <c r="EN10" s="1437" t="s">
        <v>1901</v>
      </c>
      <c r="EO10" s="1438" t="s">
        <v>1902</v>
      </c>
      <c r="ER10" s="2572"/>
      <c r="ES10" s="2572"/>
      <c r="ET10" s="2119"/>
      <c r="EU10" s="1436" t="str">
        <f>Translation!B$575</f>
        <v>Risikogruppe</v>
      </c>
      <c r="EV10" s="1436" t="str">
        <f>Translation!B$576</f>
        <v>Geschlecht</v>
      </c>
      <c r="EW10" s="1436" t="str">
        <f>Translation!B$577</f>
        <v>Alter</v>
      </c>
      <c r="EX10" s="1436" t="str">
        <f>Translation!B$578</f>
        <v>Hospitalisation</v>
      </c>
    </row>
    <row r="11" spans="1:161" ht="12.75" x14ac:dyDescent="0.2">
      <c r="B11" s="2090">
        <v>1</v>
      </c>
      <c r="C11" s="2090" t="s">
        <v>1903</v>
      </c>
      <c r="D11" s="2090" t="s">
        <v>1904</v>
      </c>
      <c r="E11" s="2090" t="str">
        <f>Translation!B$579</f>
        <v>Ja</v>
      </c>
      <c r="F11" s="1621">
        <v>1</v>
      </c>
      <c r="G11" s="2208">
        <v>450.86</v>
      </c>
      <c r="H11" s="2209">
        <v>8.0399999999999991</v>
      </c>
      <c r="I11" s="2209">
        <v>37.462499999999999</v>
      </c>
      <c r="J11" s="2209">
        <v>679.93416666666701</v>
      </c>
      <c r="K11" s="2209">
        <v>273.91750000000002</v>
      </c>
      <c r="L11" s="2209">
        <v>159.89500000000001</v>
      </c>
      <c r="M11" s="2209">
        <v>204.83500000000001</v>
      </c>
      <c r="N11" s="2209">
        <v>323.58083333333298</v>
      </c>
      <c r="O11" s="2209">
        <v>29.25</v>
      </c>
      <c r="P11" s="2209">
        <v>141.4975</v>
      </c>
      <c r="Q11" s="2209">
        <v>59.93</v>
      </c>
      <c r="R11" s="2209">
        <v>257.505</v>
      </c>
      <c r="S11" s="2209">
        <v>95.303333333333299</v>
      </c>
      <c r="T11" s="2209">
        <v>18.1666666666667</v>
      </c>
      <c r="U11" s="2209">
        <v>25.962499999999999</v>
      </c>
      <c r="V11" s="2209">
        <v>380.50166666666701</v>
      </c>
      <c r="W11" s="2209">
        <v>61.024166666666702</v>
      </c>
      <c r="X11" s="2209">
        <v>191.05500000000001</v>
      </c>
      <c r="Y11" s="2209">
        <v>97.096666666666707</v>
      </c>
      <c r="Z11" s="2209">
        <v>180.17166666666699</v>
      </c>
      <c r="AA11" s="2209">
        <v>231.23416666666699</v>
      </c>
      <c r="AB11" s="2209">
        <v>30.238333333333301</v>
      </c>
      <c r="AC11" s="2209">
        <v>462.33749999999998</v>
      </c>
      <c r="AD11" s="2209">
        <v>164.44083333333299</v>
      </c>
      <c r="AE11" s="2209">
        <v>84.642499999999998</v>
      </c>
      <c r="AF11" s="2210">
        <v>1026.62333333333</v>
      </c>
      <c r="AH11" s="1828">
        <v>1</v>
      </c>
      <c r="AI11" s="2120">
        <f>Risk_Compensation!H18*(Risk_Compensation!AK18+CO$143)*12/1000000</f>
        <v>0</v>
      </c>
      <c r="AJ11" s="2122">
        <f>Risk_Compensation!I18*(Risk_Compensation!AL18+CP$143)*12/1000000</f>
        <v>0</v>
      </c>
      <c r="AK11" s="2122">
        <f>Risk_Compensation!J18*(Risk_Compensation!AM18+CQ$143)*12/1000000</f>
        <v>0</v>
      </c>
      <c r="AL11" s="2122">
        <f>Risk_Compensation!K18*(Risk_Compensation!AN18+CR$143)*12/1000000</f>
        <v>0</v>
      </c>
      <c r="AM11" s="2122">
        <f>Risk_Compensation!L18*(Risk_Compensation!AO18+CS$143)*12/1000000</f>
        <v>0</v>
      </c>
      <c r="AN11" s="2122">
        <f>Risk_Compensation!M18*(Risk_Compensation!AP18+CT$143)*12/1000000</f>
        <v>0</v>
      </c>
      <c r="AO11" s="2122">
        <f>Risk_Compensation!N18*(Risk_Compensation!AQ18+CU$143)*12/1000000</f>
        <v>0</v>
      </c>
      <c r="AP11" s="2122">
        <f>Risk_Compensation!O18*(Risk_Compensation!AR18+CV$143)*12/1000000</f>
        <v>0</v>
      </c>
      <c r="AQ11" s="2122">
        <f>Risk_Compensation!P18*(Risk_Compensation!AS18+CW$143)*12/1000000</f>
        <v>0</v>
      </c>
      <c r="AR11" s="2122">
        <f>Risk_Compensation!Q18*(Risk_Compensation!AT18+CX$143)*12/1000000</f>
        <v>0</v>
      </c>
      <c r="AS11" s="2122">
        <f>Risk_Compensation!R18*(Risk_Compensation!AU18+CY$143)*12/1000000</f>
        <v>0</v>
      </c>
      <c r="AT11" s="2122">
        <f>Risk_Compensation!S18*(Risk_Compensation!AV18+CZ$143)*12/1000000</f>
        <v>0</v>
      </c>
      <c r="AU11" s="2122">
        <f>Risk_Compensation!T18*(Risk_Compensation!AW18+DA$143)*12/1000000</f>
        <v>0</v>
      </c>
      <c r="AV11" s="2122">
        <f>Risk_Compensation!U18*(Risk_Compensation!AX18+DB$143)*12/1000000</f>
        <v>0</v>
      </c>
      <c r="AW11" s="2122">
        <f>Risk_Compensation!V18*(Risk_Compensation!AY18+DC$143)*12/1000000</f>
        <v>0</v>
      </c>
      <c r="AX11" s="2122">
        <f>Risk_Compensation!W18*(Risk_Compensation!AZ18+DD$143)*12/1000000</f>
        <v>0</v>
      </c>
      <c r="AY11" s="2122">
        <f>Risk_Compensation!X18*(Risk_Compensation!BA18+DE$143)*12/1000000</f>
        <v>0</v>
      </c>
      <c r="AZ11" s="2122">
        <f>Risk_Compensation!Y18*(Risk_Compensation!BB18+DF$143)*12/1000000</f>
        <v>0</v>
      </c>
      <c r="BA11" s="2122">
        <f>Risk_Compensation!Z18*(Risk_Compensation!BC18+DG$143)*12/1000000</f>
        <v>0</v>
      </c>
      <c r="BB11" s="2122">
        <f>Risk_Compensation!AA18*(Risk_Compensation!BD18+DH$143)*12/1000000</f>
        <v>0</v>
      </c>
      <c r="BC11" s="2122">
        <f>Risk_Compensation!AB18*(Risk_Compensation!BE18+DI$143)*12/1000000</f>
        <v>0</v>
      </c>
      <c r="BD11" s="2122">
        <f>Risk_Compensation!AC18*(Risk_Compensation!BF18+DJ$143)*12/1000000</f>
        <v>0</v>
      </c>
      <c r="BE11" s="2122">
        <f>Risk_Compensation!AD18*(Risk_Compensation!BG18+DK$143)*12/1000000</f>
        <v>0</v>
      </c>
      <c r="BF11" s="2122">
        <f>Risk_Compensation!AE18*(Risk_Compensation!BH18+DL$143)*12/1000000</f>
        <v>0</v>
      </c>
      <c r="BG11" s="2122">
        <f>Risk_Compensation!AF18*(Risk_Compensation!BI18+DM$143)*12/1000000</f>
        <v>0</v>
      </c>
      <c r="BH11" s="2123">
        <f>Risk_Compensation!AG18*(Risk_Compensation!BJ18+DN$143)*12/1000000</f>
        <v>0</v>
      </c>
      <c r="BI11" s="644"/>
      <c r="BJ11" s="1828">
        <v>1</v>
      </c>
      <c r="BK11" s="2135">
        <f>IF(G11&lt;=0,0,(Risk_Compensation!H18/G11-Risk_Compensation!H$79/G$72-0.5*CO$167*($CK11-CO$135/G$72))*G11)</f>
        <v>0</v>
      </c>
      <c r="BL11" s="2136">
        <f>IF(H11&lt;=0,0,(Risk_Compensation!I18/H11-Risk_Compensation!I$79/H$72-0.5*CP$167*($CK11-CP$135/H$72))*H11)</f>
        <v>0</v>
      </c>
      <c r="BM11" s="2136">
        <f>IF(I11&lt;=0,0,(Risk_Compensation!J18/I11-Risk_Compensation!J$79/I$72-0.5*CQ$167*($CK11-CQ$135/I$72))*I11)</f>
        <v>0</v>
      </c>
      <c r="BN11" s="2136">
        <f>IF(J11&lt;=0,0,(Risk_Compensation!K18/J11-Risk_Compensation!K$79/J$72-0.5*CR$167*($CK11-CR$135/J$72))*J11)</f>
        <v>0</v>
      </c>
      <c r="BO11" s="2136">
        <f>IF(K11&lt;=0,0,(Risk_Compensation!L18/K11-Risk_Compensation!L$79/K$72-0.5*CS$167*($CK11-CS$135/K$72))*K11)</f>
        <v>0</v>
      </c>
      <c r="BP11" s="2136">
        <f>IF(L11&lt;=0,0,(Risk_Compensation!M18/L11-Risk_Compensation!M$79/L$72-0.5*CT$167*($CK11-CT$135/L$72))*L11)</f>
        <v>0</v>
      </c>
      <c r="BQ11" s="2136">
        <f>IF(M11&lt;=0,0,(Risk_Compensation!N18/M11-Risk_Compensation!N$79/M$72-0.5*CU$167*($CK11-CU$135/M$72))*M11)</f>
        <v>0</v>
      </c>
      <c r="BR11" s="2136">
        <f>IF(N11&lt;=0,0,(Risk_Compensation!O18/N11-Risk_Compensation!O$79/N$72-0.5*CV$167*($CK11-CV$135/N$72))*N11)</f>
        <v>0</v>
      </c>
      <c r="BS11" s="2136">
        <f>IF(O11&lt;=0,0,(Risk_Compensation!P18/O11-Risk_Compensation!P$79/O$72-0.5*CW$167*($CK11-CW$135/O$72))*O11)</f>
        <v>0</v>
      </c>
      <c r="BT11" s="2136">
        <f>IF(P11&lt;=0,0,(Risk_Compensation!Q18/P11-Risk_Compensation!Q$79/P$72-0.5*CX$167*($CK11-CX$135/P$72))*P11)</f>
        <v>0</v>
      </c>
      <c r="BU11" s="2136">
        <f>IF(Q11&lt;=0,0,(Risk_Compensation!R18/Q11-Risk_Compensation!R$79/Q$72-0.5*CY$167*($CK11-CY$135/Q$72))*Q11)</f>
        <v>0</v>
      </c>
      <c r="BV11" s="2136">
        <f>IF(R11&lt;=0,0,(Risk_Compensation!S18/R11-Risk_Compensation!S$79/R$72-0.5*CZ$167*($CK11-CZ$135/R$72))*R11)</f>
        <v>0</v>
      </c>
      <c r="BW11" s="2136">
        <f>IF(S11&lt;=0,0,(Risk_Compensation!T18/S11-Risk_Compensation!T$79/S$72-0.5*DA$167*($CK11-DA$135/S$72))*S11)</f>
        <v>0</v>
      </c>
      <c r="BX11" s="2136">
        <f>IF(T11&lt;=0,0,(Risk_Compensation!U18/T11-Risk_Compensation!U$79/T$72-0.5*DB$167*($CK11-DB$135/T$72))*T11)</f>
        <v>0</v>
      </c>
      <c r="BY11" s="2136">
        <f>IF(U11&lt;=0,0,(Risk_Compensation!V18/U11-Risk_Compensation!V$79/U$72-0.5*DC$167*($CK11-DC$135/U$72))*U11)</f>
        <v>0</v>
      </c>
      <c r="BZ11" s="2136">
        <f>IF(V11&lt;=0,0,(Risk_Compensation!W18/V11-Risk_Compensation!W$79/V$72-0.5*DD$167*($CK11-DD$135/V$72))*V11)</f>
        <v>0</v>
      </c>
      <c r="CA11" s="2136">
        <f>IF(W11&lt;=0,0,(Risk_Compensation!X18/W11-Risk_Compensation!X$79/W$72-0.5*DE$167*($CK11-DE$135/W$72))*W11)</f>
        <v>0</v>
      </c>
      <c r="CB11" s="2136">
        <f>IF(X11&lt;=0,0,(Risk_Compensation!Y18/X11-Risk_Compensation!Y$79/X$72-0.5*DF$167*($CK11-DF$135/X$72))*X11)</f>
        <v>0</v>
      </c>
      <c r="CC11" s="2136">
        <f>IF(Y11&lt;=0,0,(Risk_Compensation!Z18/Y11-Risk_Compensation!Z$79/Y$72-0.5*DG$167*($CK11-DG$135/Y$72))*Y11)</f>
        <v>0</v>
      </c>
      <c r="CD11" s="2136">
        <f>IF(Z11&lt;=0,0,(Risk_Compensation!AA18/Z11-Risk_Compensation!AA$79/Z$72-0.5*DH$167*($CK11-DH$135/Z$72))*Z11)</f>
        <v>0</v>
      </c>
      <c r="CE11" s="2136">
        <f>IF(AA11&lt;=0,0,(Risk_Compensation!AB18/AA11-Risk_Compensation!AB$79/AA$72-0.5*DI$167*($CK11-DI$135/AA$72))*AA11)</f>
        <v>0</v>
      </c>
      <c r="CF11" s="2136">
        <f>IF(AB11&lt;=0,0,(Risk_Compensation!AC18/AB11-Risk_Compensation!AC$79/AB$72-0.5*DJ$167*($CK11-DJ$135/AB$72))*AB11)</f>
        <v>0</v>
      </c>
      <c r="CG11" s="2136">
        <f>IF(AC11&lt;=0,0,(Risk_Compensation!AD18/AC11-Risk_Compensation!AD$79/AC$72-0.5*DK$167*($CK11-DK$135/AC$72))*AC11)</f>
        <v>0</v>
      </c>
      <c r="CH11" s="2136">
        <f>IF(AD11&lt;=0,0,(Risk_Compensation!AE18/AD11-Risk_Compensation!AE$79/AD$72-0.5*DL$167*($CK11-DL$135/AD$72))*AD11)</f>
        <v>0</v>
      </c>
      <c r="CI11" s="2136">
        <f>IF(AE11&lt;=0,0,(Risk_Compensation!AF18/AE11-Risk_Compensation!AF$79/AE$72-0.5*DM$167*($CK11-DM$135/AE$72))*AE11)</f>
        <v>0</v>
      </c>
      <c r="CJ11" s="2137">
        <f>IF(AF11&lt;=0,0,(Risk_Compensation!AG18/AF11-Risk_Compensation!AG$79/AF$72-0.5*DN$167*($CK11-DN$135/AF$72))*AF11)</f>
        <v>0</v>
      </c>
      <c r="CK11" s="2166">
        <v>1</v>
      </c>
      <c r="CL11" s="644"/>
      <c r="CM11" s="1828">
        <v>1</v>
      </c>
      <c r="CN11" s="2146">
        <f t="shared" ref="CN11:CN42" si="0">IF(G11&gt;0,$ES11^2*(BK11*DP11*12/1000000)^2/G11,0)</f>
        <v>0</v>
      </c>
      <c r="CO11" s="2147">
        <f t="shared" ref="CO11:CO42" si="1">IF(H11&gt;0,$ES11^2*(BL11*DQ11*12/1000000)^2/H11,0)</f>
        <v>0</v>
      </c>
      <c r="CP11" s="2147">
        <f t="shared" ref="CP11:CP42" si="2">IF(I11&gt;0,$ES11^2*(BM11*DR11*12/1000000)^2/I11,0)</f>
        <v>0</v>
      </c>
      <c r="CQ11" s="2147">
        <f t="shared" ref="CQ11:CQ42" si="3">IF(J11&gt;0,$ES11^2*(BN11*DS11*12/1000000)^2/J11,0)</f>
        <v>0</v>
      </c>
      <c r="CR11" s="2147">
        <f t="shared" ref="CR11:CR42" si="4">IF(K11&gt;0,$ES11^2*(BO11*DT11*12/1000000)^2/K11,0)</f>
        <v>0</v>
      </c>
      <c r="CS11" s="2147">
        <f t="shared" ref="CS11:CS42" si="5">IF(L11&gt;0,$ES11^2*(BP11*DU11*12/1000000)^2/L11,0)</f>
        <v>0</v>
      </c>
      <c r="CT11" s="2147">
        <f t="shared" ref="CT11:CT42" si="6">IF(M11&gt;0,$ES11^2*(BQ11*DV11*12/1000000)^2/M11,0)</f>
        <v>0</v>
      </c>
      <c r="CU11" s="2147">
        <f t="shared" ref="CU11:CU42" si="7">IF(N11&gt;0,$ES11^2*(BR11*DW11*12/1000000)^2/N11,0)</f>
        <v>0</v>
      </c>
      <c r="CV11" s="2147">
        <f t="shared" ref="CV11:CV42" si="8">IF(O11&gt;0,$ES11^2*(BS11*DX11*12/1000000)^2/O11,0)</f>
        <v>0</v>
      </c>
      <c r="CW11" s="2147">
        <f t="shared" ref="CW11:CW42" si="9">IF(P11&gt;0,$ES11^2*(BT11*DY11*12/1000000)^2/P11,0)</f>
        <v>0</v>
      </c>
      <c r="CX11" s="2147">
        <f t="shared" ref="CX11:CX42" si="10">IF(Q11&gt;0,$ES11^2*(BU11*DZ11*12/1000000)^2/Q11,0)</f>
        <v>0</v>
      </c>
      <c r="CY11" s="2147">
        <f t="shared" ref="CY11:CY42" si="11">IF(R11&gt;0,$ES11^2*(BV11*EA11*12/1000000)^2/R11,0)</f>
        <v>0</v>
      </c>
      <c r="CZ11" s="2147">
        <f t="shared" ref="CZ11:CZ42" si="12">IF(S11&gt;0,$ES11^2*(BW11*EB11*12/1000000)^2/S11,0)</f>
        <v>0</v>
      </c>
      <c r="DA11" s="2147">
        <f t="shared" ref="DA11:DA42" si="13">IF(T11&gt;0,$ES11^2*(BX11*EC11*12/1000000)^2/T11,0)</f>
        <v>0</v>
      </c>
      <c r="DB11" s="2147">
        <f t="shared" ref="DB11:DB42" si="14">IF(U11&gt;0,$ES11^2*(BY11*ED11*12/1000000)^2/U11,0)</f>
        <v>0</v>
      </c>
      <c r="DC11" s="2147">
        <f t="shared" ref="DC11:DC42" si="15">IF(V11&gt;0,$ES11^2*(BZ11*EE11*12/1000000)^2/V11,0)</f>
        <v>0</v>
      </c>
      <c r="DD11" s="2147">
        <f t="shared" ref="DD11:DD42" si="16">IF(W11&gt;0,$ES11^2*(CA11*EF11*12/1000000)^2/W11,0)</f>
        <v>0</v>
      </c>
      <c r="DE11" s="2147">
        <f t="shared" ref="DE11:DE42" si="17">IF(X11&gt;0,$ES11^2*(CB11*EG11*12/1000000)^2/X11,0)</f>
        <v>0</v>
      </c>
      <c r="DF11" s="2147">
        <f t="shared" ref="DF11:DF42" si="18">IF(Y11&gt;0,$ES11^2*(CC11*EH11*12/1000000)^2/Y11,0)</f>
        <v>0</v>
      </c>
      <c r="DG11" s="2147">
        <f t="shared" ref="DG11:DG42" si="19">IF(Z11&gt;0,$ES11^2*(CD11*EI11*12/1000000)^2/Z11,0)</f>
        <v>0</v>
      </c>
      <c r="DH11" s="2147">
        <f t="shared" ref="DH11:DH42" si="20">IF(AA11&gt;0,$ES11^2*(CE11*EJ11*12/1000000)^2/AA11,0)</f>
        <v>0</v>
      </c>
      <c r="DI11" s="2147">
        <f t="shared" ref="DI11:DI42" si="21">IF(AB11&gt;0,$ES11^2*(CF11*EK11*12/1000000)^2/AB11,0)</f>
        <v>0</v>
      </c>
      <c r="DJ11" s="2147">
        <f t="shared" ref="DJ11:DJ42" si="22">IF(AC11&gt;0,$ES11^2*(CG11*EL11*12/1000000)^2/AC11,0)</f>
        <v>0</v>
      </c>
      <c r="DK11" s="2147">
        <f t="shared" ref="DK11:DK42" si="23">IF(AD11&gt;0,$ES11^2*(CH11*EM11*12/1000000)^2/AD11,0)</f>
        <v>0</v>
      </c>
      <c r="DL11" s="2147">
        <f t="shared" ref="DL11:DL42" si="24">IF(AE11&gt;0,$ES11^2*(CI11*EN11*12/1000000)^2/AE11,0)</f>
        <v>0</v>
      </c>
      <c r="DM11" s="2148">
        <f t="shared" ref="DM11:DM42" si="25">IF(AF11&gt;0,$ES11^2*(CJ11*EO11*12/1000000)^2/AF11,0)</f>
        <v>0</v>
      </c>
      <c r="DN11" s="644"/>
      <c r="DO11" s="1828">
        <v>1</v>
      </c>
      <c r="DP11" s="2208">
        <v>743.94976763852299</v>
      </c>
      <c r="DQ11" s="2209">
        <v>434.54781453873397</v>
      </c>
      <c r="DR11" s="2209">
        <v>294.86397773074299</v>
      </c>
      <c r="DS11" s="2209">
        <v>780.78265895876802</v>
      </c>
      <c r="DT11" s="2209">
        <v>683.83996035007203</v>
      </c>
      <c r="DU11" s="2209">
        <v>720.55727383602505</v>
      </c>
      <c r="DV11" s="2209">
        <v>757.27509559606597</v>
      </c>
      <c r="DW11" s="2209">
        <v>690.60771884811402</v>
      </c>
      <c r="DX11" s="2209">
        <v>1150.0286016588</v>
      </c>
      <c r="DY11" s="2209">
        <v>558.41370479512602</v>
      </c>
      <c r="DZ11" s="2209">
        <v>2856.2118981006201</v>
      </c>
      <c r="EA11" s="2209">
        <v>716.58496179734198</v>
      </c>
      <c r="EB11" s="2209">
        <v>552.06961543084503</v>
      </c>
      <c r="EC11" s="2209">
        <v>561.09369499763204</v>
      </c>
      <c r="ED11" s="2209">
        <v>1051.6841272982999</v>
      </c>
      <c r="EE11" s="2209">
        <v>613.31317879487699</v>
      </c>
      <c r="EF11" s="2209">
        <v>867.242582508488</v>
      </c>
      <c r="EG11" s="2209">
        <v>690.53995788791701</v>
      </c>
      <c r="EH11" s="2209">
        <v>1194.09878530949</v>
      </c>
      <c r="EI11" s="2209">
        <v>627.401866440258</v>
      </c>
      <c r="EJ11" s="2209">
        <v>615.54173439470901</v>
      </c>
      <c r="EK11" s="2209">
        <v>949.68120549106504</v>
      </c>
      <c r="EL11" s="2209">
        <v>1160.98330641609</v>
      </c>
      <c r="EM11" s="2209">
        <v>697.48253056889303</v>
      </c>
      <c r="EN11" s="2209">
        <v>474.48464388315801</v>
      </c>
      <c r="EO11" s="2210">
        <v>880.05910821770897</v>
      </c>
      <c r="ER11" s="1828">
        <v>1</v>
      </c>
      <c r="ES11" s="1834">
        <v>2.1480775792362299</v>
      </c>
      <c r="ET11" s="644"/>
      <c r="EU11" s="2156">
        <v>1</v>
      </c>
      <c r="EV11" s="2090" t="s">
        <v>1903</v>
      </c>
      <c r="EW11" s="2090" t="s">
        <v>1904</v>
      </c>
      <c r="EX11" s="2090" t="str">
        <f>Translation!B$579</f>
        <v>Ja</v>
      </c>
    </row>
    <row r="12" spans="1:161" ht="12.75" x14ac:dyDescent="0.2">
      <c r="B12" s="2090">
        <v>2</v>
      </c>
      <c r="C12" s="2090" t="s">
        <v>1903</v>
      </c>
      <c r="D12" s="2090" t="s">
        <v>1904</v>
      </c>
      <c r="E12" s="2090" t="str">
        <f>Translation!B$580</f>
        <v>Nein</v>
      </c>
      <c r="F12" s="1622">
        <v>2</v>
      </c>
      <c r="G12" s="2211">
        <v>24742.842499999999</v>
      </c>
      <c r="H12" s="2212">
        <v>586.44333333333304</v>
      </c>
      <c r="I12" s="2212">
        <v>1812.665</v>
      </c>
      <c r="J12" s="2212">
        <v>34535.302499999998</v>
      </c>
      <c r="K12" s="2212">
        <v>9728.7250000000004</v>
      </c>
      <c r="L12" s="2212">
        <v>5692.2283333333298</v>
      </c>
      <c r="M12" s="2212">
        <v>13248.71</v>
      </c>
      <c r="N12" s="2212">
        <v>17610.150000000001</v>
      </c>
      <c r="O12" s="2212">
        <v>1473.49</v>
      </c>
      <c r="P12" s="2212">
        <v>7267.9358333333303</v>
      </c>
      <c r="Q12" s="2212">
        <v>2863.8924999999999</v>
      </c>
      <c r="R12" s="2212">
        <v>14974.131666666701</v>
      </c>
      <c r="S12" s="2212">
        <v>7067.3525</v>
      </c>
      <c r="T12" s="2212">
        <v>1550.7916666666699</v>
      </c>
      <c r="U12" s="2212">
        <v>1354.6624999999999</v>
      </c>
      <c r="V12" s="2212">
        <v>19786.7091666667</v>
      </c>
      <c r="W12" s="2212">
        <v>2879.45166666667</v>
      </c>
      <c r="X12" s="2212">
        <v>9783.4608333333308</v>
      </c>
      <c r="Y12" s="2212">
        <v>5727.3783333333304</v>
      </c>
      <c r="Z12" s="2212">
        <v>10368.526666666699</v>
      </c>
      <c r="AA12" s="2212">
        <v>11829.464166666699</v>
      </c>
      <c r="AB12" s="2212">
        <v>1416.655</v>
      </c>
      <c r="AC12" s="2212">
        <v>31153.649166666699</v>
      </c>
      <c r="AD12" s="2212">
        <v>13480.538333333299</v>
      </c>
      <c r="AE12" s="2212">
        <v>4088.7941666666702</v>
      </c>
      <c r="AF12" s="2213">
        <v>50898.137499999997</v>
      </c>
      <c r="AH12" s="1829">
        <v>2</v>
      </c>
      <c r="AI12" s="2124">
        <f>Risk_Compensation!H19*(Risk_Compensation!AK19+CO$143)*12/1000000</f>
        <v>0</v>
      </c>
      <c r="AJ12" s="2121">
        <f>Risk_Compensation!I19*(Risk_Compensation!AL19+CP$143)*12/1000000</f>
        <v>0</v>
      </c>
      <c r="AK12" s="2121">
        <f>Risk_Compensation!J19*(Risk_Compensation!AM19+CQ$143)*12/1000000</f>
        <v>0</v>
      </c>
      <c r="AL12" s="2121">
        <f>Risk_Compensation!K19*(Risk_Compensation!AN19+CR$143)*12/1000000</f>
        <v>0</v>
      </c>
      <c r="AM12" s="2121">
        <f>Risk_Compensation!L19*(Risk_Compensation!AO19+CS$143)*12/1000000</f>
        <v>0</v>
      </c>
      <c r="AN12" s="2121">
        <f>Risk_Compensation!M19*(Risk_Compensation!AP19+CT$143)*12/1000000</f>
        <v>0</v>
      </c>
      <c r="AO12" s="2121">
        <f>Risk_Compensation!N19*(Risk_Compensation!AQ19+CU$143)*12/1000000</f>
        <v>0</v>
      </c>
      <c r="AP12" s="2121">
        <f>Risk_Compensation!O19*(Risk_Compensation!AR19+CV$143)*12/1000000</f>
        <v>0</v>
      </c>
      <c r="AQ12" s="2121">
        <f>Risk_Compensation!P19*(Risk_Compensation!AS19+CW$143)*12/1000000</f>
        <v>0</v>
      </c>
      <c r="AR12" s="2121">
        <f>Risk_Compensation!Q19*(Risk_Compensation!AT19+CX$143)*12/1000000</f>
        <v>0</v>
      </c>
      <c r="AS12" s="2121">
        <f>Risk_Compensation!R19*(Risk_Compensation!AU19+CY$143)*12/1000000</f>
        <v>0</v>
      </c>
      <c r="AT12" s="2121">
        <f>Risk_Compensation!S19*(Risk_Compensation!AV19+CZ$143)*12/1000000</f>
        <v>0</v>
      </c>
      <c r="AU12" s="2121">
        <f>Risk_Compensation!T19*(Risk_Compensation!AW19+DA$143)*12/1000000</f>
        <v>0</v>
      </c>
      <c r="AV12" s="2121">
        <f>Risk_Compensation!U19*(Risk_Compensation!AX19+DB$143)*12/1000000</f>
        <v>0</v>
      </c>
      <c r="AW12" s="2121">
        <f>Risk_Compensation!V19*(Risk_Compensation!AY19+DC$143)*12/1000000</f>
        <v>0</v>
      </c>
      <c r="AX12" s="2121">
        <f>Risk_Compensation!W19*(Risk_Compensation!AZ19+DD$143)*12/1000000</f>
        <v>0</v>
      </c>
      <c r="AY12" s="2121">
        <f>Risk_Compensation!X19*(Risk_Compensation!BA19+DE$143)*12/1000000</f>
        <v>0</v>
      </c>
      <c r="AZ12" s="2121">
        <f>Risk_Compensation!Y19*(Risk_Compensation!BB19+DF$143)*12/1000000</f>
        <v>0</v>
      </c>
      <c r="BA12" s="2121">
        <f>Risk_Compensation!Z19*(Risk_Compensation!BC19+DG$143)*12/1000000</f>
        <v>0</v>
      </c>
      <c r="BB12" s="2121">
        <f>Risk_Compensation!AA19*(Risk_Compensation!BD19+DH$143)*12/1000000</f>
        <v>0</v>
      </c>
      <c r="BC12" s="2121">
        <f>Risk_Compensation!AB19*(Risk_Compensation!BE19+DI$143)*12/1000000</f>
        <v>0</v>
      </c>
      <c r="BD12" s="2121">
        <f>Risk_Compensation!AC19*(Risk_Compensation!BF19+DJ$143)*12/1000000</f>
        <v>0</v>
      </c>
      <c r="BE12" s="2121">
        <f>Risk_Compensation!AD19*(Risk_Compensation!BG19+DK$143)*12/1000000</f>
        <v>0</v>
      </c>
      <c r="BF12" s="2121">
        <f>Risk_Compensation!AE19*(Risk_Compensation!BH19+DL$143)*12/1000000</f>
        <v>0</v>
      </c>
      <c r="BG12" s="2121">
        <f>Risk_Compensation!AF19*(Risk_Compensation!BI19+DM$143)*12/1000000</f>
        <v>0</v>
      </c>
      <c r="BH12" s="2125">
        <f>Risk_Compensation!AG19*(Risk_Compensation!BJ19+DN$143)*12/1000000</f>
        <v>0</v>
      </c>
      <c r="BI12" s="644"/>
      <c r="BJ12" s="1829">
        <v>2</v>
      </c>
      <c r="BK12" s="2138">
        <f>IF(G12&lt;=0,0,(Risk_Compensation!H19/G12-Risk_Compensation!H$79/G$72-0.5*CO$167*($CK12-CO$135/G$72))*G12)</f>
        <v>0</v>
      </c>
      <c r="BL12" s="2139">
        <f>IF(H12&lt;=0,0,(Risk_Compensation!I19/H12-Risk_Compensation!I$79/H$72-0.5*CP$167*($CK12-CP$135/H$72))*H12)</f>
        <v>0</v>
      </c>
      <c r="BM12" s="2139">
        <f>IF(I12&lt;=0,0,(Risk_Compensation!J19/I12-Risk_Compensation!J$79/I$72-0.5*CQ$167*($CK12-CQ$135/I$72))*I12)</f>
        <v>0</v>
      </c>
      <c r="BN12" s="2139">
        <f>IF(J12&lt;=0,0,(Risk_Compensation!K19/J12-Risk_Compensation!K$79/J$72-0.5*CR$167*($CK12-CR$135/J$72))*J12)</f>
        <v>0</v>
      </c>
      <c r="BO12" s="2139">
        <f>IF(K12&lt;=0,0,(Risk_Compensation!L19/K12-Risk_Compensation!L$79/K$72-0.5*CS$167*($CK12-CS$135/K$72))*K12)</f>
        <v>0</v>
      </c>
      <c r="BP12" s="2139">
        <f>IF(L12&lt;=0,0,(Risk_Compensation!M19/L12-Risk_Compensation!M$79/L$72-0.5*CT$167*($CK12-CT$135/L$72))*L12)</f>
        <v>0</v>
      </c>
      <c r="BQ12" s="2139">
        <f>IF(M12&lt;=0,0,(Risk_Compensation!N19/M12-Risk_Compensation!N$79/M$72-0.5*CU$167*($CK12-CU$135/M$72))*M12)</f>
        <v>0</v>
      </c>
      <c r="BR12" s="2139">
        <f>IF(N12&lt;=0,0,(Risk_Compensation!O19/N12-Risk_Compensation!O$79/N$72-0.5*CV$167*($CK12-CV$135/N$72))*N12)</f>
        <v>0</v>
      </c>
      <c r="BS12" s="2139">
        <f>IF(O12&lt;=0,0,(Risk_Compensation!P19/O12-Risk_Compensation!P$79/O$72-0.5*CW$167*($CK12-CW$135/O$72))*O12)</f>
        <v>0</v>
      </c>
      <c r="BT12" s="2139">
        <f>IF(P12&lt;=0,0,(Risk_Compensation!Q19/P12-Risk_Compensation!Q$79/P$72-0.5*CX$167*($CK12-CX$135/P$72))*P12)</f>
        <v>0</v>
      </c>
      <c r="BU12" s="2139">
        <f>IF(Q12&lt;=0,0,(Risk_Compensation!R19/Q12-Risk_Compensation!R$79/Q$72-0.5*CY$167*($CK12-CY$135/Q$72))*Q12)</f>
        <v>0</v>
      </c>
      <c r="BV12" s="2139">
        <f>IF(R12&lt;=0,0,(Risk_Compensation!S19/R12-Risk_Compensation!S$79/R$72-0.5*CZ$167*($CK12-CZ$135/R$72))*R12)</f>
        <v>0</v>
      </c>
      <c r="BW12" s="2139">
        <f>IF(S12&lt;=0,0,(Risk_Compensation!T19/S12-Risk_Compensation!T$79/S$72-0.5*DA$167*($CK12-DA$135/S$72))*S12)</f>
        <v>0</v>
      </c>
      <c r="BX12" s="2139">
        <f>IF(T12&lt;=0,0,(Risk_Compensation!U19/T12-Risk_Compensation!U$79/T$72-0.5*DB$167*($CK12-DB$135/T$72))*T12)</f>
        <v>0</v>
      </c>
      <c r="BY12" s="2139">
        <f>IF(U12&lt;=0,0,(Risk_Compensation!V19/U12-Risk_Compensation!V$79/U$72-0.5*DC$167*($CK12-DC$135/U$72))*U12)</f>
        <v>0</v>
      </c>
      <c r="BZ12" s="2139">
        <f>IF(V12&lt;=0,0,(Risk_Compensation!W19/V12-Risk_Compensation!W$79/V$72-0.5*DD$167*($CK12-DD$135/V$72))*V12)</f>
        <v>0</v>
      </c>
      <c r="CA12" s="2139">
        <f>IF(W12&lt;=0,0,(Risk_Compensation!X19/W12-Risk_Compensation!X$79/W$72-0.5*DE$167*($CK12-DE$135/W$72))*W12)</f>
        <v>0</v>
      </c>
      <c r="CB12" s="2139">
        <f>IF(X12&lt;=0,0,(Risk_Compensation!Y19/X12-Risk_Compensation!Y$79/X$72-0.5*DF$167*($CK12-DF$135/X$72))*X12)</f>
        <v>0</v>
      </c>
      <c r="CC12" s="2139">
        <f>IF(Y12&lt;=0,0,(Risk_Compensation!Z19/Y12-Risk_Compensation!Z$79/Y$72-0.5*DG$167*($CK12-DG$135/Y$72))*Y12)</f>
        <v>0</v>
      </c>
      <c r="CD12" s="2139">
        <f>IF(Z12&lt;=0,0,(Risk_Compensation!AA19/Z12-Risk_Compensation!AA$79/Z$72-0.5*DH$167*($CK12-DH$135/Z$72))*Z12)</f>
        <v>0</v>
      </c>
      <c r="CE12" s="2139">
        <f>IF(AA12&lt;=0,0,(Risk_Compensation!AB19/AA12-Risk_Compensation!AB$79/AA$72-0.5*DI$167*($CK12-DI$135/AA$72))*AA12)</f>
        <v>0</v>
      </c>
      <c r="CF12" s="2139">
        <f>IF(AB12&lt;=0,0,(Risk_Compensation!AC19/AB12-Risk_Compensation!AC$79/AB$72-0.5*DJ$167*($CK12-DJ$135/AB$72))*AB12)</f>
        <v>0</v>
      </c>
      <c r="CG12" s="2139">
        <f>IF(AC12&lt;=0,0,(Risk_Compensation!AD19/AC12-Risk_Compensation!AD$79/AC$72-0.5*DK$167*($CK12-DK$135/AC$72))*AC12)</f>
        <v>0</v>
      </c>
      <c r="CH12" s="2139">
        <f>IF(AD12&lt;=0,0,(Risk_Compensation!AE19/AD12-Risk_Compensation!AE$79/AD$72-0.5*DL$167*($CK12-DL$135/AD$72))*AD12)</f>
        <v>0</v>
      </c>
      <c r="CI12" s="2139">
        <f>IF(AE12&lt;=0,0,(Risk_Compensation!AF19/AE12-Risk_Compensation!AF$79/AE$72-0.5*DM$167*($CK12-DM$135/AE$72))*AE12)</f>
        <v>0</v>
      </c>
      <c r="CJ12" s="2140">
        <f>IF(AF12&lt;=0,0,(Risk_Compensation!AG19/AF12-Risk_Compensation!AG$79/AF$72-0.5*DN$167*($CK12-DN$135/AF$72))*AF12)</f>
        <v>0</v>
      </c>
      <c r="CK12" s="2166">
        <v>1</v>
      </c>
      <c r="CL12" s="644"/>
      <c r="CM12" s="1829">
        <v>2</v>
      </c>
      <c r="CN12" s="2149">
        <f>IF(G12&gt;0,$ES12^2*(BK12*DP12*12/1000000)^2/G12,0)</f>
        <v>0</v>
      </c>
      <c r="CO12" s="2150">
        <f t="shared" si="1"/>
        <v>0</v>
      </c>
      <c r="CP12" s="2150">
        <f t="shared" si="2"/>
        <v>0</v>
      </c>
      <c r="CQ12" s="2150">
        <f t="shared" si="3"/>
        <v>0</v>
      </c>
      <c r="CR12" s="2150">
        <f t="shared" si="4"/>
        <v>0</v>
      </c>
      <c r="CS12" s="2150">
        <f t="shared" si="5"/>
        <v>0</v>
      </c>
      <c r="CT12" s="2150">
        <f t="shared" si="6"/>
        <v>0</v>
      </c>
      <c r="CU12" s="2150">
        <f t="shared" si="7"/>
        <v>0</v>
      </c>
      <c r="CV12" s="2150">
        <f t="shared" si="8"/>
        <v>0</v>
      </c>
      <c r="CW12" s="2150">
        <f t="shared" si="9"/>
        <v>0</v>
      </c>
      <c r="CX12" s="2150">
        <f t="shared" si="10"/>
        <v>0</v>
      </c>
      <c r="CY12" s="2150">
        <f t="shared" si="11"/>
        <v>0</v>
      </c>
      <c r="CZ12" s="2150">
        <f t="shared" si="12"/>
        <v>0</v>
      </c>
      <c r="DA12" s="2150">
        <f t="shared" si="13"/>
        <v>0</v>
      </c>
      <c r="DB12" s="2150">
        <f t="shared" si="14"/>
        <v>0</v>
      </c>
      <c r="DC12" s="2150">
        <f t="shared" si="15"/>
        <v>0</v>
      </c>
      <c r="DD12" s="2150">
        <f t="shared" si="16"/>
        <v>0</v>
      </c>
      <c r="DE12" s="2150">
        <f t="shared" si="17"/>
        <v>0</v>
      </c>
      <c r="DF12" s="2150">
        <f t="shared" si="18"/>
        <v>0</v>
      </c>
      <c r="DG12" s="2150">
        <f t="shared" si="19"/>
        <v>0</v>
      </c>
      <c r="DH12" s="2150">
        <f t="shared" si="20"/>
        <v>0</v>
      </c>
      <c r="DI12" s="2150">
        <f t="shared" si="21"/>
        <v>0</v>
      </c>
      <c r="DJ12" s="2150">
        <f t="shared" si="22"/>
        <v>0</v>
      </c>
      <c r="DK12" s="2150">
        <f t="shared" si="23"/>
        <v>0</v>
      </c>
      <c r="DL12" s="2150">
        <f t="shared" si="24"/>
        <v>0</v>
      </c>
      <c r="DM12" s="2151">
        <f t="shared" si="25"/>
        <v>0</v>
      </c>
      <c r="DN12" s="644"/>
      <c r="DO12" s="1829">
        <v>2</v>
      </c>
      <c r="DP12" s="2211">
        <v>55.1911739464162</v>
      </c>
      <c r="DQ12" s="2212">
        <v>30.256758198758799</v>
      </c>
      <c r="DR12" s="2212">
        <v>44.594515921642497</v>
      </c>
      <c r="DS12" s="2212">
        <v>58.219748587402698</v>
      </c>
      <c r="DT12" s="2212">
        <v>65.968302895396704</v>
      </c>
      <c r="DU12" s="2212">
        <v>86.143854416814705</v>
      </c>
      <c r="DV12" s="2212">
        <v>52.673401412498599</v>
      </c>
      <c r="DW12" s="2212">
        <v>81.296103766649097</v>
      </c>
      <c r="DX12" s="2212">
        <v>50.6542569835538</v>
      </c>
      <c r="DY12" s="2212">
        <v>42.0138157916955</v>
      </c>
      <c r="DZ12" s="2212">
        <v>45.741569185733901</v>
      </c>
      <c r="EA12" s="2212">
        <v>47.271215679955098</v>
      </c>
      <c r="EB12" s="2212">
        <v>45.201724019507502</v>
      </c>
      <c r="EC12" s="2212">
        <v>53.499252511259101</v>
      </c>
      <c r="ED12" s="2212">
        <v>58.190832014601</v>
      </c>
      <c r="EE12" s="2212">
        <v>54.7717082121194</v>
      </c>
      <c r="EF12" s="2212">
        <v>45.574721062655698</v>
      </c>
      <c r="EG12" s="2212">
        <v>53.291474079505399</v>
      </c>
      <c r="EH12" s="2212">
        <v>45.945001137203299</v>
      </c>
      <c r="EI12" s="2212">
        <v>55.268042919387398</v>
      </c>
      <c r="EJ12" s="2212">
        <v>82.216680141680996</v>
      </c>
      <c r="EK12" s="2212">
        <v>29.098426526434601</v>
      </c>
      <c r="EL12" s="2212">
        <v>62.160447505756501</v>
      </c>
      <c r="EM12" s="2212">
        <v>45.431656691373</v>
      </c>
      <c r="EN12" s="2212">
        <v>47.036021241489799</v>
      </c>
      <c r="EO12" s="2213">
        <v>67.619023949132398</v>
      </c>
      <c r="ER12" s="1829">
        <v>2</v>
      </c>
      <c r="ES12" s="1830">
        <v>7.4279230577518502</v>
      </c>
      <c r="ET12" s="644"/>
      <c r="EU12" s="2156">
        <v>2</v>
      </c>
      <c r="EV12" s="2090" t="s">
        <v>1903</v>
      </c>
      <c r="EW12" s="2090" t="s">
        <v>1904</v>
      </c>
      <c r="EX12" s="2090" t="str">
        <f>Translation!B$580</f>
        <v>Nein</v>
      </c>
    </row>
    <row r="13" spans="1:161" ht="12.75" x14ac:dyDescent="0.2">
      <c r="B13" s="2090">
        <v>3</v>
      </c>
      <c r="C13" s="2090" t="s">
        <v>1903</v>
      </c>
      <c r="D13" s="2090" t="s">
        <v>1905</v>
      </c>
      <c r="E13" s="2090" t="str">
        <f>Translation!B$579</f>
        <v>Ja</v>
      </c>
      <c r="F13" s="1622">
        <v>3</v>
      </c>
      <c r="G13" s="2211">
        <v>383.00583333333299</v>
      </c>
      <c r="H13" s="2212">
        <v>14.3333333333333</v>
      </c>
      <c r="I13" s="2212">
        <v>22.25</v>
      </c>
      <c r="J13" s="2212">
        <v>546.35249999999996</v>
      </c>
      <c r="K13" s="2212">
        <v>201.36250000000001</v>
      </c>
      <c r="L13" s="2212">
        <v>150.0925</v>
      </c>
      <c r="M13" s="2212">
        <v>139.136666666667</v>
      </c>
      <c r="N13" s="2212">
        <v>225.44333333333299</v>
      </c>
      <c r="O13" s="2212">
        <v>15.75</v>
      </c>
      <c r="P13" s="2212">
        <v>95.935833333333306</v>
      </c>
      <c r="Q13" s="2212">
        <v>39.1666666666667</v>
      </c>
      <c r="R13" s="2212">
        <v>208.16</v>
      </c>
      <c r="S13" s="2212">
        <v>71.490833333333299</v>
      </c>
      <c r="T13" s="2212">
        <v>22.3333333333333</v>
      </c>
      <c r="U13" s="2212">
        <v>15.6666666666667</v>
      </c>
      <c r="V13" s="2212">
        <v>315.8775</v>
      </c>
      <c r="W13" s="2212">
        <v>34.755000000000003</v>
      </c>
      <c r="X13" s="2212">
        <v>198.26249999999999</v>
      </c>
      <c r="Y13" s="2212">
        <v>72.534999999999997</v>
      </c>
      <c r="Z13" s="2212">
        <v>190.57749999999999</v>
      </c>
      <c r="AA13" s="2212">
        <v>163.57499999999999</v>
      </c>
      <c r="AB13" s="2212">
        <v>19.9166666666667</v>
      </c>
      <c r="AC13" s="2212">
        <v>336.71833333333302</v>
      </c>
      <c r="AD13" s="2212">
        <v>133.493333333333</v>
      </c>
      <c r="AE13" s="2212">
        <v>63.376666666666701</v>
      </c>
      <c r="AF13" s="2213">
        <v>809.38916666666705</v>
      </c>
      <c r="AH13" s="1829">
        <v>3</v>
      </c>
      <c r="AI13" s="2124">
        <f>Risk_Compensation!H20*(Risk_Compensation!AK20+CO$144)*12/1000000</f>
        <v>0</v>
      </c>
      <c r="AJ13" s="2121">
        <f>Risk_Compensation!I20*(Risk_Compensation!AL20+CP$144)*12/1000000</f>
        <v>0</v>
      </c>
      <c r="AK13" s="2121">
        <f>Risk_Compensation!J20*(Risk_Compensation!AM20+CQ$144)*12/1000000</f>
        <v>0</v>
      </c>
      <c r="AL13" s="2121">
        <f>Risk_Compensation!K20*(Risk_Compensation!AN20+CR$144)*12/1000000</f>
        <v>0</v>
      </c>
      <c r="AM13" s="2121">
        <f>Risk_Compensation!L20*(Risk_Compensation!AO20+CS$144)*12/1000000</f>
        <v>0</v>
      </c>
      <c r="AN13" s="2121">
        <f>Risk_Compensation!M20*(Risk_Compensation!AP20+CT$144)*12/1000000</f>
        <v>0</v>
      </c>
      <c r="AO13" s="2121">
        <f>Risk_Compensation!N20*(Risk_Compensation!AQ20+CU$144)*12/1000000</f>
        <v>0</v>
      </c>
      <c r="AP13" s="2121">
        <f>Risk_Compensation!O20*(Risk_Compensation!AR20+CV$144)*12/1000000</f>
        <v>0</v>
      </c>
      <c r="AQ13" s="2121">
        <f>Risk_Compensation!P20*(Risk_Compensation!AS20+CW$144)*12/1000000</f>
        <v>0</v>
      </c>
      <c r="AR13" s="2121">
        <f>Risk_Compensation!Q20*(Risk_Compensation!AT20+CX$144)*12/1000000</f>
        <v>0</v>
      </c>
      <c r="AS13" s="2121">
        <f>Risk_Compensation!R20*(Risk_Compensation!AU20+CY$144)*12/1000000</f>
        <v>0</v>
      </c>
      <c r="AT13" s="2121">
        <f>Risk_Compensation!S20*(Risk_Compensation!AV20+CZ$144)*12/1000000</f>
        <v>0</v>
      </c>
      <c r="AU13" s="2121">
        <f>Risk_Compensation!T20*(Risk_Compensation!AW20+DA$144)*12/1000000</f>
        <v>0</v>
      </c>
      <c r="AV13" s="2121">
        <f>Risk_Compensation!U20*(Risk_Compensation!AX20+DB$144)*12/1000000</f>
        <v>0</v>
      </c>
      <c r="AW13" s="2121">
        <f>Risk_Compensation!V20*(Risk_Compensation!AY20+DC$144)*12/1000000</f>
        <v>0</v>
      </c>
      <c r="AX13" s="2121">
        <f>Risk_Compensation!W20*(Risk_Compensation!AZ20+DD$144)*12/1000000</f>
        <v>0</v>
      </c>
      <c r="AY13" s="2121">
        <f>Risk_Compensation!X20*(Risk_Compensation!BA20+DE$144)*12/1000000</f>
        <v>0</v>
      </c>
      <c r="AZ13" s="2121">
        <f>Risk_Compensation!Y20*(Risk_Compensation!BB20+DF$144)*12/1000000</f>
        <v>0</v>
      </c>
      <c r="BA13" s="2121">
        <f>Risk_Compensation!Z20*(Risk_Compensation!BC20+DG$144)*12/1000000</f>
        <v>0</v>
      </c>
      <c r="BB13" s="2121">
        <f>Risk_Compensation!AA20*(Risk_Compensation!BD20+DH$144)*12/1000000</f>
        <v>0</v>
      </c>
      <c r="BC13" s="2121">
        <f>Risk_Compensation!AB20*(Risk_Compensation!BE20+DI$144)*12/1000000</f>
        <v>0</v>
      </c>
      <c r="BD13" s="2121">
        <f>Risk_Compensation!AC20*(Risk_Compensation!BF20+DJ$144)*12/1000000</f>
        <v>0</v>
      </c>
      <c r="BE13" s="2121">
        <f>Risk_Compensation!AD20*(Risk_Compensation!BG20+DK$144)*12/1000000</f>
        <v>0</v>
      </c>
      <c r="BF13" s="2121">
        <f>Risk_Compensation!AE20*(Risk_Compensation!BH20+DL$144)*12/1000000</f>
        <v>0</v>
      </c>
      <c r="BG13" s="2121">
        <f>Risk_Compensation!AF20*(Risk_Compensation!BI20+DM$144)*12/1000000</f>
        <v>0</v>
      </c>
      <c r="BH13" s="2125">
        <f>Risk_Compensation!AG20*(Risk_Compensation!BJ20+DN$144)*12/1000000</f>
        <v>0</v>
      </c>
      <c r="BI13" s="644"/>
      <c r="BJ13" s="1829">
        <v>3</v>
      </c>
      <c r="BK13" s="2138">
        <f>IF(G13&lt;=0,0,(Risk_Compensation!H20/G13-Risk_Compensation!H$79/G$72-0.5*CO$167*($CK13-CO$135/G$72))*G13)</f>
        <v>0</v>
      </c>
      <c r="BL13" s="2139">
        <f>IF(H13&lt;=0,0,(Risk_Compensation!I20/H13-Risk_Compensation!I$79/H$72-0.5*CP$167*($CK13-CP$135/H$72))*H13)</f>
        <v>0</v>
      </c>
      <c r="BM13" s="2139">
        <f>IF(I13&lt;=0,0,(Risk_Compensation!J20/I13-Risk_Compensation!J$79/I$72-0.5*CQ$167*($CK13-CQ$135/I$72))*I13)</f>
        <v>0</v>
      </c>
      <c r="BN13" s="2139">
        <f>IF(J13&lt;=0,0,(Risk_Compensation!K20/J13-Risk_Compensation!K$79/J$72-0.5*CR$167*($CK13-CR$135/J$72))*J13)</f>
        <v>0</v>
      </c>
      <c r="BO13" s="2139">
        <f>IF(K13&lt;=0,0,(Risk_Compensation!L20/K13-Risk_Compensation!L$79/K$72-0.5*CS$167*($CK13-CS$135/K$72))*K13)</f>
        <v>0</v>
      </c>
      <c r="BP13" s="2139">
        <f>IF(L13&lt;=0,0,(Risk_Compensation!M20/L13-Risk_Compensation!M$79/L$72-0.5*CT$167*($CK13-CT$135/L$72))*L13)</f>
        <v>0</v>
      </c>
      <c r="BQ13" s="2139">
        <f>IF(M13&lt;=0,0,(Risk_Compensation!N20/M13-Risk_Compensation!N$79/M$72-0.5*CU$167*($CK13-CU$135/M$72))*M13)</f>
        <v>0</v>
      </c>
      <c r="BR13" s="2139">
        <f>IF(N13&lt;=0,0,(Risk_Compensation!O20/N13-Risk_Compensation!O$79/N$72-0.5*CV$167*($CK13-CV$135/N$72))*N13)</f>
        <v>0</v>
      </c>
      <c r="BS13" s="2139">
        <f>IF(O13&lt;=0,0,(Risk_Compensation!P20/O13-Risk_Compensation!P$79/O$72-0.5*CW$167*($CK13-CW$135/O$72))*O13)</f>
        <v>0</v>
      </c>
      <c r="BT13" s="2139">
        <f>IF(P13&lt;=0,0,(Risk_Compensation!Q20/P13-Risk_Compensation!Q$79/P$72-0.5*CX$167*($CK13-CX$135/P$72))*P13)</f>
        <v>0</v>
      </c>
      <c r="BU13" s="2139">
        <f>IF(Q13&lt;=0,0,(Risk_Compensation!R20/Q13-Risk_Compensation!R$79/Q$72-0.5*CY$167*($CK13-CY$135/Q$72))*Q13)</f>
        <v>0</v>
      </c>
      <c r="BV13" s="2139">
        <f>IF(R13&lt;=0,0,(Risk_Compensation!S20/R13-Risk_Compensation!S$79/R$72-0.5*CZ$167*($CK13-CZ$135/R$72))*R13)</f>
        <v>0</v>
      </c>
      <c r="BW13" s="2139">
        <f>IF(S13&lt;=0,0,(Risk_Compensation!T20/S13-Risk_Compensation!T$79/S$72-0.5*DA$167*($CK13-DA$135/S$72))*S13)</f>
        <v>0</v>
      </c>
      <c r="BX13" s="2139">
        <f>IF(T13&lt;=0,0,(Risk_Compensation!U20/T13-Risk_Compensation!U$79/T$72-0.5*DB$167*($CK13-DB$135/T$72))*T13)</f>
        <v>0</v>
      </c>
      <c r="BY13" s="2139">
        <f>IF(U13&lt;=0,0,(Risk_Compensation!V20/U13-Risk_Compensation!V$79/U$72-0.5*DC$167*($CK13-DC$135/U$72))*U13)</f>
        <v>0</v>
      </c>
      <c r="BZ13" s="2139">
        <f>IF(V13&lt;=0,0,(Risk_Compensation!W20/V13-Risk_Compensation!W$79/V$72-0.5*DD$167*($CK13-DD$135/V$72))*V13)</f>
        <v>0</v>
      </c>
      <c r="CA13" s="2139">
        <f>IF(W13&lt;=0,0,(Risk_Compensation!X20/W13-Risk_Compensation!X$79/W$72-0.5*DE$167*($CK13-DE$135/W$72))*W13)</f>
        <v>0</v>
      </c>
      <c r="CB13" s="2139">
        <f>IF(X13&lt;=0,0,(Risk_Compensation!Y20/X13-Risk_Compensation!Y$79/X$72-0.5*DF$167*($CK13-DF$135/X$72))*X13)</f>
        <v>0</v>
      </c>
      <c r="CC13" s="2139">
        <f>IF(Y13&lt;=0,0,(Risk_Compensation!Z20/Y13-Risk_Compensation!Z$79/Y$72-0.5*DG$167*($CK13-DG$135/Y$72))*Y13)</f>
        <v>0</v>
      </c>
      <c r="CD13" s="2139">
        <f>IF(Z13&lt;=0,0,(Risk_Compensation!AA20/Z13-Risk_Compensation!AA$79/Z$72-0.5*DH$167*($CK13-DH$135/Z$72))*Z13)</f>
        <v>0</v>
      </c>
      <c r="CE13" s="2139">
        <f>IF(AA13&lt;=0,0,(Risk_Compensation!AB20/AA13-Risk_Compensation!AB$79/AA$72-0.5*DI$167*($CK13-DI$135/AA$72))*AA13)</f>
        <v>0</v>
      </c>
      <c r="CF13" s="2139">
        <f>IF(AB13&lt;=0,0,(Risk_Compensation!AC20/AB13-Risk_Compensation!AC$79/AB$72-0.5*DJ$167*($CK13-DJ$135/AB$72))*AB13)</f>
        <v>0</v>
      </c>
      <c r="CG13" s="2139">
        <f>IF(AC13&lt;=0,0,(Risk_Compensation!AD20/AC13-Risk_Compensation!AD$79/AC$72-0.5*DK$167*($CK13-DK$135/AC$72))*AC13)</f>
        <v>0</v>
      </c>
      <c r="CH13" s="2139">
        <f>IF(AD13&lt;=0,0,(Risk_Compensation!AE20/AD13-Risk_Compensation!AE$79/AD$72-0.5*DL$167*($CK13-DL$135/AD$72))*AD13)</f>
        <v>0</v>
      </c>
      <c r="CI13" s="2139">
        <f>IF(AE13&lt;=0,0,(Risk_Compensation!AF20/AE13-Risk_Compensation!AF$79/AE$72-0.5*DM$167*($CK13-DM$135/AE$72))*AE13)</f>
        <v>0</v>
      </c>
      <c r="CJ13" s="2140">
        <f>IF(AF13&lt;=0,0,(Risk_Compensation!AG20/AF13-Risk_Compensation!AG$79/AF$72-0.5*DN$167*($CK13-DN$135/AF$72))*AF13)</f>
        <v>0</v>
      </c>
      <c r="CK13" s="2166">
        <v>0</v>
      </c>
      <c r="CL13" s="644"/>
      <c r="CM13" s="1829">
        <v>3</v>
      </c>
      <c r="CN13" s="2149">
        <f t="shared" si="0"/>
        <v>0</v>
      </c>
      <c r="CO13" s="2150">
        <f t="shared" si="1"/>
        <v>0</v>
      </c>
      <c r="CP13" s="2150">
        <f t="shared" si="2"/>
        <v>0</v>
      </c>
      <c r="CQ13" s="2150">
        <f t="shared" si="3"/>
        <v>0</v>
      </c>
      <c r="CR13" s="2150">
        <f t="shared" si="4"/>
        <v>0</v>
      </c>
      <c r="CS13" s="2150">
        <f t="shared" si="5"/>
        <v>0</v>
      </c>
      <c r="CT13" s="2150">
        <f t="shared" si="6"/>
        <v>0</v>
      </c>
      <c r="CU13" s="2150">
        <f t="shared" si="7"/>
        <v>0</v>
      </c>
      <c r="CV13" s="2150">
        <f t="shared" si="8"/>
        <v>0</v>
      </c>
      <c r="CW13" s="2150">
        <f t="shared" si="9"/>
        <v>0</v>
      </c>
      <c r="CX13" s="2150">
        <f t="shared" si="10"/>
        <v>0</v>
      </c>
      <c r="CY13" s="2150">
        <f t="shared" si="11"/>
        <v>0</v>
      </c>
      <c r="CZ13" s="2150">
        <f t="shared" si="12"/>
        <v>0</v>
      </c>
      <c r="DA13" s="2150">
        <f t="shared" si="13"/>
        <v>0</v>
      </c>
      <c r="DB13" s="2150">
        <f t="shared" si="14"/>
        <v>0</v>
      </c>
      <c r="DC13" s="2150">
        <f t="shared" si="15"/>
        <v>0</v>
      </c>
      <c r="DD13" s="2150">
        <f t="shared" si="16"/>
        <v>0</v>
      </c>
      <c r="DE13" s="2150">
        <f t="shared" si="17"/>
        <v>0</v>
      </c>
      <c r="DF13" s="2150">
        <f t="shared" si="18"/>
        <v>0</v>
      </c>
      <c r="DG13" s="2150">
        <f t="shared" si="19"/>
        <v>0</v>
      </c>
      <c r="DH13" s="2150">
        <f t="shared" si="20"/>
        <v>0</v>
      </c>
      <c r="DI13" s="2150">
        <f t="shared" si="21"/>
        <v>0</v>
      </c>
      <c r="DJ13" s="2150">
        <f t="shared" si="22"/>
        <v>0</v>
      </c>
      <c r="DK13" s="2150">
        <f t="shared" si="23"/>
        <v>0</v>
      </c>
      <c r="DL13" s="2150">
        <f t="shared" si="24"/>
        <v>0</v>
      </c>
      <c r="DM13" s="2151">
        <f t="shared" si="25"/>
        <v>0</v>
      </c>
      <c r="DN13" s="644"/>
      <c r="DO13" s="1829">
        <v>3</v>
      </c>
      <c r="DP13" s="2211">
        <v>828.61477710736403</v>
      </c>
      <c r="DQ13" s="2212">
        <v>274.63927400875502</v>
      </c>
      <c r="DR13" s="2212">
        <v>346.23279690552602</v>
      </c>
      <c r="DS13" s="2212">
        <v>815.07267328103205</v>
      </c>
      <c r="DT13" s="2212">
        <v>619.53519625200795</v>
      </c>
      <c r="DU13" s="2212">
        <v>881.38822973443598</v>
      </c>
      <c r="DV13" s="2212">
        <v>746.23621441795297</v>
      </c>
      <c r="DW13" s="2212">
        <v>877.75386731330798</v>
      </c>
      <c r="DX13" s="2212">
        <v>714.38728811823603</v>
      </c>
      <c r="DY13" s="2212">
        <v>428.76653197583698</v>
      </c>
      <c r="DZ13" s="2212">
        <v>764.31670716096801</v>
      </c>
      <c r="EA13" s="2212">
        <v>624.91008137788799</v>
      </c>
      <c r="EB13" s="2212">
        <v>834.49304585897596</v>
      </c>
      <c r="EC13" s="2212">
        <v>215.05127512342</v>
      </c>
      <c r="ED13" s="2212">
        <v>3.4992320981140201</v>
      </c>
      <c r="EE13" s="2212">
        <v>839.726349586428</v>
      </c>
      <c r="EF13" s="2212">
        <v>402.08206014703097</v>
      </c>
      <c r="EG13" s="2212">
        <v>757.60641278822595</v>
      </c>
      <c r="EH13" s="2212">
        <v>417.75985781018301</v>
      </c>
      <c r="EI13" s="2212">
        <v>711.69203464071302</v>
      </c>
      <c r="EJ13" s="2212">
        <v>1034.7318368849701</v>
      </c>
      <c r="EK13" s="2212">
        <v>84.854811109804004</v>
      </c>
      <c r="EL13" s="2212">
        <v>967.75719347500797</v>
      </c>
      <c r="EM13" s="2212">
        <v>752.77804966658698</v>
      </c>
      <c r="EN13" s="2212">
        <v>425.626230581264</v>
      </c>
      <c r="EO13" s="2213">
        <v>873.43028231054802</v>
      </c>
      <c r="ER13" s="1829">
        <v>3</v>
      </c>
      <c r="ES13" s="1830">
        <v>2.0963371363524299</v>
      </c>
      <c r="ET13" s="644"/>
      <c r="EU13" s="2156">
        <v>3</v>
      </c>
      <c r="EV13" s="2090" t="s">
        <v>1903</v>
      </c>
      <c r="EW13" s="2090" t="s">
        <v>1905</v>
      </c>
      <c r="EX13" s="2090" t="str">
        <f>Translation!B$579</f>
        <v>Ja</v>
      </c>
    </row>
    <row r="14" spans="1:161" ht="12.75" x14ac:dyDescent="0.2">
      <c r="B14" s="2090">
        <v>4</v>
      </c>
      <c r="C14" s="2090" t="s">
        <v>1903</v>
      </c>
      <c r="D14" s="2090" t="s">
        <v>1905</v>
      </c>
      <c r="E14" s="2090" t="str">
        <f>Translation!B$580</f>
        <v>Nein</v>
      </c>
      <c r="F14" s="1622">
        <v>4</v>
      </c>
      <c r="G14" s="2211">
        <v>22343.7075</v>
      </c>
      <c r="H14" s="2212">
        <v>571.68166666666696</v>
      </c>
      <c r="I14" s="2212">
        <v>1612.9175</v>
      </c>
      <c r="J14" s="2212">
        <v>30959.643333333301</v>
      </c>
      <c r="K14" s="2212">
        <v>7670.2425000000003</v>
      </c>
      <c r="L14" s="2212">
        <v>6608.5458333333299</v>
      </c>
      <c r="M14" s="2212">
        <v>11634.4475</v>
      </c>
      <c r="N14" s="2212">
        <v>15241.125</v>
      </c>
      <c r="O14" s="2212">
        <v>1281.835</v>
      </c>
      <c r="P14" s="2212">
        <v>6476.3966666666702</v>
      </c>
      <c r="Q14" s="2212">
        <v>2245.8658333333301</v>
      </c>
      <c r="R14" s="2212">
        <v>14555.8575</v>
      </c>
      <c r="S14" s="2212">
        <v>5866.5166666666701</v>
      </c>
      <c r="T14" s="2212">
        <v>1285.57416666667</v>
      </c>
      <c r="U14" s="2212">
        <v>1129.4933333333299</v>
      </c>
      <c r="V14" s="2212">
        <v>18154.842499999999</v>
      </c>
      <c r="W14" s="2212">
        <v>2591.4608333333299</v>
      </c>
      <c r="X14" s="2212">
        <v>8731.9858333333395</v>
      </c>
      <c r="Y14" s="2212">
        <v>4859.45</v>
      </c>
      <c r="Z14" s="2212">
        <v>9094.1200000000008</v>
      </c>
      <c r="AA14" s="2212">
        <v>9363.0633333333299</v>
      </c>
      <c r="AB14" s="2212">
        <v>1143.39333333333</v>
      </c>
      <c r="AC14" s="2212">
        <v>27968.419166666699</v>
      </c>
      <c r="AD14" s="2212">
        <v>12699.114166666701</v>
      </c>
      <c r="AE14" s="2212">
        <v>3632.43</v>
      </c>
      <c r="AF14" s="2213">
        <v>53458.964999999997</v>
      </c>
      <c r="AH14" s="1829">
        <v>4</v>
      </c>
      <c r="AI14" s="2124">
        <f>Risk_Compensation!H21*(Risk_Compensation!AK21+CO$144)*12/1000000</f>
        <v>0</v>
      </c>
      <c r="AJ14" s="2121">
        <f>Risk_Compensation!I21*(Risk_Compensation!AL21+CP$144)*12/1000000</f>
        <v>0</v>
      </c>
      <c r="AK14" s="2121">
        <f>Risk_Compensation!J21*(Risk_Compensation!AM21+CQ$144)*12/1000000</f>
        <v>0</v>
      </c>
      <c r="AL14" s="2121">
        <f>Risk_Compensation!K21*(Risk_Compensation!AN21+CR$144)*12/1000000</f>
        <v>0</v>
      </c>
      <c r="AM14" s="2121">
        <f>Risk_Compensation!L21*(Risk_Compensation!AO21+CS$144)*12/1000000</f>
        <v>0</v>
      </c>
      <c r="AN14" s="2121">
        <f>Risk_Compensation!M21*(Risk_Compensation!AP21+CT$144)*12/1000000</f>
        <v>0</v>
      </c>
      <c r="AO14" s="2121">
        <f>Risk_Compensation!N21*(Risk_Compensation!AQ21+CU$144)*12/1000000</f>
        <v>0</v>
      </c>
      <c r="AP14" s="2121">
        <f>Risk_Compensation!O21*(Risk_Compensation!AR21+CV$144)*12/1000000</f>
        <v>0</v>
      </c>
      <c r="AQ14" s="2121">
        <f>Risk_Compensation!P21*(Risk_Compensation!AS21+CW$144)*12/1000000</f>
        <v>0</v>
      </c>
      <c r="AR14" s="2121">
        <f>Risk_Compensation!Q21*(Risk_Compensation!AT21+CX$144)*12/1000000</f>
        <v>0</v>
      </c>
      <c r="AS14" s="2121">
        <f>Risk_Compensation!R21*(Risk_Compensation!AU21+CY$144)*12/1000000</f>
        <v>0</v>
      </c>
      <c r="AT14" s="2121">
        <f>Risk_Compensation!S21*(Risk_Compensation!AV21+CZ$144)*12/1000000</f>
        <v>0</v>
      </c>
      <c r="AU14" s="2121">
        <f>Risk_Compensation!T21*(Risk_Compensation!AW21+DA$144)*12/1000000</f>
        <v>0</v>
      </c>
      <c r="AV14" s="2121">
        <f>Risk_Compensation!U21*(Risk_Compensation!AX21+DB$144)*12/1000000</f>
        <v>0</v>
      </c>
      <c r="AW14" s="2121">
        <f>Risk_Compensation!V21*(Risk_Compensation!AY21+DC$144)*12/1000000</f>
        <v>0</v>
      </c>
      <c r="AX14" s="2121">
        <f>Risk_Compensation!W21*(Risk_Compensation!AZ21+DD$144)*12/1000000</f>
        <v>0</v>
      </c>
      <c r="AY14" s="2121">
        <f>Risk_Compensation!X21*(Risk_Compensation!BA21+DE$144)*12/1000000</f>
        <v>0</v>
      </c>
      <c r="AZ14" s="2121">
        <f>Risk_Compensation!Y21*(Risk_Compensation!BB21+DF$144)*12/1000000</f>
        <v>0</v>
      </c>
      <c r="BA14" s="2121">
        <f>Risk_Compensation!Z21*(Risk_Compensation!BC21+DG$144)*12/1000000</f>
        <v>0</v>
      </c>
      <c r="BB14" s="2121">
        <f>Risk_Compensation!AA21*(Risk_Compensation!BD21+DH$144)*12/1000000</f>
        <v>0</v>
      </c>
      <c r="BC14" s="2121">
        <f>Risk_Compensation!AB21*(Risk_Compensation!BE21+DI$144)*12/1000000</f>
        <v>0</v>
      </c>
      <c r="BD14" s="2121">
        <f>Risk_Compensation!AC21*(Risk_Compensation!BF21+DJ$144)*12/1000000</f>
        <v>0</v>
      </c>
      <c r="BE14" s="2121">
        <f>Risk_Compensation!AD21*(Risk_Compensation!BG21+DK$144)*12/1000000</f>
        <v>0</v>
      </c>
      <c r="BF14" s="2121">
        <f>Risk_Compensation!AE21*(Risk_Compensation!BH21+DL$144)*12/1000000</f>
        <v>0</v>
      </c>
      <c r="BG14" s="2121">
        <f>Risk_Compensation!AF21*(Risk_Compensation!BI21+DM$144)*12/1000000</f>
        <v>0</v>
      </c>
      <c r="BH14" s="2125">
        <f>Risk_Compensation!AG21*(Risk_Compensation!BJ21+DN$144)*12/1000000</f>
        <v>0</v>
      </c>
      <c r="BI14" s="644"/>
      <c r="BJ14" s="1829">
        <v>4</v>
      </c>
      <c r="BK14" s="2138">
        <f>IF(G14&lt;=0,0,(Risk_Compensation!H21/G14-Risk_Compensation!H$79/G$72-0.5*CO$167*($CK14-CO$135/G$72))*G14)</f>
        <v>0</v>
      </c>
      <c r="BL14" s="2139">
        <f>IF(H14&lt;=0,0,(Risk_Compensation!I21/H14-Risk_Compensation!I$79/H$72-0.5*CP$167*($CK14-CP$135/H$72))*H14)</f>
        <v>0</v>
      </c>
      <c r="BM14" s="2139">
        <f>IF(I14&lt;=0,0,(Risk_Compensation!J21/I14-Risk_Compensation!J$79/I$72-0.5*CQ$167*($CK14-CQ$135/I$72))*I14)</f>
        <v>0</v>
      </c>
      <c r="BN14" s="2139">
        <f>IF(J14&lt;=0,0,(Risk_Compensation!K21/J14-Risk_Compensation!K$79/J$72-0.5*CR$167*($CK14-CR$135/J$72))*J14)</f>
        <v>0</v>
      </c>
      <c r="BO14" s="2139">
        <f>IF(K14&lt;=0,0,(Risk_Compensation!L21/K14-Risk_Compensation!L$79/K$72-0.5*CS$167*($CK14-CS$135/K$72))*K14)</f>
        <v>0</v>
      </c>
      <c r="BP14" s="2139">
        <f>IF(L14&lt;=0,0,(Risk_Compensation!M21/L14-Risk_Compensation!M$79/L$72-0.5*CT$167*($CK14-CT$135/L$72))*L14)</f>
        <v>0</v>
      </c>
      <c r="BQ14" s="2139">
        <f>IF(M14&lt;=0,0,(Risk_Compensation!N21/M14-Risk_Compensation!N$79/M$72-0.5*CU$167*($CK14-CU$135/M$72))*M14)</f>
        <v>0</v>
      </c>
      <c r="BR14" s="2139">
        <f>IF(N14&lt;=0,0,(Risk_Compensation!O21/N14-Risk_Compensation!O$79/N$72-0.5*CV$167*($CK14-CV$135/N$72))*N14)</f>
        <v>0</v>
      </c>
      <c r="BS14" s="2139">
        <f>IF(O14&lt;=0,0,(Risk_Compensation!P21/O14-Risk_Compensation!P$79/O$72-0.5*CW$167*($CK14-CW$135/O$72))*O14)</f>
        <v>0</v>
      </c>
      <c r="BT14" s="2139">
        <f>IF(P14&lt;=0,0,(Risk_Compensation!Q21/P14-Risk_Compensation!Q$79/P$72-0.5*CX$167*($CK14-CX$135/P$72))*P14)</f>
        <v>0</v>
      </c>
      <c r="BU14" s="2139">
        <f>IF(Q14&lt;=0,0,(Risk_Compensation!R21/Q14-Risk_Compensation!R$79/Q$72-0.5*CY$167*($CK14-CY$135/Q$72))*Q14)</f>
        <v>0</v>
      </c>
      <c r="BV14" s="2139">
        <f>IF(R14&lt;=0,0,(Risk_Compensation!S21/R14-Risk_Compensation!S$79/R$72-0.5*CZ$167*($CK14-CZ$135/R$72))*R14)</f>
        <v>0</v>
      </c>
      <c r="BW14" s="2139">
        <f>IF(S14&lt;=0,0,(Risk_Compensation!T21/S14-Risk_Compensation!T$79/S$72-0.5*DA$167*($CK14-DA$135/S$72))*S14)</f>
        <v>0</v>
      </c>
      <c r="BX14" s="2139">
        <f>IF(T14&lt;=0,0,(Risk_Compensation!U21/T14-Risk_Compensation!U$79/T$72-0.5*DB$167*($CK14-DB$135/T$72))*T14)</f>
        <v>0</v>
      </c>
      <c r="BY14" s="2139">
        <f>IF(U14&lt;=0,0,(Risk_Compensation!V21/U14-Risk_Compensation!V$79/U$72-0.5*DC$167*($CK14-DC$135/U$72))*U14)</f>
        <v>0</v>
      </c>
      <c r="BZ14" s="2139">
        <f>IF(V14&lt;=0,0,(Risk_Compensation!W21/V14-Risk_Compensation!W$79/V$72-0.5*DD$167*($CK14-DD$135/V$72))*V14)</f>
        <v>0</v>
      </c>
      <c r="CA14" s="2139">
        <f>IF(W14&lt;=0,0,(Risk_Compensation!X21/W14-Risk_Compensation!X$79/W$72-0.5*DE$167*($CK14-DE$135/W$72))*W14)</f>
        <v>0</v>
      </c>
      <c r="CB14" s="2139">
        <f>IF(X14&lt;=0,0,(Risk_Compensation!Y21/X14-Risk_Compensation!Y$79/X$72-0.5*DF$167*($CK14-DF$135/X$72))*X14)</f>
        <v>0</v>
      </c>
      <c r="CC14" s="2139">
        <f>IF(Y14&lt;=0,0,(Risk_Compensation!Z21/Y14-Risk_Compensation!Z$79/Y$72-0.5*DG$167*($CK14-DG$135/Y$72))*Y14)</f>
        <v>0</v>
      </c>
      <c r="CD14" s="2139">
        <f>IF(Z14&lt;=0,0,(Risk_Compensation!AA21/Z14-Risk_Compensation!AA$79/Z$72-0.5*DH$167*($CK14-DH$135/Z$72))*Z14)</f>
        <v>0</v>
      </c>
      <c r="CE14" s="2139">
        <f>IF(AA14&lt;=0,0,(Risk_Compensation!AB21/AA14-Risk_Compensation!AB$79/AA$72-0.5*DI$167*($CK14-DI$135/AA$72))*AA14)</f>
        <v>0</v>
      </c>
      <c r="CF14" s="2139">
        <f>IF(AB14&lt;=0,0,(Risk_Compensation!AC21/AB14-Risk_Compensation!AC$79/AB$72-0.5*DJ$167*($CK14-DJ$135/AB$72))*AB14)</f>
        <v>0</v>
      </c>
      <c r="CG14" s="2139">
        <f>IF(AC14&lt;=0,0,(Risk_Compensation!AD21/AC14-Risk_Compensation!AD$79/AC$72-0.5*DK$167*($CK14-DK$135/AC$72))*AC14)</f>
        <v>0</v>
      </c>
      <c r="CH14" s="2139">
        <f>IF(AD14&lt;=0,0,(Risk_Compensation!AE21/AD14-Risk_Compensation!AE$79/AD$72-0.5*DL$167*($CK14-DL$135/AD$72))*AD14)</f>
        <v>0</v>
      </c>
      <c r="CI14" s="2139">
        <f>IF(AE14&lt;=0,0,(Risk_Compensation!AF21/AE14-Risk_Compensation!AF$79/AE$72-0.5*DM$167*($CK14-DM$135/AE$72))*AE14)</f>
        <v>0</v>
      </c>
      <c r="CJ14" s="2140">
        <f>IF(AF14&lt;=0,0,(Risk_Compensation!AG21/AF14-Risk_Compensation!AG$79/AF$72-0.5*DN$167*($CK14-DN$135/AF$72))*AF14)</f>
        <v>0</v>
      </c>
      <c r="CK14" s="2166">
        <v>0</v>
      </c>
      <c r="CL14" s="644"/>
      <c r="CM14" s="1829">
        <v>4</v>
      </c>
      <c r="CN14" s="2149">
        <f t="shared" si="0"/>
        <v>0</v>
      </c>
      <c r="CO14" s="2150">
        <f t="shared" si="1"/>
        <v>0</v>
      </c>
      <c r="CP14" s="2150">
        <f t="shared" si="2"/>
        <v>0</v>
      </c>
      <c r="CQ14" s="2150">
        <f t="shared" si="3"/>
        <v>0</v>
      </c>
      <c r="CR14" s="2150">
        <f t="shared" si="4"/>
        <v>0</v>
      </c>
      <c r="CS14" s="2150">
        <f t="shared" si="5"/>
        <v>0</v>
      </c>
      <c r="CT14" s="2150">
        <f t="shared" si="6"/>
        <v>0</v>
      </c>
      <c r="CU14" s="2150">
        <f t="shared" si="7"/>
        <v>0</v>
      </c>
      <c r="CV14" s="2150">
        <f t="shared" si="8"/>
        <v>0</v>
      </c>
      <c r="CW14" s="2150">
        <f t="shared" si="9"/>
        <v>0</v>
      </c>
      <c r="CX14" s="2150">
        <f t="shared" si="10"/>
        <v>0</v>
      </c>
      <c r="CY14" s="2150">
        <f t="shared" si="11"/>
        <v>0</v>
      </c>
      <c r="CZ14" s="2150">
        <f t="shared" si="12"/>
        <v>0</v>
      </c>
      <c r="DA14" s="2150">
        <f t="shared" si="13"/>
        <v>0</v>
      </c>
      <c r="DB14" s="2150">
        <f t="shared" si="14"/>
        <v>0</v>
      </c>
      <c r="DC14" s="2150">
        <f t="shared" si="15"/>
        <v>0</v>
      </c>
      <c r="DD14" s="2150">
        <f t="shared" si="16"/>
        <v>0</v>
      </c>
      <c r="DE14" s="2150">
        <f t="shared" si="17"/>
        <v>0</v>
      </c>
      <c r="DF14" s="2150">
        <f t="shared" si="18"/>
        <v>0</v>
      </c>
      <c r="DG14" s="2150">
        <f t="shared" si="19"/>
        <v>0</v>
      </c>
      <c r="DH14" s="2150">
        <f t="shared" si="20"/>
        <v>0</v>
      </c>
      <c r="DI14" s="2150">
        <f t="shared" si="21"/>
        <v>0</v>
      </c>
      <c r="DJ14" s="2150">
        <f t="shared" si="22"/>
        <v>0</v>
      </c>
      <c r="DK14" s="2150">
        <f t="shared" si="23"/>
        <v>0</v>
      </c>
      <c r="DL14" s="2150">
        <f t="shared" si="24"/>
        <v>0</v>
      </c>
      <c r="DM14" s="2151">
        <f t="shared" si="25"/>
        <v>0</v>
      </c>
      <c r="DN14" s="644"/>
      <c r="DO14" s="1829">
        <v>4</v>
      </c>
      <c r="DP14" s="2211">
        <v>51.094241293378403</v>
      </c>
      <c r="DQ14" s="2212">
        <v>26.059851913371201</v>
      </c>
      <c r="DR14" s="2212">
        <v>29.541372602275999</v>
      </c>
      <c r="DS14" s="2212">
        <v>50.3481788558746</v>
      </c>
      <c r="DT14" s="2212">
        <v>62.910960946261802</v>
      </c>
      <c r="DU14" s="2212">
        <v>63.189507151115301</v>
      </c>
      <c r="DV14" s="2212">
        <v>44.8943433905105</v>
      </c>
      <c r="DW14" s="2212">
        <v>76.851669929695802</v>
      </c>
      <c r="DX14" s="2212">
        <v>22.641752592160898</v>
      </c>
      <c r="DY14" s="2212">
        <v>57.037910328160798</v>
      </c>
      <c r="DZ14" s="2212">
        <v>33.067074789663998</v>
      </c>
      <c r="EA14" s="2212">
        <v>43.038499841188603</v>
      </c>
      <c r="EB14" s="2212">
        <v>40.856479564909797</v>
      </c>
      <c r="EC14" s="2212">
        <v>39.891671995045201</v>
      </c>
      <c r="ED14" s="2212">
        <v>55.1119473574783</v>
      </c>
      <c r="EE14" s="2212">
        <v>43.241335481197197</v>
      </c>
      <c r="EF14" s="2212">
        <v>46.935060468335202</v>
      </c>
      <c r="EG14" s="2212">
        <v>59.759382210382697</v>
      </c>
      <c r="EH14" s="2212">
        <v>35.834446524610001</v>
      </c>
      <c r="EI14" s="2212">
        <v>47.160555109378699</v>
      </c>
      <c r="EJ14" s="2212">
        <v>55.2199176730254</v>
      </c>
      <c r="EK14" s="2212">
        <v>60.241256894472897</v>
      </c>
      <c r="EL14" s="2212">
        <v>50.144964085597003</v>
      </c>
      <c r="EM14" s="2212">
        <v>35.932966605314903</v>
      </c>
      <c r="EN14" s="2212">
        <v>50.618068544239399</v>
      </c>
      <c r="EO14" s="2213">
        <v>59.861514370824999</v>
      </c>
      <c r="ER14" s="1829">
        <v>4</v>
      </c>
      <c r="ES14" s="1830">
        <v>7.6845642193612402</v>
      </c>
      <c r="ET14" s="644"/>
      <c r="EU14" s="2156">
        <v>4</v>
      </c>
      <c r="EV14" s="2090" t="s">
        <v>1903</v>
      </c>
      <c r="EW14" s="2090" t="s">
        <v>1905</v>
      </c>
      <c r="EX14" s="2090" t="str">
        <f>Translation!B$580</f>
        <v>Nein</v>
      </c>
    </row>
    <row r="15" spans="1:161" ht="12.75" x14ac:dyDescent="0.2">
      <c r="B15" s="2090">
        <v>5</v>
      </c>
      <c r="C15" s="2090" t="s">
        <v>1903</v>
      </c>
      <c r="D15" s="2090" t="s">
        <v>1906</v>
      </c>
      <c r="E15" s="2090" t="str">
        <f>Translation!B$579</f>
        <v>Ja</v>
      </c>
      <c r="F15" s="1622">
        <v>5</v>
      </c>
      <c r="G15" s="2211">
        <v>475.803333333333</v>
      </c>
      <c r="H15" s="2212">
        <v>7.6666666666666696</v>
      </c>
      <c r="I15" s="2212">
        <v>39.9166666666667</v>
      </c>
      <c r="J15" s="2212">
        <v>690.26916666666705</v>
      </c>
      <c r="K15" s="2212">
        <v>216.92750000000001</v>
      </c>
      <c r="L15" s="2212">
        <v>186.71250000000001</v>
      </c>
      <c r="M15" s="2212">
        <v>164.25</v>
      </c>
      <c r="N15" s="2212">
        <v>251.32</v>
      </c>
      <c r="O15" s="2212">
        <v>33.75</v>
      </c>
      <c r="P15" s="2212">
        <v>121.81083333333299</v>
      </c>
      <c r="Q15" s="2212">
        <v>49.3333333333333</v>
      </c>
      <c r="R15" s="2212">
        <v>262.89</v>
      </c>
      <c r="S15" s="2212">
        <v>85.4166666666667</v>
      </c>
      <c r="T15" s="2212">
        <v>12.669166666666699</v>
      </c>
      <c r="U15" s="2212">
        <v>27.33</v>
      </c>
      <c r="V15" s="2212">
        <v>407.93583333333299</v>
      </c>
      <c r="W15" s="2212">
        <v>54.25</v>
      </c>
      <c r="X15" s="2212">
        <v>230.9725</v>
      </c>
      <c r="Y15" s="2212">
        <v>85.3333333333333</v>
      </c>
      <c r="Z15" s="2212">
        <v>224.69833333333301</v>
      </c>
      <c r="AA15" s="2212">
        <v>186.819166666667</v>
      </c>
      <c r="AB15" s="2212">
        <v>18.258333333333301</v>
      </c>
      <c r="AC15" s="2212">
        <v>391.47916666666703</v>
      </c>
      <c r="AD15" s="2212">
        <v>167.27166666666699</v>
      </c>
      <c r="AE15" s="2212">
        <v>64.33</v>
      </c>
      <c r="AF15" s="2213">
        <v>1075.0191666666699</v>
      </c>
      <c r="AH15" s="1829">
        <v>5</v>
      </c>
      <c r="AI15" s="2124">
        <f>Risk_Compensation!H22*(Risk_Compensation!AK22+CO$144)*12/1000000</f>
        <v>0</v>
      </c>
      <c r="AJ15" s="2121">
        <f>Risk_Compensation!I22*(Risk_Compensation!AL22+CP$144)*12/1000000</f>
        <v>0</v>
      </c>
      <c r="AK15" s="2121">
        <f>Risk_Compensation!J22*(Risk_Compensation!AM22+CQ$144)*12/1000000</f>
        <v>0</v>
      </c>
      <c r="AL15" s="2121">
        <f>Risk_Compensation!K22*(Risk_Compensation!AN22+CR$144)*12/1000000</f>
        <v>0</v>
      </c>
      <c r="AM15" s="2121">
        <f>Risk_Compensation!L22*(Risk_Compensation!AO22+CS$144)*12/1000000</f>
        <v>0</v>
      </c>
      <c r="AN15" s="2121">
        <f>Risk_Compensation!M22*(Risk_Compensation!AP22+CT$144)*12/1000000</f>
        <v>0</v>
      </c>
      <c r="AO15" s="2121">
        <f>Risk_Compensation!N22*(Risk_Compensation!AQ22+CU$144)*12/1000000</f>
        <v>0</v>
      </c>
      <c r="AP15" s="2121">
        <f>Risk_Compensation!O22*(Risk_Compensation!AR22+CV$144)*12/1000000</f>
        <v>0</v>
      </c>
      <c r="AQ15" s="2121">
        <f>Risk_Compensation!P22*(Risk_Compensation!AS22+CW$144)*12/1000000</f>
        <v>0</v>
      </c>
      <c r="AR15" s="2121">
        <f>Risk_Compensation!Q22*(Risk_Compensation!AT22+CX$144)*12/1000000</f>
        <v>0</v>
      </c>
      <c r="AS15" s="2121">
        <f>Risk_Compensation!R22*(Risk_Compensation!AU22+CY$144)*12/1000000</f>
        <v>0</v>
      </c>
      <c r="AT15" s="2121">
        <f>Risk_Compensation!S22*(Risk_Compensation!AV22+CZ$144)*12/1000000</f>
        <v>0</v>
      </c>
      <c r="AU15" s="2121">
        <f>Risk_Compensation!T22*(Risk_Compensation!AW22+DA$144)*12/1000000</f>
        <v>0</v>
      </c>
      <c r="AV15" s="2121">
        <f>Risk_Compensation!U22*(Risk_Compensation!AX22+DB$144)*12/1000000</f>
        <v>0</v>
      </c>
      <c r="AW15" s="2121">
        <f>Risk_Compensation!V22*(Risk_Compensation!AY22+DC$144)*12/1000000</f>
        <v>0</v>
      </c>
      <c r="AX15" s="2121">
        <f>Risk_Compensation!W22*(Risk_Compensation!AZ22+DD$144)*12/1000000</f>
        <v>0</v>
      </c>
      <c r="AY15" s="2121">
        <f>Risk_Compensation!X22*(Risk_Compensation!BA22+DE$144)*12/1000000</f>
        <v>0</v>
      </c>
      <c r="AZ15" s="2121">
        <f>Risk_Compensation!Y22*(Risk_Compensation!BB22+DF$144)*12/1000000</f>
        <v>0</v>
      </c>
      <c r="BA15" s="2121">
        <f>Risk_Compensation!Z22*(Risk_Compensation!BC22+DG$144)*12/1000000</f>
        <v>0</v>
      </c>
      <c r="BB15" s="2121">
        <f>Risk_Compensation!AA22*(Risk_Compensation!BD22+DH$144)*12/1000000</f>
        <v>0</v>
      </c>
      <c r="BC15" s="2121">
        <f>Risk_Compensation!AB22*(Risk_Compensation!BE22+DI$144)*12/1000000</f>
        <v>0</v>
      </c>
      <c r="BD15" s="2121">
        <f>Risk_Compensation!AC22*(Risk_Compensation!BF22+DJ$144)*12/1000000</f>
        <v>0</v>
      </c>
      <c r="BE15" s="2121">
        <f>Risk_Compensation!AD22*(Risk_Compensation!BG22+DK$144)*12/1000000</f>
        <v>0</v>
      </c>
      <c r="BF15" s="2121">
        <f>Risk_Compensation!AE22*(Risk_Compensation!BH22+DL$144)*12/1000000</f>
        <v>0</v>
      </c>
      <c r="BG15" s="2121">
        <f>Risk_Compensation!AF22*(Risk_Compensation!BI22+DM$144)*12/1000000</f>
        <v>0</v>
      </c>
      <c r="BH15" s="2125">
        <f>Risk_Compensation!AG22*(Risk_Compensation!BJ22+DN$144)*12/1000000</f>
        <v>0</v>
      </c>
      <c r="BI15" s="644"/>
      <c r="BJ15" s="1829">
        <v>5</v>
      </c>
      <c r="BK15" s="2138">
        <f>IF(G15&lt;=0,0,(Risk_Compensation!H22/G15-Risk_Compensation!H$79/G$72-0.5*CO$167*($CK15-CO$135/G$72))*G15)</f>
        <v>0</v>
      </c>
      <c r="BL15" s="2139">
        <f>IF(H15&lt;=0,0,(Risk_Compensation!I22/H15-Risk_Compensation!I$79/H$72-0.5*CP$167*($CK15-CP$135/H$72))*H15)</f>
        <v>0</v>
      </c>
      <c r="BM15" s="2139">
        <f>IF(I15&lt;=0,0,(Risk_Compensation!J22/I15-Risk_Compensation!J$79/I$72-0.5*CQ$167*($CK15-CQ$135/I$72))*I15)</f>
        <v>0</v>
      </c>
      <c r="BN15" s="2139">
        <f>IF(J15&lt;=0,0,(Risk_Compensation!K22/J15-Risk_Compensation!K$79/J$72-0.5*CR$167*($CK15-CR$135/J$72))*J15)</f>
        <v>0</v>
      </c>
      <c r="BO15" s="2139">
        <f>IF(K15&lt;=0,0,(Risk_Compensation!L22/K15-Risk_Compensation!L$79/K$72-0.5*CS$167*($CK15-CS$135/K$72))*K15)</f>
        <v>0</v>
      </c>
      <c r="BP15" s="2139">
        <f>IF(L15&lt;=0,0,(Risk_Compensation!M22/L15-Risk_Compensation!M$79/L$72-0.5*CT$167*($CK15-CT$135/L$72))*L15)</f>
        <v>0</v>
      </c>
      <c r="BQ15" s="2139">
        <f>IF(M15&lt;=0,0,(Risk_Compensation!N22/M15-Risk_Compensation!N$79/M$72-0.5*CU$167*($CK15-CU$135/M$72))*M15)</f>
        <v>0</v>
      </c>
      <c r="BR15" s="2139">
        <f>IF(N15&lt;=0,0,(Risk_Compensation!O22/N15-Risk_Compensation!O$79/N$72-0.5*CV$167*($CK15-CV$135/N$72))*N15)</f>
        <v>0</v>
      </c>
      <c r="BS15" s="2139">
        <f>IF(O15&lt;=0,0,(Risk_Compensation!P22/O15-Risk_Compensation!P$79/O$72-0.5*CW$167*($CK15-CW$135/O$72))*O15)</f>
        <v>0</v>
      </c>
      <c r="BT15" s="2139">
        <f>IF(P15&lt;=0,0,(Risk_Compensation!Q22/P15-Risk_Compensation!Q$79/P$72-0.5*CX$167*($CK15-CX$135/P$72))*P15)</f>
        <v>0</v>
      </c>
      <c r="BU15" s="2139">
        <f>IF(Q15&lt;=0,0,(Risk_Compensation!R22/Q15-Risk_Compensation!R$79/Q$72-0.5*CY$167*($CK15-CY$135/Q$72))*Q15)</f>
        <v>0</v>
      </c>
      <c r="BV15" s="2139">
        <f>IF(R15&lt;=0,0,(Risk_Compensation!S22/R15-Risk_Compensation!S$79/R$72-0.5*CZ$167*($CK15-CZ$135/R$72))*R15)</f>
        <v>0</v>
      </c>
      <c r="BW15" s="2139">
        <f>IF(S15&lt;=0,0,(Risk_Compensation!T22/S15-Risk_Compensation!T$79/S$72-0.5*DA$167*($CK15-DA$135/S$72))*S15)</f>
        <v>0</v>
      </c>
      <c r="BX15" s="2139">
        <f>IF(T15&lt;=0,0,(Risk_Compensation!U22/T15-Risk_Compensation!U$79/T$72-0.5*DB$167*($CK15-DB$135/T$72))*T15)</f>
        <v>0</v>
      </c>
      <c r="BY15" s="2139">
        <f>IF(U15&lt;=0,0,(Risk_Compensation!V22/U15-Risk_Compensation!V$79/U$72-0.5*DC$167*($CK15-DC$135/U$72))*U15)</f>
        <v>0</v>
      </c>
      <c r="BZ15" s="2139">
        <f>IF(V15&lt;=0,0,(Risk_Compensation!W22/V15-Risk_Compensation!W$79/V$72-0.5*DD$167*($CK15-DD$135/V$72))*V15)</f>
        <v>0</v>
      </c>
      <c r="CA15" s="2139">
        <f>IF(W15&lt;=0,0,(Risk_Compensation!X22/W15-Risk_Compensation!X$79/W$72-0.5*DE$167*($CK15-DE$135/W$72))*W15)</f>
        <v>0</v>
      </c>
      <c r="CB15" s="2139">
        <f>IF(X15&lt;=0,0,(Risk_Compensation!Y22/X15-Risk_Compensation!Y$79/X$72-0.5*DF$167*($CK15-DF$135/X$72))*X15)</f>
        <v>0</v>
      </c>
      <c r="CC15" s="2139">
        <f>IF(Y15&lt;=0,0,(Risk_Compensation!Z22/Y15-Risk_Compensation!Z$79/Y$72-0.5*DG$167*($CK15-DG$135/Y$72))*Y15)</f>
        <v>0</v>
      </c>
      <c r="CD15" s="2139">
        <f>IF(Z15&lt;=0,0,(Risk_Compensation!AA22/Z15-Risk_Compensation!AA$79/Z$72-0.5*DH$167*($CK15-DH$135/Z$72))*Z15)</f>
        <v>0</v>
      </c>
      <c r="CE15" s="2139">
        <f>IF(AA15&lt;=0,0,(Risk_Compensation!AB22/AA15-Risk_Compensation!AB$79/AA$72-0.5*DI$167*($CK15-DI$135/AA$72))*AA15)</f>
        <v>0</v>
      </c>
      <c r="CF15" s="2139">
        <f>IF(AB15&lt;=0,0,(Risk_Compensation!AC22/AB15-Risk_Compensation!AC$79/AB$72-0.5*DJ$167*($CK15-DJ$135/AB$72))*AB15)</f>
        <v>0</v>
      </c>
      <c r="CG15" s="2139">
        <f>IF(AC15&lt;=0,0,(Risk_Compensation!AD22/AC15-Risk_Compensation!AD$79/AC$72-0.5*DK$167*($CK15-DK$135/AC$72))*AC15)</f>
        <v>0</v>
      </c>
      <c r="CH15" s="2139">
        <f>IF(AD15&lt;=0,0,(Risk_Compensation!AE22/AD15-Risk_Compensation!AE$79/AD$72-0.5*DL$167*($CK15-DL$135/AD$72))*AD15)</f>
        <v>0</v>
      </c>
      <c r="CI15" s="2139">
        <f>IF(AE15&lt;=0,0,(Risk_Compensation!AF22/AE15-Risk_Compensation!AF$79/AE$72-0.5*DM$167*($CK15-DM$135/AE$72))*AE15)</f>
        <v>0</v>
      </c>
      <c r="CJ15" s="2140">
        <f>IF(AF15&lt;=0,0,(Risk_Compensation!AG22/AF15-Risk_Compensation!AG$79/AF$72-0.5*DN$167*($CK15-DN$135/AF$72))*AF15)</f>
        <v>0</v>
      </c>
      <c r="CK15" s="2166">
        <v>0</v>
      </c>
      <c r="CL15" s="644"/>
      <c r="CM15" s="1829">
        <v>5</v>
      </c>
      <c r="CN15" s="2149">
        <f t="shared" si="0"/>
        <v>0</v>
      </c>
      <c r="CO15" s="2150">
        <f t="shared" si="1"/>
        <v>0</v>
      </c>
      <c r="CP15" s="2150">
        <f t="shared" si="2"/>
        <v>0</v>
      </c>
      <c r="CQ15" s="2150">
        <f t="shared" si="3"/>
        <v>0</v>
      </c>
      <c r="CR15" s="2150">
        <f t="shared" si="4"/>
        <v>0</v>
      </c>
      <c r="CS15" s="2150">
        <f t="shared" si="5"/>
        <v>0</v>
      </c>
      <c r="CT15" s="2150">
        <f t="shared" si="6"/>
        <v>0</v>
      </c>
      <c r="CU15" s="2150">
        <f t="shared" si="7"/>
        <v>0</v>
      </c>
      <c r="CV15" s="2150">
        <f t="shared" si="8"/>
        <v>0</v>
      </c>
      <c r="CW15" s="2150">
        <f t="shared" si="9"/>
        <v>0</v>
      </c>
      <c r="CX15" s="2150">
        <f t="shared" si="10"/>
        <v>0</v>
      </c>
      <c r="CY15" s="2150">
        <f t="shared" si="11"/>
        <v>0</v>
      </c>
      <c r="CZ15" s="2150">
        <f t="shared" si="12"/>
        <v>0</v>
      </c>
      <c r="DA15" s="2150">
        <f t="shared" si="13"/>
        <v>0</v>
      </c>
      <c r="DB15" s="2150">
        <f t="shared" si="14"/>
        <v>0</v>
      </c>
      <c r="DC15" s="2150">
        <f t="shared" si="15"/>
        <v>0</v>
      </c>
      <c r="DD15" s="2150">
        <f t="shared" si="16"/>
        <v>0</v>
      </c>
      <c r="DE15" s="2150">
        <f t="shared" si="17"/>
        <v>0</v>
      </c>
      <c r="DF15" s="2150">
        <f t="shared" si="18"/>
        <v>0</v>
      </c>
      <c r="DG15" s="2150">
        <f t="shared" si="19"/>
        <v>0</v>
      </c>
      <c r="DH15" s="2150">
        <f t="shared" si="20"/>
        <v>0</v>
      </c>
      <c r="DI15" s="2150">
        <f t="shared" si="21"/>
        <v>0</v>
      </c>
      <c r="DJ15" s="2150">
        <f t="shared" si="22"/>
        <v>0</v>
      </c>
      <c r="DK15" s="2150">
        <f t="shared" si="23"/>
        <v>0</v>
      </c>
      <c r="DL15" s="2150">
        <f t="shared" si="24"/>
        <v>0</v>
      </c>
      <c r="DM15" s="2151">
        <f t="shared" si="25"/>
        <v>0</v>
      </c>
      <c r="DN15" s="644"/>
      <c r="DO15" s="1829">
        <v>5</v>
      </c>
      <c r="DP15" s="2211">
        <v>658.79796562606202</v>
      </c>
      <c r="DQ15" s="2212">
        <v>192.980786352633</v>
      </c>
      <c r="DR15" s="2212">
        <v>470.63540246170999</v>
      </c>
      <c r="DS15" s="2212">
        <v>849.52916709020803</v>
      </c>
      <c r="DT15" s="2212">
        <v>668.89242912334805</v>
      </c>
      <c r="DU15" s="2212">
        <v>945.79694839227</v>
      </c>
      <c r="DV15" s="2212">
        <v>743.64473570116002</v>
      </c>
      <c r="DW15" s="2212">
        <v>845.72002960316195</v>
      </c>
      <c r="DX15" s="2212">
        <v>703.78731630771199</v>
      </c>
      <c r="DY15" s="2212">
        <v>447.87784676035301</v>
      </c>
      <c r="DZ15" s="2212">
        <v>459.35956478506699</v>
      </c>
      <c r="EA15" s="2212">
        <v>456.47607554621999</v>
      </c>
      <c r="EB15" s="2212">
        <v>985.82708847107494</v>
      </c>
      <c r="EC15" s="2212">
        <v>203.447386719902</v>
      </c>
      <c r="ED15" s="2212">
        <v>485.67473877736097</v>
      </c>
      <c r="EE15" s="2212">
        <v>805.59323446077701</v>
      </c>
      <c r="EF15" s="2212">
        <v>733.22665566438297</v>
      </c>
      <c r="EG15" s="2212">
        <v>725.045847419962</v>
      </c>
      <c r="EH15" s="2212">
        <v>442.70396874849001</v>
      </c>
      <c r="EI15" s="2212">
        <v>625.66564621332202</v>
      </c>
      <c r="EJ15" s="2212">
        <v>690.34375796371705</v>
      </c>
      <c r="EK15" s="2212">
        <v>653.32887187358403</v>
      </c>
      <c r="EL15" s="2212">
        <v>1124.1077658802601</v>
      </c>
      <c r="EM15" s="2212">
        <v>921.24237372217499</v>
      </c>
      <c r="EN15" s="2212">
        <v>572.21108830210005</v>
      </c>
      <c r="EO15" s="2213">
        <v>842.30521781884897</v>
      </c>
      <c r="ER15" s="1829">
        <v>5</v>
      </c>
      <c r="ES15" s="1830">
        <v>2.0641921709590298</v>
      </c>
      <c r="ET15" s="644"/>
      <c r="EU15" s="2156">
        <v>5</v>
      </c>
      <c r="EV15" s="2090" t="s">
        <v>1903</v>
      </c>
      <c r="EW15" s="2090" t="s">
        <v>1906</v>
      </c>
      <c r="EX15" s="2090" t="str">
        <f>Translation!B$579</f>
        <v>Ja</v>
      </c>
    </row>
    <row r="16" spans="1:161" ht="12.75" x14ac:dyDescent="0.2">
      <c r="B16" s="2090">
        <v>6</v>
      </c>
      <c r="C16" s="2090" t="s">
        <v>1903</v>
      </c>
      <c r="D16" s="2090" t="s">
        <v>1906</v>
      </c>
      <c r="E16" s="2090" t="str">
        <f>Translation!B$580</f>
        <v>Nein</v>
      </c>
      <c r="F16" s="1622">
        <v>6</v>
      </c>
      <c r="G16" s="2211">
        <v>25747.003333333301</v>
      </c>
      <c r="H16" s="2212">
        <v>578.375</v>
      </c>
      <c r="I16" s="2212">
        <v>1715.5291666666701</v>
      </c>
      <c r="J16" s="2212">
        <v>35733.218333333301</v>
      </c>
      <c r="K16" s="2212">
        <v>8443.52833333333</v>
      </c>
      <c r="L16" s="2212">
        <v>8303.7991666666694</v>
      </c>
      <c r="M16" s="2212">
        <v>12425.561666666699</v>
      </c>
      <c r="N16" s="2212">
        <v>17092.416666666701</v>
      </c>
      <c r="O16" s="2212">
        <v>1521.6683333333301</v>
      </c>
      <c r="P16" s="2212">
        <v>7092.9441666666698</v>
      </c>
      <c r="Q16" s="2212">
        <v>2289.3525</v>
      </c>
      <c r="R16" s="2212">
        <v>15824.985000000001</v>
      </c>
      <c r="S16" s="2212">
        <v>6020.7325000000001</v>
      </c>
      <c r="T16" s="2212">
        <v>1527.21</v>
      </c>
      <c r="U16" s="2212">
        <v>1306.7408333333301</v>
      </c>
      <c r="V16" s="2212">
        <v>19922.589166666701</v>
      </c>
      <c r="W16" s="2212">
        <v>2875.76166666667</v>
      </c>
      <c r="X16" s="2212">
        <v>9793.2116666666698</v>
      </c>
      <c r="Y16" s="2212">
        <v>5701.7308333333303</v>
      </c>
      <c r="Z16" s="2212">
        <v>10846.872499999999</v>
      </c>
      <c r="AA16" s="2212">
        <v>9807.8374999999996</v>
      </c>
      <c r="AB16" s="2212">
        <v>1194.5225</v>
      </c>
      <c r="AC16" s="2212">
        <v>31052.148333333302</v>
      </c>
      <c r="AD16" s="2212">
        <v>13687.9141666667</v>
      </c>
      <c r="AE16" s="2212">
        <v>4553.6466666666702</v>
      </c>
      <c r="AF16" s="2213">
        <v>65204.982499999998</v>
      </c>
      <c r="AH16" s="1829">
        <v>6</v>
      </c>
      <c r="AI16" s="2124">
        <f>Risk_Compensation!H23*(Risk_Compensation!AK23+CO$144)*12/1000000</f>
        <v>0</v>
      </c>
      <c r="AJ16" s="2121">
        <f>Risk_Compensation!I23*(Risk_Compensation!AL23+CP$144)*12/1000000</f>
        <v>0</v>
      </c>
      <c r="AK16" s="2121">
        <f>Risk_Compensation!J23*(Risk_Compensation!AM23+CQ$144)*12/1000000</f>
        <v>0</v>
      </c>
      <c r="AL16" s="2121">
        <f>Risk_Compensation!K23*(Risk_Compensation!AN23+CR$144)*12/1000000</f>
        <v>0</v>
      </c>
      <c r="AM16" s="2121">
        <f>Risk_Compensation!L23*(Risk_Compensation!AO23+CS$144)*12/1000000</f>
        <v>0</v>
      </c>
      <c r="AN16" s="2121">
        <f>Risk_Compensation!M23*(Risk_Compensation!AP23+CT$144)*12/1000000</f>
        <v>0</v>
      </c>
      <c r="AO16" s="2121">
        <f>Risk_Compensation!N23*(Risk_Compensation!AQ23+CU$144)*12/1000000</f>
        <v>0</v>
      </c>
      <c r="AP16" s="2121">
        <f>Risk_Compensation!O23*(Risk_Compensation!AR23+CV$144)*12/1000000</f>
        <v>0</v>
      </c>
      <c r="AQ16" s="2121">
        <f>Risk_Compensation!P23*(Risk_Compensation!AS23+CW$144)*12/1000000</f>
        <v>0</v>
      </c>
      <c r="AR16" s="2121">
        <f>Risk_Compensation!Q23*(Risk_Compensation!AT23+CX$144)*12/1000000</f>
        <v>0</v>
      </c>
      <c r="AS16" s="2121">
        <f>Risk_Compensation!R23*(Risk_Compensation!AU23+CY$144)*12/1000000</f>
        <v>0</v>
      </c>
      <c r="AT16" s="2121">
        <f>Risk_Compensation!S23*(Risk_Compensation!AV23+CZ$144)*12/1000000</f>
        <v>0</v>
      </c>
      <c r="AU16" s="2121">
        <f>Risk_Compensation!T23*(Risk_Compensation!AW23+DA$144)*12/1000000</f>
        <v>0</v>
      </c>
      <c r="AV16" s="2121">
        <f>Risk_Compensation!U23*(Risk_Compensation!AX23+DB$144)*12/1000000</f>
        <v>0</v>
      </c>
      <c r="AW16" s="2121">
        <f>Risk_Compensation!V23*(Risk_Compensation!AY23+DC$144)*12/1000000</f>
        <v>0</v>
      </c>
      <c r="AX16" s="2121">
        <f>Risk_Compensation!W23*(Risk_Compensation!AZ23+DD$144)*12/1000000</f>
        <v>0</v>
      </c>
      <c r="AY16" s="2121">
        <f>Risk_Compensation!X23*(Risk_Compensation!BA23+DE$144)*12/1000000</f>
        <v>0</v>
      </c>
      <c r="AZ16" s="2121">
        <f>Risk_Compensation!Y23*(Risk_Compensation!BB23+DF$144)*12/1000000</f>
        <v>0</v>
      </c>
      <c r="BA16" s="2121">
        <f>Risk_Compensation!Z23*(Risk_Compensation!BC23+DG$144)*12/1000000</f>
        <v>0</v>
      </c>
      <c r="BB16" s="2121">
        <f>Risk_Compensation!AA23*(Risk_Compensation!BD23+DH$144)*12/1000000</f>
        <v>0</v>
      </c>
      <c r="BC16" s="2121">
        <f>Risk_Compensation!AB23*(Risk_Compensation!BE23+DI$144)*12/1000000</f>
        <v>0</v>
      </c>
      <c r="BD16" s="2121">
        <f>Risk_Compensation!AC23*(Risk_Compensation!BF23+DJ$144)*12/1000000</f>
        <v>0</v>
      </c>
      <c r="BE16" s="2121">
        <f>Risk_Compensation!AD23*(Risk_Compensation!BG23+DK$144)*12/1000000</f>
        <v>0</v>
      </c>
      <c r="BF16" s="2121">
        <f>Risk_Compensation!AE23*(Risk_Compensation!BH23+DL$144)*12/1000000</f>
        <v>0</v>
      </c>
      <c r="BG16" s="2121">
        <f>Risk_Compensation!AF23*(Risk_Compensation!BI23+DM$144)*12/1000000</f>
        <v>0</v>
      </c>
      <c r="BH16" s="2125">
        <f>Risk_Compensation!AG23*(Risk_Compensation!BJ23+DN$144)*12/1000000</f>
        <v>0</v>
      </c>
      <c r="BI16" s="644"/>
      <c r="BJ16" s="1829">
        <v>6</v>
      </c>
      <c r="BK16" s="2138">
        <f>IF(G16&lt;=0,0,(Risk_Compensation!H23/G16-Risk_Compensation!H$79/G$72-0.5*CO$167*($CK16-CO$135/G$72))*G16)</f>
        <v>0</v>
      </c>
      <c r="BL16" s="2139">
        <f>IF(H16&lt;=0,0,(Risk_Compensation!I23/H16-Risk_Compensation!I$79/H$72-0.5*CP$167*($CK16-CP$135/H$72))*H16)</f>
        <v>0</v>
      </c>
      <c r="BM16" s="2139">
        <f>IF(I16&lt;=0,0,(Risk_Compensation!J23/I16-Risk_Compensation!J$79/I$72-0.5*CQ$167*($CK16-CQ$135/I$72))*I16)</f>
        <v>0</v>
      </c>
      <c r="BN16" s="2139">
        <f>IF(J16&lt;=0,0,(Risk_Compensation!K23/J16-Risk_Compensation!K$79/J$72-0.5*CR$167*($CK16-CR$135/J$72))*J16)</f>
        <v>0</v>
      </c>
      <c r="BO16" s="2139">
        <f>IF(K16&lt;=0,0,(Risk_Compensation!L23/K16-Risk_Compensation!L$79/K$72-0.5*CS$167*($CK16-CS$135/K$72))*K16)</f>
        <v>0</v>
      </c>
      <c r="BP16" s="2139">
        <f>IF(L16&lt;=0,0,(Risk_Compensation!M23/L16-Risk_Compensation!M$79/L$72-0.5*CT$167*($CK16-CT$135/L$72))*L16)</f>
        <v>0</v>
      </c>
      <c r="BQ16" s="2139">
        <f>IF(M16&lt;=0,0,(Risk_Compensation!N23/M16-Risk_Compensation!N$79/M$72-0.5*CU$167*($CK16-CU$135/M$72))*M16)</f>
        <v>0</v>
      </c>
      <c r="BR16" s="2139">
        <f>IF(N16&lt;=0,0,(Risk_Compensation!O23/N16-Risk_Compensation!O$79/N$72-0.5*CV$167*($CK16-CV$135/N$72))*N16)</f>
        <v>0</v>
      </c>
      <c r="BS16" s="2139">
        <f>IF(O16&lt;=0,0,(Risk_Compensation!P23/O16-Risk_Compensation!P$79/O$72-0.5*CW$167*($CK16-CW$135/O$72))*O16)</f>
        <v>0</v>
      </c>
      <c r="BT16" s="2139">
        <f>IF(P16&lt;=0,0,(Risk_Compensation!Q23/P16-Risk_Compensation!Q$79/P$72-0.5*CX$167*($CK16-CX$135/P$72))*P16)</f>
        <v>0</v>
      </c>
      <c r="BU16" s="2139">
        <f>IF(Q16&lt;=0,0,(Risk_Compensation!R23/Q16-Risk_Compensation!R$79/Q$72-0.5*CY$167*($CK16-CY$135/Q$72))*Q16)</f>
        <v>0</v>
      </c>
      <c r="BV16" s="2139">
        <f>IF(R16&lt;=0,0,(Risk_Compensation!S23/R16-Risk_Compensation!S$79/R$72-0.5*CZ$167*($CK16-CZ$135/R$72))*R16)</f>
        <v>0</v>
      </c>
      <c r="BW16" s="2139">
        <f>IF(S16&lt;=0,0,(Risk_Compensation!T23/S16-Risk_Compensation!T$79/S$72-0.5*DA$167*($CK16-DA$135/S$72))*S16)</f>
        <v>0</v>
      </c>
      <c r="BX16" s="2139">
        <f>IF(T16&lt;=0,0,(Risk_Compensation!U23/T16-Risk_Compensation!U$79/T$72-0.5*DB$167*($CK16-DB$135/T$72))*T16)</f>
        <v>0</v>
      </c>
      <c r="BY16" s="2139">
        <f>IF(U16&lt;=0,0,(Risk_Compensation!V23/U16-Risk_Compensation!V$79/U$72-0.5*DC$167*($CK16-DC$135/U$72))*U16)</f>
        <v>0</v>
      </c>
      <c r="BZ16" s="2139">
        <f>IF(V16&lt;=0,0,(Risk_Compensation!W23/V16-Risk_Compensation!W$79/V$72-0.5*DD$167*($CK16-DD$135/V$72))*V16)</f>
        <v>0</v>
      </c>
      <c r="CA16" s="2139">
        <f>IF(W16&lt;=0,0,(Risk_Compensation!X23/W16-Risk_Compensation!X$79/W$72-0.5*DE$167*($CK16-DE$135/W$72))*W16)</f>
        <v>0</v>
      </c>
      <c r="CB16" s="2139">
        <f>IF(X16&lt;=0,0,(Risk_Compensation!Y23/X16-Risk_Compensation!Y$79/X$72-0.5*DF$167*($CK16-DF$135/X$72))*X16)</f>
        <v>0</v>
      </c>
      <c r="CC16" s="2139">
        <f>IF(Y16&lt;=0,0,(Risk_Compensation!Z23/Y16-Risk_Compensation!Z$79/Y$72-0.5*DG$167*($CK16-DG$135/Y$72))*Y16)</f>
        <v>0</v>
      </c>
      <c r="CD16" s="2139">
        <f>IF(Z16&lt;=0,0,(Risk_Compensation!AA23/Z16-Risk_Compensation!AA$79/Z$72-0.5*DH$167*($CK16-DH$135/Z$72))*Z16)</f>
        <v>0</v>
      </c>
      <c r="CE16" s="2139">
        <f>IF(AA16&lt;=0,0,(Risk_Compensation!AB23/AA16-Risk_Compensation!AB$79/AA$72-0.5*DI$167*($CK16-DI$135/AA$72))*AA16)</f>
        <v>0</v>
      </c>
      <c r="CF16" s="2139">
        <f>IF(AB16&lt;=0,0,(Risk_Compensation!AC23/AB16-Risk_Compensation!AC$79/AB$72-0.5*DJ$167*($CK16-DJ$135/AB$72))*AB16)</f>
        <v>0</v>
      </c>
      <c r="CG16" s="2139">
        <f>IF(AC16&lt;=0,0,(Risk_Compensation!AD23/AC16-Risk_Compensation!AD$79/AC$72-0.5*DK$167*($CK16-DK$135/AC$72))*AC16)</f>
        <v>0</v>
      </c>
      <c r="CH16" s="2139">
        <f>IF(AD16&lt;=0,0,(Risk_Compensation!AE23/AD16-Risk_Compensation!AE$79/AD$72-0.5*DL$167*($CK16-DL$135/AD$72))*AD16)</f>
        <v>0</v>
      </c>
      <c r="CI16" s="2139">
        <f>IF(AE16&lt;=0,0,(Risk_Compensation!AF23/AE16-Risk_Compensation!AF$79/AE$72-0.5*DM$167*($CK16-DM$135/AE$72))*AE16)</f>
        <v>0</v>
      </c>
      <c r="CJ16" s="2140">
        <f>IF(AF16&lt;=0,0,(Risk_Compensation!AG23/AF16-Risk_Compensation!AG$79/AF$72-0.5*DN$167*($CK16-DN$135/AF$72))*AF16)</f>
        <v>0</v>
      </c>
      <c r="CK16" s="2166">
        <v>0</v>
      </c>
      <c r="CL16" s="644"/>
      <c r="CM16" s="1829">
        <v>6</v>
      </c>
      <c r="CN16" s="2149">
        <f t="shared" si="0"/>
        <v>0</v>
      </c>
      <c r="CO16" s="2150">
        <f t="shared" si="1"/>
        <v>0</v>
      </c>
      <c r="CP16" s="2150">
        <f t="shared" si="2"/>
        <v>0</v>
      </c>
      <c r="CQ16" s="2150">
        <f t="shared" si="3"/>
        <v>0</v>
      </c>
      <c r="CR16" s="2150">
        <f t="shared" si="4"/>
        <v>0</v>
      </c>
      <c r="CS16" s="2150">
        <f t="shared" si="5"/>
        <v>0</v>
      </c>
      <c r="CT16" s="2150">
        <f t="shared" si="6"/>
        <v>0</v>
      </c>
      <c r="CU16" s="2150">
        <f t="shared" si="7"/>
        <v>0</v>
      </c>
      <c r="CV16" s="2150">
        <f t="shared" si="8"/>
        <v>0</v>
      </c>
      <c r="CW16" s="2150">
        <f t="shared" si="9"/>
        <v>0</v>
      </c>
      <c r="CX16" s="2150">
        <f t="shared" si="10"/>
        <v>0</v>
      </c>
      <c r="CY16" s="2150">
        <f t="shared" si="11"/>
        <v>0</v>
      </c>
      <c r="CZ16" s="2150">
        <f t="shared" si="12"/>
        <v>0</v>
      </c>
      <c r="DA16" s="2150">
        <f t="shared" si="13"/>
        <v>0</v>
      </c>
      <c r="DB16" s="2150">
        <f t="shared" si="14"/>
        <v>0</v>
      </c>
      <c r="DC16" s="2150">
        <f t="shared" si="15"/>
        <v>0</v>
      </c>
      <c r="DD16" s="2150">
        <f t="shared" si="16"/>
        <v>0</v>
      </c>
      <c r="DE16" s="2150">
        <f t="shared" si="17"/>
        <v>0</v>
      </c>
      <c r="DF16" s="2150">
        <f t="shared" si="18"/>
        <v>0</v>
      </c>
      <c r="DG16" s="2150">
        <f t="shared" si="19"/>
        <v>0</v>
      </c>
      <c r="DH16" s="2150">
        <f t="shared" si="20"/>
        <v>0</v>
      </c>
      <c r="DI16" s="2150">
        <f t="shared" si="21"/>
        <v>0</v>
      </c>
      <c r="DJ16" s="2150">
        <f t="shared" si="22"/>
        <v>0</v>
      </c>
      <c r="DK16" s="2150">
        <f t="shared" si="23"/>
        <v>0</v>
      </c>
      <c r="DL16" s="2150">
        <f t="shared" si="24"/>
        <v>0</v>
      </c>
      <c r="DM16" s="2151">
        <f t="shared" si="25"/>
        <v>0</v>
      </c>
      <c r="DN16" s="644"/>
      <c r="DO16" s="1829">
        <v>6</v>
      </c>
      <c r="DP16" s="2211">
        <v>52.240736986818199</v>
      </c>
      <c r="DQ16" s="2212">
        <v>23.304076787753701</v>
      </c>
      <c r="DR16" s="2212">
        <v>36.918604211218998</v>
      </c>
      <c r="DS16" s="2212">
        <v>48.631744208416499</v>
      </c>
      <c r="DT16" s="2212">
        <v>73.015759187314302</v>
      </c>
      <c r="DU16" s="2212">
        <v>59.327627931663798</v>
      </c>
      <c r="DV16" s="2212">
        <v>45.649506247197799</v>
      </c>
      <c r="DW16" s="2212">
        <v>75.947311119384096</v>
      </c>
      <c r="DX16" s="2212">
        <v>37.794225954301098</v>
      </c>
      <c r="DY16" s="2212">
        <v>39.903036377406799</v>
      </c>
      <c r="DZ16" s="2212">
        <v>42.354150496289002</v>
      </c>
      <c r="EA16" s="2212">
        <v>49.414559415128501</v>
      </c>
      <c r="EB16" s="2212">
        <v>44.349260358874403</v>
      </c>
      <c r="EC16" s="2212">
        <v>23.5622215894597</v>
      </c>
      <c r="ED16" s="2212">
        <v>27.592345336299999</v>
      </c>
      <c r="EE16" s="2212">
        <v>45.839156059316899</v>
      </c>
      <c r="EF16" s="2212">
        <v>58.849626446694103</v>
      </c>
      <c r="EG16" s="2212">
        <v>53.981002927514297</v>
      </c>
      <c r="EH16" s="2212">
        <v>39.667504321278699</v>
      </c>
      <c r="EI16" s="2212">
        <v>41.3727659561496</v>
      </c>
      <c r="EJ16" s="2212">
        <v>55.022707792497798</v>
      </c>
      <c r="EK16" s="2212">
        <v>22.5275667801506</v>
      </c>
      <c r="EL16" s="2212">
        <v>57.738729900661497</v>
      </c>
      <c r="EM16" s="2212">
        <v>40.069419222694599</v>
      </c>
      <c r="EN16" s="2212">
        <v>38.665047093181599</v>
      </c>
      <c r="EO16" s="2213">
        <v>62.2038752886304</v>
      </c>
      <c r="ER16" s="1829">
        <v>6</v>
      </c>
      <c r="ES16" s="1830">
        <v>7.7675072245216601</v>
      </c>
      <c r="ET16" s="644"/>
      <c r="EU16" s="2156">
        <v>6</v>
      </c>
      <c r="EV16" s="2090" t="s">
        <v>1903</v>
      </c>
      <c r="EW16" s="2090" t="s">
        <v>1906</v>
      </c>
      <c r="EX16" s="2090" t="str">
        <f>Translation!B$580</f>
        <v>Nein</v>
      </c>
    </row>
    <row r="17" spans="2:154" ht="12.75" x14ac:dyDescent="0.2">
      <c r="B17" s="2090">
        <v>7</v>
      </c>
      <c r="C17" s="2090" t="s">
        <v>1903</v>
      </c>
      <c r="D17" s="2090" t="s">
        <v>1907</v>
      </c>
      <c r="E17" s="2090" t="str">
        <f>Translation!B$579</f>
        <v>Ja</v>
      </c>
      <c r="F17" s="1622">
        <v>7</v>
      </c>
      <c r="G17" s="2211">
        <v>556.42499999999995</v>
      </c>
      <c r="H17" s="2212">
        <v>10.1666666666667</v>
      </c>
      <c r="I17" s="2212">
        <v>47.6666666666667</v>
      </c>
      <c r="J17" s="2212">
        <v>730.16</v>
      </c>
      <c r="K17" s="2212">
        <v>260.52249999999998</v>
      </c>
      <c r="L17" s="2212">
        <v>219.386666666667</v>
      </c>
      <c r="M17" s="2212">
        <v>214.856666666667</v>
      </c>
      <c r="N17" s="2212">
        <v>274.62166666666701</v>
      </c>
      <c r="O17" s="2212">
        <v>28.433333333333302</v>
      </c>
      <c r="P17" s="2212">
        <v>136.59666666666701</v>
      </c>
      <c r="Q17" s="2212">
        <v>60.956666666666699</v>
      </c>
      <c r="R17" s="2212">
        <v>278.91083333333302</v>
      </c>
      <c r="S17" s="2212">
        <v>98.1666666666667</v>
      </c>
      <c r="T17" s="2212">
        <v>23.723333333333301</v>
      </c>
      <c r="U17" s="2212">
        <v>18.032499999999999</v>
      </c>
      <c r="V17" s="2212">
        <v>501.6</v>
      </c>
      <c r="W17" s="2212">
        <v>70.452500000000001</v>
      </c>
      <c r="X17" s="2212">
        <v>255.67500000000001</v>
      </c>
      <c r="Y17" s="2212">
        <v>99.391666666666694</v>
      </c>
      <c r="Z17" s="2212">
        <v>284.745833333333</v>
      </c>
      <c r="AA17" s="2212">
        <v>211.33750000000001</v>
      </c>
      <c r="AB17" s="2212">
        <v>19.026666666666699</v>
      </c>
      <c r="AC17" s="2212">
        <v>442.625</v>
      </c>
      <c r="AD17" s="2212">
        <v>213.01916666666699</v>
      </c>
      <c r="AE17" s="2212">
        <v>79.151666666666699</v>
      </c>
      <c r="AF17" s="2213">
        <v>1199.20333333333</v>
      </c>
      <c r="AH17" s="1829">
        <v>7</v>
      </c>
      <c r="AI17" s="2124">
        <f>Risk_Compensation!H24*(Risk_Compensation!AK24+CO$144)*12/1000000</f>
        <v>0</v>
      </c>
      <c r="AJ17" s="2121">
        <f>Risk_Compensation!I24*(Risk_Compensation!AL24+CP$144)*12/1000000</f>
        <v>0</v>
      </c>
      <c r="AK17" s="2121">
        <f>Risk_Compensation!J24*(Risk_Compensation!AM24+CQ$144)*12/1000000</f>
        <v>0</v>
      </c>
      <c r="AL17" s="2121">
        <f>Risk_Compensation!K24*(Risk_Compensation!AN24+CR$144)*12/1000000</f>
        <v>0</v>
      </c>
      <c r="AM17" s="2121">
        <f>Risk_Compensation!L24*(Risk_Compensation!AO24+CS$144)*12/1000000</f>
        <v>0</v>
      </c>
      <c r="AN17" s="2121">
        <f>Risk_Compensation!M24*(Risk_Compensation!AP24+CT$144)*12/1000000</f>
        <v>0</v>
      </c>
      <c r="AO17" s="2121">
        <f>Risk_Compensation!N24*(Risk_Compensation!AQ24+CU$144)*12/1000000</f>
        <v>0</v>
      </c>
      <c r="AP17" s="2121">
        <f>Risk_Compensation!O24*(Risk_Compensation!AR24+CV$144)*12/1000000</f>
        <v>0</v>
      </c>
      <c r="AQ17" s="2121">
        <f>Risk_Compensation!P24*(Risk_Compensation!AS24+CW$144)*12/1000000</f>
        <v>0</v>
      </c>
      <c r="AR17" s="2121">
        <f>Risk_Compensation!Q24*(Risk_Compensation!AT24+CX$144)*12/1000000</f>
        <v>0</v>
      </c>
      <c r="AS17" s="2121">
        <f>Risk_Compensation!R24*(Risk_Compensation!AU24+CY$144)*12/1000000</f>
        <v>0</v>
      </c>
      <c r="AT17" s="2121">
        <f>Risk_Compensation!S24*(Risk_Compensation!AV24+CZ$144)*12/1000000</f>
        <v>0</v>
      </c>
      <c r="AU17" s="2121">
        <f>Risk_Compensation!T24*(Risk_Compensation!AW24+DA$144)*12/1000000</f>
        <v>0</v>
      </c>
      <c r="AV17" s="2121">
        <f>Risk_Compensation!U24*(Risk_Compensation!AX24+DB$144)*12/1000000</f>
        <v>0</v>
      </c>
      <c r="AW17" s="2121">
        <f>Risk_Compensation!V24*(Risk_Compensation!AY24+DC$144)*12/1000000</f>
        <v>0</v>
      </c>
      <c r="AX17" s="2121">
        <f>Risk_Compensation!W24*(Risk_Compensation!AZ24+DD$144)*12/1000000</f>
        <v>0</v>
      </c>
      <c r="AY17" s="2121">
        <f>Risk_Compensation!X24*(Risk_Compensation!BA24+DE$144)*12/1000000</f>
        <v>0</v>
      </c>
      <c r="AZ17" s="2121">
        <f>Risk_Compensation!Y24*(Risk_Compensation!BB24+DF$144)*12/1000000</f>
        <v>0</v>
      </c>
      <c r="BA17" s="2121">
        <f>Risk_Compensation!Z24*(Risk_Compensation!BC24+DG$144)*12/1000000</f>
        <v>0</v>
      </c>
      <c r="BB17" s="2121">
        <f>Risk_Compensation!AA24*(Risk_Compensation!BD24+DH$144)*12/1000000</f>
        <v>0</v>
      </c>
      <c r="BC17" s="2121">
        <f>Risk_Compensation!AB24*(Risk_Compensation!BE24+DI$144)*12/1000000</f>
        <v>0</v>
      </c>
      <c r="BD17" s="2121">
        <f>Risk_Compensation!AC24*(Risk_Compensation!BF24+DJ$144)*12/1000000</f>
        <v>0</v>
      </c>
      <c r="BE17" s="2121">
        <f>Risk_Compensation!AD24*(Risk_Compensation!BG24+DK$144)*12/1000000</f>
        <v>0</v>
      </c>
      <c r="BF17" s="2121">
        <f>Risk_Compensation!AE24*(Risk_Compensation!BH24+DL$144)*12/1000000</f>
        <v>0</v>
      </c>
      <c r="BG17" s="2121">
        <f>Risk_Compensation!AF24*(Risk_Compensation!BI24+DM$144)*12/1000000</f>
        <v>0</v>
      </c>
      <c r="BH17" s="2125">
        <f>Risk_Compensation!AG24*(Risk_Compensation!BJ24+DN$144)*12/1000000</f>
        <v>0</v>
      </c>
      <c r="BI17" s="644"/>
      <c r="BJ17" s="1829">
        <v>7</v>
      </c>
      <c r="BK17" s="2138">
        <f>IF(G17&lt;=0,0,(Risk_Compensation!H24/G17-Risk_Compensation!H$79/G$72-0.5*CO$167*($CK17-CO$135/G$72))*G17)</f>
        <v>0</v>
      </c>
      <c r="BL17" s="2139">
        <f>IF(H17&lt;=0,0,(Risk_Compensation!I24/H17-Risk_Compensation!I$79/H$72-0.5*CP$167*($CK17-CP$135/H$72))*H17)</f>
        <v>0</v>
      </c>
      <c r="BM17" s="2139">
        <f>IF(I17&lt;=0,0,(Risk_Compensation!J24/I17-Risk_Compensation!J$79/I$72-0.5*CQ$167*($CK17-CQ$135/I$72))*I17)</f>
        <v>0</v>
      </c>
      <c r="BN17" s="2139">
        <f>IF(J17&lt;=0,0,(Risk_Compensation!K24/J17-Risk_Compensation!K$79/J$72-0.5*CR$167*($CK17-CR$135/J$72))*J17)</f>
        <v>0</v>
      </c>
      <c r="BO17" s="2139">
        <f>IF(K17&lt;=0,0,(Risk_Compensation!L24/K17-Risk_Compensation!L$79/K$72-0.5*CS$167*($CK17-CS$135/K$72))*K17)</f>
        <v>0</v>
      </c>
      <c r="BP17" s="2139">
        <f>IF(L17&lt;=0,0,(Risk_Compensation!M24/L17-Risk_Compensation!M$79/L$72-0.5*CT$167*($CK17-CT$135/L$72))*L17)</f>
        <v>0</v>
      </c>
      <c r="BQ17" s="2139">
        <f>IF(M17&lt;=0,0,(Risk_Compensation!N24/M17-Risk_Compensation!N$79/M$72-0.5*CU$167*($CK17-CU$135/M$72))*M17)</f>
        <v>0</v>
      </c>
      <c r="BR17" s="2139">
        <f>IF(N17&lt;=0,0,(Risk_Compensation!O24/N17-Risk_Compensation!O$79/N$72-0.5*CV$167*($CK17-CV$135/N$72))*N17)</f>
        <v>0</v>
      </c>
      <c r="BS17" s="2139">
        <f>IF(O17&lt;=0,0,(Risk_Compensation!P24/O17-Risk_Compensation!P$79/O$72-0.5*CW$167*($CK17-CW$135/O$72))*O17)</f>
        <v>0</v>
      </c>
      <c r="BT17" s="2139">
        <f>IF(P17&lt;=0,0,(Risk_Compensation!Q24/P17-Risk_Compensation!Q$79/P$72-0.5*CX$167*($CK17-CX$135/P$72))*P17)</f>
        <v>0</v>
      </c>
      <c r="BU17" s="2139">
        <f>IF(Q17&lt;=0,0,(Risk_Compensation!R24/Q17-Risk_Compensation!R$79/Q$72-0.5*CY$167*($CK17-CY$135/Q$72))*Q17)</f>
        <v>0</v>
      </c>
      <c r="BV17" s="2139">
        <f>IF(R17&lt;=0,0,(Risk_Compensation!S24/R17-Risk_Compensation!S$79/R$72-0.5*CZ$167*($CK17-CZ$135/R$72))*R17)</f>
        <v>0</v>
      </c>
      <c r="BW17" s="2139">
        <f>IF(S17&lt;=0,0,(Risk_Compensation!T24/S17-Risk_Compensation!T$79/S$72-0.5*DA$167*($CK17-DA$135/S$72))*S17)</f>
        <v>0</v>
      </c>
      <c r="BX17" s="2139">
        <f>IF(T17&lt;=0,0,(Risk_Compensation!U24/T17-Risk_Compensation!U$79/T$72-0.5*DB$167*($CK17-DB$135/T$72))*T17)</f>
        <v>0</v>
      </c>
      <c r="BY17" s="2139">
        <f>IF(U17&lt;=0,0,(Risk_Compensation!V24/U17-Risk_Compensation!V$79/U$72-0.5*DC$167*($CK17-DC$135/U$72))*U17)</f>
        <v>0</v>
      </c>
      <c r="BZ17" s="2139">
        <f>IF(V17&lt;=0,0,(Risk_Compensation!W24/V17-Risk_Compensation!W$79/V$72-0.5*DD$167*($CK17-DD$135/V$72))*V17)</f>
        <v>0</v>
      </c>
      <c r="CA17" s="2139">
        <f>IF(W17&lt;=0,0,(Risk_Compensation!X24/W17-Risk_Compensation!X$79/W$72-0.5*DE$167*($CK17-DE$135/W$72))*W17)</f>
        <v>0</v>
      </c>
      <c r="CB17" s="2139">
        <f>IF(X17&lt;=0,0,(Risk_Compensation!Y24/X17-Risk_Compensation!Y$79/X$72-0.5*DF$167*($CK17-DF$135/X$72))*X17)</f>
        <v>0</v>
      </c>
      <c r="CC17" s="2139">
        <f>IF(Y17&lt;=0,0,(Risk_Compensation!Z24/Y17-Risk_Compensation!Z$79/Y$72-0.5*DG$167*($CK17-DG$135/Y$72))*Y17)</f>
        <v>0</v>
      </c>
      <c r="CD17" s="2139">
        <f>IF(Z17&lt;=0,0,(Risk_Compensation!AA24/Z17-Risk_Compensation!AA$79/Z$72-0.5*DH$167*($CK17-DH$135/Z$72))*Z17)</f>
        <v>0</v>
      </c>
      <c r="CE17" s="2139">
        <f>IF(AA17&lt;=0,0,(Risk_Compensation!AB24/AA17-Risk_Compensation!AB$79/AA$72-0.5*DI$167*($CK17-DI$135/AA$72))*AA17)</f>
        <v>0</v>
      </c>
      <c r="CF17" s="2139">
        <f>IF(AB17&lt;=0,0,(Risk_Compensation!AC24/AB17-Risk_Compensation!AC$79/AB$72-0.5*DJ$167*($CK17-DJ$135/AB$72))*AB17)</f>
        <v>0</v>
      </c>
      <c r="CG17" s="2139">
        <f>IF(AC17&lt;=0,0,(Risk_Compensation!AD24/AC17-Risk_Compensation!AD$79/AC$72-0.5*DK$167*($CK17-DK$135/AC$72))*AC17)</f>
        <v>0</v>
      </c>
      <c r="CH17" s="2139">
        <f>IF(AD17&lt;=0,0,(Risk_Compensation!AE24/AD17-Risk_Compensation!AE$79/AD$72-0.5*DL$167*($CK17-DL$135/AD$72))*AD17)</f>
        <v>0</v>
      </c>
      <c r="CI17" s="2139">
        <f>IF(AE17&lt;=0,0,(Risk_Compensation!AF24/AE17-Risk_Compensation!AF$79/AE$72-0.5*DM$167*($CK17-DM$135/AE$72))*AE17)</f>
        <v>0</v>
      </c>
      <c r="CJ17" s="2140">
        <f>IF(AF17&lt;=0,0,(Risk_Compensation!AG24/AF17-Risk_Compensation!AG$79/AF$72-0.5*DN$167*($CK17-DN$135/AF$72))*AF17)</f>
        <v>0</v>
      </c>
      <c r="CK17" s="2166">
        <v>0</v>
      </c>
      <c r="CL17" s="644"/>
      <c r="CM17" s="1829">
        <v>7</v>
      </c>
      <c r="CN17" s="2149">
        <f t="shared" si="0"/>
        <v>0</v>
      </c>
      <c r="CO17" s="2150">
        <f t="shared" si="1"/>
        <v>0</v>
      </c>
      <c r="CP17" s="2150">
        <f t="shared" si="2"/>
        <v>0</v>
      </c>
      <c r="CQ17" s="2150">
        <f t="shared" si="3"/>
        <v>0</v>
      </c>
      <c r="CR17" s="2150">
        <f t="shared" si="4"/>
        <v>0</v>
      </c>
      <c r="CS17" s="2150">
        <f t="shared" si="5"/>
        <v>0</v>
      </c>
      <c r="CT17" s="2150">
        <f t="shared" si="6"/>
        <v>0</v>
      </c>
      <c r="CU17" s="2150">
        <f t="shared" si="7"/>
        <v>0</v>
      </c>
      <c r="CV17" s="2150">
        <f t="shared" si="8"/>
        <v>0</v>
      </c>
      <c r="CW17" s="2150">
        <f t="shared" si="9"/>
        <v>0</v>
      </c>
      <c r="CX17" s="2150">
        <f t="shared" si="10"/>
        <v>0</v>
      </c>
      <c r="CY17" s="2150">
        <f t="shared" si="11"/>
        <v>0</v>
      </c>
      <c r="CZ17" s="2150">
        <f t="shared" si="12"/>
        <v>0</v>
      </c>
      <c r="DA17" s="2150">
        <f t="shared" si="13"/>
        <v>0</v>
      </c>
      <c r="DB17" s="2150">
        <f t="shared" si="14"/>
        <v>0</v>
      </c>
      <c r="DC17" s="2150">
        <f t="shared" si="15"/>
        <v>0</v>
      </c>
      <c r="DD17" s="2150">
        <f t="shared" si="16"/>
        <v>0</v>
      </c>
      <c r="DE17" s="2150">
        <f t="shared" si="17"/>
        <v>0</v>
      </c>
      <c r="DF17" s="2150">
        <f t="shared" si="18"/>
        <v>0</v>
      </c>
      <c r="DG17" s="2150">
        <f t="shared" si="19"/>
        <v>0</v>
      </c>
      <c r="DH17" s="2150">
        <f t="shared" si="20"/>
        <v>0</v>
      </c>
      <c r="DI17" s="2150">
        <f t="shared" si="21"/>
        <v>0</v>
      </c>
      <c r="DJ17" s="2150">
        <f t="shared" si="22"/>
        <v>0</v>
      </c>
      <c r="DK17" s="2150">
        <f t="shared" si="23"/>
        <v>0</v>
      </c>
      <c r="DL17" s="2150">
        <f t="shared" si="24"/>
        <v>0</v>
      </c>
      <c r="DM17" s="2151">
        <f t="shared" si="25"/>
        <v>0</v>
      </c>
      <c r="DN17" s="644"/>
      <c r="DO17" s="1829">
        <v>7</v>
      </c>
      <c r="DP17" s="2211">
        <v>667.356330566937</v>
      </c>
      <c r="DQ17" s="2212">
        <v>127.105918084275</v>
      </c>
      <c r="DR17" s="2212">
        <v>697.326799526733</v>
      </c>
      <c r="DS17" s="2212">
        <v>870.05522150023296</v>
      </c>
      <c r="DT17" s="2212">
        <v>759.02080672658201</v>
      </c>
      <c r="DU17" s="2212">
        <v>713.69708207472604</v>
      </c>
      <c r="DV17" s="2212">
        <v>753.13868898111605</v>
      </c>
      <c r="DW17" s="2212">
        <v>849.884774729009</v>
      </c>
      <c r="DX17" s="2212">
        <v>272.91011011358302</v>
      </c>
      <c r="DY17" s="2212">
        <v>657.18002826797499</v>
      </c>
      <c r="DZ17" s="2212">
        <v>732.01598105524499</v>
      </c>
      <c r="EA17" s="2212">
        <v>695.69733157834798</v>
      </c>
      <c r="EB17" s="2212">
        <v>1037.52743627226</v>
      </c>
      <c r="EC17" s="2212">
        <v>432.87970424801699</v>
      </c>
      <c r="ED17" s="2212">
        <v>295.23862285427299</v>
      </c>
      <c r="EE17" s="2212">
        <v>870.86478433145601</v>
      </c>
      <c r="EF17" s="2212">
        <v>613.830190884025</v>
      </c>
      <c r="EG17" s="2212">
        <v>559.30862715763703</v>
      </c>
      <c r="EH17" s="2212">
        <v>364.67758074898398</v>
      </c>
      <c r="EI17" s="2212">
        <v>721.90267904064603</v>
      </c>
      <c r="EJ17" s="2212">
        <v>527.35173301279997</v>
      </c>
      <c r="EK17" s="2212">
        <v>931.45490122484603</v>
      </c>
      <c r="EL17" s="2212">
        <v>980.86124300402503</v>
      </c>
      <c r="EM17" s="2212">
        <v>614.73912295794605</v>
      </c>
      <c r="EN17" s="2212">
        <v>818.489964259516</v>
      </c>
      <c r="EO17" s="2213">
        <v>931.57744880062501</v>
      </c>
      <c r="ER17" s="1829">
        <v>7</v>
      </c>
      <c r="ES17" s="1830">
        <v>2.1054017889661201</v>
      </c>
      <c r="ET17" s="644"/>
      <c r="EU17" s="2156">
        <v>7</v>
      </c>
      <c r="EV17" s="2090" t="s">
        <v>1903</v>
      </c>
      <c r="EW17" s="2090" t="s">
        <v>1907</v>
      </c>
      <c r="EX17" s="2090" t="str">
        <f>Translation!B$579</f>
        <v>Ja</v>
      </c>
    </row>
    <row r="18" spans="2:154" ht="12.75" x14ac:dyDescent="0.2">
      <c r="B18" s="2090">
        <v>8</v>
      </c>
      <c r="C18" s="2090" t="s">
        <v>1903</v>
      </c>
      <c r="D18" s="2090" t="s">
        <v>1907</v>
      </c>
      <c r="E18" s="2090" t="str">
        <f>Translation!B$580</f>
        <v>Nein</v>
      </c>
      <c r="F18" s="1622">
        <v>8</v>
      </c>
      <c r="G18" s="2211">
        <v>26593.964166666701</v>
      </c>
      <c r="H18" s="2212">
        <v>540.18583333333299</v>
      </c>
      <c r="I18" s="2212">
        <v>1859.97416666667</v>
      </c>
      <c r="J18" s="2212">
        <v>35552.052499999998</v>
      </c>
      <c r="K18" s="2212">
        <v>9364.6291666666693</v>
      </c>
      <c r="L18" s="2212">
        <v>7904.6391666666696</v>
      </c>
      <c r="M18" s="2212">
        <v>11857.634166666699</v>
      </c>
      <c r="N18" s="2212">
        <v>16444.5491666667</v>
      </c>
      <c r="O18" s="2212">
        <v>1540.915</v>
      </c>
      <c r="P18" s="2212">
        <v>7139.5841666666702</v>
      </c>
      <c r="Q18" s="2212">
        <v>2105.2474999999999</v>
      </c>
      <c r="R18" s="2212">
        <v>15548.557500000001</v>
      </c>
      <c r="S18" s="2212">
        <v>5618.5225</v>
      </c>
      <c r="T18" s="2212">
        <v>1461.70333333333</v>
      </c>
      <c r="U18" s="2212">
        <v>1312.01583333333</v>
      </c>
      <c r="V18" s="2212">
        <v>19214.633333333299</v>
      </c>
      <c r="W18" s="2212">
        <v>2867.7716666666702</v>
      </c>
      <c r="X18" s="2212">
        <v>10092.0975</v>
      </c>
      <c r="Y18" s="2212">
        <v>5986.8675000000003</v>
      </c>
      <c r="Z18" s="2212">
        <v>10742.1658333333</v>
      </c>
      <c r="AA18" s="2212">
        <v>10023.245000000001</v>
      </c>
      <c r="AB18" s="2212">
        <v>1223.2474999999999</v>
      </c>
      <c r="AC18" s="2212">
        <v>29668.3616666667</v>
      </c>
      <c r="AD18" s="2212">
        <v>12701.35</v>
      </c>
      <c r="AE18" s="2212">
        <v>5004.9816666666702</v>
      </c>
      <c r="AF18" s="2213">
        <v>64383.694166666697</v>
      </c>
      <c r="AH18" s="1829">
        <v>8</v>
      </c>
      <c r="AI18" s="2124">
        <f>Risk_Compensation!H25*(Risk_Compensation!AK25+CO$144)*12/1000000</f>
        <v>0</v>
      </c>
      <c r="AJ18" s="2121">
        <f>Risk_Compensation!I25*(Risk_Compensation!AL25+CP$144)*12/1000000</f>
        <v>0</v>
      </c>
      <c r="AK18" s="2121">
        <f>Risk_Compensation!J25*(Risk_Compensation!AM25+CQ$144)*12/1000000</f>
        <v>0</v>
      </c>
      <c r="AL18" s="2121">
        <f>Risk_Compensation!K25*(Risk_Compensation!AN25+CR$144)*12/1000000</f>
        <v>0</v>
      </c>
      <c r="AM18" s="2121">
        <f>Risk_Compensation!L25*(Risk_Compensation!AO25+CS$144)*12/1000000</f>
        <v>0</v>
      </c>
      <c r="AN18" s="2121">
        <f>Risk_Compensation!M25*(Risk_Compensation!AP25+CT$144)*12/1000000</f>
        <v>0</v>
      </c>
      <c r="AO18" s="2121">
        <f>Risk_Compensation!N25*(Risk_Compensation!AQ25+CU$144)*12/1000000</f>
        <v>0</v>
      </c>
      <c r="AP18" s="2121">
        <f>Risk_Compensation!O25*(Risk_Compensation!AR25+CV$144)*12/1000000</f>
        <v>0</v>
      </c>
      <c r="AQ18" s="2121">
        <f>Risk_Compensation!P25*(Risk_Compensation!AS25+CW$144)*12/1000000</f>
        <v>0</v>
      </c>
      <c r="AR18" s="2121">
        <f>Risk_Compensation!Q25*(Risk_Compensation!AT25+CX$144)*12/1000000</f>
        <v>0</v>
      </c>
      <c r="AS18" s="2121">
        <f>Risk_Compensation!R25*(Risk_Compensation!AU25+CY$144)*12/1000000</f>
        <v>0</v>
      </c>
      <c r="AT18" s="2121">
        <f>Risk_Compensation!S25*(Risk_Compensation!AV25+CZ$144)*12/1000000</f>
        <v>0</v>
      </c>
      <c r="AU18" s="2121">
        <f>Risk_Compensation!T25*(Risk_Compensation!AW25+DA$144)*12/1000000</f>
        <v>0</v>
      </c>
      <c r="AV18" s="2121">
        <f>Risk_Compensation!U25*(Risk_Compensation!AX25+DB$144)*12/1000000</f>
        <v>0</v>
      </c>
      <c r="AW18" s="2121">
        <f>Risk_Compensation!V25*(Risk_Compensation!AY25+DC$144)*12/1000000</f>
        <v>0</v>
      </c>
      <c r="AX18" s="2121">
        <f>Risk_Compensation!W25*(Risk_Compensation!AZ25+DD$144)*12/1000000</f>
        <v>0</v>
      </c>
      <c r="AY18" s="2121">
        <f>Risk_Compensation!X25*(Risk_Compensation!BA25+DE$144)*12/1000000</f>
        <v>0</v>
      </c>
      <c r="AZ18" s="2121">
        <f>Risk_Compensation!Y25*(Risk_Compensation!BB25+DF$144)*12/1000000</f>
        <v>0</v>
      </c>
      <c r="BA18" s="2121">
        <f>Risk_Compensation!Z25*(Risk_Compensation!BC25+DG$144)*12/1000000</f>
        <v>0</v>
      </c>
      <c r="BB18" s="2121">
        <f>Risk_Compensation!AA25*(Risk_Compensation!BD25+DH$144)*12/1000000</f>
        <v>0</v>
      </c>
      <c r="BC18" s="2121">
        <f>Risk_Compensation!AB25*(Risk_Compensation!BE25+DI$144)*12/1000000</f>
        <v>0</v>
      </c>
      <c r="BD18" s="2121">
        <f>Risk_Compensation!AC25*(Risk_Compensation!BF25+DJ$144)*12/1000000</f>
        <v>0</v>
      </c>
      <c r="BE18" s="2121">
        <f>Risk_Compensation!AD25*(Risk_Compensation!BG25+DK$144)*12/1000000</f>
        <v>0</v>
      </c>
      <c r="BF18" s="2121">
        <f>Risk_Compensation!AE25*(Risk_Compensation!BH25+DL$144)*12/1000000</f>
        <v>0</v>
      </c>
      <c r="BG18" s="2121">
        <f>Risk_Compensation!AF25*(Risk_Compensation!BI25+DM$144)*12/1000000</f>
        <v>0</v>
      </c>
      <c r="BH18" s="2125">
        <f>Risk_Compensation!AG25*(Risk_Compensation!BJ25+DN$144)*12/1000000</f>
        <v>0</v>
      </c>
      <c r="BI18" s="644"/>
      <c r="BJ18" s="1829">
        <v>8</v>
      </c>
      <c r="BK18" s="2138">
        <f>IF(G18&lt;=0,0,(Risk_Compensation!H25/G18-Risk_Compensation!H$79/G$72-0.5*CO$167*($CK18-CO$135/G$72))*G18)</f>
        <v>0</v>
      </c>
      <c r="BL18" s="2139">
        <f>IF(H18&lt;=0,0,(Risk_Compensation!I25/H18-Risk_Compensation!I$79/H$72-0.5*CP$167*($CK18-CP$135/H$72))*H18)</f>
        <v>0</v>
      </c>
      <c r="BM18" s="2139">
        <f>IF(I18&lt;=0,0,(Risk_Compensation!J25/I18-Risk_Compensation!J$79/I$72-0.5*CQ$167*($CK18-CQ$135/I$72))*I18)</f>
        <v>0</v>
      </c>
      <c r="BN18" s="2139">
        <f>IF(J18&lt;=0,0,(Risk_Compensation!K25/J18-Risk_Compensation!K$79/J$72-0.5*CR$167*($CK18-CR$135/J$72))*J18)</f>
        <v>0</v>
      </c>
      <c r="BO18" s="2139">
        <f>IF(K18&lt;=0,0,(Risk_Compensation!L25/K18-Risk_Compensation!L$79/K$72-0.5*CS$167*($CK18-CS$135/K$72))*K18)</f>
        <v>0</v>
      </c>
      <c r="BP18" s="2139">
        <f>IF(L18&lt;=0,0,(Risk_Compensation!M25/L18-Risk_Compensation!M$79/L$72-0.5*CT$167*($CK18-CT$135/L$72))*L18)</f>
        <v>0</v>
      </c>
      <c r="BQ18" s="2139">
        <f>IF(M18&lt;=0,0,(Risk_Compensation!N25/M18-Risk_Compensation!N$79/M$72-0.5*CU$167*($CK18-CU$135/M$72))*M18)</f>
        <v>0</v>
      </c>
      <c r="BR18" s="2139">
        <f>IF(N18&lt;=0,0,(Risk_Compensation!O25/N18-Risk_Compensation!O$79/N$72-0.5*CV$167*($CK18-CV$135/N$72))*N18)</f>
        <v>0</v>
      </c>
      <c r="BS18" s="2139">
        <f>IF(O18&lt;=0,0,(Risk_Compensation!P25/O18-Risk_Compensation!P$79/O$72-0.5*CW$167*($CK18-CW$135/O$72))*O18)</f>
        <v>0</v>
      </c>
      <c r="BT18" s="2139">
        <f>IF(P18&lt;=0,0,(Risk_Compensation!Q25/P18-Risk_Compensation!Q$79/P$72-0.5*CX$167*($CK18-CX$135/P$72))*P18)</f>
        <v>0</v>
      </c>
      <c r="BU18" s="2139">
        <f>IF(Q18&lt;=0,0,(Risk_Compensation!R25/Q18-Risk_Compensation!R$79/Q$72-0.5*CY$167*($CK18-CY$135/Q$72))*Q18)</f>
        <v>0</v>
      </c>
      <c r="BV18" s="2139">
        <f>IF(R18&lt;=0,0,(Risk_Compensation!S25/R18-Risk_Compensation!S$79/R$72-0.5*CZ$167*($CK18-CZ$135/R$72))*R18)</f>
        <v>0</v>
      </c>
      <c r="BW18" s="2139">
        <f>IF(S18&lt;=0,0,(Risk_Compensation!T25/S18-Risk_Compensation!T$79/S$72-0.5*DA$167*($CK18-DA$135/S$72))*S18)</f>
        <v>0</v>
      </c>
      <c r="BX18" s="2139">
        <f>IF(T18&lt;=0,0,(Risk_Compensation!U25/T18-Risk_Compensation!U$79/T$72-0.5*DB$167*($CK18-DB$135/T$72))*T18)</f>
        <v>0</v>
      </c>
      <c r="BY18" s="2139">
        <f>IF(U18&lt;=0,0,(Risk_Compensation!V25/U18-Risk_Compensation!V$79/U$72-0.5*DC$167*($CK18-DC$135/U$72))*U18)</f>
        <v>0</v>
      </c>
      <c r="BZ18" s="2139">
        <f>IF(V18&lt;=0,0,(Risk_Compensation!W25/V18-Risk_Compensation!W$79/V$72-0.5*DD$167*($CK18-DD$135/V$72))*V18)</f>
        <v>0</v>
      </c>
      <c r="CA18" s="2139">
        <f>IF(W18&lt;=0,0,(Risk_Compensation!X25/W18-Risk_Compensation!X$79/W$72-0.5*DE$167*($CK18-DE$135/W$72))*W18)</f>
        <v>0</v>
      </c>
      <c r="CB18" s="2139">
        <f>IF(X18&lt;=0,0,(Risk_Compensation!Y25/X18-Risk_Compensation!Y$79/X$72-0.5*DF$167*($CK18-DF$135/X$72))*X18)</f>
        <v>0</v>
      </c>
      <c r="CC18" s="2139">
        <f>IF(Y18&lt;=0,0,(Risk_Compensation!Z25/Y18-Risk_Compensation!Z$79/Y$72-0.5*DG$167*($CK18-DG$135/Y$72))*Y18)</f>
        <v>0</v>
      </c>
      <c r="CD18" s="2139">
        <f>IF(Z18&lt;=0,0,(Risk_Compensation!AA25/Z18-Risk_Compensation!AA$79/Z$72-0.5*DH$167*($CK18-DH$135/Z$72))*Z18)</f>
        <v>0</v>
      </c>
      <c r="CE18" s="2139">
        <f>IF(AA18&lt;=0,0,(Risk_Compensation!AB25/AA18-Risk_Compensation!AB$79/AA$72-0.5*DI$167*($CK18-DI$135/AA$72))*AA18)</f>
        <v>0</v>
      </c>
      <c r="CF18" s="2139">
        <f>IF(AB18&lt;=0,0,(Risk_Compensation!AC25/AB18-Risk_Compensation!AC$79/AB$72-0.5*DJ$167*($CK18-DJ$135/AB$72))*AB18)</f>
        <v>0</v>
      </c>
      <c r="CG18" s="2139">
        <f>IF(AC18&lt;=0,0,(Risk_Compensation!AD25/AC18-Risk_Compensation!AD$79/AC$72-0.5*DK$167*($CK18-DK$135/AC$72))*AC18)</f>
        <v>0</v>
      </c>
      <c r="CH18" s="2139">
        <f>IF(AD18&lt;=0,0,(Risk_Compensation!AE25/AD18-Risk_Compensation!AE$79/AD$72-0.5*DL$167*($CK18-DL$135/AD$72))*AD18)</f>
        <v>0</v>
      </c>
      <c r="CI18" s="2139">
        <f>IF(AE18&lt;=0,0,(Risk_Compensation!AF25/AE18-Risk_Compensation!AF$79/AE$72-0.5*DM$167*($CK18-DM$135/AE$72))*AE18)</f>
        <v>0</v>
      </c>
      <c r="CJ18" s="2140">
        <f>IF(AF18&lt;=0,0,(Risk_Compensation!AG25/AF18-Risk_Compensation!AG$79/AF$72-0.5*DN$167*($CK18-DN$135/AF$72))*AF18)</f>
        <v>0</v>
      </c>
      <c r="CK18" s="2166">
        <v>0</v>
      </c>
      <c r="CL18" s="644"/>
      <c r="CM18" s="1829">
        <v>8</v>
      </c>
      <c r="CN18" s="2149">
        <f t="shared" si="0"/>
        <v>0</v>
      </c>
      <c r="CO18" s="2150">
        <f t="shared" si="1"/>
        <v>0</v>
      </c>
      <c r="CP18" s="2150">
        <f t="shared" si="2"/>
        <v>0</v>
      </c>
      <c r="CQ18" s="2150">
        <f t="shared" si="3"/>
        <v>0</v>
      </c>
      <c r="CR18" s="2150">
        <f t="shared" si="4"/>
        <v>0</v>
      </c>
      <c r="CS18" s="2150">
        <f t="shared" si="5"/>
        <v>0</v>
      </c>
      <c r="CT18" s="2150">
        <f t="shared" si="6"/>
        <v>0</v>
      </c>
      <c r="CU18" s="2150">
        <f t="shared" si="7"/>
        <v>0</v>
      </c>
      <c r="CV18" s="2150">
        <f t="shared" si="8"/>
        <v>0</v>
      </c>
      <c r="CW18" s="2150">
        <f t="shared" si="9"/>
        <v>0</v>
      </c>
      <c r="CX18" s="2150">
        <f t="shared" si="10"/>
        <v>0</v>
      </c>
      <c r="CY18" s="2150">
        <f t="shared" si="11"/>
        <v>0</v>
      </c>
      <c r="CZ18" s="2150">
        <f t="shared" si="12"/>
        <v>0</v>
      </c>
      <c r="DA18" s="2150">
        <f t="shared" si="13"/>
        <v>0</v>
      </c>
      <c r="DB18" s="2150">
        <f t="shared" si="14"/>
        <v>0</v>
      </c>
      <c r="DC18" s="2150">
        <f t="shared" si="15"/>
        <v>0</v>
      </c>
      <c r="DD18" s="2150">
        <f t="shared" si="16"/>
        <v>0</v>
      </c>
      <c r="DE18" s="2150">
        <f t="shared" si="17"/>
        <v>0</v>
      </c>
      <c r="DF18" s="2150">
        <f t="shared" si="18"/>
        <v>0</v>
      </c>
      <c r="DG18" s="2150">
        <f t="shared" si="19"/>
        <v>0</v>
      </c>
      <c r="DH18" s="2150">
        <f t="shared" si="20"/>
        <v>0</v>
      </c>
      <c r="DI18" s="2150">
        <f t="shared" si="21"/>
        <v>0</v>
      </c>
      <c r="DJ18" s="2150">
        <f t="shared" si="22"/>
        <v>0</v>
      </c>
      <c r="DK18" s="2150">
        <f t="shared" si="23"/>
        <v>0</v>
      </c>
      <c r="DL18" s="2150">
        <f t="shared" si="24"/>
        <v>0</v>
      </c>
      <c r="DM18" s="2151">
        <f t="shared" si="25"/>
        <v>0</v>
      </c>
      <c r="DN18" s="644"/>
      <c r="DO18" s="1829">
        <v>8</v>
      </c>
      <c r="DP18" s="2211">
        <v>55.798579337693603</v>
      </c>
      <c r="DQ18" s="2212">
        <v>38.303145065128703</v>
      </c>
      <c r="DR18" s="2212">
        <v>32.6085487830617</v>
      </c>
      <c r="DS18" s="2212">
        <v>58.525240784611498</v>
      </c>
      <c r="DT18" s="2212">
        <v>69.187785666590599</v>
      </c>
      <c r="DU18" s="2212">
        <v>75.481359899796402</v>
      </c>
      <c r="DV18" s="2212">
        <v>55.211325925258301</v>
      </c>
      <c r="DW18" s="2212">
        <v>90.838698838385397</v>
      </c>
      <c r="DX18" s="2212">
        <v>39.501361270416801</v>
      </c>
      <c r="DY18" s="2212">
        <v>43.654926288453098</v>
      </c>
      <c r="DZ18" s="2212">
        <v>46.8990830668467</v>
      </c>
      <c r="EA18" s="2212">
        <v>50.909076335474502</v>
      </c>
      <c r="EB18" s="2212">
        <v>43.315225828511799</v>
      </c>
      <c r="EC18" s="2212">
        <v>53.735605778441403</v>
      </c>
      <c r="ED18" s="2212">
        <v>53.119717947876197</v>
      </c>
      <c r="EE18" s="2212">
        <v>54.717874579356398</v>
      </c>
      <c r="EF18" s="2212">
        <v>54.924486512209299</v>
      </c>
      <c r="EG18" s="2212">
        <v>61.022880909808798</v>
      </c>
      <c r="EH18" s="2212">
        <v>39.533178901185799</v>
      </c>
      <c r="EI18" s="2212">
        <v>54.219699618098304</v>
      </c>
      <c r="EJ18" s="2212">
        <v>58.1740312551618</v>
      </c>
      <c r="EK18" s="2212">
        <v>27.097373030413799</v>
      </c>
      <c r="EL18" s="2212">
        <v>61.617514905616197</v>
      </c>
      <c r="EM18" s="2212">
        <v>44.486057264243797</v>
      </c>
      <c r="EN18" s="2212">
        <v>47.5513850343199</v>
      </c>
      <c r="EO18" s="2213">
        <v>63.984580600111798</v>
      </c>
      <c r="ER18" s="1829">
        <v>8</v>
      </c>
      <c r="ES18" s="1830">
        <v>5.7838286413059503</v>
      </c>
      <c r="ET18" s="644"/>
      <c r="EU18" s="2156">
        <v>8</v>
      </c>
      <c r="EV18" s="2090" t="s">
        <v>1903</v>
      </c>
      <c r="EW18" s="2090" t="s">
        <v>1907</v>
      </c>
      <c r="EX18" s="2090" t="str">
        <f>Translation!B$580</f>
        <v>Nein</v>
      </c>
    </row>
    <row r="19" spans="2:154" ht="12.75" x14ac:dyDescent="0.2">
      <c r="B19" s="2090">
        <v>9</v>
      </c>
      <c r="C19" s="2090" t="s">
        <v>1903</v>
      </c>
      <c r="D19" s="2090" t="s">
        <v>1908</v>
      </c>
      <c r="E19" s="2090" t="str">
        <f>Translation!B$579</f>
        <v>Ja</v>
      </c>
      <c r="F19" s="1622">
        <v>9</v>
      </c>
      <c r="G19" s="2211">
        <v>639.41666666666697</v>
      </c>
      <c r="H19" s="2212">
        <v>16</v>
      </c>
      <c r="I19" s="2212">
        <v>44.5833333333333</v>
      </c>
      <c r="J19" s="2212">
        <v>901.52833333333297</v>
      </c>
      <c r="K19" s="2212">
        <v>276.40083333333303</v>
      </c>
      <c r="L19" s="2212">
        <v>244.72333333333299</v>
      </c>
      <c r="M19" s="2212">
        <v>226.606666666667</v>
      </c>
      <c r="N19" s="2212">
        <v>368.82499999999999</v>
      </c>
      <c r="O19" s="2212">
        <v>42.8333333333333</v>
      </c>
      <c r="P19" s="2212">
        <v>149.95333333333301</v>
      </c>
      <c r="Q19" s="2212">
        <v>57.389166666666704</v>
      </c>
      <c r="R19" s="2212">
        <v>322.14499999999998</v>
      </c>
      <c r="S19" s="2212">
        <v>122.11</v>
      </c>
      <c r="T19" s="2212">
        <v>27.43</v>
      </c>
      <c r="U19" s="2212">
        <v>25.5</v>
      </c>
      <c r="V19" s="2212">
        <v>469.77249999999998</v>
      </c>
      <c r="W19" s="2212">
        <v>88.433333333333294</v>
      </c>
      <c r="X19" s="2212">
        <v>302.21666666666698</v>
      </c>
      <c r="Y19" s="2212">
        <v>137.32333333333301</v>
      </c>
      <c r="Z19" s="2212">
        <v>298.82749999999999</v>
      </c>
      <c r="AA19" s="2212">
        <v>274.6825</v>
      </c>
      <c r="AB19" s="2212">
        <v>18.341666666666701</v>
      </c>
      <c r="AC19" s="2212">
        <v>551.64916666666704</v>
      </c>
      <c r="AD19" s="2212">
        <v>253.8175</v>
      </c>
      <c r="AE19" s="2212">
        <v>103.18</v>
      </c>
      <c r="AF19" s="2213">
        <v>1396.655</v>
      </c>
      <c r="AH19" s="1829">
        <v>9</v>
      </c>
      <c r="AI19" s="2124">
        <f>Risk_Compensation!H26*(Risk_Compensation!AK26+CO$144)*12/1000000</f>
        <v>0</v>
      </c>
      <c r="AJ19" s="2121">
        <f>Risk_Compensation!I26*(Risk_Compensation!AL26+CP$144)*12/1000000</f>
        <v>0</v>
      </c>
      <c r="AK19" s="2121">
        <f>Risk_Compensation!J26*(Risk_Compensation!AM26+CQ$144)*12/1000000</f>
        <v>0</v>
      </c>
      <c r="AL19" s="2121">
        <f>Risk_Compensation!K26*(Risk_Compensation!AN26+CR$144)*12/1000000</f>
        <v>0</v>
      </c>
      <c r="AM19" s="2121">
        <f>Risk_Compensation!L26*(Risk_Compensation!AO26+CS$144)*12/1000000</f>
        <v>0</v>
      </c>
      <c r="AN19" s="2121">
        <f>Risk_Compensation!M26*(Risk_Compensation!AP26+CT$144)*12/1000000</f>
        <v>0</v>
      </c>
      <c r="AO19" s="2121">
        <f>Risk_Compensation!N26*(Risk_Compensation!AQ26+CU$144)*12/1000000</f>
        <v>0</v>
      </c>
      <c r="AP19" s="2121">
        <f>Risk_Compensation!O26*(Risk_Compensation!AR26+CV$144)*12/1000000</f>
        <v>0</v>
      </c>
      <c r="AQ19" s="2121">
        <f>Risk_Compensation!P26*(Risk_Compensation!AS26+CW$144)*12/1000000</f>
        <v>0</v>
      </c>
      <c r="AR19" s="2121">
        <f>Risk_Compensation!Q26*(Risk_Compensation!AT26+CX$144)*12/1000000</f>
        <v>0</v>
      </c>
      <c r="AS19" s="2121">
        <f>Risk_Compensation!R26*(Risk_Compensation!AU26+CY$144)*12/1000000</f>
        <v>0</v>
      </c>
      <c r="AT19" s="2121">
        <f>Risk_Compensation!S26*(Risk_Compensation!AV26+CZ$144)*12/1000000</f>
        <v>0</v>
      </c>
      <c r="AU19" s="2121">
        <f>Risk_Compensation!T26*(Risk_Compensation!AW26+DA$144)*12/1000000</f>
        <v>0</v>
      </c>
      <c r="AV19" s="2121">
        <f>Risk_Compensation!U26*(Risk_Compensation!AX26+DB$144)*12/1000000</f>
        <v>0</v>
      </c>
      <c r="AW19" s="2121">
        <f>Risk_Compensation!V26*(Risk_Compensation!AY26+DC$144)*12/1000000</f>
        <v>0</v>
      </c>
      <c r="AX19" s="2121">
        <f>Risk_Compensation!W26*(Risk_Compensation!AZ26+DD$144)*12/1000000</f>
        <v>0</v>
      </c>
      <c r="AY19" s="2121">
        <f>Risk_Compensation!X26*(Risk_Compensation!BA26+DE$144)*12/1000000</f>
        <v>0</v>
      </c>
      <c r="AZ19" s="2121">
        <f>Risk_Compensation!Y26*(Risk_Compensation!BB26+DF$144)*12/1000000</f>
        <v>0</v>
      </c>
      <c r="BA19" s="2121">
        <f>Risk_Compensation!Z26*(Risk_Compensation!BC26+DG$144)*12/1000000</f>
        <v>0</v>
      </c>
      <c r="BB19" s="2121">
        <f>Risk_Compensation!AA26*(Risk_Compensation!BD26+DH$144)*12/1000000</f>
        <v>0</v>
      </c>
      <c r="BC19" s="2121">
        <f>Risk_Compensation!AB26*(Risk_Compensation!BE26+DI$144)*12/1000000</f>
        <v>0</v>
      </c>
      <c r="BD19" s="2121">
        <f>Risk_Compensation!AC26*(Risk_Compensation!BF26+DJ$144)*12/1000000</f>
        <v>0</v>
      </c>
      <c r="BE19" s="2121">
        <f>Risk_Compensation!AD26*(Risk_Compensation!BG26+DK$144)*12/1000000</f>
        <v>0</v>
      </c>
      <c r="BF19" s="2121">
        <f>Risk_Compensation!AE26*(Risk_Compensation!BH26+DL$144)*12/1000000</f>
        <v>0</v>
      </c>
      <c r="BG19" s="2121">
        <f>Risk_Compensation!AF26*(Risk_Compensation!BI26+DM$144)*12/1000000</f>
        <v>0</v>
      </c>
      <c r="BH19" s="2125">
        <f>Risk_Compensation!AG26*(Risk_Compensation!BJ26+DN$144)*12/1000000</f>
        <v>0</v>
      </c>
      <c r="BI19" s="644"/>
      <c r="BJ19" s="1829">
        <v>9</v>
      </c>
      <c r="BK19" s="2138">
        <f>IF(G19&lt;=0,0,(Risk_Compensation!H26/G19-Risk_Compensation!H$79/G$72-0.5*CO$167*($CK19-CO$135/G$72))*G19)</f>
        <v>0</v>
      </c>
      <c r="BL19" s="2139">
        <f>IF(H19&lt;=0,0,(Risk_Compensation!I26/H19-Risk_Compensation!I$79/H$72-0.5*CP$167*($CK19-CP$135/H$72))*H19)</f>
        <v>0</v>
      </c>
      <c r="BM19" s="2139">
        <f>IF(I19&lt;=0,0,(Risk_Compensation!J26/I19-Risk_Compensation!J$79/I$72-0.5*CQ$167*($CK19-CQ$135/I$72))*I19)</f>
        <v>0</v>
      </c>
      <c r="BN19" s="2139">
        <f>IF(J19&lt;=0,0,(Risk_Compensation!K26/J19-Risk_Compensation!K$79/J$72-0.5*CR$167*($CK19-CR$135/J$72))*J19)</f>
        <v>0</v>
      </c>
      <c r="BO19" s="2139">
        <f>IF(K19&lt;=0,0,(Risk_Compensation!L26/K19-Risk_Compensation!L$79/K$72-0.5*CS$167*($CK19-CS$135/K$72))*K19)</f>
        <v>0</v>
      </c>
      <c r="BP19" s="2139">
        <f>IF(L19&lt;=0,0,(Risk_Compensation!M26/L19-Risk_Compensation!M$79/L$72-0.5*CT$167*($CK19-CT$135/L$72))*L19)</f>
        <v>0</v>
      </c>
      <c r="BQ19" s="2139">
        <f>IF(M19&lt;=0,0,(Risk_Compensation!N26/M19-Risk_Compensation!N$79/M$72-0.5*CU$167*($CK19-CU$135/M$72))*M19)</f>
        <v>0</v>
      </c>
      <c r="BR19" s="2139">
        <f>IF(N19&lt;=0,0,(Risk_Compensation!O26/N19-Risk_Compensation!O$79/N$72-0.5*CV$167*($CK19-CV$135/N$72))*N19)</f>
        <v>0</v>
      </c>
      <c r="BS19" s="2139">
        <f>IF(O19&lt;=0,0,(Risk_Compensation!P26/O19-Risk_Compensation!P$79/O$72-0.5*CW$167*($CK19-CW$135/O$72))*O19)</f>
        <v>0</v>
      </c>
      <c r="BT19" s="2139">
        <f>IF(P19&lt;=0,0,(Risk_Compensation!Q26/P19-Risk_Compensation!Q$79/P$72-0.5*CX$167*($CK19-CX$135/P$72))*P19)</f>
        <v>0</v>
      </c>
      <c r="BU19" s="2139">
        <f>IF(Q19&lt;=0,0,(Risk_Compensation!R26/Q19-Risk_Compensation!R$79/Q$72-0.5*CY$167*($CK19-CY$135/Q$72))*Q19)</f>
        <v>0</v>
      </c>
      <c r="BV19" s="2139">
        <f>IF(R19&lt;=0,0,(Risk_Compensation!S26/R19-Risk_Compensation!S$79/R$72-0.5*CZ$167*($CK19-CZ$135/R$72))*R19)</f>
        <v>0</v>
      </c>
      <c r="BW19" s="2139">
        <f>IF(S19&lt;=0,0,(Risk_Compensation!T26/S19-Risk_Compensation!T$79/S$72-0.5*DA$167*($CK19-DA$135/S$72))*S19)</f>
        <v>0</v>
      </c>
      <c r="BX19" s="2139">
        <f>IF(T19&lt;=0,0,(Risk_Compensation!U26/T19-Risk_Compensation!U$79/T$72-0.5*DB$167*($CK19-DB$135/T$72))*T19)</f>
        <v>0</v>
      </c>
      <c r="BY19" s="2139">
        <f>IF(U19&lt;=0,0,(Risk_Compensation!V26/U19-Risk_Compensation!V$79/U$72-0.5*DC$167*($CK19-DC$135/U$72))*U19)</f>
        <v>0</v>
      </c>
      <c r="BZ19" s="2139">
        <f>IF(V19&lt;=0,0,(Risk_Compensation!W26/V19-Risk_Compensation!W$79/V$72-0.5*DD$167*($CK19-DD$135/V$72))*V19)</f>
        <v>0</v>
      </c>
      <c r="CA19" s="2139">
        <f>IF(W19&lt;=0,0,(Risk_Compensation!X26/W19-Risk_Compensation!X$79/W$72-0.5*DE$167*($CK19-DE$135/W$72))*W19)</f>
        <v>0</v>
      </c>
      <c r="CB19" s="2139">
        <f>IF(X19&lt;=0,0,(Risk_Compensation!Y26/X19-Risk_Compensation!Y$79/X$72-0.5*DF$167*($CK19-DF$135/X$72))*X19)</f>
        <v>0</v>
      </c>
      <c r="CC19" s="2139">
        <f>IF(Y19&lt;=0,0,(Risk_Compensation!Z26/Y19-Risk_Compensation!Z$79/Y$72-0.5*DG$167*($CK19-DG$135/Y$72))*Y19)</f>
        <v>0</v>
      </c>
      <c r="CD19" s="2139">
        <f>IF(Z19&lt;=0,0,(Risk_Compensation!AA26/Z19-Risk_Compensation!AA$79/Z$72-0.5*DH$167*($CK19-DH$135/Z$72))*Z19)</f>
        <v>0</v>
      </c>
      <c r="CE19" s="2139">
        <f>IF(AA19&lt;=0,0,(Risk_Compensation!AB26/AA19-Risk_Compensation!AB$79/AA$72-0.5*DI$167*($CK19-DI$135/AA$72))*AA19)</f>
        <v>0</v>
      </c>
      <c r="CF19" s="2139">
        <f>IF(AB19&lt;=0,0,(Risk_Compensation!AC26/AB19-Risk_Compensation!AC$79/AB$72-0.5*DJ$167*($CK19-DJ$135/AB$72))*AB19)</f>
        <v>0</v>
      </c>
      <c r="CG19" s="2139">
        <f>IF(AC19&lt;=0,0,(Risk_Compensation!AD26/AC19-Risk_Compensation!AD$79/AC$72-0.5*DK$167*($CK19-DK$135/AC$72))*AC19)</f>
        <v>0</v>
      </c>
      <c r="CH19" s="2139">
        <f>IF(AD19&lt;=0,0,(Risk_Compensation!AE26/AD19-Risk_Compensation!AE$79/AD$72-0.5*DL$167*($CK19-DL$135/AD$72))*AD19)</f>
        <v>0</v>
      </c>
      <c r="CI19" s="2139">
        <f>IF(AE19&lt;=0,0,(Risk_Compensation!AF26/AE19-Risk_Compensation!AF$79/AE$72-0.5*DM$167*($CK19-DM$135/AE$72))*AE19)</f>
        <v>0</v>
      </c>
      <c r="CJ19" s="2140">
        <f>IF(AF19&lt;=0,0,(Risk_Compensation!AG26/AF19-Risk_Compensation!AG$79/AF$72-0.5*DN$167*($CK19-DN$135/AF$72))*AF19)</f>
        <v>0</v>
      </c>
      <c r="CK19" s="2166">
        <v>0</v>
      </c>
      <c r="CL19" s="644"/>
      <c r="CM19" s="1829">
        <v>9</v>
      </c>
      <c r="CN19" s="2149">
        <f t="shared" si="0"/>
        <v>0</v>
      </c>
      <c r="CO19" s="2150">
        <f t="shared" si="1"/>
        <v>0</v>
      </c>
      <c r="CP19" s="2150">
        <f t="shared" si="2"/>
        <v>0</v>
      </c>
      <c r="CQ19" s="2150">
        <f t="shared" si="3"/>
        <v>0</v>
      </c>
      <c r="CR19" s="2150">
        <f t="shared" si="4"/>
        <v>0</v>
      </c>
      <c r="CS19" s="2150">
        <f t="shared" si="5"/>
        <v>0</v>
      </c>
      <c r="CT19" s="2150">
        <f t="shared" si="6"/>
        <v>0</v>
      </c>
      <c r="CU19" s="2150">
        <f t="shared" si="7"/>
        <v>0</v>
      </c>
      <c r="CV19" s="2150">
        <f t="shared" si="8"/>
        <v>0</v>
      </c>
      <c r="CW19" s="2150">
        <f t="shared" si="9"/>
        <v>0</v>
      </c>
      <c r="CX19" s="2150">
        <f t="shared" si="10"/>
        <v>0</v>
      </c>
      <c r="CY19" s="2150">
        <f t="shared" si="11"/>
        <v>0</v>
      </c>
      <c r="CZ19" s="2150">
        <f t="shared" si="12"/>
        <v>0</v>
      </c>
      <c r="DA19" s="2150">
        <f t="shared" si="13"/>
        <v>0</v>
      </c>
      <c r="DB19" s="2150">
        <f t="shared" si="14"/>
        <v>0</v>
      </c>
      <c r="DC19" s="2150">
        <f t="shared" si="15"/>
        <v>0</v>
      </c>
      <c r="DD19" s="2150">
        <f t="shared" si="16"/>
        <v>0</v>
      </c>
      <c r="DE19" s="2150">
        <f t="shared" si="17"/>
        <v>0</v>
      </c>
      <c r="DF19" s="2150">
        <f t="shared" si="18"/>
        <v>0</v>
      </c>
      <c r="DG19" s="2150">
        <f t="shared" si="19"/>
        <v>0</v>
      </c>
      <c r="DH19" s="2150">
        <f t="shared" si="20"/>
        <v>0</v>
      </c>
      <c r="DI19" s="2150">
        <f t="shared" si="21"/>
        <v>0</v>
      </c>
      <c r="DJ19" s="2150">
        <f t="shared" si="22"/>
        <v>0</v>
      </c>
      <c r="DK19" s="2150">
        <f t="shared" si="23"/>
        <v>0</v>
      </c>
      <c r="DL19" s="2150">
        <f t="shared" si="24"/>
        <v>0</v>
      </c>
      <c r="DM19" s="2151">
        <f t="shared" si="25"/>
        <v>0</v>
      </c>
      <c r="DN19" s="644"/>
      <c r="DO19" s="1829">
        <v>9</v>
      </c>
      <c r="DP19" s="2211">
        <v>641.07797756810101</v>
      </c>
      <c r="DQ19" s="2212">
        <v>497.83744844781199</v>
      </c>
      <c r="DR19" s="2212">
        <v>1188.72810227788</v>
      </c>
      <c r="DS19" s="2212">
        <v>745.19384215902301</v>
      </c>
      <c r="DT19" s="2212">
        <v>732.38121383882401</v>
      </c>
      <c r="DU19" s="2212">
        <v>892.98037605649301</v>
      </c>
      <c r="DV19" s="2212">
        <v>565.49571957783701</v>
      </c>
      <c r="DW19" s="2212">
        <v>1372.78947803392</v>
      </c>
      <c r="DX19" s="2212">
        <v>438.20207337926001</v>
      </c>
      <c r="DY19" s="2212">
        <v>578.90826564046995</v>
      </c>
      <c r="DZ19" s="2212">
        <v>569.38818980589895</v>
      </c>
      <c r="EA19" s="2212">
        <v>603.37414066287204</v>
      </c>
      <c r="EB19" s="2212">
        <v>788.62535515846298</v>
      </c>
      <c r="EC19" s="2212">
        <v>281.34211922287301</v>
      </c>
      <c r="ED19" s="2212">
        <v>285.19762769280698</v>
      </c>
      <c r="EE19" s="2212">
        <v>584.688189274455</v>
      </c>
      <c r="EF19" s="2212">
        <v>649.51592079351803</v>
      </c>
      <c r="EG19" s="2212">
        <v>653.860951161451</v>
      </c>
      <c r="EH19" s="2212">
        <v>803.67906337750503</v>
      </c>
      <c r="EI19" s="2212">
        <v>681.39699520793704</v>
      </c>
      <c r="EJ19" s="2212">
        <v>787.99174460013899</v>
      </c>
      <c r="EK19" s="2212">
        <v>740.70926880308696</v>
      </c>
      <c r="EL19" s="2212">
        <v>979.59998433235705</v>
      </c>
      <c r="EM19" s="2212">
        <v>492.172236710844</v>
      </c>
      <c r="EN19" s="2212">
        <v>787.02065630418997</v>
      </c>
      <c r="EO19" s="2213">
        <v>844.25828769299801</v>
      </c>
      <c r="ER19" s="1829">
        <v>9</v>
      </c>
      <c r="ES19" s="1830">
        <v>2.0680590819082001</v>
      </c>
      <c r="ET19" s="644"/>
      <c r="EU19" s="2156">
        <v>9</v>
      </c>
      <c r="EV19" s="2090" t="s">
        <v>1903</v>
      </c>
      <c r="EW19" s="2090" t="s">
        <v>1908</v>
      </c>
      <c r="EX19" s="2090" t="str">
        <f>Translation!B$579</f>
        <v>Ja</v>
      </c>
    </row>
    <row r="20" spans="2:154" ht="12.75" x14ac:dyDescent="0.2">
      <c r="B20" s="2090">
        <v>10</v>
      </c>
      <c r="C20" s="2090" t="s">
        <v>1903</v>
      </c>
      <c r="D20" s="2090" t="s">
        <v>1908</v>
      </c>
      <c r="E20" s="2090" t="str">
        <f>Translation!B$580</f>
        <v>Nein</v>
      </c>
      <c r="F20" s="1622">
        <v>10</v>
      </c>
      <c r="G20" s="2211">
        <v>26019.370833333302</v>
      </c>
      <c r="H20" s="2212">
        <v>514.63499999999999</v>
      </c>
      <c r="I20" s="2212">
        <v>1845.9683333333301</v>
      </c>
      <c r="J20" s="2212">
        <v>34542.705833333297</v>
      </c>
      <c r="K20" s="2212">
        <v>9422.6241666666701</v>
      </c>
      <c r="L20" s="2212">
        <v>7262.52</v>
      </c>
      <c r="M20" s="2212">
        <v>11529.323333333299</v>
      </c>
      <c r="N20" s="2212">
        <v>16555.754166666698</v>
      </c>
      <c r="O20" s="2212">
        <v>1466.82</v>
      </c>
      <c r="P20" s="2212">
        <v>6844.125</v>
      </c>
      <c r="Q20" s="2212">
        <v>2075.9591666666702</v>
      </c>
      <c r="R20" s="2212">
        <v>14676.190833333299</v>
      </c>
      <c r="S20" s="2212">
        <v>5738.7416666666704</v>
      </c>
      <c r="T20" s="2212">
        <v>1374.3441666666699</v>
      </c>
      <c r="U20" s="2212">
        <v>1287.7933333333301</v>
      </c>
      <c r="V20" s="2212">
        <v>18020.6108333333</v>
      </c>
      <c r="W20" s="2212">
        <v>2832.9025000000001</v>
      </c>
      <c r="X20" s="2212">
        <v>9451.7816666666695</v>
      </c>
      <c r="Y20" s="2212">
        <v>5866.4891666666699</v>
      </c>
      <c r="Z20" s="2212">
        <v>10186.5275</v>
      </c>
      <c r="AA20" s="2212">
        <v>10458.555833333299</v>
      </c>
      <c r="AB20" s="2212">
        <v>1151.13333333333</v>
      </c>
      <c r="AC20" s="2212">
        <v>29040.962500000001</v>
      </c>
      <c r="AD20" s="2212">
        <v>12358.19</v>
      </c>
      <c r="AE20" s="2212">
        <v>4999.8841666666704</v>
      </c>
      <c r="AF20" s="2213">
        <v>61501.379166666702</v>
      </c>
      <c r="AH20" s="1829">
        <v>10</v>
      </c>
      <c r="AI20" s="2124">
        <f>Risk_Compensation!H27*(Risk_Compensation!AK27+CO$144)*12/1000000</f>
        <v>0</v>
      </c>
      <c r="AJ20" s="2121">
        <f>Risk_Compensation!I27*(Risk_Compensation!AL27+CP$144)*12/1000000</f>
        <v>0</v>
      </c>
      <c r="AK20" s="2121">
        <f>Risk_Compensation!J27*(Risk_Compensation!AM27+CQ$144)*12/1000000</f>
        <v>0</v>
      </c>
      <c r="AL20" s="2121">
        <f>Risk_Compensation!K27*(Risk_Compensation!AN27+CR$144)*12/1000000</f>
        <v>0</v>
      </c>
      <c r="AM20" s="2121">
        <f>Risk_Compensation!L27*(Risk_Compensation!AO27+CS$144)*12/1000000</f>
        <v>0</v>
      </c>
      <c r="AN20" s="2121">
        <f>Risk_Compensation!M27*(Risk_Compensation!AP27+CT$144)*12/1000000</f>
        <v>0</v>
      </c>
      <c r="AO20" s="2121">
        <f>Risk_Compensation!N27*(Risk_Compensation!AQ27+CU$144)*12/1000000</f>
        <v>0</v>
      </c>
      <c r="AP20" s="2121">
        <f>Risk_Compensation!O27*(Risk_Compensation!AR27+CV$144)*12/1000000</f>
        <v>0</v>
      </c>
      <c r="AQ20" s="2121">
        <f>Risk_Compensation!P27*(Risk_Compensation!AS27+CW$144)*12/1000000</f>
        <v>0</v>
      </c>
      <c r="AR20" s="2121">
        <f>Risk_Compensation!Q27*(Risk_Compensation!AT27+CX$144)*12/1000000</f>
        <v>0</v>
      </c>
      <c r="AS20" s="2121">
        <f>Risk_Compensation!R27*(Risk_Compensation!AU27+CY$144)*12/1000000</f>
        <v>0</v>
      </c>
      <c r="AT20" s="2121">
        <f>Risk_Compensation!S27*(Risk_Compensation!AV27+CZ$144)*12/1000000</f>
        <v>0</v>
      </c>
      <c r="AU20" s="2121">
        <f>Risk_Compensation!T27*(Risk_Compensation!AW27+DA$144)*12/1000000</f>
        <v>0</v>
      </c>
      <c r="AV20" s="2121">
        <f>Risk_Compensation!U27*(Risk_Compensation!AX27+DB$144)*12/1000000</f>
        <v>0</v>
      </c>
      <c r="AW20" s="2121">
        <f>Risk_Compensation!V27*(Risk_Compensation!AY27+DC$144)*12/1000000</f>
        <v>0</v>
      </c>
      <c r="AX20" s="2121">
        <f>Risk_Compensation!W27*(Risk_Compensation!AZ27+DD$144)*12/1000000</f>
        <v>0</v>
      </c>
      <c r="AY20" s="2121">
        <f>Risk_Compensation!X27*(Risk_Compensation!BA27+DE$144)*12/1000000</f>
        <v>0</v>
      </c>
      <c r="AZ20" s="2121">
        <f>Risk_Compensation!Y27*(Risk_Compensation!BB27+DF$144)*12/1000000</f>
        <v>0</v>
      </c>
      <c r="BA20" s="2121">
        <f>Risk_Compensation!Z27*(Risk_Compensation!BC27+DG$144)*12/1000000</f>
        <v>0</v>
      </c>
      <c r="BB20" s="2121">
        <f>Risk_Compensation!AA27*(Risk_Compensation!BD27+DH$144)*12/1000000</f>
        <v>0</v>
      </c>
      <c r="BC20" s="2121">
        <f>Risk_Compensation!AB27*(Risk_Compensation!BE27+DI$144)*12/1000000</f>
        <v>0</v>
      </c>
      <c r="BD20" s="2121">
        <f>Risk_Compensation!AC27*(Risk_Compensation!BF27+DJ$144)*12/1000000</f>
        <v>0</v>
      </c>
      <c r="BE20" s="2121">
        <f>Risk_Compensation!AD27*(Risk_Compensation!BG27+DK$144)*12/1000000</f>
        <v>0</v>
      </c>
      <c r="BF20" s="2121">
        <f>Risk_Compensation!AE27*(Risk_Compensation!BH27+DL$144)*12/1000000</f>
        <v>0</v>
      </c>
      <c r="BG20" s="2121">
        <f>Risk_Compensation!AF27*(Risk_Compensation!BI27+DM$144)*12/1000000</f>
        <v>0</v>
      </c>
      <c r="BH20" s="2125">
        <f>Risk_Compensation!AG27*(Risk_Compensation!BJ27+DN$144)*12/1000000</f>
        <v>0</v>
      </c>
      <c r="BI20" s="644"/>
      <c r="BJ20" s="1829">
        <v>10</v>
      </c>
      <c r="BK20" s="2138">
        <f>IF(G20&lt;=0,0,(Risk_Compensation!H27/G20-Risk_Compensation!H$79/G$72-0.5*CO$167*($CK20-CO$135/G$72))*G20)</f>
        <v>0</v>
      </c>
      <c r="BL20" s="2139">
        <f>IF(H20&lt;=0,0,(Risk_Compensation!I27/H20-Risk_Compensation!I$79/H$72-0.5*CP$167*($CK20-CP$135/H$72))*H20)</f>
        <v>0</v>
      </c>
      <c r="BM20" s="2139">
        <f>IF(I20&lt;=0,0,(Risk_Compensation!J27/I20-Risk_Compensation!J$79/I$72-0.5*CQ$167*($CK20-CQ$135/I$72))*I20)</f>
        <v>0</v>
      </c>
      <c r="BN20" s="2139">
        <f>IF(J20&lt;=0,0,(Risk_Compensation!K27/J20-Risk_Compensation!K$79/J$72-0.5*CR$167*($CK20-CR$135/J$72))*J20)</f>
        <v>0</v>
      </c>
      <c r="BO20" s="2139">
        <f>IF(K20&lt;=0,0,(Risk_Compensation!L27/K20-Risk_Compensation!L$79/K$72-0.5*CS$167*($CK20-CS$135/K$72))*K20)</f>
        <v>0</v>
      </c>
      <c r="BP20" s="2139">
        <f>IF(L20&lt;=0,0,(Risk_Compensation!M27/L20-Risk_Compensation!M$79/L$72-0.5*CT$167*($CK20-CT$135/L$72))*L20)</f>
        <v>0</v>
      </c>
      <c r="BQ20" s="2139">
        <f>IF(M20&lt;=0,0,(Risk_Compensation!N27/M20-Risk_Compensation!N$79/M$72-0.5*CU$167*($CK20-CU$135/M$72))*M20)</f>
        <v>0</v>
      </c>
      <c r="BR20" s="2139">
        <f>IF(N20&lt;=0,0,(Risk_Compensation!O27/N20-Risk_Compensation!O$79/N$72-0.5*CV$167*($CK20-CV$135/N$72))*N20)</f>
        <v>0</v>
      </c>
      <c r="BS20" s="2139">
        <f>IF(O20&lt;=0,0,(Risk_Compensation!P27/O20-Risk_Compensation!P$79/O$72-0.5*CW$167*($CK20-CW$135/O$72))*O20)</f>
        <v>0</v>
      </c>
      <c r="BT20" s="2139">
        <f>IF(P20&lt;=0,0,(Risk_Compensation!Q27/P20-Risk_Compensation!Q$79/P$72-0.5*CX$167*($CK20-CX$135/P$72))*P20)</f>
        <v>0</v>
      </c>
      <c r="BU20" s="2139">
        <f>IF(Q20&lt;=0,0,(Risk_Compensation!R27/Q20-Risk_Compensation!R$79/Q$72-0.5*CY$167*($CK20-CY$135/Q$72))*Q20)</f>
        <v>0</v>
      </c>
      <c r="BV20" s="2139">
        <f>IF(R20&lt;=0,0,(Risk_Compensation!S27/R20-Risk_Compensation!S$79/R$72-0.5*CZ$167*($CK20-CZ$135/R$72))*R20)</f>
        <v>0</v>
      </c>
      <c r="BW20" s="2139">
        <f>IF(S20&lt;=0,0,(Risk_Compensation!T27/S20-Risk_Compensation!T$79/S$72-0.5*DA$167*($CK20-DA$135/S$72))*S20)</f>
        <v>0</v>
      </c>
      <c r="BX20" s="2139">
        <f>IF(T20&lt;=0,0,(Risk_Compensation!U27/T20-Risk_Compensation!U$79/T$72-0.5*DB$167*($CK20-DB$135/T$72))*T20)</f>
        <v>0</v>
      </c>
      <c r="BY20" s="2139">
        <f>IF(U20&lt;=0,0,(Risk_Compensation!V27/U20-Risk_Compensation!V$79/U$72-0.5*DC$167*($CK20-DC$135/U$72))*U20)</f>
        <v>0</v>
      </c>
      <c r="BZ20" s="2139">
        <f>IF(V20&lt;=0,0,(Risk_Compensation!W27/V20-Risk_Compensation!W$79/V$72-0.5*DD$167*($CK20-DD$135/V$72))*V20)</f>
        <v>0</v>
      </c>
      <c r="CA20" s="2139">
        <f>IF(W20&lt;=0,0,(Risk_Compensation!X27/W20-Risk_Compensation!X$79/W$72-0.5*DE$167*($CK20-DE$135/W$72))*W20)</f>
        <v>0</v>
      </c>
      <c r="CB20" s="2139">
        <f>IF(X20&lt;=0,0,(Risk_Compensation!Y27/X20-Risk_Compensation!Y$79/X$72-0.5*DF$167*($CK20-DF$135/X$72))*X20)</f>
        <v>0</v>
      </c>
      <c r="CC20" s="2139">
        <f>IF(Y20&lt;=0,0,(Risk_Compensation!Z27/Y20-Risk_Compensation!Z$79/Y$72-0.5*DG$167*($CK20-DG$135/Y$72))*Y20)</f>
        <v>0</v>
      </c>
      <c r="CD20" s="2139">
        <f>IF(Z20&lt;=0,0,(Risk_Compensation!AA27/Z20-Risk_Compensation!AA$79/Z$72-0.5*DH$167*($CK20-DH$135/Z$72))*Z20)</f>
        <v>0</v>
      </c>
      <c r="CE20" s="2139">
        <f>IF(AA20&lt;=0,0,(Risk_Compensation!AB27/AA20-Risk_Compensation!AB$79/AA$72-0.5*DI$167*($CK20-DI$135/AA$72))*AA20)</f>
        <v>0</v>
      </c>
      <c r="CF20" s="2139">
        <f>IF(AB20&lt;=0,0,(Risk_Compensation!AC27/AB20-Risk_Compensation!AC$79/AB$72-0.5*DJ$167*($CK20-DJ$135/AB$72))*AB20)</f>
        <v>0</v>
      </c>
      <c r="CG20" s="2139">
        <f>IF(AC20&lt;=0,0,(Risk_Compensation!AD27/AC20-Risk_Compensation!AD$79/AC$72-0.5*DK$167*($CK20-DK$135/AC$72))*AC20)</f>
        <v>0</v>
      </c>
      <c r="CH20" s="2139">
        <f>IF(AD20&lt;=0,0,(Risk_Compensation!AE27/AD20-Risk_Compensation!AE$79/AD$72-0.5*DL$167*($CK20-DL$135/AD$72))*AD20)</f>
        <v>0</v>
      </c>
      <c r="CI20" s="2139">
        <f>IF(AE20&lt;=0,0,(Risk_Compensation!AF27/AE20-Risk_Compensation!AF$79/AE$72-0.5*DM$167*($CK20-DM$135/AE$72))*AE20)</f>
        <v>0</v>
      </c>
      <c r="CJ20" s="2140">
        <f>IF(AF20&lt;=0,0,(Risk_Compensation!AG27/AF20-Risk_Compensation!AG$79/AF$72-0.5*DN$167*($CK20-DN$135/AF$72))*AF20)</f>
        <v>0</v>
      </c>
      <c r="CK20" s="2166">
        <v>0</v>
      </c>
      <c r="CL20" s="644"/>
      <c r="CM20" s="1829">
        <v>10</v>
      </c>
      <c r="CN20" s="2149">
        <f t="shared" si="0"/>
        <v>0</v>
      </c>
      <c r="CO20" s="2150">
        <f t="shared" si="1"/>
        <v>0</v>
      </c>
      <c r="CP20" s="2150">
        <f t="shared" si="2"/>
        <v>0</v>
      </c>
      <c r="CQ20" s="2150">
        <f t="shared" si="3"/>
        <v>0</v>
      </c>
      <c r="CR20" s="2150">
        <f t="shared" si="4"/>
        <v>0</v>
      </c>
      <c r="CS20" s="2150">
        <f t="shared" si="5"/>
        <v>0</v>
      </c>
      <c r="CT20" s="2150">
        <f t="shared" si="6"/>
        <v>0</v>
      </c>
      <c r="CU20" s="2150">
        <f t="shared" si="7"/>
        <v>0</v>
      </c>
      <c r="CV20" s="2150">
        <f t="shared" si="8"/>
        <v>0</v>
      </c>
      <c r="CW20" s="2150">
        <f t="shared" si="9"/>
        <v>0</v>
      </c>
      <c r="CX20" s="2150">
        <f t="shared" si="10"/>
        <v>0</v>
      </c>
      <c r="CY20" s="2150">
        <f t="shared" si="11"/>
        <v>0</v>
      </c>
      <c r="CZ20" s="2150">
        <f t="shared" si="12"/>
        <v>0</v>
      </c>
      <c r="DA20" s="2150">
        <f t="shared" si="13"/>
        <v>0</v>
      </c>
      <c r="DB20" s="2150">
        <f t="shared" si="14"/>
        <v>0</v>
      </c>
      <c r="DC20" s="2150">
        <f t="shared" si="15"/>
        <v>0</v>
      </c>
      <c r="DD20" s="2150">
        <f t="shared" si="16"/>
        <v>0</v>
      </c>
      <c r="DE20" s="2150">
        <f t="shared" si="17"/>
        <v>0</v>
      </c>
      <c r="DF20" s="2150">
        <f t="shared" si="18"/>
        <v>0</v>
      </c>
      <c r="DG20" s="2150">
        <f t="shared" si="19"/>
        <v>0</v>
      </c>
      <c r="DH20" s="2150">
        <f t="shared" si="20"/>
        <v>0</v>
      </c>
      <c r="DI20" s="2150">
        <f t="shared" si="21"/>
        <v>0</v>
      </c>
      <c r="DJ20" s="2150">
        <f t="shared" si="22"/>
        <v>0</v>
      </c>
      <c r="DK20" s="2150">
        <f t="shared" si="23"/>
        <v>0</v>
      </c>
      <c r="DL20" s="2150">
        <f t="shared" si="24"/>
        <v>0</v>
      </c>
      <c r="DM20" s="2151">
        <f t="shared" si="25"/>
        <v>0</v>
      </c>
      <c r="DN20" s="644"/>
      <c r="DO20" s="1829">
        <v>10</v>
      </c>
      <c r="DP20" s="2211">
        <v>61.018050330505702</v>
      </c>
      <c r="DQ20" s="2212">
        <v>32.3300193467024</v>
      </c>
      <c r="DR20" s="2212">
        <v>57.1426463023925</v>
      </c>
      <c r="DS20" s="2212">
        <v>63.597359859989801</v>
      </c>
      <c r="DT20" s="2212">
        <v>67.203659357182204</v>
      </c>
      <c r="DU20" s="2212">
        <v>81.355260670840707</v>
      </c>
      <c r="DV20" s="2212">
        <v>61.598613860712298</v>
      </c>
      <c r="DW20" s="2212">
        <v>98.931538261849695</v>
      </c>
      <c r="DX20" s="2212">
        <v>46.3310956158602</v>
      </c>
      <c r="DY20" s="2212">
        <v>43.934447137640298</v>
      </c>
      <c r="DZ20" s="2212">
        <v>52.906620905384699</v>
      </c>
      <c r="EA20" s="2212">
        <v>50.810042034651701</v>
      </c>
      <c r="EB20" s="2212">
        <v>67.557528672331202</v>
      </c>
      <c r="EC20" s="2212">
        <v>53.658195302946098</v>
      </c>
      <c r="ED20" s="2212">
        <v>43.187895036620503</v>
      </c>
      <c r="EE20" s="2212">
        <v>62.782966886938297</v>
      </c>
      <c r="EF20" s="2212">
        <v>58.470010687048003</v>
      </c>
      <c r="EG20" s="2212">
        <v>82.067742535006403</v>
      </c>
      <c r="EH20" s="2212">
        <v>53.832939826188003</v>
      </c>
      <c r="EI20" s="2212">
        <v>56.976079678374099</v>
      </c>
      <c r="EJ20" s="2212">
        <v>71.040639453304394</v>
      </c>
      <c r="EK20" s="2212">
        <v>39.507305529488001</v>
      </c>
      <c r="EL20" s="2212">
        <v>78.813559579685702</v>
      </c>
      <c r="EM20" s="2212">
        <v>57.422869868288501</v>
      </c>
      <c r="EN20" s="2212">
        <v>52.277686354238703</v>
      </c>
      <c r="EO20" s="2213">
        <v>67.922508954591805</v>
      </c>
      <c r="ER20" s="1829">
        <v>10</v>
      </c>
      <c r="ES20" s="1830">
        <v>5.1682426574827698</v>
      </c>
      <c r="ET20" s="644"/>
      <c r="EU20" s="2156">
        <v>10</v>
      </c>
      <c r="EV20" s="2090" t="s">
        <v>1903</v>
      </c>
      <c r="EW20" s="2090" t="s">
        <v>1908</v>
      </c>
      <c r="EX20" s="2090" t="str">
        <f>Translation!B$580</f>
        <v>Nein</v>
      </c>
    </row>
    <row r="21" spans="2:154" ht="12.75" x14ac:dyDescent="0.2">
      <c r="B21" s="2090">
        <v>11</v>
      </c>
      <c r="C21" s="2090" t="s">
        <v>1903</v>
      </c>
      <c r="D21" s="2090" t="s">
        <v>1909</v>
      </c>
      <c r="E21" s="2090" t="str">
        <f>Translation!B$579</f>
        <v>Ja</v>
      </c>
      <c r="F21" s="1622">
        <v>11</v>
      </c>
      <c r="G21" s="2211">
        <v>762.745</v>
      </c>
      <c r="H21" s="2212">
        <v>17</v>
      </c>
      <c r="I21" s="2212">
        <v>65.3333333333333</v>
      </c>
      <c r="J21" s="2212">
        <v>1000.57333333333</v>
      </c>
      <c r="K21" s="2212">
        <v>357.96249999999998</v>
      </c>
      <c r="L21" s="2212">
        <v>234.86083333333301</v>
      </c>
      <c r="M21" s="2212">
        <v>305.00166666666701</v>
      </c>
      <c r="N21" s="2212">
        <v>442.53166666666698</v>
      </c>
      <c r="O21" s="2212">
        <v>45.6533333333333</v>
      </c>
      <c r="P21" s="2212">
        <v>210.82583333333301</v>
      </c>
      <c r="Q21" s="2212">
        <v>79.599166666666704</v>
      </c>
      <c r="R21" s="2212">
        <v>388.49833333333299</v>
      </c>
      <c r="S21" s="2212">
        <v>162.666666666667</v>
      </c>
      <c r="T21" s="2212">
        <v>42.534999999999997</v>
      </c>
      <c r="U21" s="2212">
        <v>33.552500000000002</v>
      </c>
      <c r="V21" s="2212">
        <v>590.60833333333301</v>
      </c>
      <c r="W21" s="2212">
        <v>87.415000000000006</v>
      </c>
      <c r="X21" s="2212">
        <v>309.63583333333298</v>
      </c>
      <c r="Y21" s="2212">
        <v>145.14416666666699</v>
      </c>
      <c r="Z21" s="2212">
        <v>321.58249999999998</v>
      </c>
      <c r="AA21" s="2212">
        <v>386.16916666666702</v>
      </c>
      <c r="AB21" s="2212">
        <v>42.392499999999998</v>
      </c>
      <c r="AC21" s="2212">
        <v>690.94833333333304</v>
      </c>
      <c r="AD21" s="2212">
        <v>309.17250000000001</v>
      </c>
      <c r="AE21" s="2212">
        <v>113.88</v>
      </c>
      <c r="AF21" s="2213">
        <v>1599.46</v>
      </c>
      <c r="AH21" s="1829">
        <v>11</v>
      </c>
      <c r="AI21" s="2124">
        <f>Risk_Compensation!H28*(Risk_Compensation!AK28+CO$144)*12/1000000</f>
        <v>0</v>
      </c>
      <c r="AJ21" s="2121">
        <f>Risk_Compensation!I28*(Risk_Compensation!AL28+CP$144)*12/1000000</f>
        <v>0</v>
      </c>
      <c r="AK21" s="2121">
        <f>Risk_Compensation!J28*(Risk_Compensation!AM28+CQ$144)*12/1000000</f>
        <v>0</v>
      </c>
      <c r="AL21" s="2121">
        <f>Risk_Compensation!K28*(Risk_Compensation!AN28+CR$144)*12/1000000</f>
        <v>0</v>
      </c>
      <c r="AM21" s="2121">
        <f>Risk_Compensation!L28*(Risk_Compensation!AO28+CS$144)*12/1000000</f>
        <v>0</v>
      </c>
      <c r="AN21" s="2121">
        <f>Risk_Compensation!M28*(Risk_Compensation!AP28+CT$144)*12/1000000</f>
        <v>0</v>
      </c>
      <c r="AO21" s="2121">
        <f>Risk_Compensation!N28*(Risk_Compensation!AQ28+CU$144)*12/1000000</f>
        <v>0</v>
      </c>
      <c r="AP21" s="2121">
        <f>Risk_Compensation!O28*(Risk_Compensation!AR28+CV$144)*12/1000000</f>
        <v>0</v>
      </c>
      <c r="AQ21" s="2121">
        <f>Risk_Compensation!P28*(Risk_Compensation!AS28+CW$144)*12/1000000</f>
        <v>0</v>
      </c>
      <c r="AR21" s="2121">
        <f>Risk_Compensation!Q28*(Risk_Compensation!AT28+CX$144)*12/1000000</f>
        <v>0</v>
      </c>
      <c r="AS21" s="2121">
        <f>Risk_Compensation!R28*(Risk_Compensation!AU28+CY$144)*12/1000000</f>
        <v>0</v>
      </c>
      <c r="AT21" s="2121">
        <f>Risk_Compensation!S28*(Risk_Compensation!AV28+CZ$144)*12/1000000</f>
        <v>0</v>
      </c>
      <c r="AU21" s="2121">
        <f>Risk_Compensation!T28*(Risk_Compensation!AW28+DA$144)*12/1000000</f>
        <v>0</v>
      </c>
      <c r="AV21" s="2121">
        <f>Risk_Compensation!U28*(Risk_Compensation!AX28+DB$144)*12/1000000</f>
        <v>0</v>
      </c>
      <c r="AW21" s="2121">
        <f>Risk_Compensation!V28*(Risk_Compensation!AY28+DC$144)*12/1000000</f>
        <v>0</v>
      </c>
      <c r="AX21" s="2121">
        <f>Risk_Compensation!W28*(Risk_Compensation!AZ28+DD$144)*12/1000000</f>
        <v>0</v>
      </c>
      <c r="AY21" s="2121">
        <f>Risk_Compensation!X28*(Risk_Compensation!BA28+DE$144)*12/1000000</f>
        <v>0</v>
      </c>
      <c r="AZ21" s="2121">
        <f>Risk_Compensation!Y28*(Risk_Compensation!BB28+DF$144)*12/1000000</f>
        <v>0</v>
      </c>
      <c r="BA21" s="2121">
        <f>Risk_Compensation!Z28*(Risk_Compensation!BC28+DG$144)*12/1000000</f>
        <v>0</v>
      </c>
      <c r="BB21" s="2121">
        <f>Risk_Compensation!AA28*(Risk_Compensation!BD28+DH$144)*12/1000000</f>
        <v>0</v>
      </c>
      <c r="BC21" s="2121">
        <f>Risk_Compensation!AB28*(Risk_Compensation!BE28+DI$144)*12/1000000</f>
        <v>0</v>
      </c>
      <c r="BD21" s="2121">
        <f>Risk_Compensation!AC28*(Risk_Compensation!BF28+DJ$144)*12/1000000</f>
        <v>0</v>
      </c>
      <c r="BE21" s="2121">
        <f>Risk_Compensation!AD28*(Risk_Compensation!BG28+DK$144)*12/1000000</f>
        <v>0</v>
      </c>
      <c r="BF21" s="2121">
        <f>Risk_Compensation!AE28*(Risk_Compensation!BH28+DL$144)*12/1000000</f>
        <v>0</v>
      </c>
      <c r="BG21" s="2121">
        <f>Risk_Compensation!AF28*(Risk_Compensation!BI28+DM$144)*12/1000000</f>
        <v>0</v>
      </c>
      <c r="BH21" s="2125">
        <f>Risk_Compensation!AG28*(Risk_Compensation!BJ28+DN$144)*12/1000000</f>
        <v>0</v>
      </c>
      <c r="BI21" s="644"/>
      <c r="BJ21" s="1829">
        <v>11</v>
      </c>
      <c r="BK21" s="2138">
        <f>IF(G21&lt;=0,0,(Risk_Compensation!H28/G21-Risk_Compensation!H$79/G$72-0.5*CO$167*($CK21-CO$135/G$72))*G21)</f>
        <v>0</v>
      </c>
      <c r="BL21" s="2139">
        <f>IF(H21&lt;=0,0,(Risk_Compensation!I28/H21-Risk_Compensation!I$79/H$72-0.5*CP$167*($CK21-CP$135/H$72))*H21)</f>
        <v>0</v>
      </c>
      <c r="BM21" s="2139">
        <f>IF(I21&lt;=0,0,(Risk_Compensation!J28/I21-Risk_Compensation!J$79/I$72-0.5*CQ$167*($CK21-CQ$135/I$72))*I21)</f>
        <v>0</v>
      </c>
      <c r="BN21" s="2139">
        <f>IF(J21&lt;=0,0,(Risk_Compensation!K28/J21-Risk_Compensation!K$79/J$72-0.5*CR$167*($CK21-CR$135/J$72))*J21)</f>
        <v>0</v>
      </c>
      <c r="BO21" s="2139">
        <f>IF(K21&lt;=0,0,(Risk_Compensation!L28/K21-Risk_Compensation!L$79/K$72-0.5*CS$167*($CK21-CS$135/K$72))*K21)</f>
        <v>0</v>
      </c>
      <c r="BP21" s="2139">
        <f>IF(L21&lt;=0,0,(Risk_Compensation!M28/L21-Risk_Compensation!M$79/L$72-0.5*CT$167*($CK21-CT$135/L$72))*L21)</f>
        <v>0</v>
      </c>
      <c r="BQ21" s="2139">
        <f>IF(M21&lt;=0,0,(Risk_Compensation!N28/M21-Risk_Compensation!N$79/M$72-0.5*CU$167*($CK21-CU$135/M$72))*M21)</f>
        <v>0</v>
      </c>
      <c r="BR21" s="2139">
        <f>IF(N21&lt;=0,0,(Risk_Compensation!O28/N21-Risk_Compensation!O$79/N$72-0.5*CV$167*($CK21-CV$135/N$72))*N21)</f>
        <v>0</v>
      </c>
      <c r="BS21" s="2139">
        <f>IF(O21&lt;=0,0,(Risk_Compensation!P28/O21-Risk_Compensation!P$79/O$72-0.5*CW$167*($CK21-CW$135/O$72))*O21)</f>
        <v>0</v>
      </c>
      <c r="BT21" s="2139">
        <f>IF(P21&lt;=0,0,(Risk_Compensation!Q28/P21-Risk_Compensation!Q$79/P$72-0.5*CX$167*($CK21-CX$135/P$72))*P21)</f>
        <v>0</v>
      </c>
      <c r="BU21" s="2139">
        <f>IF(Q21&lt;=0,0,(Risk_Compensation!R28/Q21-Risk_Compensation!R$79/Q$72-0.5*CY$167*($CK21-CY$135/Q$72))*Q21)</f>
        <v>0</v>
      </c>
      <c r="BV21" s="2139">
        <f>IF(R21&lt;=0,0,(Risk_Compensation!S28/R21-Risk_Compensation!S$79/R$72-0.5*CZ$167*($CK21-CZ$135/R$72))*R21)</f>
        <v>0</v>
      </c>
      <c r="BW21" s="2139">
        <f>IF(S21&lt;=0,0,(Risk_Compensation!T28/S21-Risk_Compensation!T$79/S$72-0.5*DA$167*($CK21-DA$135/S$72))*S21)</f>
        <v>0</v>
      </c>
      <c r="BX21" s="2139">
        <f>IF(T21&lt;=0,0,(Risk_Compensation!U28/T21-Risk_Compensation!U$79/T$72-0.5*DB$167*($CK21-DB$135/T$72))*T21)</f>
        <v>0</v>
      </c>
      <c r="BY21" s="2139">
        <f>IF(U21&lt;=0,0,(Risk_Compensation!V28/U21-Risk_Compensation!V$79/U$72-0.5*DC$167*($CK21-DC$135/U$72))*U21)</f>
        <v>0</v>
      </c>
      <c r="BZ21" s="2139">
        <f>IF(V21&lt;=0,0,(Risk_Compensation!W28/V21-Risk_Compensation!W$79/V$72-0.5*DD$167*($CK21-DD$135/V$72))*V21)</f>
        <v>0</v>
      </c>
      <c r="CA21" s="2139">
        <f>IF(W21&lt;=0,0,(Risk_Compensation!X28/W21-Risk_Compensation!X$79/W$72-0.5*DE$167*($CK21-DE$135/W$72))*W21)</f>
        <v>0</v>
      </c>
      <c r="CB21" s="2139">
        <f>IF(X21&lt;=0,0,(Risk_Compensation!Y28/X21-Risk_Compensation!Y$79/X$72-0.5*DF$167*($CK21-DF$135/X$72))*X21)</f>
        <v>0</v>
      </c>
      <c r="CC21" s="2139">
        <f>IF(Y21&lt;=0,0,(Risk_Compensation!Z28/Y21-Risk_Compensation!Z$79/Y$72-0.5*DG$167*($CK21-DG$135/Y$72))*Y21)</f>
        <v>0</v>
      </c>
      <c r="CD21" s="2139">
        <f>IF(Z21&lt;=0,0,(Risk_Compensation!AA28/Z21-Risk_Compensation!AA$79/Z$72-0.5*DH$167*($CK21-DH$135/Z$72))*Z21)</f>
        <v>0</v>
      </c>
      <c r="CE21" s="2139">
        <f>IF(AA21&lt;=0,0,(Risk_Compensation!AB28/AA21-Risk_Compensation!AB$79/AA$72-0.5*DI$167*($CK21-DI$135/AA$72))*AA21)</f>
        <v>0</v>
      </c>
      <c r="CF21" s="2139">
        <f>IF(AB21&lt;=0,0,(Risk_Compensation!AC28/AB21-Risk_Compensation!AC$79/AB$72-0.5*DJ$167*($CK21-DJ$135/AB$72))*AB21)</f>
        <v>0</v>
      </c>
      <c r="CG21" s="2139">
        <f>IF(AC21&lt;=0,0,(Risk_Compensation!AD28/AC21-Risk_Compensation!AD$79/AC$72-0.5*DK$167*($CK21-DK$135/AC$72))*AC21)</f>
        <v>0</v>
      </c>
      <c r="CH21" s="2139">
        <f>IF(AD21&lt;=0,0,(Risk_Compensation!AE28/AD21-Risk_Compensation!AE$79/AD$72-0.5*DL$167*($CK21-DL$135/AD$72))*AD21)</f>
        <v>0</v>
      </c>
      <c r="CI21" s="2139">
        <f>IF(AE21&lt;=0,0,(Risk_Compensation!AF28/AE21-Risk_Compensation!AF$79/AE$72-0.5*DM$167*($CK21-DM$135/AE$72))*AE21)</f>
        <v>0</v>
      </c>
      <c r="CJ21" s="2140">
        <f>IF(AF21&lt;=0,0,(Risk_Compensation!AG28/AF21-Risk_Compensation!AG$79/AF$72-0.5*DN$167*($CK21-DN$135/AF$72))*AF21)</f>
        <v>0</v>
      </c>
      <c r="CK21" s="2166">
        <v>0</v>
      </c>
      <c r="CL21" s="644"/>
      <c r="CM21" s="1829">
        <v>11</v>
      </c>
      <c r="CN21" s="2149">
        <f t="shared" si="0"/>
        <v>0</v>
      </c>
      <c r="CO21" s="2150">
        <f t="shared" si="1"/>
        <v>0</v>
      </c>
      <c r="CP21" s="2150">
        <f t="shared" si="2"/>
        <v>0</v>
      </c>
      <c r="CQ21" s="2150">
        <f t="shared" si="3"/>
        <v>0</v>
      </c>
      <c r="CR21" s="2150">
        <f t="shared" si="4"/>
        <v>0</v>
      </c>
      <c r="CS21" s="2150">
        <f t="shared" si="5"/>
        <v>0</v>
      </c>
      <c r="CT21" s="2150">
        <f t="shared" si="6"/>
        <v>0</v>
      </c>
      <c r="CU21" s="2150">
        <f t="shared" si="7"/>
        <v>0</v>
      </c>
      <c r="CV21" s="2150">
        <f t="shared" si="8"/>
        <v>0</v>
      </c>
      <c r="CW21" s="2150">
        <f t="shared" si="9"/>
        <v>0</v>
      </c>
      <c r="CX21" s="2150">
        <f t="shared" si="10"/>
        <v>0</v>
      </c>
      <c r="CY21" s="2150">
        <f t="shared" si="11"/>
        <v>0</v>
      </c>
      <c r="CZ21" s="2150">
        <f t="shared" si="12"/>
        <v>0</v>
      </c>
      <c r="DA21" s="2150">
        <f t="shared" si="13"/>
        <v>0</v>
      </c>
      <c r="DB21" s="2150">
        <f t="shared" si="14"/>
        <v>0</v>
      </c>
      <c r="DC21" s="2150">
        <f t="shared" si="15"/>
        <v>0</v>
      </c>
      <c r="DD21" s="2150">
        <f t="shared" si="16"/>
        <v>0</v>
      </c>
      <c r="DE21" s="2150">
        <f t="shared" si="17"/>
        <v>0</v>
      </c>
      <c r="DF21" s="2150">
        <f t="shared" si="18"/>
        <v>0</v>
      </c>
      <c r="DG21" s="2150">
        <f t="shared" si="19"/>
        <v>0</v>
      </c>
      <c r="DH21" s="2150">
        <f t="shared" si="20"/>
        <v>0</v>
      </c>
      <c r="DI21" s="2150">
        <f t="shared" si="21"/>
        <v>0</v>
      </c>
      <c r="DJ21" s="2150">
        <f t="shared" si="22"/>
        <v>0</v>
      </c>
      <c r="DK21" s="2150">
        <f t="shared" si="23"/>
        <v>0</v>
      </c>
      <c r="DL21" s="2150">
        <f t="shared" si="24"/>
        <v>0</v>
      </c>
      <c r="DM21" s="2151">
        <f t="shared" si="25"/>
        <v>0</v>
      </c>
      <c r="DN21" s="644"/>
      <c r="DO21" s="1829">
        <v>11</v>
      </c>
      <c r="DP21" s="2211">
        <v>745.78487215998598</v>
      </c>
      <c r="DQ21" s="2212">
        <v>-144.451387176118</v>
      </c>
      <c r="DR21" s="2212">
        <v>495.533067318625</v>
      </c>
      <c r="DS21" s="2212">
        <v>897.50018111708096</v>
      </c>
      <c r="DT21" s="2212">
        <v>706.76995584225995</v>
      </c>
      <c r="DU21" s="2212">
        <v>976.76062039687997</v>
      </c>
      <c r="DV21" s="2212">
        <v>899.91056660651304</v>
      </c>
      <c r="DW21" s="2212">
        <v>1071.0720550487299</v>
      </c>
      <c r="DX21" s="2212">
        <v>743.83381782086701</v>
      </c>
      <c r="DY21" s="2212">
        <v>520.15928269643496</v>
      </c>
      <c r="DZ21" s="2212">
        <v>487.61975489886601</v>
      </c>
      <c r="EA21" s="2212">
        <v>633.48263293169498</v>
      </c>
      <c r="EB21" s="2212">
        <v>1120.07763734375</v>
      </c>
      <c r="EC21" s="2212">
        <v>342.73052085777198</v>
      </c>
      <c r="ED21" s="2212">
        <v>666.97560832176896</v>
      </c>
      <c r="EE21" s="2212">
        <v>693.86007887296398</v>
      </c>
      <c r="EF21" s="2212">
        <v>1201.92892102425</v>
      </c>
      <c r="EG21" s="2212">
        <v>552.26927820203503</v>
      </c>
      <c r="EH21" s="2212">
        <v>833.148715482444</v>
      </c>
      <c r="EI21" s="2212">
        <v>678.03355583851601</v>
      </c>
      <c r="EJ21" s="2212">
        <v>867.27350034350104</v>
      </c>
      <c r="EK21" s="2212">
        <v>736.50778341684395</v>
      </c>
      <c r="EL21" s="2212">
        <v>1097.45661525986</v>
      </c>
      <c r="EM21" s="2212">
        <v>692.70624229233999</v>
      </c>
      <c r="EN21" s="2212">
        <v>704.62785176146303</v>
      </c>
      <c r="EO21" s="2213">
        <v>833.17012229521299</v>
      </c>
      <c r="ER21" s="1829">
        <v>11</v>
      </c>
      <c r="ES21" s="1830">
        <v>2.05514554779842</v>
      </c>
      <c r="ET21" s="644"/>
      <c r="EU21" s="2156">
        <v>11</v>
      </c>
      <c r="EV21" s="2090" t="s">
        <v>1903</v>
      </c>
      <c r="EW21" s="2090" t="s">
        <v>1909</v>
      </c>
      <c r="EX21" s="2090" t="str">
        <f>Translation!B$579</f>
        <v>Ja</v>
      </c>
    </row>
    <row r="22" spans="2:154" ht="12.75" x14ac:dyDescent="0.2">
      <c r="B22" s="2090">
        <v>12</v>
      </c>
      <c r="C22" s="2090" t="s">
        <v>1903</v>
      </c>
      <c r="D22" s="2090" t="s">
        <v>1909</v>
      </c>
      <c r="E22" s="2090" t="str">
        <f>Translation!B$580</f>
        <v>Nein</v>
      </c>
      <c r="F22" s="1622">
        <v>12</v>
      </c>
      <c r="G22" s="2211">
        <v>23613.050833333298</v>
      </c>
      <c r="H22" s="2212">
        <v>457.5</v>
      </c>
      <c r="I22" s="2212">
        <v>1743.66166666667</v>
      </c>
      <c r="J22" s="2212">
        <v>32705.32</v>
      </c>
      <c r="K22" s="2212">
        <v>9271.1416666666701</v>
      </c>
      <c r="L22" s="2212">
        <v>6291.26166666667</v>
      </c>
      <c r="M22" s="2212">
        <v>11168.0258333333</v>
      </c>
      <c r="N22" s="2212">
        <v>16278.178333333301</v>
      </c>
      <c r="O22" s="2212">
        <v>1304.6724999999999</v>
      </c>
      <c r="P22" s="2212">
        <v>6841.0841666666702</v>
      </c>
      <c r="Q22" s="2212">
        <v>2144.2591666666699</v>
      </c>
      <c r="R22" s="2212">
        <v>13593.3433333333</v>
      </c>
      <c r="S22" s="2212">
        <v>5717.1291666666702</v>
      </c>
      <c r="T22" s="2212">
        <v>1378.865</v>
      </c>
      <c r="U22" s="2212">
        <v>1247.0091666666699</v>
      </c>
      <c r="V22" s="2212">
        <v>16303.3208333333</v>
      </c>
      <c r="W22" s="2212">
        <v>2662.32666666667</v>
      </c>
      <c r="X22" s="2212">
        <v>8736.5499999999993</v>
      </c>
      <c r="Y22" s="2212">
        <v>5750.1716666666698</v>
      </c>
      <c r="Z22" s="2212">
        <v>9056.1208333333307</v>
      </c>
      <c r="AA22" s="2212">
        <v>11933.067499999999</v>
      </c>
      <c r="AB22" s="2212">
        <v>1218.18166666667</v>
      </c>
      <c r="AC22" s="2212">
        <v>28093.2641666667</v>
      </c>
      <c r="AD22" s="2212">
        <v>11791.115833333301</v>
      </c>
      <c r="AE22" s="2212">
        <v>4789.2775000000001</v>
      </c>
      <c r="AF22" s="2213">
        <v>55550.544999999998</v>
      </c>
      <c r="AH22" s="1829">
        <v>12</v>
      </c>
      <c r="AI22" s="2124">
        <f>Risk_Compensation!H29*(Risk_Compensation!AK29+CO$144)*12/1000000</f>
        <v>0</v>
      </c>
      <c r="AJ22" s="2121">
        <f>Risk_Compensation!I29*(Risk_Compensation!AL29+CP$144)*12/1000000</f>
        <v>0</v>
      </c>
      <c r="AK22" s="2121">
        <f>Risk_Compensation!J29*(Risk_Compensation!AM29+CQ$144)*12/1000000</f>
        <v>0</v>
      </c>
      <c r="AL22" s="2121">
        <f>Risk_Compensation!K29*(Risk_Compensation!AN29+CR$144)*12/1000000</f>
        <v>0</v>
      </c>
      <c r="AM22" s="2121">
        <f>Risk_Compensation!L29*(Risk_Compensation!AO29+CS$144)*12/1000000</f>
        <v>0</v>
      </c>
      <c r="AN22" s="2121">
        <f>Risk_Compensation!M29*(Risk_Compensation!AP29+CT$144)*12/1000000</f>
        <v>0</v>
      </c>
      <c r="AO22" s="2121">
        <f>Risk_Compensation!N29*(Risk_Compensation!AQ29+CU$144)*12/1000000</f>
        <v>0</v>
      </c>
      <c r="AP22" s="2121">
        <f>Risk_Compensation!O29*(Risk_Compensation!AR29+CV$144)*12/1000000</f>
        <v>0</v>
      </c>
      <c r="AQ22" s="2121">
        <f>Risk_Compensation!P29*(Risk_Compensation!AS29+CW$144)*12/1000000</f>
        <v>0</v>
      </c>
      <c r="AR22" s="2121">
        <f>Risk_Compensation!Q29*(Risk_Compensation!AT29+CX$144)*12/1000000</f>
        <v>0</v>
      </c>
      <c r="AS22" s="2121">
        <f>Risk_Compensation!R29*(Risk_Compensation!AU29+CY$144)*12/1000000</f>
        <v>0</v>
      </c>
      <c r="AT22" s="2121">
        <f>Risk_Compensation!S29*(Risk_Compensation!AV29+CZ$144)*12/1000000</f>
        <v>0</v>
      </c>
      <c r="AU22" s="2121">
        <f>Risk_Compensation!T29*(Risk_Compensation!AW29+DA$144)*12/1000000</f>
        <v>0</v>
      </c>
      <c r="AV22" s="2121">
        <f>Risk_Compensation!U29*(Risk_Compensation!AX29+DB$144)*12/1000000</f>
        <v>0</v>
      </c>
      <c r="AW22" s="2121">
        <f>Risk_Compensation!V29*(Risk_Compensation!AY29+DC$144)*12/1000000</f>
        <v>0</v>
      </c>
      <c r="AX22" s="2121">
        <f>Risk_Compensation!W29*(Risk_Compensation!AZ29+DD$144)*12/1000000</f>
        <v>0</v>
      </c>
      <c r="AY22" s="2121">
        <f>Risk_Compensation!X29*(Risk_Compensation!BA29+DE$144)*12/1000000</f>
        <v>0</v>
      </c>
      <c r="AZ22" s="2121">
        <f>Risk_Compensation!Y29*(Risk_Compensation!BB29+DF$144)*12/1000000</f>
        <v>0</v>
      </c>
      <c r="BA22" s="2121">
        <f>Risk_Compensation!Z29*(Risk_Compensation!BC29+DG$144)*12/1000000</f>
        <v>0</v>
      </c>
      <c r="BB22" s="2121">
        <f>Risk_Compensation!AA29*(Risk_Compensation!BD29+DH$144)*12/1000000</f>
        <v>0</v>
      </c>
      <c r="BC22" s="2121">
        <f>Risk_Compensation!AB29*(Risk_Compensation!BE29+DI$144)*12/1000000</f>
        <v>0</v>
      </c>
      <c r="BD22" s="2121">
        <f>Risk_Compensation!AC29*(Risk_Compensation!BF29+DJ$144)*12/1000000</f>
        <v>0</v>
      </c>
      <c r="BE22" s="2121">
        <f>Risk_Compensation!AD29*(Risk_Compensation!BG29+DK$144)*12/1000000</f>
        <v>0</v>
      </c>
      <c r="BF22" s="2121">
        <f>Risk_Compensation!AE29*(Risk_Compensation!BH29+DL$144)*12/1000000</f>
        <v>0</v>
      </c>
      <c r="BG22" s="2121">
        <f>Risk_Compensation!AF29*(Risk_Compensation!BI29+DM$144)*12/1000000</f>
        <v>0</v>
      </c>
      <c r="BH22" s="2125">
        <f>Risk_Compensation!AG29*(Risk_Compensation!BJ29+DN$144)*12/1000000</f>
        <v>0</v>
      </c>
      <c r="BI22" s="644"/>
      <c r="BJ22" s="1829">
        <v>12</v>
      </c>
      <c r="BK22" s="2138">
        <f>IF(G22&lt;=0,0,(Risk_Compensation!H29/G22-Risk_Compensation!H$79/G$72-0.5*CO$167*($CK22-CO$135/G$72))*G22)</f>
        <v>0</v>
      </c>
      <c r="BL22" s="2139">
        <f>IF(H22&lt;=0,0,(Risk_Compensation!I29/H22-Risk_Compensation!I$79/H$72-0.5*CP$167*($CK22-CP$135/H$72))*H22)</f>
        <v>0</v>
      </c>
      <c r="BM22" s="2139">
        <f>IF(I22&lt;=0,0,(Risk_Compensation!J29/I22-Risk_Compensation!J$79/I$72-0.5*CQ$167*($CK22-CQ$135/I$72))*I22)</f>
        <v>0</v>
      </c>
      <c r="BN22" s="2139">
        <f>IF(J22&lt;=0,0,(Risk_Compensation!K29/J22-Risk_Compensation!K$79/J$72-0.5*CR$167*($CK22-CR$135/J$72))*J22)</f>
        <v>0</v>
      </c>
      <c r="BO22" s="2139">
        <f>IF(K22&lt;=0,0,(Risk_Compensation!L29/K22-Risk_Compensation!L$79/K$72-0.5*CS$167*($CK22-CS$135/K$72))*K22)</f>
        <v>0</v>
      </c>
      <c r="BP22" s="2139">
        <f>IF(L22&lt;=0,0,(Risk_Compensation!M29/L22-Risk_Compensation!M$79/L$72-0.5*CT$167*($CK22-CT$135/L$72))*L22)</f>
        <v>0</v>
      </c>
      <c r="BQ22" s="2139">
        <f>IF(M22&lt;=0,0,(Risk_Compensation!N29/M22-Risk_Compensation!N$79/M$72-0.5*CU$167*($CK22-CU$135/M$72))*M22)</f>
        <v>0</v>
      </c>
      <c r="BR22" s="2139">
        <f>IF(N22&lt;=0,0,(Risk_Compensation!O29/N22-Risk_Compensation!O$79/N$72-0.5*CV$167*($CK22-CV$135/N$72))*N22)</f>
        <v>0</v>
      </c>
      <c r="BS22" s="2139">
        <f>IF(O22&lt;=0,0,(Risk_Compensation!P29/O22-Risk_Compensation!P$79/O$72-0.5*CW$167*($CK22-CW$135/O$72))*O22)</f>
        <v>0</v>
      </c>
      <c r="BT22" s="2139">
        <f>IF(P22&lt;=0,0,(Risk_Compensation!Q29/P22-Risk_Compensation!Q$79/P$72-0.5*CX$167*($CK22-CX$135/P$72))*P22)</f>
        <v>0</v>
      </c>
      <c r="BU22" s="2139">
        <f>IF(Q22&lt;=0,0,(Risk_Compensation!R29/Q22-Risk_Compensation!R$79/Q$72-0.5*CY$167*($CK22-CY$135/Q$72))*Q22)</f>
        <v>0</v>
      </c>
      <c r="BV22" s="2139">
        <f>IF(R22&lt;=0,0,(Risk_Compensation!S29/R22-Risk_Compensation!S$79/R$72-0.5*CZ$167*($CK22-CZ$135/R$72))*R22)</f>
        <v>0</v>
      </c>
      <c r="BW22" s="2139">
        <f>IF(S22&lt;=0,0,(Risk_Compensation!T29/S22-Risk_Compensation!T$79/S$72-0.5*DA$167*($CK22-DA$135/S$72))*S22)</f>
        <v>0</v>
      </c>
      <c r="BX22" s="2139">
        <f>IF(T22&lt;=0,0,(Risk_Compensation!U29/T22-Risk_Compensation!U$79/T$72-0.5*DB$167*($CK22-DB$135/T$72))*T22)</f>
        <v>0</v>
      </c>
      <c r="BY22" s="2139">
        <f>IF(U22&lt;=0,0,(Risk_Compensation!V29/U22-Risk_Compensation!V$79/U$72-0.5*DC$167*($CK22-DC$135/U$72))*U22)</f>
        <v>0</v>
      </c>
      <c r="BZ22" s="2139">
        <f>IF(V22&lt;=0,0,(Risk_Compensation!W29/V22-Risk_Compensation!W$79/V$72-0.5*DD$167*($CK22-DD$135/V$72))*V22)</f>
        <v>0</v>
      </c>
      <c r="CA22" s="2139">
        <f>IF(W22&lt;=0,0,(Risk_Compensation!X29/W22-Risk_Compensation!X$79/W$72-0.5*DE$167*($CK22-DE$135/W$72))*W22)</f>
        <v>0</v>
      </c>
      <c r="CB22" s="2139">
        <f>IF(X22&lt;=0,0,(Risk_Compensation!Y29/X22-Risk_Compensation!Y$79/X$72-0.5*DF$167*($CK22-DF$135/X$72))*X22)</f>
        <v>0</v>
      </c>
      <c r="CC22" s="2139">
        <f>IF(Y22&lt;=0,0,(Risk_Compensation!Z29/Y22-Risk_Compensation!Z$79/Y$72-0.5*DG$167*($CK22-DG$135/Y$72))*Y22)</f>
        <v>0</v>
      </c>
      <c r="CD22" s="2139">
        <f>IF(Z22&lt;=0,0,(Risk_Compensation!AA29/Z22-Risk_Compensation!AA$79/Z$72-0.5*DH$167*($CK22-DH$135/Z$72))*Z22)</f>
        <v>0</v>
      </c>
      <c r="CE22" s="2139">
        <f>IF(AA22&lt;=0,0,(Risk_Compensation!AB29/AA22-Risk_Compensation!AB$79/AA$72-0.5*DI$167*($CK22-DI$135/AA$72))*AA22)</f>
        <v>0</v>
      </c>
      <c r="CF22" s="2139">
        <f>IF(AB22&lt;=0,0,(Risk_Compensation!AC29/AB22-Risk_Compensation!AC$79/AB$72-0.5*DJ$167*($CK22-DJ$135/AB$72))*AB22)</f>
        <v>0</v>
      </c>
      <c r="CG22" s="2139">
        <f>IF(AC22&lt;=0,0,(Risk_Compensation!AD29/AC22-Risk_Compensation!AD$79/AC$72-0.5*DK$167*($CK22-DK$135/AC$72))*AC22)</f>
        <v>0</v>
      </c>
      <c r="CH22" s="2139">
        <f>IF(AD22&lt;=0,0,(Risk_Compensation!AE29/AD22-Risk_Compensation!AE$79/AD$72-0.5*DL$167*($CK22-DL$135/AD$72))*AD22)</f>
        <v>0</v>
      </c>
      <c r="CI22" s="2139">
        <f>IF(AE22&lt;=0,0,(Risk_Compensation!AF29/AE22-Risk_Compensation!AF$79/AE$72-0.5*DM$167*($CK22-DM$135/AE$72))*AE22)</f>
        <v>0</v>
      </c>
      <c r="CJ22" s="2140">
        <f>IF(AF22&lt;=0,0,(Risk_Compensation!AG29/AF22-Risk_Compensation!AG$79/AF$72-0.5*DN$167*($CK22-DN$135/AF$72))*AF22)</f>
        <v>0</v>
      </c>
      <c r="CK22" s="2166">
        <v>0</v>
      </c>
      <c r="CL22" s="644"/>
      <c r="CM22" s="1829">
        <v>12</v>
      </c>
      <c r="CN22" s="2149">
        <f t="shared" si="0"/>
        <v>0</v>
      </c>
      <c r="CO22" s="2150">
        <f t="shared" si="1"/>
        <v>0</v>
      </c>
      <c r="CP22" s="2150">
        <f t="shared" si="2"/>
        <v>0</v>
      </c>
      <c r="CQ22" s="2150">
        <f t="shared" si="3"/>
        <v>0</v>
      </c>
      <c r="CR22" s="2150">
        <f t="shared" si="4"/>
        <v>0</v>
      </c>
      <c r="CS22" s="2150">
        <f t="shared" si="5"/>
        <v>0</v>
      </c>
      <c r="CT22" s="2150">
        <f t="shared" si="6"/>
        <v>0</v>
      </c>
      <c r="CU22" s="2150">
        <f t="shared" si="7"/>
        <v>0</v>
      </c>
      <c r="CV22" s="2150">
        <f t="shared" si="8"/>
        <v>0</v>
      </c>
      <c r="CW22" s="2150">
        <f t="shared" si="9"/>
        <v>0</v>
      </c>
      <c r="CX22" s="2150">
        <f t="shared" si="10"/>
        <v>0</v>
      </c>
      <c r="CY22" s="2150">
        <f t="shared" si="11"/>
        <v>0</v>
      </c>
      <c r="CZ22" s="2150">
        <f t="shared" si="12"/>
        <v>0</v>
      </c>
      <c r="DA22" s="2150">
        <f t="shared" si="13"/>
        <v>0</v>
      </c>
      <c r="DB22" s="2150">
        <f t="shared" si="14"/>
        <v>0</v>
      </c>
      <c r="DC22" s="2150">
        <f t="shared" si="15"/>
        <v>0</v>
      </c>
      <c r="DD22" s="2150">
        <f t="shared" si="16"/>
        <v>0</v>
      </c>
      <c r="DE22" s="2150">
        <f t="shared" si="17"/>
        <v>0</v>
      </c>
      <c r="DF22" s="2150">
        <f t="shared" si="18"/>
        <v>0</v>
      </c>
      <c r="DG22" s="2150">
        <f t="shared" si="19"/>
        <v>0</v>
      </c>
      <c r="DH22" s="2150">
        <f t="shared" si="20"/>
        <v>0</v>
      </c>
      <c r="DI22" s="2150">
        <f t="shared" si="21"/>
        <v>0</v>
      </c>
      <c r="DJ22" s="2150">
        <f t="shared" si="22"/>
        <v>0</v>
      </c>
      <c r="DK22" s="2150">
        <f t="shared" si="23"/>
        <v>0</v>
      </c>
      <c r="DL22" s="2150">
        <f t="shared" si="24"/>
        <v>0</v>
      </c>
      <c r="DM22" s="2151">
        <f t="shared" si="25"/>
        <v>0</v>
      </c>
      <c r="DN22" s="644"/>
      <c r="DO22" s="1829">
        <v>12</v>
      </c>
      <c r="DP22" s="2211">
        <v>82.436557120051503</v>
      </c>
      <c r="DQ22" s="2212">
        <v>34.0311038281246</v>
      </c>
      <c r="DR22" s="2212">
        <v>58.281278227749603</v>
      </c>
      <c r="DS22" s="2212">
        <v>87.358577872274495</v>
      </c>
      <c r="DT22" s="2212">
        <v>91.646373373405893</v>
      </c>
      <c r="DU22" s="2212">
        <v>99.309407844814999</v>
      </c>
      <c r="DV22" s="2212">
        <v>72.451516070359503</v>
      </c>
      <c r="DW22" s="2212">
        <v>131.79756362039399</v>
      </c>
      <c r="DX22" s="2212">
        <v>77.582334946176502</v>
      </c>
      <c r="DY22" s="2212">
        <v>60.538515391359901</v>
      </c>
      <c r="DZ22" s="2212">
        <v>81.503125658791802</v>
      </c>
      <c r="EA22" s="2212">
        <v>82.078715060393705</v>
      </c>
      <c r="EB22" s="2212">
        <v>66.226159026987901</v>
      </c>
      <c r="EC22" s="2212">
        <v>58.559056325682697</v>
      </c>
      <c r="ED22" s="2212">
        <v>115.935760513144</v>
      </c>
      <c r="EE22" s="2212">
        <v>71.439482976262596</v>
      </c>
      <c r="EF22" s="2212">
        <v>77.367724421549894</v>
      </c>
      <c r="EG22" s="2212">
        <v>83.334776735889903</v>
      </c>
      <c r="EH22" s="2212">
        <v>59.915942158851699</v>
      </c>
      <c r="EI22" s="2212">
        <v>81.574197538999698</v>
      </c>
      <c r="EJ22" s="2212">
        <v>88.311846920805607</v>
      </c>
      <c r="EK22" s="2212">
        <v>76.648355175102495</v>
      </c>
      <c r="EL22" s="2212">
        <v>98.849964400618603</v>
      </c>
      <c r="EM22" s="2212">
        <v>71.841341691040995</v>
      </c>
      <c r="EN22" s="2212">
        <v>67.722077620084704</v>
      </c>
      <c r="EO22" s="2213">
        <v>93.940622847700993</v>
      </c>
      <c r="ER22" s="1829">
        <v>12</v>
      </c>
      <c r="ES22" s="1830">
        <v>4.4462917903679902</v>
      </c>
      <c r="ET22" s="644"/>
      <c r="EU22" s="2156">
        <v>12</v>
      </c>
      <c r="EV22" s="2090" t="s">
        <v>1903</v>
      </c>
      <c r="EW22" s="2090" t="s">
        <v>1909</v>
      </c>
      <c r="EX22" s="2090" t="str">
        <f>Translation!B$580</f>
        <v>Nein</v>
      </c>
    </row>
    <row r="23" spans="2:154" ht="12.75" x14ac:dyDescent="0.2">
      <c r="B23" s="2090">
        <v>13</v>
      </c>
      <c r="C23" s="2090" t="s">
        <v>1903</v>
      </c>
      <c r="D23" s="2090" t="s">
        <v>1910</v>
      </c>
      <c r="E23" s="2090" t="str">
        <f>Translation!B$579</f>
        <v>Ja</v>
      </c>
      <c r="F23" s="1622">
        <v>13</v>
      </c>
      <c r="G23" s="2211">
        <v>1077.8683333333299</v>
      </c>
      <c r="H23" s="2212">
        <v>20</v>
      </c>
      <c r="I23" s="2212">
        <v>74.039166666666702</v>
      </c>
      <c r="J23" s="2212">
        <v>1569.62333333333</v>
      </c>
      <c r="K23" s="2212">
        <v>484.72166666666698</v>
      </c>
      <c r="L23" s="2212">
        <v>353.3725</v>
      </c>
      <c r="M23" s="2212">
        <v>441.38583333333298</v>
      </c>
      <c r="N23" s="2212">
        <v>597.42166666666697</v>
      </c>
      <c r="O23" s="2212">
        <v>75.258333333333397</v>
      </c>
      <c r="P23" s="2212">
        <v>323.31416666666701</v>
      </c>
      <c r="Q23" s="2212">
        <v>124.740833333333</v>
      </c>
      <c r="R23" s="2212">
        <v>547.78083333333302</v>
      </c>
      <c r="S23" s="2212">
        <v>272.70749999999998</v>
      </c>
      <c r="T23" s="2212">
        <v>65.273333333333298</v>
      </c>
      <c r="U23" s="2212">
        <v>47.4166666666667</v>
      </c>
      <c r="V23" s="2212">
        <v>837.03416666666703</v>
      </c>
      <c r="W23" s="2212">
        <v>120.23666666666701</v>
      </c>
      <c r="X23" s="2212">
        <v>491.39166666666699</v>
      </c>
      <c r="Y23" s="2212">
        <v>217.180833333333</v>
      </c>
      <c r="Z23" s="2212">
        <v>479.183333333333</v>
      </c>
      <c r="AA23" s="2212">
        <v>607.46416666666698</v>
      </c>
      <c r="AB23" s="2212">
        <v>40.610833333333296</v>
      </c>
      <c r="AC23" s="2212">
        <v>942.45916666666699</v>
      </c>
      <c r="AD23" s="2212">
        <v>550.22416666666697</v>
      </c>
      <c r="AE23" s="2212">
        <v>203.34</v>
      </c>
      <c r="AF23" s="2213">
        <v>2073.50833333333</v>
      </c>
      <c r="AH23" s="1829">
        <v>13</v>
      </c>
      <c r="AI23" s="2124">
        <f>Risk_Compensation!H30*(Risk_Compensation!AK30+CO$144)*12/1000000</f>
        <v>0</v>
      </c>
      <c r="AJ23" s="2121">
        <f>Risk_Compensation!I30*(Risk_Compensation!AL30+CP$144)*12/1000000</f>
        <v>0</v>
      </c>
      <c r="AK23" s="2121">
        <f>Risk_Compensation!J30*(Risk_Compensation!AM30+CQ$144)*12/1000000</f>
        <v>0</v>
      </c>
      <c r="AL23" s="2121">
        <f>Risk_Compensation!K30*(Risk_Compensation!AN30+CR$144)*12/1000000</f>
        <v>0</v>
      </c>
      <c r="AM23" s="2121">
        <f>Risk_Compensation!L30*(Risk_Compensation!AO30+CS$144)*12/1000000</f>
        <v>0</v>
      </c>
      <c r="AN23" s="2121">
        <f>Risk_Compensation!M30*(Risk_Compensation!AP30+CT$144)*12/1000000</f>
        <v>0</v>
      </c>
      <c r="AO23" s="2121">
        <f>Risk_Compensation!N30*(Risk_Compensation!AQ30+CU$144)*12/1000000</f>
        <v>0</v>
      </c>
      <c r="AP23" s="2121">
        <f>Risk_Compensation!O30*(Risk_Compensation!AR30+CV$144)*12/1000000</f>
        <v>0</v>
      </c>
      <c r="AQ23" s="2121">
        <f>Risk_Compensation!P30*(Risk_Compensation!AS30+CW$144)*12/1000000</f>
        <v>0</v>
      </c>
      <c r="AR23" s="2121">
        <f>Risk_Compensation!Q30*(Risk_Compensation!AT30+CX$144)*12/1000000</f>
        <v>0</v>
      </c>
      <c r="AS23" s="2121">
        <f>Risk_Compensation!R30*(Risk_Compensation!AU30+CY$144)*12/1000000</f>
        <v>0</v>
      </c>
      <c r="AT23" s="2121">
        <f>Risk_Compensation!S30*(Risk_Compensation!AV30+CZ$144)*12/1000000</f>
        <v>0</v>
      </c>
      <c r="AU23" s="2121">
        <f>Risk_Compensation!T30*(Risk_Compensation!AW30+DA$144)*12/1000000</f>
        <v>0</v>
      </c>
      <c r="AV23" s="2121">
        <f>Risk_Compensation!U30*(Risk_Compensation!AX30+DB$144)*12/1000000</f>
        <v>0</v>
      </c>
      <c r="AW23" s="2121">
        <f>Risk_Compensation!V30*(Risk_Compensation!AY30+DC$144)*12/1000000</f>
        <v>0</v>
      </c>
      <c r="AX23" s="2121">
        <f>Risk_Compensation!W30*(Risk_Compensation!AZ30+DD$144)*12/1000000</f>
        <v>0</v>
      </c>
      <c r="AY23" s="2121">
        <f>Risk_Compensation!X30*(Risk_Compensation!BA30+DE$144)*12/1000000</f>
        <v>0</v>
      </c>
      <c r="AZ23" s="2121">
        <f>Risk_Compensation!Y30*(Risk_Compensation!BB30+DF$144)*12/1000000</f>
        <v>0</v>
      </c>
      <c r="BA23" s="2121">
        <f>Risk_Compensation!Z30*(Risk_Compensation!BC30+DG$144)*12/1000000</f>
        <v>0</v>
      </c>
      <c r="BB23" s="2121">
        <f>Risk_Compensation!AA30*(Risk_Compensation!BD30+DH$144)*12/1000000</f>
        <v>0</v>
      </c>
      <c r="BC23" s="2121">
        <f>Risk_Compensation!AB30*(Risk_Compensation!BE30+DI$144)*12/1000000</f>
        <v>0</v>
      </c>
      <c r="BD23" s="2121">
        <f>Risk_Compensation!AC30*(Risk_Compensation!BF30+DJ$144)*12/1000000</f>
        <v>0</v>
      </c>
      <c r="BE23" s="2121">
        <f>Risk_Compensation!AD30*(Risk_Compensation!BG30+DK$144)*12/1000000</f>
        <v>0</v>
      </c>
      <c r="BF23" s="2121">
        <f>Risk_Compensation!AE30*(Risk_Compensation!BH30+DL$144)*12/1000000</f>
        <v>0</v>
      </c>
      <c r="BG23" s="2121">
        <f>Risk_Compensation!AF30*(Risk_Compensation!BI30+DM$144)*12/1000000</f>
        <v>0</v>
      </c>
      <c r="BH23" s="2125">
        <f>Risk_Compensation!AG30*(Risk_Compensation!BJ30+DN$144)*12/1000000</f>
        <v>0</v>
      </c>
      <c r="BI23" s="644"/>
      <c r="BJ23" s="1829">
        <v>13</v>
      </c>
      <c r="BK23" s="2138">
        <f>IF(G23&lt;=0,0,(Risk_Compensation!H30/G23-Risk_Compensation!H$79/G$72-0.5*CO$167*($CK23-CO$135/G$72))*G23)</f>
        <v>0</v>
      </c>
      <c r="BL23" s="2139">
        <f>IF(H23&lt;=0,0,(Risk_Compensation!I30/H23-Risk_Compensation!I$79/H$72-0.5*CP$167*($CK23-CP$135/H$72))*H23)</f>
        <v>0</v>
      </c>
      <c r="BM23" s="2139">
        <f>IF(I23&lt;=0,0,(Risk_Compensation!J30/I23-Risk_Compensation!J$79/I$72-0.5*CQ$167*($CK23-CQ$135/I$72))*I23)</f>
        <v>0</v>
      </c>
      <c r="BN23" s="2139">
        <f>IF(J23&lt;=0,0,(Risk_Compensation!K30/J23-Risk_Compensation!K$79/J$72-0.5*CR$167*($CK23-CR$135/J$72))*J23)</f>
        <v>0</v>
      </c>
      <c r="BO23" s="2139">
        <f>IF(K23&lt;=0,0,(Risk_Compensation!L30/K23-Risk_Compensation!L$79/K$72-0.5*CS$167*($CK23-CS$135/K$72))*K23)</f>
        <v>0</v>
      </c>
      <c r="BP23" s="2139">
        <f>IF(L23&lt;=0,0,(Risk_Compensation!M30/L23-Risk_Compensation!M$79/L$72-0.5*CT$167*($CK23-CT$135/L$72))*L23)</f>
        <v>0</v>
      </c>
      <c r="BQ23" s="2139">
        <f>IF(M23&lt;=0,0,(Risk_Compensation!N30/M23-Risk_Compensation!N$79/M$72-0.5*CU$167*($CK23-CU$135/M$72))*M23)</f>
        <v>0</v>
      </c>
      <c r="BR23" s="2139">
        <f>IF(N23&lt;=0,0,(Risk_Compensation!O30/N23-Risk_Compensation!O$79/N$72-0.5*CV$167*($CK23-CV$135/N$72))*N23)</f>
        <v>0</v>
      </c>
      <c r="BS23" s="2139">
        <f>IF(O23&lt;=0,0,(Risk_Compensation!P30/O23-Risk_Compensation!P$79/O$72-0.5*CW$167*($CK23-CW$135/O$72))*O23)</f>
        <v>0</v>
      </c>
      <c r="BT23" s="2139">
        <f>IF(P23&lt;=0,0,(Risk_Compensation!Q30/P23-Risk_Compensation!Q$79/P$72-0.5*CX$167*($CK23-CX$135/P$72))*P23)</f>
        <v>0</v>
      </c>
      <c r="BU23" s="2139">
        <f>IF(Q23&lt;=0,0,(Risk_Compensation!R30/Q23-Risk_Compensation!R$79/Q$72-0.5*CY$167*($CK23-CY$135/Q$72))*Q23)</f>
        <v>0</v>
      </c>
      <c r="BV23" s="2139">
        <f>IF(R23&lt;=0,0,(Risk_Compensation!S30/R23-Risk_Compensation!S$79/R$72-0.5*CZ$167*($CK23-CZ$135/R$72))*R23)</f>
        <v>0</v>
      </c>
      <c r="BW23" s="2139">
        <f>IF(S23&lt;=0,0,(Risk_Compensation!T30/S23-Risk_Compensation!T$79/S$72-0.5*DA$167*($CK23-DA$135/S$72))*S23)</f>
        <v>0</v>
      </c>
      <c r="BX23" s="2139">
        <f>IF(T23&lt;=0,0,(Risk_Compensation!U30/T23-Risk_Compensation!U$79/T$72-0.5*DB$167*($CK23-DB$135/T$72))*T23)</f>
        <v>0</v>
      </c>
      <c r="BY23" s="2139">
        <f>IF(U23&lt;=0,0,(Risk_Compensation!V30/U23-Risk_Compensation!V$79/U$72-0.5*DC$167*($CK23-DC$135/U$72))*U23)</f>
        <v>0</v>
      </c>
      <c r="BZ23" s="2139">
        <f>IF(V23&lt;=0,0,(Risk_Compensation!W30/V23-Risk_Compensation!W$79/V$72-0.5*DD$167*($CK23-DD$135/V$72))*V23)</f>
        <v>0</v>
      </c>
      <c r="CA23" s="2139">
        <f>IF(W23&lt;=0,0,(Risk_Compensation!X30/W23-Risk_Compensation!X$79/W$72-0.5*DE$167*($CK23-DE$135/W$72))*W23)</f>
        <v>0</v>
      </c>
      <c r="CB23" s="2139">
        <f>IF(X23&lt;=0,0,(Risk_Compensation!Y30/X23-Risk_Compensation!Y$79/X$72-0.5*DF$167*($CK23-DF$135/X$72))*X23)</f>
        <v>0</v>
      </c>
      <c r="CC23" s="2139">
        <f>IF(Y23&lt;=0,0,(Risk_Compensation!Z30/Y23-Risk_Compensation!Z$79/Y$72-0.5*DG$167*($CK23-DG$135/Y$72))*Y23)</f>
        <v>0</v>
      </c>
      <c r="CD23" s="2139">
        <f>IF(Z23&lt;=0,0,(Risk_Compensation!AA30/Z23-Risk_Compensation!AA$79/Z$72-0.5*DH$167*($CK23-DH$135/Z$72))*Z23)</f>
        <v>0</v>
      </c>
      <c r="CE23" s="2139">
        <f>IF(AA23&lt;=0,0,(Risk_Compensation!AB30/AA23-Risk_Compensation!AB$79/AA$72-0.5*DI$167*($CK23-DI$135/AA$72))*AA23)</f>
        <v>0</v>
      </c>
      <c r="CF23" s="2139">
        <f>IF(AB23&lt;=0,0,(Risk_Compensation!AC30/AB23-Risk_Compensation!AC$79/AB$72-0.5*DJ$167*($CK23-DJ$135/AB$72))*AB23)</f>
        <v>0</v>
      </c>
      <c r="CG23" s="2139">
        <f>IF(AC23&lt;=0,0,(Risk_Compensation!AD30/AC23-Risk_Compensation!AD$79/AC$72-0.5*DK$167*($CK23-DK$135/AC$72))*AC23)</f>
        <v>0</v>
      </c>
      <c r="CH23" s="2139">
        <f>IF(AD23&lt;=0,0,(Risk_Compensation!AE30/AD23-Risk_Compensation!AE$79/AD$72-0.5*DL$167*($CK23-DL$135/AD$72))*AD23)</f>
        <v>0</v>
      </c>
      <c r="CI23" s="2139">
        <f>IF(AE23&lt;=0,0,(Risk_Compensation!AF30/AE23-Risk_Compensation!AF$79/AE$72-0.5*DM$167*($CK23-DM$135/AE$72))*AE23)</f>
        <v>0</v>
      </c>
      <c r="CJ23" s="2140">
        <f>IF(AF23&lt;=0,0,(Risk_Compensation!AG30/AF23-Risk_Compensation!AG$79/AF$72-0.5*DN$167*($CK23-DN$135/AF$72))*AF23)</f>
        <v>0</v>
      </c>
      <c r="CK23" s="2166">
        <v>0</v>
      </c>
      <c r="CL23" s="644"/>
      <c r="CM23" s="1829">
        <v>13</v>
      </c>
      <c r="CN23" s="2149">
        <f t="shared" si="0"/>
        <v>0</v>
      </c>
      <c r="CO23" s="2150">
        <f t="shared" si="1"/>
        <v>0</v>
      </c>
      <c r="CP23" s="2150">
        <f t="shared" si="2"/>
        <v>0</v>
      </c>
      <c r="CQ23" s="2150">
        <f t="shared" si="3"/>
        <v>0</v>
      </c>
      <c r="CR23" s="2150">
        <f t="shared" si="4"/>
        <v>0</v>
      </c>
      <c r="CS23" s="2150">
        <f t="shared" si="5"/>
        <v>0</v>
      </c>
      <c r="CT23" s="2150">
        <f t="shared" si="6"/>
        <v>0</v>
      </c>
      <c r="CU23" s="2150">
        <f t="shared" si="7"/>
        <v>0</v>
      </c>
      <c r="CV23" s="2150">
        <f t="shared" si="8"/>
        <v>0</v>
      </c>
      <c r="CW23" s="2150">
        <f t="shared" si="9"/>
        <v>0</v>
      </c>
      <c r="CX23" s="2150">
        <f t="shared" si="10"/>
        <v>0</v>
      </c>
      <c r="CY23" s="2150">
        <f t="shared" si="11"/>
        <v>0</v>
      </c>
      <c r="CZ23" s="2150">
        <f t="shared" si="12"/>
        <v>0</v>
      </c>
      <c r="DA23" s="2150">
        <f t="shared" si="13"/>
        <v>0</v>
      </c>
      <c r="DB23" s="2150">
        <f t="shared" si="14"/>
        <v>0</v>
      </c>
      <c r="DC23" s="2150">
        <f t="shared" si="15"/>
        <v>0</v>
      </c>
      <c r="DD23" s="2150">
        <f t="shared" si="16"/>
        <v>0</v>
      </c>
      <c r="DE23" s="2150">
        <f t="shared" si="17"/>
        <v>0</v>
      </c>
      <c r="DF23" s="2150">
        <f t="shared" si="18"/>
        <v>0</v>
      </c>
      <c r="DG23" s="2150">
        <f t="shared" si="19"/>
        <v>0</v>
      </c>
      <c r="DH23" s="2150">
        <f t="shared" si="20"/>
        <v>0</v>
      </c>
      <c r="DI23" s="2150">
        <f t="shared" si="21"/>
        <v>0</v>
      </c>
      <c r="DJ23" s="2150">
        <f t="shared" si="22"/>
        <v>0</v>
      </c>
      <c r="DK23" s="2150">
        <f t="shared" si="23"/>
        <v>0</v>
      </c>
      <c r="DL23" s="2150">
        <f t="shared" si="24"/>
        <v>0</v>
      </c>
      <c r="DM23" s="2151">
        <f t="shared" si="25"/>
        <v>0</v>
      </c>
      <c r="DN23" s="644"/>
      <c r="DO23" s="1829">
        <v>13</v>
      </c>
      <c r="DP23" s="2211">
        <v>593.44809380362994</v>
      </c>
      <c r="DQ23" s="2212">
        <v>640.51353398063497</v>
      </c>
      <c r="DR23" s="2212">
        <v>758.63565058439406</v>
      </c>
      <c r="DS23" s="2212">
        <v>923.792783796908</v>
      </c>
      <c r="DT23" s="2212">
        <v>892.33714570841198</v>
      </c>
      <c r="DU23" s="2212">
        <v>1288.14418056929</v>
      </c>
      <c r="DV23" s="2212">
        <v>620.93543265464098</v>
      </c>
      <c r="DW23" s="2212">
        <v>1242.6996208446899</v>
      </c>
      <c r="DX23" s="2212">
        <v>552.17665194038602</v>
      </c>
      <c r="DY23" s="2212">
        <v>811.72851431236199</v>
      </c>
      <c r="DZ23" s="2212">
        <v>859.91534325216503</v>
      </c>
      <c r="EA23" s="2212">
        <v>829.45382294315505</v>
      </c>
      <c r="EB23" s="2212">
        <v>895.92564175346195</v>
      </c>
      <c r="EC23" s="2212">
        <v>433.89018413329399</v>
      </c>
      <c r="ED23" s="2212">
        <v>375.85575093608003</v>
      </c>
      <c r="EE23" s="2212">
        <v>757.73035307729003</v>
      </c>
      <c r="EF23" s="2212">
        <v>677.43689699687104</v>
      </c>
      <c r="EG23" s="2212">
        <v>711.145579986798</v>
      </c>
      <c r="EH23" s="2212">
        <v>593.17910100097595</v>
      </c>
      <c r="EI23" s="2212">
        <v>742.40101519310997</v>
      </c>
      <c r="EJ23" s="2212">
        <v>847.39191003638098</v>
      </c>
      <c r="EK23" s="2212">
        <v>515.68084653181995</v>
      </c>
      <c r="EL23" s="2212">
        <v>1167.02804601962</v>
      </c>
      <c r="EM23" s="2212">
        <v>798.943507793246</v>
      </c>
      <c r="EN23" s="2212">
        <v>820.255706003358</v>
      </c>
      <c r="EO23" s="2213">
        <v>904.25327649286305</v>
      </c>
      <c r="ER23" s="1829">
        <v>13</v>
      </c>
      <c r="ES23" s="1830">
        <v>1.96163008018489</v>
      </c>
      <c r="ET23" s="644"/>
      <c r="EU23" s="2156">
        <v>13</v>
      </c>
      <c r="EV23" s="2090" t="s">
        <v>1903</v>
      </c>
      <c r="EW23" s="2090" t="s">
        <v>1910</v>
      </c>
      <c r="EX23" s="2090" t="str">
        <f>Translation!B$579</f>
        <v>Ja</v>
      </c>
    </row>
    <row r="24" spans="2:154" ht="12.75" x14ac:dyDescent="0.2">
      <c r="B24" s="2090">
        <v>14</v>
      </c>
      <c r="C24" s="2090" t="s">
        <v>1903</v>
      </c>
      <c r="D24" s="2090" t="s">
        <v>1910</v>
      </c>
      <c r="E24" s="2090" t="str">
        <f>Translation!B$580</f>
        <v>Nein</v>
      </c>
      <c r="F24" s="1622">
        <v>14</v>
      </c>
      <c r="G24" s="2211">
        <v>25244.2358333333</v>
      </c>
      <c r="H24" s="2212">
        <v>584.91666666666697</v>
      </c>
      <c r="I24" s="2212">
        <v>1883.2066666666699</v>
      </c>
      <c r="J24" s="2212">
        <v>35402.083333333299</v>
      </c>
      <c r="K24" s="2212">
        <v>10230.364166666701</v>
      </c>
      <c r="L24" s="2212">
        <v>5891.3</v>
      </c>
      <c r="M24" s="2212">
        <v>11821.169166666699</v>
      </c>
      <c r="N24" s="2212">
        <v>15460.954166666699</v>
      </c>
      <c r="O24" s="2212">
        <v>1393.5291666666701</v>
      </c>
      <c r="P24" s="2212">
        <v>7734.4674999999997</v>
      </c>
      <c r="Q24" s="2212">
        <v>2388.9050000000002</v>
      </c>
      <c r="R24" s="2212">
        <v>14589.7616666667</v>
      </c>
      <c r="S24" s="2212">
        <v>6151.2483333333303</v>
      </c>
      <c r="T24" s="2212">
        <v>1578.42</v>
      </c>
      <c r="U24" s="2212">
        <v>1415.7958333333299</v>
      </c>
      <c r="V24" s="2212">
        <v>17713.895</v>
      </c>
      <c r="W24" s="2212">
        <v>2703.5374999999999</v>
      </c>
      <c r="X24" s="2212">
        <v>9839.1975000000002</v>
      </c>
      <c r="Y24" s="2212">
        <v>6536.7741666666698</v>
      </c>
      <c r="Z24" s="2212">
        <v>9930.9724999999999</v>
      </c>
      <c r="AA24" s="2212">
        <v>13625.1058333333</v>
      </c>
      <c r="AB24" s="2212">
        <v>1314.0791666666701</v>
      </c>
      <c r="AC24" s="2212">
        <v>27613.833333333299</v>
      </c>
      <c r="AD24" s="2212">
        <v>12579.520833333299</v>
      </c>
      <c r="AE24" s="2212">
        <v>5274.34</v>
      </c>
      <c r="AF24" s="2213">
        <v>55164.8675</v>
      </c>
      <c r="AH24" s="1829">
        <v>14</v>
      </c>
      <c r="AI24" s="2124">
        <f>Risk_Compensation!H31*(Risk_Compensation!AK31+CO$144)*12/1000000</f>
        <v>0</v>
      </c>
      <c r="AJ24" s="2121">
        <f>Risk_Compensation!I31*(Risk_Compensation!AL31+CP$144)*12/1000000</f>
        <v>0</v>
      </c>
      <c r="AK24" s="2121">
        <f>Risk_Compensation!J31*(Risk_Compensation!AM31+CQ$144)*12/1000000</f>
        <v>0</v>
      </c>
      <c r="AL24" s="2121">
        <f>Risk_Compensation!K31*(Risk_Compensation!AN31+CR$144)*12/1000000</f>
        <v>0</v>
      </c>
      <c r="AM24" s="2121">
        <f>Risk_Compensation!L31*(Risk_Compensation!AO31+CS$144)*12/1000000</f>
        <v>0</v>
      </c>
      <c r="AN24" s="2121">
        <f>Risk_Compensation!M31*(Risk_Compensation!AP31+CT$144)*12/1000000</f>
        <v>0</v>
      </c>
      <c r="AO24" s="2121">
        <f>Risk_Compensation!N31*(Risk_Compensation!AQ31+CU$144)*12/1000000</f>
        <v>0</v>
      </c>
      <c r="AP24" s="2121">
        <f>Risk_Compensation!O31*(Risk_Compensation!AR31+CV$144)*12/1000000</f>
        <v>0</v>
      </c>
      <c r="AQ24" s="2121">
        <f>Risk_Compensation!P31*(Risk_Compensation!AS31+CW$144)*12/1000000</f>
        <v>0</v>
      </c>
      <c r="AR24" s="2121">
        <f>Risk_Compensation!Q31*(Risk_Compensation!AT31+CX$144)*12/1000000</f>
        <v>0</v>
      </c>
      <c r="AS24" s="2121">
        <f>Risk_Compensation!R31*(Risk_Compensation!AU31+CY$144)*12/1000000</f>
        <v>0</v>
      </c>
      <c r="AT24" s="2121">
        <f>Risk_Compensation!S31*(Risk_Compensation!AV31+CZ$144)*12/1000000</f>
        <v>0</v>
      </c>
      <c r="AU24" s="2121">
        <f>Risk_Compensation!T31*(Risk_Compensation!AW31+DA$144)*12/1000000</f>
        <v>0</v>
      </c>
      <c r="AV24" s="2121">
        <f>Risk_Compensation!U31*(Risk_Compensation!AX31+DB$144)*12/1000000</f>
        <v>0</v>
      </c>
      <c r="AW24" s="2121">
        <f>Risk_Compensation!V31*(Risk_Compensation!AY31+DC$144)*12/1000000</f>
        <v>0</v>
      </c>
      <c r="AX24" s="2121">
        <f>Risk_Compensation!W31*(Risk_Compensation!AZ31+DD$144)*12/1000000</f>
        <v>0</v>
      </c>
      <c r="AY24" s="2121">
        <f>Risk_Compensation!X31*(Risk_Compensation!BA31+DE$144)*12/1000000</f>
        <v>0</v>
      </c>
      <c r="AZ24" s="2121">
        <f>Risk_Compensation!Y31*(Risk_Compensation!BB31+DF$144)*12/1000000</f>
        <v>0</v>
      </c>
      <c r="BA24" s="2121">
        <f>Risk_Compensation!Z31*(Risk_Compensation!BC31+DG$144)*12/1000000</f>
        <v>0</v>
      </c>
      <c r="BB24" s="2121">
        <f>Risk_Compensation!AA31*(Risk_Compensation!BD31+DH$144)*12/1000000</f>
        <v>0</v>
      </c>
      <c r="BC24" s="2121">
        <f>Risk_Compensation!AB31*(Risk_Compensation!BE31+DI$144)*12/1000000</f>
        <v>0</v>
      </c>
      <c r="BD24" s="2121">
        <f>Risk_Compensation!AC31*(Risk_Compensation!BF31+DJ$144)*12/1000000</f>
        <v>0</v>
      </c>
      <c r="BE24" s="2121">
        <f>Risk_Compensation!AD31*(Risk_Compensation!BG31+DK$144)*12/1000000</f>
        <v>0</v>
      </c>
      <c r="BF24" s="2121">
        <f>Risk_Compensation!AE31*(Risk_Compensation!BH31+DL$144)*12/1000000</f>
        <v>0</v>
      </c>
      <c r="BG24" s="2121">
        <f>Risk_Compensation!AF31*(Risk_Compensation!BI31+DM$144)*12/1000000</f>
        <v>0</v>
      </c>
      <c r="BH24" s="2125">
        <f>Risk_Compensation!AG31*(Risk_Compensation!BJ31+DN$144)*12/1000000</f>
        <v>0</v>
      </c>
      <c r="BI24" s="644"/>
      <c r="BJ24" s="1829">
        <v>14</v>
      </c>
      <c r="BK24" s="2138">
        <f>IF(G24&lt;=0,0,(Risk_Compensation!H31/G24-Risk_Compensation!H$79/G$72-0.5*CO$167*($CK24-CO$135/G$72))*G24)</f>
        <v>0</v>
      </c>
      <c r="BL24" s="2139">
        <f>IF(H24&lt;=0,0,(Risk_Compensation!I31/H24-Risk_Compensation!I$79/H$72-0.5*CP$167*($CK24-CP$135/H$72))*H24)</f>
        <v>0</v>
      </c>
      <c r="BM24" s="2139">
        <f>IF(I24&lt;=0,0,(Risk_Compensation!J31/I24-Risk_Compensation!J$79/I$72-0.5*CQ$167*($CK24-CQ$135/I$72))*I24)</f>
        <v>0</v>
      </c>
      <c r="BN24" s="2139">
        <f>IF(J24&lt;=0,0,(Risk_Compensation!K31/J24-Risk_Compensation!K$79/J$72-0.5*CR$167*($CK24-CR$135/J$72))*J24)</f>
        <v>0</v>
      </c>
      <c r="BO24" s="2139">
        <f>IF(K24&lt;=0,0,(Risk_Compensation!L31/K24-Risk_Compensation!L$79/K$72-0.5*CS$167*($CK24-CS$135/K$72))*K24)</f>
        <v>0</v>
      </c>
      <c r="BP24" s="2139">
        <f>IF(L24&lt;=0,0,(Risk_Compensation!M31/L24-Risk_Compensation!M$79/L$72-0.5*CT$167*($CK24-CT$135/L$72))*L24)</f>
        <v>0</v>
      </c>
      <c r="BQ24" s="2139">
        <f>IF(M24&lt;=0,0,(Risk_Compensation!N31/M24-Risk_Compensation!N$79/M$72-0.5*CU$167*($CK24-CU$135/M$72))*M24)</f>
        <v>0</v>
      </c>
      <c r="BR24" s="2139">
        <f>IF(N24&lt;=0,0,(Risk_Compensation!O31/N24-Risk_Compensation!O$79/N$72-0.5*CV$167*($CK24-CV$135/N$72))*N24)</f>
        <v>0</v>
      </c>
      <c r="BS24" s="2139">
        <f>IF(O24&lt;=0,0,(Risk_Compensation!P31/O24-Risk_Compensation!P$79/O$72-0.5*CW$167*($CK24-CW$135/O$72))*O24)</f>
        <v>0</v>
      </c>
      <c r="BT24" s="2139">
        <f>IF(P24&lt;=0,0,(Risk_Compensation!Q31/P24-Risk_Compensation!Q$79/P$72-0.5*CX$167*($CK24-CX$135/P$72))*P24)</f>
        <v>0</v>
      </c>
      <c r="BU24" s="2139">
        <f>IF(Q24&lt;=0,0,(Risk_Compensation!R31/Q24-Risk_Compensation!R$79/Q$72-0.5*CY$167*($CK24-CY$135/Q$72))*Q24)</f>
        <v>0</v>
      </c>
      <c r="BV24" s="2139">
        <f>IF(R24&lt;=0,0,(Risk_Compensation!S31/R24-Risk_Compensation!S$79/R$72-0.5*CZ$167*($CK24-CZ$135/R$72))*R24)</f>
        <v>0</v>
      </c>
      <c r="BW24" s="2139">
        <f>IF(S24&lt;=0,0,(Risk_Compensation!T31/S24-Risk_Compensation!T$79/S$72-0.5*DA$167*($CK24-DA$135/S$72))*S24)</f>
        <v>0</v>
      </c>
      <c r="BX24" s="2139">
        <f>IF(T24&lt;=0,0,(Risk_Compensation!U31/T24-Risk_Compensation!U$79/T$72-0.5*DB$167*($CK24-DB$135/T$72))*T24)</f>
        <v>0</v>
      </c>
      <c r="BY24" s="2139">
        <f>IF(U24&lt;=0,0,(Risk_Compensation!V31/U24-Risk_Compensation!V$79/U$72-0.5*DC$167*($CK24-DC$135/U$72))*U24)</f>
        <v>0</v>
      </c>
      <c r="BZ24" s="2139">
        <f>IF(V24&lt;=0,0,(Risk_Compensation!W31/V24-Risk_Compensation!W$79/V$72-0.5*DD$167*($CK24-DD$135/V$72))*V24)</f>
        <v>0</v>
      </c>
      <c r="CA24" s="2139">
        <f>IF(W24&lt;=0,0,(Risk_Compensation!X31/W24-Risk_Compensation!X$79/W$72-0.5*DE$167*($CK24-DE$135/W$72))*W24)</f>
        <v>0</v>
      </c>
      <c r="CB24" s="2139">
        <f>IF(X24&lt;=0,0,(Risk_Compensation!Y31/X24-Risk_Compensation!Y$79/X$72-0.5*DF$167*($CK24-DF$135/X$72))*X24)</f>
        <v>0</v>
      </c>
      <c r="CC24" s="2139">
        <f>IF(Y24&lt;=0,0,(Risk_Compensation!Z31/Y24-Risk_Compensation!Z$79/Y$72-0.5*DG$167*($CK24-DG$135/Y$72))*Y24)</f>
        <v>0</v>
      </c>
      <c r="CD24" s="2139">
        <f>IF(Z24&lt;=0,0,(Risk_Compensation!AA31/Z24-Risk_Compensation!AA$79/Z$72-0.5*DH$167*($CK24-DH$135/Z$72))*Z24)</f>
        <v>0</v>
      </c>
      <c r="CE24" s="2139">
        <f>IF(AA24&lt;=0,0,(Risk_Compensation!AB31/AA24-Risk_Compensation!AB$79/AA$72-0.5*DI$167*($CK24-DI$135/AA$72))*AA24)</f>
        <v>0</v>
      </c>
      <c r="CF24" s="2139">
        <f>IF(AB24&lt;=0,0,(Risk_Compensation!AC31/AB24-Risk_Compensation!AC$79/AB$72-0.5*DJ$167*($CK24-DJ$135/AB$72))*AB24)</f>
        <v>0</v>
      </c>
      <c r="CG24" s="2139">
        <f>IF(AC24&lt;=0,0,(Risk_Compensation!AD31/AC24-Risk_Compensation!AD$79/AC$72-0.5*DK$167*($CK24-DK$135/AC$72))*AC24)</f>
        <v>0</v>
      </c>
      <c r="CH24" s="2139">
        <f>IF(AD24&lt;=0,0,(Risk_Compensation!AE31/AD24-Risk_Compensation!AE$79/AD$72-0.5*DL$167*($CK24-DL$135/AD$72))*AD24)</f>
        <v>0</v>
      </c>
      <c r="CI24" s="2139">
        <f>IF(AE24&lt;=0,0,(Risk_Compensation!AF31/AE24-Risk_Compensation!AF$79/AE$72-0.5*DM$167*($CK24-DM$135/AE$72))*AE24)</f>
        <v>0</v>
      </c>
      <c r="CJ24" s="2140">
        <f>IF(AF24&lt;=0,0,(Risk_Compensation!AG31/AF24-Risk_Compensation!AG$79/AF$72-0.5*DN$167*($CK24-DN$135/AF$72))*AF24)</f>
        <v>0</v>
      </c>
      <c r="CK24" s="2166">
        <v>0</v>
      </c>
      <c r="CL24" s="644"/>
      <c r="CM24" s="1829">
        <v>14</v>
      </c>
      <c r="CN24" s="2149">
        <f t="shared" si="0"/>
        <v>0</v>
      </c>
      <c r="CO24" s="2150">
        <f t="shared" si="1"/>
        <v>0</v>
      </c>
      <c r="CP24" s="2150">
        <f t="shared" si="2"/>
        <v>0</v>
      </c>
      <c r="CQ24" s="2150">
        <f t="shared" si="3"/>
        <v>0</v>
      </c>
      <c r="CR24" s="2150">
        <f t="shared" si="4"/>
        <v>0</v>
      </c>
      <c r="CS24" s="2150">
        <f t="shared" si="5"/>
        <v>0</v>
      </c>
      <c r="CT24" s="2150">
        <f t="shared" si="6"/>
        <v>0</v>
      </c>
      <c r="CU24" s="2150">
        <f t="shared" si="7"/>
        <v>0</v>
      </c>
      <c r="CV24" s="2150">
        <f t="shared" si="8"/>
        <v>0</v>
      </c>
      <c r="CW24" s="2150">
        <f t="shared" si="9"/>
        <v>0</v>
      </c>
      <c r="CX24" s="2150">
        <f t="shared" si="10"/>
        <v>0</v>
      </c>
      <c r="CY24" s="2150">
        <f t="shared" si="11"/>
        <v>0</v>
      </c>
      <c r="CZ24" s="2150">
        <f t="shared" si="12"/>
        <v>0</v>
      </c>
      <c r="DA24" s="2150">
        <f t="shared" si="13"/>
        <v>0</v>
      </c>
      <c r="DB24" s="2150">
        <f t="shared" si="14"/>
        <v>0</v>
      </c>
      <c r="DC24" s="2150">
        <f t="shared" si="15"/>
        <v>0</v>
      </c>
      <c r="DD24" s="2150">
        <f t="shared" si="16"/>
        <v>0</v>
      </c>
      <c r="DE24" s="2150">
        <f t="shared" si="17"/>
        <v>0</v>
      </c>
      <c r="DF24" s="2150">
        <f t="shared" si="18"/>
        <v>0</v>
      </c>
      <c r="DG24" s="2150">
        <f t="shared" si="19"/>
        <v>0</v>
      </c>
      <c r="DH24" s="2150">
        <f t="shared" si="20"/>
        <v>0</v>
      </c>
      <c r="DI24" s="2150">
        <f t="shared" si="21"/>
        <v>0</v>
      </c>
      <c r="DJ24" s="2150">
        <f t="shared" si="22"/>
        <v>0</v>
      </c>
      <c r="DK24" s="2150">
        <f t="shared" si="23"/>
        <v>0</v>
      </c>
      <c r="DL24" s="2150">
        <f t="shared" si="24"/>
        <v>0</v>
      </c>
      <c r="DM24" s="2151">
        <f t="shared" si="25"/>
        <v>0</v>
      </c>
      <c r="DN24" s="644"/>
      <c r="DO24" s="1829">
        <v>14</v>
      </c>
      <c r="DP24" s="2211">
        <v>110.13632474012699</v>
      </c>
      <c r="DQ24" s="2212">
        <v>86.623005116373804</v>
      </c>
      <c r="DR24" s="2212">
        <v>91.315716495739295</v>
      </c>
      <c r="DS24" s="2212">
        <v>114.73764412285399</v>
      </c>
      <c r="DT24" s="2212">
        <v>116.089550610464</v>
      </c>
      <c r="DU24" s="2212">
        <v>146.79017761467099</v>
      </c>
      <c r="DV24" s="2212">
        <v>119.656989917508</v>
      </c>
      <c r="DW24" s="2212">
        <v>169.26629642196801</v>
      </c>
      <c r="DX24" s="2212">
        <v>78.479685126755797</v>
      </c>
      <c r="DY24" s="2212">
        <v>99.494505217486804</v>
      </c>
      <c r="DZ24" s="2212">
        <v>110.01403769122901</v>
      </c>
      <c r="EA24" s="2212">
        <v>108.092280777422</v>
      </c>
      <c r="EB24" s="2212">
        <v>124.23119819561001</v>
      </c>
      <c r="EC24" s="2212">
        <v>90.635574374244896</v>
      </c>
      <c r="ED24" s="2212">
        <v>71.372764535288894</v>
      </c>
      <c r="EE24" s="2212">
        <v>100.32875159536999</v>
      </c>
      <c r="EF24" s="2212">
        <v>113.410879044569</v>
      </c>
      <c r="EG24" s="2212">
        <v>108.933184028151</v>
      </c>
      <c r="EH24" s="2212">
        <v>94.352880910695802</v>
      </c>
      <c r="EI24" s="2212">
        <v>102.22441177309101</v>
      </c>
      <c r="EJ24" s="2212">
        <v>122.366272976806</v>
      </c>
      <c r="EK24" s="2212">
        <v>80.986676051824006</v>
      </c>
      <c r="EL24" s="2212">
        <v>127.320928626804</v>
      </c>
      <c r="EM24" s="2212">
        <v>106.801448496775</v>
      </c>
      <c r="EN24" s="2212">
        <v>101.700050259631</v>
      </c>
      <c r="EO24" s="2213">
        <v>119.98752551555</v>
      </c>
      <c r="ER24" s="1829">
        <v>14</v>
      </c>
      <c r="ES24" s="1830">
        <v>4.0349762517304599</v>
      </c>
      <c r="ET24" s="644"/>
      <c r="EU24" s="2156">
        <v>14</v>
      </c>
      <c r="EV24" s="2090" t="s">
        <v>1903</v>
      </c>
      <c r="EW24" s="2090" t="s">
        <v>1910</v>
      </c>
      <c r="EX24" s="2090" t="str">
        <f>Translation!B$580</f>
        <v>Nein</v>
      </c>
    </row>
    <row r="25" spans="2:154" ht="12.75" x14ac:dyDescent="0.2">
      <c r="B25" s="2090">
        <v>15</v>
      </c>
      <c r="C25" s="2090" t="s">
        <v>1903</v>
      </c>
      <c r="D25" s="2090" t="s">
        <v>1911</v>
      </c>
      <c r="E25" s="2090" t="str">
        <f>Translation!B$579</f>
        <v>Ja</v>
      </c>
      <c r="F25" s="1622">
        <v>15</v>
      </c>
      <c r="G25" s="2211">
        <v>1537.8233333333301</v>
      </c>
      <c r="H25" s="2212">
        <v>40.273333333333298</v>
      </c>
      <c r="I25" s="2212">
        <v>136.039166666667</v>
      </c>
      <c r="J25" s="2212">
        <v>2283.21</v>
      </c>
      <c r="K25" s="2212">
        <v>733.08166666666705</v>
      </c>
      <c r="L25" s="2212">
        <v>482.41166666666697</v>
      </c>
      <c r="M25" s="2212">
        <v>651.54750000000001</v>
      </c>
      <c r="N25" s="2212">
        <v>725.04750000000001</v>
      </c>
      <c r="O25" s="2212">
        <v>104.45416666666701</v>
      </c>
      <c r="P25" s="2212">
        <v>469.42333333333301</v>
      </c>
      <c r="Q25" s="2212">
        <v>178.606666666667</v>
      </c>
      <c r="R25" s="2212">
        <v>860.12916666666695</v>
      </c>
      <c r="S25" s="2212">
        <v>358.80666666666701</v>
      </c>
      <c r="T25" s="2212">
        <v>89.658333333333303</v>
      </c>
      <c r="U25" s="2212">
        <v>83.269166666666706</v>
      </c>
      <c r="V25" s="2212">
        <v>1177.4541666666701</v>
      </c>
      <c r="W25" s="2212">
        <v>188.66749999999999</v>
      </c>
      <c r="X25" s="2212">
        <v>709.47916666666697</v>
      </c>
      <c r="Y25" s="2212">
        <v>387.67750000000001</v>
      </c>
      <c r="Z25" s="2212">
        <v>668.50833333333298</v>
      </c>
      <c r="AA25" s="2212">
        <v>865.28916666666703</v>
      </c>
      <c r="AB25" s="2212">
        <v>92.669166666666698</v>
      </c>
      <c r="AC25" s="2212">
        <v>1367.9508333333299</v>
      </c>
      <c r="AD25" s="2212">
        <v>760.94500000000005</v>
      </c>
      <c r="AE25" s="2212">
        <v>243.39</v>
      </c>
      <c r="AF25" s="2213">
        <v>2978.26</v>
      </c>
      <c r="AH25" s="1829">
        <v>15</v>
      </c>
      <c r="AI25" s="2124">
        <f>Risk_Compensation!H32*(Risk_Compensation!AK32+CO$144)*12/1000000</f>
        <v>0</v>
      </c>
      <c r="AJ25" s="2121">
        <f>Risk_Compensation!I32*(Risk_Compensation!AL32+CP$144)*12/1000000</f>
        <v>0</v>
      </c>
      <c r="AK25" s="2121">
        <f>Risk_Compensation!J32*(Risk_Compensation!AM32+CQ$144)*12/1000000</f>
        <v>0</v>
      </c>
      <c r="AL25" s="2121">
        <f>Risk_Compensation!K32*(Risk_Compensation!AN32+CR$144)*12/1000000</f>
        <v>0</v>
      </c>
      <c r="AM25" s="2121">
        <f>Risk_Compensation!L32*(Risk_Compensation!AO32+CS$144)*12/1000000</f>
        <v>0</v>
      </c>
      <c r="AN25" s="2121">
        <f>Risk_Compensation!M32*(Risk_Compensation!AP32+CT$144)*12/1000000</f>
        <v>0</v>
      </c>
      <c r="AO25" s="2121">
        <f>Risk_Compensation!N32*(Risk_Compensation!AQ32+CU$144)*12/1000000</f>
        <v>0</v>
      </c>
      <c r="AP25" s="2121">
        <f>Risk_Compensation!O32*(Risk_Compensation!AR32+CV$144)*12/1000000</f>
        <v>0</v>
      </c>
      <c r="AQ25" s="2121">
        <f>Risk_Compensation!P32*(Risk_Compensation!AS32+CW$144)*12/1000000</f>
        <v>0</v>
      </c>
      <c r="AR25" s="2121">
        <f>Risk_Compensation!Q32*(Risk_Compensation!AT32+CX$144)*12/1000000</f>
        <v>0</v>
      </c>
      <c r="AS25" s="2121">
        <f>Risk_Compensation!R32*(Risk_Compensation!AU32+CY$144)*12/1000000</f>
        <v>0</v>
      </c>
      <c r="AT25" s="2121">
        <f>Risk_Compensation!S32*(Risk_Compensation!AV32+CZ$144)*12/1000000</f>
        <v>0</v>
      </c>
      <c r="AU25" s="2121">
        <f>Risk_Compensation!T32*(Risk_Compensation!AW32+DA$144)*12/1000000</f>
        <v>0</v>
      </c>
      <c r="AV25" s="2121">
        <f>Risk_Compensation!U32*(Risk_Compensation!AX32+DB$144)*12/1000000</f>
        <v>0</v>
      </c>
      <c r="AW25" s="2121">
        <f>Risk_Compensation!V32*(Risk_Compensation!AY32+DC$144)*12/1000000</f>
        <v>0</v>
      </c>
      <c r="AX25" s="2121">
        <f>Risk_Compensation!W32*(Risk_Compensation!AZ32+DD$144)*12/1000000</f>
        <v>0</v>
      </c>
      <c r="AY25" s="2121">
        <f>Risk_Compensation!X32*(Risk_Compensation!BA32+DE$144)*12/1000000</f>
        <v>0</v>
      </c>
      <c r="AZ25" s="2121">
        <f>Risk_Compensation!Y32*(Risk_Compensation!BB32+DF$144)*12/1000000</f>
        <v>0</v>
      </c>
      <c r="BA25" s="2121">
        <f>Risk_Compensation!Z32*(Risk_Compensation!BC32+DG$144)*12/1000000</f>
        <v>0</v>
      </c>
      <c r="BB25" s="2121">
        <f>Risk_Compensation!AA32*(Risk_Compensation!BD32+DH$144)*12/1000000</f>
        <v>0</v>
      </c>
      <c r="BC25" s="2121">
        <f>Risk_Compensation!AB32*(Risk_Compensation!BE32+DI$144)*12/1000000</f>
        <v>0</v>
      </c>
      <c r="BD25" s="2121">
        <f>Risk_Compensation!AC32*(Risk_Compensation!BF32+DJ$144)*12/1000000</f>
        <v>0</v>
      </c>
      <c r="BE25" s="2121">
        <f>Risk_Compensation!AD32*(Risk_Compensation!BG32+DK$144)*12/1000000</f>
        <v>0</v>
      </c>
      <c r="BF25" s="2121">
        <f>Risk_Compensation!AE32*(Risk_Compensation!BH32+DL$144)*12/1000000</f>
        <v>0</v>
      </c>
      <c r="BG25" s="2121">
        <f>Risk_Compensation!AF32*(Risk_Compensation!BI32+DM$144)*12/1000000</f>
        <v>0</v>
      </c>
      <c r="BH25" s="2125">
        <f>Risk_Compensation!AG32*(Risk_Compensation!BJ32+DN$144)*12/1000000</f>
        <v>0</v>
      </c>
      <c r="BI25" s="644"/>
      <c r="BJ25" s="1829">
        <v>15</v>
      </c>
      <c r="BK25" s="2138">
        <f>IF(G25&lt;=0,0,(Risk_Compensation!H32/G25-Risk_Compensation!H$79/G$72-0.5*CO$167*($CK25-CO$135/G$72))*G25)</f>
        <v>0</v>
      </c>
      <c r="BL25" s="2139">
        <f>IF(H25&lt;=0,0,(Risk_Compensation!I32/H25-Risk_Compensation!I$79/H$72-0.5*CP$167*($CK25-CP$135/H$72))*H25)</f>
        <v>0</v>
      </c>
      <c r="BM25" s="2139">
        <f>IF(I25&lt;=0,0,(Risk_Compensation!J32/I25-Risk_Compensation!J$79/I$72-0.5*CQ$167*($CK25-CQ$135/I$72))*I25)</f>
        <v>0</v>
      </c>
      <c r="BN25" s="2139">
        <f>IF(J25&lt;=0,0,(Risk_Compensation!K32/J25-Risk_Compensation!K$79/J$72-0.5*CR$167*($CK25-CR$135/J$72))*J25)</f>
        <v>0</v>
      </c>
      <c r="BO25" s="2139">
        <f>IF(K25&lt;=0,0,(Risk_Compensation!L32/K25-Risk_Compensation!L$79/K$72-0.5*CS$167*($CK25-CS$135/K$72))*K25)</f>
        <v>0</v>
      </c>
      <c r="BP25" s="2139">
        <f>IF(L25&lt;=0,0,(Risk_Compensation!M32/L25-Risk_Compensation!M$79/L$72-0.5*CT$167*($CK25-CT$135/L$72))*L25)</f>
        <v>0</v>
      </c>
      <c r="BQ25" s="2139">
        <f>IF(M25&lt;=0,0,(Risk_Compensation!N32/M25-Risk_Compensation!N$79/M$72-0.5*CU$167*($CK25-CU$135/M$72))*M25)</f>
        <v>0</v>
      </c>
      <c r="BR25" s="2139">
        <f>IF(N25&lt;=0,0,(Risk_Compensation!O32/N25-Risk_Compensation!O$79/N$72-0.5*CV$167*($CK25-CV$135/N$72))*N25)</f>
        <v>0</v>
      </c>
      <c r="BS25" s="2139">
        <f>IF(O25&lt;=0,0,(Risk_Compensation!P32/O25-Risk_Compensation!P$79/O$72-0.5*CW$167*($CK25-CW$135/O$72))*O25)</f>
        <v>0</v>
      </c>
      <c r="BT25" s="2139">
        <f>IF(P25&lt;=0,0,(Risk_Compensation!Q32/P25-Risk_Compensation!Q$79/P$72-0.5*CX$167*($CK25-CX$135/P$72))*P25)</f>
        <v>0</v>
      </c>
      <c r="BU25" s="2139">
        <f>IF(Q25&lt;=0,0,(Risk_Compensation!R32/Q25-Risk_Compensation!R$79/Q$72-0.5*CY$167*($CK25-CY$135/Q$72))*Q25)</f>
        <v>0</v>
      </c>
      <c r="BV25" s="2139">
        <f>IF(R25&lt;=0,0,(Risk_Compensation!S32/R25-Risk_Compensation!S$79/R$72-0.5*CZ$167*($CK25-CZ$135/R$72))*R25)</f>
        <v>0</v>
      </c>
      <c r="BW25" s="2139">
        <f>IF(S25&lt;=0,0,(Risk_Compensation!T32/S25-Risk_Compensation!T$79/S$72-0.5*DA$167*($CK25-DA$135/S$72))*S25)</f>
        <v>0</v>
      </c>
      <c r="BX25" s="2139">
        <f>IF(T25&lt;=0,0,(Risk_Compensation!U32/T25-Risk_Compensation!U$79/T$72-0.5*DB$167*($CK25-DB$135/T$72))*T25)</f>
        <v>0</v>
      </c>
      <c r="BY25" s="2139">
        <f>IF(U25&lt;=0,0,(Risk_Compensation!V32/U25-Risk_Compensation!V$79/U$72-0.5*DC$167*($CK25-DC$135/U$72))*U25)</f>
        <v>0</v>
      </c>
      <c r="BZ25" s="2139">
        <f>IF(V25&lt;=0,0,(Risk_Compensation!W32/V25-Risk_Compensation!W$79/V$72-0.5*DD$167*($CK25-DD$135/V$72))*V25)</f>
        <v>0</v>
      </c>
      <c r="CA25" s="2139">
        <f>IF(W25&lt;=0,0,(Risk_Compensation!X32/W25-Risk_Compensation!X$79/W$72-0.5*DE$167*($CK25-DE$135/W$72))*W25)</f>
        <v>0</v>
      </c>
      <c r="CB25" s="2139">
        <f>IF(X25&lt;=0,0,(Risk_Compensation!Y32/X25-Risk_Compensation!Y$79/X$72-0.5*DF$167*($CK25-DF$135/X$72))*X25)</f>
        <v>0</v>
      </c>
      <c r="CC25" s="2139">
        <f>IF(Y25&lt;=0,0,(Risk_Compensation!Z32/Y25-Risk_Compensation!Z$79/Y$72-0.5*DG$167*($CK25-DG$135/Y$72))*Y25)</f>
        <v>0</v>
      </c>
      <c r="CD25" s="2139">
        <f>IF(Z25&lt;=0,0,(Risk_Compensation!AA32/Z25-Risk_Compensation!AA$79/Z$72-0.5*DH$167*($CK25-DH$135/Z$72))*Z25)</f>
        <v>0</v>
      </c>
      <c r="CE25" s="2139">
        <f>IF(AA25&lt;=0,0,(Risk_Compensation!AB32/AA25-Risk_Compensation!AB$79/AA$72-0.5*DI$167*($CK25-DI$135/AA$72))*AA25)</f>
        <v>0</v>
      </c>
      <c r="CF25" s="2139">
        <f>IF(AB25&lt;=0,0,(Risk_Compensation!AC32/AB25-Risk_Compensation!AC$79/AB$72-0.5*DJ$167*($CK25-DJ$135/AB$72))*AB25)</f>
        <v>0</v>
      </c>
      <c r="CG25" s="2139">
        <f>IF(AC25&lt;=0,0,(Risk_Compensation!AD32/AC25-Risk_Compensation!AD$79/AC$72-0.5*DK$167*($CK25-DK$135/AC$72))*AC25)</f>
        <v>0</v>
      </c>
      <c r="CH25" s="2139">
        <f>IF(AD25&lt;=0,0,(Risk_Compensation!AE32/AD25-Risk_Compensation!AE$79/AD$72-0.5*DL$167*($CK25-DL$135/AD$72))*AD25)</f>
        <v>0</v>
      </c>
      <c r="CI25" s="2139">
        <f>IF(AE25&lt;=0,0,(Risk_Compensation!AF32/AE25-Risk_Compensation!AF$79/AE$72-0.5*DM$167*($CK25-DM$135/AE$72))*AE25)</f>
        <v>0</v>
      </c>
      <c r="CJ25" s="2140">
        <f>IF(AF25&lt;=0,0,(Risk_Compensation!AG32/AF25-Risk_Compensation!AG$79/AF$72-0.5*DN$167*($CK25-DN$135/AF$72))*AF25)</f>
        <v>0</v>
      </c>
      <c r="CK25" s="2166">
        <v>0</v>
      </c>
      <c r="CL25" s="644"/>
      <c r="CM25" s="1829">
        <v>15</v>
      </c>
      <c r="CN25" s="2149">
        <f t="shared" si="0"/>
        <v>0</v>
      </c>
      <c r="CO25" s="2150">
        <f t="shared" si="1"/>
        <v>0</v>
      </c>
      <c r="CP25" s="2150">
        <f t="shared" si="2"/>
        <v>0</v>
      </c>
      <c r="CQ25" s="2150">
        <f t="shared" si="3"/>
        <v>0</v>
      </c>
      <c r="CR25" s="2150">
        <f t="shared" si="4"/>
        <v>0</v>
      </c>
      <c r="CS25" s="2150">
        <f t="shared" si="5"/>
        <v>0</v>
      </c>
      <c r="CT25" s="2150">
        <f t="shared" si="6"/>
        <v>0</v>
      </c>
      <c r="CU25" s="2150">
        <f t="shared" si="7"/>
        <v>0</v>
      </c>
      <c r="CV25" s="2150">
        <f t="shared" si="8"/>
        <v>0</v>
      </c>
      <c r="CW25" s="2150">
        <f t="shared" si="9"/>
        <v>0</v>
      </c>
      <c r="CX25" s="2150">
        <f t="shared" si="10"/>
        <v>0</v>
      </c>
      <c r="CY25" s="2150">
        <f t="shared" si="11"/>
        <v>0</v>
      </c>
      <c r="CZ25" s="2150">
        <f t="shared" si="12"/>
        <v>0</v>
      </c>
      <c r="DA25" s="2150">
        <f t="shared" si="13"/>
        <v>0</v>
      </c>
      <c r="DB25" s="2150">
        <f t="shared" si="14"/>
        <v>0</v>
      </c>
      <c r="DC25" s="2150">
        <f t="shared" si="15"/>
        <v>0</v>
      </c>
      <c r="DD25" s="2150">
        <f t="shared" si="16"/>
        <v>0</v>
      </c>
      <c r="DE25" s="2150">
        <f t="shared" si="17"/>
        <v>0</v>
      </c>
      <c r="DF25" s="2150">
        <f t="shared" si="18"/>
        <v>0</v>
      </c>
      <c r="DG25" s="2150">
        <f t="shared" si="19"/>
        <v>0</v>
      </c>
      <c r="DH25" s="2150">
        <f t="shared" si="20"/>
        <v>0</v>
      </c>
      <c r="DI25" s="2150">
        <f t="shared" si="21"/>
        <v>0</v>
      </c>
      <c r="DJ25" s="2150">
        <f t="shared" si="22"/>
        <v>0</v>
      </c>
      <c r="DK25" s="2150">
        <f t="shared" si="23"/>
        <v>0</v>
      </c>
      <c r="DL25" s="2150">
        <f t="shared" si="24"/>
        <v>0</v>
      </c>
      <c r="DM25" s="2151">
        <f t="shared" si="25"/>
        <v>0</v>
      </c>
      <c r="DN25" s="644"/>
      <c r="DO25" s="1829">
        <v>15</v>
      </c>
      <c r="DP25" s="2211">
        <v>827.73959794407699</v>
      </c>
      <c r="DQ25" s="2212">
        <v>729.51854887242803</v>
      </c>
      <c r="DR25" s="2212">
        <v>887.94741867576397</v>
      </c>
      <c r="DS25" s="2212">
        <v>985.62263556083201</v>
      </c>
      <c r="DT25" s="2212">
        <v>872.56424477722896</v>
      </c>
      <c r="DU25" s="2212">
        <v>1243.0964340153901</v>
      </c>
      <c r="DV25" s="2212">
        <v>900.02972387481896</v>
      </c>
      <c r="DW25" s="2212">
        <v>1112.9301208546301</v>
      </c>
      <c r="DX25" s="2212">
        <v>1110.4894396634099</v>
      </c>
      <c r="DY25" s="2212">
        <v>627.75132613015296</v>
      </c>
      <c r="DZ25" s="2212">
        <v>676.17528689301503</v>
      </c>
      <c r="EA25" s="2212">
        <v>627.08260045508098</v>
      </c>
      <c r="EB25" s="2212">
        <v>1001.15444134519</v>
      </c>
      <c r="EC25" s="2212">
        <v>549.52550838171203</v>
      </c>
      <c r="ED25" s="2212">
        <v>524.72263595136906</v>
      </c>
      <c r="EE25" s="2212">
        <v>760.16748740186097</v>
      </c>
      <c r="EF25" s="2212">
        <v>1045.00810524848</v>
      </c>
      <c r="EG25" s="2212">
        <v>792.69977774581298</v>
      </c>
      <c r="EH25" s="2212">
        <v>820.76053667962901</v>
      </c>
      <c r="EI25" s="2212">
        <v>657.51311090260697</v>
      </c>
      <c r="EJ25" s="2212">
        <v>872.62134953668101</v>
      </c>
      <c r="EK25" s="2212">
        <v>661.87175757816101</v>
      </c>
      <c r="EL25" s="2212">
        <v>1159.46947770576</v>
      </c>
      <c r="EM25" s="2212">
        <v>927.93473147665497</v>
      </c>
      <c r="EN25" s="2212">
        <v>606.10255132806401</v>
      </c>
      <c r="EO25" s="2213">
        <v>908.90313646759103</v>
      </c>
      <c r="ER25" s="1829">
        <v>15</v>
      </c>
      <c r="ES25" s="1830">
        <v>1.91328374885372</v>
      </c>
      <c r="ET25" s="644"/>
      <c r="EU25" s="2156">
        <v>15</v>
      </c>
      <c r="EV25" s="2090" t="s">
        <v>1903</v>
      </c>
      <c r="EW25" s="2090" t="s">
        <v>1911</v>
      </c>
      <c r="EX25" s="2090" t="str">
        <f>Translation!B$579</f>
        <v>Ja</v>
      </c>
    </row>
    <row r="26" spans="2:154" ht="12.75" x14ac:dyDescent="0.2">
      <c r="B26" s="2090">
        <v>16</v>
      </c>
      <c r="C26" s="2090" t="s">
        <v>1903</v>
      </c>
      <c r="D26" s="2090" t="s">
        <v>1911</v>
      </c>
      <c r="E26" s="2090" t="str">
        <f>Translation!B$580</f>
        <v>Nein</v>
      </c>
      <c r="F26" s="1622">
        <v>16</v>
      </c>
      <c r="G26" s="2211">
        <v>26517.9008333333</v>
      </c>
      <c r="H26" s="2212">
        <v>595.86</v>
      </c>
      <c r="I26" s="2212">
        <v>2173.0266666666698</v>
      </c>
      <c r="J26" s="2212">
        <v>36875.7008333333</v>
      </c>
      <c r="K26" s="2212">
        <v>10685.907499999999</v>
      </c>
      <c r="L26" s="2212">
        <v>6131.55666666667</v>
      </c>
      <c r="M26" s="2212">
        <v>11816.5391666667</v>
      </c>
      <c r="N26" s="2212">
        <v>15370.52</v>
      </c>
      <c r="O26" s="2212">
        <v>1523.3658333333301</v>
      </c>
      <c r="P26" s="2212">
        <v>7923.2258333333302</v>
      </c>
      <c r="Q26" s="2212">
        <v>2548.645</v>
      </c>
      <c r="R26" s="2212">
        <v>15326.1775</v>
      </c>
      <c r="S26" s="2212">
        <v>6014.0316666666704</v>
      </c>
      <c r="T26" s="2212">
        <v>1896.0858333333299</v>
      </c>
      <c r="U26" s="2212">
        <v>1568.94916666667</v>
      </c>
      <c r="V26" s="2212">
        <v>18443.9983333333</v>
      </c>
      <c r="W26" s="2212">
        <v>3078.5316666666699</v>
      </c>
      <c r="X26" s="2212">
        <v>10603.614166666701</v>
      </c>
      <c r="Y26" s="2212">
        <v>6996.0783333333302</v>
      </c>
      <c r="Z26" s="2212">
        <v>11030.217500000001</v>
      </c>
      <c r="AA26" s="2212">
        <v>13828.8675</v>
      </c>
      <c r="AB26" s="2212">
        <v>1385.60083333333</v>
      </c>
      <c r="AC26" s="2212">
        <v>26913.5258333333</v>
      </c>
      <c r="AD26" s="2212">
        <v>13205.02</v>
      </c>
      <c r="AE26" s="2212">
        <v>5309.5616666666701</v>
      </c>
      <c r="AF26" s="2213">
        <v>53494.337500000001</v>
      </c>
      <c r="AH26" s="1829">
        <v>16</v>
      </c>
      <c r="AI26" s="2124">
        <f>Risk_Compensation!H33*(Risk_Compensation!AK33+CO$144)*12/1000000</f>
        <v>0</v>
      </c>
      <c r="AJ26" s="2121">
        <f>Risk_Compensation!I33*(Risk_Compensation!AL33+CP$144)*12/1000000</f>
        <v>0</v>
      </c>
      <c r="AK26" s="2121">
        <f>Risk_Compensation!J33*(Risk_Compensation!AM33+CQ$144)*12/1000000</f>
        <v>0</v>
      </c>
      <c r="AL26" s="2121">
        <f>Risk_Compensation!K33*(Risk_Compensation!AN33+CR$144)*12/1000000</f>
        <v>0</v>
      </c>
      <c r="AM26" s="2121">
        <f>Risk_Compensation!L33*(Risk_Compensation!AO33+CS$144)*12/1000000</f>
        <v>0</v>
      </c>
      <c r="AN26" s="2121">
        <f>Risk_Compensation!M33*(Risk_Compensation!AP33+CT$144)*12/1000000</f>
        <v>0</v>
      </c>
      <c r="AO26" s="2121">
        <f>Risk_Compensation!N33*(Risk_Compensation!AQ33+CU$144)*12/1000000</f>
        <v>0</v>
      </c>
      <c r="AP26" s="2121">
        <f>Risk_Compensation!O33*(Risk_Compensation!AR33+CV$144)*12/1000000</f>
        <v>0</v>
      </c>
      <c r="AQ26" s="2121">
        <f>Risk_Compensation!P33*(Risk_Compensation!AS33+CW$144)*12/1000000</f>
        <v>0</v>
      </c>
      <c r="AR26" s="2121">
        <f>Risk_Compensation!Q33*(Risk_Compensation!AT33+CX$144)*12/1000000</f>
        <v>0</v>
      </c>
      <c r="AS26" s="2121">
        <f>Risk_Compensation!R33*(Risk_Compensation!AU33+CY$144)*12/1000000</f>
        <v>0</v>
      </c>
      <c r="AT26" s="2121">
        <f>Risk_Compensation!S33*(Risk_Compensation!AV33+CZ$144)*12/1000000</f>
        <v>0</v>
      </c>
      <c r="AU26" s="2121">
        <f>Risk_Compensation!T33*(Risk_Compensation!AW33+DA$144)*12/1000000</f>
        <v>0</v>
      </c>
      <c r="AV26" s="2121">
        <f>Risk_Compensation!U33*(Risk_Compensation!AX33+DB$144)*12/1000000</f>
        <v>0</v>
      </c>
      <c r="AW26" s="2121">
        <f>Risk_Compensation!V33*(Risk_Compensation!AY33+DC$144)*12/1000000</f>
        <v>0</v>
      </c>
      <c r="AX26" s="2121">
        <f>Risk_Compensation!W33*(Risk_Compensation!AZ33+DD$144)*12/1000000</f>
        <v>0</v>
      </c>
      <c r="AY26" s="2121">
        <f>Risk_Compensation!X33*(Risk_Compensation!BA33+DE$144)*12/1000000</f>
        <v>0</v>
      </c>
      <c r="AZ26" s="2121">
        <f>Risk_Compensation!Y33*(Risk_Compensation!BB33+DF$144)*12/1000000</f>
        <v>0</v>
      </c>
      <c r="BA26" s="2121">
        <f>Risk_Compensation!Z33*(Risk_Compensation!BC33+DG$144)*12/1000000</f>
        <v>0</v>
      </c>
      <c r="BB26" s="2121">
        <f>Risk_Compensation!AA33*(Risk_Compensation!BD33+DH$144)*12/1000000</f>
        <v>0</v>
      </c>
      <c r="BC26" s="2121">
        <f>Risk_Compensation!AB33*(Risk_Compensation!BE33+DI$144)*12/1000000</f>
        <v>0</v>
      </c>
      <c r="BD26" s="2121">
        <f>Risk_Compensation!AC33*(Risk_Compensation!BF33+DJ$144)*12/1000000</f>
        <v>0</v>
      </c>
      <c r="BE26" s="2121">
        <f>Risk_Compensation!AD33*(Risk_Compensation!BG33+DK$144)*12/1000000</f>
        <v>0</v>
      </c>
      <c r="BF26" s="2121">
        <f>Risk_Compensation!AE33*(Risk_Compensation!BH33+DL$144)*12/1000000</f>
        <v>0</v>
      </c>
      <c r="BG26" s="2121">
        <f>Risk_Compensation!AF33*(Risk_Compensation!BI33+DM$144)*12/1000000</f>
        <v>0</v>
      </c>
      <c r="BH26" s="2125">
        <f>Risk_Compensation!AG33*(Risk_Compensation!BJ33+DN$144)*12/1000000</f>
        <v>0</v>
      </c>
      <c r="BI26" s="644"/>
      <c r="BJ26" s="1829">
        <v>16</v>
      </c>
      <c r="BK26" s="2138">
        <f>IF(G26&lt;=0,0,(Risk_Compensation!H33/G26-Risk_Compensation!H$79/G$72-0.5*CO$167*($CK26-CO$135/G$72))*G26)</f>
        <v>0</v>
      </c>
      <c r="BL26" s="2139">
        <f>IF(H26&lt;=0,0,(Risk_Compensation!I33/H26-Risk_Compensation!I$79/H$72-0.5*CP$167*($CK26-CP$135/H$72))*H26)</f>
        <v>0</v>
      </c>
      <c r="BM26" s="2139">
        <f>IF(I26&lt;=0,0,(Risk_Compensation!J33/I26-Risk_Compensation!J$79/I$72-0.5*CQ$167*($CK26-CQ$135/I$72))*I26)</f>
        <v>0</v>
      </c>
      <c r="BN26" s="2139">
        <f>IF(J26&lt;=0,0,(Risk_Compensation!K33/J26-Risk_Compensation!K$79/J$72-0.5*CR$167*($CK26-CR$135/J$72))*J26)</f>
        <v>0</v>
      </c>
      <c r="BO26" s="2139">
        <f>IF(K26&lt;=0,0,(Risk_Compensation!L33/K26-Risk_Compensation!L$79/K$72-0.5*CS$167*($CK26-CS$135/K$72))*K26)</f>
        <v>0</v>
      </c>
      <c r="BP26" s="2139">
        <f>IF(L26&lt;=0,0,(Risk_Compensation!M33/L26-Risk_Compensation!M$79/L$72-0.5*CT$167*($CK26-CT$135/L$72))*L26)</f>
        <v>0</v>
      </c>
      <c r="BQ26" s="2139">
        <f>IF(M26&lt;=0,0,(Risk_Compensation!N33/M26-Risk_Compensation!N$79/M$72-0.5*CU$167*($CK26-CU$135/M$72))*M26)</f>
        <v>0</v>
      </c>
      <c r="BR26" s="2139">
        <f>IF(N26&lt;=0,0,(Risk_Compensation!O33/N26-Risk_Compensation!O$79/N$72-0.5*CV$167*($CK26-CV$135/N$72))*N26)</f>
        <v>0</v>
      </c>
      <c r="BS26" s="2139">
        <f>IF(O26&lt;=0,0,(Risk_Compensation!P33/O26-Risk_Compensation!P$79/O$72-0.5*CW$167*($CK26-CW$135/O$72))*O26)</f>
        <v>0</v>
      </c>
      <c r="BT26" s="2139">
        <f>IF(P26&lt;=0,0,(Risk_Compensation!Q33/P26-Risk_Compensation!Q$79/P$72-0.5*CX$167*($CK26-CX$135/P$72))*P26)</f>
        <v>0</v>
      </c>
      <c r="BU26" s="2139">
        <f>IF(Q26&lt;=0,0,(Risk_Compensation!R33/Q26-Risk_Compensation!R$79/Q$72-0.5*CY$167*($CK26-CY$135/Q$72))*Q26)</f>
        <v>0</v>
      </c>
      <c r="BV26" s="2139">
        <f>IF(R26&lt;=0,0,(Risk_Compensation!S33/R26-Risk_Compensation!S$79/R$72-0.5*CZ$167*($CK26-CZ$135/R$72))*R26)</f>
        <v>0</v>
      </c>
      <c r="BW26" s="2139">
        <f>IF(S26&lt;=0,0,(Risk_Compensation!T33/S26-Risk_Compensation!T$79/S$72-0.5*DA$167*($CK26-DA$135/S$72))*S26)</f>
        <v>0</v>
      </c>
      <c r="BX26" s="2139">
        <f>IF(T26&lt;=0,0,(Risk_Compensation!U33/T26-Risk_Compensation!U$79/T$72-0.5*DB$167*($CK26-DB$135/T$72))*T26)</f>
        <v>0</v>
      </c>
      <c r="BY26" s="2139">
        <f>IF(U26&lt;=0,0,(Risk_Compensation!V33/U26-Risk_Compensation!V$79/U$72-0.5*DC$167*($CK26-DC$135/U$72))*U26)</f>
        <v>0</v>
      </c>
      <c r="BZ26" s="2139">
        <f>IF(V26&lt;=0,0,(Risk_Compensation!W33/V26-Risk_Compensation!W$79/V$72-0.5*DD$167*($CK26-DD$135/V$72))*V26)</f>
        <v>0</v>
      </c>
      <c r="CA26" s="2139">
        <f>IF(W26&lt;=0,0,(Risk_Compensation!X33/W26-Risk_Compensation!X$79/W$72-0.5*DE$167*($CK26-DE$135/W$72))*W26)</f>
        <v>0</v>
      </c>
      <c r="CB26" s="2139">
        <f>IF(X26&lt;=0,0,(Risk_Compensation!Y33/X26-Risk_Compensation!Y$79/X$72-0.5*DF$167*($CK26-DF$135/X$72))*X26)</f>
        <v>0</v>
      </c>
      <c r="CC26" s="2139">
        <f>IF(Y26&lt;=0,0,(Risk_Compensation!Z33/Y26-Risk_Compensation!Z$79/Y$72-0.5*DG$167*($CK26-DG$135/Y$72))*Y26)</f>
        <v>0</v>
      </c>
      <c r="CD26" s="2139">
        <f>IF(Z26&lt;=0,0,(Risk_Compensation!AA33/Z26-Risk_Compensation!AA$79/Z$72-0.5*DH$167*($CK26-DH$135/Z$72))*Z26)</f>
        <v>0</v>
      </c>
      <c r="CE26" s="2139">
        <f>IF(AA26&lt;=0,0,(Risk_Compensation!AB33/AA26-Risk_Compensation!AB$79/AA$72-0.5*DI$167*($CK26-DI$135/AA$72))*AA26)</f>
        <v>0</v>
      </c>
      <c r="CF26" s="2139">
        <f>IF(AB26&lt;=0,0,(Risk_Compensation!AC33/AB26-Risk_Compensation!AC$79/AB$72-0.5*DJ$167*($CK26-DJ$135/AB$72))*AB26)</f>
        <v>0</v>
      </c>
      <c r="CG26" s="2139">
        <f>IF(AC26&lt;=0,0,(Risk_Compensation!AD33/AC26-Risk_Compensation!AD$79/AC$72-0.5*DK$167*($CK26-DK$135/AC$72))*AC26)</f>
        <v>0</v>
      </c>
      <c r="CH26" s="2139">
        <f>IF(AD26&lt;=0,0,(Risk_Compensation!AE33/AD26-Risk_Compensation!AE$79/AD$72-0.5*DL$167*($CK26-DL$135/AD$72))*AD26)</f>
        <v>0</v>
      </c>
      <c r="CI26" s="2139">
        <f>IF(AE26&lt;=0,0,(Risk_Compensation!AF33/AE26-Risk_Compensation!AF$79/AE$72-0.5*DM$167*($CK26-DM$135/AE$72))*AE26)</f>
        <v>0</v>
      </c>
      <c r="CJ26" s="2140">
        <f>IF(AF26&lt;=0,0,(Risk_Compensation!AG33/AF26-Risk_Compensation!AG$79/AF$72-0.5*DN$167*($CK26-DN$135/AF$72))*AF26)</f>
        <v>0</v>
      </c>
      <c r="CK26" s="2166">
        <v>0</v>
      </c>
      <c r="CL26" s="644"/>
      <c r="CM26" s="1829">
        <v>16</v>
      </c>
      <c r="CN26" s="2149">
        <f t="shared" si="0"/>
        <v>0</v>
      </c>
      <c r="CO26" s="2150">
        <f t="shared" si="1"/>
        <v>0</v>
      </c>
      <c r="CP26" s="2150">
        <f t="shared" si="2"/>
        <v>0</v>
      </c>
      <c r="CQ26" s="2150">
        <f t="shared" si="3"/>
        <v>0</v>
      </c>
      <c r="CR26" s="2150">
        <f t="shared" si="4"/>
        <v>0</v>
      </c>
      <c r="CS26" s="2150">
        <f t="shared" si="5"/>
        <v>0</v>
      </c>
      <c r="CT26" s="2150">
        <f t="shared" si="6"/>
        <v>0</v>
      </c>
      <c r="CU26" s="2150">
        <f t="shared" si="7"/>
        <v>0</v>
      </c>
      <c r="CV26" s="2150">
        <f t="shared" si="8"/>
        <v>0</v>
      </c>
      <c r="CW26" s="2150">
        <f t="shared" si="9"/>
        <v>0</v>
      </c>
      <c r="CX26" s="2150">
        <f t="shared" si="10"/>
        <v>0</v>
      </c>
      <c r="CY26" s="2150">
        <f t="shared" si="11"/>
        <v>0</v>
      </c>
      <c r="CZ26" s="2150">
        <f t="shared" si="12"/>
        <v>0</v>
      </c>
      <c r="DA26" s="2150">
        <f t="shared" si="13"/>
        <v>0</v>
      </c>
      <c r="DB26" s="2150">
        <f t="shared" si="14"/>
        <v>0</v>
      </c>
      <c r="DC26" s="2150">
        <f t="shared" si="15"/>
        <v>0</v>
      </c>
      <c r="DD26" s="2150">
        <f t="shared" si="16"/>
        <v>0</v>
      </c>
      <c r="DE26" s="2150">
        <f t="shared" si="17"/>
        <v>0</v>
      </c>
      <c r="DF26" s="2150">
        <f t="shared" si="18"/>
        <v>0</v>
      </c>
      <c r="DG26" s="2150">
        <f t="shared" si="19"/>
        <v>0</v>
      </c>
      <c r="DH26" s="2150">
        <f t="shared" si="20"/>
        <v>0</v>
      </c>
      <c r="DI26" s="2150">
        <f t="shared" si="21"/>
        <v>0</v>
      </c>
      <c r="DJ26" s="2150">
        <f t="shared" si="22"/>
        <v>0</v>
      </c>
      <c r="DK26" s="2150">
        <f t="shared" si="23"/>
        <v>0</v>
      </c>
      <c r="DL26" s="2150">
        <f t="shared" si="24"/>
        <v>0</v>
      </c>
      <c r="DM26" s="2151">
        <f t="shared" si="25"/>
        <v>0</v>
      </c>
      <c r="DN26" s="644"/>
      <c r="DO26" s="1829">
        <v>16</v>
      </c>
      <c r="DP26" s="2211">
        <v>149.72879599711899</v>
      </c>
      <c r="DQ26" s="2212">
        <v>130.32056243989001</v>
      </c>
      <c r="DR26" s="2212">
        <v>118.184501984607</v>
      </c>
      <c r="DS26" s="2212">
        <v>147.74321510994599</v>
      </c>
      <c r="DT26" s="2212">
        <v>161.72420322296401</v>
      </c>
      <c r="DU26" s="2212">
        <v>171.54280428078999</v>
      </c>
      <c r="DV26" s="2212">
        <v>139.78553032622301</v>
      </c>
      <c r="DW26" s="2212">
        <v>211.886692217936</v>
      </c>
      <c r="DX26" s="2212">
        <v>137.701993392764</v>
      </c>
      <c r="DY26" s="2212">
        <v>133.106866388486</v>
      </c>
      <c r="DZ26" s="2212">
        <v>143.57315806187501</v>
      </c>
      <c r="EA26" s="2212">
        <v>125.527808343548</v>
      </c>
      <c r="EB26" s="2212">
        <v>156.692995171072</v>
      </c>
      <c r="EC26" s="2212">
        <v>121.616820842666</v>
      </c>
      <c r="ED26" s="2212">
        <v>123.008988658764</v>
      </c>
      <c r="EE26" s="2212">
        <v>137.20250664623299</v>
      </c>
      <c r="EF26" s="2212">
        <v>139.08311433986901</v>
      </c>
      <c r="EG26" s="2212">
        <v>139.50625848187599</v>
      </c>
      <c r="EH26" s="2212">
        <v>132.892937474165</v>
      </c>
      <c r="EI26" s="2212">
        <v>142.048012173253</v>
      </c>
      <c r="EJ26" s="2212">
        <v>171.67000546174199</v>
      </c>
      <c r="EK26" s="2212">
        <v>102.669347968975</v>
      </c>
      <c r="EL26" s="2212">
        <v>182.96380047064099</v>
      </c>
      <c r="EM26" s="2212">
        <v>149.19130411964699</v>
      </c>
      <c r="EN26" s="2212">
        <v>139.68072051540801</v>
      </c>
      <c r="EO26" s="2213">
        <v>157.04810305718399</v>
      </c>
      <c r="ER26" s="1829">
        <v>16</v>
      </c>
      <c r="ES26" s="1830">
        <v>3.22171183097882</v>
      </c>
      <c r="ET26" s="644"/>
      <c r="EU26" s="2156">
        <v>16</v>
      </c>
      <c r="EV26" s="2090" t="s">
        <v>1903</v>
      </c>
      <c r="EW26" s="2090" t="s">
        <v>1911</v>
      </c>
      <c r="EX26" s="2090" t="str">
        <f>Translation!B$580</f>
        <v>Nein</v>
      </c>
    </row>
    <row r="27" spans="2:154" ht="12.75" x14ac:dyDescent="0.2">
      <c r="B27" s="2090">
        <v>17</v>
      </c>
      <c r="C27" s="2090" t="s">
        <v>1903</v>
      </c>
      <c r="D27" s="2090" t="s">
        <v>1912</v>
      </c>
      <c r="E27" s="2090" t="str">
        <f>Translation!B$579</f>
        <v>Ja</v>
      </c>
      <c r="F27" s="1622">
        <v>17</v>
      </c>
      <c r="G27" s="2211">
        <v>1793.7716666666699</v>
      </c>
      <c r="H27" s="2212">
        <v>50.325000000000003</v>
      </c>
      <c r="I27" s="2212">
        <v>175.95500000000001</v>
      </c>
      <c r="J27" s="2212">
        <v>2721.1491666666702</v>
      </c>
      <c r="K27" s="2212">
        <v>840.72916666666697</v>
      </c>
      <c r="L27" s="2212">
        <v>538.72749999999996</v>
      </c>
      <c r="M27" s="2212">
        <v>810.27583333333303</v>
      </c>
      <c r="N27" s="2212">
        <v>885.30916666666701</v>
      </c>
      <c r="O27" s="2212">
        <v>124.720833333333</v>
      </c>
      <c r="P27" s="2212">
        <v>520.97583333333296</v>
      </c>
      <c r="Q27" s="2212">
        <v>223.259166666667</v>
      </c>
      <c r="R27" s="2212">
        <v>1004.43916666667</v>
      </c>
      <c r="S27" s="2212">
        <v>392.64583333333297</v>
      </c>
      <c r="T27" s="2212">
        <v>108.148333333333</v>
      </c>
      <c r="U27" s="2212">
        <v>102.29666666666699</v>
      </c>
      <c r="V27" s="2212">
        <v>1381.17</v>
      </c>
      <c r="W27" s="2212">
        <v>224.85749999999999</v>
      </c>
      <c r="X27" s="2212">
        <v>841.47916666666697</v>
      </c>
      <c r="Y27" s="2212">
        <v>447.13333333333298</v>
      </c>
      <c r="Z27" s="2212">
        <v>801.96333333333303</v>
      </c>
      <c r="AA27" s="2212">
        <v>863.53916666666703</v>
      </c>
      <c r="AB27" s="2212">
        <v>107.18583333333299</v>
      </c>
      <c r="AC27" s="2212">
        <v>1555.7916666666699</v>
      </c>
      <c r="AD27" s="2212">
        <v>920.44166666666695</v>
      </c>
      <c r="AE27" s="2212">
        <v>299.800833333333</v>
      </c>
      <c r="AF27" s="2213">
        <v>3169.3850000000002</v>
      </c>
      <c r="AH27" s="1829">
        <v>17</v>
      </c>
      <c r="AI27" s="2124">
        <f>Risk_Compensation!H34*(Risk_Compensation!AK34+CO$144)*12/1000000</f>
        <v>0</v>
      </c>
      <c r="AJ27" s="2121">
        <f>Risk_Compensation!I34*(Risk_Compensation!AL34+CP$144)*12/1000000</f>
        <v>0</v>
      </c>
      <c r="AK27" s="2121">
        <f>Risk_Compensation!J34*(Risk_Compensation!AM34+CQ$144)*12/1000000</f>
        <v>0</v>
      </c>
      <c r="AL27" s="2121">
        <f>Risk_Compensation!K34*(Risk_Compensation!AN34+CR$144)*12/1000000</f>
        <v>0</v>
      </c>
      <c r="AM27" s="2121">
        <f>Risk_Compensation!L34*(Risk_Compensation!AO34+CS$144)*12/1000000</f>
        <v>0</v>
      </c>
      <c r="AN27" s="2121">
        <f>Risk_Compensation!M34*(Risk_Compensation!AP34+CT$144)*12/1000000</f>
        <v>0</v>
      </c>
      <c r="AO27" s="2121">
        <f>Risk_Compensation!N34*(Risk_Compensation!AQ34+CU$144)*12/1000000</f>
        <v>0</v>
      </c>
      <c r="AP27" s="2121">
        <f>Risk_Compensation!O34*(Risk_Compensation!AR34+CV$144)*12/1000000</f>
        <v>0</v>
      </c>
      <c r="AQ27" s="2121">
        <f>Risk_Compensation!P34*(Risk_Compensation!AS34+CW$144)*12/1000000</f>
        <v>0</v>
      </c>
      <c r="AR27" s="2121">
        <f>Risk_Compensation!Q34*(Risk_Compensation!AT34+CX$144)*12/1000000</f>
        <v>0</v>
      </c>
      <c r="AS27" s="2121">
        <f>Risk_Compensation!R34*(Risk_Compensation!AU34+CY$144)*12/1000000</f>
        <v>0</v>
      </c>
      <c r="AT27" s="2121">
        <f>Risk_Compensation!S34*(Risk_Compensation!AV34+CZ$144)*12/1000000</f>
        <v>0</v>
      </c>
      <c r="AU27" s="2121">
        <f>Risk_Compensation!T34*(Risk_Compensation!AW34+DA$144)*12/1000000</f>
        <v>0</v>
      </c>
      <c r="AV27" s="2121">
        <f>Risk_Compensation!U34*(Risk_Compensation!AX34+DB$144)*12/1000000</f>
        <v>0</v>
      </c>
      <c r="AW27" s="2121">
        <f>Risk_Compensation!V34*(Risk_Compensation!AY34+DC$144)*12/1000000</f>
        <v>0</v>
      </c>
      <c r="AX27" s="2121">
        <f>Risk_Compensation!W34*(Risk_Compensation!AZ34+DD$144)*12/1000000</f>
        <v>0</v>
      </c>
      <c r="AY27" s="2121">
        <f>Risk_Compensation!X34*(Risk_Compensation!BA34+DE$144)*12/1000000</f>
        <v>0</v>
      </c>
      <c r="AZ27" s="2121">
        <f>Risk_Compensation!Y34*(Risk_Compensation!BB34+DF$144)*12/1000000</f>
        <v>0</v>
      </c>
      <c r="BA27" s="2121">
        <f>Risk_Compensation!Z34*(Risk_Compensation!BC34+DG$144)*12/1000000</f>
        <v>0</v>
      </c>
      <c r="BB27" s="2121">
        <f>Risk_Compensation!AA34*(Risk_Compensation!BD34+DH$144)*12/1000000</f>
        <v>0</v>
      </c>
      <c r="BC27" s="2121">
        <f>Risk_Compensation!AB34*(Risk_Compensation!BE34+DI$144)*12/1000000</f>
        <v>0</v>
      </c>
      <c r="BD27" s="2121">
        <f>Risk_Compensation!AC34*(Risk_Compensation!BF34+DJ$144)*12/1000000</f>
        <v>0</v>
      </c>
      <c r="BE27" s="2121">
        <f>Risk_Compensation!AD34*(Risk_Compensation!BG34+DK$144)*12/1000000</f>
        <v>0</v>
      </c>
      <c r="BF27" s="2121">
        <f>Risk_Compensation!AE34*(Risk_Compensation!BH34+DL$144)*12/1000000</f>
        <v>0</v>
      </c>
      <c r="BG27" s="2121">
        <f>Risk_Compensation!AF34*(Risk_Compensation!BI34+DM$144)*12/1000000</f>
        <v>0</v>
      </c>
      <c r="BH27" s="2125">
        <f>Risk_Compensation!AG34*(Risk_Compensation!BJ34+DN$144)*12/1000000</f>
        <v>0</v>
      </c>
      <c r="BI27" s="644"/>
      <c r="BJ27" s="1829">
        <v>17</v>
      </c>
      <c r="BK27" s="2138">
        <f>IF(G27&lt;=0,0,(Risk_Compensation!H34/G27-Risk_Compensation!H$79/G$72-0.5*CO$167*($CK27-CO$135/G$72))*G27)</f>
        <v>0</v>
      </c>
      <c r="BL27" s="2139">
        <f>IF(H27&lt;=0,0,(Risk_Compensation!I34/H27-Risk_Compensation!I$79/H$72-0.5*CP$167*($CK27-CP$135/H$72))*H27)</f>
        <v>0</v>
      </c>
      <c r="BM27" s="2139">
        <f>IF(I27&lt;=0,0,(Risk_Compensation!J34/I27-Risk_Compensation!J$79/I$72-0.5*CQ$167*($CK27-CQ$135/I$72))*I27)</f>
        <v>0</v>
      </c>
      <c r="BN27" s="2139">
        <f>IF(J27&lt;=0,0,(Risk_Compensation!K34/J27-Risk_Compensation!K$79/J$72-0.5*CR$167*($CK27-CR$135/J$72))*J27)</f>
        <v>0</v>
      </c>
      <c r="BO27" s="2139">
        <f>IF(K27&lt;=0,0,(Risk_Compensation!L34/K27-Risk_Compensation!L$79/K$72-0.5*CS$167*($CK27-CS$135/K$72))*K27)</f>
        <v>0</v>
      </c>
      <c r="BP27" s="2139">
        <f>IF(L27&lt;=0,0,(Risk_Compensation!M34/L27-Risk_Compensation!M$79/L$72-0.5*CT$167*($CK27-CT$135/L$72))*L27)</f>
        <v>0</v>
      </c>
      <c r="BQ27" s="2139">
        <f>IF(M27&lt;=0,0,(Risk_Compensation!N34/M27-Risk_Compensation!N$79/M$72-0.5*CU$167*($CK27-CU$135/M$72))*M27)</f>
        <v>0</v>
      </c>
      <c r="BR27" s="2139">
        <f>IF(N27&lt;=0,0,(Risk_Compensation!O34/N27-Risk_Compensation!O$79/N$72-0.5*CV$167*($CK27-CV$135/N$72))*N27)</f>
        <v>0</v>
      </c>
      <c r="BS27" s="2139">
        <f>IF(O27&lt;=0,0,(Risk_Compensation!P34/O27-Risk_Compensation!P$79/O$72-0.5*CW$167*($CK27-CW$135/O$72))*O27)</f>
        <v>0</v>
      </c>
      <c r="BT27" s="2139">
        <f>IF(P27&lt;=0,0,(Risk_Compensation!Q34/P27-Risk_Compensation!Q$79/P$72-0.5*CX$167*($CK27-CX$135/P$72))*P27)</f>
        <v>0</v>
      </c>
      <c r="BU27" s="2139">
        <f>IF(Q27&lt;=0,0,(Risk_Compensation!R34/Q27-Risk_Compensation!R$79/Q$72-0.5*CY$167*($CK27-CY$135/Q$72))*Q27)</f>
        <v>0</v>
      </c>
      <c r="BV27" s="2139">
        <f>IF(R27&lt;=0,0,(Risk_Compensation!S34/R27-Risk_Compensation!S$79/R$72-0.5*CZ$167*($CK27-CZ$135/R$72))*R27)</f>
        <v>0</v>
      </c>
      <c r="BW27" s="2139">
        <f>IF(S27&lt;=0,0,(Risk_Compensation!T34/S27-Risk_Compensation!T$79/S$72-0.5*DA$167*($CK27-DA$135/S$72))*S27)</f>
        <v>0</v>
      </c>
      <c r="BX27" s="2139">
        <f>IF(T27&lt;=0,0,(Risk_Compensation!U34/T27-Risk_Compensation!U$79/T$72-0.5*DB$167*($CK27-DB$135/T$72))*T27)</f>
        <v>0</v>
      </c>
      <c r="BY27" s="2139">
        <f>IF(U27&lt;=0,0,(Risk_Compensation!V34/U27-Risk_Compensation!V$79/U$72-0.5*DC$167*($CK27-DC$135/U$72))*U27)</f>
        <v>0</v>
      </c>
      <c r="BZ27" s="2139">
        <f>IF(V27&lt;=0,0,(Risk_Compensation!W34/V27-Risk_Compensation!W$79/V$72-0.5*DD$167*($CK27-DD$135/V$72))*V27)</f>
        <v>0</v>
      </c>
      <c r="CA27" s="2139">
        <f>IF(W27&lt;=0,0,(Risk_Compensation!X34/W27-Risk_Compensation!X$79/W$72-0.5*DE$167*($CK27-DE$135/W$72))*W27)</f>
        <v>0</v>
      </c>
      <c r="CB27" s="2139">
        <f>IF(X27&lt;=0,0,(Risk_Compensation!Y34/X27-Risk_Compensation!Y$79/X$72-0.5*DF$167*($CK27-DF$135/X$72))*X27)</f>
        <v>0</v>
      </c>
      <c r="CC27" s="2139">
        <f>IF(Y27&lt;=0,0,(Risk_Compensation!Z34/Y27-Risk_Compensation!Z$79/Y$72-0.5*DG$167*($CK27-DG$135/Y$72))*Y27)</f>
        <v>0</v>
      </c>
      <c r="CD27" s="2139">
        <f>IF(Z27&lt;=0,0,(Risk_Compensation!AA34/Z27-Risk_Compensation!AA$79/Z$72-0.5*DH$167*($CK27-DH$135/Z$72))*Z27)</f>
        <v>0</v>
      </c>
      <c r="CE27" s="2139">
        <f>IF(AA27&lt;=0,0,(Risk_Compensation!AB34/AA27-Risk_Compensation!AB$79/AA$72-0.5*DI$167*($CK27-DI$135/AA$72))*AA27)</f>
        <v>0</v>
      </c>
      <c r="CF27" s="2139">
        <f>IF(AB27&lt;=0,0,(Risk_Compensation!AC34/AB27-Risk_Compensation!AC$79/AB$72-0.5*DJ$167*($CK27-DJ$135/AB$72))*AB27)</f>
        <v>0</v>
      </c>
      <c r="CG27" s="2139">
        <f>IF(AC27&lt;=0,0,(Risk_Compensation!AD34/AC27-Risk_Compensation!AD$79/AC$72-0.5*DK$167*($CK27-DK$135/AC$72))*AC27)</f>
        <v>0</v>
      </c>
      <c r="CH27" s="2139">
        <f>IF(AD27&lt;=0,0,(Risk_Compensation!AE34/AD27-Risk_Compensation!AE$79/AD$72-0.5*DL$167*($CK27-DL$135/AD$72))*AD27)</f>
        <v>0</v>
      </c>
      <c r="CI27" s="2139">
        <f>IF(AE27&lt;=0,0,(Risk_Compensation!AF34/AE27-Risk_Compensation!AF$79/AE$72-0.5*DM$167*($CK27-DM$135/AE$72))*AE27)</f>
        <v>0</v>
      </c>
      <c r="CJ27" s="2140">
        <f>IF(AF27&lt;=0,0,(Risk_Compensation!AG34/AF27-Risk_Compensation!AG$79/AF$72-0.5*DN$167*($CK27-DN$135/AF$72))*AF27)</f>
        <v>0</v>
      </c>
      <c r="CK27" s="2166">
        <v>0</v>
      </c>
      <c r="CL27" s="644"/>
      <c r="CM27" s="1829">
        <v>17</v>
      </c>
      <c r="CN27" s="2149">
        <f t="shared" si="0"/>
        <v>0</v>
      </c>
      <c r="CO27" s="2150">
        <f t="shared" si="1"/>
        <v>0</v>
      </c>
      <c r="CP27" s="2150">
        <f t="shared" si="2"/>
        <v>0</v>
      </c>
      <c r="CQ27" s="2150">
        <f t="shared" si="3"/>
        <v>0</v>
      </c>
      <c r="CR27" s="2150">
        <f t="shared" si="4"/>
        <v>0</v>
      </c>
      <c r="CS27" s="2150">
        <f t="shared" si="5"/>
        <v>0</v>
      </c>
      <c r="CT27" s="2150">
        <f t="shared" si="6"/>
        <v>0</v>
      </c>
      <c r="CU27" s="2150">
        <f t="shared" si="7"/>
        <v>0</v>
      </c>
      <c r="CV27" s="2150">
        <f t="shared" si="8"/>
        <v>0</v>
      </c>
      <c r="CW27" s="2150">
        <f t="shared" si="9"/>
        <v>0</v>
      </c>
      <c r="CX27" s="2150">
        <f t="shared" si="10"/>
        <v>0</v>
      </c>
      <c r="CY27" s="2150">
        <f t="shared" si="11"/>
        <v>0</v>
      </c>
      <c r="CZ27" s="2150">
        <f t="shared" si="12"/>
        <v>0</v>
      </c>
      <c r="DA27" s="2150">
        <f t="shared" si="13"/>
        <v>0</v>
      </c>
      <c r="DB27" s="2150">
        <f t="shared" si="14"/>
        <v>0</v>
      </c>
      <c r="DC27" s="2150">
        <f t="shared" si="15"/>
        <v>0</v>
      </c>
      <c r="DD27" s="2150">
        <f t="shared" si="16"/>
        <v>0</v>
      </c>
      <c r="DE27" s="2150">
        <f t="shared" si="17"/>
        <v>0</v>
      </c>
      <c r="DF27" s="2150">
        <f t="shared" si="18"/>
        <v>0</v>
      </c>
      <c r="DG27" s="2150">
        <f t="shared" si="19"/>
        <v>0</v>
      </c>
      <c r="DH27" s="2150">
        <f t="shared" si="20"/>
        <v>0</v>
      </c>
      <c r="DI27" s="2150">
        <f t="shared" si="21"/>
        <v>0</v>
      </c>
      <c r="DJ27" s="2150">
        <f t="shared" si="22"/>
        <v>0</v>
      </c>
      <c r="DK27" s="2150">
        <f t="shared" si="23"/>
        <v>0</v>
      </c>
      <c r="DL27" s="2150">
        <f t="shared" si="24"/>
        <v>0</v>
      </c>
      <c r="DM27" s="2151">
        <f t="shared" si="25"/>
        <v>0</v>
      </c>
      <c r="DN27" s="644"/>
      <c r="DO27" s="1829">
        <v>17</v>
      </c>
      <c r="DP27" s="2211">
        <v>840.23269159656104</v>
      </c>
      <c r="DQ27" s="2212">
        <v>673.32211313467803</v>
      </c>
      <c r="DR27" s="2212">
        <v>716.79590679617797</v>
      </c>
      <c r="DS27" s="2212">
        <v>905.03764889008005</v>
      </c>
      <c r="DT27" s="2212">
        <v>873.34526790264295</v>
      </c>
      <c r="DU27" s="2212">
        <v>1064.61437583218</v>
      </c>
      <c r="DV27" s="2212">
        <v>923.42479178379403</v>
      </c>
      <c r="DW27" s="2212">
        <v>1413.4571589059999</v>
      </c>
      <c r="DX27" s="2212">
        <v>897.38463104692096</v>
      </c>
      <c r="DY27" s="2212">
        <v>813.07856140665399</v>
      </c>
      <c r="DZ27" s="2212">
        <v>941.22322174462897</v>
      </c>
      <c r="EA27" s="2212">
        <v>928.64810218183095</v>
      </c>
      <c r="EB27" s="2212">
        <v>1045.2432683406801</v>
      </c>
      <c r="EC27" s="2212">
        <v>897.862527631641</v>
      </c>
      <c r="ED27" s="2212">
        <v>688.23665666860802</v>
      </c>
      <c r="EE27" s="2212">
        <v>820.30390388726903</v>
      </c>
      <c r="EF27" s="2212">
        <v>834.89191838504701</v>
      </c>
      <c r="EG27" s="2212">
        <v>790.25243176074798</v>
      </c>
      <c r="EH27" s="2212">
        <v>710.22355643230196</v>
      </c>
      <c r="EI27" s="2212">
        <v>729.60796655520096</v>
      </c>
      <c r="EJ27" s="2212">
        <v>1176.3261075106</v>
      </c>
      <c r="EK27" s="2212">
        <v>595.49463599242301</v>
      </c>
      <c r="EL27" s="2212">
        <v>1256.75112386316</v>
      </c>
      <c r="EM27" s="2212">
        <v>1044.6137948563801</v>
      </c>
      <c r="EN27" s="2212">
        <v>649.974089548851</v>
      </c>
      <c r="EO27" s="2213">
        <v>984.11534885675599</v>
      </c>
      <c r="ER27" s="1829">
        <v>17</v>
      </c>
      <c r="ES27" s="1830">
        <v>1.92158271417108</v>
      </c>
      <c r="ET27" s="644"/>
      <c r="EU27" s="2156">
        <v>17</v>
      </c>
      <c r="EV27" s="2090" t="s">
        <v>1903</v>
      </c>
      <c r="EW27" s="2090" t="s">
        <v>1912</v>
      </c>
      <c r="EX27" s="2090" t="str">
        <f>Translation!B$579</f>
        <v>Ja</v>
      </c>
    </row>
    <row r="28" spans="2:154" ht="12.75" x14ac:dyDescent="0.2">
      <c r="B28" s="2090">
        <v>18</v>
      </c>
      <c r="C28" s="2090" t="s">
        <v>1903</v>
      </c>
      <c r="D28" s="2090" t="s">
        <v>1912</v>
      </c>
      <c r="E28" s="2090" t="str">
        <f>Translation!B$580</f>
        <v>Nein</v>
      </c>
      <c r="F28" s="1622">
        <v>18</v>
      </c>
      <c r="G28" s="2211">
        <v>21756.270833333299</v>
      </c>
      <c r="H28" s="2212">
        <v>584.95583333333298</v>
      </c>
      <c r="I28" s="2212">
        <v>1917.0650000000001</v>
      </c>
      <c r="J28" s="2212">
        <v>31651.392500000002</v>
      </c>
      <c r="K28" s="2212">
        <v>9199.9683333333305</v>
      </c>
      <c r="L28" s="2212">
        <v>5161.0649999999996</v>
      </c>
      <c r="M28" s="2212">
        <v>9240.0750000000007</v>
      </c>
      <c r="N28" s="2212">
        <v>11875.82</v>
      </c>
      <c r="O28" s="2212">
        <v>1323.9949999999999</v>
      </c>
      <c r="P28" s="2212">
        <v>6853.2633333333297</v>
      </c>
      <c r="Q28" s="2212">
        <v>2299.0374999999999</v>
      </c>
      <c r="R28" s="2212">
        <v>12584.48</v>
      </c>
      <c r="S28" s="2212">
        <v>4853.3950000000004</v>
      </c>
      <c r="T28" s="2212">
        <v>1646.7766666666701</v>
      </c>
      <c r="U28" s="2212">
        <v>1340.68333333333</v>
      </c>
      <c r="V28" s="2212">
        <v>15621.284166666699</v>
      </c>
      <c r="W28" s="2212">
        <v>2786.4308333333302</v>
      </c>
      <c r="X28" s="2212">
        <v>9371.2641666666696</v>
      </c>
      <c r="Y28" s="2212">
        <v>5779.2941666666702</v>
      </c>
      <c r="Z28" s="2212">
        <v>9244.1891666666706</v>
      </c>
      <c r="AA28" s="2212">
        <v>10886.7008333333</v>
      </c>
      <c r="AB28" s="2212">
        <v>1217.2233333333299</v>
      </c>
      <c r="AC28" s="2212">
        <v>20883.233333333301</v>
      </c>
      <c r="AD28" s="2212">
        <v>11048.3575</v>
      </c>
      <c r="AE28" s="2212">
        <v>4157.7924999999996</v>
      </c>
      <c r="AF28" s="2213">
        <v>40990.6175</v>
      </c>
      <c r="AH28" s="1829">
        <v>18</v>
      </c>
      <c r="AI28" s="2124">
        <f>Risk_Compensation!H35*(Risk_Compensation!AK35+CO$144)*12/1000000</f>
        <v>0</v>
      </c>
      <c r="AJ28" s="2121">
        <f>Risk_Compensation!I35*(Risk_Compensation!AL35+CP$144)*12/1000000</f>
        <v>0</v>
      </c>
      <c r="AK28" s="2121">
        <f>Risk_Compensation!J35*(Risk_Compensation!AM35+CQ$144)*12/1000000</f>
        <v>0</v>
      </c>
      <c r="AL28" s="2121">
        <f>Risk_Compensation!K35*(Risk_Compensation!AN35+CR$144)*12/1000000</f>
        <v>0</v>
      </c>
      <c r="AM28" s="2121">
        <f>Risk_Compensation!L35*(Risk_Compensation!AO35+CS$144)*12/1000000</f>
        <v>0</v>
      </c>
      <c r="AN28" s="2121">
        <f>Risk_Compensation!M35*(Risk_Compensation!AP35+CT$144)*12/1000000</f>
        <v>0</v>
      </c>
      <c r="AO28" s="2121">
        <f>Risk_Compensation!N35*(Risk_Compensation!AQ35+CU$144)*12/1000000</f>
        <v>0</v>
      </c>
      <c r="AP28" s="2121">
        <f>Risk_Compensation!O35*(Risk_Compensation!AR35+CV$144)*12/1000000</f>
        <v>0</v>
      </c>
      <c r="AQ28" s="2121">
        <f>Risk_Compensation!P35*(Risk_Compensation!AS35+CW$144)*12/1000000</f>
        <v>0</v>
      </c>
      <c r="AR28" s="2121">
        <f>Risk_Compensation!Q35*(Risk_Compensation!AT35+CX$144)*12/1000000</f>
        <v>0</v>
      </c>
      <c r="AS28" s="2121">
        <f>Risk_Compensation!R35*(Risk_Compensation!AU35+CY$144)*12/1000000</f>
        <v>0</v>
      </c>
      <c r="AT28" s="2121">
        <f>Risk_Compensation!S35*(Risk_Compensation!AV35+CZ$144)*12/1000000</f>
        <v>0</v>
      </c>
      <c r="AU28" s="2121">
        <f>Risk_Compensation!T35*(Risk_Compensation!AW35+DA$144)*12/1000000</f>
        <v>0</v>
      </c>
      <c r="AV28" s="2121">
        <f>Risk_Compensation!U35*(Risk_Compensation!AX35+DB$144)*12/1000000</f>
        <v>0</v>
      </c>
      <c r="AW28" s="2121">
        <f>Risk_Compensation!V35*(Risk_Compensation!AY35+DC$144)*12/1000000</f>
        <v>0</v>
      </c>
      <c r="AX28" s="2121">
        <f>Risk_Compensation!W35*(Risk_Compensation!AZ35+DD$144)*12/1000000</f>
        <v>0</v>
      </c>
      <c r="AY28" s="2121">
        <f>Risk_Compensation!X35*(Risk_Compensation!BA35+DE$144)*12/1000000</f>
        <v>0</v>
      </c>
      <c r="AZ28" s="2121">
        <f>Risk_Compensation!Y35*(Risk_Compensation!BB35+DF$144)*12/1000000</f>
        <v>0</v>
      </c>
      <c r="BA28" s="2121">
        <f>Risk_Compensation!Z35*(Risk_Compensation!BC35+DG$144)*12/1000000</f>
        <v>0</v>
      </c>
      <c r="BB28" s="2121">
        <f>Risk_Compensation!AA35*(Risk_Compensation!BD35+DH$144)*12/1000000</f>
        <v>0</v>
      </c>
      <c r="BC28" s="2121">
        <f>Risk_Compensation!AB35*(Risk_Compensation!BE35+DI$144)*12/1000000</f>
        <v>0</v>
      </c>
      <c r="BD28" s="2121">
        <f>Risk_Compensation!AC35*(Risk_Compensation!BF35+DJ$144)*12/1000000</f>
        <v>0</v>
      </c>
      <c r="BE28" s="2121">
        <f>Risk_Compensation!AD35*(Risk_Compensation!BG35+DK$144)*12/1000000</f>
        <v>0</v>
      </c>
      <c r="BF28" s="2121">
        <f>Risk_Compensation!AE35*(Risk_Compensation!BH35+DL$144)*12/1000000</f>
        <v>0</v>
      </c>
      <c r="BG28" s="2121">
        <f>Risk_Compensation!AF35*(Risk_Compensation!BI35+DM$144)*12/1000000</f>
        <v>0</v>
      </c>
      <c r="BH28" s="2125">
        <f>Risk_Compensation!AG35*(Risk_Compensation!BJ35+DN$144)*12/1000000</f>
        <v>0</v>
      </c>
      <c r="BI28" s="644"/>
      <c r="BJ28" s="1829">
        <v>18</v>
      </c>
      <c r="BK28" s="2138">
        <f>IF(G28&lt;=0,0,(Risk_Compensation!H35/G28-Risk_Compensation!H$79/G$72-0.5*CO$167*($CK28-CO$135/G$72))*G28)</f>
        <v>0</v>
      </c>
      <c r="BL28" s="2139">
        <f>IF(H28&lt;=0,0,(Risk_Compensation!I35/H28-Risk_Compensation!I$79/H$72-0.5*CP$167*($CK28-CP$135/H$72))*H28)</f>
        <v>0</v>
      </c>
      <c r="BM28" s="2139">
        <f>IF(I28&lt;=0,0,(Risk_Compensation!J35/I28-Risk_Compensation!J$79/I$72-0.5*CQ$167*($CK28-CQ$135/I$72))*I28)</f>
        <v>0</v>
      </c>
      <c r="BN28" s="2139">
        <f>IF(J28&lt;=0,0,(Risk_Compensation!K35/J28-Risk_Compensation!K$79/J$72-0.5*CR$167*($CK28-CR$135/J$72))*J28)</f>
        <v>0</v>
      </c>
      <c r="BO28" s="2139">
        <f>IF(K28&lt;=0,0,(Risk_Compensation!L35/K28-Risk_Compensation!L$79/K$72-0.5*CS$167*($CK28-CS$135/K$72))*K28)</f>
        <v>0</v>
      </c>
      <c r="BP28" s="2139">
        <f>IF(L28&lt;=0,0,(Risk_Compensation!M35/L28-Risk_Compensation!M$79/L$72-0.5*CT$167*($CK28-CT$135/L$72))*L28)</f>
        <v>0</v>
      </c>
      <c r="BQ28" s="2139">
        <f>IF(M28&lt;=0,0,(Risk_Compensation!N35/M28-Risk_Compensation!N$79/M$72-0.5*CU$167*($CK28-CU$135/M$72))*M28)</f>
        <v>0</v>
      </c>
      <c r="BR28" s="2139">
        <f>IF(N28&lt;=0,0,(Risk_Compensation!O35/N28-Risk_Compensation!O$79/N$72-0.5*CV$167*($CK28-CV$135/N$72))*N28)</f>
        <v>0</v>
      </c>
      <c r="BS28" s="2139">
        <f>IF(O28&lt;=0,0,(Risk_Compensation!P35/O28-Risk_Compensation!P$79/O$72-0.5*CW$167*($CK28-CW$135/O$72))*O28)</f>
        <v>0</v>
      </c>
      <c r="BT28" s="2139">
        <f>IF(P28&lt;=0,0,(Risk_Compensation!Q35/P28-Risk_Compensation!Q$79/P$72-0.5*CX$167*($CK28-CX$135/P$72))*P28)</f>
        <v>0</v>
      </c>
      <c r="BU28" s="2139">
        <f>IF(Q28&lt;=0,0,(Risk_Compensation!R35/Q28-Risk_Compensation!R$79/Q$72-0.5*CY$167*($CK28-CY$135/Q$72))*Q28)</f>
        <v>0</v>
      </c>
      <c r="BV28" s="2139">
        <f>IF(R28&lt;=0,0,(Risk_Compensation!S35/R28-Risk_Compensation!S$79/R$72-0.5*CZ$167*($CK28-CZ$135/R$72))*R28)</f>
        <v>0</v>
      </c>
      <c r="BW28" s="2139">
        <f>IF(S28&lt;=0,0,(Risk_Compensation!T35/S28-Risk_Compensation!T$79/S$72-0.5*DA$167*($CK28-DA$135/S$72))*S28)</f>
        <v>0</v>
      </c>
      <c r="BX28" s="2139">
        <f>IF(T28&lt;=0,0,(Risk_Compensation!U35/T28-Risk_Compensation!U$79/T$72-0.5*DB$167*($CK28-DB$135/T$72))*T28)</f>
        <v>0</v>
      </c>
      <c r="BY28" s="2139">
        <f>IF(U28&lt;=0,0,(Risk_Compensation!V35/U28-Risk_Compensation!V$79/U$72-0.5*DC$167*($CK28-DC$135/U$72))*U28)</f>
        <v>0</v>
      </c>
      <c r="BZ28" s="2139">
        <f>IF(V28&lt;=0,0,(Risk_Compensation!W35/V28-Risk_Compensation!W$79/V$72-0.5*DD$167*($CK28-DD$135/V$72))*V28)</f>
        <v>0</v>
      </c>
      <c r="CA28" s="2139">
        <f>IF(W28&lt;=0,0,(Risk_Compensation!X35/W28-Risk_Compensation!X$79/W$72-0.5*DE$167*($CK28-DE$135/W$72))*W28)</f>
        <v>0</v>
      </c>
      <c r="CB28" s="2139">
        <f>IF(X28&lt;=0,0,(Risk_Compensation!Y35/X28-Risk_Compensation!Y$79/X$72-0.5*DF$167*($CK28-DF$135/X$72))*X28)</f>
        <v>0</v>
      </c>
      <c r="CC28" s="2139">
        <f>IF(Y28&lt;=0,0,(Risk_Compensation!Z35/Y28-Risk_Compensation!Z$79/Y$72-0.5*DG$167*($CK28-DG$135/Y$72))*Y28)</f>
        <v>0</v>
      </c>
      <c r="CD28" s="2139">
        <f>IF(Z28&lt;=0,0,(Risk_Compensation!AA35/Z28-Risk_Compensation!AA$79/Z$72-0.5*DH$167*($CK28-DH$135/Z$72))*Z28)</f>
        <v>0</v>
      </c>
      <c r="CE28" s="2139">
        <f>IF(AA28&lt;=0,0,(Risk_Compensation!AB35/AA28-Risk_Compensation!AB$79/AA$72-0.5*DI$167*($CK28-DI$135/AA$72))*AA28)</f>
        <v>0</v>
      </c>
      <c r="CF28" s="2139">
        <f>IF(AB28&lt;=0,0,(Risk_Compensation!AC35/AB28-Risk_Compensation!AC$79/AB$72-0.5*DJ$167*($CK28-DJ$135/AB$72))*AB28)</f>
        <v>0</v>
      </c>
      <c r="CG28" s="2139">
        <f>IF(AC28&lt;=0,0,(Risk_Compensation!AD35/AC28-Risk_Compensation!AD$79/AC$72-0.5*DK$167*($CK28-DK$135/AC$72))*AC28)</f>
        <v>0</v>
      </c>
      <c r="CH28" s="2139">
        <f>IF(AD28&lt;=0,0,(Risk_Compensation!AE35/AD28-Risk_Compensation!AE$79/AD$72-0.5*DL$167*($CK28-DL$135/AD$72))*AD28)</f>
        <v>0</v>
      </c>
      <c r="CI28" s="2139">
        <f>IF(AE28&lt;=0,0,(Risk_Compensation!AF35/AE28-Risk_Compensation!AF$79/AE$72-0.5*DM$167*($CK28-DM$135/AE$72))*AE28)</f>
        <v>0</v>
      </c>
      <c r="CJ28" s="2140">
        <f>IF(AF28&lt;=0,0,(Risk_Compensation!AG35/AF28-Risk_Compensation!AG$79/AF$72-0.5*DN$167*($CK28-DN$135/AF$72))*AF28)</f>
        <v>0</v>
      </c>
      <c r="CK28" s="2166">
        <v>0</v>
      </c>
      <c r="CL28" s="644"/>
      <c r="CM28" s="1829">
        <v>18</v>
      </c>
      <c r="CN28" s="2149">
        <f t="shared" si="0"/>
        <v>0</v>
      </c>
      <c r="CO28" s="2150">
        <f t="shared" si="1"/>
        <v>0</v>
      </c>
      <c r="CP28" s="2150">
        <f t="shared" si="2"/>
        <v>0</v>
      </c>
      <c r="CQ28" s="2150">
        <f t="shared" si="3"/>
        <v>0</v>
      </c>
      <c r="CR28" s="2150">
        <f t="shared" si="4"/>
        <v>0</v>
      </c>
      <c r="CS28" s="2150">
        <f t="shared" si="5"/>
        <v>0</v>
      </c>
      <c r="CT28" s="2150">
        <f t="shared" si="6"/>
        <v>0</v>
      </c>
      <c r="CU28" s="2150">
        <f t="shared" si="7"/>
        <v>0</v>
      </c>
      <c r="CV28" s="2150">
        <f t="shared" si="8"/>
        <v>0</v>
      </c>
      <c r="CW28" s="2150">
        <f t="shared" si="9"/>
        <v>0</v>
      </c>
      <c r="CX28" s="2150">
        <f t="shared" si="10"/>
        <v>0</v>
      </c>
      <c r="CY28" s="2150">
        <f t="shared" si="11"/>
        <v>0</v>
      </c>
      <c r="CZ28" s="2150">
        <f t="shared" si="12"/>
        <v>0</v>
      </c>
      <c r="DA28" s="2150">
        <f t="shared" si="13"/>
        <v>0</v>
      </c>
      <c r="DB28" s="2150">
        <f t="shared" si="14"/>
        <v>0</v>
      </c>
      <c r="DC28" s="2150">
        <f t="shared" si="15"/>
        <v>0</v>
      </c>
      <c r="DD28" s="2150">
        <f t="shared" si="16"/>
        <v>0</v>
      </c>
      <c r="DE28" s="2150">
        <f t="shared" si="17"/>
        <v>0</v>
      </c>
      <c r="DF28" s="2150">
        <f t="shared" si="18"/>
        <v>0</v>
      </c>
      <c r="DG28" s="2150">
        <f t="shared" si="19"/>
        <v>0</v>
      </c>
      <c r="DH28" s="2150">
        <f t="shared" si="20"/>
        <v>0</v>
      </c>
      <c r="DI28" s="2150">
        <f t="shared" si="21"/>
        <v>0</v>
      </c>
      <c r="DJ28" s="2150">
        <f t="shared" si="22"/>
        <v>0</v>
      </c>
      <c r="DK28" s="2150">
        <f t="shared" si="23"/>
        <v>0</v>
      </c>
      <c r="DL28" s="2150">
        <f t="shared" si="24"/>
        <v>0</v>
      </c>
      <c r="DM28" s="2151">
        <f t="shared" si="25"/>
        <v>0</v>
      </c>
      <c r="DN28" s="644"/>
      <c r="DO28" s="1829">
        <v>18</v>
      </c>
      <c r="DP28" s="2211">
        <v>196.12948085890301</v>
      </c>
      <c r="DQ28" s="2212">
        <v>166.376544434545</v>
      </c>
      <c r="DR28" s="2212">
        <v>183.761102626911</v>
      </c>
      <c r="DS28" s="2212">
        <v>208.16680542122899</v>
      </c>
      <c r="DT28" s="2212">
        <v>207.73157855617899</v>
      </c>
      <c r="DU28" s="2212">
        <v>233.58605000081801</v>
      </c>
      <c r="DV28" s="2212">
        <v>209.127105621011</v>
      </c>
      <c r="DW28" s="2212">
        <v>296.45249131235198</v>
      </c>
      <c r="DX28" s="2212">
        <v>134.95645341349899</v>
      </c>
      <c r="DY28" s="2212">
        <v>181.58514436432699</v>
      </c>
      <c r="DZ28" s="2212">
        <v>183.72631457144101</v>
      </c>
      <c r="EA28" s="2212">
        <v>185.076037503675</v>
      </c>
      <c r="EB28" s="2212">
        <v>208.24484349004999</v>
      </c>
      <c r="EC28" s="2212">
        <v>137.77125988264899</v>
      </c>
      <c r="ED28" s="2212">
        <v>158.66508806607001</v>
      </c>
      <c r="EE28" s="2212">
        <v>172.30949848252999</v>
      </c>
      <c r="EF28" s="2212">
        <v>174.704326673379</v>
      </c>
      <c r="EG28" s="2212">
        <v>218.58268662549401</v>
      </c>
      <c r="EH28" s="2212">
        <v>199.08145083295301</v>
      </c>
      <c r="EI28" s="2212">
        <v>185.612269429354</v>
      </c>
      <c r="EJ28" s="2212">
        <v>225.344658983068</v>
      </c>
      <c r="EK28" s="2212">
        <v>168.614664625703</v>
      </c>
      <c r="EL28" s="2212">
        <v>235.01035862471301</v>
      </c>
      <c r="EM28" s="2212">
        <v>202.30220139962</v>
      </c>
      <c r="EN28" s="2212">
        <v>164.37404338934999</v>
      </c>
      <c r="EO28" s="2213">
        <v>212.52202305786699</v>
      </c>
      <c r="ER28" s="1829">
        <v>18</v>
      </c>
      <c r="ES28" s="1830">
        <v>2.7864252370878799</v>
      </c>
      <c r="ET28" s="644"/>
      <c r="EU28" s="2156">
        <v>18</v>
      </c>
      <c r="EV28" s="2090" t="s">
        <v>1903</v>
      </c>
      <c r="EW28" s="2090" t="s">
        <v>1912</v>
      </c>
      <c r="EX28" s="2090" t="str">
        <f>Translation!B$580</f>
        <v>Nein</v>
      </c>
    </row>
    <row r="29" spans="2:154" ht="12.75" x14ac:dyDescent="0.2">
      <c r="B29" s="2090">
        <v>19</v>
      </c>
      <c r="C29" s="2090" t="s">
        <v>1903</v>
      </c>
      <c r="D29" s="2090" t="s">
        <v>1913</v>
      </c>
      <c r="E29" s="2090" t="str">
        <f>Translation!B$579</f>
        <v>Ja</v>
      </c>
      <c r="F29" s="1622">
        <v>19</v>
      </c>
      <c r="G29" s="2211">
        <v>1922.31416666667</v>
      </c>
      <c r="H29" s="2212">
        <v>50.445833333333297</v>
      </c>
      <c r="I29" s="2212">
        <v>195.39666666666699</v>
      </c>
      <c r="J29" s="2212">
        <v>3126.7224999999999</v>
      </c>
      <c r="K29" s="2212">
        <v>886.62166666666701</v>
      </c>
      <c r="L29" s="2212">
        <v>547.01666666666699</v>
      </c>
      <c r="M29" s="2212">
        <v>860.46833333333302</v>
      </c>
      <c r="N29" s="2212">
        <v>877.76250000000005</v>
      </c>
      <c r="O29" s="2212">
        <v>140.338333333333</v>
      </c>
      <c r="P29" s="2212">
        <v>679.58749999999998</v>
      </c>
      <c r="Q29" s="2212">
        <v>241.618333333333</v>
      </c>
      <c r="R29" s="2212">
        <v>1074.93916666667</v>
      </c>
      <c r="S29" s="2212">
        <v>445.54666666666702</v>
      </c>
      <c r="T29" s="2212">
        <v>110.15</v>
      </c>
      <c r="U29" s="2212">
        <v>114.8075</v>
      </c>
      <c r="V29" s="2212">
        <v>1351.03833333333</v>
      </c>
      <c r="W29" s="2212">
        <v>246.58500000000001</v>
      </c>
      <c r="X29" s="2212">
        <v>896.64916666666704</v>
      </c>
      <c r="Y29" s="2212">
        <v>464.84333333333302</v>
      </c>
      <c r="Z29" s="2212">
        <v>909.54750000000001</v>
      </c>
      <c r="AA29" s="2212">
        <v>1022.25583333333</v>
      </c>
      <c r="AB29" s="2212">
        <v>118.54666666666699</v>
      </c>
      <c r="AC29" s="2212">
        <v>1647.54</v>
      </c>
      <c r="AD29" s="2212">
        <v>967.85416666666697</v>
      </c>
      <c r="AE29" s="2212">
        <v>265.21499999999997</v>
      </c>
      <c r="AF29" s="2213">
        <v>3232.55666666667</v>
      </c>
      <c r="AH29" s="1829">
        <v>19</v>
      </c>
      <c r="AI29" s="2124">
        <f>Risk_Compensation!H36*(Risk_Compensation!AK36+CO$144)*12/1000000</f>
        <v>0</v>
      </c>
      <c r="AJ29" s="2121">
        <f>Risk_Compensation!I36*(Risk_Compensation!AL36+CP$144)*12/1000000</f>
        <v>0</v>
      </c>
      <c r="AK29" s="2121">
        <f>Risk_Compensation!J36*(Risk_Compensation!AM36+CQ$144)*12/1000000</f>
        <v>0</v>
      </c>
      <c r="AL29" s="2121">
        <f>Risk_Compensation!K36*(Risk_Compensation!AN36+CR$144)*12/1000000</f>
        <v>0</v>
      </c>
      <c r="AM29" s="2121">
        <f>Risk_Compensation!L36*(Risk_Compensation!AO36+CS$144)*12/1000000</f>
        <v>0</v>
      </c>
      <c r="AN29" s="2121">
        <f>Risk_Compensation!M36*(Risk_Compensation!AP36+CT$144)*12/1000000</f>
        <v>0</v>
      </c>
      <c r="AO29" s="2121">
        <f>Risk_Compensation!N36*(Risk_Compensation!AQ36+CU$144)*12/1000000</f>
        <v>0</v>
      </c>
      <c r="AP29" s="2121">
        <f>Risk_Compensation!O36*(Risk_Compensation!AR36+CV$144)*12/1000000</f>
        <v>0</v>
      </c>
      <c r="AQ29" s="2121">
        <f>Risk_Compensation!P36*(Risk_Compensation!AS36+CW$144)*12/1000000</f>
        <v>0</v>
      </c>
      <c r="AR29" s="2121">
        <f>Risk_Compensation!Q36*(Risk_Compensation!AT36+CX$144)*12/1000000</f>
        <v>0</v>
      </c>
      <c r="AS29" s="2121">
        <f>Risk_Compensation!R36*(Risk_Compensation!AU36+CY$144)*12/1000000</f>
        <v>0</v>
      </c>
      <c r="AT29" s="2121">
        <f>Risk_Compensation!S36*(Risk_Compensation!AV36+CZ$144)*12/1000000</f>
        <v>0</v>
      </c>
      <c r="AU29" s="2121">
        <f>Risk_Compensation!T36*(Risk_Compensation!AW36+DA$144)*12/1000000</f>
        <v>0</v>
      </c>
      <c r="AV29" s="2121">
        <f>Risk_Compensation!U36*(Risk_Compensation!AX36+DB$144)*12/1000000</f>
        <v>0</v>
      </c>
      <c r="AW29" s="2121">
        <f>Risk_Compensation!V36*(Risk_Compensation!AY36+DC$144)*12/1000000</f>
        <v>0</v>
      </c>
      <c r="AX29" s="2121">
        <f>Risk_Compensation!W36*(Risk_Compensation!AZ36+DD$144)*12/1000000</f>
        <v>0</v>
      </c>
      <c r="AY29" s="2121">
        <f>Risk_Compensation!X36*(Risk_Compensation!BA36+DE$144)*12/1000000</f>
        <v>0</v>
      </c>
      <c r="AZ29" s="2121">
        <f>Risk_Compensation!Y36*(Risk_Compensation!BB36+DF$144)*12/1000000</f>
        <v>0</v>
      </c>
      <c r="BA29" s="2121">
        <f>Risk_Compensation!Z36*(Risk_Compensation!BC36+DG$144)*12/1000000</f>
        <v>0</v>
      </c>
      <c r="BB29" s="2121">
        <f>Risk_Compensation!AA36*(Risk_Compensation!BD36+DH$144)*12/1000000</f>
        <v>0</v>
      </c>
      <c r="BC29" s="2121">
        <f>Risk_Compensation!AB36*(Risk_Compensation!BE36+DI$144)*12/1000000</f>
        <v>0</v>
      </c>
      <c r="BD29" s="2121">
        <f>Risk_Compensation!AC36*(Risk_Compensation!BF36+DJ$144)*12/1000000</f>
        <v>0</v>
      </c>
      <c r="BE29" s="2121">
        <f>Risk_Compensation!AD36*(Risk_Compensation!BG36+DK$144)*12/1000000</f>
        <v>0</v>
      </c>
      <c r="BF29" s="2121">
        <f>Risk_Compensation!AE36*(Risk_Compensation!BH36+DL$144)*12/1000000</f>
        <v>0</v>
      </c>
      <c r="BG29" s="2121">
        <f>Risk_Compensation!AF36*(Risk_Compensation!BI36+DM$144)*12/1000000</f>
        <v>0</v>
      </c>
      <c r="BH29" s="2125">
        <f>Risk_Compensation!AG36*(Risk_Compensation!BJ36+DN$144)*12/1000000</f>
        <v>0</v>
      </c>
      <c r="BI29" s="644"/>
      <c r="BJ29" s="1829">
        <v>19</v>
      </c>
      <c r="BK29" s="2138">
        <f>IF(G29&lt;=0,0,(Risk_Compensation!H36/G29-Risk_Compensation!H$79/G$72-0.5*CO$167*($CK29-CO$135/G$72))*G29)</f>
        <v>0</v>
      </c>
      <c r="BL29" s="2139">
        <f>IF(H29&lt;=0,0,(Risk_Compensation!I36/H29-Risk_Compensation!I$79/H$72-0.5*CP$167*($CK29-CP$135/H$72))*H29)</f>
        <v>0</v>
      </c>
      <c r="BM29" s="2139">
        <f>IF(I29&lt;=0,0,(Risk_Compensation!J36/I29-Risk_Compensation!J$79/I$72-0.5*CQ$167*($CK29-CQ$135/I$72))*I29)</f>
        <v>0</v>
      </c>
      <c r="BN29" s="2139">
        <f>IF(J29&lt;=0,0,(Risk_Compensation!K36/J29-Risk_Compensation!K$79/J$72-0.5*CR$167*($CK29-CR$135/J$72))*J29)</f>
        <v>0</v>
      </c>
      <c r="BO29" s="2139">
        <f>IF(K29&lt;=0,0,(Risk_Compensation!L36/K29-Risk_Compensation!L$79/K$72-0.5*CS$167*($CK29-CS$135/K$72))*K29)</f>
        <v>0</v>
      </c>
      <c r="BP29" s="2139">
        <f>IF(L29&lt;=0,0,(Risk_Compensation!M36/L29-Risk_Compensation!M$79/L$72-0.5*CT$167*($CK29-CT$135/L$72))*L29)</f>
        <v>0</v>
      </c>
      <c r="BQ29" s="2139">
        <f>IF(M29&lt;=0,0,(Risk_Compensation!N36/M29-Risk_Compensation!N$79/M$72-0.5*CU$167*($CK29-CU$135/M$72))*M29)</f>
        <v>0</v>
      </c>
      <c r="BR29" s="2139">
        <f>IF(N29&lt;=0,0,(Risk_Compensation!O36/N29-Risk_Compensation!O$79/N$72-0.5*CV$167*($CK29-CV$135/N$72))*N29)</f>
        <v>0</v>
      </c>
      <c r="BS29" s="2139">
        <f>IF(O29&lt;=0,0,(Risk_Compensation!P36/O29-Risk_Compensation!P$79/O$72-0.5*CW$167*($CK29-CW$135/O$72))*O29)</f>
        <v>0</v>
      </c>
      <c r="BT29" s="2139">
        <f>IF(P29&lt;=0,0,(Risk_Compensation!Q36/P29-Risk_Compensation!Q$79/P$72-0.5*CX$167*($CK29-CX$135/P$72))*P29)</f>
        <v>0</v>
      </c>
      <c r="BU29" s="2139">
        <f>IF(Q29&lt;=0,0,(Risk_Compensation!R36/Q29-Risk_Compensation!R$79/Q$72-0.5*CY$167*($CK29-CY$135/Q$72))*Q29)</f>
        <v>0</v>
      </c>
      <c r="BV29" s="2139">
        <f>IF(R29&lt;=0,0,(Risk_Compensation!S36/R29-Risk_Compensation!S$79/R$72-0.5*CZ$167*($CK29-CZ$135/R$72))*R29)</f>
        <v>0</v>
      </c>
      <c r="BW29" s="2139">
        <f>IF(S29&lt;=0,0,(Risk_Compensation!T36/S29-Risk_Compensation!T$79/S$72-0.5*DA$167*($CK29-DA$135/S$72))*S29)</f>
        <v>0</v>
      </c>
      <c r="BX29" s="2139">
        <f>IF(T29&lt;=0,0,(Risk_Compensation!U36/T29-Risk_Compensation!U$79/T$72-0.5*DB$167*($CK29-DB$135/T$72))*T29)</f>
        <v>0</v>
      </c>
      <c r="BY29" s="2139">
        <f>IF(U29&lt;=0,0,(Risk_Compensation!V36/U29-Risk_Compensation!V$79/U$72-0.5*DC$167*($CK29-DC$135/U$72))*U29)</f>
        <v>0</v>
      </c>
      <c r="BZ29" s="2139">
        <f>IF(V29&lt;=0,0,(Risk_Compensation!W36/V29-Risk_Compensation!W$79/V$72-0.5*DD$167*($CK29-DD$135/V$72))*V29)</f>
        <v>0</v>
      </c>
      <c r="CA29" s="2139">
        <f>IF(W29&lt;=0,0,(Risk_Compensation!X36/W29-Risk_Compensation!X$79/W$72-0.5*DE$167*($CK29-DE$135/W$72))*W29)</f>
        <v>0</v>
      </c>
      <c r="CB29" s="2139">
        <f>IF(X29&lt;=0,0,(Risk_Compensation!Y36/X29-Risk_Compensation!Y$79/X$72-0.5*DF$167*($CK29-DF$135/X$72))*X29)</f>
        <v>0</v>
      </c>
      <c r="CC29" s="2139">
        <f>IF(Y29&lt;=0,0,(Risk_Compensation!Z36/Y29-Risk_Compensation!Z$79/Y$72-0.5*DG$167*($CK29-DG$135/Y$72))*Y29)</f>
        <v>0</v>
      </c>
      <c r="CD29" s="2139">
        <f>IF(Z29&lt;=0,0,(Risk_Compensation!AA36/Z29-Risk_Compensation!AA$79/Z$72-0.5*DH$167*($CK29-DH$135/Z$72))*Z29)</f>
        <v>0</v>
      </c>
      <c r="CE29" s="2139">
        <f>IF(AA29&lt;=0,0,(Risk_Compensation!AB36/AA29-Risk_Compensation!AB$79/AA$72-0.5*DI$167*($CK29-DI$135/AA$72))*AA29)</f>
        <v>0</v>
      </c>
      <c r="CF29" s="2139">
        <f>IF(AB29&lt;=0,0,(Risk_Compensation!AC36/AB29-Risk_Compensation!AC$79/AB$72-0.5*DJ$167*($CK29-DJ$135/AB$72))*AB29)</f>
        <v>0</v>
      </c>
      <c r="CG29" s="2139">
        <f>IF(AC29&lt;=0,0,(Risk_Compensation!AD36/AC29-Risk_Compensation!AD$79/AC$72-0.5*DK$167*($CK29-DK$135/AC$72))*AC29)</f>
        <v>0</v>
      </c>
      <c r="CH29" s="2139">
        <f>IF(AD29&lt;=0,0,(Risk_Compensation!AE36/AD29-Risk_Compensation!AE$79/AD$72-0.5*DL$167*($CK29-DL$135/AD$72))*AD29)</f>
        <v>0</v>
      </c>
      <c r="CI29" s="2139">
        <f>IF(AE29&lt;=0,0,(Risk_Compensation!AF36/AE29-Risk_Compensation!AF$79/AE$72-0.5*DM$167*($CK29-DM$135/AE$72))*AE29)</f>
        <v>0</v>
      </c>
      <c r="CJ29" s="2140">
        <f>IF(AF29&lt;=0,0,(Risk_Compensation!AG36/AF29-Risk_Compensation!AG$79/AF$72-0.5*DN$167*($CK29-DN$135/AF$72))*AF29)</f>
        <v>0</v>
      </c>
      <c r="CK29" s="2166">
        <v>0</v>
      </c>
      <c r="CL29" s="644"/>
      <c r="CM29" s="1829">
        <v>19</v>
      </c>
      <c r="CN29" s="2149">
        <f t="shared" si="0"/>
        <v>0</v>
      </c>
      <c r="CO29" s="2150">
        <f t="shared" si="1"/>
        <v>0</v>
      </c>
      <c r="CP29" s="2150">
        <f t="shared" si="2"/>
        <v>0</v>
      </c>
      <c r="CQ29" s="2150">
        <f t="shared" si="3"/>
        <v>0</v>
      </c>
      <c r="CR29" s="2150">
        <f t="shared" si="4"/>
        <v>0</v>
      </c>
      <c r="CS29" s="2150">
        <f t="shared" si="5"/>
        <v>0</v>
      </c>
      <c r="CT29" s="2150">
        <f t="shared" si="6"/>
        <v>0</v>
      </c>
      <c r="CU29" s="2150">
        <f t="shared" si="7"/>
        <v>0</v>
      </c>
      <c r="CV29" s="2150">
        <f t="shared" si="8"/>
        <v>0</v>
      </c>
      <c r="CW29" s="2150">
        <f t="shared" si="9"/>
        <v>0</v>
      </c>
      <c r="CX29" s="2150">
        <f t="shared" si="10"/>
        <v>0</v>
      </c>
      <c r="CY29" s="2150">
        <f t="shared" si="11"/>
        <v>0</v>
      </c>
      <c r="CZ29" s="2150">
        <f t="shared" si="12"/>
        <v>0</v>
      </c>
      <c r="DA29" s="2150">
        <f t="shared" si="13"/>
        <v>0</v>
      </c>
      <c r="DB29" s="2150">
        <f t="shared" si="14"/>
        <v>0</v>
      </c>
      <c r="DC29" s="2150">
        <f t="shared" si="15"/>
        <v>0</v>
      </c>
      <c r="DD29" s="2150">
        <f t="shared" si="16"/>
        <v>0</v>
      </c>
      <c r="DE29" s="2150">
        <f t="shared" si="17"/>
        <v>0</v>
      </c>
      <c r="DF29" s="2150">
        <f t="shared" si="18"/>
        <v>0</v>
      </c>
      <c r="DG29" s="2150">
        <f t="shared" si="19"/>
        <v>0</v>
      </c>
      <c r="DH29" s="2150">
        <f t="shared" si="20"/>
        <v>0</v>
      </c>
      <c r="DI29" s="2150">
        <f t="shared" si="21"/>
        <v>0</v>
      </c>
      <c r="DJ29" s="2150">
        <f t="shared" si="22"/>
        <v>0</v>
      </c>
      <c r="DK29" s="2150">
        <f t="shared" si="23"/>
        <v>0</v>
      </c>
      <c r="DL29" s="2150">
        <f t="shared" si="24"/>
        <v>0</v>
      </c>
      <c r="DM29" s="2151">
        <f t="shared" si="25"/>
        <v>0</v>
      </c>
      <c r="DN29" s="644"/>
      <c r="DO29" s="1829">
        <v>19</v>
      </c>
      <c r="DP29" s="2211">
        <v>1011.35258738354</v>
      </c>
      <c r="DQ29" s="2212">
        <v>1179.2675758815701</v>
      </c>
      <c r="DR29" s="2212">
        <v>989.22775456018496</v>
      </c>
      <c r="DS29" s="2212">
        <v>1064.3090306068</v>
      </c>
      <c r="DT29" s="2212">
        <v>1041.87727098904</v>
      </c>
      <c r="DU29" s="2212">
        <v>1507.3874838998599</v>
      </c>
      <c r="DV29" s="2212">
        <v>1182.7728353154901</v>
      </c>
      <c r="DW29" s="2212">
        <v>1525.62802177972</v>
      </c>
      <c r="DX29" s="2212">
        <v>695.703492374539</v>
      </c>
      <c r="DY29" s="2212">
        <v>851.42785954907504</v>
      </c>
      <c r="DZ29" s="2212">
        <v>998.19909963890302</v>
      </c>
      <c r="EA29" s="2212">
        <v>916.49255379062595</v>
      </c>
      <c r="EB29" s="2212">
        <v>1453.7387361408</v>
      </c>
      <c r="EC29" s="2212">
        <v>909.04717748383496</v>
      </c>
      <c r="ED29" s="2212">
        <v>459.04032059535302</v>
      </c>
      <c r="EE29" s="2212">
        <v>858.64027520258696</v>
      </c>
      <c r="EF29" s="2212">
        <v>845.03028502599796</v>
      </c>
      <c r="EG29" s="2212">
        <v>1054.2737152048201</v>
      </c>
      <c r="EH29" s="2212">
        <v>873.26010736628598</v>
      </c>
      <c r="EI29" s="2212">
        <v>891.11969160843705</v>
      </c>
      <c r="EJ29" s="2212">
        <v>1123.19944420409</v>
      </c>
      <c r="EK29" s="2212">
        <v>1137.66052596856</v>
      </c>
      <c r="EL29" s="2212">
        <v>1438.9717606025199</v>
      </c>
      <c r="EM29" s="2212">
        <v>888.36529735909505</v>
      </c>
      <c r="EN29" s="2212">
        <v>747.59777249144497</v>
      </c>
      <c r="EO29" s="2213">
        <v>1062.0069428182301</v>
      </c>
      <c r="ER29" s="1829">
        <v>19</v>
      </c>
      <c r="ES29" s="1830">
        <v>1.76431489124712</v>
      </c>
      <c r="ET29" s="644"/>
      <c r="EU29" s="2156">
        <v>19</v>
      </c>
      <c r="EV29" s="2090" t="s">
        <v>1903</v>
      </c>
      <c r="EW29" s="2090" t="s">
        <v>1913</v>
      </c>
      <c r="EX29" s="2090" t="str">
        <f>Translation!B$579</f>
        <v>Ja</v>
      </c>
    </row>
    <row r="30" spans="2:154" ht="12.75" x14ac:dyDescent="0.2">
      <c r="B30" s="2090">
        <v>20</v>
      </c>
      <c r="C30" s="2090" t="s">
        <v>1903</v>
      </c>
      <c r="D30" s="2090" t="s">
        <v>1913</v>
      </c>
      <c r="E30" s="2090" t="str">
        <f>Translation!B$580</f>
        <v>Nein</v>
      </c>
      <c r="F30" s="1622">
        <v>20</v>
      </c>
      <c r="G30" s="2211">
        <v>16784.852500000001</v>
      </c>
      <c r="H30" s="2212">
        <v>443.185</v>
      </c>
      <c r="I30" s="2212">
        <v>1508.4</v>
      </c>
      <c r="J30" s="2212">
        <v>25898.551666666699</v>
      </c>
      <c r="K30" s="2212">
        <v>7092.5050000000001</v>
      </c>
      <c r="L30" s="2212">
        <v>4003.3483333333302</v>
      </c>
      <c r="M30" s="2212">
        <v>7015.5441666666702</v>
      </c>
      <c r="N30" s="2212">
        <v>8191.8924999999999</v>
      </c>
      <c r="O30" s="2212">
        <v>1139.0308333333301</v>
      </c>
      <c r="P30" s="2212">
        <v>5558.7683333333298</v>
      </c>
      <c r="Q30" s="2212">
        <v>1881.8658333333301</v>
      </c>
      <c r="R30" s="2212">
        <v>9753.7250000000004</v>
      </c>
      <c r="S30" s="2212">
        <v>3679.4949999999999</v>
      </c>
      <c r="T30" s="2212">
        <v>1336.94166666667</v>
      </c>
      <c r="U30" s="2212">
        <v>1050.09666666667</v>
      </c>
      <c r="V30" s="2212">
        <v>12104.1558333333</v>
      </c>
      <c r="W30" s="2212">
        <v>2139.665</v>
      </c>
      <c r="X30" s="2212">
        <v>7357.51</v>
      </c>
      <c r="Y30" s="2212">
        <v>4263.6116666666703</v>
      </c>
      <c r="Z30" s="2212">
        <v>7236.8</v>
      </c>
      <c r="AA30" s="2212">
        <v>8530.9549999999999</v>
      </c>
      <c r="AB30" s="2212">
        <v>1045.2916666666699</v>
      </c>
      <c r="AC30" s="2212">
        <v>15055.455</v>
      </c>
      <c r="AD30" s="2212">
        <v>8539.7341666666707</v>
      </c>
      <c r="AE30" s="2212">
        <v>2956.11</v>
      </c>
      <c r="AF30" s="2213">
        <v>30068.981666666699</v>
      </c>
      <c r="AH30" s="1829">
        <v>20</v>
      </c>
      <c r="AI30" s="2124">
        <f>Risk_Compensation!H37*(Risk_Compensation!AK37+CO$144)*12/1000000</f>
        <v>0</v>
      </c>
      <c r="AJ30" s="2121">
        <f>Risk_Compensation!I37*(Risk_Compensation!AL37+CP$144)*12/1000000</f>
        <v>0</v>
      </c>
      <c r="AK30" s="2121">
        <f>Risk_Compensation!J37*(Risk_Compensation!AM37+CQ$144)*12/1000000</f>
        <v>0</v>
      </c>
      <c r="AL30" s="2121">
        <f>Risk_Compensation!K37*(Risk_Compensation!AN37+CR$144)*12/1000000</f>
        <v>0</v>
      </c>
      <c r="AM30" s="2121">
        <f>Risk_Compensation!L37*(Risk_Compensation!AO37+CS$144)*12/1000000</f>
        <v>0</v>
      </c>
      <c r="AN30" s="2121">
        <f>Risk_Compensation!M37*(Risk_Compensation!AP37+CT$144)*12/1000000</f>
        <v>0</v>
      </c>
      <c r="AO30" s="2121">
        <f>Risk_Compensation!N37*(Risk_Compensation!AQ37+CU$144)*12/1000000</f>
        <v>0</v>
      </c>
      <c r="AP30" s="2121">
        <f>Risk_Compensation!O37*(Risk_Compensation!AR37+CV$144)*12/1000000</f>
        <v>0</v>
      </c>
      <c r="AQ30" s="2121">
        <f>Risk_Compensation!P37*(Risk_Compensation!AS37+CW$144)*12/1000000</f>
        <v>0</v>
      </c>
      <c r="AR30" s="2121">
        <f>Risk_Compensation!Q37*(Risk_Compensation!AT37+CX$144)*12/1000000</f>
        <v>0</v>
      </c>
      <c r="AS30" s="2121">
        <f>Risk_Compensation!R37*(Risk_Compensation!AU37+CY$144)*12/1000000</f>
        <v>0</v>
      </c>
      <c r="AT30" s="2121">
        <f>Risk_Compensation!S37*(Risk_Compensation!AV37+CZ$144)*12/1000000</f>
        <v>0</v>
      </c>
      <c r="AU30" s="2121">
        <f>Risk_Compensation!T37*(Risk_Compensation!AW37+DA$144)*12/1000000</f>
        <v>0</v>
      </c>
      <c r="AV30" s="2121">
        <f>Risk_Compensation!U37*(Risk_Compensation!AX37+DB$144)*12/1000000</f>
        <v>0</v>
      </c>
      <c r="AW30" s="2121">
        <f>Risk_Compensation!V37*(Risk_Compensation!AY37+DC$144)*12/1000000</f>
        <v>0</v>
      </c>
      <c r="AX30" s="2121">
        <f>Risk_Compensation!W37*(Risk_Compensation!AZ37+DD$144)*12/1000000</f>
        <v>0</v>
      </c>
      <c r="AY30" s="2121">
        <f>Risk_Compensation!X37*(Risk_Compensation!BA37+DE$144)*12/1000000</f>
        <v>0</v>
      </c>
      <c r="AZ30" s="2121">
        <f>Risk_Compensation!Y37*(Risk_Compensation!BB37+DF$144)*12/1000000</f>
        <v>0</v>
      </c>
      <c r="BA30" s="2121">
        <f>Risk_Compensation!Z37*(Risk_Compensation!BC37+DG$144)*12/1000000</f>
        <v>0</v>
      </c>
      <c r="BB30" s="2121">
        <f>Risk_Compensation!AA37*(Risk_Compensation!BD37+DH$144)*12/1000000</f>
        <v>0</v>
      </c>
      <c r="BC30" s="2121">
        <f>Risk_Compensation!AB37*(Risk_Compensation!BE37+DI$144)*12/1000000</f>
        <v>0</v>
      </c>
      <c r="BD30" s="2121">
        <f>Risk_Compensation!AC37*(Risk_Compensation!BF37+DJ$144)*12/1000000</f>
        <v>0</v>
      </c>
      <c r="BE30" s="2121">
        <f>Risk_Compensation!AD37*(Risk_Compensation!BG37+DK$144)*12/1000000</f>
        <v>0</v>
      </c>
      <c r="BF30" s="2121">
        <f>Risk_Compensation!AE37*(Risk_Compensation!BH37+DL$144)*12/1000000</f>
        <v>0</v>
      </c>
      <c r="BG30" s="2121">
        <f>Risk_Compensation!AF37*(Risk_Compensation!BI37+DM$144)*12/1000000</f>
        <v>0</v>
      </c>
      <c r="BH30" s="2125">
        <f>Risk_Compensation!AG37*(Risk_Compensation!BJ37+DN$144)*12/1000000</f>
        <v>0</v>
      </c>
      <c r="BI30" s="644"/>
      <c r="BJ30" s="1829">
        <v>20</v>
      </c>
      <c r="BK30" s="2138">
        <f>IF(G30&lt;=0,0,(Risk_Compensation!H37/G30-Risk_Compensation!H$79/G$72-0.5*CO$167*($CK30-CO$135/G$72))*G30)</f>
        <v>0</v>
      </c>
      <c r="BL30" s="2139">
        <f>IF(H30&lt;=0,0,(Risk_Compensation!I37/H30-Risk_Compensation!I$79/H$72-0.5*CP$167*($CK30-CP$135/H$72))*H30)</f>
        <v>0</v>
      </c>
      <c r="BM30" s="2139">
        <f>IF(I30&lt;=0,0,(Risk_Compensation!J37/I30-Risk_Compensation!J$79/I$72-0.5*CQ$167*($CK30-CQ$135/I$72))*I30)</f>
        <v>0</v>
      </c>
      <c r="BN30" s="2139">
        <f>IF(J30&lt;=0,0,(Risk_Compensation!K37/J30-Risk_Compensation!K$79/J$72-0.5*CR$167*($CK30-CR$135/J$72))*J30)</f>
        <v>0</v>
      </c>
      <c r="BO30" s="2139">
        <f>IF(K30&lt;=0,0,(Risk_Compensation!L37/K30-Risk_Compensation!L$79/K$72-0.5*CS$167*($CK30-CS$135/K$72))*K30)</f>
        <v>0</v>
      </c>
      <c r="BP30" s="2139">
        <f>IF(L30&lt;=0,0,(Risk_Compensation!M37/L30-Risk_Compensation!M$79/L$72-0.5*CT$167*($CK30-CT$135/L$72))*L30)</f>
        <v>0</v>
      </c>
      <c r="BQ30" s="2139">
        <f>IF(M30&lt;=0,0,(Risk_Compensation!N37/M30-Risk_Compensation!N$79/M$72-0.5*CU$167*($CK30-CU$135/M$72))*M30)</f>
        <v>0</v>
      </c>
      <c r="BR30" s="2139">
        <f>IF(N30&lt;=0,0,(Risk_Compensation!O37/N30-Risk_Compensation!O$79/N$72-0.5*CV$167*($CK30-CV$135/N$72))*N30)</f>
        <v>0</v>
      </c>
      <c r="BS30" s="2139">
        <f>IF(O30&lt;=0,0,(Risk_Compensation!P37/O30-Risk_Compensation!P$79/O$72-0.5*CW$167*($CK30-CW$135/O$72))*O30)</f>
        <v>0</v>
      </c>
      <c r="BT30" s="2139">
        <f>IF(P30&lt;=0,0,(Risk_Compensation!Q37/P30-Risk_Compensation!Q$79/P$72-0.5*CX$167*($CK30-CX$135/P$72))*P30)</f>
        <v>0</v>
      </c>
      <c r="BU30" s="2139">
        <f>IF(Q30&lt;=0,0,(Risk_Compensation!R37/Q30-Risk_Compensation!R$79/Q$72-0.5*CY$167*($CK30-CY$135/Q$72))*Q30)</f>
        <v>0</v>
      </c>
      <c r="BV30" s="2139">
        <f>IF(R30&lt;=0,0,(Risk_Compensation!S37/R30-Risk_Compensation!S$79/R$72-0.5*CZ$167*($CK30-CZ$135/R$72))*R30)</f>
        <v>0</v>
      </c>
      <c r="BW30" s="2139">
        <f>IF(S30&lt;=0,0,(Risk_Compensation!T37/S30-Risk_Compensation!T$79/S$72-0.5*DA$167*($CK30-DA$135/S$72))*S30)</f>
        <v>0</v>
      </c>
      <c r="BX30" s="2139">
        <f>IF(T30&lt;=0,0,(Risk_Compensation!U37/T30-Risk_Compensation!U$79/T$72-0.5*DB$167*($CK30-DB$135/T$72))*T30)</f>
        <v>0</v>
      </c>
      <c r="BY30" s="2139">
        <f>IF(U30&lt;=0,0,(Risk_Compensation!V37/U30-Risk_Compensation!V$79/U$72-0.5*DC$167*($CK30-DC$135/U$72))*U30)</f>
        <v>0</v>
      </c>
      <c r="BZ30" s="2139">
        <f>IF(V30&lt;=0,0,(Risk_Compensation!W37/V30-Risk_Compensation!W$79/V$72-0.5*DD$167*($CK30-DD$135/V$72))*V30)</f>
        <v>0</v>
      </c>
      <c r="CA30" s="2139">
        <f>IF(W30&lt;=0,0,(Risk_Compensation!X37/W30-Risk_Compensation!X$79/W$72-0.5*DE$167*($CK30-DE$135/W$72))*W30)</f>
        <v>0</v>
      </c>
      <c r="CB30" s="2139">
        <f>IF(X30&lt;=0,0,(Risk_Compensation!Y37/X30-Risk_Compensation!Y$79/X$72-0.5*DF$167*($CK30-DF$135/X$72))*X30)</f>
        <v>0</v>
      </c>
      <c r="CC30" s="2139">
        <f>IF(Y30&lt;=0,0,(Risk_Compensation!Z37/Y30-Risk_Compensation!Z$79/Y$72-0.5*DG$167*($CK30-DG$135/Y$72))*Y30)</f>
        <v>0</v>
      </c>
      <c r="CD30" s="2139">
        <f>IF(Z30&lt;=0,0,(Risk_Compensation!AA37/Z30-Risk_Compensation!AA$79/Z$72-0.5*DH$167*($CK30-DH$135/Z$72))*Z30)</f>
        <v>0</v>
      </c>
      <c r="CE30" s="2139">
        <f>IF(AA30&lt;=0,0,(Risk_Compensation!AB37/AA30-Risk_Compensation!AB$79/AA$72-0.5*DI$167*($CK30-DI$135/AA$72))*AA30)</f>
        <v>0</v>
      </c>
      <c r="CF30" s="2139">
        <f>IF(AB30&lt;=0,0,(Risk_Compensation!AC37/AB30-Risk_Compensation!AC$79/AB$72-0.5*DJ$167*($CK30-DJ$135/AB$72))*AB30)</f>
        <v>0</v>
      </c>
      <c r="CG30" s="2139">
        <f>IF(AC30&lt;=0,0,(Risk_Compensation!AD37/AC30-Risk_Compensation!AD$79/AC$72-0.5*DK$167*($CK30-DK$135/AC$72))*AC30)</f>
        <v>0</v>
      </c>
      <c r="CH30" s="2139">
        <f>IF(AD30&lt;=0,0,(Risk_Compensation!AE37/AD30-Risk_Compensation!AE$79/AD$72-0.5*DL$167*($CK30-DL$135/AD$72))*AD30)</f>
        <v>0</v>
      </c>
      <c r="CI30" s="2139">
        <f>IF(AE30&lt;=0,0,(Risk_Compensation!AF37/AE30-Risk_Compensation!AF$79/AE$72-0.5*DM$167*($CK30-DM$135/AE$72))*AE30)</f>
        <v>0</v>
      </c>
      <c r="CJ30" s="2140">
        <f>IF(AF30&lt;=0,0,(Risk_Compensation!AG37/AF30-Risk_Compensation!AG$79/AF$72-0.5*DN$167*($CK30-DN$135/AF$72))*AF30)</f>
        <v>0</v>
      </c>
      <c r="CK30" s="2166">
        <v>0</v>
      </c>
      <c r="CL30" s="644"/>
      <c r="CM30" s="1829">
        <v>20</v>
      </c>
      <c r="CN30" s="2149">
        <f t="shared" si="0"/>
        <v>0</v>
      </c>
      <c r="CO30" s="2150">
        <f t="shared" si="1"/>
        <v>0</v>
      </c>
      <c r="CP30" s="2150">
        <f t="shared" si="2"/>
        <v>0</v>
      </c>
      <c r="CQ30" s="2150">
        <f t="shared" si="3"/>
        <v>0</v>
      </c>
      <c r="CR30" s="2150">
        <f t="shared" si="4"/>
        <v>0</v>
      </c>
      <c r="CS30" s="2150">
        <f t="shared" si="5"/>
        <v>0</v>
      </c>
      <c r="CT30" s="2150">
        <f t="shared" si="6"/>
        <v>0</v>
      </c>
      <c r="CU30" s="2150">
        <f t="shared" si="7"/>
        <v>0</v>
      </c>
      <c r="CV30" s="2150">
        <f t="shared" si="8"/>
        <v>0</v>
      </c>
      <c r="CW30" s="2150">
        <f t="shared" si="9"/>
        <v>0</v>
      </c>
      <c r="CX30" s="2150">
        <f t="shared" si="10"/>
        <v>0</v>
      </c>
      <c r="CY30" s="2150">
        <f t="shared" si="11"/>
        <v>0</v>
      </c>
      <c r="CZ30" s="2150">
        <f t="shared" si="12"/>
        <v>0</v>
      </c>
      <c r="DA30" s="2150">
        <f t="shared" si="13"/>
        <v>0</v>
      </c>
      <c r="DB30" s="2150">
        <f t="shared" si="14"/>
        <v>0</v>
      </c>
      <c r="DC30" s="2150">
        <f t="shared" si="15"/>
        <v>0</v>
      </c>
      <c r="DD30" s="2150">
        <f t="shared" si="16"/>
        <v>0</v>
      </c>
      <c r="DE30" s="2150">
        <f t="shared" si="17"/>
        <v>0</v>
      </c>
      <c r="DF30" s="2150">
        <f t="shared" si="18"/>
        <v>0</v>
      </c>
      <c r="DG30" s="2150">
        <f t="shared" si="19"/>
        <v>0</v>
      </c>
      <c r="DH30" s="2150">
        <f t="shared" si="20"/>
        <v>0</v>
      </c>
      <c r="DI30" s="2150">
        <f t="shared" si="21"/>
        <v>0</v>
      </c>
      <c r="DJ30" s="2150">
        <f t="shared" si="22"/>
        <v>0</v>
      </c>
      <c r="DK30" s="2150">
        <f t="shared" si="23"/>
        <v>0</v>
      </c>
      <c r="DL30" s="2150">
        <f t="shared" si="24"/>
        <v>0</v>
      </c>
      <c r="DM30" s="2151">
        <f t="shared" si="25"/>
        <v>0</v>
      </c>
      <c r="DN30" s="644"/>
      <c r="DO30" s="1829">
        <v>20</v>
      </c>
      <c r="DP30" s="2211">
        <v>278.90537448293799</v>
      </c>
      <c r="DQ30" s="2212">
        <v>174.08638390071701</v>
      </c>
      <c r="DR30" s="2212">
        <v>297.84898437749501</v>
      </c>
      <c r="DS30" s="2212">
        <v>274.26113202375802</v>
      </c>
      <c r="DT30" s="2212">
        <v>281.32246804597099</v>
      </c>
      <c r="DU30" s="2212">
        <v>298.42899447761198</v>
      </c>
      <c r="DV30" s="2212">
        <v>285.08740700392298</v>
      </c>
      <c r="DW30" s="2212">
        <v>398.33076841743599</v>
      </c>
      <c r="DX30" s="2212">
        <v>209.11257122587901</v>
      </c>
      <c r="DY30" s="2212">
        <v>216.66106645988</v>
      </c>
      <c r="DZ30" s="2212">
        <v>240.02540687495099</v>
      </c>
      <c r="EA30" s="2212">
        <v>245.29640854649699</v>
      </c>
      <c r="EB30" s="2212">
        <v>297.64814943055001</v>
      </c>
      <c r="EC30" s="2212">
        <v>266.48502442532902</v>
      </c>
      <c r="ED30" s="2212">
        <v>186.05596043456001</v>
      </c>
      <c r="EE30" s="2212">
        <v>250.84977717480999</v>
      </c>
      <c r="EF30" s="2212">
        <v>232.99030451723601</v>
      </c>
      <c r="EG30" s="2212">
        <v>268.11892059377698</v>
      </c>
      <c r="EH30" s="2212">
        <v>278.04101392106298</v>
      </c>
      <c r="EI30" s="2212">
        <v>262.503237956357</v>
      </c>
      <c r="EJ30" s="2212">
        <v>313.16363060709102</v>
      </c>
      <c r="EK30" s="2212">
        <v>188.649571343232</v>
      </c>
      <c r="EL30" s="2212">
        <v>345.97670847844302</v>
      </c>
      <c r="EM30" s="2212">
        <v>270.92550049133399</v>
      </c>
      <c r="EN30" s="2212">
        <v>235.22968702255301</v>
      </c>
      <c r="EO30" s="2213">
        <v>284.96489826076203</v>
      </c>
      <c r="ER30" s="1829">
        <v>20</v>
      </c>
      <c r="ES30" s="1830">
        <v>2.4913027028491301</v>
      </c>
      <c r="ET30" s="644"/>
      <c r="EU30" s="2156">
        <v>20</v>
      </c>
      <c r="EV30" s="2090" t="s">
        <v>1903</v>
      </c>
      <c r="EW30" s="2090" t="s">
        <v>1913</v>
      </c>
      <c r="EX30" s="2090" t="str">
        <f>Translation!B$580</f>
        <v>Nein</v>
      </c>
    </row>
    <row r="31" spans="2:154" ht="12.75" x14ac:dyDescent="0.2">
      <c r="B31" s="2090">
        <v>21</v>
      </c>
      <c r="C31" s="2090" t="s">
        <v>1903</v>
      </c>
      <c r="D31" s="2090" t="s">
        <v>1914</v>
      </c>
      <c r="E31" s="2090" t="str">
        <f>Translation!B$579</f>
        <v>Ja</v>
      </c>
      <c r="F31" s="1622">
        <v>21</v>
      </c>
      <c r="G31" s="2211">
        <v>2145.6116666666699</v>
      </c>
      <c r="H31" s="2212">
        <v>41.930833333333297</v>
      </c>
      <c r="I31" s="2212">
        <v>198.15416666666701</v>
      </c>
      <c r="J31" s="2212">
        <v>3478.7075</v>
      </c>
      <c r="K31" s="2212">
        <v>1032.76166666667</v>
      </c>
      <c r="L31" s="2212">
        <v>614.85833333333301</v>
      </c>
      <c r="M31" s="2212">
        <v>980.425833333333</v>
      </c>
      <c r="N31" s="2212">
        <v>957.16</v>
      </c>
      <c r="O31" s="2212">
        <v>170.54499999999999</v>
      </c>
      <c r="P31" s="2212">
        <v>729.0625</v>
      </c>
      <c r="Q31" s="2212">
        <v>271.91500000000002</v>
      </c>
      <c r="R31" s="2212">
        <v>1135.1383333333299</v>
      </c>
      <c r="S31" s="2212">
        <v>466.57</v>
      </c>
      <c r="T31" s="2212">
        <v>147</v>
      </c>
      <c r="U31" s="2212">
        <v>136.21666666666701</v>
      </c>
      <c r="V31" s="2212">
        <v>1545.5558333333299</v>
      </c>
      <c r="W31" s="2212">
        <v>293.76666666666699</v>
      </c>
      <c r="X31" s="2212">
        <v>971.54166666666697</v>
      </c>
      <c r="Y31" s="2212">
        <v>495.25583333333299</v>
      </c>
      <c r="Z31" s="2212">
        <v>913.90499999999997</v>
      </c>
      <c r="AA31" s="2212">
        <v>1157.70583333333</v>
      </c>
      <c r="AB31" s="2212">
        <v>145.54333333333301</v>
      </c>
      <c r="AC31" s="2212">
        <v>1907.0525</v>
      </c>
      <c r="AD31" s="2212">
        <v>1197.1125</v>
      </c>
      <c r="AE31" s="2212">
        <v>303.74916666666701</v>
      </c>
      <c r="AF31" s="2213">
        <v>3787.4108333333302</v>
      </c>
      <c r="AH31" s="1829">
        <v>21</v>
      </c>
      <c r="AI31" s="2124">
        <f>Risk_Compensation!H38*(Risk_Compensation!AK38+CO$144)*12/1000000</f>
        <v>0</v>
      </c>
      <c r="AJ31" s="2121">
        <f>Risk_Compensation!I38*(Risk_Compensation!AL38+CP$144)*12/1000000</f>
        <v>0</v>
      </c>
      <c r="AK31" s="2121">
        <f>Risk_Compensation!J38*(Risk_Compensation!AM38+CQ$144)*12/1000000</f>
        <v>0</v>
      </c>
      <c r="AL31" s="2121">
        <f>Risk_Compensation!K38*(Risk_Compensation!AN38+CR$144)*12/1000000</f>
        <v>0</v>
      </c>
      <c r="AM31" s="2121">
        <f>Risk_Compensation!L38*(Risk_Compensation!AO38+CS$144)*12/1000000</f>
        <v>0</v>
      </c>
      <c r="AN31" s="2121">
        <f>Risk_Compensation!M38*(Risk_Compensation!AP38+CT$144)*12/1000000</f>
        <v>0</v>
      </c>
      <c r="AO31" s="2121">
        <f>Risk_Compensation!N38*(Risk_Compensation!AQ38+CU$144)*12/1000000</f>
        <v>0</v>
      </c>
      <c r="AP31" s="2121">
        <f>Risk_Compensation!O38*(Risk_Compensation!AR38+CV$144)*12/1000000</f>
        <v>0</v>
      </c>
      <c r="AQ31" s="2121">
        <f>Risk_Compensation!P38*(Risk_Compensation!AS38+CW$144)*12/1000000</f>
        <v>0</v>
      </c>
      <c r="AR31" s="2121">
        <f>Risk_Compensation!Q38*(Risk_Compensation!AT38+CX$144)*12/1000000</f>
        <v>0</v>
      </c>
      <c r="AS31" s="2121">
        <f>Risk_Compensation!R38*(Risk_Compensation!AU38+CY$144)*12/1000000</f>
        <v>0</v>
      </c>
      <c r="AT31" s="2121">
        <f>Risk_Compensation!S38*(Risk_Compensation!AV38+CZ$144)*12/1000000</f>
        <v>0</v>
      </c>
      <c r="AU31" s="2121">
        <f>Risk_Compensation!T38*(Risk_Compensation!AW38+DA$144)*12/1000000</f>
        <v>0</v>
      </c>
      <c r="AV31" s="2121">
        <f>Risk_Compensation!U38*(Risk_Compensation!AX38+DB$144)*12/1000000</f>
        <v>0</v>
      </c>
      <c r="AW31" s="2121">
        <f>Risk_Compensation!V38*(Risk_Compensation!AY38+DC$144)*12/1000000</f>
        <v>0</v>
      </c>
      <c r="AX31" s="2121">
        <f>Risk_Compensation!W38*(Risk_Compensation!AZ38+DD$144)*12/1000000</f>
        <v>0</v>
      </c>
      <c r="AY31" s="2121">
        <f>Risk_Compensation!X38*(Risk_Compensation!BA38+DE$144)*12/1000000</f>
        <v>0</v>
      </c>
      <c r="AZ31" s="2121">
        <f>Risk_Compensation!Y38*(Risk_Compensation!BB38+DF$144)*12/1000000</f>
        <v>0</v>
      </c>
      <c r="BA31" s="2121">
        <f>Risk_Compensation!Z38*(Risk_Compensation!BC38+DG$144)*12/1000000</f>
        <v>0</v>
      </c>
      <c r="BB31" s="2121">
        <f>Risk_Compensation!AA38*(Risk_Compensation!BD38+DH$144)*12/1000000</f>
        <v>0</v>
      </c>
      <c r="BC31" s="2121">
        <f>Risk_Compensation!AB38*(Risk_Compensation!BE38+DI$144)*12/1000000</f>
        <v>0</v>
      </c>
      <c r="BD31" s="2121">
        <f>Risk_Compensation!AC38*(Risk_Compensation!BF38+DJ$144)*12/1000000</f>
        <v>0</v>
      </c>
      <c r="BE31" s="2121">
        <f>Risk_Compensation!AD38*(Risk_Compensation!BG38+DK$144)*12/1000000</f>
        <v>0</v>
      </c>
      <c r="BF31" s="2121">
        <f>Risk_Compensation!AE38*(Risk_Compensation!BH38+DL$144)*12/1000000</f>
        <v>0</v>
      </c>
      <c r="BG31" s="2121">
        <f>Risk_Compensation!AF38*(Risk_Compensation!BI38+DM$144)*12/1000000</f>
        <v>0</v>
      </c>
      <c r="BH31" s="2125">
        <f>Risk_Compensation!AG38*(Risk_Compensation!BJ38+DN$144)*12/1000000</f>
        <v>0</v>
      </c>
      <c r="BI31" s="644"/>
      <c r="BJ31" s="1829">
        <v>21</v>
      </c>
      <c r="BK31" s="2138">
        <f>IF(G31&lt;=0,0,(Risk_Compensation!H38/G31-Risk_Compensation!H$79/G$72-0.5*CO$167*($CK31-CO$135/G$72))*G31)</f>
        <v>0</v>
      </c>
      <c r="BL31" s="2139">
        <f>IF(H31&lt;=0,0,(Risk_Compensation!I38/H31-Risk_Compensation!I$79/H$72-0.5*CP$167*($CK31-CP$135/H$72))*H31)</f>
        <v>0</v>
      </c>
      <c r="BM31" s="2139">
        <f>IF(I31&lt;=0,0,(Risk_Compensation!J38/I31-Risk_Compensation!J$79/I$72-0.5*CQ$167*($CK31-CQ$135/I$72))*I31)</f>
        <v>0</v>
      </c>
      <c r="BN31" s="2139">
        <f>IF(J31&lt;=0,0,(Risk_Compensation!K38/J31-Risk_Compensation!K$79/J$72-0.5*CR$167*($CK31-CR$135/J$72))*J31)</f>
        <v>0</v>
      </c>
      <c r="BO31" s="2139">
        <f>IF(K31&lt;=0,0,(Risk_Compensation!L38/K31-Risk_Compensation!L$79/K$72-0.5*CS$167*($CK31-CS$135/K$72))*K31)</f>
        <v>0</v>
      </c>
      <c r="BP31" s="2139">
        <f>IF(L31&lt;=0,0,(Risk_Compensation!M38/L31-Risk_Compensation!M$79/L$72-0.5*CT$167*($CK31-CT$135/L$72))*L31)</f>
        <v>0</v>
      </c>
      <c r="BQ31" s="2139">
        <f>IF(M31&lt;=0,0,(Risk_Compensation!N38/M31-Risk_Compensation!N$79/M$72-0.5*CU$167*($CK31-CU$135/M$72))*M31)</f>
        <v>0</v>
      </c>
      <c r="BR31" s="2139">
        <f>IF(N31&lt;=0,0,(Risk_Compensation!O38/N31-Risk_Compensation!O$79/N$72-0.5*CV$167*($CK31-CV$135/N$72))*N31)</f>
        <v>0</v>
      </c>
      <c r="BS31" s="2139">
        <f>IF(O31&lt;=0,0,(Risk_Compensation!P38/O31-Risk_Compensation!P$79/O$72-0.5*CW$167*($CK31-CW$135/O$72))*O31)</f>
        <v>0</v>
      </c>
      <c r="BT31" s="2139">
        <f>IF(P31&lt;=0,0,(Risk_Compensation!Q38/P31-Risk_Compensation!Q$79/P$72-0.5*CX$167*($CK31-CX$135/P$72))*P31)</f>
        <v>0</v>
      </c>
      <c r="BU31" s="2139">
        <f>IF(Q31&lt;=0,0,(Risk_Compensation!R38/Q31-Risk_Compensation!R$79/Q$72-0.5*CY$167*($CK31-CY$135/Q$72))*Q31)</f>
        <v>0</v>
      </c>
      <c r="BV31" s="2139">
        <f>IF(R31&lt;=0,0,(Risk_Compensation!S38/R31-Risk_Compensation!S$79/R$72-0.5*CZ$167*($CK31-CZ$135/R$72))*R31)</f>
        <v>0</v>
      </c>
      <c r="BW31" s="2139">
        <f>IF(S31&lt;=0,0,(Risk_Compensation!T38/S31-Risk_Compensation!T$79/S$72-0.5*DA$167*($CK31-DA$135/S$72))*S31)</f>
        <v>0</v>
      </c>
      <c r="BX31" s="2139">
        <f>IF(T31&lt;=0,0,(Risk_Compensation!U38/T31-Risk_Compensation!U$79/T$72-0.5*DB$167*($CK31-DB$135/T$72))*T31)</f>
        <v>0</v>
      </c>
      <c r="BY31" s="2139">
        <f>IF(U31&lt;=0,0,(Risk_Compensation!V38/U31-Risk_Compensation!V$79/U$72-0.5*DC$167*($CK31-DC$135/U$72))*U31)</f>
        <v>0</v>
      </c>
      <c r="BZ31" s="2139">
        <f>IF(V31&lt;=0,0,(Risk_Compensation!W38/V31-Risk_Compensation!W$79/V$72-0.5*DD$167*($CK31-DD$135/V$72))*V31)</f>
        <v>0</v>
      </c>
      <c r="CA31" s="2139">
        <f>IF(W31&lt;=0,0,(Risk_Compensation!X38/W31-Risk_Compensation!X$79/W$72-0.5*DE$167*($CK31-DE$135/W$72))*W31)</f>
        <v>0</v>
      </c>
      <c r="CB31" s="2139">
        <f>IF(X31&lt;=0,0,(Risk_Compensation!Y38/X31-Risk_Compensation!Y$79/X$72-0.5*DF$167*($CK31-DF$135/X$72))*X31)</f>
        <v>0</v>
      </c>
      <c r="CC31" s="2139">
        <f>IF(Y31&lt;=0,0,(Risk_Compensation!Z38/Y31-Risk_Compensation!Z$79/Y$72-0.5*DG$167*($CK31-DG$135/Y$72))*Y31)</f>
        <v>0</v>
      </c>
      <c r="CD31" s="2139">
        <f>IF(Z31&lt;=0,0,(Risk_Compensation!AA38/Z31-Risk_Compensation!AA$79/Z$72-0.5*DH$167*($CK31-DH$135/Z$72))*Z31)</f>
        <v>0</v>
      </c>
      <c r="CE31" s="2139">
        <f>IF(AA31&lt;=0,0,(Risk_Compensation!AB38/AA31-Risk_Compensation!AB$79/AA$72-0.5*DI$167*($CK31-DI$135/AA$72))*AA31)</f>
        <v>0</v>
      </c>
      <c r="CF31" s="2139">
        <f>IF(AB31&lt;=0,0,(Risk_Compensation!AC38/AB31-Risk_Compensation!AC$79/AB$72-0.5*DJ$167*($CK31-DJ$135/AB$72))*AB31)</f>
        <v>0</v>
      </c>
      <c r="CG31" s="2139">
        <f>IF(AC31&lt;=0,0,(Risk_Compensation!AD38/AC31-Risk_Compensation!AD$79/AC$72-0.5*DK$167*($CK31-DK$135/AC$72))*AC31)</f>
        <v>0</v>
      </c>
      <c r="CH31" s="2139">
        <f>IF(AD31&lt;=0,0,(Risk_Compensation!AE38/AD31-Risk_Compensation!AE$79/AD$72-0.5*DL$167*($CK31-DL$135/AD$72))*AD31)</f>
        <v>0</v>
      </c>
      <c r="CI31" s="2139">
        <f>IF(AE31&lt;=0,0,(Risk_Compensation!AF38/AE31-Risk_Compensation!AF$79/AE$72-0.5*DM$167*($CK31-DM$135/AE$72))*AE31)</f>
        <v>0</v>
      </c>
      <c r="CJ31" s="2140">
        <f>IF(AF31&lt;=0,0,(Risk_Compensation!AG38/AF31-Risk_Compensation!AG$79/AF$72-0.5*DN$167*($CK31-DN$135/AF$72))*AF31)</f>
        <v>0</v>
      </c>
      <c r="CK31" s="2166">
        <v>0</v>
      </c>
      <c r="CL31" s="644"/>
      <c r="CM31" s="1829">
        <v>21</v>
      </c>
      <c r="CN31" s="2149">
        <f t="shared" si="0"/>
        <v>0</v>
      </c>
      <c r="CO31" s="2150">
        <f t="shared" si="1"/>
        <v>0</v>
      </c>
      <c r="CP31" s="2150">
        <f t="shared" si="2"/>
        <v>0</v>
      </c>
      <c r="CQ31" s="2150">
        <f t="shared" si="3"/>
        <v>0</v>
      </c>
      <c r="CR31" s="2150">
        <f t="shared" si="4"/>
        <v>0</v>
      </c>
      <c r="CS31" s="2150">
        <f t="shared" si="5"/>
        <v>0</v>
      </c>
      <c r="CT31" s="2150">
        <f t="shared" si="6"/>
        <v>0</v>
      </c>
      <c r="CU31" s="2150">
        <f t="shared" si="7"/>
        <v>0</v>
      </c>
      <c r="CV31" s="2150">
        <f t="shared" si="8"/>
        <v>0</v>
      </c>
      <c r="CW31" s="2150">
        <f t="shared" si="9"/>
        <v>0</v>
      </c>
      <c r="CX31" s="2150">
        <f t="shared" si="10"/>
        <v>0</v>
      </c>
      <c r="CY31" s="2150">
        <f t="shared" si="11"/>
        <v>0</v>
      </c>
      <c r="CZ31" s="2150">
        <f t="shared" si="12"/>
        <v>0</v>
      </c>
      <c r="DA31" s="2150">
        <f t="shared" si="13"/>
        <v>0</v>
      </c>
      <c r="DB31" s="2150">
        <f t="shared" si="14"/>
        <v>0</v>
      </c>
      <c r="DC31" s="2150">
        <f t="shared" si="15"/>
        <v>0</v>
      </c>
      <c r="DD31" s="2150">
        <f t="shared" si="16"/>
        <v>0</v>
      </c>
      <c r="DE31" s="2150">
        <f t="shared" si="17"/>
        <v>0</v>
      </c>
      <c r="DF31" s="2150">
        <f t="shared" si="18"/>
        <v>0</v>
      </c>
      <c r="DG31" s="2150">
        <f t="shared" si="19"/>
        <v>0</v>
      </c>
      <c r="DH31" s="2150">
        <f t="shared" si="20"/>
        <v>0</v>
      </c>
      <c r="DI31" s="2150">
        <f t="shared" si="21"/>
        <v>0</v>
      </c>
      <c r="DJ31" s="2150">
        <f t="shared" si="22"/>
        <v>0</v>
      </c>
      <c r="DK31" s="2150">
        <f t="shared" si="23"/>
        <v>0</v>
      </c>
      <c r="DL31" s="2150">
        <f t="shared" si="24"/>
        <v>0</v>
      </c>
      <c r="DM31" s="2151">
        <f t="shared" si="25"/>
        <v>0</v>
      </c>
      <c r="DN31" s="644"/>
      <c r="DO31" s="1829">
        <v>21</v>
      </c>
      <c r="DP31" s="2211">
        <v>1069.76944432918</v>
      </c>
      <c r="DQ31" s="2212">
        <v>710.81788705192901</v>
      </c>
      <c r="DR31" s="2212">
        <v>902.70005895276199</v>
      </c>
      <c r="DS31" s="2212">
        <v>1147.00641013464</v>
      </c>
      <c r="DT31" s="2212">
        <v>1091.9744686665299</v>
      </c>
      <c r="DU31" s="2212">
        <v>1483.49105678251</v>
      </c>
      <c r="DV31" s="2212">
        <v>1161.4775135927</v>
      </c>
      <c r="DW31" s="2212">
        <v>1798.87848969531</v>
      </c>
      <c r="DX31" s="2212">
        <v>1055.06412437312</v>
      </c>
      <c r="DY31" s="2212">
        <v>946.56393658459001</v>
      </c>
      <c r="DZ31" s="2212">
        <v>1333.63180477131</v>
      </c>
      <c r="EA31" s="2212">
        <v>998.81374493800195</v>
      </c>
      <c r="EB31" s="2212">
        <v>1381.3220937363601</v>
      </c>
      <c r="EC31" s="2212">
        <v>1126.69938130848</v>
      </c>
      <c r="ED31" s="2212">
        <v>769.47398419785804</v>
      </c>
      <c r="EE31" s="2212">
        <v>1038.7938985057999</v>
      </c>
      <c r="EF31" s="2212">
        <v>1041.83181725542</v>
      </c>
      <c r="EG31" s="2212">
        <v>1031.1053257531</v>
      </c>
      <c r="EH31" s="2212">
        <v>837.94337961970996</v>
      </c>
      <c r="EI31" s="2212">
        <v>1139.83600436754</v>
      </c>
      <c r="EJ31" s="2212">
        <v>1419.4861136434299</v>
      </c>
      <c r="EK31" s="2212">
        <v>890.62796962286404</v>
      </c>
      <c r="EL31" s="2212">
        <v>1518.5202631971799</v>
      </c>
      <c r="EM31" s="2212">
        <v>1111.61652968927</v>
      </c>
      <c r="EN31" s="2212">
        <v>1048.7889948457901</v>
      </c>
      <c r="EO31" s="2213">
        <v>1207.2253888412499</v>
      </c>
      <c r="ER31" s="1829">
        <v>21</v>
      </c>
      <c r="ES31" s="1830">
        <v>1.6548750208071099</v>
      </c>
      <c r="ET31" s="644"/>
      <c r="EU31" s="2156">
        <v>21</v>
      </c>
      <c r="EV31" s="2090" t="s">
        <v>1903</v>
      </c>
      <c r="EW31" s="2090" t="s">
        <v>1914</v>
      </c>
      <c r="EX31" s="2090" t="str">
        <f>Translation!B$579</f>
        <v>Ja</v>
      </c>
    </row>
    <row r="32" spans="2:154" ht="12.75" x14ac:dyDescent="0.2">
      <c r="B32" s="2090">
        <v>22</v>
      </c>
      <c r="C32" s="2090" t="s">
        <v>1903</v>
      </c>
      <c r="D32" s="2090" t="s">
        <v>1914</v>
      </c>
      <c r="E32" s="2090" t="str">
        <f>Translation!B$580</f>
        <v>Nein</v>
      </c>
      <c r="F32" s="1622">
        <v>22</v>
      </c>
      <c r="G32" s="2211">
        <v>13275.5641666667</v>
      </c>
      <c r="H32" s="2212">
        <v>348.73083333333301</v>
      </c>
      <c r="I32" s="2212">
        <v>1224.1316666666701</v>
      </c>
      <c r="J32" s="2212">
        <v>22248.476666666698</v>
      </c>
      <c r="K32" s="2212">
        <v>6091.8</v>
      </c>
      <c r="L32" s="2212">
        <v>3164.3783333333299</v>
      </c>
      <c r="M32" s="2212">
        <v>5654.0716666666704</v>
      </c>
      <c r="N32" s="2212">
        <v>6514.2433333333302</v>
      </c>
      <c r="O32" s="2212">
        <v>907.66333333333296</v>
      </c>
      <c r="P32" s="2212">
        <v>4791.8824999999997</v>
      </c>
      <c r="Q32" s="2212">
        <v>1664.4208333333299</v>
      </c>
      <c r="R32" s="2212">
        <v>7788.8575000000001</v>
      </c>
      <c r="S32" s="2212">
        <v>3082.40333333333</v>
      </c>
      <c r="T32" s="2212">
        <v>1044.7766666666701</v>
      </c>
      <c r="U32" s="2212">
        <v>855.78166666666698</v>
      </c>
      <c r="V32" s="2212">
        <v>9830.9983333333294</v>
      </c>
      <c r="W32" s="2212">
        <v>1705.7183333333301</v>
      </c>
      <c r="X32" s="2212">
        <v>5747.11916666667</v>
      </c>
      <c r="Y32" s="2212">
        <v>3290.7975000000001</v>
      </c>
      <c r="Z32" s="2212">
        <v>5502.3658333333296</v>
      </c>
      <c r="AA32" s="2212">
        <v>7163.9174999999996</v>
      </c>
      <c r="AB32" s="2212">
        <v>868.59333333333404</v>
      </c>
      <c r="AC32" s="2212">
        <v>12235.7866666667</v>
      </c>
      <c r="AD32" s="2212">
        <v>7344.6066666666702</v>
      </c>
      <c r="AE32" s="2212">
        <v>2281.0974999999999</v>
      </c>
      <c r="AF32" s="2213">
        <v>24882.784166666701</v>
      </c>
      <c r="AH32" s="1829">
        <v>22</v>
      </c>
      <c r="AI32" s="2124">
        <f>Risk_Compensation!H39*(Risk_Compensation!AK39+CO$144)*12/1000000</f>
        <v>0</v>
      </c>
      <c r="AJ32" s="2121">
        <f>Risk_Compensation!I39*(Risk_Compensation!AL39+CP$144)*12/1000000</f>
        <v>0</v>
      </c>
      <c r="AK32" s="2121">
        <f>Risk_Compensation!J39*(Risk_Compensation!AM39+CQ$144)*12/1000000</f>
        <v>0</v>
      </c>
      <c r="AL32" s="2121">
        <f>Risk_Compensation!K39*(Risk_Compensation!AN39+CR$144)*12/1000000</f>
        <v>0</v>
      </c>
      <c r="AM32" s="2121">
        <f>Risk_Compensation!L39*(Risk_Compensation!AO39+CS$144)*12/1000000</f>
        <v>0</v>
      </c>
      <c r="AN32" s="2121">
        <f>Risk_Compensation!M39*(Risk_Compensation!AP39+CT$144)*12/1000000</f>
        <v>0</v>
      </c>
      <c r="AO32" s="2121">
        <f>Risk_Compensation!N39*(Risk_Compensation!AQ39+CU$144)*12/1000000</f>
        <v>0</v>
      </c>
      <c r="AP32" s="2121">
        <f>Risk_Compensation!O39*(Risk_Compensation!AR39+CV$144)*12/1000000</f>
        <v>0</v>
      </c>
      <c r="AQ32" s="2121">
        <f>Risk_Compensation!P39*(Risk_Compensation!AS39+CW$144)*12/1000000</f>
        <v>0</v>
      </c>
      <c r="AR32" s="2121">
        <f>Risk_Compensation!Q39*(Risk_Compensation!AT39+CX$144)*12/1000000</f>
        <v>0</v>
      </c>
      <c r="AS32" s="2121">
        <f>Risk_Compensation!R39*(Risk_Compensation!AU39+CY$144)*12/1000000</f>
        <v>0</v>
      </c>
      <c r="AT32" s="2121">
        <f>Risk_Compensation!S39*(Risk_Compensation!AV39+CZ$144)*12/1000000</f>
        <v>0</v>
      </c>
      <c r="AU32" s="2121">
        <f>Risk_Compensation!T39*(Risk_Compensation!AW39+DA$144)*12/1000000</f>
        <v>0</v>
      </c>
      <c r="AV32" s="2121">
        <f>Risk_Compensation!U39*(Risk_Compensation!AX39+DB$144)*12/1000000</f>
        <v>0</v>
      </c>
      <c r="AW32" s="2121">
        <f>Risk_Compensation!V39*(Risk_Compensation!AY39+DC$144)*12/1000000</f>
        <v>0</v>
      </c>
      <c r="AX32" s="2121">
        <f>Risk_Compensation!W39*(Risk_Compensation!AZ39+DD$144)*12/1000000</f>
        <v>0</v>
      </c>
      <c r="AY32" s="2121">
        <f>Risk_Compensation!X39*(Risk_Compensation!BA39+DE$144)*12/1000000</f>
        <v>0</v>
      </c>
      <c r="AZ32" s="2121">
        <f>Risk_Compensation!Y39*(Risk_Compensation!BB39+DF$144)*12/1000000</f>
        <v>0</v>
      </c>
      <c r="BA32" s="2121">
        <f>Risk_Compensation!Z39*(Risk_Compensation!BC39+DG$144)*12/1000000</f>
        <v>0</v>
      </c>
      <c r="BB32" s="2121">
        <f>Risk_Compensation!AA39*(Risk_Compensation!BD39+DH$144)*12/1000000</f>
        <v>0</v>
      </c>
      <c r="BC32" s="2121">
        <f>Risk_Compensation!AB39*(Risk_Compensation!BE39+DI$144)*12/1000000</f>
        <v>0</v>
      </c>
      <c r="BD32" s="2121">
        <f>Risk_Compensation!AC39*(Risk_Compensation!BF39+DJ$144)*12/1000000</f>
        <v>0</v>
      </c>
      <c r="BE32" s="2121">
        <f>Risk_Compensation!AD39*(Risk_Compensation!BG39+DK$144)*12/1000000</f>
        <v>0</v>
      </c>
      <c r="BF32" s="2121">
        <f>Risk_Compensation!AE39*(Risk_Compensation!BH39+DL$144)*12/1000000</f>
        <v>0</v>
      </c>
      <c r="BG32" s="2121">
        <f>Risk_Compensation!AF39*(Risk_Compensation!BI39+DM$144)*12/1000000</f>
        <v>0</v>
      </c>
      <c r="BH32" s="2125">
        <f>Risk_Compensation!AG39*(Risk_Compensation!BJ39+DN$144)*12/1000000</f>
        <v>0</v>
      </c>
      <c r="BI32" s="644"/>
      <c r="BJ32" s="1829">
        <v>22</v>
      </c>
      <c r="BK32" s="2138">
        <f>IF(G32&lt;=0,0,(Risk_Compensation!H39/G32-Risk_Compensation!H$79/G$72-0.5*CO$167*($CK32-CO$135/G$72))*G32)</f>
        <v>0</v>
      </c>
      <c r="BL32" s="2139">
        <f>IF(H32&lt;=0,0,(Risk_Compensation!I39/H32-Risk_Compensation!I$79/H$72-0.5*CP$167*($CK32-CP$135/H$72))*H32)</f>
        <v>0</v>
      </c>
      <c r="BM32" s="2139">
        <f>IF(I32&lt;=0,0,(Risk_Compensation!J39/I32-Risk_Compensation!J$79/I$72-0.5*CQ$167*($CK32-CQ$135/I$72))*I32)</f>
        <v>0</v>
      </c>
      <c r="BN32" s="2139">
        <f>IF(J32&lt;=0,0,(Risk_Compensation!K39/J32-Risk_Compensation!K$79/J$72-0.5*CR$167*($CK32-CR$135/J$72))*J32)</f>
        <v>0</v>
      </c>
      <c r="BO32" s="2139">
        <f>IF(K32&lt;=0,0,(Risk_Compensation!L39/K32-Risk_Compensation!L$79/K$72-0.5*CS$167*($CK32-CS$135/K$72))*K32)</f>
        <v>0</v>
      </c>
      <c r="BP32" s="2139">
        <f>IF(L32&lt;=0,0,(Risk_Compensation!M39/L32-Risk_Compensation!M$79/L$72-0.5*CT$167*($CK32-CT$135/L$72))*L32)</f>
        <v>0</v>
      </c>
      <c r="BQ32" s="2139">
        <f>IF(M32&lt;=0,0,(Risk_Compensation!N39/M32-Risk_Compensation!N$79/M$72-0.5*CU$167*($CK32-CU$135/M$72))*M32)</f>
        <v>0</v>
      </c>
      <c r="BR32" s="2139">
        <f>IF(N32&lt;=0,0,(Risk_Compensation!O39/N32-Risk_Compensation!O$79/N$72-0.5*CV$167*($CK32-CV$135/N$72))*N32)</f>
        <v>0</v>
      </c>
      <c r="BS32" s="2139">
        <f>IF(O32&lt;=0,0,(Risk_Compensation!P39/O32-Risk_Compensation!P$79/O$72-0.5*CW$167*($CK32-CW$135/O$72))*O32)</f>
        <v>0</v>
      </c>
      <c r="BT32" s="2139">
        <f>IF(P32&lt;=0,0,(Risk_Compensation!Q39/P32-Risk_Compensation!Q$79/P$72-0.5*CX$167*($CK32-CX$135/P$72))*P32)</f>
        <v>0</v>
      </c>
      <c r="BU32" s="2139">
        <f>IF(Q32&lt;=0,0,(Risk_Compensation!R39/Q32-Risk_Compensation!R$79/Q$72-0.5*CY$167*($CK32-CY$135/Q$72))*Q32)</f>
        <v>0</v>
      </c>
      <c r="BV32" s="2139">
        <f>IF(R32&lt;=0,0,(Risk_Compensation!S39/R32-Risk_Compensation!S$79/R$72-0.5*CZ$167*($CK32-CZ$135/R$72))*R32)</f>
        <v>0</v>
      </c>
      <c r="BW32" s="2139">
        <f>IF(S32&lt;=0,0,(Risk_Compensation!T39/S32-Risk_Compensation!T$79/S$72-0.5*DA$167*($CK32-DA$135/S$72))*S32)</f>
        <v>0</v>
      </c>
      <c r="BX32" s="2139">
        <f>IF(T32&lt;=0,0,(Risk_Compensation!U39/T32-Risk_Compensation!U$79/T$72-0.5*DB$167*($CK32-DB$135/T$72))*T32)</f>
        <v>0</v>
      </c>
      <c r="BY32" s="2139">
        <f>IF(U32&lt;=0,0,(Risk_Compensation!V39/U32-Risk_Compensation!V$79/U$72-0.5*DC$167*($CK32-DC$135/U$72))*U32)</f>
        <v>0</v>
      </c>
      <c r="BZ32" s="2139">
        <f>IF(V32&lt;=0,0,(Risk_Compensation!W39/V32-Risk_Compensation!W$79/V$72-0.5*DD$167*($CK32-DD$135/V$72))*V32)</f>
        <v>0</v>
      </c>
      <c r="CA32" s="2139">
        <f>IF(W32&lt;=0,0,(Risk_Compensation!X39/W32-Risk_Compensation!X$79/W$72-0.5*DE$167*($CK32-DE$135/W$72))*W32)</f>
        <v>0</v>
      </c>
      <c r="CB32" s="2139">
        <f>IF(X32&lt;=0,0,(Risk_Compensation!Y39/X32-Risk_Compensation!Y$79/X$72-0.5*DF$167*($CK32-DF$135/X$72))*X32)</f>
        <v>0</v>
      </c>
      <c r="CC32" s="2139">
        <f>IF(Y32&lt;=0,0,(Risk_Compensation!Z39/Y32-Risk_Compensation!Z$79/Y$72-0.5*DG$167*($CK32-DG$135/Y$72))*Y32)</f>
        <v>0</v>
      </c>
      <c r="CD32" s="2139">
        <f>IF(Z32&lt;=0,0,(Risk_Compensation!AA39/Z32-Risk_Compensation!AA$79/Z$72-0.5*DH$167*($CK32-DH$135/Z$72))*Z32)</f>
        <v>0</v>
      </c>
      <c r="CE32" s="2139">
        <f>IF(AA32&lt;=0,0,(Risk_Compensation!AB39/AA32-Risk_Compensation!AB$79/AA$72-0.5*DI$167*($CK32-DI$135/AA$72))*AA32)</f>
        <v>0</v>
      </c>
      <c r="CF32" s="2139">
        <f>IF(AB32&lt;=0,0,(Risk_Compensation!AC39/AB32-Risk_Compensation!AC$79/AB$72-0.5*DJ$167*($CK32-DJ$135/AB$72))*AB32)</f>
        <v>0</v>
      </c>
      <c r="CG32" s="2139">
        <f>IF(AC32&lt;=0,0,(Risk_Compensation!AD39/AC32-Risk_Compensation!AD$79/AC$72-0.5*DK$167*($CK32-DK$135/AC$72))*AC32)</f>
        <v>0</v>
      </c>
      <c r="CH32" s="2139">
        <f>IF(AD32&lt;=0,0,(Risk_Compensation!AE39/AD32-Risk_Compensation!AE$79/AD$72-0.5*DL$167*($CK32-DL$135/AD$72))*AD32)</f>
        <v>0</v>
      </c>
      <c r="CI32" s="2139">
        <f>IF(AE32&lt;=0,0,(Risk_Compensation!AF39/AE32-Risk_Compensation!AF$79/AE$72-0.5*DM$167*($CK32-DM$135/AE$72))*AE32)</f>
        <v>0</v>
      </c>
      <c r="CJ32" s="2140">
        <f>IF(AF32&lt;=0,0,(Risk_Compensation!AG39/AF32-Risk_Compensation!AG$79/AF$72-0.5*DN$167*($CK32-DN$135/AF$72))*AF32)</f>
        <v>0</v>
      </c>
      <c r="CK32" s="2166">
        <v>0</v>
      </c>
      <c r="CL32" s="644"/>
      <c r="CM32" s="1829">
        <v>22</v>
      </c>
      <c r="CN32" s="2149">
        <f t="shared" si="0"/>
        <v>0</v>
      </c>
      <c r="CO32" s="2150">
        <f t="shared" si="1"/>
        <v>0</v>
      </c>
      <c r="CP32" s="2150">
        <f t="shared" si="2"/>
        <v>0</v>
      </c>
      <c r="CQ32" s="2150">
        <f t="shared" si="3"/>
        <v>0</v>
      </c>
      <c r="CR32" s="2150">
        <f t="shared" si="4"/>
        <v>0</v>
      </c>
      <c r="CS32" s="2150">
        <f t="shared" si="5"/>
        <v>0</v>
      </c>
      <c r="CT32" s="2150">
        <f t="shared" si="6"/>
        <v>0</v>
      </c>
      <c r="CU32" s="2150">
        <f t="shared" si="7"/>
        <v>0</v>
      </c>
      <c r="CV32" s="2150">
        <f t="shared" si="8"/>
        <v>0</v>
      </c>
      <c r="CW32" s="2150">
        <f t="shared" si="9"/>
        <v>0</v>
      </c>
      <c r="CX32" s="2150">
        <f t="shared" si="10"/>
        <v>0</v>
      </c>
      <c r="CY32" s="2150">
        <f t="shared" si="11"/>
        <v>0</v>
      </c>
      <c r="CZ32" s="2150">
        <f t="shared" si="12"/>
        <v>0</v>
      </c>
      <c r="DA32" s="2150">
        <f t="shared" si="13"/>
        <v>0</v>
      </c>
      <c r="DB32" s="2150">
        <f t="shared" si="14"/>
        <v>0</v>
      </c>
      <c r="DC32" s="2150">
        <f t="shared" si="15"/>
        <v>0</v>
      </c>
      <c r="DD32" s="2150">
        <f t="shared" si="16"/>
        <v>0</v>
      </c>
      <c r="DE32" s="2150">
        <f t="shared" si="17"/>
        <v>0</v>
      </c>
      <c r="DF32" s="2150">
        <f t="shared" si="18"/>
        <v>0</v>
      </c>
      <c r="DG32" s="2150">
        <f t="shared" si="19"/>
        <v>0</v>
      </c>
      <c r="DH32" s="2150">
        <f t="shared" si="20"/>
        <v>0</v>
      </c>
      <c r="DI32" s="2150">
        <f t="shared" si="21"/>
        <v>0</v>
      </c>
      <c r="DJ32" s="2150">
        <f t="shared" si="22"/>
        <v>0</v>
      </c>
      <c r="DK32" s="2150">
        <f t="shared" si="23"/>
        <v>0</v>
      </c>
      <c r="DL32" s="2150">
        <f t="shared" si="24"/>
        <v>0</v>
      </c>
      <c r="DM32" s="2151">
        <f t="shared" si="25"/>
        <v>0</v>
      </c>
      <c r="DN32" s="644"/>
      <c r="DO32" s="1829">
        <v>22</v>
      </c>
      <c r="DP32" s="2211">
        <v>360.18439197596899</v>
      </c>
      <c r="DQ32" s="2212">
        <v>295.96319738520202</v>
      </c>
      <c r="DR32" s="2212">
        <v>333.40815257575701</v>
      </c>
      <c r="DS32" s="2212">
        <v>346.26266583145099</v>
      </c>
      <c r="DT32" s="2212">
        <v>357.70325652109602</v>
      </c>
      <c r="DU32" s="2212">
        <v>417.104036767705</v>
      </c>
      <c r="DV32" s="2212">
        <v>411.84491811611798</v>
      </c>
      <c r="DW32" s="2212">
        <v>483.738092287641</v>
      </c>
      <c r="DX32" s="2212">
        <v>354.08050929169798</v>
      </c>
      <c r="DY32" s="2212">
        <v>296.39312032784198</v>
      </c>
      <c r="DZ32" s="2212">
        <v>344.86457832688097</v>
      </c>
      <c r="EA32" s="2212">
        <v>329.54613458812702</v>
      </c>
      <c r="EB32" s="2212">
        <v>408.637365245414</v>
      </c>
      <c r="EC32" s="2212">
        <v>311.87997899971703</v>
      </c>
      <c r="ED32" s="2212">
        <v>356.95749116689598</v>
      </c>
      <c r="EE32" s="2212">
        <v>323.71714822707401</v>
      </c>
      <c r="EF32" s="2212">
        <v>315.74100330353099</v>
      </c>
      <c r="EG32" s="2212">
        <v>361.037054883385</v>
      </c>
      <c r="EH32" s="2212">
        <v>346.082393603691</v>
      </c>
      <c r="EI32" s="2212">
        <v>360.16456331322797</v>
      </c>
      <c r="EJ32" s="2212">
        <v>416.83623288409098</v>
      </c>
      <c r="EK32" s="2212">
        <v>310.90942069123702</v>
      </c>
      <c r="EL32" s="2212">
        <v>449.36503183247402</v>
      </c>
      <c r="EM32" s="2212">
        <v>367.63006831676603</v>
      </c>
      <c r="EN32" s="2212">
        <v>295.03592631316297</v>
      </c>
      <c r="EO32" s="2213">
        <v>376.532669960904</v>
      </c>
      <c r="ER32" s="1829">
        <v>22</v>
      </c>
      <c r="ES32" s="1830">
        <v>2.1862718379364998</v>
      </c>
      <c r="ET32" s="644"/>
      <c r="EU32" s="2156">
        <v>22</v>
      </c>
      <c r="EV32" s="2090" t="s">
        <v>1903</v>
      </c>
      <c r="EW32" s="2090" t="s">
        <v>1914</v>
      </c>
      <c r="EX32" s="2090" t="str">
        <f>Translation!B$580</f>
        <v>Nein</v>
      </c>
    </row>
    <row r="33" spans="2:154" ht="12.75" x14ac:dyDescent="0.2">
      <c r="B33" s="2090">
        <v>23</v>
      </c>
      <c r="C33" s="2090" t="s">
        <v>1903</v>
      </c>
      <c r="D33" s="2090" t="s">
        <v>1915</v>
      </c>
      <c r="E33" s="2090" t="str">
        <f>Translation!B$579</f>
        <v>Ja</v>
      </c>
      <c r="F33" s="1622">
        <v>23</v>
      </c>
      <c r="G33" s="2211">
        <v>2219.0091666666699</v>
      </c>
      <c r="H33" s="2212">
        <v>43.575000000000003</v>
      </c>
      <c r="I33" s="2212">
        <v>209.40916666666701</v>
      </c>
      <c r="J33" s="2212">
        <v>3720.02583333333</v>
      </c>
      <c r="K33" s="2212">
        <v>1204.1849999999999</v>
      </c>
      <c r="L33" s="2212">
        <v>723.22583333333296</v>
      </c>
      <c r="M33" s="2212">
        <v>967.92666666666696</v>
      </c>
      <c r="N33" s="2212">
        <v>1222.2283333333301</v>
      </c>
      <c r="O33" s="2212">
        <v>137.57333333333301</v>
      </c>
      <c r="P33" s="2212">
        <v>720.136666666667</v>
      </c>
      <c r="Q33" s="2212">
        <v>280.21583333333302</v>
      </c>
      <c r="R33" s="2212">
        <v>1182.0325</v>
      </c>
      <c r="S33" s="2212">
        <v>600.88499999999999</v>
      </c>
      <c r="T33" s="2212">
        <v>144.00333333333299</v>
      </c>
      <c r="U33" s="2212">
        <v>130.42333333333301</v>
      </c>
      <c r="V33" s="2212">
        <v>1763.605</v>
      </c>
      <c r="W33" s="2212">
        <v>333.006666666667</v>
      </c>
      <c r="X33" s="2212">
        <v>1009.31583333333</v>
      </c>
      <c r="Y33" s="2212">
        <v>503.76499999999999</v>
      </c>
      <c r="Z33" s="2212">
        <v>965.12833333333401</v>
      </c>
      <c r="AA33" s="2212">
        <v>1445.6624999999999</v>
      </c>
      <c r="AB33" s="2212">
        <v>133.66749999999999</v>
      </c>
      <c r="AC33" s="2212">
        <v>2196.0349999999999</v>
      </c>
      <c r="AD33" s="2212">
        <v>1251.9925000000001</v>
      </c>
      <c r="AE33" s="2212">
        <v>342.42916666666702</v>
      </c>
      <c r="AF33" s="2213">
        <v>4293.6316666666698</v>
      </c>
      <c r="AH33" s="1829">
        <v>23</v>
      </c>
      <c r="AI33" s="2124">
        <f>Risk_Compensation!H40*(Risk_Compensation!AK40+CO$144)*12/1000000</f>
        <v>0</v>
      </c>
      <c r="AJ33" s="2121">
        <f>Risk_Compensation!I40*(Risk_Compensation!AL40+CP$144)*12/1000000</f>
        <v>0</v>
      </c>
      <c r="AK33" s="2121">
        <f>Risk_Compensation!J40*(Risk_Compensation!AM40+CQ$144)*12/1000000</f>
        <v>0</v>
      </c>
      <c r="AL33" s="2121">
        <f>Risk_Compensation!K40*(Risk_Compensation!AN40+CR$144)*12/1000000</f>
        <v>0</v>
      </c>
      <c r="AM33" s="2121">
        <f>Risk_Compensation!L40*(Risk_Compensation!AO40+CS$144)*12/1000000</f>
        <v>0</v>
      </c>
      <c r="AN33" s="2121">
        <f>Risk_Compensation!M40*(Risk_Compensation!AP40+CT$144)*12/1000000</f>
        <v>0</v>
      </c>
      <c r="AO33" s="2121">
        <f>Risk_Compensation!N40*(Risk_Compensation!AQ40+CU$144)*12/1000000</f>
        <v>0</v>
      </c>
      <c r="AP33" s="2121">
        <f>Risk_Compensation!O40*(Risk_Compensation!AR40+CV$144)*12/1000000</f>
        <v>0</v>
      </c>
      <c r="AQ33" s="2121">
        <f>Risk_Compensation!P40*(Risk_Compensation!AS40+CW$144)*12/1000000</f>
        <v>0</v>
      </c>
      <c r="AR33" s="2121">
        <f>Risk_Compensation!Q40*(Risk_Compensation!AT40+CX$144)*12/1000000</f>
        <v>0</v>
      </c>
      <c r="AS33" s="2121">
        <f>Risk_Compensation!R40*(Risk_Compensation!AU40+CY$144)*12/1000000</f>
        <v>0</v>
      </c>
      <c r="AT33" s="2121">
        <f>Risk_Compensation!S40*(Risk_Compensation!AV40+CZ$144)*12/1000000</f>
        <v>0</v>
      </c>
      <c r="AU33" s="2121">
        <f>Risk_Compensation!T40*(Risk_Compensation!AW40+DA$144)*12/1000000</f>
        <v>0</v>
      </c>
      <c r="AV33" s="2121">
        <f>Risk_Compensation!U40*(Risk_Compensation!AX40+DB$144)*12/1000000</f>
        <v>0</v>
      </c>
      <c r="AW33" s="2121">
        <f>Risk_Compensation!V40*(Risk_Compensation!AY40+DC$144)*12/1000000</f>
        <v>0</v>
      </c>
      <c r="AX33" s="2121">
        <f>Risk_Compensation!W40*(Risk_Compensation!AZ40+DD$144)*12/1000000</f>
        <v>0</v>
      </c>
      <c r="AY33" s="2121">
        <f>Risk_Compensation!X40*(Risk_Compensation!BA40+DE$144)*12/1000000</f>
        <v>0</v>
      </c>
      <c r="AZ33" s="2121">
        <f>Risk_Compensation!Y40*(Risk_Compensation!BB40+DF$144)*12/1000000</f>
        <v>0</v>
      </c>
      <c r="BA33" s="2121">
        <f>Risk_Compensation!Z40*(Risk_Compensation!BC40+DG$144)*12/1000000</f>
        <v>0</v>
      </c>
      <c r="BB33" s="2121">
        <f>Risk_Compensation!AA40*(Risk_Compensation!BD40+DH$144)*12/1000000</f>
        <v>0</v>
      </c>
      <c r="BC33" s="2121">
        <f>Risk_Compensation!AB40*(Risk_Compensation!BE40+DI$144)*12/1000000</f>
        <v>0</v>
      </c>
      <c r="BD33" s="2121">
        <f>Risk_Compensation!AC40*(Risk_Compensation!BF40+DJ$144)*12/1000000</f>
        <v>0</v>
      </c>
      <c r="BE33" s="2121">
        <f>Risk_Compensation!AD40*(Risk_Compensation!BG40+DK$144)*12/1000000</f>
        <v>0</v>
      </c>
      <c r="BF33" s="2121">
        <f>Risk_Compensation!AE40*(Risk_Compensation!BH40+DL$144)*12/1000000</f>
        <v>0</v>
      </c>
      <c r="BG33" s="2121">
        <f>Risk_Compensation!AF40*(Risk_Compensation!BI40+DM$144)*12/1000000</f>
        <v>0</v>
      </c>
      <c r="BH33" s="2125">
        <f>Risk_Compensation!AG40*(Risk_Compensation!BJ40+DN$144)*12/1000000</f>
        <v>0</v>
      </c>
      <c r="BI33" s="644"/>
      <c r="BJ33" s="1829">
        <v>23</v>
      </c>
      <c r="BK33" s="2138">
        <f>IF(G33&lt;=0,0,(Risk_Compensation!H40/G33-Risk_Compensation!H$79/G$72-0.5*CO$167*($CK33-CO$135/G$72))*G33)</f>
        <v>0</v>
      </c>
      <c r="BL33" s="2139">
        <f>IF(H33&lt;=0,0,(Risk_Compensation!I40/H33-Risk_Compensation!I$79/H$72-0.5*CP$167*($CK33-CP$135/H$72))*H33)</f>
        <v>0</v>
      </c>
      <c r="BM33" s="2139">
        <f>IF(I33&lt;=0,0,(Risk_Compensation!J40/I33-Risk_Compensation!J$79/I$72-0.5*CQ$167*($CK33-CQ$135/I$72))*I33)</f>
        <v>0</v>
      </c>
      <c r="BN33" s="2139">
        <f>IF(J33&lt;=0,0,(Risk_Compensation!K40/J33-Risk_Compensation!K$79/J$72-0.5*CR$167*($CK33-CR$135/J$72))*J33)</f>
        <v>0</v>
      </c>
      <c r="BO33" s="2139">
        <f>IF(K33&lt;=0,0,(Risk_Compensation!L40/K33-Risk_Compensation!L$79/K$72-0.5*CS$167*($CK33-CS$135/K$72))*K33)</f>
        <v>0</v>
      </c>
      <c r="BP33" s="2139">
        <f>IF(L33&lt;=0,0,(Risk_Compensation!M40/L33-Risk_Compensation!M$79/L$72-0.5*CT$167*($CK33-CT$135/L$72))*L33)</f>
        <v>0</v>
      </c>
      <c r="BQ33" s="2139">
        <f>IF(M33&lt;=0,0,(Risk_Compensation!N40/M33-Risk_Compensation!N$79/M$72-0.5*CU$167*($CK33-CU$135/M$72))*M33)</f>
        <v>0</v>
      </c>
      <c r="BR33" s="2139">
        <f>IF(N33&lt;=0,0,(Risk_Compensation!O40/N33-Risk_Compensation!O$79/N$72-0.5*CV$167*($CK33-CV$135/N$72))*N33)</f>
        <v>0</v>
      </c>
      <c r="BS33" s="2139">
        <f>IF(O33&lt;=0,0,(Risk_Compensation!P40/O33-Risk_Compensation!P$79/O$72-0.5*CW$167*($CK33-CW$135/O$72))*O33)</f>
        <v>0</v>
      </c>
      <c r="BT33" s="2139">
        <f>IF(P33&lt;=0,0,(Risk_Compensation!Q40/P33-Risk_Compensation!Q$79/P$72-0.5*CX$167*($CK33-CX$135/P$72))*P33)</f>
        <v>0</v>
      </c>
      <c r="BU33" s="2139">
        <f>IF(Q33&lt;=0,0,(Risk_Compensation!R40/Q33-Risk_Compensation!R$79/Q$72-0.5*CY$167*($CK33-CY$135/Q$72))*Q33)</f>
        <v>0</v>
      </c>
      <c r="BV33" s="2139">
        <f>IF(R33&lt;=0,0,(Risk_Compensation!S40/R33-Risk_Compensation!S$79/R$72-0.5*CZ$167*($CK33-CZ$135/R$72))*R33)</f>
        <v>0</v>
      </c>
      <c r="BW33" s="2139">
        <f>IF(S33&lt;=0,0,(Risk_Compensation!T40/S33-Risk_Compensation!T$79/S$72-0.5*DA$167*($CK33-DA$135/S$72))*S33)</f>
        <v>0</v>
      </c>
      <c r="BX33" s="2139">
        <f>IF(T33&lt;=0,0,(Risk_Compensation!U40/T33-Risk_Compensation!U$79/T$72-0.5*DB$167*($CK33-DB$135/T$72))*T33)</f>
        <v>0</v>
      </c>
      <c r="BY33" s="2139">
        <f>IF(U33&lt;=0,0,(Risk_Compensation!V40/U33-Risk_Compensation!V$79/U$72-0.5*DC$167*($CK33-DC$135/U$72))*U33)</f>
        <v>0</v>
      </c>
      <c r="BZ33" s="2139">
        <f>IF(V33&lt;=0,0,(Risk_Compensation!W40/V33-Risk_Compensation!W$79/V$72-0.5*DD$167*($CK33-DD$135/V$72))*V33)</f>
        <v>0</v>
      </c>
      <c r="CA33" s="2139">
        <f>IF(W33&lt;=0,0,(Risk_Compensation!X40/W33-Risk_Compensation!X$79/W$72-0.5*DE$167*($CK33-DE$135/W$72))*W33)</f>
        <v>0</v>
      </c>
      <c r="CB33" s="2139">
        <f>IF(X33&lt;=0,0,(Risk_Compensation!Y40/X33-Risk_Compensation!Y$79/X$72-0.5*DF$167*($CK33-DF$135/X$72))*X33)</f>
        <v>0</v>
      </c>
      <c r="CC33" s="2139">
        <f>IF(Y33&lt;=0,0,(Risk_Compensation!Z40/Y33-Risk_Compensation!Z$79/Y$72-0.5*DG$167*($CK33-DG$135/Y$72))*Y33)</f>
        <v>0</v>
      </c>
      <c r="CD33" s="2139">
        <f>IF(Z33&lt;=0,0,(Risk_Compensation!AA40/Z33-Risk_Compensation!AA$79/Z$72-0.5*DH$167*($CK33-DH$135/Z$72))*Z33)</f>
        <v>0</v>
      </c>
      <c r="CE33" s="2139">
        <f>IF(AA33&lt;=0,0,(Risk_Compensation!AB40/AA33-Risk_Compensation!AB$79/AA$72-0.5*DI$167*($CK33-DI$135/AA$72))*AA33)</f>
        <v>0</v>
      </c>
      <c r="CF33" s="2139">
        <f>IF(AB33&lt;=0,0,(Risk_Compensation!AC40/AB33-Risk_Compensation!AC$79/AB$72-0.5*DJ$167*($CK33-DJ$135/AB$72))*AB33)</f>
        <v>0</v>
      </c>
      <c r="CG33" s="2139">
        <f>IF(AC33&lt;=0,0,(Risk_Compensation!AD40/AC33-Risk_Compensation!AD$79/AC$72-0.5*DK$167*($CK33-DK$135/AC$72))*AC33)</f>
        <v>0</v>
      </c>
      <c r="CH33" s="2139">
        <f>IF(AD33&lt;=0,0,(Risk_Compensation!AE40/AD33-Risk_Compensation!AE$79/AD$72-0.5*DL$167*($CK33-DL$135/AD$72))*AD33)</f>
        <v>0</v>
      </c>
      <c r="CI33" s="2139">
        <f>IF(AE33&lt;=0,0,(Risk_Compensation!AF40/AE33-Risk_Compensation!AF$79/AE$72-0.5*DM$167*($CK33-DM$135/AE$72))*AE33)</f>
        <v>0</v>
      </c>
      <c r="CJ33" s="2140">
        <f>IF(AF33&lt;=0,0,(Risk_Compensation!AG40/AF33-Risk_Compensation!AG$79/AF$72-0.5*DN$167*($CK33-DN$135/AF$72))*AF33)</f>
        <v>0</v>
      </c>
      <c r="CK33" s="2166">
        <v>0</v>
      </c>
      <c r="CL33" s="644"/>
      <c r="CM33" s="1829">
        <v>23</v>
      </c>
      <c r="CN33" s="2149">
        <f t="shared" si="0"/>
        <v>0</v>
      </c>
      <c r="CO33" s="2150">
        <f t="shared" si="1"/>
        <v>0</v>
      </c>
      <c r="CP33" s="2150">
        <f t="shared" si="2"/>
        <v>0</v>
      </c>
      <c r="CQ33" s="2150">
        <f t="shared" si="3"/>
        <v>0</v>
      </c>
      <c r="CR33" s="2150">
        <f t="shared" si="4"/>
        <v>0</v>
      </c>
      <c r="CS33" s="2150">
        <f t="shared" si="5"/>
        <v>0</v>
      </c>
      <c r="CT33" s="2150">
        <f t="shared" si="6"/>
        <v>0</v>
      </c>
      <c r="CU33" s="2150">
        <f t="shared" si="7"/>
        <v>0</v>
      </c>
      <c r="CV33" s="2150">
        <f t="shared" si="8"/>
        <v>0</v>
      </c>
      <c r="CW33" s="2150">
        <f t="shared" si="9"/>
        <v>0</v>
      </c>
      <c r="CX33" s="2150">
        <f t="shared" si="10"/>
        <v>0</v>
      </c>
      <c r="CY33" s="2150">
        <f t="shared" si="11"/>
        <v>0</v>
      </c>
      <c r="CZ33" s="2150">
        <f t="shared" si="12"/>
        <v>0</v>
      </c>
      <c r="DA33" s="2150">
        <f t="shared" si="13"/>
        <v>0</v>
      </c>
      <c r="DB33" s="2150">
        <f t="shared" si="14"/>
        <v>0</v>
      </c>
      <c r="DC33" s="2150">
        <f t="shared" si="15"/>
        <v>0</v>
      </c>
      <c r="DD33" s="2150">
        <f t="shared" si="16"/>
        <v>0</v>
      </c>
      <c r="DE33" s="2150">
        <f t="shared" si="17"/>
        <v>0</v>
      </c>
      <c r="DF33" s="2150">
        <f t="shared" si="18"/>
        <v>0</v>
      </c>
      <c r="DG33" s="2150">
        <f t="shared" si="19"/>
        <v>0</v>
      </c>
      <c r="DH33" s="2150">
        <f t="shared" si="20"/>
        <v>0</v>
      </c>
      <c r="DI33" s="2150">
        <f t="shared" si="21"/>
        <v>0</v>
      </c>
      <c r="DJ33" s="2150">
        <f t="shared" si="22"/>
        <v>0</v>
      </c>
      <c r="DK33" s="2150">
        <f t="shared" si="23"/>
        <v>0</v>
      </c>
      <c r="DL33" s="2150">
        <f t="shared" si="24"/>
        <v>0</v>
      </c>
      <c r="DM33" s="2151">
        <f t="shared" si="25"/>
        <v>0</v>
      </c>
      <c r="DN33" s="644"/>
      <c r="DO33" s="1829">
        <v>23</v>
      </c>
      <c r="DP33" s="2211">
        <v>1199.9364006400101</v>
      </c>
      <c r="DQ33" s="2212">
        <v>798.14944941018496</v>
      </c>
      <c r="DR33" s="2212">
        <v>1190.1014595941599</v>
      </c>
      <c r="DS33" s="2212">
        <v>1297.3618598751</v>
      </c>
      <c r="DT33" s="2212">
        <v>1266.33323234623</v>
      </c>
      <c r="DU33" s="2212">
        <v>1610.5674674591301</v>
      </c>
      <c r="DV33" s="2212">
        <v>1337.9005706191199</v>
      </c>
      <c r="DW33" s="2212">
        <v>1779.03476613518</v>
      </c>
      <c r="DX33" s="2212">
        <v>1297.24454804927</v>
      </c>
      <c r="DY33" s="2212">
        <v>1155.8082203798799</v>
      </c>
      <c r="DZ33" s="2212">
        <v>1594.5094045733499</v>
      </c>
      <c r="EA33" s="2212">
        <v>1071.3463061659099</v>
      </c>
      <c r="EB33" s="2212">
        <v>1575.7420800520399</v>
      </c>
      <c r="EC33" s="2212">
        <v>943.78344726282796</v>
      </c>
      <c r="ED33" s="2212">
        <v>904.95599377427402</v>
      </c>
      <c r="EE33" s="2212">
        <v>1099.3147019892999</v>
      </c>
      <c r="EF33" s="2212">
        <v>1183.28162140125</v>
      </c>
      <c r="EG33" s="2212">
        <v>1414.35537755119</v>
      </c>
      <c r="EH33" s="2212">
        <v>1242.9058501581901</v>
      </c>
      <c r="EI33" s="2212">
        <v>1255.58227186824</v>
      </c>
      <c r="EJ33" s="2212">
        <v>1651.5760109970199</v>
      </c>
      <c r="EK33" s="2212">
        <v>1193.56829211537</v>
      </c>
      <c r="EL33" s="2212">
        <v>1863.0801928764599</v>
      </c>
      <c r="EM33" s="2212">
        <v>1348.1493596963001</v>
      </c>
      <c r="EN33" s="2212">
        <v>1095.2486386416699</v>
      </c>
      <c r="EO33" s="2213">
        <v>1343.86034529631</v>
      </c>
      <c r="ER33" s="1829">
        <v>23</v>
      </c>
      <c r="ES33" s="1830">
        <v>1.50578450856098</v>
      </c>
      <c r="ET33" s="644"/>
      <c r="EU33" s="2156">
        <v>23</v>
      </c>
      <c r="EV33" s="2090" t="s">
        <v>1903</v>
      </c>
      <c r="EW33" s="2090" t="s">
        <v>1915</v>
      </c>
      <c r="EX33" s="2090" t="str">
        <f>Translation!B$579</f>
        <v>Ja</v>
      </c>
    </row>
    <row r="34" spans="2:154" ht="12.75" x14ac:dyDescent="0.2">
      <c r="B34" s="2090">
        <v>24</v>
      </c>
      <c r="C34" s="2090" t="s">
        <v>1903</v>
      </c>
      <c r="D34" s="2090" t="s">
        <v>1915</v>
      </c>
      <c r="E34" s="2090" t="str">
        <f>Translation!B$580</f>
        <v>Nein</v>
      </c>
      <c r="F34" s="1622">
        <v>24</v>
      </c>
      <c r="G34" s="2211">
        <v>10597.1616666667</v>
      </c>
      <c r="H34" s="2212">
        <v>280.31083333333299</v>
      </c>
      <c r="I34" s="2212">
        <v>886.70666666666705</v>
      </c>
      <c r="J34" s="2212">
        <v>18366.689999999999</v>
      </c>
      <c r="K34" s="2212">
        <v>5183.1400000000003</v>
      </c>
      <c r="L34" s="2212">
        <v>2418.7408333333301</v>
      </c>
      <c r="M34" s="2212">
        <v>4384.5666666666702</v>
      </c>
      <c r="N34" s="2212">
        <v>5824.1949999999997</v>
      </c>
      <c r="O34" s="2212">
        <v>623.64666666666699</v>
      </c>
      <c r="P34" s="2212">
        <v>3560.2258333333298</v>
      </c>
      <c r="Q34" s="2212">
        <v>1228.65083333333</v>
      </c>
      <c r="R34" s="2212">
        <v>5963.4358333333303</v>
      </c>
      <c r="S34" s="2212">
        <v>2704.5650000000001</v>
      </c>
      <c r="T34" s="2212">
        <v>864.77083333333303</v>
      </c>
      <c r="U34" s="2212">
        <v>647.80416666666702</v>
      </c>
      <c r="V34" s="2212">
        <v>7802.165</v>
      </c>
      <c r="W34" s="2212">
        <v>1398.0616666666699</v>
      </c>
      <c r="X34" s="2212">
        <v>4473.1783333333296</v>
      </c>
      <c r="Y34" s="2212">
        <v>2507.66166666667</v>
      </c>
      <c r="Z34" s="2212">
        <v>4096.38083333333</v>
      </c>
      <c r="AA34" s="2212">
        <v>6135.4425000000001</v>
      </c>
      <c r="AB34" s="2212">
        <v>625.97333333333302</v>
      </c>
      <c r="AC34" s="2212">
        <v>10605.598333333301</v>
      </c>
      <c r="AD34" s="2212">
        <v>5682.4158333333298</v>
      </c>
      <c r="AE34" s="2212">
        <v>1972.8641666666699</v>
      </c>
      <c r="AF34" s="2213">
        <v>21462.42</v>
      </c>
      <c r="AH34" s="1829">
        <v>24</v>
      </c>
      <c r="AI34" s="2124">
        <f>Risk_Compensation!H41*(Risk_Compensation!AK41+CO$144)*12/1000000</f>
        <v>0</v>
      </c>
      <c r="AJ34" s="2121">
        <f>Risk_Compensation!I41*(Risk_Compensation!AL41+CP$144)*12/1000000</f>
        <v>0</v>
      </c>
      <c r="AK34" s="2121">
        <f>Risk_Compensation!J41*(Risk_Compensation!AM41+CQ$144)*12/1000000</f>
        <v>0</v>
      </c>
      <c r="AL34" s="2121">
        <f>Risk_Compensation!K41*(Risk_Compensation!AN41+CR$144)*12/1000000</f>
        <v>0</v>
      </c>
      <c r="AM34" s="2121">
        <f>Risk_Compensation!L41*(Risk_Compensation!AO41+CS$144)*12/1000000</f>
        <v>0</v>
      </c>
      <c r="AN34" s="2121">
        <f>Risk_Compensation!M41*(Risk_Compensation!AP41+CT$144)*12/1000000</f>
        <v>0</v>
      </c>
      <c r="AO34" s="2121">
        <f>Risk_Compensation!N41*(Risk_Compensation!AQ41+CU$144)*12/1000000</f>
        <v>0</v>
      </c>
      <c r="AP34" s="2121">
        <f>Risk_Compensation!O41*(Risk_Compensation!AR41+CV$144)*12/1000000</f>
        <v>0</v>
      </c>
      <c r="AQ34" s="2121">
        <f>Risk_Compensation!P41*(Risk_Compensation!AS41+CW$144)*12/1000000</f>
        <v>0</v>
      </c>
      <c r="AR34" s="2121">
        <f>Risk_Compensation!Q41*(Risk_Compensation!AT41+CX$144)*12/1000000</f>
        <v>0</v>
      </c>
      <c r="AS34" s="2121">
        <f>Risk_Compensation!R41*(Risk_Compensation!AU41+CY$144)*12/1000000</f>
        <v>0</v>
      </c>
      <c r="AT34" s="2121">
        <f>Risk_Compensation!S41*(Risk_Compensation!AV41+CZ$144)*12/1000000</f>
        <v>0</v>
      </c>
      <c r="AU34" s="2121">
        <f>Risk_Compensation!T41*(Risk_Compensation!AW41+DA$144)*12/1000000</f>
        <v>0</v>
      </c>
      <c r="AV34" s="2121">
        <f>Risk_Compensation!U41*(Risk_Compensation!AX41+DB$144)*12/1000000</f>
        <v>0</v>
      </c>
      <c r="AW34" s="2121">
        <f>Risk_Compensation!V41*(Risk_Compensation!AY41+DC$144)*12/1000000</f>
        <v>0</v>
      </c>
      <c r="AX34" s="2121">
        <f>Risk_Compensation!W41*(Risk_Compensation!AZ41+DD$144)*12/1000000</f>
        <v>0</v>
      </c>
      <c r="AY34" s="2121">
        <f>Risk_Compensation!X41*(Risk_Compensation!BA41+DE$144)*12/1000000</f>
        <v>0</v>
      </c>
      <c r="AZ34" s="2121">
        <f>Risk_Compensation!Y41*(Risk_Compensation!BB41+DF$144)*12/1000000</f>
        <v>0</v>
      </c>
      <c r="BA34" s="2121">
        <f>Risk_Compensation!Z41*(Risk_Compensation!BC41+DG$144)*12/1000000</f>
        <v>0</v>
      </c>
      <c r="BB34" s="2121">
        <f>Risk_Compensation!AA41*(Risk_Compensation!BD41+DH$144)*12/1000000</f>
        <v>0</v>
      </c>
      <c r="BC34" s="2121">
        <f>Risk_Compensation!AB41*(Risk_Compensation!BE41+DI$144)*12/1000000</f>
        <v>0</v>
      </c>
      <c r="BD34" s="2121">
        <f>Risk_Compensation!AC41*(Risk_Compensation!BF41+DJ$144)*12/1000000</f>
        <v>0</v>
      </c>
      <c r="BE34" s="2121">
        <f>Risk_Compensation!AD41*(Risk_Compensation!BG41+DK$144)*12/1000000</f>
        <v>0</v>
      </c>
      <c r="BF34" s="2121">
        <f>Risk_Compensation!AE41*(Risk_Compensation!BH41+DL$144)*12/1000000</f>
        <v>0</v>
      </c>
      <c r="BG34" s="2121">
        <f>Risk_Compensation!AF41*(Risk_Compensation!BI41+DM$144)*12/1000000</f>
        <v>0</v>
      </c>
      <c r="BH34" s="2125">
        <f>Risk_Compensation!AG41*(Risk_Compensation!BJ41+DN$144)*12/1000000</f>
        <v>0</v>
      </c>
      <c r="BI34" s="644"/>
      <c r="BJ34" s="1829">
        <v>24</v>
      </c>
      <c r="BK34" s="2138">
        <f>IF(G34&lt;=0,0,(Risk_Compensation!H41/G34-Risk_Compensation!H$79/G$72-0.5*CO$167*($CK34-CO$135/G$72))*G34)</f>
        <v>0</v>
      </c>
      <c r="BL34" s="2139">
        <f>IF(H34&lt;=0,0,(Risk_Compensation!I41/H34-Risk_Compensation!I$79/H$72-0.5*CP$167*($CK34-CP$135/H$72))*H34)</f>
        <v>0</v>
      </c>
      <c r="BM34" s="2139">
        <f>IF(I34&lt;=0,0,(Risk_Compensation!J41/I34-Risk_Compensation!J$79/I$72-0.5*CQ$167*($CK34-CQ$135/I$72))*I34)</f>
        <v>0</v>
      </c>
      <c r="BN34" s="2139">
        <f>IF(J34&lt;=0,0,(Risk_Compensation!K41/J34-Risk_Compensation!K$79/J$72-0.5*CR$167*($CK34-CR$135/J$72))*J34)</f>
        <v>0</v>
      </c>
      <c r="BO34" s="2139">
        <f>IF(K34&lt;=0,0,(Risk_Compensation!L41/K34-Risk_Compensation!L$79/K$72-0.5*CS$167*($CK34-CS$135/K$72))*K34)</f>
        <v>0</v>
      </c>
      <c r="BP34" s="2139">
        <f>IF(L34&lt;=0,0,(Risk_Compensation!M41/L34-Risk_Compensation!M$79/L$72-0.5*CT$167*($CK34-CT$135/L$72))*L34)</f>
        <v>0</v>
      </c>
      <c r="BQ34" s="2139">
        <f>IF(M34&lt;=0,0,(Risk_Compensation!N41/M34-Risk_Compensation!N$79/M$72-0.5*CU$167*($CK34-CU$135/M$72))*M34)</f>
        <v>0</v>
      </c>
      <c r="BR34" s="2139">
        <f>IF(N34&lt;=0,0,(Risk_Compensation!O41/N34-Risk_Compensation!O$79/N$72-0.5*CV$167*($CK34-CV$135/N$72))*N34)</f>
        <v>0</v>
      </c>
      <c r="BS34" s="2139">
        <f>IF(O34&lt;=0,0,(Risk_Compensation!P41/O34-Risk_Compensation!P$79/O$72-0.5*CW$167*($CK34-CW$135/O$72))*O34)</f>
        <v>0</v>
      </c>
      <c r="BT34" s="2139">
        <f>IF(P34&lt;=0,0,(Risk_Compensation!Q41/P34-Risk_Compensation!Q$79/P$72-0.5*CX$167*($CK34-CX$135/P$72))*P34)</f>
        <v>0</v>
      </c>
      <c r="BU34" s="2139">
        <f>IF(Q34&lt;=0,0,(Risk_Compensation!R41/Q34-Risk_Compensation!R$79/Q$72-0.5*CY$167*($CK34-CY$135/Q$72))*Q34)</f>
        <v>0</v>
      </c>
      <c r="BV34" s="2139">
        <f>IF(R34&lt;=0,0,(Risk_Compensation!S41/R34-Risk_Compensation!S$79/R$72-0.5*CZ$167*($CK34-CZ$135/R$72))*R34)</f>
        <v>0</v>
      </c>
      <c r="BW34" s="2139">
        <f>IF(S34&lt;=0,0,(Risk_Compensation!T41/S34-Risk_Compensation!T$79/S$72-0.5*DA$167*($CK34-DA$135/S$72))*S34)</f>
        <v>0</v>
      </c>
      <c r="BX34" s="2139">
        <f>IF(T34&lt;=0,0,(Risk_Compensation!U41/T34-Risk_Compensation!U$79/T$72-0.5*DB$167*($CK34-DB$135/T$72))*T34)</f>
        <v>0</v>
      </c>
      <c r="BY34" s="2139">
        <f>IF(U34&lt;=0,0,(Risk_Compensation!V41/U34-Risk_Compensation!V$79/U$72-0.5*DC$167*($CK34-DC$135/U$72))*U34)</f>
        <v>0</v>
      </c>
      <c r="BZ34" s="2139">
        <f>IF(V34&lt;=0,0,(Risk_Compensation!W41/V34-Risk_Compensation!W$79/V$72-0.5*DD$167*($CK34-DD$135/V$72))*V34)</f>
        <v>0</v>
      </c>
      <c r="CA34" s="2139">
        <f>IF(W34&lt;=0,0,(Risk_Compensation!X41/W34-Risk_Compensation!X$79/W$72-0.5*DE$167*($CK34-DE$135/W$72))*W34)</f>
        <v>0</v>
      </c>
      <c r="CB34" s="2139">
        <f>IF(X34&lt;=0,0,(Risk_Compensation!Y41/X34-Risk_Compensation!Y$79/X$72-0.5*DF$167*($CK34-DF$135/X$72))*X34)</f>
        <v>0</v>
      </c>
      <c r="CC34" s="2139">
        <f>IF(Y34&lt;=0,0,(Risk_Compensation!Z41/Y34-Risk_Compensation!Z$79/Y$72-0.5*DG$167*($CK34-DG$135/Y$72))*Y34)</f>
        <v>0</v>
      </c>
      <c r="CD34" s="2139">
        <f>IF(Z34&lt;=0,0,(Risk_Compensation!AA41/Z34-Risk_Compensation!AA$79/Z$72-0.5*DH$167*($CK34-DH$135/Z$72))*Z34)</f>
        <v>0</v>
      </c>
      <c r="CE34" s="2139">
        <f>IF(AA34&lt;=0,0,(Risk_Compensation!AB41/AA34-Risk_Compensation!AB$79/AA$72-0.5*DI$167*($CK34-DI$135/AA$72))*AA34)</f>
        <v>0</v>
      </c>
      <c r="CF34" s="2139">
        <f>IF(AB34&lt;=0,0,(Risk_Compensation!AC41/AB34-Risk_Compensation!AC$79/AB$72-0.5*DJ$167*($CK34-DJ$135/AB$72))*AB34)</f>
        <v>0</v>
      </c>
      <c r="CG34" s="2139">
        <f>IF(AC34&lt;=0,0,(Risk_Compensation!AD41/AC34-Risk_Compensation!AD$79/AC$72-0.5*DK$167*($CK34-DK$135/AC$72))*AC34)</f>
        <v>0</v>
      </c>
      <c r="CH34" s="2139">
        <f>IF(AD34&lt;=0,0,(Risk_Compensation!AE41/AD34-Risk_Compensation!AE$79/AD$72-0.5*DL$167*($CK34-DL$135/AD$72))*AD34)</f>
        <v>0</v>
      </c>
      <c r="CI34" s="2139">
        <f>IF(AE34&lt;=0,0,(Risk_Compensation!AF41/AE34-Risk_Compensation!AF$79/AE$72-0.5*DM$167*($CK34-DM$135/AE$72))*AE34)</f>
        <v>0</v>
      </c>
      <c r="CJ34" s="2140">
        <f>IF(AF34&lt;=0,0,(Risk_Compensation!AG41/AF34-Risk_Compensation!AG$79/AF$72-0.5*DN$167*($CK34-DN$135/AF$72))*AF34)</f>
        <v>0</v>
      </c>
      <c r="CK34" s="2166">
        <v>0</v>
      </c>
      <c r="CL34" s="644"/>
      <c r="CM34" s="1829">
        <v>24</v>
      </c>
      <c r="CN34" s="2149">
        <f t="shared" si="0"/>
        <v>0</v>
      </c>
      <c r="CO34" s="2150">
        <f t="shared" si="1"/>
        <v>0</v>
      </c>
      <c r="CP34" s="2150">
        <f t="shared" si="2"/>
        <v>0</v>
      </c>
      <c r="CQ34" s="2150">
        <f t="shared" si="3"/>
        <v>0</v>
      </c>
      <c r="CR34" s="2150">
        <f t="shared" si="4"/>
        <v>0</v>
      </c>
      <c r="CS34" s="2150">
        <f t="shared" si="5"/>
        <v>0</v>
      </c>
      <c r="CT34" s="2150">
        <f t="shared" si="6"/>
        <v>0</v>
      </c>
      <c r="CU34" s="2150">
        <f t="shared" si="7"/>
        <v>0</v>
      </c>
      <c r="CV34" s="2150">
        <f t="shared" si="8"/>
        <v>0</v>
      </c>
      <c r="CW34" s="2150">
        <f t="shared" si="9"/>
        <v>0</v>
      </c>
      <c r="CX34" s="2150">
        <f t="shared" si="10"/>
        <v>0</v>
      </c>
      <c r="CY34" s="2150">
        <f t="shared" si="11"/>
        <v>0</v>
      </c>
      <c r="CZ34" s="2150">
        <f t="shared" si="12"/>
        <v>0</v>
      </c>
      <c r="DA34" s="2150">
        <f t="shared" si="13"/>
        <v>0</v>
      </c>
      <c r="DB34" s="2150">
        <f t="shared" si="14"/>
        <v>0</v>
      </c>
      <c r="DC34" s="2150">
        <f t="shared" si="15"/>
        <v>0</v>
      </c>
      <c r="DD34" s="2150">
        <f t="shared" si="16"/>
        <v>0</v>
      </c>
      <c r="DE34" s="2150">
        <f t="shared" si="17"/>
        <v>0</v>
      </c>
      <c r="DF34" s="2150">
        <f t="shared" si="18"/>
        <v>0</v>
      </c>
      <c r="DG34" s="2150">
        <f t="shared" si="19"/>
        <v>0</v>
      </c>
      <c r="DH34" s="2150">
        <f t="shared" si="20"/>
        <v>0</v>
      </c>
      <c r="DI34" s="2150">
        <f t="shared" si="21"/>
        <v>0</v>
      </c>
      <c r="DJ34" s="2150">
        <f t="shared" si="22"/>
        <v>0</v>
      </c>
      <c r="DK34" s="2150">
        <f t="shared" si="23"/>
        <v>0</v>
      </c>
      <c r="DL34" s="2150">
        <f t="shared" si="24"/>
        <v>0</v>
      </c>
      <c r="DM34" s="2151">
        <f t="shared" si="25"/>
        <v>0</v>
      </c>
      <c r="DN34" s="644"/>
      <c r="DO34" s="1829">
        <v>24</v>
      </c>
      <c r="DP34" s="2211">
        <v>439.93656831087998</v>
      </c>
      <c r="DQ34" s="2212">
        <v>185.47180758629</v>
      </c>
      <c r="DR34" s="2212">
        <v>511.11887794027899</v>
      </c>
      <c r="DS34" s="2212">
        <v>425.87227297610002</v>
      </c>
      <c r="DT34" s="2212">
        <v>453.37066961494298</v>
      </c>
      <c r="DU34" s="2212">
        <v>567.63788250354503</v>
      </c>
      <c r="DV34" s="2212">
        <v>491.69887102233201</v>
      </c>
      <c r="DW34" s="2212">
        <v>611.55904022095103</v>
      </c>
      <c r="DX34" s="2212">
        <v>370.30334401046298</v>
      </c>
      <c r="DY34" s="2212">
        <v>340.33696779390698</v>
      </c>
      <c r="DZ34" s="2212">
        <v>510.61138845413899</v>
      </c>
      <c r="EA34" s="2212">
        <v>446.13338653187901</v>
      </c>
      <c r="EB34" s="2212">
        <v>528.98290265659102</v>
      </c>
      <c r="EC34" s="2212">
        <v>319.19643588288801</v>
      </c>
      <c r="ED34" s="2212">
        <v>366.70677279477297</v>
      </c>
      <c r="EE34" s="2212">
        <v>403.84601853526101</v>
      </c>
      <c r="EF34" s="2212">
        <v>488.32277676883302</v>
      </c>
      <c r="EG34" s="2212">
        <v>473.656678306944</v>
      </c>
      <c r="EH34" s="2212">
        <v>418.85762677492301</v>
      </c>
      <c r="EI34" s="2212">
        <v>434.61055685627798</v>
      </c>
      <c r="EJ34" s="2212">
        <v>518.47637911560798</v>
      </c>
      <c r="EK34" s="2212">
        <v>386.41595647840501</v>
      </c>
      <c r="EL34" s="2212">
        <v>557.07191685937903</v>
      </c>
      <c r="EM34" s="2212">
        <v>460.82896982447897</v>
      </c>
      <c r="EN34" s="2212">
        <v>360.12362817363203</v>
      </c>
      <c r="EO34" s="2213">
        <v>478.65125744091</v>
      </c>
      <c r="ER34" s="1829">
        <v>24</v>
      </c>
      <c r="ES34" s="1830">
        <v>1.98420529547608</v>
      </c>
      <c r="ET34" s="644"/>
      <c r="EU34" s="2156">
        <v>24</v>
      </c>
      <c r="EV34" s="2090" t="s">
        <v>1903</v>
      </c>
      <c r="EW34" s="2090" t="s">
        <v>1915</v>
      </c>
      <c r="EX34" s="2090" t="str">
        <f>Translation!B$580</f>
        <v>Nein</v>
      </c>
    </row>
    <row r="35" spans="2:154" ht="12.75" x14ac:dyDescent="0.2">
      <c r="B35" s="2090">
        <v>25</v>
      </c>
      <c r="C35" s="2090" t="s">
        <v>1903</v>
      </c>
      <c r="D35" s="2090" t="s">
        <v>1916</v>
      </c>
      <c r="E35" s="2090" t="str">
        <f>Translation!B$579</f>
        <v>Ja</v>
      </c>
      <c r="F35" s="1622">
        <v>25</v>
      </c>
      <c r="G35" s="2211">
        <v>1722.19916666667</v>
      </c>
      <c r="H35" s="2212">
        <v>40.6116666666667</v>
      </c>
      <c r="I35" s="2212">
        <v>159.770833333333</v>
      </c>
      <c r="J35" s="2212">
        <v>2887.8775000000001</v>
      </c>
      <c r="K35" s="2212">
        <v>1039.9833333333299</v>
      </c>
      <c r="L35" s="2212">
        <v>591.87333333333299</v>
      </c>
      <c r="M35" s="2212">
        <v>713.42833333333294</v>
      </c>
      <c r="N35" s="2212">
        <v>1028.4791666666699</v>
      </c>
      <c r="O35" s="2212">
        <v>121.854166666667</v>
      </c>
      <c r="P35" s="2212">
        <v>595.636666666667</v>
      </c>
      <c r="Q35" s="2212">
        <v>225.1875</v>
      </c>
      <c r="R35" s="2212">
        <v>1008.06166666667</v>
      </c>
      <c r="S35" s="2212">
        <v>457.64749999999998</v>
      </c>
      <c r="T35" s="2212">
        <v>111.7</v>
      </c>
      <c r="U35" s="2212">
        <v>105.70083333333299</v>
      </c>
      <c r="V35" s="2212">
        <v>1307.9425000000001</v>
      </c>
      <c r="W35" s="2212">
        <v>239.18</v>
      </c>
      <c r="X35" s="2212">
        <v>768.56083333333299</v>
      </c>
      <c r="Y35" s="2212">
        <v>369.84666666666698</v>
      </c>
      <c r="Z35" s="2212">
        <v>697.35333333333301</v>
      </c>
      <c r="AA35" s="2212">
        <v>1334.3091666666701</v>
      </c>
      <c r="AB35" s="2212">
        <v>121.07666666666699</v>
      </c>
      <c r="AC35" s="2212">
        <v>1687.8816666666701</v>
      </c>
      <c r="AD35" s="2212">
        <v>901.06500000000005</v>
      </c>
      <c r="AE35" s="2212">
        <v>372.45083333333298</v>
      </c>
      <c r="AF35" s="2213">
        <v>3682.4650000000001</v>
      </c>
      <c r="AH35" s="1829">
        <v>25</v>
      </c>
      <c r="AI35" s="2124">
        <f>Risk_Compensation!H42*(Risk_Compensation!AK42+CO$144)*12/1000000</f>
        <v>0</v>
      </c>
      <c r="AJ35" s="2121">
        <f>Risk_Compensation!I42*(Risk_Compensation!AL42+CP$144)*12/1000000</f>
        <v>0</v>
      </c>
      <c r="AK35" s="2121">
        <f>Risk_Compensation!J42*(Risk_Compensation!AM42+CQ$144)*12/1000000</f>
        <v>0</v>
      </c>
      <c r="AL35" s="2121">
        <f>Risk_Compensation!K42*(Risk_Compensation!AN42+CR$144)*12/1000000</f>
        <v>0</v>
      </c>
      <c r="AM35" s="2121">
        <f>Risk_Compensation!L42*(Risk_Compensation!AO42+CS$144)*12/1000000</f>
        <v>0</v>
      </c>
      <c r="AN35" s="2121">
        <f>Risk_Compensation!M42*(Risk_Compensation!AP42+CT$144)*12/1000000</f>
        <v>0</v>
      </c>
      <c r="AO35" s="2121">
        <f>Risk_Compensation!N42*(Risk_Compensation!AQ42+CU$144)*12/1000000</f>
        <v>0</v>
      </c>
      <c r="AP35" s="2121">
        <f>Risk_Compensation!O42*(Risk_Compensation!AR42+CV$144)*12/1000000</f>
        <v>0</v>
      </c>
      <c r="AQ35" s="2121">
        <f>Risk_Compensation!P42*(Risk_Compensation!AS42+CW$144)*12/1000000</f>
        <v>0</v>
      </c>
      <c r="AR35" s="2121">
        <f>Risk_Compensation!Q42*(Risk_Compensation!AT42+CX$144)*12/1000000</f>
        <v>0</v>
      </c>
      <c r="AS35" s="2121">
        <f>Risk_Compensation!R42*(Risk_Compensation!AU42+CY$144)*12/1000000</f>
        <v>0</v>
      </c>
      <c r="AT35" s="2121">
        <f>Risk_Compensation!S42*(Risk_Compensation!AV42+CZ$144)*12/1000000</f>
        <v>0</v>
      </c>
      <c r="AU35" s="2121">
        <f>Risk_Compensation!T42*(Risk_Compensation!AW42+DA$144)*12/1000000</f>
        <v>0</v>
      </c>
      <c r="AV35" s="2121">
        <f>Risk_Compensation!U42*(Risk_Compensation!AX42+DB$144)*12/1000000</f>
        <v>0</v>
      </c>
      <c r="AW35" s="2121">
        <f>Risk_Compensation!V42*(Risk_Compensation!AY42+DC$144)*12/1000000</f>
        <v>0</v>
      </c>
      <c r="AX35" s="2121">
        <f>Risk_Compensation!W42*(Risk_Compensation!AZ42+DD$144)*12/1000000</f>
        <v>0</v>
      </c>
      <c r="AY35" s="2121">
        <f>Risk_Compensation!X42*(Risk_Compensation!BA42+DE$144)*12/1000000</f>
        <v>0</v>
      </c>
      <c r="AZ35" s="2121">
        <f>Risk_Compensation!Y42*(Risk_Compensation!BB42+DF$144)*12/1000000</f>
        <v>0</v>
      </c>
      <c r="BA35" s="2121">
        <f>Risk_Compensation!Z42*(Risk_Compensation!BC42+DG$144)*12/1000000</f>
        <v>0</v>
      </c>
      <c r="BB35" s="2121">
        <f>Risk_Compensation!AA42*(Risk_Compensation!BD42+DH$144)*12/1000000</f>
        <v>0</v>
      </c>
      <c r="BC35" s="2121">
        <f>Risk_Compensation!AB42*(Risk_Compensation!BE42+DI$144)*12/1000000</f>
        <v>0</v>
      </c>
      <c r="BD35" s="2121">
        <f>Risk_Compensation!AC42*(Risk_Compensation!BF42+DJ$144)*12/1000000</f>
        <v>0</v>
      </c>
      <c r="BE35" s="2121">
        <f>Risk_Compensation!AD42*(Risk_Compensation!BG42+DK$144)*12/1000000</f>
        <v>0</v>
      </c>
      <c r="BF35" s="2121">
        <f>Risk_Compensation!AE42*(Risk_Compensation!BH42+DL$144)*12/1000000</f>
        <v>0</v>
      </c>
      <c r="BG35" s="2121">
        <f>Risk_Compensation!AF42*(Risk_Compensation!BI42+DM$144)*12/1000000</f>
        <v>0</v>
      </c>
      <c r="BH35" s="2125">
        <f>Risk_Compensation!AG42*(Risk_Compensation!BJ42+DN$144)*12/1000000</f>
        <v>0</v>
      </c>
      <c r="BI35" s="644"/>
      <c r="BJ35" s="1829">
        <v>25</v>
      </c>
      <c r="BK35" s="2138">
        <f>IF(G35&lt;=0,0,(Risk_Compensation!H42/G35-Risk_Compensation!H$79/G$72-0.5*CO$167*($CK35-CO$135/G$72))*G35)</f>
        <v>0</v>
      </c>
      <c r="BL35" s="2139">
        <f>IF(H35&lt;=0,0,(Risk_Compensation!I42/H35-Risk_Compensation!I$79/H$72-0.5*CP$167*($CK35-CP$135/H$72))*H35)</f>
        <v>0</v>
      </c>
      <c r="BM35" s="2139">
        <f>IF(I35&lt;=0,0,(Risk_Compensation!J42/I35-Risk_Compensation!J$79/I$72-0.5*CQ$167*($CK35-CQ$135/I$72))*I35)</f>
        <v>0</v>
      </c>
      <c r="BN35" s="2139">
        <f>IF(J35&lt;=0,0,(Risk_Compensation!K42/J35-Risk_Compensation!K$79/J$72-0.5*CR$167*($CK35-CR$135/J$72))*J35)</f>
        <v>0</v>
      </c>
      <c r="BO35" s="2139">
        <f>IF(K35&lt;=0,0,(Risk_Compensation!L42/K35-Risk_Compensation!L$79/K$72-0.5*CS$167*($CK35-CS$135/K$72))*K35)</f>
        <v>0</v>
      </c>
      <c r="BP35" s="2139">
        <f>IF(L35&lt;=0,0,(Risk_Compensation!M42/L35-Risk_Compensation!M$79/L$72-0.5*CT$167*($CK35-CT$135/L$72))*L35)</f>
        <v>0</v>
      </c>
      <c r="BQ35" s="2139">
        <f>IF(M35&lt;=0,0,(Risk_Compensation!N42/M35-Risk_Compensation!N$79/M$72-0.5*CU$167*($CK35-CU$135/M$72))*M35)</f>
        <v>0</v>
      </c>
      <c r="BR35" s="2139">
        <f>IF(N35&lt;=0,0,(Risk_Compensation!O42/N35-Risk_Compensation!O$79/N$72-0.5*CV$167*($CK35-CV$135/N$72))*N35)</f>
        <v>0</v>
      </c>
      <c r="BS35" s="2139">
        <f>IF(O35&lt;=0,0,(Risk_Compensation!P42/O35-Risk_Compensation!P$79/O$72-0.5*CW$167*($CK35-CW$135/O$72))*O35)</f>
        <v>0</v>
      </c>
      <c r="BT35" s="2139">
        <f>IF(P35&lt;=0,0,(Risk_Compensation!Q42/P35-Risk_Compensation!Q$79/P$72-0.5*CX$167*($CK35-CX$135/P$72))*P35)</f>
        <v>0</v>
      </c>
      <c r="BU35" s="2139">
        <f>IF(Q35&lt;=0,0,(Risk_Compensation!R42/Q35-Risk_Compensation!R$79/Q$72-0.5*CY$167*($CK35-CY$135/Q$72))*Q35)</f>
        <v>0</v>
      </c>
      <c r="BV35" s="2139">
        <f>IF(R35&lt;=0,0,(Risk_Compensation!S42/R35-Risk_Compensation!S$79/R$72-0.5*CZ$167*($CK35-CZ$135/R$72))*R35)</f>
        <v>0</v>
      </c>
      <c r="BW35" s="2139">
        <f>IF(S35&lt;=0,0,(Risk_Compensation!T42/S35-Risk_Compensation!T$79/S$72-0.5*DA$167*($CK35-DA$135/S$72))*S35)</f>
        <v>0</v>
      </c>
      <c r="BX35" s="2139">
        <f>IF(T35&lt;=0,0,(Risk_Compensation!U42/T35-Risk_Compensation!U$79/T$72-0.5*DB$167*($CK35-DB$135/T$72))*T35)</f>
        <v>0</v>
      </c>
      <c r="BY35" s="2139">
        <f>IF(U35&lt;=0,0,(Risk_Compensation!V42/U35-Risk_Compensation!V$79/U$72-0.5*DC$167*($CK35-DC$135/U$72))*U35)</f>
        <v>0</v>
      </c>
      <c r="BZ35" s="2139">
        <f>IF(V35&lt;=0,0,(Risk_Compensation!W42/V35-Risk_Compensation!W$79/V$72-0.5*DD$167*($CK35-DD$135/V$72))*V35)</f>
        <v>0</v>
      </c>
      <c r="CA35" s="2139">
        <f>IF(W35&lt;=0,0,(Risk_Compensation!X42/W35-Risk_Compensation!X$79/W$72-0.5*DE$167*($CK35-DE$135/W$72))*W35)</f>
        <v>0</v>
      </c>
      <c r="CB35" s="2139">
        <f>IF(X35&lt;=0,0,(Risk_Compensation!Y42/X35-Risk_Compensation!Y$79/X$72-0.5*DF$167*($CK35-DF$135/X$72))*X35)</f>
        <v>0</v>
      </c>
      <c r="CC35" s="2139">
        <f>IF(Y35&lt;=0,0,(Risk_Compensation!Z42/Y35-Risk_Compensation!Z$79/Y$72-0.5*DG$167*($CK35-DG$135/Y$72))*Y35)</f>
        <v>0</v>
      </c>
      <c r="CD35" s="2139">
        <f>IF(Z35&lt;=0,0,(Risk_Compensation!AA42/Z35-Risk_Compensation!AA$79/Z$72-0.5*DH$167*($CK35-DH$135/Z$72))*Z35)</f>
        <v>0</v>
      </c>
      <c r="CE35" s="2139">
        <f>IF(AA35&lt;=0,0,(Risk_Compensation!AB42/AA35-Risk_Compensation!AB$79/AA$72-0.5*DI$167*($CK35-DI$135/AA$72))*AA35)</f>
        <v>0</v>
      </c>
      <c r="CF35" s="2139">
        <f>IF(AB35&lt;=0,0,(Risk_Compensation!AC42/AB35-Risk_Compensation!AC$79/AB$72-0.5*DJ$167*($CK35-DJ$135/AB$72))*AB35)</f>
        <v>0</v>
      </c>
      <c r="CG35" s="2139">
        <f>IF(AC35&lt;=0,0,(Risk_Compensation!AD42/AC35-Risk_Compensation!AD$79/AC$72-0.5*DK$167*($CK35-DK$135/AC$72))*AC35)</f>
        <v>0</v>
      </c>
      <c r="CH35" s="2139">
        <f>IF(AD35&lt;=0,0,(Risk_Compensation!AE42/AD35-Risk_Compensation!AE$79/AD$72-0.5*DL$167*($CK35-DL$135/AD$72))*AD35)</f>
        <v>0</v>
      </c>
      <c r="CI35" s="2139">
        <f>IF(AE35&lt;=0,0,(Risk_Compensation!AF42/AE35-Risk_Compensation!AF$79/AE$72-0.5*DM$167*($CK35-DM$135/AE$72))*AE35)</f>
        <v>0</v>
      </c>
      <c r="CJ35" s="2140">
        <f>IF(AF35&lt;=0,0,(Risk_Compensation!AG42/AF35-Risk_Compensation!AG$79/AF$72-0.5*DN$167*($CK35-DN$135/AF$72))*AF35)</f>
        <v>0</v>
      </c>
      <c r="CK35" s="2166">
        <v>0</v>
      </c>
      <c r="CL35" s="644"/>
      <c r="CM35" s="1829">
        <v>25</v>
      </c>
      <c r="CN35" s="2149">
        <f t="shared" si="0"/>
        <v>0</v>
      </c>
      <c r="CO35" s="2150">
        <f t="shared" si="1"/>
        <v>0</v>
      </c>
      <c r="CP35" s="2150">
        <f t="shared" si="2"/>
        <v>0</v>
      </c>
      <c r="CQ35" s="2150">
        <f t="shared" si="3"/>
        <v>0</v>
      </c>
      <c r="CR35" s="2150">
        <f t="shared" si="4"/>
        <v>0</v>
      </c>
      <c r="CS35" s="2150">
        <f t="shared" si="5"/>
        <v>0</v>
      </c>
      <c r="CT35" s="2150">
        <f t="shared" si="6"/>
        <v>0</v>
      </c>
      <c r="CU35" s="2150">
        <f t="shared" si="7"/>
        <v>0</v>
      </c>
      <c r="CV35" s="2150">
        <f t="shared" si="8"/>
        <v>0</v>
      </c>
      <c r="CW35" s="2150">
        <f t="shared" si="9"/>
        <v>0</v>
      </c>
      <c r="CX35" s="2150">
        <f t="shared" si="10"/>
        <v>0</v>
      </c>
      <c r="CY35" s="2150">
        <f t="shared" si="11"/>
        <v>0</v>
      </c>
      <c r="CZ35" s="2150">
        <f t="shared" si="12"/>
        <v>0</v>
      </c>
      <c r="DA35" s="2150">
        <f t="shared" si="13"/>
        <v>0</v>
      </c>
      <c r="DB35" s="2150">
        <f t="shared" si="14"/>
        <v>0</v>
      </c>
      <c r="DC35" s="2150">
        <f t="shared" si="15"/>
        <v>0</v>
      </c>
      <c r="DD35" s="2150">
        <f t="shared" si="16"/>
        <v>0</v>
      </c>
      <c r="DE35" s="2150">
        <f t="shared" si="17"/>
        <v>0</v>
      </c>
      <c r="DF35" s="2150">
        <f t="shared" si="18"/>
        <v>0</v>
      </c>
      <c r="DG35" s="2150">
        <f t="shared" si="19"/>
        <v>0</v>
      </c>
      <c r="DH35" s="2150">
        <f t="shared" si="20"/>
        <v>0</v>
      </c>
      <c r="DI35" s="2150">
        <f t="shared" si="21"/>
        <v>0</v>
      </c>
      <c r="DJ35" s="2150">
        <f t="shared" si="22"/>
        <v>0</v>
      </c>
      <c r="DK35" s="2150">
        <f t="shared" si="23"/>
        <v>0</v>
      </c>
      <c r="DL35" s="2150">
        <f t="shared" si="24"/>
        <v>0</v>
      </c>
      <c r="DM35" s="2151">
        <f t="shared" si="25"/>
        <v>0</v>
      </c>
      <c r="DN35" s="644"/>
      <c r="DO35" s="1829">
        <v>25</v>
      </c>
      <c r="DP35" s="2211">
        <v>1411.4394593969801</v>
      </c>
      <c r="DQ35" s="2212">
        <v>1387.0661375156601</v>
      </c>
      <c r="DR35" s="2212">
        <v>1326.1568498916099</v>
      </c>
      <c r="DS35" s="2212">
        <v>1425.04545524475</v>
      </c>
      <c r="DT35" s="2212">
        <v>1547.2648869409099</v>
      </c>
      <c r="DU35" s="2212">
        <v>1651.0250775582099</v>
      </c>
      <c r="DV35" s="2212">
        <v>1456.95964634761</v>
      </c>
      <c r="DW35" s="2212">
        <v>2041.53565096995</v>
      </c>
      <c r="DX35" s="2212">
        <v>1471.7435947807501</v>
      </c>
      <c r="DY35" s="2212">
        <v>1192.3770626512801</v>
      </c>
      <c r="DZ35" s="2212">
        <v>1828.6321554265601</v>
      </c>
      <c r="EA35" s="2212">
        <v>1284.6025984865701</v>
      </c>
      <c r="EB35" s="2212">
        <v>1954.9156097821401</v>
      </c>
      <c r="EC35" s="2212">
        <v>1239.69612117473</v>
      </c>
      <c r="ED35" s="2212">
        <v>1077.68440727239</v>
      </c>
      <c r="EE35" s="2212">
        <v>1286.7114871670501</v>
      </c>
      <c r="EF35" s="2212">
        <v>1012.0953652350501</v>
      </c>
      <c r="EG35" s="2212">
        <v>1341.77311449025</v>
      </c>
      <c r="EH35" s="2212">
        <v>1276.08614882201</v>
      </c>
      <c r="EI35" s="2212">
        <v>1408.7064026923699</v>
      </c>
      <c r="EJ35" s="2212">
        <v>1819.1042681593301</v>
      </c>
      <c r="EK35" s="2212">
        <v>984.77385253158798</v>
      </c>
      <c r="EL35" s="2212">
        <v>1975.93122765726</v>
      </c>
      <c r="EM35" s="2212">
        <v>1482.1674410031701</v>
      </c>
      <c r="EN35" s="2212">
        <v>1306.6753535477401</v>
      </c>
      <c r="EO35" s="2213">
        <v>1500.0691655169801</v>
      </c>
      <c r="ER35" s="1829">
        <v>25</v>
      </c>
      <c r="ES35" s="1830">
        <v>1.4189492048333301</v>
      </c>
      <c r="ET35" s="644"/>
      <c r="EU35" s="2156">
        <v>25</v>
      </c>
      <c r="EV35" s="2090" t="s">
        <v>1903</v>
      </c>
      <c r="EW35" s="2090" t="s">
        <v>1916</v>
      </c>
      <c r="EX35" s="2090" t="str">
        <f>Translation!B$579</f>
        <v>Ja</v>
      </c>
    </row>
    <row r="36" spans="2:154" ht="12.75" x14ac:dyDescent="0.2">
      <c r="B36" s="2090">
        <v>26</v>
      </c>
      <c r="C36" s="2090" t="s">
        <v>1903</v>
      </c>
      <c r="D36" s="2090" t="s">
        <v>1916</v>
      </c>
      <c r="E36" s="2090" t="str">
        <f>Translation!B$580</f>
        <v>Nein</v>
      </c>
      <c r="F36" s="1622">
        <v>26</v>
      </c>
      <c r="G36" s="2211">
        <v>6236.9425000000001</v>
      </c>
      <c r="H36" s="2212">
        <v>182.58750000000001</v>
      </c>
      <c r="I36" s="2212">
        <v>524.66666666666697</v>
      </c>
      <c r="J36" s="2212">
        <v>10772.178333333301</v>
      </c>
      <c r="K36" s="2212">
        <v>3427.4141666666701</v>
      </c>
      <c r="L36" s="2212">
        <v>1659.9583333333301</v>
      </c>
      <c r="M36" s="2212">
        <v>2498.4466666666699</v>
      </c>
      <c r="N36" s="2212">
        <v>3764.2091666666702</v>
      </c>
      <c r="O36" s="2212">
        <v>396.613333333333</v>
      </c>
      <c r="P36" s="2212">
        <v>2177.9349999999999</v>
      </c>
      <c r="Q36" s="2212">
        <v>660.34666666666703</v>
      </c>
      <c r="R36" s="2212">
        <v>3629.5466666666698</v>
      </c>
      <c r="S36" s="2212">
        <v>1626.04833333333</v>
      </c>
      <c r="T36" s="2212">
        <v>462.45749999999998</v>
      </c>
      <c r="U36" s="2212">
        <v>389.505</v>
      </c>
      <c r="V36" s="2212">
        <v>4783.0225</v>
      </c>
      <c r="W36" s="2212">
        <v>891.19</v>
      </c>
      <c r="X36" s="2212">
        <v>2666.12</v>
      </c>
      <c r="Y36" s="2212">
        <v>1473.9183333333301</v>
      </c>
      <c r="Z36" s="2212">
        <v>2385.8308333333298</v>
      </c>
      <c r="AA36" s="2212">
        <v>4087.76</v>
      </c>
      <c r="AB36" s="2212">
        <v>368.52333333333303</v>
      </c>
      <c r="AC36" s="2212">
        <v>6187.15916666667</v>
      </c>
      <c r="AD36" s="2212">
        <v>3240.7024999999999</v>
      </c>
      <c r="AE36" s="2212">
        <v>1163.29416666667</v>
      </c>
      <c r="AF36" s="2213">
        <v>13432.5858333333</v>
      </c>
      <c r="AH36" s="1829">
        <v>26</v>
      </c>
      <c r="AI36" s="2124">
        <f>Risk_Compensation!H43*(Risk_Compensation!AK43+CO$144)*12/1000000</f>
        <v>0</v>
      </c>
      <c r="AJ36" s="2121">
        <f>Risk_Compensation!I43*(Risk_Compensation!AL43+CP$144)*12/1000000</f>
        <v>0</v>
      </c>
      <c r="AK36" s="2121">
        <f>Risk_Compensation!J43*(Risk_Compensation!AM43+CQ$144)*12/1000000</f>
        <v>0</v>
      </c>
      <c r="AL36" s="2121">
        <f>Risk_Compensation!K43*(Risk_Compensation!AN43+CR$144)*12/1000000</f>
        <v>0</v>
      </c>
      <c r="AM36" s="2121">
        <f>Risk_Compensation!L43*(Risk_Compensation!AO43+CS$144)*12/1000000</f>
        <v>0</v>
      </c>
      <c r="AN36" s="2121">
        <f>Risk_Compensation!M43*(Risk_Compensation!AP43+CT$144)*12/1000000</f>
        <v>0</v>
      </c>
      <c r="AO36" s="2121">
        <f>Risk_Compensation!N43*(Risk_Compensation!AQ43+CU$144)*12/1000000</f>
        <v>0</v>
      </c>
      <c r="AP36" s="2121">
        <f>Risk_Compensation!O43*(Risk_Compensation!AR43+CV$144)*12/1000000</f>
        <v>0</v>
      </c>
      <c r="AQ36" s="2121">
        <f>Risk_Compensation!P43*(Risk_Compensation!AS43+CW$144)*12/1000000</f>
        <v>0</v>
      </c>
      <c r="AR36" s="2121">
        <f>Risk_Compensation!Q43*(Risk_Compensation!AT43+CX$144)*12/1000000</f>
        <v>0</v>
      </c>
      <c r="AS36" s="2121">
        <f>Risk_Compensation!R43*(Risk_Compensation!AU43+CY$144)*12/1000000</f>
        <v>0</v>
      </c>
      <c r="AT36" s="2121">
        <f>Risk_Compensation!S43*(Risk_Compensation!AV43+CZ$144)*12/1000000</f>
        <v>0</v>
      </c>
      <c r="AU36" s="2121">
        <f>Risk_Compensation!T43*(Risk_Compensation!AW43+DA$144)*12/1000000</f>
        <v>0</v>
      </c>
      <c r="AV36" s="2121">
        <f>Risk_Compensation!U43*(Risk_Compensation!AX43+DB$144)*12/1000000</f>
        <v>0</v>
      </c>
      <c r="AW36" s="2121">
        <f>Risk_Compensation!V43*(Risk_Compensation!AY43+DC$144)*12/1000000</f>
        <v>0</v>
      </c>
      <c r="AX36" s="2121">
        <f>Risk_Compensation!W43*(Risk_Compensation!AZ43+DD$144)*12/1000000</f>
        <v>0</v>
      </c>
      <c r="AY36" s="2121">
        <f>Risk_Compensation!X43*(Risk_Compensation!BA43+DE$144)*12/1000000</f>
        <v>0</v>
      </c>
      <c r="AZ36" s="2121">
        <f>Risk_Compensation!Y43*(Risk_Compensation!BB43+DF$144)*12/1000000</f>
        <v>0</v>
      </c>
      <c r="BA36" s="2121">
        <f>Risk_Compensation!Z43*(Risk_Compensation!BC43+DG$144)*12/1000000</f>
        <v>0</v>
      </c>
      <c r="BB36" s="2121">
        <f>Risk_Compensation!AA43*(Risk_Compensation!BD43+DH$144)*12/1000000</f>
        <v>0</v>
      </c>
      <c r="BC36" s="2121">
        <f>Risk_Compensation!AB43*(Risk_Compensation!BE43+DI$144)*12/1000000</f>
        <v>0</v>
      </c>
      <c r="BD36" s="2121">
        <f>Risk_Compensation!AC43*(Risk_Compensation!BF43+DJ$144)*12/1000000</f>
        <v>0</v>
      </c>
      <c r="BE36" s="2121">
        <f>Risk_Compensation!AD43*(Risk_Compensation!BG43+DK$144)*12/1000000</f>
        <v>0</v>
      </c>
      <c r="BF36" s="2121">
        <f>Risk_Compensation!AE43*(Risk_Compensation!BH43+DL$144)*12/1000000</f>
        <v>0</v>
      </c>
      <c r="BG36" s="2121">
        <f>Risk_Compensation!AF43*(Risk_Compensation!BI43+DM$144)*12/1000000</f>
        <v>0</v>
      </c>
      <c r="BH36" s="2125">
        <f>Risk_Compensation!AG43*(Risk_Compensation!BJ43+DN$144)*12/1000000</f>
        <v>0</v>
      </c>
      <c r="BI36" s="644"/>
      <c r="BJ36" s="1829">
        <v>26</v>
      </c>
      <c r="BK36" s="2138">
        <f>IF(G36&lt;=0,0,(Risk_Compensation!H43/G36-Risk_Compensation!H$79/G$72-0.5*CO$167*($CK36-CO$135/G$72))*G36)</f>
        <v>0</v>
      </c>
      <c r="BL36" s="2139">
        <f>IF(H36&lt;=0,0,(Risk_Compensation!I43/H36-Risk_Compensation!I$79/H$72-0.5*CP$167*($CK36-CP$135/H$72))*H36)</f>
        <v>0</v>
      </c>
      <c r="BM36" s="2139">
        <f>IF(I36&lt;=0,0,(Risk_Compensation!J43/I36-Risk_Compensation!J$79/I$72-0.5*CQ$167*($CK36-CQ$135/I$72))*I36)</f>
        <v>0</v>
      </c>
      <c r="BN36" s="2139">
        <f>IF(J36&lt;=0,0,(Risk_Compensation!K43/J36-Risk_Compensation!K$79/J$72-0.5*CR$167*($CK36-CR$135/J$72))*J36)</f>
        <v>0</v>
      </c>
      <c r="BO36" s="2139">
        <f>IF(K36&lt;=0,0,(Risk_Compensation!L43/K36-Risk_Compensation!L$79/K$72-0.5*CS$167*($CK36-CS$135/K$72))*K36)</f>
        <v>0</v>
      </c>
      <c r="BP36" s="2139">
        <f>IF(L36&lt;=0,0,(Risk_Compensation!M43/L36-Risk_Compensation!M$79/L$72-0.5*CT$167*($CK36-CT$135/L$72))*L36)</f>
        <v>0</v>
      </c>
      <c r="BQ36" s="2139">
        <f>IF(M36&lt;=0,0,(Risk_Compensation!N43/M36-Risk_Compensation!N$79/M$72-0.5*CU$167*($CK36-CU$135/M$72))*M36)</f>
        <v>0</v>
      </c>
      <c r="BR36" s="2139">
        <f>IF(N36&lt;=0,0,(Risk_Compensation!O43/N36-Risk_Compensation!O$79/N$72-0.5*CV$167*($CK36-CV$135/N$72))*N36)</f>
        <v>0</v>
      </c>
      <c r="BS36" s="2139">
        <f>IF(O36&lt;=0,0,(Risk_Compensation!P43/O36-Risk_Compensation!P$79/O$72-0.5*CW$167*($CK36-CW$135/O$72))*O36)</f>
        <v>0</v>
      </c>
      <c r="BT36" s="2139">
        <f>IF(P36&lt;=0,0,(Risk_Compensation!Q43/P36-Risk_Compensation!Q$79/P$72-0.5*CX$167*($CK36-CX$135/P$72))*P36)</f>
        <v>0</v>
      </c>
      <c r="BU36" s="2139">
        <f>IF(Q36&lt;=0,0,(Risk_Compensation!R43/Q36-Risk_Compensation!R$79/Q$72-0.5*CY$167*($CK36-CY$135/Q$72))*Q36)</f>
        <v>0</v>
      </c>
      <c r="BV36" s="2139">
        <f>IF(R36&lt;=0,0,(Risk_Compensation!S43/R36-Risk_Compensation!S$79/R$72-0.5*CZ$167*($CK36-CZ$135/R$72))*R36)</f>
        <v>0</v>
      </c>
      <c r="BW36" s="2139">
        <f>IF(S36&lt;=0,0,(Risk_Compensation!T43/S36-Risk_Compensation!T$79/S$72-0.5*DA$167*($CK36-DA$135/S$72))*S36)</f>
        <v>0</v>
      </c>
      <c r="BX36" s="2139">
        <f>IF(T36&lt;=0,0,(Risk_Compensation!U43/T36-Risk_Compensation!U$79/T$72-0.5*DB$167*($CK36-DB$135/T$72))*T36)</f>
        <v>0</v>
      </c>
      <c r="BY36" s="2139">
        <f>IF(U36&lt;=0,0,(Risk_Compensation!V43/U36-Risk_Compensation!V$79/U$72-0.5*DC$167*($CK36-DC$135/U$72))*U36)</f>
        <v>0</v>
      </c>
      <c r="BZ36" s="2139">
        <f>IF(V36&lt;=0,0,(Risk_Compensation!W43/V36-Risk_Compensation!W$79/V$72-0.5*DD$167*($CK36-DD$135/V$72))*V36)</f>
        <v>0</v>
      </c>
      <c r="CA36" s="2139">
        <f>IF(W36&lt;=0,0,(Risk_Compensation!X43/W36-Risk_Compensation!X$79/W$72-0.5*DE$167*($CK36-DE$135/W$72))*W36)</f>
        <v>0</v>
      </c>
      <c r="CB36" s="2139">
        <f>IF(X36&lt;=0,0,(Risk_Compensation!Y43/X36-Risk_Compensation!Y$79/X$72-0.5*DF$167*($CK36-DF$135/X$72))*X36)</f>
        <v>0</v>
      </c>
      <c r="CC36" s="2139">
        <f>IF(Y36&lt;=0,0,(Risk_Compensation!Z43/Y36-Risk_Compensation!Z$79/Y$72-0.5*DG$167*($CK36-DG$135/Y$72))*Y36)</f>
        <v>0</v>
      </c>
      <c r="CD36" s="2139">
        <f>IF(Z36&lt;=0,0,(Risk_Compensation!AA43/Z36-Risk_Compensation!AA$79/Z$72-0.5*DH$167*($CK36-DH$135/Z$72))*Z36)</f>
        <v>0</v>
      </c>
      <c r="CE36" s="2139">
        <f>IF(AA36&lt;=0,0,(Risk_Compensation!AB43/AA36-Risk_Compensation!AB$79/AA$72-0.5*DI$167*($CK36-DI$135/AA$72))*AA36)</f>
        <v>0</v>
      </c>
      <c r="CF36" s="2139">
        <f>IF(AB36&lt;=0,0,(Risk_Compensation!AC43/AB36-Risk_Compensation!AC$79/AB$72-0.5*DJ$167*($CK36-DJ$135/AB$72))*AB36)</f>
        <v>0</v>
      </c>
      <c r="CG36" s="2139">
        <f>IF(AC36&lt;=0,0,(Risk_Compensation!AD43/AC36-Risk_Compensation!AD$79/AC$72-0.5*DK$167*($CK36-DK$135/AC$72))*AC36)</f>
        <v>0</v>
      </c>
      <c r="CH36" s="2139">
        <f>IF(AD36&lt;=0,0,(Risk_Compensation!AE43/AD36-Risk_Compensation!AE$79/AD$72-0.5*DL$167*($CK36-DL$135/AD$72))*AD36)</f>
        <v>0</v>
      </c>
      <c r="CI36" s="2139">
        <f>IF(AE36&lt;=0,0,(Risk_Compensation!AF43/AE36-Risk_Compensation!AF$79/AE$72-0.5*DM$167*($CK36-DM$135/AE$72))*AE36)</f>
        <v>0</v>
      </c>
      <c r="CJ36" s="2140">
        <f>IF(AF36&lt;=0,0,(Risk_Compensation!AG43/AF36-Risk_Compensation!AG$79/AF$72-0.5*DN$167*($CK36-DN$135/AF$72))*AF36)</f>
        <v>0</v>
      </c>
      <c r="CK36" s="2166">
        <v>0</v>
      </c>
      <c r="CL36" s="644"/>
      <c r="CM36" s="1829">
        <v>26</v>
      </c>
      <c r="CN36" s="2149">
        <f t="shared" si="0"/>
        <v>0</v>
      </c>
      <c r="CO36" s="2150">
        <f t="shared" si="1"/>
        <v>0</v>
      </c>
      <c r="CP36" s="2150">
        <f t="shared" si="2"/>
        <v>0</v>
      </c>
      <c r="CQ36" s="2150">
        <f t="shared" si="3"/>
        <v>0</v>
      </c>
      <c r="CR36" s="2150">
        <f t="shared" si="4"/>
        <v>0</v>
      </c>
      <c r="CS36" s="2150">
        <f t="shared" si="5"/>
        <v>0</v>
      </c>
      <c r="CT36" s="2150">
        <f t="shared" si="6"/>
        <v>0</v>
      </c>
      <c r="CU36" s="2150">
        <f t="shared" si="7"/>
        <v>0</v>
      </c>
      <c r="CV36" s="2150">
        <f t="shared" si="8"/>
        <v>0</v>
      </c>
      <c r="CW36" s="2150">
        <f t="shared" si="9"/>
        <v>0</v>
      </c>
      <c r="CX36" s="2150">
        <f t="shared" si="10"/>
        <v>0</v>
      </c>
      <c r="CY36" s="2150">
        <f t="shared" si="11"/>
        <v>0</v>
      </c>
      <c r="CZ36" s="2150">
        <f t="shared" si="12"/>
        <v>0</v>
      </c>
      <c r="DA36" s="2150">
        <f t="shared" si="13"/>
        <v>0</v>
      </c>
      <c r="DB36" s="2150">
        <f t="shared" si="14"/>
        <v>0</v>
      </c>
      <c r="DC36" s="2150">
        <f t="shared" si="15"/>
        <v>0</v>
      </c>
      <c r="DD36" s="2150">
        <f t="shared" si="16"/>
        <v>0</v>
      </c>
      <c r="DE36" s="2150">
        <f t="shared" si="17"/>
        <v>0</v>
      </c>
      <c r="DF36" s="2150">
        <f t="shared" si="18"/>
        <v>0</v>
      </c>
      <c r="DG36" s="2150">
        <f t="shared" si="19"/>
        <v>0</v>
      </c>
      <c r="DH36" s="2150">
        <f t="shared" si="20"/>
        <v>0</v>
      </c>
      <c r="DI36" s="2150">
        <f t="shared" si="21"/>
        <v>0</v>
      </c>
      <c r="DJ36" s="2150">
        <f t="shared" si="22"/>
        <v>0</v>
      </c>
      <c r="DK36" s="2150">
        <f t="shared" si="23"/>
        <v>0</v>
      </c>
      <c r="DL36" s="2150">
        <f t="shared" si="24"/>
        <v>0</v>
      </c>
      <c r="DM36" s="2151">
        <f t="shared" si="25"/>
        <v>0</v>
      </c>
      <c r="DN36" s="644"/>
      <c r="DO36" s="1829">
        <v>26</v>
      </c>
      <c r="DP36" s="2211">
        <v>511.75994893131798</v>
      </c>
      <c r="DQ36" s="2212">
        <v>349.13399348783901</v>
      </c>
      <c r="DR36" s="2212">
        <v>393.53198833475699</v>
      </c>
      <c r="DS36" s="2212">
        <v>515.53102663385096</v>
      </c>
      <c r="DT36" s="2212">
        <v>532.84828895189696</v>
      </c>
      <c r="DU36" s="2212">
        <v>656.54408656437499</v>
      </c>
      <c r="DV36" s="2212">
        <v>521.03366731808603</v>
      </c>
      <c r="DW36" s="2212">
        <v>729.33378730366701</v>
      </c>
      <c r="DX36" s="2212">
        <v>531.07985415947905</v>
      </c>
      <c r="DY36" s="2212">
        <v>460.85429175034398</v>
      </c>
      <c r="DZ36" s="2212">
        <v>657.54571899021801</v>
      </c>
      <c r="EA36" s="2212">
        <v>492.05033441988098</v>
      </c>
      <c r="EB36" s="2212">
        <v>626.16526078462505</v>
      </c>
      <c r="EC36" s="2212">
        <v>418.31603105365502</v>
      </c>
      <c r="ED36" s="2212">
        <v>346.06659561694698</v>
      </c>
      <c r="EE36" s="2212">
        <v>459.63361073888001</v>
      </c>
      <c r="EF36" s="2212">
        <v>479.49101240357999</v>
      </c>
      <c r="EG36" s="2212">
        <v>511.81843201566198</v>
      </c>
      <c r="EH36" s="2212">
        <v>489.36191635670599</v>
      </c>
      <c r="EI36" s="2212">
        <v>508.06666579696002</v>
      </c>
      <c r="EJ36" s="2212">
        <v>652.58064967197799</v>
      </c>
      <c r="EK36" s="2212">
        <v>396.93579687705699</v>
      </c>
      <c r="EL36" s="2212">
        <v>720.87424670754694</v>
      </c>
      <c r="EM36" s="2212">
        <v>501.78687239166101</v>
      </c>
      <c r="EN36" s="2212">
        <v>544.50395942941202</v>
      </c>
      <c r="EO36" s="2213">
        <v>543.97890220241504</v>
      </c>
      <c r="ER36" s="1829">
        <v>26</v>
      </c>
      <c r="ES36" s="1830">
        <v>1.8220897181435201</v>
      </c>
      <c r="ET36" s="644"/>
      <c r="EU36" s="2156">
        <v>26</v>
      </c>
      <c r="EV36" s="2090" t="s">
        <v>1903</v>
      </c>
      <c r="EW36" s="2090" t="s">
        <v>1916</v>
      </c>
      <c r="EX36" s="2090" t="str">
        <f>Translation!B$580</f>
        <v>Nein</v>
      </c>
    </row>
    <row r="37" spans="2:154" ht="12.75" x14ac:dyDescent="0.2">
      <c r="B37" s="2090">
        <v>27</v>
      </c>
      <c r="C37" s="2090" t="s">
        <v>1903</v>
      </c>
      <c r="D37" s="2090" t="s">
        <v>1917</v>
      </c>
      <c r="E37" s="2090" t="str">
        <f>Translation!B$579</f>
        <v>Ja</v>
      </c>
      <c r="F37" s="1622">
        <v>27</v>
      </c>
      <c r="G37" s="2211">
        <v>1160.1058333333301</v>
      </c>
      <c r="H37" s="2212">
        <v>38.618333333333297</v>
      </c>
      <c r="I37" s="2212">
        <v>97.6933333333333</v>
      </c>
      <c r="J37" s="2212">
        <v>2100.4575</v>
      </c>
      <c r="K37" s="2212">
        <v>807.27833333333297</v>
      </c>
      <c r="L37" s="2212">
        <v>474.13</v>
      </c>
      <c r="M37" s="2212">
        <v>480.98333333333301</v>
      </c>
      <c r="N37" s="2212">
        <v>861.8125</v>
      </c>
      <c r="O37" s="2212">
        <v>81.254166666666706</v>
      </c>
      <c r="P37" s="2212">
        <v>394.175833333333</v>
      </c>
      <c r="Q37" s="2212">
        <v>166.35499999999999</v>
      </c>
      <c r="R37" s="2212">
        <v>760.74833333333299</v>
      </c>
      <c r="S37" s="2212">
        <v>316.0675</v>
      </c>
      <c r="T37" s="2212">
        <v>83.263333333333307</v>
      </c>
      <c r="U37" s="2212">
        <v>61.177500000000002</v>
      </c>
      <c r="V37" s="2212">
        <v>884.61083333333295</v>
      </c>
      <c r="W37" s="2212">
        <v>163.63249999999999</v>
      </c>
      <c r="X37" s="2212">
        <v>538.79666666666697</v>
      </c>
      <c r="Y37" s="2212">
        <v>293.29750000000001</v>
      </c>
      <c r="Z37" s="2212">
        <v>497.566666666667</v>
      </c>
      <c r="AA37" s="2212">
        <v>1072.43916666667</v>
      </c>
      <c r="AB37" s="2212">
        <v>87.31</v>
      </c>
      <c r="AC37" s="2212">
        <v>1279.24</v>
      </c>
      <c r="AD37" s="2212">
        <v>616.15583333333302</v>
      </c>
      <c r="AE37" s="2212">
        <v>207.17666666666699</v>
      </c>
      <c r="AF37" s="2213">
        <v>2690.9949999999999</v>
      </c>
      <c r="AH37" s="1829">
        <v>27</v>
      </c>
      <c r="AI37" s="2124">
        <f>Risk_Compensation!H44*(Risk_Compensation!AK44+CO$144)*12/1000000</f>
        <v>0</v>
      </c>
      <c r="AJ37" s="2121">
        <f>Risk_Compensation!I44*(Risk_Compensation!AL44+CP$144)*12/1000000</f>
        <v>0</v>
      </c>
      <c r="AK37" s="2121">
        <f>Risk_Compensation!J44*(Risk_Compensation!AM44+CQ$144)*12/1000000</f>
        <v>0</v>
      </c>
      <c r="AL37" s="2121">
        <f>Risk_Compensation!K44*(Risk_Compensation!AN44+CR$144)*12/1000000</f>
        <v>0</v>
      </c>
      <c r="AM37" s="2121">
        <f>Risk_Compensation!L44*(Risk_Compensation!AO44+CS$144)*12/1000000</f>
        <v>0</v>
      </c>
      <c r="AN37" s="2121">
        <f>Risk_Compensation!M44*(Risk_Compensation!AP44+CT$144)*12/1000000</f>
        <v>0</v>
      </c>
      <c r="AO37" s="2121">
        <f>Risk_Compensation!N44*(Risk_Compensation!AQ44+CU$144)*12/1000000</f>
        <v>0</v>
      </c>
      <c r="AP37" s="2121">
        <f>Risk_Compensation!O44*(Risk_Compensation!AR44+CV$144)*12/1000000</f>
        <v>0</v>
      </c>
      <c r="AQ37" s="2121">
        <f>Risk_Compensation!P44*(Risk_Compensation!AS44+CW$144)*12/1000000</f>
        <v>0</v>
      </c>
      <c r="AR37" s="2121">
        <f>Risk_Compensation!Q44*(Risk_Compensation!AT44+CX$144)*12/1000000</f>
        <v>0</v>
      </c>
      <c r="AS37" s="2121">
        <f>Risk_Compensation!R44*(Risk_Compensation!AU44+CY$144)*12/1000000</f>
        <v>0</v>
      </c>
      <c r="AT37" s="2121">
        <f>Risk_Compensation!S44*(Risk_Compensation!AV44+CZ$144)*12/1000000</f>
        <v>0</v>
      </c>
      <c r="AU37" s="2121">
        <f>Risk_Compensation!T44*(Risk_Compensation!AW44+DA$144)*12/1000000</f>
        <v>0</v>
      </c>
      <c r="AV37" s="2121">
        <f>Risk_Compensation!U44*(Risk_Compensation!AX44+DB$144)*12/1000000</f>
        <v>0</v>
      </c>
      <c r="AW37" s="2121">
        <f>Risk_Compensation!V44*(Risk_Compensation!AY44+DC$144)*12/1000000</f>
        <v>0</v>
      </c>
      <c r="AX37" s="2121">
        <f>Risk_Compensation!W44*(Risk_Compensation!AZ44+DD$144)*12/1000000</f>
        <v>0</v>
      </c>
      <c r="AY37" s="2121">
        <f>Risk_Compensation!X44*(Risk_Compensation!BA44+DE$144)*12/1000000</f>
        <v>0</v>
      </c>
      <c r="AZ37" s="2121">
        <f>Risk_Compensation!Y44*(Risk_Compensation!BB44+DF$144)*12/1000000</f>
        <v>0</v>
      </c>
      <c r="BA37" s="2121">
        <f>Risk_Compensation!Z44*(Risk_Compensation!BC44+DG$144)*12/1000000</f>
        <v>0</v>
      </c>
      <c r="BB37" s="2121">
        <f>Risk_Compensation!AA44*(Risk_Compensation!BD44+DH$144)*12/1000000</f>
        <v>0</v>
      </c>
      <c r="BC37" s="2121">
        <f>Risk_Compensation!AB44*(Risk_Compensation!BE44+DI$144)*12/1000000</f>
        <v>0</v>
      </c>
      <c r="BD37" s="2121">
        <f>Risk_Compensation!AC44*(Risk_Compensation!BF44+DJ$144)*12/1000000</f>
        <v>0</v>
      </c>
      <c r="BE37" s="2121">
        <f>Risk_Compensation!AD44*(Risk_Compensation!BG44+DK$144)*12/1000000</f>
        <v>0</v>
      </c>
      <c r="BF37" s="2121">
        <f>Risk_Compensation!AE44*(Risk_Compensation!BH44+DL$144)*12/1000000</f>
        <v>0</v>
      </c>
      <c r="BG37" s="2121">
        <f>Risk_Compensation!AF44*(Risk_Compensation!BI44+DM$144)*12/1000000</f>
        <v>0</v>
      </c>
      <c r="BH37" s="2125">
        <f>Risk_Compensation!AG44*(Risk_Compensation!BJ44+DN$144)*12/1000000</f>
        <v>0</v>
      </c>
      <c r="BI37" s="644"/>
      <c r="BJ37" s="1829">
        <v>27</v>
      </c>
      <c r="BK37" s="2138">
        <f>IF(G37&lt;=0,0,(Risk_Compensation!H44/G37-Risk_Compensation!H$79/G$72-0.5*CO$167*($CK37-CO$135/G$72))*G37)</f>
        <v>0</v>
      </c>
      <c r="BL37" s="2139">
        <f>IF(H37&lt;=0,0,(Risk_Compensation!I44/H37-Risk_Compensation!I$79/H$72-0.5*CP$167*($CK37-CP$135/H$72))*H37)</f>
        <v>0</v>
      </c>
      <c r="BM37" s="2139">
        <f>IF(I37&lt;=0,0,(Risk_Compensation!J44/I37-Risk_Compensation!J$79/I$72-0.5*CQ$167*($CK37-CQ$135/I$72))*I37)</f>
        <v>0</v>
      </c>
      <c r="BN37" s="2139">
        <f>IF(J37&lt;=0,0,(Risk_Compensation!K44/J37-Risk_Compensation!K$79/J$72-0.5*CR$167*($CK37-CR$135/J$72))*J37)</f>
        <v>0</v>
      </c>
      <c r="BO37" s="2139">
        <f>IF(K37&lt;=0,0,(Risk_Compensation!L44/K37-Risk_Compensation!L$79/K$72-0.5*CS$167*($CK37-CS$135/K$72))*K37)</f>
        <v>0</v>
      </c>
      <c r="BP37" s="2139">
        <f>IF(L37&lt;=0,0,(Risk_Compensation!M44/L37-Risk_Compensation!M$79/L$72-0.5*CT$167*($CK37-CT$135/L$72))*L37)</f>
        <v>0</v>
      </c>
      <c r="BQ37" s="2139">
        <f>IF(M37&lt;=0,0,(Risk_Compensation!N44/M37-Risk_Compensation!N$79/M$72-0.5*CU$167*($CK37-CU$135/M$72))*M37)</f>
        <v>0</v>
      </c>
      <c r="BR37" s="2139">
        <f>IF(N37&lt;=0,0,(Risk_Compensation!O44/N37-Risk_Compensation!O$79/N$72-0.5*CV$167*($CK37-CV$135/N$72))*N37)</f>
        <v>0</v>
      </c>
      <c r="BS37" s="2139">
        <f>IF(O37&lt;=0,0,(Risk_Compensation!P44/O37-Risk_Compensation!P$79/O$72-0.5*CW$167*($CK37-CW$135/O$72))*O37)</f>
        <v>0</v>
      </c>
      <c r="BT37" s="2139">
        <f>IF(P37&lt;=0,0,(Risk_Compensation!Q44/P37-Risk_Compensation!Q$79/P$72-0.5*CX$167*($CK37-CX$135/P$72))*P37)</f>
        <v>0</v>
      </c>
      <c r="BU37" s="2139">
        <f>IF(Q37&lt;=0,0,(Risk_Compensation!R44/Q37-Risk_Compensation!R$79/Q$72-0.5*CY$167*($CK37-CY$135/Q$72))*Q37)</f>
        <v>0</v>
      </c>
      <c r="BV37" s="2139">
        <f>IF(R37&lt;=0,0,(Risk_Compensation!S44/R37-Risk_Compensation!S$79/R$72-0.5*CZ$167*($CK37-CZ$135/R$72))*R37)</f>
        <v>0</v>
      </c>
      <c r="BW37" s="2139">
        <f>IF(S37&lt;=0,0,(Risk_Compensation!T44/S37-Risk_Compensation!T$79/S$72-0.5*DA$167*($CK37-DA$135/S$72))*S37)</f>
        <v>0</v>
      </c>
      <c r="BX37" s="2139">
        <f>IF(T37&lt;=0,0,(Risk_Compensation!U44/T37-Risk_Compensation!U$79/T$72-0.5*DB$167*($CK37-DB$135/T$72))*T37)</f>
        <v>0</v>
      </c>
      <c r="BY37" s="2139">
        <f>IF(U37&lt;=0,0,(Risk_Compensation!V44/U37-Risk_Compensation!V$79/U$72-0.5*DC$167*($CK37-DC$135/U$72))*U37)</f>
        <v>0</v>
      </c>
      <c r="BZ37" s="2139">
        <f>IF(V37&lt;=0,0,(Risk_Compensation!W44/V37-Risk_Compensation!W$79/V$72-0.5*DD$167*($CK37-DD$135/V$72))*V37)</f>
        <v>0</v>
      </c>
      <c r="CA37" s="2139">
        <f>IF(W37&lt;=0,0,(Risk_Compensation!X44/W37-Risk_Compensation!X$79/W$72-0.5*DE$167*($CK37-DE$135/W$72))*W37)</f>
        <v>0</v>
      </c>
      <c r="CB37" s="2139">
        <f>IF(X37&lt;=0,0,(Risk_Compensation!Y44/X37-Risk_Compensation!Y$79/X$72-0.5*DF$167*($CK37-DF$135/X$72))*X37)</f>
        <v>0</v>
      </c>
      <c r="CC37" s="2139">
        <f>IF(Y37&lt;=0,0,(Risk_Compensation!Z44/Y37-Risk_Compensation!Z$79/Y$72-0.5*DG$167*($CK37-DG$135/Y$72))*Y37)</f>
        <v>0</v>
      </c>
      <c r="CD37" s="2139">
        <f>IF(Z37&lt;=0,0,(Risk_Compensation!AA44/Z37-Risk_Compensation!AA$79/Z$72-0.5*DH$167*($CK37-DH$135/Z$72))*Z37)</f>
        <v>0</v>
      </c>
      <c r="CE37" s="2139">
        <f>IF(AA37&lt;=0,0,(Risk_Compensation!AB44/AA37-Risk_Compensation!AB$79/AA$72-0.5*DI$167*($CK37-DI$135/AA$72))*AA37)</f>
        <v>0</v>
      </c>
      <c r="CF37" s="2139">
        <f>IF(AB37&lt;=0,0,(Risk_Compensation!AC44/AB37-Risk_Compensation!AC$79/AB$72-0.5*DJ$167*($CK37-DJ$135/AB$72))*AB37)</f>
        <v>0</v>
      </c>
      <c r="CG37" s="2139">
        <f>IF(AC37&lt;=0,0,(Risk_Compensation!AD44/AC37-Risk_Compensation!AD$79/AC$72-0.5*DK$167*($CK37-DK$135/AC$72))*AC37)</f>
        <v>0</v>
      </c>
      <c r="CH37" s="2139">
        <f>IF(AD37&lt;=0,0,(Risk_Compensation!AE44/AD37-Risk_Compensation!AE$79/AD$72-0.5*DL$167*($CK37-DL$135/AD$72))*AD37)</f>
        <v>0</v>
      </c>
      <c r="CI37" s="2139">
        <f>IF(AE37&lt;=0,0,(Risk_Compensation!AF44/AE37-Risk_Compensation!AF$79/AE$72-0.5*DM$167*($CK37-DM$135/AE$72))*AE37)</f>
        <v>0</v>
      </c>
      <c r="CJ37" s="2140">
        <f>IF(AF37&lt;=0,0,(Risk_Compensation!AG44/AF37-Risk_Compensation!AG$79/AF$72-0.5*DN$167*($CK37-DN$135/AF$72))*AF37)</f>
        <v>0</v>
      </c>
      <c r="CK37" s="2166">
        <v>0</v>
      </c>
      <c r="CL37" s="644"/>
      <c r="CM37" s="1829">
        <v>27</v>
      </c>
      <c r="CN37" s="2149">
        <f t="shared" si="0"/>
        <v>0</v>
      </c>
      <c r="CO37" s="2150">
        <f t="shared" si="1"/>
        <v>0</v>
      </c>
      <c r="CP37" s="2150">
        <f t="shared" si="2"/>
        <v>0</v>
      </c>
      <c r="CQ37" s="2150">
        <f t="shared" si="3"/>
        <v>0</v>
      </c>
      <c r="CR37" s="2150">
        <f t="shared" si="4"/>
        <v>0</v>
      </c>
      <c r="CS37" s="2150">
        <f t="shared" si="5"/>
        <v>0</v>
      </c>
      <c r="CT37" s="2150">
        <f t="shared" si="6"/>
        <v>0</v>
      </c>
      <c r="CU37" s="2150">
        <f t="shared" si="7"/>
        <v>0</v>
      </c>
      <c r="CV37" s="2150">
        <f t="shared" si="8"/>
        <v>0</v>
      </c>
      <c r="CW37" s="2150">
        <f t="shared" si="9"/>
        <v>0</v>
      </c>
      <c r="CX37" s="2150">
        <f t="shared" si="10"/>
        <v>0</v>
      </c>
      <c r="CY37" s="2150">
        <f t="shared" si="11"/>
        <v>0</v>
      </c>
      <c r="CZ37" s="2150">
        <f t="shared" si="12"/>
        <v>0</v>
      </c>
      <c r="DA37" s="2150">
        <f t="shared" si="13"/>
        <v>0</v>
      </c>
      <c r="DB37" s="2150">
        <f t="shared" si="14"/>
        <v>0</v>
      </c>
      <c r="DC37" s="2150">
        <f t="shared" si="15"/>
        <v>0</v>
      </c>
      <c r="DD37" s="2150">
        <f t="shared" si="16"/>
        <v>0</v>
      </c>
      <c r="DE37" s="2150">
        <f t="shared" si="17"/>
        <v>0</v>
      </c>
      <c r="DF37" s="2150">
        <f t="shared" si="18"/>
        <v>0</v>
      </c>
      <c r="DG37" s="2150">
        <f t="shared" si="19"/>
        <v>0</v>
      </c>
      <c r="DH37" s="2150">
        <f t="shared" si="20"/>
        <v>0</v>
      </c>
      <c r="DI37" s="2150">
        <f t="shared" si="21"/>
        <v>0</v>
      </c>
      <c r="DJ37" s="2150">
        <f t="shared" si="22"/>
        <v>0</v>
      </c>
      <c r="DK37" s="2150">
        <f t="shared" si="23"/>
        <v>0</v>
      </c>
      <c r="DL37" s="2150">
        <f t="shared" si="24"/>
        <v>0</v>
      </c>
      <c r="DM37" s="2151">
        <f t="shared" si="25"/>
        <v>0</v>
      </c>
      <c r="DN37" s="644"/>
      <c r="DO37" s="1829">
        <v>27</v>
      </c>
      <c r="DP37" s="2211">
        <v>1528.71403970039</v>
      </c>
      <c r="DQ37" s="2212">
        <v>1312.3931748105399</v>
      </c>
      <c r="DR37" s="2212">
        <v>1258.52275396505</v>
      </c>
      <c r="DS37" s="2212">
        <v>1616.6628655055199</v>
      </c>
      <c r="DT37" s="2212">
        <v>1645.36114832925</v>
      </c>
      <c r="DU37" s="2212">
        <v>1889.21524538783</v>
      </c>
      <c r="DV37" s="2212">
        <v>1892.95731253437</v>
      </c>
      <c r="DW37" s="2212">
        <v>2545.7972905008801</v>
      </c>
      <c r="DX37" s="2212">
        <v>1194.36648471384</v>
      </c>
      <c r="DY37" s="2212">
        <v>1248.6908834542201</v>
      </c>
      <c r="DZ37" s="2212">
        <v>1918.23584744868</v>
      </c>
      <c r="EA37" s="2212">
        <v>1463.2693465023001</v>
      </c>
      <c r="EB37" s="2212">
        <v>1887.6461664292599</v>
      </c>
      <c r="EC37" s="2212">
        <v>1234.1660978950899</v>
      </c>
      <c r="ED37" s="2212">
        <v>1365.8234034540999</v>
      </c>
      <c r="EE37" s="2212">
        <v>1250.2681136301101</v>
      </c>
      <c r="EF37" s="2212">
        <v>1137.65713902383</v>
      </c>
      <c r="EG37" s="2212">
        <v>1457.485651662</v>
      </c>
      <c r="EH37" s="2212">
        <v>1504.9739824087501</v>
      </c>
      <c r="EI37" s="2212">
        <v>1487.1443115572699</v>
      </c>
      <c r="EJ37" s="2212">
        <v>2032.7673050065</v>
      </c>
      <c r="EK37" s="2212">
        <v>1308.34788327658</v>
      </c>
      <c r="EL37" s="2212">
        <v>2304.8374685262502</v>
      </c>
      <c r="EM37" s="2212">
        <v>1660.2322271876201</v>
      </c>
      <c r="EN37" s="2212">
        <v>1353.2443537189399</v>
      </c>
      <c r="EO37" s="2213">
        <v>1684.7944056603401</v>
      </c>
      <c r="ER37" s="1829">
        <v>27</v>
      </c>
      <c r="ES37" s="1830">
        <v>1.2587905513562201</v>
      </c>
      <c r="ET37" s="644"/>
      <c r="EU37" s="2156">
        <v>27</v>
      </c>
      <c r="EV37" s="2090" t="s">
        <v>1903</v>
      </c>
      <c r="EW37" s="2090" t="s">
        <v>1917</v>
      </c>
      <c r="EX37" s="2090" t="str">
        <f>Translation!B$579</f>
        <v>Ja</v>
      </c>
    </row>
    <row r="38" spans="2:154" ht="12.75" x14ac:dyDescent="0.2">
      <c r="B38" s="2090">
        <v>28</v>
      </c>
      <c r="C38" s="2090" t="s">
        <v>1903</v>
      </c>
      <c r="D38" s="2090" t="s">
        <v>1917</v>
      </c>
      <c r="E38" s="2090" t="str">
        <f>Translation!B$580</f>
        <v>Nein</v>
      </c>
      <c r="F38" s="1622">
        <v>28</v>
      </c>
      <c r="G38" s="2211">
        <v>2881.6374999999998</v>
      </c>
      <c r="H38" s="2212">
        <v>80.263333333333307</v>
      </c>
      <c r="I38" s="2212">
        <v>244.57666666666699</v>
      </c>
      <c r="J38" s="2212">
        <v>5143.8666666666704</v>
      </c>
      <c r="K38" s="2212">
        <v>1669.4766666666701</v>
      </c>
      <c r="L38" s="2212">
        <v>864.69583333333298</v>
      </c>
      <c r="M38" s="2212">
        <v>1053.47583333333</v>
      </c>
      <c r="N38" s="2212">
        <v>1933.4583333333301</v>
      </c>
      <c r="O38" s="2212">
        <v>173.39666666666699</v>
      </c>
      <c r="P38" s="2212">
        <v>1040.7766666666701</v>
      </c>
      <c r="Q38" s="2212">
        <v>361.91500000000002</v>
      </c>
      <c r="R38" s="2212">
        <v>1828.7774999999999</v>
      </c>
      <c r="S38" s="2212">
        <v>798.44083333333299</v>
      </c>
      <c r="T38" s="2212">
        <v>226.9975</v>
      </c>
      <c r="U38" s="2212">
        <v>166.81416666666701</v>
      </c>
      <c r="V38" s="2212">
        <v>2213.1916666666698</v>
      </c>
      <c r="W38" s="2212">
        <v>449.77333333333303</v>
      </c>
      <c r="X38" s="2212">
        <v>1319.27583333333</v>
      </c>
      <c r="Y38" s="2212">
        <v>705.75166666666701</v>
      </c>
      <c r="Z38" s="2212">
        <v>1109.76583333333</v>
      </c>
      <c r="AA38" s="2212">
        <v>1964.0216666666699</v>
      </c>
      <c r="AB38" s="2212">
        <v>168.631666666667</v>
      </c>
      <c r="AC38" s="2212">
        <v>3044.51166666667</v>
      </c>
      <c r="AD38" s="2212">
        <v>1586.99833333333</v>
      </c>
      <c r="AE38" s="2212">
        <v>510.91333333333301</v>
      </c>
      <c r="AF38" s="2213">
        <v>6799.8983333333299</v>
      </c>
      <c r="AH38" s="1829">
        <v>28</v>
      </c>
      <c r="AI38" s="2124">
        <f>Risk_Compensation!H45*(Risk_Compensation!AK45+CO$144)*12/1000000</f>
        <v>0</v>
      </c>
      <c r="AJ38" s="2121">
        <f>Risk_Compensation!I45*(Risk_Compensation!AL45+CP$144)*12/1000000</f>
        <v>0</v>
      </c>
      <c r="AK38" s="2121">
        <f>Risk_Compensation!J45*(Risk_Compensation!AM45+CQ$144)*12/1000000</f>
        <v>0</v>
      </c>
      <c r="AL38" s="2121">
        <f>Risk_Compensation!K45*(Risk_Compensation!AN45+CR$144)*12/1000000</f>
        <v>0</v>
      </c>
      <c r="AM38" s="2121">
        <f>Risk_Compensation!L45*(Risk_Compensation!AO45+CS$144)*12/1000000</f>
        <v>0</v>
      </c>
      <c r="AN38" s="2121">
        <f>Risk_Compensation!M45*(Risk_Compensation!AP45+CT$144)*12/1000000</f>
        <v>0</v>
      </c>
      <c r="AO38" s="2121">
        <f>Risk_Compensation!N45*(Risk_Compensation!AQ45+CU$144)*12/1000000</f>
        <v>0</v>
      </c>
      <c r="AP38" s="2121">
        <f>Risk_Compensation!O45*(Risk_Compensation!AR45+CV$144)*12/1000000</f>
        <v>0</v>
      </c>
      <c r="AQ38" s="2121">
        <f>Risk_Compensation!P45*(Risk_Compensation!AS45+CW$144)*12/1000000</f>
        <v>0</v>
      </c>
      <c r="AR38" s="2121">
        <f>Risk_Compensation!Q45*(Risk_Compensation!AT45+CX$144)*12/1000000</f>
        <v>0</v>
      </c>
      <c r="AS38" s="2121">
        <f>Risk_Compensation!R45*(Risk_Compensation!AU45+CY$144)*12/1000000</f>
        <v>0</v>
      </c>
      <c r="AT38" s="2121">
        <f>Risk_Compensation!S45*(Risk_Compensation!AV45+CZ$144)*12/1000000</f>
        <v>0</v>
      </c>
      <c r="AU38" s="2121">
        <f>Risk_Compensation!T45*(Risk_Compensation!AW45+DA$144)*12/1000000</f>
        <v>0</v>
      </c>
      <c r="AV38" s="2121">
        <f>Risk_Compensation!U45*(Risk_Compensation!AX45+DB$144)*12/1000000</f>
        <v>0</v>
      </c>
      <c r="AW38" s="2121">
        <f>Risk_Compensation!V45*(Risk_Compensation!AY45+DC$144)*12/1000000</f>
        <v>0</v>
      </c>
      <c r="AX38" s="2121">
        <f>Risk_Compensation!W45*(Risk_Compensation!AZ45+DD$144)*12/1000000</f>
        <v>0</v>
      </c>
      <c r="AY38" s="2121">
        <f>Risk_Compensation!X45*(Risk_Compensation!BA45+DE$144)*12/1000000</f>
        <v>0</v>
      </c>
      <c r="AZ38" s="2121">
        <f>Risk_Compensation!Y45*(Risk_Compensation!BB45+DF$144)*12/1000000</f>
        <v>0</v>
      </c>
      <c r="BA38" s="2121">
        <f>Risk_Compensation!Z45*(Risk_Compensation!BC45+DG$144)*12/1000000</f>
        <v>0</v>
      </c>
      <c r="BB38" s="2121">
        <f>Risk_Compensation!AA45*(Risk_Compensation!BD45+DH$144)*12/1000000</f>
        <v>0</v>
      </c>
      <c r="BC38" s="2121">
        <f>Risk_Compensation!AB45*(Risk_Compensation!BE45+DI$144)*12/1000000</f>
        <v>0</v>
      </c>
      <c r="BD38" s="2121">
        <f>Risk_Compensation!AC45*(Risk_Compensation!BF45+DJ$144)*12/1000000</f>
        <v>0</v>
      </c>
      <c r="BE38" s="2121">
        <f>Risk_Compensation!AD45*(Risk_Compensation!BG45+DK$144)*12/1000000</f>
        <v>0</v>
      </c>
      <c r="BF38" s="2121">
        <f>Risk_Compensation!AE45*(Risk_Compensation!BH45+DL$144)*12/1000000</f>
        <v>0</v>
      </c>
      <c r="BG38" s="2121">
        <f>Risk_Compensation!AF45*(Risk_Compensation!BI45+DM$144)*12/1000000</f>
        <v>0</v>
      </c>
      <c r="BH38" s="2125">
        <f>Risk_Compensation!AG45*(Risk_Compensation!BJ45+DN$144)*12/1000000</f>
        <v>0</v>
      </c>
      <c r="BI38" s="644"/>
      <c r="BJ38" s="1829">
        <v>28</v>
      </c>
      <c r="BK38" s="2138">
        <f>IF(G38&lt;=0,0,(Risk_Compensation!H45/G38-Risk_Compensation!H$79/G$72-0.5*CO$167*($CK38-CO$135/G$72))*G38)</f>
        <v>0</v>
      </c>
      <c r="BL38" s="2139">
        <f>IF(H38&lt;=0,0,(Risk_Compensation!I45/H38-Risk_Compensation!I$79/H$72-0.5*CP$167*($CK38-CP$135/H$72))*H38)</f>
        <v>0</v>
      </c>
      <c r="BM38" s="2139">
        <f>IF(I38&lt;=0,0,(Risk_Compensation!J45/I38-Risk_Compensation!J$79/I$72-0.5*CQ$167*($CK38-CQ$135/I$72))*I38)</f>
        <v>0</v>
      </c>
      <c r="BN38" s="2139">
        <f>IF(J38&lt;=0,0,(Risk_Compensation!K45/J38-Risk_Compensation!K$79/J$72-0.5*CR$167*($CK38-CR$135/J$72))*J38)</f>
        <v>0</v>
      </c>
      <c r="BO38" s="2139">
        <f>IF(K38&lt;=0,0,(Risk_Compensation!L45/K38-Risk_Compensation!L$79/K$72-0.5*CS$167*($CK38-CS$135/K$72))*K38)</f>
        <v>0</v>
      </c>
      <c r="BP38" s="2139">
        <f>IF(L38&lt;=0,0,(Risk_Compensation!M45/L38-Risk_Compensation!M$79/L$72-0.5*CT$167*($CK38-CT$135/L$72))*L38)</f>
        <v>0</v>
      </c>
      <c r="BQ38" s="2139">
        <f>IF(M38&lt;=0,0,(Risk_Compensation!N45/M38-Risk_Compensation!N$79/M$72-0.5*CU$167*($CK38-CU$135/M$72))*M38)</f>
        <v>0</v>
      </c>
      <c r="BR38" s="2139">
        <f>IF(N38&lt;=0,0,(Risk_Compensation!O45/N38-Risk_Compensation!O$79/N$72-0.5*CV$167*($CK38-CV$135/N$72))*N38)</f>
        <v>0</v>
      </c>
      <c r="BS38" s="2139">
        <f>IF(O38&lt;=0,0,(Risk_Compensation!P45/O38-Risk_Compensation!P$79/O$72-0.5*CW$167*($CK38-CW$135/O$72))*O38)</f>
        <v>0</v>
      </c>
      <c r="BT38" s="2139">
        <f>IF(P38&lt;=0,0,(Risk_Compensation!Q45/P38-Risk_Compensation!Q$79/P$72-0.5*CX$167*($CK38-CX$135/P$72))*P38)</f>
        <v>0</v>
      </c>
      <c r="BU38" s="2139">
        <f>IF(Q38&lt;=0,0,(Risk_Compensation!R45/Q38-Risk_Compensation!R$79/Q$72-0.5*CY$167*($CK38-CY$135/Q$72))*Q38)</f>
        <v>0</v>
      </c>
      <c r="BV38" s="2139">
        <f>IF(R38&lt;=0,0,(Risk_Compensation!S45/R38-Risk_Compensation!S$79/R$72-0.5*CZ$167*($CK38-CZ$135/R$72))*R38)</f>
        <v>0</v>
      </c>
      <c r="BW38" s="2139">
        <f>IF(S38&lt;=0,0,(Risk_Compensation!T45/S38-Risk_Compensation!T$79/S$72-0.5*DA$167*($CK38-DA$135/S$72))*S38)</f>
        <v>0</v>
      </c>
      <c r="BX38" s="2139">
        <f>IF(T38&lt;=0,0,(Risk_Compensation!U45/T38-Risk_Compensation!U$79/T$72-0.5*DB$167*($CK38-DB$135/T$72))*T38)</f>
        <v>0</v>
      </c>
      <c r="BY38" s="2139">
        <f>IF(U38&lt;=0,0,(Risk_Compensation!V45/U38-Risk_Compensation!V$79/U$72-0.5*DC$167*($CK38-DC$135/U$72))*U38)</f>
        <v>0</v>
      </c>
      <c r="BZ38" s="2139">
        <f>IF(V38&lt;=0,0,(Risk_Compensation!W45/V38-Risk_Compensation!W$79/V$72-0.5*DD$167*($CK38-DD$135/V$72))*V38)</f>
        <v>0</v>
      </c>
      <c r="CA38" s="2139">
        <f>IF(W38&lt;=0,0,(Risk_Compensation!X45/W38-Risk_Compensation!X$79/W$72-0.5*DE$167*($CK38-DE$135/W$72))*W38)</f>
        <v>0</v>
      </c>
      <c r="CB38" s="2139">
        <f>IF(X38&lt;=0,0,(Risk_Compensation!Y45/X38-Risk_Compensation!Y$79/X$72-0.5*DF$167*($CK38-DF$135/X$72))*X38)</f>
        <v>0</v>
      </c>
      <c r="CC38" s="2139">
        <f>IF(Y38&lt;=0,0,(Risk_Compensation!Z45/Y38-Risk_Compensation!Z$79/Y$72-0.5*DG$167*($CK38-DG$135/Y$72))*Y38)</f>
        <v>0</v>
      </c>
      <c r="CD38" s="2139">
        <f>IF(Z38&lt;=0,0,(Risk_Compensation!AA45/Z38-Risk_Compensation!AA$79/Z$72-0.5*DH$167*($CK38-DH$135/Z$72))*Z38)</f>
        <v>0</v>
      </c>
      <c r="CE38" s="2139">
        <f>IF(AA38&lt;=0,0,(Risk_Compensation!AB45/AA38-Risk_Compensation!AB$79/AA$72-0.5*DI$167*($CK38-DI$135/AA$72))*AA38)</f>
        <v>0</v>
      </c>
      <c r="CF38" s="2139">
        <f>IF(AB38&lt;=0,0,(Risk_Compensation!AC45/AB38-Risk_Compensation!AC$79/AB$72-0.5*DJ$167*($CK38-DJ$135/AB$72))*AB38)</f>
        <v>0</v>
      </c>
      <c r="CG38" s="2139">
        <f>IF(AC38&lt;=0,0,(Risk_Compensation!AD45/AC38-Risk_Compensation!AD$79/AC$72-0.5*DK$167*($CK38-DK$135/AC$72))*AC38)</f>
        <v>0</v>
      </c>
      <c r="CH38" s="2139">
        <f>IF(AD38&lt;=0,0,(Risk_Compensation!AE45/AD38-Risk_Compensation!AE$79/AD$72-0.5*DL$167*($CK38-DL$135/AD$72))*AD38)</f>
        <v>0</v>
      </c>
      <c r="CI38" s="2139">
        <f>IF(AE38&lt;=0,0,(Risk_Compensation!AF45/AE38-Risk_Compensation!AF$79/AE$72-0.5*DM$167*($CK38-DM$135/AE$72))*AE38)</f>
        <v>0</v>
      </c>
      <c r="CJ38" s="2140">
        <f>IF(AF38&lt;=0,0,(Risk_Compensation!AG45/AF38-Risk_Compensation!AG$79/AF$72-0.5*DN$167*($CK38-DN$135/AF$72))*AF38)</f>
        <v>0</v>
      </c>
      <c r="CK38" s="2166">
        <v>0</v>
      </c>
      <c r="CL38" s="644"/>
      <c r="CM38" s="1829">
        <v>28</v>
      </c>
      <c r="CN38" s="2149">
        <f t="shared" si="0"/>
        <v>0</v>
      </c>
      <c r="CO38" s="2150">
        <f t="shared" si="1"/>
        <v>0</v>
      </c>
      <c r="CP38" s="2150">
        <f t="shared" si="2"/>
        <v>0</v>
      </c>
      <c r="CQ38" s="2150">
        <f t="shared" si="3"/>
        <v>0</v>
      </c>
      <c r="CR38" s="2150">
        <f t="shared" si="4"/>
        <v>0</v>
      </c>
      <c r="CS38" s="2150">
        <f t="shared" si="5"/>
        <v>0</v>
      </c>
      <c r="CT38" s="2150">
        <f t="shared" si="6"/>
        <v>0</v>
      </c>
      <c r="CU38" s="2150">
        <f t="shared" si="7"/>
        <v>0</v>
      </c>
      <c r="CV38" s="2150">
        <f t="shared" si="8"/>
        <v>0</v>
      </c>
      <c r="CW38" s="2150">
        <f t="shared" si="9"/>
        <v>0</v>
      </c>
      <c r="CX38" s="2150">
        <f t="shared" si="10"/>
        <v>0</v>
      </c>
      <c r="CY38" s="2150">
        <f t="shared" si="11"/>
        <v>0</v>
      </c>
      <c r="CZ38" s="2150">
        <f t="shared" si="12"/>
        <v>0</v>
      </c>
      <c r="DA38" s="2150">
        <f t="shared" si="13"/>
        <v>0</v>
      </c>
      <c r="DB38" s="2150">
        <f t="shared" si="14"/>
        <v>0</v>
      </c>
      <c r="DC38" s="2150">
        <f t="shared" si="15"/>
        <v>0</v>
      </c>
      <c r="DD38" s="2150">
        <f t="shared" si="16"/>
        <v>0</v>
      </c>
      <c r="DE38" s="2150">
        <f t="shared" si="17"/>
        <v>0</v>
      </c>
      <c r="DF38" s="2150">
        <f t="shared" si="18"/>
        <v>0</v>
      </c>
      <c r="DG38" s="2150">
        <f t="shared" si="19"/>
        <v>0</v>
      </c>
      <c r="DH38" s="2150">
        <f t="shared" si="20"/>
        <v>0</v>
      </c>
      <c r="DI38" s="2150">
        <f t="shared" si="21"/>
        <v>0</v>
      </c>
      <c r="DJ38" s="2150">
        <f t="shared" si="22"/>
        <v>0</v>
      </c>
      <c r="DK38" s="2150">
        <f t="shared" si="23"/>
        <v>0</v>
      </c>
      <c r="DL38" s="2150">
        <f t="shared" si="24"/>
        <v>0</v>
      </c>
      <c r="DM38" s="2151">
        <f t="shared" si="25"/>
        <v>0</v>
      </c>
      <c r="DN38" s="644"/>
      <c r="DO38" s="1829">
        <v>28</v>
      </c>
      <c r="DP38" s="2211">
        <v>604.05209246806305</v>
      </c>
      <c r="DQ38" s="2212">
        <v>365.68595295807199</v>
      </c>
      <c r="DR38" s="2212">
        <v>503.32874960009502</v>
      </c>
      <c r="DS38" s="2212">
        <v>630.37214474109396</v>
      </c>
      <c r="DT38" s="2212">
        <v>668.71492104267395</v>
      </c>
      <c r="DU38" s="2212">
        <v>829.82435649048205</v>
      </c>
      <c r="DV38" s="2212">
        <v>667.91771423585703</v>
      </c>
      <c r="DW38" s="2212">
        <v>910.19145215224</v>
      </c>
      <c r="DX38" s="2212">
        <v>592.75758292459295</v>
      </c>
      <c r="DY38" s="2212">
        <v>473.69769415565901</v>
      </c>
      <c r="DZ38" s="2212">
        <v>762.78749726596698</v>
      </c>
      <c r="EA38" s="2212">
        <v>550.39264059810898</v>
      </c>
      <c r="EB38" s="2212">
        <v>676.41892083531502</v>
      </c>
      <c r="EC38" s="2212">
        <v>425.73743593785503</v>
      </c>
      <c r="ED38" s="2212">
        <v>486.67077419289399</v>
      </c>
      <c r="EE38" s="2212">
        <v>530.67164149405698</v>
      </c>
      <c r="EF38" s="2212">
        <v>527.48532444719797</v>
      </c>
      <c r="EG38" s="2212">
        <v>596.78294175527697</v>
      </c>
      <c r="EH38" s="2212">
        <v>673.09220019225597</v>
      </c>
      <c r="EI38" s="2212">
        <v>547.68299330477498</v>
      </c>
      <c r="EJ38" s="2212">
        <v>843.55224851685205</v>
      </c>
      <c r="EK38" s="2212">
        <v>483.54254382564397</v>
      </c>
      <c r="EL38" s="2212">
        <v>843.040051880747</v>
      </c>
      <c r="EM38" s="2212">
        <v>614.01672225130301</v>
      </c>
      <c r="EN38" s="2212">
        <v>609.70765759747803</v>
      </c>
      <c r="EO38" s="2213">
        <v>635.84405907191501</v>
      </c>
      <c r="ER38" s="1829">
        <v>28</v>
      </c>
      <c r="ES38" s="1830">
        <v>1.62892296331244</v>
      </c>
      <c r="ET38" s="644"/>
      <c r="EU38" s="2156">
        <v>28</v>
      </c>
      <c r="EV38" s="2090" t="s">
        <v>1903</v>
      </c>
      <c r="EW38" s="2090" t="s">
        <v>1917</v>
      </c>
      <c r="EX38" s="2090" t="str">
        <f>Translation!B$580</f>
        <v>Nein</v>
      </c>
    </row>
    <row r="39" spans="2:154" ht="12.75" x14ac:dyDescent="0.2">
      <c r="B39" s="2090">
        <v>29</v>
      </c>
      <c r="C39" s="2090" t="s">
        <v>1903</v>
      </c>
      <c r="D39" s="1437" t="s">
        <v>1918</v>
      </c>
      <c r="E39" s="2090" t="str">
        <f>Translation!B$579</f>
        <v>Ja</v>
      </c>
      <c r="F39" s="1622">
        <v>29</v>
      </c>
      <c r="G39" s="2211">
        <v>656.44583333333298</v>
      </c>
      <c r="H39" s="2212">
        <v>16.400833333333299</v>
      </c>
      <c r="I39" s="2212">
        <v>61.449166666666699</v>
      </c>
      <c r="J39" s="2212">
        <v>1241.7474999999999</v>
      </c>
      <c r="K39" s="2212">
        <v>430.67500000000001</v>
      </c>
      <c r="L39" s="2212">
        <v>342.04166666666703</v>
      </c>
      <c r="M39" s="2212">
        <v>250.053333333333</v>
      </c>
      <c r="N39" s="2212">
        <v>534.82000000000005</v>
      </c>
      <c r="O39" s="2212">
        <v>39.621666666666698</v>
      </c>
      <c r="P39" s="2212">
        <v>235.18166666666701</v>
      </c>
      <c r="Q39" s="2212">
        <v>96.982500000000002</v>
      </c>
      <c r="R39" s="2212">
        <v>454.95416666666699</v>
      </c>
      <c r="S39" s="2212">
        <v>203.95750000000001</v>
      </c>
      <c r="T39" s="2212">
        <v>40.774999999999999</v>
      </c>
      <c r="U39" s="2212">
        <v>32.073333333333302</v>
      </c>
      <c r="V39" s="2212">
        <v>504.38</v>
      </c>
      <c r="W39" s="2212">
        <v>129.224166666667</v>
      </c>
      <c r="X39" s="2212">
        <v>320.81583333333299</v>
      </c>
      <c r="Y39" s="2212">
        <v>172.066666666667</v>
      </c>
      <c r="Z39" s="2212">
        <v>279.433333333333</v>
      </c>
      <c r="AA39" s="2212">
        <v>525.60916666666697</v>
      </c>
      <c r="AB39" s="2212">
        <v>58.394166666666699</v>
      </c>
      <c r="AC39" s="2212">
        <v>855.98</v>
      </c>
      <c r="AD39" s="2212">
        <v>353.36</v>
      </c>
      <c r="AE39" s="2212">
        <v>118.363333333333</v>
      </c>
      <c r="AF39" s="2213">
        <v>1591.0250000000001</v>
      </c>
      <c r="AH39" s="1829">
        <v>29</v>
      </c>
      <c r="AI39" s="2124">
        <f>Risk_Compensation!H46*(Risk_Compensation!AK46+CO$144)*12/1000000</f>
        <v>0</v>
      </c>
      <c r="AJ39" s="2121">
        <f>Risk_Compensation!I46*(Risk_Compensation!AL46+CP$144)*12/1000000</f>
        <v>0</v>
      </c>
      <c r="AK39" s="2121">
        <f>Risk_Compensation!J46*(Risk_Compensation!AM46+CQ$144)*12/1000000</f>
        <v>0</v>
      </c>
      <c r="AL39" s="2121">
        <f>Risk_Compensation!K46*(Risk_Compensation!AN46+CR$144)*12/1000000</f>
        <v>0</v>
      </c>
      <c r="AM39" s="2121">
        <f>Risk_Compensation!L46*(Risk_Compensation!AO46+CS$144)*12/1000000</f>
        <v>0</v>
      </c>
      <c r="AN39" s="2121">
        <f>Risk_Compensation!M46*(Risk_Compensation!AP46+CT$144)*12/1000000</f>
        <v>0</v>
      </c>
      <c r="AO39" s="2121">
        <f>Risk_Compensation!N46*(Risk_Compensation!AQ46+CU$144)*12/1000000</f>
        <v>0</v>
      </c>
      <c r="AP39" s="2121">
        <f>Risk_Compensation!O46*(Risk_Compensation!AR46+CV$144)*12/1000000</f>
        <v>0</v>
      </c>
      <c r="AQ39" s="2121">
        <f>Risk_Compensation!P46*(Risk_Compensation!AS46+CW$144)*12/1000000</f>
        <v>0</v>
      </c>
      <c r="AR39" s="2121">
        <f>Risk_Compensation!Q46*(Risk_Compensation!AT46+CX$144)*12/1000000</f>
        <v>0</v>
      </c>
      <c r="AS39" s="2121">
        <f>Risk_Compensation!R46*(Risk_Compensation!AU46+CY$144)*12/1000000</f>
        <v>0</v>
      </c>
      <c r="AT39" s="2121">
        <f>Risk_Compensation!S46*(Risk_Compensation!AV46+CZ$144)*12/1000000</f>
        <v>0</v>
      </c>
      <c r="AU39" s="2121">
        <f>Risk_Compensation!T46*(Risk_Compensation!AW46+DA$144)*12/1000000</f>
        <v>0</v>
      </c>
      <c r="AV39" s="2121">
        <f>Risk_Compensation!U46*(Risk_Compensation!AX46+DB$144)*12/1000000</f>
        <v>0</v>
      </c>
      <c r="AW39" s="2121">
        <f>Risk_Compensation!V46*(Risk_Compensation!AY46+DC$144)*12/1000000</f>
        <v>0</v>
      </c>
      <c r="AX39" s="2121">
        <f>Risk_Compensation!W46*(Risk_Compensation!AZ46+DD$144)*12/1000000</f>
        <v>0</v>
      </c>
      <c r="AY39" s="2121">
        <f>Risk_Compensation!X46*(Risk_Compensation!BA46+DE$144)*12/1000000</f>
        <v>0</v>
      </c>
      <c r="AZ39" s="2121">
        <f>Risk_Compensation!Y46*(Risk_Compensation!BB46+DF$144)*12/1000000</f>
        <v>0</v>
      </c>
      <c r="BA39" s="2121">
        <f>Risk_Compensation!Z46*(Risk_Compensation!BC46+DG$144)*12/1000000</f>
        <v>0</v>
      </c>
      <c r="BB39" s="2121">
        <f>Risk_Compensation!AA46*(Risk_Compensation!BD46+DH$144)*12/1000000</f>
        <v>0</v>
      </c>
      <c r="BC39" s="2121">
        <f>Risk_Compensation!AB46*(Risk_Compensation!BE46+DI$144)*12/1000000</f>
        <v>0</v>
      </c>
      <c r="BD39" s="2121">
        <f>Risk_Compensation!AC46*(Risk_Compensation!BF46+DJ$144)*12/1000000</f>
        <v>0</v>
      </c>
      <c r="BE39" s="2121">
        <f>Risk_Compensation!AD46*(Risk_Compensation!BG46+DK$144)*12/1000000</f>
        <v>0</v>
      </c>
      <c r="BF39" s="2121">
        <f>Risk_Compensation!AE46*(Risk_Compensation!BH46+DL$144)*12/1000000</f>
        <v>0</v>
      </c>
      <c r="BG39" s="2121">
        <f>Risk_Compensation!AF46*(Risk_Compensation!BI46+DM$144)*12/1000000</f>
        <v>0</v>
      </c>
      <c r="BH39" s="2125">
        <f>Risk_Compensation!AG46*(Risk_Compensation!BJ46+DN$144)*12/1000000</f>
        <v>0</v>
      </c>
      <c r="BI39" s="644"/>
      <c r="BJ39" s="1829">
        <v>29</v>
      </c>
      <c r="BK39" s="2138">
        <f>IF(G39&lt;=0,0,(Risk_Compensation!H46/G39-Risk_Compensation!H$79/G$72-0.5*CO$167*($CK39-CO$135/G$72))*G39)</f>
        <v>0</v>
      </c>
      <c r="BL39" s="2139">
        <f>IF(H39&lt;=0,0,(Risk_Compensation!I46/H39-Risk_Compensation!I$79/H$72-0.5*CP$167*($CK39-CP$135/H$72))*H39)</f>
        <v>0</v>
      </c>
      <c r="BM39" s="2139">
        <f>IF(I39&lt;=0,0,(Risk_Compensation!J46/I39-Risk_Compensation!J$79/I$72-0.5*CQ$167*($CK39-CQ$135/I$72))*I39)</f>
        <v>0</v>
      </c>
      <c r="BN39" s="2139">
        <f>IF(J39&lt;=0,0,(Risk_Compensation!K46/J39-Risk_Compensation!K$79/J$72-0.5*CR$167*($CK39-CR$135/J$72))*J39)</f>
        <v>0</v>
      </c>
      <c r="BO39" s="2139">
        <f>IF(K39&lt;=0,0,(Risk_Compensation!L46/K39-Risk_Compensation!L$79/K$72-0.5*CS$167*($CK39-CS$135/K$72))*K39)</f>
        <v>0</v>
      </c>
      <c r="BP39" s="2139">
        <f>IF(L39&lt;=0,0,(Risk_Compensation!M46/L39-Risk_Compensation!M$79/L$72-0.5*CT$167*($CK39-CT$135/L$72))*L39)</f>
        <v>0</v>
      </c>
      <c r="BQ39" s="2139">
        <f>IF(M39&lt;=0,0,(Risk_Compensation!N46/M39-Risk_Compensation!N$79/M$72-0.5*CU$167*($CK39-CU$135/M$72))*M39)</f>
        <v>0</v>
      </c>
      <c r="BR39" s="2139">
        <f>IF(N39&lt;=0,0,(Risk_Compensation!O46/N39-Risk_Compensation!O$79/N$72-0.5*CV$167*($CK39-CV$135/N$72))*N39)</f>
        <v>0</v>
      </c>
      <c r="BS39" s="2139">
        <f>IF(O39&lt;=0,0,(Risk_Compensation!P46/O39-Risk_Compensation!P$79/O$72-0.5*CW$167*($CK39-CW$135/O$72))*O39)</f>
        <v>0</v>
      </c>
      <c r="BT39" s="2139">
        <f>IF(P39&lt;=0,0,(Risk_Compensation!Q46/P39-Risk_Compensation!Q$79/P$72-0.5*CX$167*($CK39-CX$135/P$72))*P39)</f>
        <v>0</v>
      </c>
      <c r="BU39" s="2139">
        <f>IF(Q39&lt;=0,0,(Risk_Compensation!R46/Q39-Risk_Compensation!R$79/Q$72-0.5*CY$167*($CK39-CY$135/Q$72))*Q39)</f>
        <v>0</v>
      </c>
      <c r="BV39" s="2139">
        <f>IF(R39&lt;=0,0,(Risk_Compensation!S46/R39-Risk_Compensation!S$79/R$72-0.5*CZ$167*($CK39-CZ$135/R$72))*R39)</f>
        <v>0</v>
      </c>
      <c r="BW39" s="2139">
        <f>IF(S39&lt;=0,0,(Risk_Compensation!T46/S39-Risk_Compensation!T$79/S$72-0.5*DA$167*($CK39-DA$135/S$72))*S39)</f>
        <v>0</v>
      </c>
      <c r="BX39" s="2139">
        <f>IF(T39&lt;=0,0,(Risk_Compensation!U46/T39-Risk_Compensation!U$79/T$72-0.5*DB$167*($CK39-DB$135/T$72))*T39)</f>
        <v>0</v>
      </c>
      <c r="BY39" s="2139">
        <f>IF(U39&lt;=0,0,(Risk_Compensation!V46/U39-Risk_Compensation!V$79/U$72-0.5*DC$167*($CK39-DC$135/U$72))*U39)</f>
        <v>0</v>
      </c>
      <c r="BZ39" s="2139">
        <f>IF(V39&lt;=0,0,(Risk_Compensation!W46/V39-Risk_Compensation!W$79/V$72-0.5*DD$167*($CK39-DD$135/V$72))*V39)</f>
        <v>0</v>
      </c>
      <c r="CA39" s="2139">
        <f>IF(W39&lt;=0,0,(Risk_Compensation!X46/W39-Risk_Compensation!X$79/W$72-0.5*DE$167*($CK39-DE$135/W$72))*W39)</f>
        <v>0</v>
      </c>
      <c r="CB39" s="2139">
        <f>IF(X39&lt;=0,0,(Risk_Compensation!Y46/X39-Risk_Compensation!Y$79/X$72-0.5*DF$167*($CK39-DF$135/X$72))*X39)</f>
        <v>0</v>
      </c>
      <c r="CC39" s="2139">
        <f>IF(Y39&lt;=0,0,(Risk_Compensation!Z46/Y39-Risk_Compensation!Z$79/Y$72-0.5*DG$167*($CK39-DG$135/Y$72))*Y39)</f>
        <v>0</v>
      </c>
      <c r="CD39" s="2139">
        <f>IF(Z39&lt;=0,0,(Risk_Compensation!AA46/Z39-Risk_Compensation!AA$79/Z$72-0.5*DH$167*($CK39-DH$135/Z$72))*Z39)</f>
        <v>0</v>
      </c>
      <c r="CE39" s="2139">
        <f>IF(AA39&lt;=0,0,(Risk_Compensation!AB46/AA39-Risk_Compensation!AB$79/AA$72-0.5*DI$167*($CK39-DI$135/AA$72))*AA39)</f>
        <v>0</v>
      </c>
      <c r="CF39" s="2139">
        <f>IF(AB39&lt;=0,0,(Risk_Compensation!AC46/AB39-Risk_Compensation!AC$79/AB$72-0.5*DJ$167*($CK39-DJ$135/AB$72))*AB39)</f>
        <v>0</v>
      </c>
      <c r="CG39" s="2139">
        <f>IF(AC39&lt;=0,0,(Risk_Compensation!AD46/AC39-Risk_Compensation!AD$79/AC$72-0.5*DK$167*($CK39-DK$135/AC$72))*AC39)</f>
        <v>0</v>
      </c>
      <c r="CH39" s="2139">
        <f>IF(AD39&lt;=0,0,(Risk_Compensation!AE46/AD39-Risk_Compensation!AE$79/AD$72-0.5*DL$167*($CK39-DL$135/AD$72))*AD39)</f>
        <v>0</v>
      </c>
      <c r="CI39" s="2139">
        <f>IF(AE39&lt;=0,0,(Risk_Compensation!AF46/AE39-Risk_Compensation!AF$79/AE$72-0.5*DM$167*($CK39-DM$135/AE$72))*AE39)</f>
        <v>0</v>
      </c>
      <c r="CJ39" s="2140">
        <f>IF(AF39&lt;=0,0,(Risk_Compensation!AG46/AF39-Risk_Compensation!AG$79/AF$72-0.5*DN$167*($CK39-DN$135/AF$72))*AF39)</f>
        <v>0</v>
      </c>
      <c r="CK39" s="2166">
        <v>0</v>
      </c>
      <c r="CL39" s="644"/>
      <c r="CM39" s="1829">
        <v>29</v>
      </c>
      <c r="CN39" s="2149">
        <f t="shared" si="0"/>
        <v>0</v>
      </c>
      <c r="CO39" s="2150">
        <f t="shared" si="1"/>
        <v>0</v>
      </c>
      <c r="CP39" s="2150">
        <f t="shared" si="2"/>
        <v>0</v>
      </c>
      <c r="CQ39" s="2150">
        <f t="shared" si="3"/>
        <v>0</v>
      </c>
      <c r="CR39" s="2150">
        <f t="shared" si="4"/>
        <v>0</v>
      </c>
      <c r="CS39" s="2150">
        <f t="shared" si="5"/>
        <v>0</v>
      </c>
      <c r="CT39" s="2150">
        <f t="shared" si="6"/>
        <v>0</v>
      </c>
      <c r="CU39" s="2150">
        <f t="shared" si="7"/>
        <v>0</v>
      </c>
      <c r="CV39" s="2150">
        <f t="shared" si="8"/>
        <v>0</v>
      </c>
      <c r="CW39" s="2150">
        <f t="shared" si="9"/>
        <v>0</v>
      </c>
      <c r="CX39" s="2150">
        <f t="shared" si="10"/>
        <v>0</v>
      </c>
      <c r="CY39" s="2150">
        <f t="shared" si="11"/>
        <v>0</v>
      </c>
      <c r="CZ39" s="2150">
        <f t="shared" si="12"/>
        <v>0</v>
      </c>
      <c r="DA39" s="2150">
        <f t="shared" si="13"/>
        <v>0</v>
      </c>
      <c r="DB39" s="2150">
        <f t="shared" si="14"/>
        <v>0</v>
      </c>
      <c r="DC39" s="2150">
        <f t="shared" si="15"/>
        <v>0</v>
      </c>
      <c r="DD39" s="2150">
        <f t="shared" si="16"/>
        <v>0</v>
      </c>
      <c r="DE39" s="2150">
        <f t="shared" si="17"/>
        <v>0</v>
      </c>
      <c r="DF39" s="2150">
        <f t="shared" si="18"/>
        <v>0</v>
      </c>
      <c r="DG39" s="2150">
        <f t="shared" si="19"/>
        <v>0</v>
      </c>
      <c r="DH39" s="2150">
        <f t="shared" si="20"/>
        <v>0</v>
      </c>
      <c r="DI39" s="2150">
        <f t="shared" si="21"/>
        <v>0</v>
      </c>
      <c r="DJ39" s="2150">
        <f t="shared" si="22"/>
        <v>0</v>
      </c>
      <c r="DK39" s="2150">
        <f t="shared" si="23"/>
        <v>0</v>
      </c>
      <c r="DL39" s="2150">
        <f t="shared" si="24"/>
        <v>0</v>
      </c>
      <c r="DM39" s="2151">
        <f t="shared" si="25"/>
        <v>0</v>
      </c>
      <c r="DN39" s="644"/>
      <c r="DO39" s="1829">
        <v>29</v>
      </c>
      <c r="DP39" s="2211">
        <v>1759.08876794251</v>
      </c>
      <c r="DQ39" s="2212">
        <v>1493.8979215176901</v>
      </c>
      <c r="DR39" s="2212">
        <v>1478.5193457912701</v>
      </c>
      <c r="DS39" s="2212">
        <v>1867.3628340804</v>
      </c>
      <c r="DT39" s="2212">
        <v>1821.8249822631999</v>
      </c>
      <c r="DU39" s="2212">
        <v>2133.4000027397501</v>
      </c>
      <c r="DV39" s="2212">
        <v>1953.0550168841201</v>
      </c>
      <c r="DW39" s="2212">
        <v>2817.5009428832</v>
      </c>
      <c r="DX39" s="2212">
        <v>1309.24022471854</v>
      </c>
      <c r="DY39" s="2212">
        <v>1481.2068231901901</v>
      </c>
      <c r="DZ39" s="2212">
        <v>2538.65069047001</v>
      </c>
      <c r="EA39" s="2212">
        <v>1536.2084510796101</v>
      </c>
      <c r="EB39" s="2212">
        <v>2650.3100419238599</v>
      </c>
      <c r="EC39" s="2212">
        <v>1475.3815750040001</v>
      </c>
      <c r="ED39" s="2212">
        <v>1392.44450907691</v>
      </c>
      <c r="EE39" s="2212">
        <v>1509.34873284279</v>
      </c>
      <c r="EF39" s="2212">
        <v>1610.5730287521701</v>
      </c>
      <c r="EG39" s="2212">
        <v>1804.8297304943601</v>
      </c>
      <c r="EH39" s="2212">
        <v>1644.21479103922</v>
      </c>
      <c r="EI39" s="2212">
        <v>1775.6264697153399</v>
      </c>
      <c r="EJ39" s="2212">
        <v>2454.2211082377298</v>
      </c>
      <c r="EK39" s="2212">
        <v>1349.3212113786401</v>
      </c>
      <c r="EL39" s="2212">
        <v>2727.4836204080798</v>
      </c>
      <c r="EM39" s="2212">
        <v>1943.1806150617899</v>
      </c>
      <c r="EN39" s="2212">
        <v>1465.38798604666</v>
      </c>
      <c r="EO39" s="2213">
        <v>1851.9334087008799</v>
      </c>
      <c r="ER39" s="1829">
        <v>29</v>
      </c>
      <c r="ES39" s="1830">
        <v>1.1209990175615701</v>
      </c>
      <c r="ET39" s="644"/>
      <c r="EU39" s="2156">
        <v>29</v>
      </c>
      <c r="EV39" s="2090" t="s">
        <v>1903</v>
      </c>
      <c r="EW39" s="1437" t="s">
        <v>1918</v>
      </c>
      <c r="EX39" s="2090" t="str">
        <f>Translation!B$579</f>
        <v>Ja</v>
      </c>
    </row>
    <row r="40" spans="2:154" ht="12.75" x14ac:dyDescent="0.2">
      <c r="B40" s="2090">
        <v>30</v>
      </c>
      <c r="C40" s="2090" t="s">
        <v>1903</v>
      </c>
      <c r="D40" s="1437" t="s">
        <v>1918</v>
      </c>
      <c r="E40" s="2090" t="str">
        <f>Translation!B$580</f>
        <v>Nein</v>
      </c>
      <c r="F40" s="1622">
        <v>30</v>
      </c>
      <c r="G40" s="2211">
        <v>994.18166666666696</v>
      </c>
      <c r="H40" s="2212">
        <v>29.466666666666701</v>
      </c>
      <c r="I40" s="2212">
        <v>96.111666666666693</v>
      </c>
      <c r="J40" s="2212">
        <v>1860.63916666667</v>
      </c>
      <c r="K40" s="2212">
        <v>625.59500000000003</v>
      </c>
      <c r="L40" s="2212">
        <v>395.95</v>
      </c>
      <c r="M40" s="2212">
        <v>353.71583333333302</v>
      </c>
      <c r="N40" s="2212">
        <v>787.006666666667</v>
      </c>
      <c r="O40" s="2212">
        <v>69.426666666666705</v>
      </c>
      <c r="P40" s="2212">
        <v>328.27916666666698</v>
      </c>
      <c r="Q40" s="2212">
        <v>137.11500000000001</v>
      </c>
      <c r="R40" s="2212">
        <v>653.95333333333303</v>
      </c>
      <c r="S40" s="2212">
        <v>287.01916666666699</v>
      </c>
      <c r="T40" s="2212">
        <v>78.746666666666698</v>
      </c>
      <c r="U40" s="2212">
        <v>66.28</v>
      </c>
      <c r="V40" s="2212">
        <v>735.89</v>
      </c>
      <c r="W40" s="2212">
        <v>150.83666666666701</v>
      </c>
      <c r="X40" s="2212">
        <v>469.988333333333</v>
      </c>
      <c r="Y40" s="2212">
        <v>237.37333333333299</v>
      </c>
      <c r="Z40" s="2212">
        <v>413.52666666666698</v>
      </c>
      <c r="AA40" s="2212">
        <v>671.0575</v>
      </c>
      <c r="AB40" s="2212">
        <v>62.4508333333333</v>
      </c>
      <c r="AC40" s="2212">
        <v>1249.5875000000001</v>
      </c>
      <c r="AD40" s="2212">
        <v>523.86166666666702</v>
      </c>
      <c r="AE40" s="2212">
        <v>206.208333333333</v>
      </c>
      <c r="AF40" s="2213">
        <v>2430.0733333333301</v>
      </c>
      <c r="AH40" s="1829">
        <v>30</v>
      </c>
      <c r="AI40" s="2124">
        <f>Risk_Compensation!H47*(Risk_Compensation!AK47+CO$144)*12/1000000</f>
        <v>0</v>
      </c>
      <c r="AJ40" s="2121">
        <f>Risk_Compensation!I47*(Risk_Compensation!AL47+CP$144)*12/1000000</f>
        <v>0</v>
      </c>
      <c r="AK40" s="2121">
        <f>Risk_Compensation!J47*(Risk_Compensation!AM47+CQ$144)*12/1000000</f>
        <v>0</v>
      </c>
      <c r="AL40" s="2121">
        <f>Risk_Compensation!K47*(Risk_Compensation!AN47+CR$144)*12/1000000</f>
        <v>0</v>
      </c>
      <c r="AM40" s="2121">
        <f>Risk_Compensation!L47*(Risk_Compensation!AO47+CS$144)*12/1000000</f>
        <v>0</v>
      </c>
      <c r="AN40" s="2121">
        <f>Risk_Compensation!M47*(Risk_Compensation!AP47+CT$144)*12/1000000</f>
        <v>0</v>
      </c>
      <c r="AO40" s="2121">
        <f>Risk_Compensation!N47*(Risk_Compensation!AQ47+CU$144)*12/1000000</f>
        <v>0</v>
      </c>
      <c r="AP40" s="2121">
        <f>Risk_Compensation!O47*(Risk_Compensation!AR47+CV$144)*12/1000000</f>
        <v>0</v>
      </c>
      <c r="AQ40" s="2121">
        <f>Risk_Compensation!P47*(Risk_Compensation!AS47+CW$144)*12/1000000</f>
        <v>0</v>
      </c>
      <c r="AR40" s="2121">
        <f>Risk_Compensation!Q47*(Risk_Compensation!AT47+CX$144)*12/1000000</f>
        <v>0</v>
      </c>
      <c r="AS40" s="2121">
        <f>Risk_Compensation!R47*(Risk_Compensation!AU47+CY$144)*12/1000000</f>
        <v>0</v>
      </c>
      <c r="AT40" s="2121">
        <f>Risk_Compensation!S47*(Risk_Compensation!AV47+CZ$144)*12/1000000</f>
        <v>0</v>
      </c>
      <c r="AU40" s="2121">
        <f>Risk_Compensation!T47*(Risk_Compensation!AW47+DA$144)*12/1000000</f>
        <v>0</v>
      </c>
      <c r="AV40" s="2121">
        <f>Risk_Compensation!U47*(Risk_Compensation!AX47+DB$144)*12/1000000</f>
        <v>0</v>
      </c>
      <c r="AW40" s="2121">
        <f>Risk_Compensation!V47*(Risk_Compensation!AY47+DC$144)*12/1000000</f>
        <v>0</v>
      </c>
      <c r="AX40" s="2121">
        <f>Risk_Compensation!W47*(Risk_Compensation!AZ47+DD$144)*12/1000000</f>
        <v>0</v>
      </c>
      <c r="AY40" s="2121">
        <f>Risk_Compensation!X47*(Risk_Compensation!BA47+DE$144)*12/1000000</f>
        <v>0</v>
      </c>
      <c r="AZ40" s="2121">
        <f>Risk_Compensation!Y47*(Risk_Compensation!BB47+DF$144)*12/1000000</f>
        <v>0</v>
      </c>
      <c r="BA40" s="2121">
        <f>Risk_Compensation!Z47*(Risk_Compensation!BC47+DG$144)*12/1000000</f>
        <v>0</v>
      </c>
      <c r="BB40" s="2121">
        <f>Risk_Compensation!AA47*(Risk_Compensation!BD47+DH$144)*12/1000000</f>
        <v>0</v>
      </c>
      <c r="BC40" s="2121">
        <f>Risk_Compensation!AB47*(Risk_Compensation!BE47+DI$144)*12/1000000</f>
        <v>0</v>
      </c>
      <c r="BD40" s="2121">
        <f>Risk_Compensation!AC47*(Risk_Compensation!BF47+DJ$144)*12/1000000</f>
        <v>0</v>
      </c>
      <c r="BE40" s="2121">
        <f>Risk_Compensation!AD47*(Risk_Compensation!BG47+DK$144)*12/1000000</f>
        <v>0</v>
      </c>
      <c r="BF40" s="2121">
        <f>Risk_Compensation!AE47*(Risk_Compensation!BH47+DL$144)*12/1000000</f>
        <v>0</v>
      </c>
      <c r="BG40" s="2121">
        <f>Risk_Compensation!AF47*(Risk_Compensation!BI47+DM$144)*12/1000000</f>
        <v>0</v>
      </c>
      <c r="BH40" s="2125">
        <f>Risk_Compensation!AG47*(Risk_Compensation!BJ47+DN$144)*12/1000000</f>
        <v>0</v>
      </c>
      <c r="BI40" s="644"/>
      <c r="BJ40" s="1829">
        <v>30</v>
      </c>
      <c r="BK40" s="2138">
        <f>IF(G40&lt;=0,0,(Risk_Compensation!H47/G40-Risk_Compensation!H$79/G$72-0.5*CO$167*($CK40-CO$135/G$72))*G40)</f>
        <v>0</v>
      </c>
      <c r="BL40" s="2139">
        <f>IF(H40&lt;=0,0,(Risk_Compensation!I47/H40-Risk_Compensation!I$79/H$72-0.5*CP$167*($CK40-CP$135/H$72))*H40)</f>
        <v>0</v>
      </c>
      <c r="BM40" s="2139">
        <f>IF(I40&lt;=0,0,(Risk_Compensation!J47/I40-Risk_Compensation!J$79/I$72-0.5*CQ$167*($CK40-CQ$135/I$72))*I40)</f>
        <v>0</v>
      </c>
      <c r="BN40" s="2139">
        <f>IF(J40&lt;=0,0,(Risk_Compensation!K47/J40-Risk_Compensation!K$79/J$72-0.5*CR$167*($CK40-CR$135/J$72))*J40)</f>
        <v>0</v>
      </c>
      <c r="BO40" s="2139">
        <f>IF(K40&lt;=0,0,(Risk_Compensation!L47/K40-Risk_Compensation!L$79/K$72-0.5*CS$167*($CK40-CS$135/K$72))*K40)</f>
        <v>0</v>
      </c>
      <c r="BP40" s="2139">
        <f>IF(L40&lt;=0,0,(Risk_Compensation!M47/L40-Risk_Compensation!M$79/L$72-0.5*CT$167*($CK40-CT$135/L$72))*L40)</f>
        <v>0</v>
      </c>
      <c r="BQ40" s="2139">
        <f>IF(M40&lt;=0,0,(Risk_Compensation!N47/M40-Risk_Compensation!N$79/M$72-0.5*CU$167*($CK40-CU$135/M$72))*M40)</f>
        <v>0</v>
      </c>
      <c r="BR40" s="2139">
        <f>IF(N40&lt;=0,0,(Risk_Compensation!O47/N40-Risk_Compensation!O$79/N$72-0.5*CV$167*($CK40-CV$135/N$72))*N40)</f>
        <v>0</v>
      </c>
      <c r="BS40" s="2139">
        <f>IF(O40&lt;=0,0,(Risk_Compensation!P47/O40-Risk_Compensation!P$79/O$72-0.5*CW$167*($CK40-CW$135/O$72))*O40)</f>
        <v>0</v>
      </c>
      <c r="BT40" s="2139">
        <f>IF(P40&lt;=0,0,(Risk_Compensation!Q47/P40-Risk_Compensation!Q$79/P$72-0.5*CX$167*($CK40-CX$135/P$72))*P40)</f>
        <v>0</v>
      </c>
      <c r="BU40" s="2139">
        <f>IF(Q40&lt;=0,0,(Risk_Compensation!R47/Q40-Risk_Compensation!R$79/Q$72-0.5*CY$167*($CK40-CY$135/Q$72))*Q40)</f>
        <v>0</v>
      </c>
      <c r="BV40" s="2139">
        <f>IF(R40&lt;=0,0,(Risk_Compensation!S47/R40-Risk_Compensation!S$79/R$72-0.5*CZ$167*($CK40-CZ$135/R$72))*R40)</f>
        <v>0</v>
      </c>
      <c r="BW40" s="2139">
        <f>IF(S40&lt;=0,0,(Risk_Compensation!T47/S40-Risk_Compensation!T$79/S$72-0.5*DA$167*($CK40-DA$135/S$72))*S40)</f>
        <v>0</v>
      </c>
      <c r="BX40" s="2139">
        <f>IF(T40&lt;=0,0,(Risk_Compensation!U47/T40-Risk_Compensation!U$79/T$72-0.5*DB$167*($CK40-DB$135/T$72))*T40)</f>
        <v>0</v>
      </c>
      <c r="BY40" s="2139">
        <f>IF(U40&lt;=0,0,(Risk_Compensation!V47/U40-Risk_Compensation!V$79/U$72-0.5*DC$167*($CK40-DC$135/U$72))*U40)</f>
        <v>0</v>
      </c>
      <c r="BZ40" s="2139">
        <f>IF(V40&lt;=0,0,(Risk_Compensation!W47/V40-Risk_Compensation!W$79/V$72-0.5*DD$167*($CK40-DD$135/V$72))*V40)</f>
        <v>0</v>
      </c>
      <c r="CA40" s="2139">
        <f>IF(W40&lt;=0,0,(Risk_Compensation!X47/W40-Risk_Compensation!X$79/W$72-0.5*DE$167*($CK40-DE$135/W$72))*W40)</f>
        <v>0</v>
      </c>
      <c r="CB40" s="2139">
        <f>IF(X40&lt;=0,0,(Risk_Compensation!Y47/X40-Risk_Compensation!Y$79/X$72-0.5*DF$167*($CK40-DF$135/X$72))*X40)</f>
        <v>0</v>
      </c>
      <c r="CC40" s="2139">
        <f>IF(Y40&lt;=0,0,(Risk_Compensation!Z47/Y40-Risk_Compensation!Z$79/Y$72-0.5*DG$167*($CK40-DG$135/Y$72))*Y40)</f>
        <v>0</v>
      </c>
      <c r="CD40" s="2139">
        <f>IF(Z40&lt;=0,0,(Risk_Compensation!AA47/Z40-Risk_Compensation!AA$79/Z$72-0.5*DH$167*($CK40-DH$135/Z$72))*Z40)</f>
        <v>0</v>
      </c>
      <c r="CE40" s="2139">
        <f>IF(AA40&lt;=0,0,(Risk_Compensation!AB47/AA40-Risk_Compensation!AB$79/AA$72-0.5*DI$167*($CK40-DI$135/AA$72))*AA40)</f>
        <v>0</v>
      </c>
      <c r="CF40" s="2139">
        <f>IF(AB40&lt;=0,0,(Risk_Compensation!AC47/AB40-Risk_Compensation!AC$79/AB$72-0.5*DJ$167*($CK40-DJ$135/AB$72))*AB40)</f>
        <v>0</v>
      </c>
      <c r="CG40" s="2139">
        <f>IF(AC40&lt;=0,0,(Risk_Compensation!AD47/AC40-Risk_Compensation!AD$79/AC$72-0.5*DK$167*($CK40-DK$135/AC$72))*AC40)</f>
        <v>0</v>
      </c>
      <c r="CH40" s="2139">
        <f>IF(AD40&lt;=0,0,(Risk_Compensation!AE47/AD40-Risk_Compensation!AE$79/AD$72-0.5*DL$167*($CK40-DL$135/AD$72))*AD40)</f>
        <v>0</v>
      </c>
      <c r="CI40" s="2139">
        <f>IF(AE40&lt;=0,0,(Risk_Compensation!AF47/AE40-Risk_Compensation!AF$79/AE$72-0.5*DM$167*($CK40-DM$135/AE$72))*AE40)</f>
        <v>0</v>
      </c>
      <c r="CJ40" s="2140">
        <f>IF(AF40&lt;=0,0,(Risk_Compensation!AG47/AF40-Risk_Compensation!AG$79/AF$72-0.5*DN$167*($CK40-DN$135/AF$72))*AF40)</f>
        <v>0</v>
      </c>
      <c r="CK40" s="2166">
        <v>0</v>
      </c>
      <c r="CL40" s="644"/>
      <c r="CM40" s="1829">
        <v>30</v>
      </c>
      <c r="CN40" s="2149">
        <f t="shared" si="0"/>
        <v>0</v>
      </c>
      <c r="CO40" s="2150">
        <f t="shared" si="1"/>
        <v>0</v>
      </c>
      <c r="CP40" s="2150">
        <f t="shared" si="2"/>
        <v>0</v>
      </c>
      <c r="CQ40" s="2150">
        <f t="shared" si="3"/>
        <v>0</v>
      </c>
      <c r="CR40" s="2150">
        <f t="shared" si="4"/>
        <v>0</v>
      </c>
      <c r="CS40" s="2150">
        <f t="shared" si="5"/>
        <v>0</v>
      </c>
      <c r="CT40" s="2150">
        <f t="shared" si="6"/>
        <v>0</v>
      </c>
      <c r="CU40" s="2150">
        <f t="shared" si="7"/>
        <v>0</v>
      </c>
      <c r="CV40" s="2150">
        <f t="shared" si="8"/>
        <v>0</v>
      </c>
      <c r="CW40" s="2150">
        <f t="shared" si="9"/>
        <v>0</v>
      </c>
      <c r="CX40" s="2150">
        <f t="shared" si="10"/>
        <v>0</v>
      </c>
      <c r="CY40" s="2150">
        <f t="shared" si="11"/>
        <v>0</v>
      </c>
      <c r="CZ40" s="2150">
        <f t="shared" si="12"/>
        <v>0</v>
      </c>
      <c r="DA40" s="2150">
        <f t="shared" si="13"/>
        <v>0</v>
      </c>
      <c r="DB40" s="2150">
        <f t="shared" si="14"/>
        <v>0</v>
      </c>
      <c r="DC40" s="2150">
        <f t="shared" si="15"/>
        <v>0</v>
      </c>
      <c r="DD40" s="2150">
        <f t="shared" si="16"/>
        <v>0</v>
      </c>
      <c r="DE40" s="2150">
        <f t="shared" si="17"/>
        <v>0</v>
      </c>
      <c r="DF40" s="2150">
        <f t="shared" si="18"/>
        <v>0</v>
      </c>
      <c r="DG40" s="2150">
        <f t="shared" si="19"/>
        <v>0</v>
      </c>
      <c r="DH40" s="2150">
        <f t="shared" si="20"/>
        <v>0</v>
      </c>
      <c r="DI40" s="2150">
        <f t="shared" si="21"/>
        <v>0</v>
      </c>
      <c r="DJ40" s="2150">
        <f t="shared" si="22"/>
        <v>0</v>
      </c>
      <c r="DK40" s="2150">
        <f t="shared" si="23"/>
        <v>0</v>
      </c>
      <c r="DL40" s="2150">
        <f t="shared" si="24"/>
        <v>0</v>
      </c>
      <c r="DM40" s="2151">
        <f t="shared" si="25"/>
        <v>0</v>
      </c>
      <c r="DN40" s="644"/>
      <c r="DO40" s="1829">
        <v>30</v>
      </c>
      <c r="DP40" s="2211">
        <v>770.50816259236899</v>
      </c>
      <c r="DQ40" s="2212">
        <v>598.67115658983403</v>
      </c>
      <c r="DR40" s="2212">
        <v>508.97637963371398</v>
      </c>
      <c r="DS40" s="2212">
        <v>833.86940458431297</v>
      </c>
      <c r="DT40" s="2212">
        <v>889.57483531808998</v>
      </c>
      <c r="DU40" s="2212">
        <v>995.81131847406596</v>
      </c>
      <c r="DV40" s="2212">
        <v>1003.38515136619</v>
      </c>
      <c r="DW40" s="2212">
        <v>1182.0186444549299</v>
      </c>
      <c r="DX40" s="2212">
        <v>570.71734184709203</v>
      </c>
      <c r="DY40" s="2212">
        <v>601.10017868156206</v>
      </c>
      <c r="DZ40" s="2212">
        <v>803.45968936362306</v>
      </c>
      <c r="EA40" s="2212">
        <v>694.18706179481501</v>
      </c>
      <c r="EB40" s="2212">
        <v>1093.73057119442</v>
      </c>
      <c r="EC40" s="2212">
        <v>677.54499081054496</v>
      </c>
      <c r="ED40" s="2212">
        <v>650.82849870545499</v>
      </c>
      <c r="EE40" s="2212">
        <v>629.26394967311398</v>
      </c>
      <c r="EF40" s="2212">
        <v>695.37373922249105</v>
      </c>
      <c r="EG40" s="2212">
        <v>800.57724600818403</v>
      </c>
      <c r="EH40" s="2212">
        <v>686.79914671182803</v>
      </c>
      <c r="EI40" s="2212">
        <v>679.74605699172798</v>
      </c>
      <c r="EJ40" s="2212">
        <v>1073.6507980997701</v>
      </c>
      <c r="EK40" s="2212">
        <v>597.27288801997997</v>
      </c>
      <c r="EL40" s="2212">
        <v>1146.58965129334</v>
      </c>
      <c r="EM40" s="2212">
        <v>765.21881981376805</v>
      </c>
      <c r="EN40" s="2212">
        <v>720.34390351201102</v>
      </c>
      <c r="EO40" s="2213">
        <v>864.89481547556397</v>
      </c>
      <c r="ER40" s="1829">
        <v>30</v>
      </c>
      <c r="ES40" s="1830">
        <v>1.4710428187479001</v>
      </c>
      <c r="ET40" s="644"/>
      <c r="EU40" s="2156">
        <v>30</v>
      </c>
      <c r="EV40" s="2090" t="s">
        <v>1903</v>
      </c>
      <c r="EW40" s="1437" t="s">
        <v>1918</v>
      </c>
      <c r="EX40" s="2090" t="str">
        <f>Translation!B$580</f>
        <v>Nein</v>
      </c>
    </row>
    <row r="41" spans="2:154" ht="12.75" x14ac:dyDescent="0.2">
      <c r="B41" s="2090">
        <v>31</v>
      </c>
      <c r="C41" s="2090" t="s">
        <v>162</v>
      </c>
      <c r="D41" s="2090" t="s">
        <v>1904</v>
      </c>
      <c r="E41" s="2090" t="str">
        <f>Translation!B$579</f>
        <v>Ja</v>
      </c>
      <c r="F41" s="1622">
        <v>31</v>
      </c>
      <c r="G41" s="2211">
        <v>710.62583333333305</v>
      </c>
      <c r="H41" s="2212">
        <v>14.567500000000001</v>
      </c>
      <c r="I41" s="2212">
        <v>46.8333333333333</v>
      </c>
      <c r="J41" s="2212">
        <v>938.09416666666698</v>
      </c>
      <c r="K41" s="2212">
        <v>337.55916666666701</v>
      </c>
      <c r="L41" s="2212">
        <v>254.604166666667</v>
      </c>
      <c r="M41" s="2212">
        <v>284.384166666667</v>
      </c>
      <c r="N41" s="2212">
        <v>432.87833333333299</v>
      </c>
      <c r="O41" s="2212">
        <v>47.280833333333298</v>
      </c>
      <c r="P41" s="2212">
        <v>163.98083333333301</v>
      </c>
      <c r="Q41" s="2212">
        <v>50.8333333333333</v>
      </c>
      <c r="R41" s="2212">
        <v>357.80666666666701</v>
      </c>
      <c r="S41" s="2212">
        <v>119.675833333333</v>
      </c>
      <c r="T41" s="2212">
        <v>33.9166666666667</v>
      </c>
      <c r="U41" s="2212">
        <v>24.5833333333333</v>
      </c>
      <c r="V41" s="2212">
        <v>505.13499999999999</v>
      </c>
      <c r="W41" s="2212">
        <v>89.650833333333296</v>
      </c>
      <c r="X41" s="2212">
        <v>278.75583333333299</v>
      </c>
      <c r="Y41" s="2212">
        <v>127.919166666667</v>
      </c>
      <c r="Z41" s="2212">
        <v>294.28916666666697</v>
      </c>
      <c r="AA41" s="2212">
        <v>282.54250000000002</v>
      </c>
      <c r="AB41" s="2212">
        <v>24.8333333333333</v>
      </c>
      <c r="AC41" s="2212">
        <v>570.37333333333299</v>
      </c>
      <c r="AD41" s="2212">
        <v>235.32083333333301</v>
      </c>
      <c r="AE41" s="2212">
        <v>106.026666666667</v>
      </c>
      <c r="AF41" s="2213">
        <v>1282.04666666667</v>
      </c>
      <c r="AH41" s="1829">
        <v>31</v>
      </c>
      <c r="AI41" s="2124">
        <f>Risk_Compensation!H48*(Risk_Compensation!AK48+CO$143)*12/1000000</f>
        <v>0</v>
      </c>
      <c r="AJ41" s="2121">
        <f>Risk_Compensation!I48*(Risk_Compensation!AL48+CP$143)*12/1000000</f>
        <v>0</v>
      </c>
      <c r="AK41" s="2121">
        <f>Risk_Compensation!J48*(Risk_Compensation!AM48+CQ$143)*12/1000000</f>
        <v>0</v>
      </c>
      <c r="AL41" s="2121">
        <f>Risk_Compensation!K48*(Risk_Compensation!AN48+CR$143)*12/1000000</f>
        <v>0</v>
      </c>
      <c r="AM41" s="2121">
        <f>Risk_Compensation!L48*(Risk_Compensation!AO48+CS$143)*12/1000000</f>
        <v>0</v>
      </c>
      <c r="AN41" s="2121">
        <f>Risk_Compensation!M48*(Risk_Compensation!AP48+CT$143)*12/1000000</f>
        <v>0</v>
      </c>
      <c r="AO41" s="2121">
        <f>Risk_Compensation!N48*(Risk_Compensation!AQ48+CU$143)*12/1000000</f>
        <v>0</v>
      </c>
      <c r="AP41" s="2121">
        <f>Risk_Compensation!O48*(Risk_Compensation!AR48+CV$143)*12/1000000</f>
        <v>0</v>
      </c>
      <c r="AQ41" s="2121">
        <f>Risk_Compensation!P48*(Risk_Compensation!AS48+CW$143)*12/1000000</f>
        <v>0</v>
      </c>
      <c r="AR41" s="2121">
        <f>Risk_Compensation!Q48*(Risk_Compensation!AT48+CX$143)*12/1000000</f>
        <v>0</v>
      </c>
      <c r="AS41" s="2121">
        <f>Risk_Compensation!R48*(Risk_Compensation!AU48+CY$143)*12/1000000</f>
        <v>0</v>
      </c>
      <c r="AT41" s="2121">
        <f>Risk_Compensation!S48*(Risk_Compensation!AV48+CZ$143)*12/1000000</f>
        <v>0</v>
      </c>
      <c r="AU41" s="2121">
        <f>Risk_Compensation!T48*(Risk_Compensation!AW48+DA$143)*12/1000000</f>
        <v>0</v>
      </c>
      <c r="AV41" s="2121">
        <f>Risk_Compensation!U48*(Risk_Compensation!AX48+DB$143)*12/1000000</f>
        <v>0</v>
      </c>
      <c r="AW41" s="2121">
        <f>Risk_Compensation!V48*(Risk_Compensation!AY48+DC$143)*12/1000000</f>
        <v>0</v>
      </c>
      <c r="AX41" s="2121">
        <f>Risk_Compensation!W48*(Risk_Compensation!AZ48+DD$143)*12/1000000</f>
        <v>0</v>
      </c>
      <c r="AY41" s="2121">
        <f>Risk_Compensation!X48*(Risk_Compensation!BA48+DE$143)*12/1000000</f>
        <v>0</v>
      </c>
      <c r="AZ41" s="2121">
        <f>Risk_Compensation!Y48*(Risk_Compensation!BB48+DF$143)*12/1000000</f>
        <v>0</v>
      </c>
      <c r="BA41" s="2121">
        <f>Risk_Compensation!Z48*(Risk_Compensation!BC48+DG$143)*12/1000000</f>
        <v>0</v>
      </c>
      <c r="BB41" s="2121">
        <f>Risk_Compensation!AA48*(Risk_Compensation!BD48+DH$143)*12/1000000</f>
        <v>0</v>
      </c>
      <c r="BC41" s="2121">
        <f>Risk_Compensation!AB48*(Risk_Compensation!BE48+DI$143)*12/1000000</f>
        <v>0</v>
      </c>
      <c r="BD41" s="2121">
        <f>Risk_Compensation!AC48*(Risk_Compensation!BF48+DJ$143)*12/1000000</f>
        <v>0</v>
      </c>
      <c r="BE41" s="2121">
        <f>Risk_Compensation!AD48*(Risk_Compensation!BG48+DK$143)*12/1000000</f>
        <v>0</v>
      </c>
      <c r="BF41" s="2121">
        <f>Risk_Compensation!AE48*(Risk_Compensation!BH48+DL$143)*12/1000000</f>
        <v>0</v>
      </c>
      <c r="BG41" s="2121">
        <f>Risk_Compensation!AF48*(Risk_Compensation!BI48+DM$143)*12/1000000</f>
        <v>0</v>
      </c>
      <c r="BH41" s="2125">
        <f>Risk_Compensation!AG48*(Risk_Compensation!BJ48+DN$143)*12/1000000</f>
        <v>0</v>
      </c>
      <c r="BI41" s="644"/>
      <c r="BJ41" s="1829">
        <v>31</v>
      </c>
      <c r="BK41" s="2138">
        <f>IF(G41&lt;=0,0,(Risk_Compensation!H48/G41-Risk_Compensation!H$79/G$72-0.5*CO$167*($CK41-CO$135/G$72))*G41)</f>
        <v>0</v>
      </c>
      <c r="BL41" s="2139">
        <f>IF(H41&lt;=0,0,(Risk_Compensation!I48/H41-Risk_Compensation!I$79/H$72-0.5*CP$167*($CK41-CP$135/H$72))*H41)</f>
        <v>0</v>
      </c>
      <c r="BM41" s="2139">
        <f>IF(I41&lt;=0,0,(Risk_Compensation!J48/I41-Risk_Compensation!J$79/I$72-0.5*CQ$167*($CK41-CQ$135/I$72))*I41)</f>
        <v>0</v>
      </c>
      <c r="BN41" s="2139">
        <f>IF(J41&lt;=0,0,(Risk_Compensation!K48/J41-Risk_Compensation!K$79/J$72-0.5*CR$167*($CK41-CR$135/J$72))*J41)</f>
        <v>0</v>
      </c>
      <c r="BO41" s="2139">
        <f>IF(K41&lt;=0,0,(Risk_Compensation!L48/K41-Risk_Compensation!L$79/K$72-0.5*CS$167*($CK41-CS$135/K$72))*K41)</f>
        <v>0</v>
      </c>
      <c r="BP41" s="2139">
        <f>IF(L41&lt;=0,0,(Risk_Compensation!M48/L41-Risk_Compensation!M$79/L$72-0.5*CT$167*($CK41-CT$135/L$72))*L41)</f>
        <v>0</v>
      </c>
      <c r="BQ41" s="2139">
        <f>IF(M41&lt;=0,0,(Risk_Compensation!N48/M41-Risk_Compensation!N$79/M$72-0.5*CU$167*($CK41-CU$135/M$72))*M41)</f>
        <v>0</v>
      </c>
      <c r="BR41" s="2139">
        <f>IF(N41&lt;=0,0,(Risk_Compensation!O48/N41-Risk_Compensation!O$79/N$72-0.5*CV$167*($CK41-CV$135/N$72))*N41)</f>
        <v>0</v>
      </c>
      <c r="BS41" s="2139">
        <f>IF(O41&lt;=0,0,(Risk_Compensation!P48/O41-Risk_Compensation!P$79/O$72-0.5*CW$167*($CK41-CW$135/O$72))*O41)</f>
        <v>0</v>
      </c>
      <c r="BT41" s="2139">
        <f>IF(P41&lt;=0,0,(Risk_Compensation!Q48/P41-Risk_Compensation!Q$79/P$72-0.5*CX$167*($CK41-CX$135/P$72))*P41)</f>
        <v>0</v>
      </c>
      <c r="BU41" s="2139">
        <f>IF(Q41&lt;=0,0,(Risk_Compensation!R48/Q41-Risk_Compensation!R$79/Q$72-0.5*CY$167*($CK41-CY$135/Q$72))*Q41)</f>
        <v>0</v>
      </c>
      <c r="BV41" s="2139">
        <f>IF(R41&lt;=0,0,(Risk_Compensation!S48/R41-Risk_Compensation!S$79/R$72-0.5*CZ$167*($CK41-CZ$135/R$72))*R41)</f>
        <v>0</v>
      </c>
      <c r="BW41" s="2139">
        <f>IF(S41&lt;=0,0,(Risk_Compensation!T48/S41-Risk_Compensation!T$79/S$72-0.5*DA$167*($CK41-DA$135/S$72))*S41)</f>
        <v>0</v>
      </c>
      <c r="BX41" s="2139">
        <f>IF(T41&lt;=0,0,(Risk_Compensation!U48/T41-Risk_Compensation!U$79/T$72-0.5*DB$167*($CK41-DB$135/T$72))*T41)</f>
        <v>0</v>
      </c>
      <c r="BY41" s="2139">
        <f>IF(U41&lt;=0,0,(Risk_Compensation!V48/U41-Risk_Compensation!V$79/U$72-0.5*DC$167*($CK41-DC$135/U$72))*U41)</f>
        <v>0</v>
      </c>
      <c r="BZ41" s="2139">
        <f>IF(V41&lt;=0,0,(Risk_Compensation!W48/V41-Risk_Compensation!W$79/V$72-0.5*DD$167*($CK41-DD$135/V$72))*V41)</f>
        <v>0</v>
      </c>
      <c r="CA41" s="2139">
        <f>IF(W41&lt;=0,0,(Risk_Compensation!X48/W41-Risk_Compensation!X$79/W$72-0.5*DE$167*($CK41-DE$135/W$72))*W41)</f>
        <v>0</v>
      </c>
      <c r="CB41" s="2139">
        <f>IF(X41&lt;=0,0,(Risk_Compensation!Y48/X41-Risk_Compensation!Y$79/X$72-0.5*DF$167*($CK41-DF$135/X$72))*X41)</f>
        <v>0</v>
      </c>
      <c r="CC41" s="2139">
        <f>IF(Y41&lt;=0,0,(Risk_Compensation!Z48/Y41-Risk_Compensation!Z$79/Y$72-0.5*DG$167*($CK41-DG$135/Y$72))*Y41)</f>
        <v>0</v>
      </c>
      <c r="CD41" s="2139">
        <f>IF(Z41&lt;=0,0,(Risk_Compensation!AA48/Z41-Risk_Compensation!AA$79/Z$72-0.5*DH$167*($CK41-DH$135/Z$72))*Z41)</f>
        <v>0</v>
      </c>
      <c r="CE41" s="2139">
        <f>IF(AA41&lt;=0,0,(Risk_Compensation!AB48/AA41-Risk_Compensation!AB$79/AA$72-0.5*DI$167*($CK41-DI$135/AA$72))*AA41)</f>
        <v>0</v>
      </c>
      <c r="CF41" s="2139">
        <f>IF(AB41&lt;=0,0,(Risk_Compensation!AC48/AB41-Risk_Compensation!AC$79/AB$72-0.5*DJ$167*($CK41-DJ$135/AB$72))*AB41)</f>
        <v>0</v>
      </c>
      <c r="CG41" s="2139">
        <f>IF(AC41&lt;=0,0,(Risk_Compensation!AD48/AC41-Risk_Compensation!AD$79/AC$72-0.5*DK$167*($CK41-DK$135/AC$72))*AC41)</f>
        <v>0</v>
      </c>
      <c r="CH41" s="2139">
        <f>IF(AD41&lt;=0,0,(Risk_Compensation!AE48/AD41-Risk_Compensation!AE$79/AD$72-0.5*DL$167*($CK41-DL$135/AD$72))*AD41)</f>
        <v>0</v>
      </c>
      <c r="CI41" s="2139">
        <f>IF(AE41&lt;=0,0,(Risk_Compensation!AF48/AE41-Risk_Compensation!AF$79/AE$72-0.5*DM$167*($CK41-DM$135/AE$72))*AE41)</f>
        <v>0</v>
      </c>
      <c r="CJ41" s="2140">
        <f>IF(AF41&lt;=0,0,(Risk_Compensation!AG48/AF41-Risk_Compensation!AG$79/AF$72-0.5*DN$167*($CK41-DN$135/AF$72))*AF41)</f>
        <v>0</v>
      </c>
      <c r="CK41" s="2166">
        <v>1</v>
      </c>
      <c r="CL41" s="644"/>
      <c r="CM41" s="1829">
        <v>31</v>
      </c>
      <c r="CN41" s="2149">
        <f t="shared" si="0"/>
        <v>0</v>
      </c>
      <c r="CO41" s="2150">
        <f t="shared" si="1"/>
        <v>0</v>
      </c>
      <c r="CP41" s="2150">
        <f t="shared" si="2"/>
        <v>0</v>
      </c>
      <c r="CQ41" s="2150">
        <f t="shared" si="3"/>
        <v>0</v>
      </c>
      <c r="CR41" s="2150">
        <f t="shared" si="4"/>
        <v>0</v>
      </c>
      <c r="CS41" s="2150">
        <f t="shared" si="5"/>
        <v>0</v>
      </c>
      <c r="CT41" s="2150">
        <f t="shared" si="6"/>
        <v>0</v>
      </c>
      <c r="CU41" s="2150">
        <f t="shared" si="7"/>
        <v>0</v>
      </c>
      <c r="CV41" s="2150">
        <f t="shared" si="8"/>
        <v>0</v>
      </c>
      <c r="CW41" s="2150">
        <f t="shared" si="9"/>
        <v>0</v>
      </c>
      <c r="CX41" s="2150">
        <f t="shared" si="10"/>
        <v>0</v>
      </c>
      <c r="CY41" s="2150">
        <f t="shared" si="11"/>
        <v>0</v>
      </c>
      <c r="CZ41" s="2150">
        <f t="shared" si="12"/>
        <v>0</v>
      </c>
      <c r="DA41" s="2150">
        <f t="shared" si="13"/>
        <v>0</v>
      </c>
      <c r="DB41" s="2150">
        <f t="shared" si="14"/>
        <v>0</v>
      </c>
      <c r="DC41" s="2150">
        <f t="shared" si="15"/>
        <v>0</v>
      </c>
      <c r="DD41" s="2150">
        <f t="shared" si="16"/>
        <v>0</v>
      </c>
      <c r="DE41" s="2150">
        <f t="shared" si="17"/>
        <v>0</v>
      </c>
      <c r="DF41" s="2150">
        <f t="shared" si="18"/>
        <v>0</v>
      </c>
      <c r="DG41" s="2150">
        <f t="shared" si="19"/>
        <v>0</v>
      </c>
      <c r="DH41" s="2150">
        <f t="shared" si="20"/>
        <v>0</v>
      </c>
      <c r="DI41" s="2150">
        <f t="shared" si="21"/>
        <v>0</v>
      </c>
      <c r="DJ41" s="2150">
        <f t="shared" si="22"/>
        <v>0</v>
      </c>
      <c r="DK41" s="2150">
        <f t="shared" si="23"/>
        <v>0</v>
      </c>
      <c r="DL41" s="2150">
        <f t="shared" si="24"/>
        <v>0</v>
      </c>
      <c r="DM41" s="2151">
        <f t="shared" si="25"/>
        <v>0</v>
      </c>
      <c r="DN41" s="644"/>
      <c r="DO41" s="1829">
        <v>31</v>
      </c>
      <c r="DP41" s="2211">
        <v>740.04439789509399</v>
      </c>
      <c r="DQ41" s="2212">
        <v>696.65973337629703</v>
      </c>
      <c r="DR41" s="2212">
        <v>825.54284071121504</v>
      </c>
      <c r="DS41" s="2212">
        <v>923.88866946305995</v>
      </c>
      <c r="DT41" s="2212">
        <v>814.82645660388903</v>
      </c>
      <c r="DU41" s="2212">
        <v>874.48885580630099</v>
      </c>
      <c r="DV41" s="2212">
        <v>856.85263231669205</v>
      </c>
      <c r="DW41" s="2212">
        <v>1169.25288694806</v>
      </c>
      <c r="DX41" s="2212">
        <v>1164.2905886265501</v>
      </c>
      <c r="DY41" s="2212">
        <v>787.40217627582194</v>
      </c>
      <c r="DZ41" s="2212">
        <v>512.28202291336402</v>
      </c>
      <c r="EA41" s="2212">
        <v>916.71895681219598</v>
      </c>
      <c r="EB41" s="2212">
        <v>945.85005573512694</v>
      </c>
      <c r="EC41" s="2212">
        <v>876.54435043131502</v>
      </c>
      <c r="ED41" s="2212">
        <v>472.838457975822</v>
      </c>
      <c r="EE41" s="2212">
        <v>789.656088080632</v>
      </c>
      <c r="EF41" s="2212">
        <v>713.04751370553902</v>
      </c>
      <c r="EG41" s="2212">
        <v>720.05797078447404</v>
      </c>
      <c r="EH41" s="2212">
        <v>717.81954528122003</v>
      </c>
      <c r="EI41" s="2212">
        <v>832.818491797143</v>
      </c>
      <c r="EJ41" s="2212">
        <v>744.29843585511799</v>
      </c>
      <c r="EK41" s="2212">
        <v>598.05226908990505</v>
      </c>
      <c r="EL41" s="2212">
        <v>1043.2413987058601</v>
      </c>
      <c r="EM41" s="2212">
        <v>820.66151024286398</v>
      </c>
      <c r="EN41" s="2212">
        <v>606.17900524690799</v>
      </c>
      <c r="EO41" s="2213">
        <v>909.46997095542997</v>
      </c>
      <c r="ER41" s="1829">
        <v>31</v>
      </c>
      <c r="ES41" s="1830">
        <v>1.8617152194854301</v>
      </c>
      <c r="ET41" s="644"/>
      <c r="EU41" s="2156">
        <v>31</v>
      </c>
      <c r="EV41" s="2090" t="s">
        <v>162</v>
      </c>
      <c r="EW41" s="2090" t="s">
        <v>1904</v>
      </c>
      <c r="EX41" s="2090" t="str">
        <f>Translation!B$579</f>
        <v>Ja</v>
      </c>
    </row>
    <row r="42" spans="2:154" ht="12.75" x14ac:dyDescent="0.2">
      <c r="B42" s="2090">
        <v>32</v>
      </c>
      <c r="C42" s="2090" t="s">
        <v>162</v>
      </c>
      <c r="D42" s="2090" t="s">
        <v>1904</v>
      </c>
      <c r="E42" s="2090" t="str">
        <f>Translation!B$580</f>
        <v>Nein</v>
      </c>
      <c r="F42" s="1622">
        <v>32</v>
      </c>
      <c r="G42" s="2211">
        <v>23730.05</v>
      </c>
      <c r="H42" s="2212">
        <v>595.90916666666703</v>
      </c>
      <c r="I42" s="2212">
        <v>1696.4141666666701</v>
      </c>
      <c r="J42" s="2212">
        <v>33943.4391666667</v>
      </c>
      <c r="K42" s="2212">
        <v>9334.0475000000006</v>
      </c>
      <c r="L42" s="2212">
        <v>5648.4233333333304</v>
      </c>
      <c r="M42" s="2212">
        <v>12860.6408333333</v>
      </c>
      <c r="N42" s="2212">
        <v>17606.464166666701</v>
      </c>
      <c r="O42" s="2212">
        <v>1332.7191666666699</v>
      </c>
      <c r="P42" s="2212">
        <v>6771.01166666667</v>
      </c>
      <c r="Q42" s="2212">
        <v>2779.2708333333298</v>
      </c>
      <c r="R42" s="2212">
        <v>14797.0375</v>
      </c>
      <c r="S42" s="2212">
        <v>6740.19</v>
      </c>
      <c r="T42" s="2212">
        <v>1312.2808333333301</v>
      </c>
      <c r="U42" s="2212">
        <v>1308.4483333333301</v>
      </c>
      <c r="V42" s="2212">
        <v>19300.4783333333</v>
      </c>
      <c r="W42" s="2212">
        <v>2687.1174999999998</v>
      </c>
      <c r="X42" s="2212">
        <v>9445.3083333333307</v>
      </c>
      <c r="Y42" s="2212">
        <v>5204.6424999999999</v>
      </c>
      <c r="Z42" s="2212">
        <v>9683.2666666666701</v>
      </c>
      <c r="AA42" s="2212">
        <v>11500.4233333333</v>
      </c>
      <c r="AB42" s="2212">
        <v>1287.7166666666701</v>
      </c>
      <c r="AC42" s="2212">
        <v>30117.977500000001</v>
      </c>
      <c r="AD42" s="2212">
        <v>12775.079166666699</v>
      </c>
      <c r="AE42" s="2212">
        <v>3905.23583333333</v>
      </c>
      <c r="AF42" s="2213">
        <v>49531.581666666701</v>
      </c>
      <c r="AH42" s="1829">
        <v>32</v>
      </c>
      <c r="AI42" s="2124">
        <f>Risk_Compensation!H49*(Risk_Compensation!AK49+CO$143)*12/1000000</f>
        <v>0</v>
      </c>
      <c r="AJ42" s="2121">
        <f>Risk_Compensation!I49*(Risk_Compensation!AL49+CP$143)*12/1000000</f>
        <v>0</v>
      </c>
      <c r="AK42" s="2121">
        <f>Risk_Compensation!J49*(Risk_Compensation!AM49+CQ$143)*12/1000000</f>
        <v>0</v>
      </c>
      <c r="AL42" s="2121">
        <f>Risk_Compensation!K49*(Risk_Compensation!AN49+CR$143)*12/1000000</f>
        <v>0</v>
      </c>
      <c r="AM42" s="2121">
        <f>Risk_Compensation!L49*(Risk_Compensation!AO49+CS$143)*12/1000000</f>
        <v>0</v>
      </c>
      <c r="AN42" s="2121">
        <f>Risk_Compensation!M49*(Risk_Compensation!AP49+CT$143)*12/1000000</f>
        <v>0</v>
      </c>
      <c r="AO42" s="2121">
        <f>Risk_Compensation!N49*(Risk_Compensation!AQ49+CU$143)*12/1000000</f>
        <v>0</v>
      </c>
      <c r="AP42" s="2121">
        <f>Risk_Compensation!O49*(Risk_Compensation!AR49+CV$143)*12/1000000</f>
        <v>0</v>
      </c>
      <c r="AQ42" s="2121">
        <f>Risk_Compensation!P49*(Risk_Compensation!AS49+CW$143)*12/1000000</f>
        <v>0</v>
      </c>
      <c r="AR42" s="2121">
        <f>Risk_Compensation!Q49*(Risk_Compensation!AT49+CX$143)*12/1000000</f>
        <v>0</v>
      </c>
      <c r="AS42" s="2121">
        <f>Risk_Compensation!R49*(Risk_Compensation!AU49+CY$143)*12/1000000</f>
        <v>0</v>
      </c>
      <c r="AT42" s="2121">
        <f>Risk_Compensation!S49*(Risk_Compensation!AV49+CZ$143)*12/1000000</f>
        <v>0</v>
      </c>
      <c r="AU42" s="2121">
        <f>Risk_Compensation!T49*(Risk_Compensation!AW49+DA$143)*12/1000000</f>
        <v>0</v>
      </c>
      <c r="AV42" s="2121">
        <f>Risk_Compensation!U49*(Risk_Compensation!AX49+DB$143)*12/1000000</f>
        <v>0</v>
      </c>
      <c r="AW42" s="2121">
        <f>Risk_Compensation!V49*(Risk_Compensation!AY49+DC$143)*12/1000000</f>
        <v>0</v>
      </c>
      <c r="AX42" s="2121">
        <f>Risk_Compensation!W49*(Risk_Compensation!AZ49+DD$143)*12/1000000</f>
        <v>0</v>
      </c>
      <c r="AY42" s="2121">
        <f>Risk_Compensation!X49*(Risk_Compensation!BA49+DE$143)*12/1000000</f>
        <v>0</v>
      </c>
      <c r="AZ42" s="2121">
        <f>Risk_Compensation!Y49*(Risk_Compensation!BB49+DF$143)*12/1000000</f>
        <v>0</v>
      </c>
      <c r="BA42" s="2121">
        <f>Risk_Compensation!Z49*(Risk_Compensation!BC49+DG$143)*12/1000000</f>
        <v>0</v>
      </c>
      <c r="BB42" s="2121">
        <f>Risk_Compensation!AA49*(Risk_Compensation!BD49+DH$143)*12/1000000</f>
        <v>0</v>
      </c>
      <c r="BC42" s="2121">
        <f>Risk_Compensation!AB49*(Risk_Compensation!BE49+DI$143)*12/1000000</f>
        <v>0</v>
      </c>
      <c r="BD42" s="2121">
        <f>Risk_Compensation!AC49*(Risk_Compensation!BF49+DJ$143)*12/1000000</f>
        <v>0</v>
      </c>
      <c r="BE42" s="2121">
        <f>Risk_Compensation!AD49*(Risk_Compensation!BG49+DK$143)*12/1000000</f>
        <v>0</v>
      </c>
      <c r="BF42" s="2121">
        <f>Risk_Compensation!AE49*(Risk_Compensation!BH49+DL$143)*12/1000000</f>
        <v>0</v>
      </c>
      <c r="BG42" s="2121">
        <f>Risk_Compensation!AF49*(Risk_Compensation!BI49+DM$143)*12/1000000</f>
        <v>0</v>
      </c>
      <c r="BH42" s="2125">
        <f>Risk_Compensation!AG49*(Risk_Compensation!BJ49+DN$143)*12/1000000</f>
        <v>0</v>
      </c>
      <c r="BI42" s="644"/>
      <c r="BJ42" s="1829">
        <v>32</v>
      </c>
      <c r="BK42" s="2138">
        <f>IF(G42&lt;=0,0,(Risk_Compensation!H49/G42-Risk_Compensation!H$79/G$72-0.5*CO$167*($CK42-CO$135/G$72))*G42)</f>
        <v>0</v>
      </c>
      <c r="BL42" s="2139">
        <f>IF(H42&lt;=0,0,(Risk_Compensation!I49/H42-Risk_Compensation!I$79/H$72-0.5*CP$167*($CK42-CP$135/H$72))*H42)</f>
        <v>0</v>
      </c>
      <c r="BM42" s="2139">
        <f>IF(I42&lt;=0,0,(Risk_Compensation!J49/I42-Risk_Compensation!J$79/I$72-0.5*CQ$167*($CK42-CQ$135/I$72))*I42)</f>
        <v>0</v>
      </c>
      <c r="BN42" s="2139">
        <f>IF(J42&lt;=0,0,(Risk_Compensation!K49/J42-Risk_Compensation!K$79/J$72-0.5*CR$167*($CK42-CR$135/J$72))*J42)</f>
        <v>0</v>
      </c>
      <c r="BO42" s="2139">
        <f>IF(K42&lt;=0,0,(Risk_Compensation!L49/K42-Risk_Compensation!L$79/K$72-0.5*CS$167*($CK42-CS$135/K$72))*K42)</f>
        <v>0</v>
      </c>
      <c r="BP42" s="2139">
        <f>IF(L42&lt;=0,0,(Risk_Compensation!M49/L42-Risk_Compensation!M$79/L$72-0.5*CT$167*($CK42-CT$135/L$72))*L42)</f>
        <v>0</v>
      </c>
      <c r="BQ42" s="2139">
        <f>IF(M42&lt;=0,0,(Risk_Compensation!N49/M42-Risk_Compensation!N$79/M$72-0.5*CU$167*($CK42-CU$135/M$72))*M42)</f>
        <v>0</v>
      </c>
      <c r="BR42" s="2139">
        <f>IF(N42&lt;=0,0,(Risk_Compensation!O49/N42-Risk_Compensation!O$79/N$72-0.5*CV$167*($CK42-CV$135/N$72))*N42)</f>
        <v>0</v>
      </c>
      <c r="BS42" s="2139">
        <f>IF(O42&lt;=0,0,(Risk_Compensation!P49/O42-Risk_Compensation!P$79/O$72-0.5*CW$167*($CK42-CW$135/O$72))*O42)</f>
        <v>0</v>
      </c>
      <c r="BT42" s="2139">
        <f>IF(P42&lt;=0,0,(Risk_Compensation!Q49/P42-Risk_Compensation!Q$79/P$72-0.5*CX$167*($CK42-CX$135/P$72))*P42)</f>
        <v>0</v>
      </c>
      <c r="BU42" s="2139">
        <f>IF(Q42&lt;=0,0,(Risk_Compensation!R49/Q42-Risk_Compensation!R$79/Q$72-0.5*CY$167*($CK42-CY$135/Q$72))*Q42)</f>
        <v>0</v>
      </c>
      <c r="BV42" s="2139">
        <f>IF(R42&lt;=0,0,(Risk_Compensation!S49/R42-Risk_Compensation!S$79/R$72-0.5*CZ$167*($CK42-CZ$135/R$72))*R42)</f>
        <v>0</v>
      </c>
      <c r="BW42" s="2139">
        <f>IF(S42&lt;=0,0,(Risk_Compensation!T49/S42-Risk_Compensation!T$79/S$72-0.5*DA$167*($CK42-DA$135/S$72))*S42)</f>
        <v>0</v>
      </c>
      <c r="BX42" s="2139">
        <f>IF(T42&lt;=0,0,(Risk_Compensation!U49/T42-Risk_Compensation!U$79/T$72-0.5*DB$167*($CK42-DB$135/T$72))*T42)</f>
        <v>0</v>
      </c>
      <c r="BY42" s="2139">
        <f>IF(U42&lt;=0,0,(Risk_Compensation!V49/U42-Risk_Compensation!V$79/U$72-0.5*DC$167*($CK42-DC$135/U$72))*U42)</f>
        <v>0</v>
      </c>
      <c r="BZ42" s="2139">
        <f>IF(V42&lt;=0,0,(Risk_Compensation!W49/V42-Risk_Compensation!W$79/V$72-0.5*DD$167*($CK42-DD$135/V$72))*V42)</f>
        <v>0</v>
      </c>
      <c r="CA42" s="2139">
        <f>IF(W42&lt;=0,0,(Risk_Compensation!X49/W42-Risk_Compensation!X$79/W$72-0.5*DE$167*($CK42-DE$135/W$72))*W42)</f>
        <v>0</v>
      </c>
      <c r="CB42" s="2139">
        <f>IF(X42&lt;=0,0,(Risk_Compensation!Y49/X42-Risk_Compensation!Y$79/X$72-0.5*DF$167*($CK42-DF$135/X$72))*X42)</f>
        <v>0</v>
      </c>
      <c r="CC42" s="2139">
        <f>IF(Y42&lt;=0,0,(Risk_Compensation!Z49/Y42-Risk_Compensation!Z$79/Y$72-0.5*DG$167*($CK42-DG$135/Y$72))*Y42)</f>
        <v>0</v>
      </c>
      <c r="CD42" s="2139">
        <f>IF(Z42&lt;=0,0,(Risk_Compensation!AA49/Z42-Risk_Compensation!AA$79/Z$72-0.5*DH$167*($CK42-DH$135/Z$72))*Z42)</f>
        <v>0</v>
      </c>
      <c r="CE42" s="2139">
        <f>IF(AA42&lt;=0,0,(Risk_Compensation!AB49/AA42-Risk_Compensation!AB$79/AA$72-0.5*DI$167*($CK42-DI$135/AA$72))*AA42)</f>
        <v>0</v>
      </c>
      <c r="CF42" s="2139">
        <f>IF(AB42&lt;=0,0,(Risk_Compensation!AC49/AB42-Risk_Compensation!AC$79/AB$72-0.5*DJ$167*($CK42-DJ$135/AB$72))*AB42)</f>
        <v>0</v>
      </c>
      <c r="CG42" s="2139">
        <f>IF(AC42&lt;=0,0,(Risk_Compensation!AD49/AC42-Risk_Compensation!AD$79/AC$72-0.5*DK$167*($CK42-DK$135/AC$72))*AC42)</f>
        <v>0</v>
      </c>
      <c r="CH42" s="2139">
        <f>IF(AD42&lt;=0,0,(Risk_Compensation!AE49/AD42-Risk_Compensation!AE$79/AD$72-0.5*DL$167*($CK42-DL$135/AD$72))*AD42)</f>
        <v>0</v>
      </c>
      <c r="CI42" s="2139">
        <f>IF(AE42&lt;=0,0,(Risk_Compensation!AF49/AE42-Risk_Compensation!AF$79/AE$72-0.5*DM$167*($CK42-DM$135/AE$72))*AE42)</f>
        <v>0</v>
      </c>
      <c r="CJ42" s="2140">
        <f>IF(AF42&lt;=0,0,(Risk_Compensation!AG49/AF42-Risk_Compensation!AG$79/AF$72-0.5*DN$167*($CK42-DN$135/AF$72))*AF42)</f>
        <v>0</v>
      </c>
      <c r="CK42" s="2166">
        <v>1</v>
      </c>
      <c r="CL42" s="644"/>
      <c r="CM42" s="1829">
        <v>32</v>
      </c>
      <c r="CN42" s="2149">
        <f t="shared" si="0"/>
        <v>0</v>
      </c>
      <c r="CO42" s="2150">
        <f t="shared" si="1"/>
        <v>0</v>
      </c>
      <c r="CP42" s="2150">
        <f t="shared" si="2"/>
        <v>0</v>
      </c>
      <c r="CQ42" s="2150">
        <f t="shared" si="3"/>
        <v>0</v>
      </c>
      <c r="CR42" s="2150">
        <f t="shared" si="4"/>
        <v>0</v>
      </c>
      <c r="CS42" s="2150">
        <f t="shared" si="5"/>
        <v>0</v>
      </c>
      <c r="CT42" s="2150">
        <f t="shared" si="6"/>
        <v>0</v>
      </c>
      <c r="CU42" s="2150">
        <f t="shared" si="7"/>
        <v>0</v>
      </c>
      <c r="CV42" s="2150">
        <f t="shared" si="8"/>
        <v>0</v>
      </c>
      <c r="CW42" s="2150">
        <f t="shared" si="9"/>
        <v>0</v>
      </c>
      <c r="CX42" s="2150">
        <f t="shared" si="10"/>
        <v>0</v>
      </c>
      <c r="CY42" s="2150">
        <f t="shared" si="11"/>
        <v>0</v>
      </c>
      <c r="CZ42" s="2150">
        <f t="shared" si="12"/>
        <v>0</v>
      </c>
      <c r="DA42" s="2150">
        <f t="shared" si="13"/>
        <v>0</v>
      </c>
      <c r="DB42" s="2150">
        <f t="shared" si="14"/>
        <v>0</v>
      </c>
      <c r="DC42" s="2150">
        <f t="shared" si="15"/>
        <v>0</v>
      </c>
      <c r="DD42" s="2150">
        <f t="shared" si="16"/>
        <v>0</v>
      </c>
      <c r="DE42" s="2150">
        <f t="shared" si="17"/>
        <v>0</v>
      </c>
      <c r="DF42" s="2150">
        <f t="shared" si="18"/>
        <v>0</v>
      </c>
      <c r="DG42" s="2150">
        <f t="shared" si="19"/>
        <v>0</v>
      </c>
      <c r="DH42" s="2150">
        <f t="shared" si="20"/>
        <v>0</v>
      </c>
      <c r="DI42" s="2150">
        <f t="shared" si="21"/>
        <v>0</v>
      </c>
      <c r="DJ42" s="2150">
        <f t="shared" si="22"/>
        <v>0</v>
      </c>
      <c r="DK42" s="2150">
        <f t="shared" si="23"/>
        <v>0</v>
      </c>
      <c r="DL42" s="2150">
        <f t="shared" si="24"/>
        <v>0</v>
      </c>
      <c r="DM42" s="2151">
        <f t="shared" si="25"/>
        <v>0</v>
      </c>
      <c r="DN42" s="644"/>
      <c r="DO42" s="1829">
        <v>32</v>
      </c>
      <c r="DP42" s="2211">
        <v>117.843753099593</v>
      </c>
      <c r="DQ42" s="2212">
        <v>66.528828623974604</v>
      </c>
      <c r="DR42" s="2212">
        <v>106.248387778165</v>
      </c>
      <c r="DS42" s="2212">
        <v>112.95880512861901</v>
      </c>
      <c r="DT42" s="2212">
        <v>133.02443198886201</v>
      </c>
      <c r="DU42" s="2212">
        <v>148.832948611917</v>
      </c>
      <c r="DV42" s="2212">
        <v>114.54993577262699</v>
      </c>
      <c r="DW42" s="2212">
        <v>181.591641267282</v>
      </c>
      <c r="DX42" s="2212">
        <v>126.04441110862</v>
      </c>
      <c r="DY42" s="2212">
        <v>89.915942950916104</v>
      </c>
      <c r="DZ42" s="2212">
        <v>87.388682196792999</v>
      </c>
      <c r="EA42" s="2212">
        <v>99.440117083943704</v>
      </c>
      <c r="EB42" s="2212">
        <v>112.492002274573</v>
      </c>
      <c r="EC42" s="2212">
        <v>84.845659953510605</v>
      </c>
      <c r="ED42" s="2212">
        <v>74.730319451900002</v>
      </c>
      <c r="EE42" s="2212">
        <v>107.97867263530399</v>
      </c>
      <c r="EF42" s="2212">
        <v>117.01501712371901</v>
      </c>
      <c r="EG42" s="2212">
        <v>127.625112425428</v>
      </c>
      <c r="EH42" s="2212">
        <v>95.196679068739897</v>
      </c>
      <c r="EI42" s="2212">
        <v>110.645121629656</v>
      </c>
      <c r="EJ42" s="2212">
        <v>121.041257431942</v>
      </c>
      <c r="EK42" s="2212">
        <v>62.663072731905501</v>
      </c>
      <c r="EL42" s="2212">
        <v>136.43431913202099</v>
      </c>
      <c r="EM42" s="2212">
        <v>103.583863489348</v>
      </c>
      <c r="EN42" s="2212">
        <v>107.755860911561</v>
      </c>
      <c r="EO42" s="2213">
        <v>130.23005957126301</v>
      </c>
      <c r="ER42" s="1829">
        <v>32</v>
      </c>
      <c r="ES42" s="1830">
        <v>3.3633518526935502</v>
      </c>
      <c r="ET42" s="644"/>
      <c r="EU42" s="2156">
        <v>32</v>
      </c>
      <c r="EV42" s="2090" t="s">
        <v>162</v>
      </c>
      <c r="EW42" s="2090" t="s">
        <v>1904</v>
      </c>
      <c r="EX42" s="2090" t="str">
        <f>Translation!B$580</f>
        <v>Nein</v>
      </c>
    </row>
    <row r="43" spans="2:154" ht="12.75" x14ac:dyDescent="0.2">
      <c r="B43" s="2090">
        <v>33</v>
      </c>
      <c r="C43" s="2090" t="s">
        <v>162</v>
      </c>
      <c r="D43" s="2090" t="s">
        <v>1905</v>
      </c>
      <c r="E43" s="2090" t="str">
        <f>Translation!B$579</f>
        <v>Ja</v>
      </c>
      <c r="F43" s="1622">
        <v>33</v>
      </c>
      <c r="G43" s="2211">
        <v>526.13083333333304</v>
      </c>
      <c r="H43" s="2212">
        <v>11</v>
      </c>
      <c r="I43" s="2212">
        <v>42.597499999999997</v>
      </c>
      <c r="J43" s="2212">
        <v>741.18416666666701</v>
      </c>
      <c r="K43" s="2212">
        <v>232.5575</v>
      </c>
      <c r="L43" s="2212">
        <v>187.416666666667</v>
      </c>
      <c r="M43" s="2212">
        <v>187.285</v>
      </c>
      <c r="N43" s="2212">
        <v>275.98750000000001</v>
      </c>
      <c r="O43" s="2212">
        <v>32.6666666666667</v>
      </c>
      <c r="P43" s="2212">
        <v>111.18</v>
      </c>
      <c r="Q43" s="2212">
        <v>55.197499999999998</v>
      </c>
      <c r="R43" s="2212">
        <v>300.615833333333</v>
      </c>
      <c r="S43" s="2212">
        <v>100.760833333333</v>
      </c>
      <c r="T43" s="2212">
        <v>20.8333333333333</v>
      </c>
      <c r="U43" s="2212">
        <v>17</v>
      </c>
      <c r="V43" s="2212">
        <v>450.35833333333301</v>
      </c>
      <c r="W43" s="2212">
        <v>69.537499999999994</v>
      </c>
      <c r="X43" s="2212">
        <v>253.2525</v>
      </c>
      <c r="Y43" s="2212">
        <v>116.166666666667</v>
      </c>
      <c r="Z43" s="2212">
        <v>221.53333333333299</v>
      </c>
      <c r="AA43" s="2212">
        <v>165.830833333333</v>
      </c>
      <c r="AB43" s="2212">
        <v>24.6666666666667</v>
      </c>
      <c r="AC43" s="2212">
        <v>459.240833333333</v>
      </c>
      <c r="AD43" s="2212">
        <v>209.13</v>
      </c>
      <c r="AE43" s="2212">
        <v>78.516666666666694</v>
      </c>
      <c r="AF43" s="2213">
        <v>1087.6216666666701</v>
      </c>
      <c r="AH43" s="1829">
        <v>33</v>
      </c>
      <c r="AI43" s="2124">
        <f>Risk_Compensation!H50*(Risk_Compensation!AK50+CO$144)*12/1000000</f>
        <v>0</v>
      </c>
      <c r="AJ43" s="2121">
        <f>Risk_Compensation!I50*(Risk_Compensation!AL50+CP$144)*12/1000000</f>
        <v>0</v>
      </c>
      <c r="AK43" s="2121">
        <f>Risk_Compensation!J50*(Risk_Compensation!AM50+CQ$144)*12/1000000</f>
        <v>0</v>
      </c>
      <c r="AL43" s="2121">
        <f>Risk_Compensation!K50*(Risk_Compensation!AN50+CR$144)*12/1000000</f>
        <v>0</v>
      </c>
      <c r="AM43" s="2121">
        <f>Risk_Compensation!L50*(Risk_Compensation!AO50+CS$144)*12/1000000</f>
        <v>0</v>
      </c>
      <c r="AN43" s="2121">
        <f>Risk_Compensation!M50*(Risk_Compensation!AP50+CT$144)*12/1000000</f>
        <v>0</v>
      </c>
      <c r="AO43" s="2121">
        <f>Risk_Compensation!N50*(Risk_Compensation!AQ50+CU$144)*12/1000000</f>
        <v>0</v>
      </c>
      <c r="AP43" s="2121">
        <f>Risk_Compensation!O50*(Risk_Compensation!AR50+CV$144)*12/1000000</f>
        <v>0</v>
      </c>
      <c r="AQ43" s="2121">
        <f>Risk_Compensation!P50*(Risk_Compensation!AS50+CW$144)*12/1000000</f>
        <v>0</v>
      </c>
      <c r="AR43" s="2121">
        <f>Risk_Compensation!Q50*(Risk_Compensation!AT50+CX$144)*12/1000000</f>
        <v>0</v>
      </c>
      <c r="AS43" s="2121">
        <f>Risk_Compensation!R50*(Risk_Compensation!AU50+CY$144)*12/1000000</f>
        <v>0</v>
      </c>
      <c r="AT43" s="2121">
        <f>Risk_Compensation!S50*(Risk_Compensation!AV50+CZ$144)*12/1000000</f>
        <v>0</v>
      </c>
      <c r="AU43" s="2121">
        <f>Risk_Compensation!T50*(Risk_Compensation!AW50+DA$144)*12/1000000</f>
        <v>0</v>
      </c>
      <c r="AV43" s="2121">
        <f>Risk_Compensation!U50*(Risk_Compensation!AX50+DB$144)*12/1000000</f>
        <v>0</v>
      </c>
      <c r="AW43" s="2121">
        <f>Risk_Compensation!V50*(Risk_Compensation!AY50+DC$144)*12/1000000</f>
        <v>0</v>
      </c>
      <c r="AX43" s="2121">
        <f>Risk_Compensation!W50*(Risk_Compensation!AZ50+DD$144)*12/1000000</f>
        <v>0</v>
      </c>
      <c r="AY43" s="2121">
        <f>Risk_Compensation!X50*(Risk_Compensation!BA50+DE$144)*12/1000000</f>
        <v>0</v>
      </c>
      <c r="AZ43" s="2121">
        <f>Risk_Compensation!Y50*(Risk_Compensation!BB50+DF$144)*12/1000000</f>
        <v>0</v>
      </c>
      <c r="BA43" s="2121">
        <f>Risk_Compensation!Z50*(Risk_Compensation!BC50+DG$144)*12/1000000</f>
        <v>0</v>
      </c>
      <c r="BB43" s="2121">
        <f>Risk_Compensation!AA50*(Risk_Compensation!BD50+DH$144)*12/1000000</f>
        <v>0</v>
      </c>
      <c r="BC43" s="2121">
        <f>Risk_Compensation!AB50*(Risk_Compensation!BE50+DI$144)*12/1000000</f>
        <v>0</v>
      </c>
      <c r="BD43" s="2121">
        <f>Risk_Compensation!AC50*(Risk_Compensation!BF50+DJ$144)*12/1000000</f>
        <v>0</v>
      </c>
      <c r="BE43" s="2121">
        <f>Risk_Compensation!AD50*(Risk_Compensation!BG50+DK$144)*12/1000000</f>
        <v>0</v>
      </c>
      <c r="BF43" s="2121">
        <f>Risk_Compensation!AE50*(Risk_Compensation!BH50+DL$144)*12/1000000</f>
        <v>0</v>
      </c>
      <c r="BG43" s="2121">
        <f>Risk_Compensation!AF50*(Risk_Compensation!BI50+DM$144)*12/1000000</f>
        <v>0</v>
      </c>
      <c r="BH43" s="2125">
        <f>Risk_Compensation!AG50*(Risk_Compensation!BJ50+DN$144)*12/1000000</f>
        <v>0</v>
      </c>
      <c r="BI43" s="644"/>
      <c r="BJ43" s="1829">
        <v>33</v>
      </c>
      <c r="BK43" s="2138">
        <f>IF(G43&lt;=0,0,(Risk_Compensation!H50/G43-Risk_Compensation!H$79/G$72-0.5*CO$167*($CK43-CO$135/G$72))*G43)</f>
        <v>0</v>
      </c>
      <c r="BL43" s="2139">
        <f>IF(H43&lt;=0,0,(Risk_Compensation!I50/H43-Risk_Compensation!I$79/H$72-0.5*CP$167*($CK43-CP$135/H$72))*H43)</f>
        <v>0</v>
      </c>
      <c r="BM43" s="2139">
        <f>IF(I43&lt;=0,0,(Risk_Compensation!J50/I43-Risk_Compensation!J$79/I$72-0.5*CQ$167*($CK43-CQ$135/I$72))*I43)</f>
        <v>0</v>
      </c>
      <c r="BN43" s="2139">
        <f>IF(J43&lt;=0,0,(Risk_Compensation!K50/J43-Risk_Compensation!K$79/J$72-0.5*CR$167*($CK43-CR$135/J$72))*J43)</f>
        <v>0</v>
      </c>
      <c r="BO43" s="2139">
        <f>IF(K43&lt;=0,0,(Risk_Compensation!L50/K43-Risk_Compensation!L$79/K$72-0.5*CS$167*($CK43-CS$135/K$72))*K43)</f>
        <v>0</v>
      </c>
      <c r="BP43" s="2139">
        <f>IF(L43&lt;=0,0,(Risk_Compensation!M50/L43-Risk_Compensation!M$79/L$72-0.5*CT$167*($CK43-CT$135/L$72))*L43)</f>
        <v>0</v>
      </c>
      <c r="BQ43" s="2139">
        <f>IF(M43&lt;=0,0,(Risk_Compensation!N50/M43-Risk_Compensation!N$79/M$72-0.5*CU$167*($CK43-CU$135/M$72))*M43)</f>
        <v>0</v>
      </c>
      <c r="BR43" s="2139">
        <f>IF(N43&lt;=0,0,(Risk_Compensation!O50/N43-Risk_Compensation!O$79/N$72-0.5*CV$167*($CK43-CV$135/N$72))*N43)</f>
        <v>0</v>
      </c>
      <c r="BS43" s="2139">
        <f>IF(O43&lt;=0,0,(Risk_Compensation!P50/O43-Risk_Compensation!P$79/O$72-0.5*CW$167*($CK43-CW$135/O$72))*O43)</f>
        <v>0</v>
      </c>
      <c r="BT43" s="2139">
        <f>IF(P43&lt;=0,0,(Risk_Compensation!Q50/P43-Risk_Compensation!Q$79/P$72-0.5*CX$167*($CK43-CX$135/P$72))*P43)</f>
        <v>0</v>
      </c>
      <c r="BU43" s="2139">
        <f>IF(Q43&lt;=0,0,(Risk_Compensation!R50/Q43-Risk_Compensation!R$79/Q$72-0.5*CY$167*($CK43-CY$135/Q$72))*Q43)</f>
        <v>0</v>
      </c>
      <c r="BV43" s="2139">
        <f>IF(R43&lt;=0,0,(Risk_Compensation!S50/R43-Risk_Compensation!S$79/R$72-0.5*CZ$167*($CK43-CZ$135/R$72))*R43)</f>
        <v>0</v>
      </c>
      <c r="BW43" s="2139">
        <f>IF(S43&lt;=0,0,(Risk_Compensation!T50/S43-Risk_Compensation!T$79/S$72-0.5*DA$167*($CK43-DA$135/S$72))*S43)</f>
        <v>0</v>
      </c>
      <c r="BX43" s="2139">
        <f>IF(T43&lt;=0,0,(Risk_Compensation!U50/T43-Risk_Compensation!U$79/T$72-0.5*DB$167*($CK43-DB$135/T$72))*T43)</f>
        <v>0</v>
      </c>
      <c r="BY43" s="2139">
        <f>IF(U43&lt;=0,0,(Risk_Compensation!V50/U43-Risk_Compensation!V$79/U$72-0.5*DC$167*($CK43-DC$135/U$72))*U43)</f>
        <v>0</v>
      </c>
      <c r="BZ43" s="2139">
        <f>IF(V43&lt;=0,0,(Risk_Compensation!W50/V43-Risk_Compensation!W$79/V$72-0.5*DD$167*($CK43-DD$135/V$72))*V43)</f>
        <v>0</v>
      </c>
      <c r="CA43" s="2139">
        <f>IF(W43&lt;=0,0,(Risk_Compensation!X50/W43-Risk_Compensation!X$79/W$72-0.5*DE$167*($CK43-DE$135/W$72))*W43)</f>
        <v>0</v>
      </c>
      <c r="CB43" s="2139">
        <f>IF(X43&lt;=0,0,(Risk_Compensation!Y50/X43-Risk_Compensation!Y$79/X$72-0.5*DF$167*($CK43-DF$135/X$72))*X43)</f>
        <v>0</v>
      </c>
      <c r="CC43" s="2139">
        <f>IF(Y43&lt;=0,0,(Risk_Compensation!Z50/Y43-Risk_Compensation!Z$79/Y$72-0.5*DG$167*($CK43-DG$135/Y$72))*Y43)</f>
        <v>0</v>
      </c>
      <c r="CD43" s="2139">
        <f>IF(Z43&lt;=0,0,(Risk_Compensation!AA50/Z43-Risk_Compensation!AA$79/Z$72-0.5*DH$167*($CK43-DH$135/Z$72))*Z43)</f>
        <v>0</v>
      </c>
      <c r="CE43" s="2139">
        <f>IF(AA43&lt;=0,0,(Risk_Compensation!AB50/AA43-Risk_Compensation!AB$79/AA$72-0.5*DI$167*($CK43-DI$135/AA$72))*AA43)</f>
        <v>0</v>
      </c>
      <c r="CF43" s="2139">
        <f>IF(AB43&lt;=0,0,(Risk_Compensation!AC50/AB43-Risk_Compensation!AC$79/AB$72-0.5*DJ$167*($CK43-DJ$135/AB$72))*AB43)</f>
        <v>0</v>
      </c>
      <c r="CG43" s="2139">
        <f>IF(AC43&lt;=0,0,(Risk_Compensation!AD50/AC43-Risk_Compensation!AD$79/AC$72-0.5*DK$167*($CK43-DK$135/AC$72))*AC43)</f>
        <v>0</v>
      </c>
      <c r="CH43" s="2139">
        <f>IF(AD43&lt;=0,0,(Risk_Compensation!AE50/AD43-Risk_Compensation!AE$79/AD$72-0.5*DL$167*($CK43-DL$135/AD$72))*AD43)</f>
        <v>0</v>
      </c>
      <c r="CI43" s="2139">
        <f>IF(AE43&lt;=0,0,(Risk_Compensation!AF50/AE43-Risk_Compensation!AF$79/AE$72-0.5*DM$167*($CK43-DM$135/AE$72))*AE43)</f>
        <v>0</v>
      </c>
      <c r="CJ43" s="2140">
        <f>IF(AF43&lt;=0,0,(Risk_Compensation!AG50/AF43-Risk_Compensation!AG$79/AF$72-0.5*DN$167*($CK43-DN$135/AF$72))*AF43)</f>
        <v>0</v>
      </c>
      <c r="CK43" s="2166">
        <v>0</v>
      </c>
      <c r="CL43" s="644"/>
      <c r="CM43" s="1829">
        <v>33</v>
      </c>
      <c r="CN43" s="2149">
        <f t="shared" ref="CN43:CN70" si="26">IF(G43&gt;0,$ES43^2*(BK43*DP43*12/1000000)^2/G43,0)</f>
        <v>0</v>
      </c>
      <c r="CO43" s="2150">
        <f t="shared" ref="CO43:CO70" si="27">IF(H43&gt;0,$ES43^2*(BL43*DQ43*12/1000000)^2/H43,0)</f>
        <v>0</v>
      </c>
      <c r="CP43" s="2150">
        <f t="shared" ref="CP43:CP70" si="28">IF(I43&gt;0,$ES43^2*(BM43*DR43*12/1000000)^2/I43,0)</f>
        <v>0</v>
      </c>
      <c r="CQ43" s="2150">
        <f t="shared" ref="CQ43:CQ70" si="29">IF(J43&gt;0,$ES43^2*(BN43*DS43*12/1000000)^2/J43,0)</f>
        <v>0</v>
      </c>
      <c r="CR43" s="2150">
        <f t="shared" ref="CR43:CR70" si="30">IF(K43&gt;0,$ES43^2*(BO43*DT43*12/1000000)^2/K43,0)</f>
        <v>0</v>
      </c>
      <c r="CS43" s="2150">
        <f t="shared" ref="CS43:CS70" si="31">IF(L43&gt;0,$ES43^2*(BP43*DU43*12/1000000)^2/L43,0)</f>
        <v>0</v>
      </c>
      <c r="CT43" s="2150">
        <f t="shared" ref="CT43:CT70" si="32">IF(M43&gt;0,$ES43^2*(BQ43*DV43*12/1000000)^2/M43,0)</f>
        <v>0</v>
      </c>
      <c r="CU43" s="2150">
        <f t="shared" ref="CU43:CU70" si="33">IF(N43&gt;0,$ES43^2*(BR43*DW43*12/1000000)^2/N43,0)</f>
        <v>0</v>
      </c>
      <c r="CV43" s="2150">
        <f t="shared" ref="CV43:CV70" si="34">IF(O43&gt;0,$ES43^2*(BS43*DX43*12/1000000)^2/O43,0)</f>
        <v>0</v>
      </c>
      <c r="CW43" s="2150">
        <f t="shared" ref="CW43:CW70" si="35">IF(P43&gt;0,$ES43^2*(BT43*DY43*12/1000000)^2/P43,0)</f>
        <v>0</v>
      </c>
      <c r="CX43" s="2150">
        <f t="shared" ref="CX43:CX70" si="36">IF(Q43&gt;0,$ES43^2*(BU43*DZ43*12/1000000)^2/Q43,0)</f>
        <v>0</v>
      </c>
      <c r="CY43" s="2150">
        <f t="shared" ref="CY43:CY70" si="37">IF(R43&gt;0,$ES43^2*(BV43*EA43*12/1000000)^2/R43,0)</f>
        <v>0</v>
      </c>
      <c r="CZ43" s="2150">
        <f t="shared" ref="CZ43:CZ70" si="38">IF(S43&gt;0,$ES43^2*(BW43*EB43*12/1000000)^2/S43,0)</f>
        <v>0</v>
      </c>
      <c r="DA43" s="2150">
        <f t="shared" ref="DA43:DA70" si="39">IF(T43&gt;0,$ES43^2*(BX43*EC43*12/1000000)^2/T43,0)</f>
        <v>0</v>
      </c>
      <c r="DB43" s="2150">
        <f t="shared" ref="DB43:DB70" si="40">IF(U43&gt;0,$ES43^2*(BY43*ED43*12/1000000)^2/U43,0)</f>
        <v>0</v>
      </c>
      <c r="DC43" s="2150">
        <f t="shared" ref="DC43:DC70" si="41">IF(V43&gt;0,$ES43^2*(BZ43*EE43*12/1000000)^2/V43,0)</f>
        <v>0</v>
      </c>
      <c r="DD43" s="2150">
        <f t="shared" ref="DD43:DD70" si="42">IF(W43&gt;0,$ES43^2*(CA43*EF43*12/1000000)^2/W43,0)</f>
        <v>0</v>
      </c>
      <c r="DE43" s="2150">
        <f t="shared" ref="DE43:DE70" si="43">IF(X43&gt;0,$ES43^2*(CB43*EG43*12/1000000)^2/X43,0)</f>
        <v>0</v>
      </c>
      <c r="DF43" s="2150">
        <f t="shared" ref="DF43:DF70" si="44">IF(Y43&gt;0,$ES43^2*(CC43*EH43*12/1000000)^2/Y43,0)</f>
        <v>0</v>
      </c>
      <c r="DG43" s="2150">
        <f t="shared" ref="DG43:DG70" si="45">IF(Z43&gt;0,$ES43^2*(CD43*EI43*12/1000000)^2/Z43,0)</f>
        <v>0</v>
      </c>
      <c r="DH43" s="2150">
        <f t="shared" ref="DH43:DH70" si="46">IF(AA43&gt;0,$ES43^2*(CE43*EJ43*12/1000000)^2/AA43,0)</f>
        <v>0</v>
      </c>
      <c r="DI43" s="2150">
        <f t="shared" ref="DI43:DI70" si="47">IF(AB43&gt;0,$ES43^2*(CF43*EK43*12/1000000)^2/AB43,0)</f>
        <v>0</v>
      </c>
      <c r="DJ43" s="2150">
        <f t="shared" ref="DJ43:DJ70" si="48">IF(AC43&gt;0,$ES43^2*(CG43*EL43*12/1000000)^2/AC43,0)</f>
        <v>0</v>
      </c>
      <c r="DK43" s="2150">
        <f t="shared" ref="DK43:DK70" si="49">IF(AD43&gt;0,$ES43^2*(CH43*EM43*12/1000000)^2/AD43,0)</f>
        <v>0</v>
      </c>
      <c r="DL43" s="2150">
        <f t="shared" ref="DL43:DL70" si="50">IF(AE43&gt;0,$ES43^2*(CI43*EN43*12/1000000)^2/AE43,0)</f>
        <v>0</v>
      </c>
      <c r="DM43" s="2151">
        <f t="shared" ref="DM43:DM70" si="51">IF(AF43&gt;0,$ES43^2*(CJ43*EO43*12/1000000)^2/AF43,0)</f>
        <v>0</v>
      </c>
      <c r="DN43" s="644"/>
      <c r="DO43" s="1829">
        <v>33</v>
      </c>
      <c r="DP43" s="2211">
        <v>714.72765339199304</v>
      </c>
      <c r="DQ43" s="2212">
        <v>1038.1727394827501</v>
      </c>
      <c r="DR43" s="2212">
        <v>835.98216045785398</v>
      </c>
      <c r="DS43" s="2212">
        <v>832.40410528003599</v>
      </c>
      <c r="DT43" s="2212">
        <v>652.23621999225702</v>
      </c>
      <c r="DU43" s="2212">
        <v>846.63546236172397</v>
      </c>
      <c r="DV43" s="2212">
        <v>658.21254965434298</v>
      </c>
      <c r="DW43" s="2212">
        <v>1037.4707817311</v>
      </c>
      <c r="DX43" s="2212">
        <v>643.50090945845</v>
      </c>
      <c r="DY43" s="2212">
        <v>679.682920961234</v>
      </c>
      <c r="DZ43" s="2212">
        <v>803.84906191422397</v>
      </c>
      <c r="EA43" s="2212">
        <v>611.282985824408</v>
      </c>
      <c r="EB43" s="2212">
        <v>678.72752696054101</v>
      </c>
      <c r="EC43" s="2212">
        <v>259.13173248999101</v>
      </c>
      <c r="ED43" s="2212">
        <v>620.42233417015495</v>
      </c>
      <c r="EE43" s="2212">
        <v>778.19599448628799</v>
      </c>
      <c r="EF43" s="2212">
        <v>1243.2275578072699</v>
      </c>
      <c r="EG43" s="2212">
        <v>736.51555965662203</v>
      </c>
      <c r="EH43" s="2212">
        <v>666.38782108483701</v>
      </c>
      <c r="EI43" s="2212">
        <v>801.28325291957503</v>
      </c>
      <c r="EJ43" s="2212">
        <v>699.05198974927396</v>
      </c>
      <c r="EK43" s="2212">
        <v>867.00552690871802</v>
      </c>
      <c r="EL43" s="2212">
        <v>1153.91116562301</v>
      </c>
      <c r="EM43" s="2212">
        <v>827.70708673132401</v>
      </c>
      <c r="EN43" s="2212">
        <v>688.341996988451</v>
      </c>
      <c r="EO43" s="2213">
        <v>843.77742181275505</v>
      </c>
      <c r="ER43" s="1829">
        <v>33</v>
      </c>
      <c r="ES43" s="1830">
        <v>1.8851894399326099</v>
      </c>
      <c r="ET43" s="644"/>
      <c r="EU43" s="2156">
        <v>33</v>
      </c>
      <c r="EV43" s="2090" t="s">
        <v>162</v>
      </c>
      <c r="EW43" s="2090" t="s">
        <v>1905</v>
      </c>
      <c r="EX43" s="2090" t="str">
        <f>Translation!B$579</f>
        <v>Ja</v>
      </c>
    </row>
    <row r="44" spans="2:154" ht="12.75" x14ac:dyDescent="0.2">
      <c r="B44" s="2090">
        <v>34</v>
      </c>
      <c r="C44" s="2090" t="s">
        <v>162</v>
      </c>
      <c r="D44" s="2090" t="s">
        <v>1905</v>
      </c>
      <c r="E44" s="2090" t="str">
        <f>Translation!B$580</f>
        <v>Nein</v>
      </c>
      <c r="F44" s="1622">
        <v>34</v>
      </c>
      <c r="G44" s="2211">
        <v>21056.0883333333</v>
      </c>
      <c r="H44" s="2212">
        <v>481.22166666666698</v>
      </c>
      <c r="I44" s="2212">
        <v>1354.6316666666701</v>
      </c>
      <c r="J44" s="2212">
        <v>30539.0016666667</v>
      </c>
      <c r="K44" s="2212">
        <v>7360.0024999999996</v>
      </c>
      <c r="L44" s="2212">
        <v>7041.9224999999997</v>
      </c>
      <c r="M44" s="2212">
        <v>11096.698333333299</v>
      </c>
      <c r="N44" s="2212">
        <v>15320.1858333333</v>
      </c>
      <c r="O44" s="2212">
        <v>1191.96333333333</v>
      </c>
      <c r="P44" s="2212">
        <v>5853.6233333333303</v>
      </c>
      <c r="Q44" s="2212">
        <v>1951.02833333333</v>
      </c>
      <c r="R44" s="2212">
        <v>13915.6208333333</v>
      </c>
      <c r="S44" s="2212">
        <v>5313.44</v>
      </c>
      <c r="T44" s="2212">
        <v>1130.08083333333</v>
      </c>
      <c r="U44" s="2212">
        <v>1041.6224999999999</v>
      </c>
      <c r="V44" s="2212">
        <v>16192.565833333299</v>
      </c>
      <c r="W44" s="2212">
        <v>2339.4775</v>
      </c>
      <c r="X44" s="2212">
        <v>8094.5766666666696</v>
      </c>
      <c r="Y44" s="2212">
        <v>4520.6350000000002</v>
      </c>
      <c r="Z44" s="2212">
        <v>8391.3250000000007</v>
      </c>
      <c r="AA44" s="2212">
        <v>9007.7866666666705</v>
      </c>
      <c r="AB44" s="2212">
        <v>1060.2533333333299</v>
      </c>
      <c r="AC44" s="2212">
        <v>26716.894166666701</v>
      </c>
      <c r="AD44" s="2212">
        <v>11474.990833333301</v>
      </c>
      <c r="AE44" s="2212">
        <v>3357.1633333333298</v>
      </c>
      <c r="AF44" s="2213">
        <v>51527.485833333303</v>
      </c>
      <c r="AH44" s="1829">
        <v>34</v>
      </c>
      <c r="AI44" s="2124">
        <f>Risk_Compensation!H51*(Risk_Compensation!AK51+CO$144)*12/1000000</f>
        <v>0</v>
      </c>
      <c r="AJ44" s="2121">
        <f>Risk_Compensation!I51*(Risk_Compensation!AL51+CP$144)*12/1000000</f>
        <v>0</v>
      </c>
      <c r="AK44" s="2121">
        <f>Risk_Compensation!J51*(Risk_Compensation!AM51+CQ$144)*12/1000000</f>
        <v>0</v>
      </c>
      <c r="AL44" s="2121">
        <f>Risk_Compensation!K51*(Risk_Compensation!AN51+CR$144)*12/1000000</f>
        <v>0</v>
      </c>
      <c r="AM44" s="2121">
        <f>Risk_Compensation!L51*(Risk_Compensation!AO51+CS$144)*12/1000000</f>
        <v>0</v>
      </c>
      <c r="AN44" s="2121">
        <f>Risk_Compensation!M51*(Risk_Compensation!AP51+CT$144)*12/1000000</f>
        <v>0</v>
      </c>
      <c r="AO44" s="2121">
        <f>Risk_Compensation!N51*(Risk_Compensation!AQ51+CU$144)*12/1000000</f>
        <v>0</v>
      </c>
      <c r="AP44" s="2121">
        <f>Risk_Compensation!O51*(Risk_Compensation!AR51+CV$144)*12/1000000</f>
        <v>0</v>
      </c>
      <c r="AQ44" s="2121">
        <f>Risk_Compensation!P51*(Risk_Compensation!AS51+CW$144)*12/1000000</f>
        <v>0</v>
      </c>
      <c r="AR44" s="2121">
        <f>Risk_Compensation!Q51*(Risk_Compensation!AT51+CX$144)*12/1000000</f>
        <v>0</v>
      </c>
      <c r="AS44" s="2121">
        <f>Risk_Compensation!R51*(Risk_Compensation!AU51+CY$144)*12/1000000</f>
        <v>0</v>
      </c>
      <c r="AT44" s="2121">
        <f>Risk_Compensation!S51*(Risk_Compensation!AV51+CZ$144)*12/1000000</f>
        <v>0</v>
      </c>
      <c r="AU44" s="2121">
        <f>Risk_Compensation!T51*(Risk_Compensation!AW51+DA$144)*12/1000000</f>
        <v>0</v>
      </c>
      <c r="AV44" s="2121">
        <f>Risk_Compensation!U51*(Risk_Compensation!AX51+DB$144)*12/1000000</f>
        <v>0</v>
      </c>
      <c r="AW44" s="2121">
        <f>Risk_Compensation!V51*(Risk_Compensation!AY51+DC$144)*12/1000000</f>
        <v>0</v>
      </c>
      <c r="AX44" s="2121">
        <f>Risk_Compensation!W51*(Risk_Compensation!AZ51+DD$144)*12/1000000</f>
        <v>0</v>
      </c>
      <c r="AY44" s="2121">
        <f>Risk_Compensation!X51*(Risk_Compensation!BA51+DE$144)*12/1000000</f>
        <v>0</v>
      </c>
      <c r="AZ44" s="2121">
        <f>Risk_Compensation!Y51*(Risk_Compensation!BB51+DF$144)*12/1000000</f>
        <v>0</v>
      </c>
      <c r="BA44" s="2121">
        <f>Risk_Compensation!Z51*(Risk_Compensation!BC51+DG$144)*12/1000000</f>
        <v>0</v>
      </c>
      <c r="BB44" s="2121">
        <f>Risk_Compensation!AA51*(Risk_Compensation!BD51+DH$144)*12/1000000</f>
        <v>0</v>
      </c>
      <c r="BC44" s="2121">
        <f>Risk_Compensation!AB51*(Risk_Compensation!BE51+DI$144)*12/1000000</f>
        <v>0</v>
      </c>
      <c r="BD44" s="2121">
        <f>Risk_Compensation!AC51*(Risk_Compensation!BF51+DJ$144)*12/1000000</f>
        <v>0</v>
      </c>
      <c r="BE44" s="2121">
        <f>Risk_Compensation!AD51*(Risk_Compensation!BG51+DK$144)*12/1000000</f>
        <v>0</v>
      </c>
      <c r="BF44" s="2121">
        <f>Risk_Compensation!AE51*(Risk_Compensation!BH51+DL$144)*12/1000000</f>
        <v>0</v>
      </c>
      <c r="BG44" s="2121">
        <f>Risk_Compensation!AF51*(Risk_Compensation!BI51+DM$144)*12/1000000</f>
        <v>0</v>
      </c>
      <c r="BH44" s="2125">
        <f>Risk_Compensation!AG51*(Risk_Compensation!BJ51+DN$144)*12/1000000</f>
        <v>0</v>
      </c>
      <c r="BI44" s="644"/>
      <c r="BJ44" s="1829">
        <v>34</v>
      </c>
      <c r="BK44" s="2138">
        <f>IF(G44&lt;=0,0,(Risk_Compensation!H51/G44-Risk_Compensation!H$79/G$72-0.5*CO$167*($CK44-CO$135/G$72))*G44)</f>
        <v>0</v>
      </c>
      <c r="BL44" s="2139">
        <f>IF(H44&lt;=0,0,(Risk_Compensation!I51/H44-Risk_Compensation!I$79/H$72-0.5*CP$167*($CK44-CP$135/H$72))*H44)</f>
        <v>0</v>
      </c>
      <c r="BM44" s="2139">
        <f>IF(I44&lt;=0,0,(Risk_Compensation!J51/I44-Risk_Compensation!J$79/I$72-0.5*CQ$167*($CK44-CQ$135/I$72))*I44)</f>
        <v>0</v>
      </c>
      <c r="BN44" s="2139">
        <f>IF(J44&lt;=0,0,(Risk_Compensation!K51/J44-Risk_Compensation!K$79/J$72-0.5*CR$167*($CK44-CR$135/J$72))*J44)</f>
        <v>0</v>
      </c>
      <c r="BO44" s="2139">
        <f>IF(K44&lt;=0,0,(Risk_Compensation!L51/K44-Risk_Compensation!L$79/K$72-0.5*CS$167*($CK44-CS$135/K$72))*K44)</f>
        <v>0</v>
      </c>
      <c r="BP44" s="2139">
        <f>IF(L44&lt;=0,0,(Risk_Compensation!M51/L44-Risk_Compensation!M$79/L$72-0.5*CT$167*($CK44-CT$135/L$72))*L44)</f>
        <v>0</v>
      </c>
      <c r="BQ44" s="2139">
        <f>IF(M44&lt;=0,0,(Risk_Compensation!N51/M44-Risk_Compensation!N$79/M$72-0.5*CU$167*($CK44-CU$135/M$72))*M44)</f>
        <v>0</v>
      </c>
      <c r="BR44" s="2139">
        <f>IF(N44&lt;=0,0,(Risk_Compensation!O51/N44-Risk_Compensation!O$79/N$72-0.5*CV$167*($CK44-CV$135/N$72))*N44)</f>
        <v>0</v>
      </c>
      <c r="BS44" s="2139">
        <f>IF(O44&lt;=0,0,(Risk_Compensation!P51/O44-Risk_Compensation!P$79/O$72-0.5*CW$167*($CK44-CW$135/O$72))*O44)</f>
        <v>0</v>
      </c>
      <c r="BT44" s="2139">
        <f>IF(P44&lt;=0,0,(Risk_Compensation!Q51/P44-Risk_Compensation!Q$79/P$72-0.5*CX$167*($CK44-CX$135/P$72))*P44)</f>
        <v>0</v>
      </c>
      <c r="BU44" s="2139">
        <f>IF(Q44&lt;=0,0,(Risk_Compensation!R51/Q44-Risk_Compensation!R$79/Q$72-0.5*CY$167*($CK44-CY$135/Q$72))*Q44)</f>
        <v>0</v>
      </c>
      <c r="BV44" s="2139">
        <f>IF(R44&lt;=0,0,(Risk_Compensation!S51/R44-Risk_Compensation!S$79/R$72-0.5*CZ$167*($CK44-CZ$135/R$72))*R44)</f>
        <v>0</v>
      </c>
      <c r="BW44" s="2139">
        <f>IF(S44&lt;=0,0,(Risk_Compensation!T51/S44-Risk_Compensation!T$79/S$72-0.5*DA$167*($CK44-DA$135/S$72))*S44)</f>
        <v>0</v>
      </c>
      <c r="BX44" s="2139">
        <f>IF(T44&lt;=0,0,(Risk_Compensation!U51/T44-Risk_Compensation!U$79/T$72-0.5*DB$167*($CK44-DB$135/T$72))*T44)</f>
        <v>0</v>
      </c>
      <c r="BY44" s="2139">
        <f>IF(U44&lt;=0,0,(Risk_Compensation!V51/U44-Risk_Compensation!V$79/U$72-0.5*DC$167*($CK44-DC$135/U$72))*U44)</f>
        <v>0</v>
      </c>
      <c r="BZ44" s="2139">
        <f>IF(V44&lt;=0,0,(Risk_Compensation!W51/V44-Risk_Compensation!W$79/V$72-0.5*DD$167*($CK44-DD$135/V$72))*V44)</f>
        <v>0</v>
      </c>
      <c r="CA44" s="2139">
        <f>IF(W44&lt;=0,0,(Risk_Compensation!X51/W44-Risk_Compensation!X$79/W$72-0.5*DE$167*($CK44-DE$135/W$72))*W44)</f>
        <v>0</v>
      </c>
      <c r="CB44" s="2139">
        <f>IF(X44&lt;=0,0,(Risk_Compensation!Y51/X44-Risk_Compensation!Y$79/X$72-0.5*DF$167*($CK44-DF$135/X$72))*X44)</f>
        <v>0</v>
      </c>
      <c r="CC44" s="2139">
        <f>IF(Y44&lt;=0,0,(Risk_Compensation!Z51/Y44-Risk_Compensation!Z$79/Y$72-0.5*DG$167*($CK44-DG$135/Y$72))*Y44)</f>
        <v>0</v>
      </c>
      <c r="CD44" s="2139">
        <f>IF(Z44&lt;=0,0,(Risk_Compensation!AA51/Z44-Risk_Compensation!AA$79/Z$72-0.5*DH$167*($CK44-DH$135/Z$72))*Z44)</f>
        <v>0</v>
      </c>
      <c r="CE44" s="2139">
        <f>IF(AA44&lt;=0,0,(Risk_Compensation!AB51/AA44-Risk_Compensation!AB$79/AA$72-0.5*DI$167*($CK44-DI$135/AA$72))*AA44)</f>
        <v>0</v>
      </c>
      <c r="CF44" s="2139">
        <f>IF(AB44&lt;=0,0,(Risk_Compensation!AC51/AB44-Risk_Compensation!AC$79/AB$72-0.5*DJ$167*($CK44-DJ$135/AB$72))*AB44)</f>
        <v>0</v>
      </c>
      <c r="CG44" s="2139">
        <f>IF(AC44&lt;=0,0,(Risk_Compensation!AD51/AC44-Risk_Compensation!AD$79/AC$72-0.5*DK$167*($CK44-DK$135/AC$72))*AC44)</f>
        <v>0</v>
      </c>
      <c r="CH44" s="2139">
        <f>IF(AD44&lt;=0,0,(Risk_Compensation!AE51/AD44-Risk_Compensation!AE$79/AD$72-0.5*DL$167*($CK44-DL$135/AD$72))*AD44)</f>
        <v>0</v>
      </c>
      <c r="CI44" s="2139">
        <f>IF(AE44&lt;=0,0,(Risk_Compensation!AF51/AE44-Risk_Compensation!AF$79/AE$72-0.5*DM$167*($CK44-DM$135/AE$72))*AE44)</f>
        <v>0</v>
      </c>
      <c r="CJ44" s="2140">
        <f>IF(AF44&lt;=0,0,(Risk_Compensation!AG51/AF44-Risk_Compensation!AG$79/AF$72-0.5*DN$167*($CK44-DN$135/AF$72))*AF44)</f>
        <v>0</v>
      </c>
      <c r="CK44" s="2166">
        <v>0</v>
      </c>
      <c r="CL44" s="644"/>
      <c r="CM44" s="1829">
        <v>34</v>
      </c>
      <c r="CN44" s="2149">
        <f t="shared" si="26"/>
        <v>0</v>
      </c>
      <c r="CO44" s="2150">
        <f t="shared" si="27"/>
        <v>0</v>
      </c>
      <c r="CP44" s="2150">
        <f t="shared" si="28"/>
        <v>0</v>
      </c>
      <c r="CQ44" s="2150">
        <f t="shared" si="29"/>
        <v>0</v>
      </c>
      <c r="CR44" s="2150">
        <f t="shared" si="30"/>
        <v>0</v>
      </c>
      <c r="CS44" s="2150">
        <f t="shared" si="31"/>
        <v>0</v>
      </c>
      <c r="CT44" s="2150">
        <f t="shared" si="32"/>
        <v>0</v>
      </c>
      <c r="CU44" s="2150">
        <f t="shared" si="33"/>
        <v>0</v>
      </c>
      <c r="CV44" s="2150">
        <f t="shared" si="34"/>
        <v>0</v>
      </c>
      <c r="CW44" s="2150">
        <f t="shared" si="35"/>
        <v>0</v>
      </c>
      <c r="CX44" s="2150">
        <f t="shared" si="36"/>
        <v>0</v>
      </c>
      <c r="CY44" s="2150">
        <f t="shared" si="37"/>
        <v>0</v>
      </c>
      <c r="CZ44" s="2150">
        <f t="shared" si="38"/>
        <v>0</v>
      </c>
      <c r="DA44" s="2150">
        <f t="shared" si="39"/>
        <v>0</v>
      </c>
      <c r="DB44" s="2150">
        <f t="shared" si="40"/>
        <v>0</v>
      </c>
      <c r="DC44" s="2150">
        <f t="shared" si="41"/>
        <v>0</v>
      </c>
      <c r="DD44" s="2150">
        <f t="shared" si="42"/>
        <v>0</v>
      </c>
      <c r="DE44" s="2150">
        <f t="shared" si="43"/>
        <v>0</v>
      </c>
      <c r="DF44" s="2150">
        <f t="shared" si="44"/>
        <v>0</v>
      </c>
      <c r="DG44" s="2150">
        <f t="shared" si="45"/>
        <v>0</v>
      </c>
      <c r="DH44" s="2150">
        <f t="shared" si="46"/>
        <v>0</v>
      </c>
      <c r="DI44" s="2150">
        <f t="shared" si="47"/>
        <v>0</v>
      </c>
      <c r="DJ44" s="2150">
        <f t="shared" si="48"/>
        <v>0</v>
      </c>
      <c r="DK44" s="2150">
        <f t="shared" si="49"/>
        <v>0</v>
      </c>
      <c r="DL44" s="2150">
        <f t="shared" si="50"/>
        <v>0</v>
      </c>
      <c r="DM44" s="2151">
        <f t="shared" si="51"/>
        <v>0</v>
      </c>
      <c r="DN44" s="644"/>
      <c r="DO44" s="1829">
        <v>34</v>
      </c>
      <c r="DP44" s="2211">
        <v>179.04767721329401</v>
      </c>
      <c r="DQ44" s="2212">
        <v>142.16604080355799</v>
      </c>
      <c r="DR44" s="2212">
        <v>166.55652289695399</v>
      </c>
      <c r="DS44" s="2212">
        <v>157.798723108236</v>
      </c>
      <c r="DT44" s="2212">
        <v>203.48590698780299</v>
      </c>
      <c r="DU44" s="2212">
        <v>144.27422168521099</v>
      </c>
      <c r="DV44" s="2212">
        <v>177.79615162674801</v>
      </c>
      <c r="DW44" s="2212">
        <v>228.152046250495</v>
      </c>
      <c r="DX44" s="2212">
        <v>184.033408916714</v>
      </c>
      <c r="DY44" s="2212">
        <v>125.002989150662</v>
      </c>
      <c r="DZ44" s="2212">
        <v>168.99901027701</v>
      </c>
      <c r="EA44" s="2212">
        <v>142.33617809738399</v>
      </c>
      <c r="EB44" s="2212">
        <v>166.920380569782</v>
      </c>
      <c r="EC44" s="2212">
        <v>122.490395111686</v>
      </c>
      <c r="ED44" s="2212">
        <v>133.33031814477201</v>
      </c>
      <c r="EE44" s="2212">
        <v>162.068529872407</v>
      </c>
      <c r="EF44" s="2212">
        <v>157.21073954097301</v>
      </c>
      <c r="EG44" s="2212">
        <v>182.141561379851</v>
      </c>
      <c r="EH44" s="2212">
        <v>157.60231421814601</v>
      </c>
      <c r="EI44" s="2212">
        <v>168.48649370284701</v>
      </c>
      <c r="EJ44" s="2212">
        <v>161.417128626692</v>
      </c>
      <c r="EK44" s="2212">
        <v>121.604126716238</v>
      </c>
      <c r="EL44" s="2212">
        <v>182.84170203494401</v>
      </c>
      <c r="EM44" s="2212">
        <v>147.31725782717601</v>
      </c>
      <c r="EN44" s="2212">
        <v>152.78411293937199</v>
      </c>
      <c r="EO44" s="2213">
        <v>161.361748538462</v>
      </c>
      <c r="ER44" s="1829">
        <v>34</v>
      </c>
      <c r="ES44" s="1830">
        <v>3.67410260935024</v>
      </c>
      <c r="ET44" s="644"/>
      <c r="EU44" s="2156">
        <v>34</v>
      </c>
      <c r="EV44" s="2090" t="s">
        <v>162</v>
      </c>
      <c r="EW44" s="2090" t="s">
        <v>1905</v>
      </c>
      <c r="EX44" s="2090" t="str">
        <f>Translation!B$580</f>
        <v>Nein</v>
      </c>
    </row>
    <row r="45" spans="2:154" ht="12.75" x14ac:dyDescent="0.2">
      <c r="B45" s="2090">
        <v>35</v>
      </c>
      <c r="C45" s="2090" t="s">
        <v>162</v>
      </c>
      <c r="D45" s="2090" t="s">
        <v>1906</v>
      </c>
      <c r="E45" s="2090" t="str">
        <f>Translation!B$579</f>
        <v>Ja</v>
      </c>
      <c r="F45" s="1622">
        <v>35</v>
      </c>
      <c r="G45" s="2211">
        <v>719.87166666666701</v>
      </c>
      <c r="H45" s="2212">
        <v>9.0833333333333304</v>
      </c>
      <c r="I45" s="2212">
        <v>52.3333333333333</v>
      </c>
      <c r="J45" s="2212">
        <v>975.60166666666703</v>
      </c>
      <c r="K45" s="2212">
        <v>309.08166666666699</v>
      </c>
      <c r="L45" s="2212">
        <v>271.71583333333302</v>
      </c>
      <c r="M45" s="2212">
        <v>264.01083333333298</v>
      </c>
      <c r="N45" s="2212">
        <v>338.71583333333302</v>
      </c>
      <c r="O45" s="2212">
        <v>53.4166666666667</v>
      </c>
      <c r="P45" s="2212">
        <v>143.59666666666701</v>
      </c>
      <c r="Q45" s="2212">
        <v>56.08</v>
      </c>
      <c r="R45" s="2212">
        <v>363.12166666666701</v>
      </c>
      <c r="S45" s="2212">
        <v>154.830833333333</v>
      </c>
      <c r="T45" s="2212">
        <v>27.8333333333333</v>
      </c>
      <c r="U45" s="2212">
        <v>26.9166666666667</v>
      </c>
      <c r="V45" s="2212">
        <v>527.44583333333298</v>
      </c>
      <c r="W45" s="2212">
        <v>89.714166666666699</v>
      </c>
      <c r="X45" s="2212">
        <v>276.35833333333301</v>
      </c>
      <c r="Y45" s="2212">
        <v>125.408333333333</v>
      </c>
      <c r="Z45" s="2212">
        <v>304.73250000000002</v>
      </c>
      <c r="AA45" s="2212">
        <v>239.39083333333301</v>
      </c>
      <c r="AB45" s="2212">
        <v>23.425000000000001</v>
      </c>
      <c r="AC45" s="2212">
        <v>615.92083333333301</v>
      </c>
      <c r="AD45" s="2212">
        <v>227.17083333333301</v>
      </c>
      <c r="AE45" s="2212">
        <v>128.19583333333301</v>
      </c>
      <c r="AF45" s="2213">
        <v>1554.8333333333301</v>
      </c>
      <c r="AH45" s="1829">
        <v>35</v>
      </c>
      <c r="AI45" s="2124">
        <f>Risk_Compensation!H52*(Risk_Compensation!AK52+CO$144)*12/1000000</f>
        <v>0</v>
      </c>
      <c r="AJ45" s="2121">
        <f>Risk_Compensation!I52*(Risk_Compensation!AL52+CP$144)*12/1000000</f>
        <v>0</v>
      </c>
      <c r="AK45" s="2121">
        <f>Risk_Compensation!J52*(Risk_Compensation!AM52+CQ$144)*12/1000000</f>
        <v>0</v>
      </c>
      <c r="AL45" s="2121">
        <f>Risk_Compensation!K52*(Risk_Compensation!AN52+CR$144)*12/1000000</f>
        <v>0</v>
      </c>
      <c r="AM45" s="2121">
        <f>Risk_Compensation!L52*(Risk_Compensation!AO52+CS$144)*12/1000000</f>
        <v>0</v>
      </c>
      <c r="AN45" s="2121">
        <f>Risk_Compensation!M52*(Risk_Compensation!AP52+CT$144)*12/1000000</f>
        <v>0</v>
      </c>
      <c r="AO45" s="2121">
        <f>Risk_Compensation!N52*(Risk_Compensation!AQ52+CU$144)*12/1000000</f>
        <v>0</v>
      </c>
      <c r="AP45" s="2121">
        <f>Risk_Compensation!O52*(Risk_Compensation!AR52+CV$144)*12/1000000</f>
        <v>0</v>
      </c>
      <c r="AQ45" s="2121">
        <f>Risk_Compensation!P52*(Risk_Compensation!AS52+CW$144)*12/1000000</f>
        <v>0</v>
      </c>
      <c r="AR45" s="2121">
        <f>Risk_Compensation!Q52*(Risk_Compensation!AT52+CX$144)*12/1000000</f>
        <v>0</v>
      </c>
      <c r="AS45" s="2121">
        <f>Risk_Compensation!R52*(Risk_Compensation!AU52+CY$144)*12/1000000</f>
        <v>0</v>
      </c>
      <c r="AT45" s="2121">
        <f>Risk_Compensation!S52*(Risk_Compensation!AV52+CZ$144)*12/1000000</f>
        <v>0</v>
      </c>
      <c r="AU45" s="2121">
        <f>Risk_Compensation!T52*(Risk_Compensation!AW52+DA$144)*12/1000000</f>
        <v>0</v>
      </c>
      <c r="AV45" s="2121">
        <f>Risk_Compensation!U52*(Risk_Compensation!AX52+DB$144)*12/1000000</f>
        <v>0</v>
      </c>
      <c r="AW45" s="2121">
        <f>Risk_Compensation!V52*(Risk_Compensation!AY52+DC$144)*12/1000000</f>
        <v>0</v>
      </c>
      <c r="AX45" s="2121">
        <f>Risk_Compensation!W52*(Risk_Compensation!AZ52+DD$144)*12/1000000</f>
        <v>0</v>
      </c>
      <c r="AY45" s="2121">
        <f>Risk_Compensation!X52*(Risk_Compensation!BA52+DE$144)*12/1000000</f>
        <v>0</v>
      </c>
      <c r="AZ45" s="2121">
        <f>Risk_Compensation!Y52*(Risk_Compensation!BB52+DF$144)*12/1000000</f>
        <v>0</v>
      </c>
      <c r="BA45" s="2121">
        <f>Risk_Compensation!Z52*(Risk_Compensation!BC52+DG$144)*12/1000000</f>
        <v>0</v>
      </c>
      <c r="BB45" s="2121">
        <f>Risk_Compensation!AA52*(Risk_Compensation!BD52+DH$144)*12/1000000</f>
        <v>0</v>
      </c>
      <c r="BC45" s="2121">
        <f>Risk_Compensation!AB52*(Risk_Compensation!BE52+DI$144)*12/1000000</f>
        <v>0</v>
      </c>
      <c r="BD45" s="2121">
        <f>Risk_Compensation!AC52*(Risk_Compensation!BF52+DJ$144)*12/1000000</f>
        <v>0</v>
      </c>
      <c r="BE45" s="2121">
        <f>Risk_Compensation!AD52*(Risk_Compensation!BG52+DK$144)*12/1000000</f>
        <v>0</v>
      </c>
      <c r="BF45" s="2121">
        <f>Risk_Compensation!AE52*(Risk_Compensation!BH52+DL$144)*12/1000000</f>
        <v>0</v>
      </c>
      <c r="BG45" s="2121">
        <f>Risk_Compensation!AF52*(Risk_Compensation!BI52+DM$144)*12/1000000</f>
        <v>0</v>
      </c>
      <c r="BH45" s="2125">
        <f>Risk_Compensation!AG52*(Risk_Compensation!BJ52+DN$144)*12/1000000</f>
        <v>0</v>
      </c>
      <c r="BI45" s="644"/>
      <c r="BJ45" s="1829">
        <v>35</v>
      </c>
      <c r="BK45" s="2138">
        <f>IF(G45&lt;=0,0,(Risk_Compensation!H52/G45-Risk_Compensation!H$79/G$72-0.5*CO$167*($CK45-CO$135/G$72))*G45)</f>
        <v>0</v>
      </c>
      <c r="BL45" s="2139">
        <f>IF(H45&lt;=0,0,(Risk_Compensation!I52/H45-Risk_Compensation!I$79/H$72-0.5*CP$167*($CK45-CP$135/H$72))*H45)</f>
        <v>0</v>
      </c>
      <c r="BM45" s="2139">
        <f>IF(I45&lt;=0,0,(Risk_Compensation!J52/I45-Risk_Compensation!J$79/I$72-0.5*CQ$167*($CK45-CQ$135/I$72))*I45)</f>
        <v>0</v>
      </c>
      <c r="BN45" s="2139">
        <f>IF(J45&lt;=0,0,(Risk_Compensation!K52/J45-Risk_Compensation!K$79/J$72-0.5*CR$167*($CK45-CR$135/J$72))*J45)</f>
        <v>0</v>
      </c>
      <c r="BO45" s="2139">
        <f>IF(K45&lt;=0,0,(Risk_Compensation!L52/K45-Risk_Compensation!L$79/K$72-0.5*CS$167*($CK45-CS$135/K$72))*K45)</f>
        <v>0</v>
      </c>
      <c r="BP45" s="2139">
        <f>IF(L45&lt;=0,0,(Risk_Compensation!M52/L45-Risk_Compensation!M$79/L$72-0.5*CT$167*($CK45-CT$135/L$72))*L45)</f>
        <v>0</v>
      </c>
      <c r="BQ45" s="2139">
        <f>IF(M45&lt;=0,0,(Risk_Compensation!N52/M45-Risk_Compensation!N$79/M$72-0.5*CU$167*($CK45-CU$135/M$72))*M45)</f>
        <v>0</v>
      </c>
      <c r="BR45" s="2139">
        <f>IF(N45&lt;=0,0,(Risk_Compensation!O52/N45-Risk_Compensation!O$79/N$72-0.5*CV$167*($CK45-CV$135/N$72))*N45)</f>
        <v>0</v>
      </c>
      <c r="BS45" s="2139">
        <f>IF(O45&lt;=0,0,(Risk_Compensation!P52/O45-Risk_Compensation!P$79/O$72-0.5*CW$167*($CK45-CW$135/O$72))*O45)</f>
        <v>0</v>
      </c>
      <c r="BT45" s="2139">
        <f>IF(P45&lt;=0,0,(Risk_Compensation!Q52/P45-Risk_Compensation!Q$79/P$72-0.5*CX$167*($CK45-CX$135/P$72))*P45)</f>
        <v>0</v>
      </c>
      <c r="BU45" s="2139">
        <f>IF(Q45&lt;=0,0,(Risk_Compensation!R52/Q45-Risk_Compensation!R$79/Q$72-0.5*CY$167*($CK45-CY$135/Q$72))*Q45)</f>
        <v>0</v>
      </c>
      <c r="BV45" s="2139">
        <f>IF(R45&lt;=0,0,(Risk_Compensation!S52/R45-Risk_Compensation!S$79/R$72-0.5*CZ$167*($CK45-CZ$135/R$72))*R45)</f>
        <v>0</v>
      </c>
      <c r="BW45" s="2139">
        <f>IF(S45&lt;=0,0,(Risk_Compensation!T52/S45-Risk_Compensation!T$79/S$72-0.5*DA$167*($CK45-DA$135/S$72))*S45)</f>
        <v>0</v>
      </c>
      <c r="BX45" s="2139">
        <f>IF(T45&lt;=0,0,(Risk_Compensation!U52/T45-Risk_Compensation!U$79/T$72-0.5*DB$167*($CK45-DB$135/T$72))*T45)</f>
        <v>0</v>
      </c>
      <c r="BY45" s="2139">
        <f>IF(U45&lt;=0,0,(Risk_Compensation!V52/U45-Risk_Compensation!V$79/U$72-0.5*DC$167*($CK45-DC$135/U$72))*U45)</f>
        <v>0</v>
      </c>
      <c r="BZ45" s="2139">
        <f>IF(V45&lt;=0,0,(Risk_Compensation!W52/V45-Risk_Compensation!W$79/V$72-0.5*DD$167*($CK45-DD$135/V$72))*V45)</f>
        <v>0</v>
      </c>
      <c r="CA45" s="2139">
        <f>IF(W45&lt;=0,0,(Risk_Compensation!X52/W45-Risk_Compensation!X$79/W$72-0.5*DE$167*($CK45-DE$135/W$72))*W45)</f>
        <v>0</v>
      </c>
      <c r="CB45" s="2139">
        <f>IF(X45&lt;=0,0,(Risk_Compensation!Y52/X45-Risk_Compensation!Y$79/X$72-0.5*DF$167*($CK45-DF$135/X$72))*X45)</f>
        <v>0</v>
      </c>
      <c r="CC45" s="2139">
        <f>IF(Y45&lt;=0,0,(Risk_Compensation!Z52/Y45-Risk_Compensation!Z$79/Y$72-0.5*DG$167*($CK45-DG$135/Y$72))*Y45)</f>
        <v>0</v>
      </c>
      <c r="CD45" s="2139">
        <f>IF(Z45&lt;=0,0,(Risk_Compensation!AA52/Z45-Risk_Compensation!AA$79/Z$72-0.5*DH$167*($CK45-DH$135/Z$72))*Z45)</f>
        <v>0</v>
      </c>
      <c r="CE45" s="2139">
        <f>IF(AA45&lt;=0,0,(Risk_Compensation!AB52/AA45-Risk_Compensation!AB$79/AA$72-0.5*DI$167*($CK45-DI$135/AA$72))*AA45)</f>
        <v>0</v>
      </c>
      <c r="CF45" s="2139">
        <f>IF(AB45&lt;=0,0,(Risk_Compensation!AC52/AB45-Risk_Compensation!AC$79/AB$72-0.5*DJ$167*($CK45-DJ$135/AB$72))*AB45)</f>
        <v>0</v>
      </c>
      <c r="CG45" s="2139">
        <f>IF(AC45&lt;=0,0,(Risk_Compensation!AD52/AC45-Risk_Compensation!AD$79/AC$72-0.5*DK$167*($CK45-DK$135/AC$72))*AC45)</f>
        <v>0</v>
      </c>
      <c r="CH45" s="2139">
        <f>IF(AD45&lt;=0,0,(Risk_Compensation!AE52/AD45-Risk_Compensation!AE$79/AD$72-0.5*DL$167*($CK45-DL$135/AD$72))*AD45)</f>
        <v>0</v>
      </c>
      <c r="CI45" s="2139">
        <f>IF(AE45&lt;=0,0,(Risk_Compensation!AF52/AE45-Risk_Compensation!AF$79/AE$72-0.5*DM$167*($CK45-DM$135/AE$72))*AE45)</f>
        <v>0</v>
      </c>
      <c r="CJ45" s="2140">
        <f>IF(AF45&lt;=0,0,(Risk_Compensation!AG52/AF45-Risk_Compensation!AG$79/AF$72-0.5*DN$167*($CK45-DN$135/AF$72))*AF45)</f>
        <v>0</v>
      </c>
      <c r="CK45" s="2166">
        <v>0</v>
      </c>
      <c r="CL45" s="644"/>
      <c r="CM45" s="1829">
        <v>35</v>
      </c>
      <c r="CN45" s="2149">
        <f t="shared" si="26"/>
        <v>0</v>
      </c>
      <c r="CO45" s="2150">
        <f t="shared" si="27"/>
        <v>0</v>
      </c>
      <c r="CP45" s="2150">
        <f t="shared" si="28"/>
        <v>0</v>
      </c>
      <c r="CQ45" s="2150">
        <f t="shared" si="29"/>
        <v>0</v>
      </c>
      <c r="CR45" s="2150">
        <f t="shared" si="30"/>
        <v>0</v>
      </c>
      <c r="CS45" s="2150">
        <f t="shared" si="31"/>
        <v>0</v>
      </c>
      <c r="CT45" s="2150">
        <f t="shared" si="32"/>
        <v>0</v>
      </c>
      <c r="CU45" s="2150">
        <f t="shared" si="33"/>
        <v>0</v>
      </c>
      <c r="CV45" s="2150">
        <f t="shared" si="34"/>
        <v>0</v>
      </c>
      <c r="CW45" s="2150">
        <f t="shared" si="35"/>
        <v>0</v>
      </c>
      <c r="CX45" s="2150">
        <f t="shared" si="36"/>
        <v>0</v>
      </c>
      <c r="CY45" s="2150">
        <f t="shared" si="37"/>
        <v>0</v>
      </c>
      <c r="CZ45" s="2150">
        <f t="shared" si="38"/>
        <v>0</v>
      </c>
      <c r="DA45" s="2150">
        <f t="shared" si="39"/>
        <v>0</v>
      </c>
      <c r="DB45" s="2150">
        <f t="shared" si="40"/>
        <v>0</v>
      </c>
      <c r="DC45" s="2150">
        <f t="shared" si="41"/>
        <v>0</v>
      </c>
      <c r="DD45" s="2150">
        <f t="shared" si="42"/>
        <v>0</v>
      </c>
      <c r="DE45" s="2150">
        <f t="shared" si="43"/>
        <v>0</v>
      </c>
      <c r="DF45" s="2150">
        <f t="shared" si="44"/>
        <v>0</v>
      </c>
      <c r="DG45" s="2150">
        <f t="shared" si="45"/>
        <v>0</v>
      </c>
      <c r="DH45" s="2150">
        <f t="shared" si="46"/>
        <v>0</v>
      </c>
      <c r="DI45" s="2150">
        <f t="shared" si="47"/>
        <v>0</v>
      </c>
      <c r="DJ45" s="2150">
        <f t="shared" si="48"/>
        <v>0</v>
      </c>
      <c r="DK45" s="2150">
        <f t="shared" si="49"/>
        <v>0</v>
      </c>
      <c r="DL45" s="2150">
        <f t="shared" si="50"/>
        <v>0</v>
      </c>
      <c r="DM45" s="2151">
        <f t="shared" si="51"/>
        <v>0</v>
      </c>
      <c r="DN45" s="644"/>
      <c r="DO45" s="1829">
        <v>35</v>
      </c>
      <c r="DP45" s="2211">
        <v>707.82608312363095</v>
      </c>
      <c r="DQ45" s="2212">
        <v>1004.31114816089</v>
      </c>
      <c r="DR45" s="2212">
        <v>653.712281029525</v>
      </c>
      <c r="DS45" s="2212">
        <v>740.42764411574694</v>
      </c>
      <c r="DT45" s="2212">
        <v>880.07706812629795</v>
      </c>
      <c r="DU45" s="2212">
        <v>704.39607969668305</v>
      </c>
      <c r="DV45" s="2212">
        <v>636.30463423798597</v>
      </c>
      <c r="DW45" s="2212">
        <v>943.64196289143501</v>
      </c>
      <c r="DX45" s="2212">
        <v>509.23046277697398</v>
      </c>
      <c r="DY45" s="2212">
        <v>607.54098977941806</v>
      </c>
      <c r="DZ45" s="2212">
        <v>1199.4897608285301</v>
      </c>
      <c r="EA45" s="2212">
        <v>654.30736423271105</v>
      </c>
      <c r="EB45" s="2212">
        <v>669.53110655810497</v>
      </c>
      <c r="EC45" s="2212">
        <v>406.81141147970999</v>
      </c>
      <c r="ED45" s="2212">
        <v>601.80087513793706</v>
      </c>
      <c r="EE45" s="2212">
        <v>749.29192442766896</v>
      </c>
      <c r="EF45" s="2212">
        <v>763.72907132301498</v>
      </c>
      <c r="EG45" s="2212">
        <v>757.51133921692394</v>
      </c>
      <c r="EH45" s="2212">
        <v>571.26918892896902</v>
      </c>
      <c r="EI45" s="2212">
        <v>559.60666914501405</v>
      </c>
      <c r="EJ45" s="2212">
        <v>562.12208351242805</v>
      </c>
      <c r="EK45" s="2212">
        <v>484.47032911444802</v>
      </c>
      <c r="EL45" s="2212">
        <v>851.91780041119296</v>
      </c>
      <c r="EM45" s="2212">
        <v>491.65437291885701</v>
      </c>
      <c r="EN45" s="2212">
        <v>410.03551744153901</v>
      </c>
      <c r="EO45" s="2213">
        <v>701.35527239867304</v>
      </c>
      <c r="ER45" s="1829">
        <v>35</v>
      </c>
      <c r="ES45" s="1830">
        <v>2.05874464696939</v>
      </c>
      <c r="ET45" s="644"/>
      <c r="EU45" s="2156">
        <v>35</v>
      </c>
      <c r="EV45" s="2090" t="s">
        <v>162</v>
      </c>
      <c r="EW45" s="2090" t="s">
        <v>1906</v>
      </c>
      <c r="EX45" s="2090" t="str">
        <f>Translation!B$579</f>
        <v>Ja</v>
      </c>
    </row>
    <row r="46" spans="2:154" ht="12.75" x14ac:dyDescent="0.2">
      <c r="B46" s="2090">
        <v>36</v>
      </c>
      <c r="C46" s="2090" t="s">
        <v>162</v>
      </c>
      <c r="D46" s="2090" t="s">
        <v>1906</v>
      </c>
      <c r="E46" s="2090" t="str">
        <f>Translation!B$580</f>
        <v>Nein</v>
      </c>
      <c r="F46" s="1622">
        <v>36</v>
      </c>
      <c r="G46" s="2211">
        <v>24157.0408333333</v>
      </c>
      <c r="H46" s="2212">
        <v>513.94333333333304</v>
      </c>
      <c r="I46" s="2212">
        <v>1610.0191666666699</v>
      </c>
      <c r="J46" s="2212">
        <v>35175.608333333301</v>
      </c>
      <c r="K46" s="2212">
        <v>8467.2016666666696</v>
      </c>
      <c r="L46" s="2212">
        <v>8362.5524999999998</v>
      </c>
      <c r="M46" s="2212">
        <v>11967.2266666667</v>
      </c>
      <c r="N46" s="2212">
        <v>17245.645</v>
      </c>
      <c r="O46" s="2212">
        <v>1283.2075</v>
      </c>
      <c r="P46" s="2212">
        <v>6535.0958333333301</v>
      </c>
      <c r="Q46" s="2212">
        <v>2118.44583333333</v>
      </c>
      <c r="R46" s="2212">
        <v>15261.7133333333</v>
      </c>
      <c r="S46" s="2212">
        <v>5643.5191666666697</v>
      </c>
      <c r="T46" s="2212">
        <v>1363.11333333333</v>
      </c>
      <c r="U46" s="2212">
        <v>1242.8158333333299</v>
      </c>
      <c r="V46" s="2212">
        <v>17917.7758333333</v>
      </c>
      <c r="W46" s="2212">
        <v>2591.2466666666701</v>
      </c>
      <c r="X46" s="2212">
        <v>9305.4424999999992</v>
      </c>
      <c r="Y46" s="2212">
        <v>5275.07</v>
      </c>
      <c r="Z46" s="2212">
        <v>9738.4216666666707</v>
      </c>
      <c r="AA46" s="2212">
        <v>9532.2083333333303</v>
      </c>
      <c r="AB46" s="2212">
        <v>1097.24166666667</v>
      </c>
      <c r="AC46" s="2212">
        <v>30728.2833333333</v>
      </c>
      <c r="AD46" s="2212">
        <v>12524.688333333301</v>
      </c>
      <c r="AE46" s="2212">
        <v>4206.3275000000003</v>
      </c>
      <c r="AF46" s="2213">
        <v>62021.919166666703</v>
      </c>
      <c r="AH46" s="1829">
        <v>36</v>
      </c>
      <c r="AI46" s="2124">
        <f>Risk_Compensation!H53*(Risk_Compensation!AK53+CO$144)*12/1000000</f>
        <v>0</v>
      </c>
      <c r="AJ46" s="2121">
        <f>Risk_Compensation!I53*(Risk_Compensation!AL53+CP$144)*12/1000000</f>
        <v>0</v>
      </c>
      <c r="AK46" s="2121">
        <f>Risk_Compensation!J53*(Risk_Compensation!AM53+CQ$144)*12/1000000</f>
        <v>0</v>
      </c>
      <c r="AL46" s="2121">
        <f>Risk_Compensation!K53*(Risk_Compensation!AN53+CR$144)*12/1000000</f>
        <v>0</v>
      </c>
      <c r="AM46" s="2121">
        <f>Risk_Compensation!L53*(Risk_Compensation!AO53+CS$144)*12/1000000</f>
        <v>0</v>
      </c>
      <c r="AN46" s="2121">
        <f>Risk_Compensation!M53*(Risk_Compensation!AP53+CT$144)*12/1000000</f>
        <v>0</v>
      </c>
      <c r="AO46" s="2121">
        <f>Risk_Compensation!N53*(Risk_Compensation!AQ53+CU$144)*12/1000000</f>
        <v>0</v>
      </c>
      <c r="AP46" s="2121">
        <f>Risk_Compensation!O53*(Risk_Compensation!AR53+CV$144)*12/1000000</f>
        <v>0</v>
      </c>
      <c r="AQ46" s="2121">
        <f>Risk_Compensation!P53*(Risk_Compensation!AS53+CW$144)*12/1000000</f>
        <v>0</v>
      </c>
      <c r="AR46" s="2121">
        <f>Risk_Compensation!Q53*(Risk_Compensation!AT53+CX$144)*12/1000000</f>
        <v>0</v>
      </c>
      <c r="AS46" s="2121">
        <f>Risk_Compensation!R53*(Risk_Compensation!AU53+CY$144)*12/1000000</f>
        <v>0</v>
      </c>
      <c r="AT46" s="2121">
        <f>Risk_Compensation!S53*(Risk_Compensation!AV53+CZ$144)*12/1000000</f>
        <v>0</v>
      </c>
      <c r="AU46" s="2121">
        <f>Risk_Compensation!T53*(Risk_Compensation!AW53+DA$144)*12/1000000</f>
        <v>0</v>
      </c>
      <c r="AV46" s="2121">
        <f>Risk_Compensation!U53*(Risk_Compensation!AX53+DB$144)*12/1000000</f>
        <v>0</v>
      </c>
      <c r="AW46" s="2121">
        <f>Risk_Compensation!V53*(Risk_Compensation!AY53+DC$144)*12/1000000</f>
        <v>0</v>
      </c>
      <c r="AX46" s="2121">
        <f>Risk_Compensation!W53*(Risk_Compensation!AZ53+DD$144)*12/1000000</f>
        <v>0</v>
      </c>
      <c r="AY46" s="2121">
        <f>Risk_Compensation!X53*(Risk_Compensation!BA53+DE$144)*12/1000000</f>
        <v>0</v>
      </c>
      <c r="AZ46" s="2121">
        <f>Risk_Compensation!Y53*(Risk_Compensation!BB53+DF$144)*12/1000000</f>
        <v>0</v>
      </c>
      <c r="BA46" s="2121">
        <f>Risk_Compensation!Z53*(Risk_Compensation!BC53+DG$144)*12/1000000</f>
        <v>0</v>
      </c>
      <c r="BB46" s="2121">
        <f>Risk_Compensation!AA53*(Risk_Compensation!BD53+DH$144)*12/1000000</f>
        <v>0</v>
      </c>
      <c r="BC46" s="2121">
        <f>Risk_Compensation!AB53*(Risk_Compensation!BE53+DI$144)*12/1000000</f>
        <v>0</v>
      </c>
      <c r="BD46" s="2121">
        <f>Risk_Compensation!AC53*(Risk_Compensation!BF53+DJ$144)*12/1000000</f>
        <v>0</v>
      </c>
      <c r="BE46" s="2121">
        <f>Risk_Compensation!AD53*(Risk_Compensation!BG53+DK$144)*12/1000000</f>
        <v>0</v>
      </c>
      <c r="BF46" s="2121">
        <f>Risk_Compensation!AE53*(Risk_Compensation!BH53+DL$144)*12/1000000</f>
        <v>0</v>
      </c>
      <c r="BG46" s="2121">
        <f>Risk_Compensation!AF53*(Risk_Compensation!BI53+DM$144)*12/1000000</f>
        <v>0</v>
      </c>
      <c r="BH46" s="2125">
        <f>Risk_Compensation!AG53*(Risk_Compensation!BJ53+DN$144)*12/1000000</f>
        <v>0</v>
      </c>
      <c r="BI46" s="644"/>
      <c r="BJ46" s="1829">
        <v>36</v>
      </c>
      <c r="BK46" s="2138">
        <f>IF(G46&lt;=0,0,(Risk_Compensation!H53/G46-Risk_Compensation!H$79/G$72-0.5*CO$167*($CK46-CO$135/G$72))*G46)</f>
        <v>0</v>
      </c>
      <c r="BL46" s="2139">
        <f>IF(H46&lt;=0,0,(Risk_Compensation!I53/H46-Risk_Compensation!I$79/H$72-0.5*CP$167*($CK46-CP$135/H$72))*H46)</f>
        <v>0</v>
      </c>
      <c r="BM46" s="2139">
        <f>IF(I46&lt;=0,0,(Risk_Compensation!J53/I46-Risk_Compensation!J$79/I$72-0.5*CQ$167*($CK46-CQ$135/I$72))*I46)</f>
        <v>0</v>
      </c>
      <c r="BN46" s="2139">
        <f>IF(J46&lt;=0,0,(Risk_Compensation!K53/J46-Risk_Compensation!K$79/J$72-0.5*CR$167*($CK46-CR$135/J$72))*J46)</f>
        <v>0</v>
      </c>
      <c r="BO46" s="2139">
        <f>IF(K46&lt;=0,0,(Risk_Compensation!L53/K46-Risk_Compensation!L$79/K$72-0.5*CS$167*($CK46-CS$135/K$72))*K46)</f>
        <v>0</v>
      </c>
      <c r="BP46" s="2139">
        <f>IF(L46&lt;=0,0,(Risk_Compensation!M53/L46-Risk_Compensation!M$79/L$72-0.5*CT$167*($CK46-CT$135/L$72))*L46)</f>
        <v>0</v>
      </c>
      <c r="BQ46" s="2139">
        <f>IF(M46&lt;=0,0,(Risk_Compensation!N53/M46-Risk_Compensation!N$79/M$72-0.5*CU$167*($CK46-CU$135/M$72))*M46)</f>
        <v>0</v>
      </c>
      <c r="BR46" s="2139">
        <f>IF(N46&lt;=0,0,(Risk_Compensation!O53/N46-Risk_Compensation!O$79/N$72-0.5*CV$167*($CK46-CV$135/N$72))*N46)</f>
        <v>0</v>
      </c>
      <c r="BS46" s="2139">
        <f>IF(O46&lt;=0,0,(Risk_Compensation!P53/O46-Risk_Compensation!P$79/O$72-0.5*CW$167*($CK46-CW$135/O$72))*O46)</f>
        <v>0</v>
      </c>
      <c r="BT46" s="2139">
        <f>IF(P46&lt;=0,0,(Risk_Compensation!Q53/P46-Risk_Compensation!Q$79/P$72-0.5*CX$167*($CK46-CX$135/P$72))*P46)</f>
        <v>0</v>
      </c>
      <c r="BU46" s="2139">
        <f>IF(Q46&lt;=0,0,(Risk_Compensation!R53/Q46-Risk_Compensation!R$79/Q$72-0.5*CY$167*($CK46-CY$135/Q$72))*Q46)</f>
        <v>0</v>
      </c>
      <c r="BV46" s="2139">
        <f>IF(R46&lt;=0,0,(Risk_Compensation!S53/R46-Risk_Compensation!S$79/R$72-0.5*CZ$167*($CK46-CZ$135/R$72))*R46)</f>
        <v>0</v>
      </c>
      <c r="BW46" s="2139">
        <f>IF(S46&lt;=0,0,(Risk_Compensation!T53/S46-Risk_Compensation!T$79/S$72-0.5*DA$167*($CK46-DA$135/S$72))*S46)</f>
        <v>0</v>
      </c>
      <c r="BX46" s="2139">
        <f>IF(T46&lt;=0,0,(Risk_Compensation!U53/T46-Risk_Compensation!U$79/T$72-0.5*DB$167*($CK46-DB$135/T$72))*T46)</f>
        <v>0</v>
      </c>
      <c r="BY46" s="2139">
        <f>IF(U46&lt;=0,0,(Risk_Compensation!V53/U46-Risk_Compensation!V$79/U$72-0.5*DC$167*($CK46-DC$135/U$72))*U46)</f>
        <v>0</v>
      </c>
      <c r="BZ46" s="2139">
        <f>IF(V46&lt;=0,0,(Risk_Compensation!W53/V46-Risk_Compensation!W$79/V$72-0.5*DD$167*($CK46-DD$135/V$72))*V46)</f>
        <v>0</v>
      </c>
      <c r="CA46" s="2139">
        <f>IF(W46&lt;=0,0,(Risk_Compensation!X53/W46-Risk_Compensation!X$79/W$72-0.5*DE$167*($CK46-DE$135/W$72))*W46)</f>
        <v>0</v>
      </c>
      <c r="CB46" s="2139">
        <f>IF(X46&lt;=0,0,(Risk_Compensation!Y53/X46-Risk_Compensation!Y$79/X$72-0.5*DF$167*($CK46-DF$135/X$72))*X46)</f>
        <v>0</v>
      </c>
      <c r="CC46" s="2139">
        <f>IF(Y46&lt;=0,0,(Risk_Compensation!Z53/Y46-Risk_Compensation!Z$79/Y$72-0.5*DG$167*($CK46-DG$135/Y$72))*Y46)</f>
        <v>0</v>
      </c>
      <c r="CD46" s="2139">
        <f>IF(Z46&lt;=0,0,(Risk_Compensation!AA53/Z46-Risk_Compensation!AA$79/Z$72-0.5*DH$167*($CK46-DH$135/Z$72))*Z46)</f>
        <v>0</v>
      </c>
      <c r="CE46" s="2139">
        <f>IF(AA46&lt;=0,0,(Risk_Compensation!AB53/AA46-Risk_Compensation!AB$79/AA$72-0.5*DI$167*($CK46-DI$135/AA$72))*AA46)</f>
        <v>0</v>
      </c>
      <c r="CF46" s="2139">
        <f>IF(AB46&lt;=0,0,(Risk_Compensation!AC53/AB46-Risk_Compensation!AC$79/AB$72-0.5*DJ$167*($CK46-DJ$135/AB$72))*AB46)</f>
        <v>0</v>
      </c>
      <c r="CG46" s="2139">
        <f>IF(AC46&lt;=0,0,(Risk_Compensation!AD53/AC46-Risk_Compensation!AD$79/AC$72-0.5*DK$167*($CK46-DK$135/AC$72))*AC46)</f>
        <v>0</v>
      </c>
      <c r="CH46" s="2139">
        <f>IF(AD46&lt;=0,0,(Risk_Compensation!AE53/AD46-Risk_Compensation!AE$79/AD$72-0.5*DL$167*($CK46-DL$135/AD$72))*AD46)</f>
        <v>0</v>
      </c>
      <c r="CI46" s="2139">
        <f>IF(AE46&lt;=0,0,(Risk_Compensation!AF53/AE46-Risk_Compensation!AF$79/AE$72-0.5*DM$167*($CK46-DM$135/AE$72))*AE46)</f>
        <v>0</v>
      </c>
      <c r="CJ46" s="2140">
        <f>IF(AF46&lt;=0,0,(Risk_Compensation!AG53/AF46-Risk_Compensation!AG$79/AF$72-0.5*DN$167*($CK46-DN$135/AF$72))*AF46)</f>
        <v>0</v>
      </c>
      <c r="CK46" s="2166">
        <v>0</v>
      </c>
      <c r="CL46" s="644"/>
      <c r="CM46" s="1829">
        <v>36</v>
      </c>
      <c r="CN46" s="2149">
        <f t="shared" si="26"/>
        <v>0</v>
      </c>
      <c r="CO46" s="2150">
        <f t="shared" si="27"/>
        <v>0</v>
      </c>
      <c r="CP46" s="2150">
        <f t="shared" si="28"/>
        <v>0</v>
      </c>
      <c r="CQ46" s="2150">
        <f t="shared" si="29"/>
        <v>0</v>
      </c>
      <c r="CR46" s="2150">
        <f t="shared" si="30"/>
        <v>0</v>
      </c>
      <c r="CS46" s="2150">
        <f t="shared" si="31"/>
        <v>0</v>
      </c>
      <c r="CT46" s="2150">
        <f t="shared" si="32"/>
        <v>0</v>
      </c>
      <c r="CU46" s="2150">
        <f t="shared" si="33"/>
        <v>0</v>
      </c>
      <c r="CV46" s="2150">
        <f t="shared" si="34"/>
        <v>0</v>
      </c>
      <c r="CW46" s="2150">
        <f t="shared" si="35"/>
        <v>0</v>
      </c>
      <c r="CX46" s="2150">
        <f t="shared" si="36"/>
        <v>0</v>
      </c>
      <c r="CY46" s="2150">
        <f t="shared" si="37"/>
        <v>0</v>
      </c>
      <c r="CZ46" s="2150">
        <f t="shared" si="38"/>
        <v>0</v>
      </c>
      <c r="DA46" s="2150">
        <f t="shared" si="39"/>
        <v>0</v>
      </c>
      <c r="DB46" s="2150">
        <f t="shared" si="40"/>
        <v>0</v>
      </c>
      <c r="DC46" s="2150">
        <f t="shared" si="41"/>
        <v>0</v>
      </c>
      <c r="DD46" s="2150">
        <f t="shared" si="42"/>
        <v>0</v>
      </c>
      <c r="DE46" s="2150">
        <f t="shared" si="43"/>
        <v>0</v>
      </c>
      <c r="DF46" s="2150">
        <f t="shared" si="44"/>
        <v>0</v>
      </c>
      <c r="DG46" s="2150">
        <f t="shared" si="45"/>
        <v>0</v>
      </c>
      <c r="DH46" s="2150">
        <f t="shared" si="46"/>
        <v>0</v>
      </c>
      <c r="DI46" s="2150">
        <f t="shared" si="47"/>
        <v>0</v>
      </c>
      <c r="DJ46" s="2150">
        <f t="shared" si="48"/>
        <v>0</v>
      </c>
      <c r="DK46" s="2150">
        <f t="shared" si="49"/>
        <v>0</v>
      </c>
      <c r="DL46" s="2150">
        <f t="shared" si="50"/>
        <v>0</v>
      </c>
      <c r="DM46" s="2151">
        <f t="shared" si="51"/>
        <v>0</v>
      </c>
      <c r="DN46" s="644"/>
      <c r="DO46" s="1829">
        <v>36</v>
      </c>
      <c r="DP46" s="2211">
        <v>206.91753077440001</v>
      </c>
      <c r="DQ46" s="2212">
        <v>161.59595274769401</v>
      </c>
      <c r="DR46" s="2212">
        <v>183.21398061778899</v>
      </c>
      <c r="DS46" s="2212">
        <v>194.02950604094099</v>
      </c>
      <c r="DT46" s="2212">
        <v>235.10966333985101</v>
      </c>
      <c r="DU46" s="2212">
        <v>216.274354983346</v>
      </c>
      <c r="DV46" s="2212">
        <v>206.915737172722</v>
      </c>
      <c r="DW46" s="2212">
        <v>282.74729749178198</v>
      </c>
      <c r="DX46" s="2212">
        <v>196.55231194045999</v>
      </c>
      <c r="DY46" s="2212">
        <v>157.48239273366599</v>
      </c>
      <c r="DZ46" s="2212">
        <v>180.12488064596599</v>
      </c>
      <c r="EA46" s="2212">
        <v>189.59671321171399</v>
      </c>
      <c r="EB46" s="2212">
        <v>205.17088597405001</v>
      </c>
      <c r="EC46" s="2212">
        <v>196.052891068592</v>
      </c>
      <c r="ED46" s="2212">
        <v>164.86575539541201</v>
      </c>
      <c r="EE46" s="2212">
        <v>191.09386250790499</v>
      </c>
      <c r="EF46" s="2212">
        <v>194.84269691543801</v>
      </c>
      <c r="EG46" s="2212">
        <v>209.03204555595499</v>
      </c>
      <c r="EH46" s="2212">
        <v>200.92022651457</v>
      </c>
      <c r="EI46" s="2212">
        <v>191.072751413194</v>
      </c>
      <c r="EJ46" s="2212">
        <v>215.582626861991</v>
      </c>
      <c r="EK46" s="2212">
        <v>171.703008689618</v>
      </c>
      <c r="EL46" s="2212">
        <v>229.650095954932</v>
      </c>
      <c r="EM46" s="2212">
        <v>174.850436595796</v>
      </c>
      <c r="EN46" s="2212">
        <v>196.18158518630199</v>
      </c>
      <c r="EO46" s="2213">
        <v>203.14150627658</v>
      </c>
      <c r="ER46" s="1829">
        <v>36</v>
      </c>
      <c r="ES46" s="1830">
        <v>2.4536227279616099</v>
      </c>
      <c r="ET46" s="644"/>
      <c r="EU46" s="2156">
        <v>36</v>
      </c>
      <c r="EV46" s="2090" t="s">
        <v>162</v>
      </c>
      <c r="EW46" s="2090" t="s">
        <v>1906</v>
      </c>
      <c r="EX46" s="2090" t="str">
        <f>Translation!B$580</f>
        <v>Nein</v>
      </c>
    </row>
    <row r="47" spans="2:154" ht="12.75" x14ac:dyDescent="0.2">
      <c r="B47" s="2090">
        <v>37</v>
      </c>
      <c r="C47" s="2090" t="s">
        <v>162</v>
      </c>
      <c r="D47" s="2090" t="s">
        <v>1907</v>
      </c>
      <c r="E47" s="2090" t="str">
        <f>Translation!B$579</f>
        <v>Ja</v>
      </c>
      <c r="F47" s="1622">
        <v>37</v>
      </c>
      <c r="G47" s="2211">
        <v>772.618333333333</v>
      </c>
      <c r="H47" s="2212">
        <v>8.0808333333333309</v>
      </c>
      <c r="I47" s="2212">
        <v>51.545000000000002</v>
      </c>
      <c r="J47" s="2212">
        <v>1008.74166666667</v>
      </c>
      <c r="K47" s="2212">
        <v>354.18583333333299</v>
      </c>
      <c r="L47" s="2212">
        <v>296.63</v>
      </c>
      <c r="M47" s="2212">
        <v>291.42500000000001</v>
      </c>
      <c r="N47" s="2212">
        <v>440.38749999999999</v>
      </c>
      <c r="O47" s="2212">
        <v>42.3333333333333</v>
      </c>
      <c r="P47" s="2212">
        <v>173.12833333333299</v>
      </c>
      <c r="Q47" s="2212">
        <v>55.93</v>
      </c>
      <c r="R47" s="2212">
        <v>370.32249999999999</v>
      </c>
      <c r="S47" s="2212">
        <v>159.088333333333</v>
      </c>
      <c r="T47" s="2212">
        <v>31.535833333333301</v>
      </c>
      <c r="U47" s="2212">
        <v>33.456666666666699</v>
      </c>
      <c r="V47" s="2212">
        <v>600.45249999999999</v>
      </c>
      <c r="W47" s="2212">
        <v>97.180833333333297</v>
      </c>
      <c r="X47" s="2212">
        <v>335.62</v>
      </c>
      <c r="Y47" s="2212">
        <v>150.42250000000001</v>
      </c>
      <c r="Z47" s="2212">
        <v>322.19499999999999</v>
      </c>
      <c r="AA47" s="2212">
        <v>248.495</v>
      </c>
      <c r="AB47" s="2212">
        <v>32.765833333333298</v>
      </c>
      <c r="AC47" s="2212">
        <v>624.819166666667</v>
      </c>
      <c r="AD47" s="2212">
        <v>303.65583333333302</v>
      </c>
      <c r="AE47" s="2212">
        <v>129.45249999999999</v>
      </c>
      <c r="AF47" s="2213">
        <v>1766.4324999999999</v>
      </c>
      <c r="AH47" s="1829">
        <v>37</v>
      </c>
      <c r="AI47" s="2124">
        <f>Risk_Compensation!H54*(Risk_Compensation!AK54+CO$144)*12/1000000</f>
        <v>0</v>
      </c>
      <c r="AJ47" s="2121">
        <f>Risk_Compensation!I54*(Risk_Compensation!AL54+CP$144)*12/1000000</f>
        <v>0</v>
      </c>
      <c r="AK47" s="2121">
        <f>Risk_Compensation!J54*(Risk_Compensation!AM54+CQ$144)*12/1000000</f>
        <v>0</v>
      </c>
      <c r="AL47" s="2121">
        <f>Risk_Compensation!K54*(Risk_Compensation!AN54+CR$144)*12/1000000</f>
        <v>0</v>
      </c>
      <c r="AM47" s="2121">
        <f>Risk_Compensation!L54*(Risk_Compensation!AO54+CS$144)*12/1000000</f>
        <v>0</v>
      </c>
      <c r="AN47" s="2121">
        <f>Risk_Compensation!M54*(Risk_Compensation!AP54+CT$144)*12/1000000</f>
        <v>0</v>
      </c>
      <c r="AO47" s="2121">
        <f>Risk_Compensation!N54*(Risk_Compensation!AQ54+CU$144)*12/1000000</f>
        <v>0</v>
      </c>
      <c r="AP47" s="2121">
        <f>Risk_Compensation!O54*(Risk_Compensation!AR54+CV$144)*12/1000000</f>
        <v>0</v>
      </c>
      <c r="AQ47" s="2121">
        <f>Risk_Compensation!P54*(Risk_Compensation!AS54+CW$144)*12/1000000</f>
        <v>0</v>
      </c>
      <c r="AR47" s="2121">
        <f>Risk_Compensation!Q54*(Risk_Compensation!AT54+CX$144)*12/1000000</f>
        <v>0</v>
      </c>
      <c r="AS47" s="2121">
        <f>Risk_Compensation!R54*(Risk_Compensation!AU54+CY$144)*12/1000000</f>
        <v>0</v>
      </c>
      <c r="AT47" s="2121">
        <f>Risk_Compensation!S54*(Risk_Compensation!AV54+CZ$144)*12/1000000</f>
        <v>0</v>
      </c>
      <c r="AU47" s="2121">
        <f>Risk_Compensation!T54*(Risk_Compensation!AW54+DA$144)*12/1000000</f>
        <v>0</v>
      </c>
      <c r="AV47" s="2121">
        <f>Risk_Compensation!U54*(Risk_Compensation!AX54+DB$144)*12/1000000</f>
        <v>0</v>
      </c>
      <c r="AW47" s="2121">
        <f>Risk_Compensation!V54*(Risk_Compensation!AY54+DC$144)*12/1000000</f>
        <v>0</v>
      </c>
      <c r="AX47" s="2121">
        <f>Risk_Compensation!W54*(Risk_Compensation!AZ54+DD$144)*12/1000000</f>
        <v>0</v>
      </c>
      <c r="AY47" s="2121">
        <f>Risk_Compensation!X54*(Risk_Compensation!BA54+DE$144)*12/1000000</f>
        <v>0</v>
      </c>
      <c r="AZ47" s="2121">
        <f>Risk_Compensation!Y54*(Risk_Compensation!BB54+DF$144)*12/1000000</f>
        <v>0</v>
      </c>
      <c r="BA47" s="2121">
        <f>Risk_Compensation!Z54*(Risk_Compensation!BC54+DG$144)*12/1000000</f>
        <v>0</v>
      </c>
      <c r="BB47" s="2121">
        <f>Risk_Compensation!AA54*(Risk_Compensation!BD54+DH$144)*12/1000000</f>
        <v>0</v>
      </c>
      <c r="BC47" s="2121">
        <f>Risk_Compensation!AB54*(Risk_Compensation!BE54+DI$144)*12/1000000</f>
        <v>0</v>
      </c>
      <c r="BD47" s="2121">
        <f>Risk_Compensation!AC54*(Risk_Compensation!BF54+DJ$144)*12/1000000</f>
        <v>0</v>
      </c>
      <c r="BE47" s="2121">
        <f>Risk_Compensation!AD54*(Risk_Compensation!BG54+DK$144)*12/1000000</f>
        <v>0</v>
      </c>
      <c r="BF47" s="2121">
        <f>Risk_Compensation!AE54*(Risk_Compensation!BH54+DL$144)*12/1000000</f>
        <v>0</v>
      </c>
      <c r="BG47" s="2121">
        <f>Risk_Compensation!AF54*(Risk_Compensation!BI54+DM$144)*12/1000000</f>
        <v>0</v>
      </c>
      <c r="BH47" s="2125">
        <f>Risk_Compensation!AG54*(Risk_Compensation!BJ54+DN$144)*12/1000000</f>
        <v>0</v>
      </c>
      <c r="BI47" s="644"/>
      <c r="BJ47" s="1829">
        <v>37</v>
      </c>
      <c r="BK47" s="2138">
        <f>IF(G47&lt;=0,0,(Risk_Compensation!H54/G47-Risk_Compensation!H$79/G$72-0.5*CO$167*($CK47-CO$135/G$72))*G47)</f>
        <v>0</v>
      </c>
      <c r="BL47" s="2139">
        <f>IF(H47&lt;=0,0,(Risk_Compensation!I54/H47-Risk_Compensation!I$79/H$72-0.5*CP$167*($CK47-CP$135/H$72))*H47)</f>
        <v>0</v>
      </c>
      <c r="BM47" s="2139">
        <f>IF(I47&lt;=0,0,(Risk_Compensation!J54/I47-Risk_Compensation!J$79/I$72-0.5*CQ$167*($CK47-CQ$135/I$72))*I47)</f>
        <v>0</v>
      </c>
      <c r="BN47" s="2139">
        <f>IF(J47&lt;=0,0,(Risk_Compensation!K54/J47-Risk_Compensation!K$79/J$72-0.5*CR$167*($CK47-CR$135/J$72))*J47)</f>
        <v>0</v>
      </c>
      <c r="BO47" s="2139">
        <f>IF(K47&lt;=0,0,(Risk_Compensation!L54/K47-Risk_Compensation!L$79/K$72-0.5*CS$167*($CK47-CS$135/K$72))*K47)</f>
        <v>0</v>
      </c>
      <c r="BP47" s="2139">
        <f>IF(L47&lt;=0,0,(Risk_Compensation!M54/L47-Risk_Compensation!M$79/L$72-0.5*CT$167*($CK47-CT$135/L$72))*L47)</f>
        <v>0</v>
      </c>
      <c r="BQ47" s="2139">
        <f>IF(M47&lt;=0,0,(Risk_Compensation!N54/M47-Risk_Compensation!N$79/M$72-0.5*CU$167*($CK47-CU$135/M$72))*M47)</f>
        <v>0</v>
      </c>
      <c r="BR47" s="2139">
        <f>IF(N47&lt;=0,0,(Risk_Compensation!O54/N47-Risk_Compensation!O$79/N$72-0.5*CV$167*($CK47-CV$135/N$72))*N47)</f>
        <v>0</v>
      </c>
      <c r="BS47" s="2139">
        <f>IF(O47&lt;=0,0,(Risk_Compensation!P54/O47-Risk_Compensation!P$79/O$72-0.5*CW$167*($CK47-CW$135/O$72))*O47)</f>
        <v>0</v>
      </c>
      <c r="BT47" s="2139">
        <f>IF(P47&lt;=0,0,(Risk_Compensation!Q54/P47-Risk_Compensation!Q$79/P$72-0.5*CX$167*($CK47-CX$135/P$72))*P47)</f>
        <v>0</v>
      </c>
      <c r="BU47" s="2139">
        <f>IF(Q47&lt;=0,0,(Risk_Compensation!R54/Q47-Risk_Compensation!R$79/Q$72-0.5*CY$167*($CK47-CY$135/Q$72))*Q47)</f>
        <v>0</v>
      </c>
      <c r="BV47" s="2139">
        <f>IF(R47&lt;=0,0,(Risk_Compensation!S54/R47-Risk_Compensation!S$79/R$72-0.5*CZ$167*($CK47-CZ$135/R$72))*R47)</f>
        <v>0</v>
      </c>
      <c r="BW47" s="2139">
        <f>IF(S47&lt;=0,0,(Risk_Compensation!T54/S47-Risk_Compensation!T$79/S$72-0.5*DA$167*($CK47-DA$135/S$72))*S47)</f>
        <v>0</v>
      </c>
      <c r="BX47" s="2139">
        <f>IF(T47&lt;=0,0,(Risk_Compensation!U54/T47-Risk_Compensation!U$79/T$72-0.5*DB$167*($CK47-DB$135/T$72))*T47)</f>
        <v>0</v>
      </c>
      <c r="BY47" s="2139">
        <f>IF(U47&lt;=0,0,(Risk_Compensation!V54/U47-Risk_Compensation!V$79/U$72-0.5*DC$167*($CK47-DC$135/U$72))*U47)</f>
        <v>0</v>
      </c>
      <c r="BZ47" s="2139">
        <f>IF(V47&lt;=0,0,(Risk_Compensation!W54/V47-Risk_Compensation!W$79/V$72-0.5*DD$167*($CK47-DD$135/V$72))*V47)</f>
        <v>0</v>
      </c>
      <c r="CA47" s="2139">
        <f>IF(W47&lt;=0,0,(Risk_Compensation!X54/W47-Risk_Compensation!X$79/W$72-0.5*DE$167*($CK47-DE$135/W$72))*W47)</f>
        <v>0</v>
      </c>
      <c r="CB47" s="2139">
        <f>IF(X47&lt;=0,0,(Risk_Compensation!Y54/X47-Risk_Compensation!Y$79/X$72-0.5*DF$167*($CK47-DF$135/X$72))*X47)</f>
        <v>0</v>
      </c>
      <c r="CC47" s="2139">
        <f>IF(Y47&lt;=0,0,(Risk_Compensation!Z54/Y47-Risk_Compensation!Z$79/Y$72-0.5*DG$167*($CK47-DG$135/Y$72))*Y47)</f>
        <v>0</v>
      </c>
      <c r="CD47" s="2139">
        <f>IF(Z47&lt;=0,0,(Risk_Compensation!AA54/Z47-Risk_Compensation!AA$79/Z$72-0.5*DH$167*($CK47-DH$135/Z$72))*Z47)</f>
        <v>0</v>
      </c>
      <c r="CE47" s="2139">
        <f>IF(AA47&lt;=0,0,(Risk_Compensation!AB54/AA47-Risk_Compensation!AB$79/AA$72-0.5*DI$167*($CK47-DI$135/AA$72))*AA47)</f>
        <v>0</v>
      </c>
      <c r="CF47" s="2139">
        <f>IF(AB47&lt;=0,0,(Risk_Compensation!AC54/AB47-Risk_Compensation!AC$79/AB$72-0.5*DJ$167*($CK47-DJ$135/AB$72))*AB47)</f>
        <v>0</v>
      </c>
      <c r="CG47" s="2139">
        <f>IF(AC47&lt;=0,0,(Risk_Compensation!AD54/AC47-Risk_Compensation!AD$79/AC$72-0.5*DK$167*($CK47-DK$135/AC$72))*AC47)</f>
        <v>0</v>
      </c>
      <c r="CH47" s="2139">
        <f>IF(AD47&lt;=0,0,(Risk_Compensation!AE54/AD47-Risk_Compensation!AE$79/AD$72-0.5*DL$167*($CK47-DL$135/AD$72))*AD47)</f>
        <v>0</v>
      </c>
      <c r="CI47" s="2139">
        <f>IF(AE47&lt;=0,0,(Risk_Compensation!AF54/AE47-Risk_Compensation!AF$79/AE$72-0.5*DM$167*($CK47-DM$135/AE$72))*AE47)</f>
        <v>0</v>
      </c>
      <c r="CJ47" s="2140">
        <f>IF(AF47&lt;=0,0,(Risk_Compensation!AG54/AF47-Risk_Compensation!AG$79/AF$72-0.5*DN$167*($CK47-DN$135/AF$72))*AF47)</f>
        <v>0</v>
      </c>
      <c r="CK47" s="2166">
        <v>0</v>
      </c>
      <c r="CL47" s="644"/>
      <c r="CM47" s="1829">
        <v>37</v>
      </c>
      <c r="CN47" s="2149">
        <f t="shared" si="26"/>
        <v>0</v>
      </c>
      <c r="CO47" s="2150">
        <f t="shared" si="27"/>
        <v>0</v>
      </c>
      <c r="CP47" s="2150">
        <f t="shared" si="28"/>
        <v>0</v>
      </c>
      <c r="CQ47" s="2150">
        <f t="shared" si="29"/>
        <v>0</v>
      </c>
      <c r="CR47" s="2150">
        <f t="shared" si="30"/>
        <v>0</v>
      </c>
      <c r="CS47" s="2150">
        <f t="shared" si="31"/>
        <v>0</v>
      </c>
      <c r="CT47" s="2150">
        <f t="shared" si="32"/>
        <v>0</v>
      </c>
      <c r="CU47" s="2150">
        <f t="shared" si="33"/>
        <v>0</v>
      </c>
      <c r="CV47" s="2150">
        <f t="shared" si="34"/>
        <v>0</v>
      </c>
      <c r="CW47" s="2150">
        <f t="shared" si="35"/>
        <v>0</v>
      </c>
      <c r="CX47" s="2150">
        <f t="shared" si="36"/>
        <v>0</v>
      </c>
      <c r="CY47" s="2150">
        <f t="shared" si="37"/>
        <v>0</v>
      </c>
      <c r="CZ47" s="2150">
        <f t="shared" si="38"/>
        <v>0</v>
      </c>
      <c r="DA47" s="2150">
        <f t="shared" si="39"/>
        <v>0</v>
      </c>
      <c r="DB47" s="2150">
        <f t="shared" si="40"/>
        <v>0</v>
      </c>
      <c r="DC47" s="2150">
        <f t="shared" si="41"/>
        <v>0</v>
      </c>
      <c r="DD47" s="2150">
        <f t="shared" si="42"/>
        <v>0</v>
      </c>
      <c r="DE47" s="2150">
        <f t="shared" si="43"/>
        <v>0</v>
      </c>
      <c r="DF47" s="2150">
        <f t="shared" si="44"/>
        <v>0</v>
      </c>
      <c r="DG47" s="2150">
        <f t="shared" si="45"/>
        <v>0</v>
      </c>
      <c r="DH47" s="2150">
        <f t="shared" si="46"/>
        <v>0</v>
      </c>
      <c r="DI47" s="2150">
        <f t="shared" si="47"/>
        <v>0</v>
      </c>
      <c r="DJ47" s="2150">
        <f t="shared" si="48"/>
        <v>0</v>
      </c>
      <c r="DK47" s="2150">
        <f t="shared" si="49"/>
        <v>0</v>
      </c>
      <c r="DL47" s="2150">
        <f t="shared" si="50"/>
        <v>0</v>
      </c>
      <c r="DM47" s="2151">
        <f t="shared" si="51"/>
        <v>0</v>
      </c>
      <c r="DN47" s="644"/>
      <c r="DO47" s="1829">
        <v>37</v>
      </c>
      <c r="DP47" s="2211">
        <v>620.42100257123104</v>
      </c>
      <c r="DQ47" s="2212">
        <v>952.99998300103698</v>
      </c>
      <c r="DR47" s="2212">
        <v>812.604584471164</v>
      </c>
      <c r="DS47" s="2212">
        <v>856.35530296151501</v>
      </c>
      <c r="DT47" s="2212">
        <v>677.65572595098399</v>
      </c>
      <c r="DU47" s="2212">
        <v>963.56767786750595</v>
      </c>
      <c r="DV47" s="2212">
        <v>834.64541718087196</v>
      </c>
      <c r="DW47" s="2212">
        <v>930.80970834190998</v>
      </c>
      <c r="DX47" s="2212">
        <v>611.45657576329597</v>
      </c>
      <c r="DY47" s="2212">
        <v>677.77176391944204</v>
      </c>
      <c r="DZ47" s="2212">
        <v>429.92259716254699</v>
      </c>
      <c r="EA47" s="2212">
        <v>586.01497870355297</v>
      </c>
      <c r="EB47" s="2212">
        <v>507.97066666285701</v>
      </c>
      <c r="EC47" s="2212">
        <v>265.70628278030301</v>
      </c>
      <c r="ED47" s="2212">
        <v>535.06095520727195</v>
      </c>
      <c r="EE47" s="2212">
        <v>620.05437591861505</v>
      </c>
      <c r="EF47" s="2212">
        <v>748.372398057434</v>
      </c>
      <c r="EG47" s="2212">
        <v>466.96986855773298</v>
      </c>
      <c r="EH47" s="2212">
        <v>439.385064654053</v>
      </c>
      <c r="EI47" s="2212">
        <v>698.09914631662696</v>
      </c>
      <c r="EJ47" s="2212">
        <v>656.61601632775898</v>
      </c>
      <c r="EK47" s="2212">
        <v>335.23557101546498</v>
      </c>
      <c r="EL47" s="2212">
        <v>746.49794605232796</v>
      </c>
      <c r="EM47" s="2212">
        <v>572.954370895799</v>
      </c>
      <c r="EN47" s="2212">
        <v>423.84329550952799</v>
      </c>
      <c r="EO47" s="2213">
        <v>780.81977994200895</v>
      </c>
      <c r="ER47" s="1829">
        <v>37</v>
      </c>
      <c r="ES47" s="1830">
        <v>1.7836736105334801</v>
      </c>
      <c r="ET47" s="644"/>
      <c r="EU47" s="2156">
        <v>37</v>
      </c>
      <c r="EV47" s="2090" t="s">
        <v>162</v>
      </c>
      <c r="EW47" s="2090" t="s">
        <v>1907</v>
      </c>
      <c r="EX47" s="2090" t="str">
        <f>Translation!B$579</f>
        <v>Ja</v>
      </c>
    </row>
    <row r="48" spans="2:154" ht="12.75" x14ac:dyDescent="0.2">
      <c r="B48" s="2090">
        <v>38</v>
      </c>
      <c r="C48" s="2090" t="s">
        <v>162</v>
      </c>
      <c r="D48" s="2090" t="s">
        <v>1907</v>
      </c>
      <c r="E48" s="2090" t="str">
        <f>Translation!B$580</f>
        <v>Nein</v>
      </c>
      <c r="F48" s="1622">
        <v>38</v>
      </c>
      <c r="G48" s="2211">
        <v>24735.53</v>
      </c>
      <c r="H48" s="2212">
        <v>490.73416666666702</v>
      </c>
      <c r="I48" s="2212">
        <v>1796.66166666667</v>
      </c>
      <c r="J48" s="2212">
        <v>35119.5058333333</v>
      </c>
      <c r="K48" s="2212">
        <v>9268.4500000000007</v>
      </c>
      <c r="L48" s="2212">
        <v>7793.4925000000003</v>
      </c>
      <c r="M48" s="2212">
        <v>11411.344999999999</v>
      </c>
      <c r="N48" s="2212">
        <v>17006.394166666701</v>
      </c>
      <c r="O48" s="2212">
        <v>1333.88666666667</v>
      </c>
      <c r="P48" s="2212">
        <v>6460.9108333333297</v>
      </c>
      <c r="Q48" s="2212">
        <v>2123.25833333333</v>
      </c>
      <c r="R48" s="2212">
        <v>14709.4066666667</v>
      </c>
      <c r="S48" s="2212">
        <v>5752.74416666667</v>
      </c>
      <c r="T48" s="2212">
        <v>1340.21</v>
      </c>
      <c r="U48" s="2212">
        <v>1249.2466666666701</v>
      </c>
      <c r="V48" s="2212">
        <v>17469.4516666667</v>
      </c>
      <c r="W48" s="2212">
        <v>2705.9066666666699</v>
      </c>
      <c r="X48" s="2212">
        <v>9401.4074999999993</v>
      </c>
      <c r="Y48" s="2212">
        <v>5394</v>
      </c>
      <c r="Z48" s="2212">
        <v>9687.3366666666698</v>
      </c>
      <c r="AA48" s="2212">
        <v>10107.403333333301</v>
      </c>
      <c r="AB48" s="2212">
        <v>1115.43</v>
      </c>
      <c r="AC48" s="2212">
        <v>29384.604166666701</v>
      </c>
      <c r="AD48" s="2212">
        <v>11925.006666666701</v>
      </c>
      <c r="AE48" s="2212">
        <v>4713.8316666666697</v>
      </c>
      <c r="AF48" s="2213">
        <v>61764.758333333302</v>
      </c>
      <c r="AH48" s="1829">
        <v>38</v>
      </c>
      <c r="AI48" s="2124">
        <f>Risk_Compensation!H55*(Risk_Compensation!AK55+CO$144)*12/1000000</f>
        <v>0</v>
      </c>
      <c r="AJ48" s="2121">
        <f>Risk_Compensation!I55*(Risk_Compensation!AL55+CP$144)*12/1000000</f>
        <v>0</v>
      </c>
      <c r="AK48" s="2121">
        <f>Risk_Compensation!J55*(Risk_Compensation!AM55+CQ$144)*12/1000000</f>
        <v>0</v>
      </c>
      <c r="AL48" s="2121">
        <f>Risk_Compensation!K55*(Risk_Compensation!AN55+CR$144)*12/1000000</f>
        <v>0</v>
      </c>
      <c r="AM48" s="2121">
        <f>Risk_Compensation!L55*(Risk_Compensation!AO55+CS$144)*12/1000000</f>
        <v>0</v>
      </c>
      <c r="AN48" s="2121">
        <f>Risk_Compensation!M55*(Risk_Compensation!AP55+CT$144)*12/1000000</f>
        <v>0</v>
      </c>
      <c r="AO48" s="2121">
        <f>Risk_Compensation!N55*(Risk_Compensation!AQ55+CU$144)*12/1000000</f>
        <v>0</v>
      </c>
      <c r="AP48" s="2121">
        <f>Risk_Compensation!O55*(Risk_Compensation!AR55+CV$144)*12/1000000</f>
        <v>0</v>
      </c>
      <c r="AQ48" s="2121">
        <f>Risk_Compensation!P55*(Risk_Compensation!AS55+CW$144)*12/1000000</f>
        <v>0</v>
      </c>
      <c r="AR48" s="2121">
        <f>Risk_Compensation!Q55*(Risk_Compensation!AT55+CX$144)*12/1000000</f>
        <v>0</v>
      </c>
      <c r="AS48" s="2121">
        <f>Risk_Compensation!R55*(Risk_Compensation!AU55+CY$144)*12/1000000</f>
        <v>0</v>
      </c>
      <c r="AT48" s="2121">
        <f>Risk_Compensation!S55*(Risk_Compensation!AV55+CZ$144)*12/1000000</f>
        <v>0</v>
      </c>
      <c r="AU48" s="2121">
        <f>Risk_Compensation!T55*(Risk_Compensation!AW55+DA$144)*12/1000000</f>
        <v>0</v>
      </c>
      <c r="AV48" s="2121">
        <f>Risk_Compensation!U55*(Risk_Compensation!AX55+DB$144)*12/1000000</f>
        <v>0</v>
      </c>
      <c r="AW48" s="2121">
        <f>Risk_Compensation!V55*(Risk_Compensation!AY55+DC$144)*12/1000000</f>
        <v>0</v>
      </c>
      <c r="AX48" s="2121">
        <f>Risk_Compensation!W55*(Risk_Compensation!AZ55+DD$144)*12/1000000</f>
        <v>0</v>
      </c>
      <c r="AY48" s="2121">
        <f>Risk_Compensation!X55*(Risk_Compensation!BA55+DE$144)*12/1000000</f>
        <v>0</v>
      </c>
      <c r="AZ48" s="2121">
        <f>Risk_Compensation!Y55*(Risk_Compensation!BB55+DF$144)*12/1000000</f>
        <v>0</v>
      </c>
      <c r="BA48" s="2121">
        <f>Risk_Compensation!Z55*(Risk_Compensation!BC55+DG$144)*12/1000000</f>
        <v>0</v>
      </c>
      <c r="BB48" s="2121">
        <f>Risk_Compensation!AA55*(Risk_Compensation!BD55+DH$144)*12/1000000</f>
        <v>0</v>
      </c>
      <c r="BC48" s="2121">
        <f>Risk_Compensation!AB55*(Risk_Compensation!BE55+DI$144)*12/1000000</f>
        <v>0</v>
      </c>
      <c r="BD48" s="2121">
        <f>Risk_Compensation!AC55*(Risk_Compensation!BF55+DJ$144)*12/1000000</f>
        <v>0</v>
      </c>
      <c r="BE48" s="2121">
        <f>Risk_Compensation!AD55*(Risk_Compensation!BG55+DK$144)*12/1000000</f>
        <v>0</v>
      </c>
      <c r="BF48" s="2121">
        <f>Risk_Compensation!AE55*(Risk_Compensation!BH55+DL$144)*12/1000000</f>
        <v>0</v>
      </c>
      <c r="BG48" s="2121">
        <f>Risk_Compensation!AF55*(Risk_Compensation!BI55+DM$144)*12/1000000</f>
        <v>0</v>
      </c>
      <c r="BH48" s="2125">
        <f>Risk_Compensation!AG55*(Risk_Compensation!BJ55+DN$144)*12/1000000</f>
        <v>0</v>
      </c>
      <c r="BI48" s="644"/>
      <c r="BJ48" s="1829">
        <v>38</v>
      </c>
      <c r="BK48" s="2138">
        <f>IF(G48&lt;=0,0,(Risk_Compensation!H55/G48-Risk_Compensation!H$79/G$72-0.5*CO$167*($CK48-CO$135/G$72))*G48)</f>
        <v>0</v>
      </c>
      <c r="BL48" s="2139">
        <f>IF(H48&lt;=0,0,(Risk_Compensation!I55/H48-Risk_Compensation!I$79/H$72-0.5*CP$167*($CK48-CP$135/H$72))*H48)</f>
        <v>0</v>
      </c>
      <c r="BM48" s="2139">
        <f>IF(I48&lt;=0,0,(Risk_Compensation!J55/I48-Risk_Compensation!J$79/I$72-0.5*CQ$167*($CK48-CQ$135/I$72))*I48)</f>
        <v>0</v>
      </c>
      <c r="BN48" s="2139">
        <f>IF(J48&lt;=0,0,(Risk_Compensation!K55/J48-Risk_Compensation!K$79/J$72-0.5*CR$167*($CK48-CR$135/J$72))*J48)</f>
        <v>0</v>
      </c>
      <c r="BO48" s="2139">
        <f>IF(K48&lt;=0,0,(Risk_Compensation!L55/K48-Risk_Compensation!L$79/K$72-0.5*CS$167*($CK48-CS$135/K$72))*K48)</f>
        <v>0</v>
      </c>
      <c r="BP48" s="2139">
        <f>IF(L48&lt;=0,0,(Risk_Compensation!M55/L48-Risk_Compensation!M$79/L$72-0.5*CT$167*($CK48-CT$135/L$72))*L48)</f>
        <v>0</v>
      </c>
      <c r="BQ48" s="2139">
        <f>IF(M48&lt;=0,0,(Risk_Compensation!N55/M48-Risk_Compensation!N$79/M$72-0.5*CU$167*($CK48-CU$135/M$72))*M48)</f>
        <v>0</v>
      </c>
      <c r="BR48" s="2139">
        <f>IF(N48&lt;=0,0,(Risk_Compensation!O55/N48-Risk_Compensation!O$79/N$72-0.5*CV$167*($CK48-CV$135/N$72))*N48)</f>
        <v>0</v>
      </c>
      <c r="BS48" s="2139">
        <f>IF(O48&lt;=0,0,(Risk_Compensation!P55/O48-Risk_Compensation!P$79/O$72-0.5*CW$167*($CK48-CW$135/O$72))*O48)</f>
        <v>0</v>
      </c>
      <c r="BT48" s="2139">
        <f>IF(P48&lt;=0,0,(Risk_Compensation!Q55/P48-Risk_Compensation!Q$79/P$72-0.5*CX$167*($CK48-CX$135/P$72))*P48)</f>
        <v>0</v>
      </c>
      <c r="BU48" s="2139">
        <f>IF(Q48&lt;=0,0,(Risk_Compensation!R55/Q48-Risk_Compensation!R$79/Q$72-0.5*CY$167*($CK48-CY$135/Q$72))*Q48)</f>
        <v>0</v>
      </c>
      <c r="BV48" s="2139">
        <f>IF(R48&lt;=0,0,(Risk_Compensation!S55/R48-Risk_Compensation!S$79/R$72-0.5*CZ$167*($CK48-CZ$135/R$72))*R48)</f>
        <v>0</v>
      </c>
      <c r="BW48" s="2139">
        <f>IF(S48&lt;=0,0,(Risk_Compensation!T55/S48-Risk_Compensation!T$79/S$72-0.5*DA$167*($CK48-DA$135/S$72))*S48)</f>
        <v>0</v>
      </c>
      <c r="BX48" s="2139">
        <f>IF(T48&lt;=0,0,(Risk_Compensation!U55/T48-Risk_Compensation!U$79/T$72-0.5*DB$167*($CK48-DB$135/T$72))*T48)</f>
        <v>0</v>
      </c>
      <c r="BY48" s="2139">
        <f>IF(U48&lt;=0,0,(Risk_Compensation!V55/U48-Risk_Compensation!V$79/U$72-0.5*DC$167*($CK48-DC$135/U$72))*U48)</f>
        <v>0</v>
      </c>
      <c r="BZ48" s="2139">
        <f>IF(V48&lt;=0,0,(Risk_Compensation!W55/V48-Risk_Compensation!W$79/V$72-0.5*DD$167*($CK48-DD$135/V$72))*V48)</f>
        <v>0</v>
      </c>
      <c r="CA48" s="2139">
        <f>IF(W48&lt;=0,0,(Risk_Compensation!X55/W48-Risk_Compensation!X$79/W$72-0.5*DE$167*($CK48-DE$135/W$72))*W48)</f>
        <v>0</v>
      </c>
      <c r="CB48" s="2139">
        <f>IF(X48&lt;=0,0,(Risk_Compensation!Y55/X48-Risk_Compensation!Y$79/X$72-0.5*DF$167*($CK48-DF$135/X$72))*X48)</f>
        <v>0</v>
      </c>
      <c r="CC48" s="2139">
        <f>IF(Y48&lt;=0,0,(Risk_Compensation!Z55/Y48-Risk_Compensation!Z$79/Y$72-0.5*DG$167*($CK48-DG$135/Y$72))*Y48)</f>
        <v>0</v>
      </c>
      <c r="CD48" s="2139">
        <f>IF(Z48&lt;=0,0,(Risk_Compensation!AA55/Z48-Risk_Compensation!AA$79/Z$72-0.5*DH$167*($CK48-DH$135/Z$72))*Z48)</f>
        <v>0</v>
      </c>
      <c r="CE48" s="2139">
        <f>IF(AA48&lt;=0,0,(Risk_Compensation!AB55/AA48-Risk_Compensation!AB$79/AA$72-0.5*DI$167*($CK48-DI$135/AA$72))*AA48)</f>
        <v>0</v>
      </c>
      <c r="CF48" s="2139">
        <f>IF(AB48&lt;=0,0,(Risk_Compensation!AC55/AB48-Risk_Compensation!AC$79/AB$72-0.5*DJ$167*($CK48-DJ$135/AB$72))*AB48)</f>
        <v>0</v>
      </c>
      <c r="CG48" s="2139">
        <f>IF(AC48&lt;=0,0,(Risk_Compensation!AD55/AC48-Risk_Compensation!AD$79/AC$72-0.5*DK$167*($CK48-DK$135/AC$72))*AC48)</f>
        <v>0</v>
      </c>
      <c r="CH48" s="2139">
        <f>IF(AD48&lt;=0,0,(Risk_Compensation!AE55/AD48-Risk_Compensation!AE$79/AD$72-0.5*DL$167*($CK48-DL$135/AD$72))*AD48)</f>
        <v>0</v>
      </c>
      <c r="CI48" s="2139">
        <f>IF(AE48&lt;=0,0,(Risk_Compensation!AF55/AE48-Risk_Compensation!AF$79/AE$72-0.5*DM$167*($CK48-DM$135/AE$72))*AE48)</f>
        <v>0</v>
      </c>
      <c r="CJ48" s="2140">
        <f>IF(AF48&lt;=0,0,(Risk_Compensation!AG55/AF48-Risk_Compensation!AG$79/AF$72-0.5*DN$167*($CK48-DN$135/AF$72))*AF48)</f>
        <v>0</v>
      </c>
      <c r="CK48" s="2166">
        <v>0</v>
      </c>
      <c r="CL48" s="644"/>
      <c r="CM48" s="1829">
        <v>38</v>
      </c>
      <c r="CN48" s="2149">
        <f t="shared" si="26"/>
        <v>0</v>
      </c>
      <c r="CO48" s="2150">
        <f t="shared" si="27"/>
        <v>0</v>
      </c>
      <c r="CP48" s="2150">
        <f t="shared" si="28"/>
        <v>0</v>
      </c>
      <c r="CQ48" s="2150">
        <f t="shared" si="29"/>
        <v>0</v>
      </c>
      <c r="CR48" s="2150">
        <f t="shared" si="30"/>
        <v>0</v>
      </c>
      <c r="CS48" s="2150">
        <f t="shared" si="31"/>
        <v>0</v>
      </c>
      <c r="CT48" s="2150">
        <f t="shared" si="32"/>
        <v>0</v>
      </c>
      <c r="CU48" s="2150">
        <f t="shared" si="33"/>
        <v>0</v>
      </c>
      <c r="CV48" s="2150">
        <f t="shared" si="34"/>
        <v>0</v>
      </c>
      <c r="CW48" s="2150">
        <f t="shared" si="35"/>
        <v>0</v>
      </c>
      <c r="CX48" s="2150">
        <f t="shared" si="36"/>
        <v>0</v>
      </c>
      <c r="CY48" s="2150">
        <f t="shared" si="37"/>
        <v>0</v>
      </c>
      <c r="CZ48" s="2150">
        <f t="shared" si="38"/>
        <v>0</v>
      </c>
      <c r="DA48" s="2150">
        <f t="shared" si="39"/>
        <v>0</v>
      </c>
      <c r="DB48" s="2150">
        <f t="shared" si="40"/>
        <v>0</v>
      </c>
      <c r="DC48" s="2150">
        <f t="shared" si="41"/>
        <v>0</v>
      </c>
      <c r="DD48" s="2150">
        <f t="shared" si="42"/>
        <v>0</v>
      </c>
      <c r="DE48" s="2150">
        <f t="shared" si="43"/>
        <v>0</v>
      </c>
      <c r="DF48" s="2150">
        <f t="shared" si="44"/>
        <v>0</v>
      </c>
      <c r="DG48" s="2150">
        <f t="shared" si="45"/>
        <v>0</v>
      </c>
      <c r="DH48" s="2150">
        <f t="shared" si="46"/>
        <v>0</v>
      </c>
      <c r="DI48" s="2150">
        <f t="shared" si="47"/>
        <v>0</v>
      </c>
      <c r="DJ48" s="2150">
        <f t="shared" si="48"/>
        <v>0</v>
      </c>
      <c r="DK48" s="2150">
        <f t="shared" si="49"/>
        <v>0</v>
      </c>
      <c r="DL48" s="2150">
        <f t="shared" si="50"/>
        <v>0</v>
      </c>
      <c r="DM48" s="2151">
        <f t="shared" si="51"/>
        <v>0</v>
      </c>
      <c r="DN48" s="644"/>
      <c r="DO48" s="1829">
        <v>38</v>
      </c>
      <c r="DP48" s="2211">
        <v>162.76427945020899</v>
      </c>
      <c r="DQ48" s="2212">
        <v>93.464824778649302</v>
      </c>
      <c r="DR48" s="2212">
        <v>111.131328134434</v>
      </c>
      <c r="DS48" s="2212">
        <v>155.61550023681099</v>
      </c>
      <c r="DT48" s="2212">
        <v>188.37161892131101</v>
      </c>
      <c r="DU48" s="2212">
        <v>201.39630857179</v>
      </c>
      <c r="DV48" s="2212">
        <v>163.54192326143399</v>
      </c>
      <c r="DW48" s="2212">
        <v>273.49196091621798</v>
      </c>
      <c r="DX48" s="2212">
        <v>136.17312407124999</v>
      </c>
      <c r="DY48" s="2212">
        <v>128.668025470776</v>
      </c>
      <c r="DZ48" s="2212">
        <v>147.187645853041</v>
      </c>
      <c r="EA48" s="2212">
        <v>149.21811065556199</v>
      </c>
      <c r="EB48" s="2212">
        <v>167.93606521671001</v>
      </c>
      <c r="EC48" s="2212">
        <v>132.95007981146699</v>
      </c>
      <c r="ED48" s="2212">
        <v>120.026110470737</v>
      </c>
      <c r="EE48" s="2212">
        <v>149.902842301703</v>
      </c>
      <c r="EF48" s="2212">
        <v>157.554034952059</v>
      </c>
      <c r="EG48" s="2212">
        <v>152.11404413256699</v>
      </c>
      <c r="EH48" s="2212">
        <v>142.34952835445699</v>
      </c>
      <c r="EI48" s="2212">
        <v>141.5695049357</v>
      </c>
      <c r="EJ48" s="2212">
        <v>183.8084032941</v>
      </c>
      <c r="EK48" s="2212">
        <v>101.885746140973</v>
      </c>
      <c r="EL48" s="2212">
        <v>199.65671386001901</v>
      </c>
      <c r="EM48" s="2212">
        <v>144.38004207080999</v>
      </c>
      <c r="EN48" s="2212">
        <v>159.29096334886</v>
      </c>
      <c r="EO48" s="2213">
        <v>186.46514949774101</v>
      </c>
      <c r="ER48" s="1829">
        <v>38</v>
      </c>
      <c r="ES48" s="1830">
        <v>2.6311853144608501</v>
      </c>
      <c r="ET48" s="644"/>
      <c r="EU48" s="2156">
        <v>38</v>
      </c>
      <c r="EV48" s="2090" t="s">
        <v>162</v>
      </c>
      <c r="EW48" s="2090" t="s">
        <v>1907</v>
      </c>
      <c r="EX48" s="2090" t="str">
        <f>Translation!B$580</f>
        <v>Nein</v>
      </c>
    </row>
    <row r="49" spans="2:154" ht="12.75" x14ac:dyDescent="0.2">
      <c r="B49" s="2090">
        <v>39</v>
      </c>
      <c r="C49" s="2090" t="s">
        <v>162</v>
      </c>
      <c r="D49" s="2090" t="s">
        <v>1908</v>
      </c>
      <c r="E49" s="2090" t="str">
        <f>Translation!B$579</f>
        <v>Ja</v>
      </c>
      <c r="F49" s="1622">
        <v>39</v>
      </c>
      <c r="G49" s="2211">
        <v>793.17416666666702</v>
      </c>
      <c r="H49" s="2212">
        <v>11</v>
      </c>
      <c r="I49" s="2212">
        <v>64.977500000000006</v>
      </c>
      <c r="J49" s="2212">
        <v>1139.2066666666699</v>
      </c>
      <c r="K49" s="2212">
        <v>383.16666666666703</v>
      </c>
      <c r="L49" s="2212">
        <v>301.85000000000002</v>
      </c>
      <c r="M49" s="2212">
        <v>349.88</v>
      </c>
      <c r="N49" s="2212">
        <v>506.98333333333301</v>
      </c>
      <c r="O49" s="2212">
        <v>37.75</v>
      </c>
      <c r="P49" s="2212">
        <v>171.661666666667</v>
      </c>
      <c r="Q49" s="2212">
        <v>78.177499999999995</v>
      </c>
      <c r="R49" s="2212">
        <v>407.8125</v>
      </c>
      <c r="S49" s="2212">
        <v>151.34666666666701</v>
      </c>
      <c r="T49" s="2212">
        <v>36.090000000000003</v>
      </c>
      <c r="U49" s="2212">
        <v>36.4166666666667</v>
      </c>
      <c r="V49" s="2212">
        <v>576.70749999999998</v>
      </c>
      <c r="W49" s="2212">
        <v>109.919166666667</v>
      </c>
      <c r="X49" s="2212">
        <v>347.6825</v>
      </c>
      <c r="Y49" s="2212">
        <v>143.099166666667</v>
      </c>
      <c r="Z49" s="2212">
        <v>347.55166666666702</v>
      </c>
      <c r="AA49" s="2212">
        <v>346.68916666666701</v>
      </c>
      <c r="AB49" s="2212">
        <v>29.5833333333333</v>
      </c>
      <c r="AC49" s="2212">
        <v>719.33333333333303</v>
      </c>
      <c r="AD49" s="2212">
        <v>313.300833333333</v>
      </c>
      <c r="AE49" s="2212">
        <v>144.56083333333299</v>
      </c>
      <c r="AF49" s="2213">
        <v>1810.4108333333299</v>
      </c>
      <c r="AH49" s="1829">
        <v>39</v>
      </c>
      <c r="AI49" s="2124">
        <f>Risk_Compensation!H56*(Risk_Compensation!AK56+CO$144)*12/1000000</f>
        <v>0</v>
      </c>
      <c r="AJ49" s="2121">
        <f>Risk_Compensation!I56*(Risk_Compensation!AL56+CP$144)*12/1000000</f>
        <v>0</v>
      </c>
      <c r="AK49" s="2121">
        <f>Risk_Compensation!J56*(Risk_Compensation!AM56+CQ$144)*12/1000000</f>
        <v>0</v>
      </c>
      <c r="AL49" s="2121">
        <f>Risk_Compensation!K56*(Risk_Compensation!AN56+CR$144)*12/1000000</f>
        <v>0</v>
      </c>
      <c r="AM49" s="2121">
        <f>Risk_Compensation!L56*(Risk_Compensation!AO56+CS$144)*12/1000000</f>
        <v>0</v>
      </c>
      <c r="AN49" s="2121">
        <f>Risk_Compensation!M56*(Risk_Compensation!AP56+CT$144)*12/1000000</f>
        <v>0</v>
      </c>
      <c r="AO49" s="2121">
        <f>Risk_Compensation!N56*(Risk_Compensation!AQ56+CU$144)*12/1000000</f>
        <v>0</v>
      </c>
      <c r="AP49" s="2121">
        <f>Risk_Compensation!O56*(Risk_Compensation!AR56+CV$144)*12/1000000</f>
        <v>0</v>
      </c>
      <c r="AQ49" s="2121">
        <f>Risk_Compensation!P56*(Risk_Compensation!AS56+CW$144)*12/1000000</f>
        <v>0</v>
      </c>
      <c r="AR49" s="2121">
        <f>Risk_Compensation!Q56*(Risk_Compensation!AT56+CX$144)*12/1000000</f>
        <v>0</v>
      </c>
      <c r="AS49" s="2121">
        <f>Risk_Compensation!R56*(Risk_Compensation!AU56+CY$144)*12/1000000</f>
        <v>0</v>
      </c>
      <c r="AT49" s="2121">
        <f>Risk_Compensation!S56*(Risk_Compensation!AV56+CZ$144)*12/1000000</f>
        <v>0</v>
      </c>
      <c r="AU49" s="2121">
        <f>Risk_Compensation!T56*(Risk_Compensation!AW56+DA$144)*12/1000000</f>
        <v>0</v>
      </c>
      <c r="AV49" s="2121">
        <f>Risk_Compensation!U56*(Risk_Compensation!AX56+DB$144)*12/1000000</f>
        <v>0</v>
      </c>
      <c r="AW49" s="2121">
        <f>Risk_Compensation!V56*(Risk_Compensation!AY56+DC$144)*12/1000000</f>
        <v>0</v>
      </c>
      <c r="AX49" s="2121">
        <f>Risk_Compensation!W56*(Risk_Compensation!AZ56+DD$144)*12/1000000</f>
        <v>0</v>
      </c>
      <c r="AY49" s="2121">
        <f>Risk_Compensation!X56*(Risk_Compensation!BA56+DE$144)*12/1000000</f>
        <v>0</v>
      </c>
      <c r="AZ49" s="2121">
        <f>Risk_Compensation!Y56*(Risk_Compensation!BB56+DF$144)*12/1000000</f>
        <v>0</v>
      </c>
      <c r="BA49" s="2121">
        <f>Risk_Compensation!Z56*(Risk_Compensation!BC56+DG$144)*12/1000000</f>
        <v>0</v>
      </c>
      <c r="BB49" s="2121">
        <f>Risk_Compensation!AA56*(Risk_Compensation!BD56+DH$144)*12/1000000</f>
        <v>0</v>
      </c>
      <c r="BC49" s="2121">
        <f>Risk_Compensation!AB56*(Risk_Compensation!BE56+DI$144)*12/1000000</f>
        <v>0</v>
      </c>
      <c r="BD49" s="2121">
        <f>Risk_Compensation!AC56*(Risk_Compensation!BF56+DJ$144)*12/1000000</f>
        <v>0</v>
      </c>
      <c r="BE49" s="2121">
        <f>Risk_Compensation!AD56*(Risk_Compensation!BG56+DK$144)*12/1000000</f>
        <v>0</v>
      </c>
      <c r="BF49" s="2121">
        <f>Risk_Compensation!AE56*(Risk_Compensation!BH56+DL$144)*12/1000000</f>
        <v>0</v>
      </c>
      <c r="BG49" s="2121">
        <f>Risk_Compensation!AF56*(Risk_Compensation!BI56+DM$144)*12/1000000</f>
        <v>0</v>
      </c>
      <c r="BH49" s="2125">
        <f>Risk_Compensation!AG56*(Risk_Compensation!BJ56+DN$144)*12/1000000</f>
        <v>0</v>
      </c>
      <c r="BI49" s="644"/>
      <c r="BJ49" s="1829">
        <v>39</v>
      </c>
      <c r="BK49" s="2138">
        <f>IF(G49&lt;=0,0,(Risk_Compensation!H56/G49-Risk_Compensation!H$79/G$72-0.5*CO$167*($CK49-CO$135/G$72))*G49)</f>
        <v>0</v>
      </c>
      <c r="BL49" s="2139">
        <f>IF(H49&lt;=0,0,(Risk_Compensation!I56/H49-Risk_Compensation!I$79/H$72-0.5*CP$167*($CK49-CP$135/H$72))*H49)</f>
        <v>0</v>
      </c>
      <c r="BM49" s="2139">
        <f>IF(I49&lt;=0,0,(Risk_Compensation!J56/I49-Risk_Compensation!J$79/I$72-0.5*CQ$167*($CK49-CQ$135/I$72))*I49)</f>
        <v>0</v>
      </c>
      <c r="BN49" s="2139">
        <f>IF(J49&lt;=0,0,(Risk_Compensation!K56/J49-Risk_Compensation!K$79/J$72-0.5*CR$167*($CK49-CR$135/J$72))*J49)</f>
        <v>0</v>
      </c>
      <c r="BO49" s="2139">
        <f>IF(K49&lt;=0,0,(Risk_Compensation!L56/K49-Risk_Compensation!L$79/K$72-0.5*CS$167*($CK49-CS$135/K$72))*K49)</f>
        <v>0</v>
      </c>
      <c r="BP49" s="2139">
        <f>IF(L49&lt;=0,0,(Risk_Compensation!M56/L49-Risk_Compensation!M$79/L$72-0.5*CT$167*($CK49-CT$135/L$72))*L49)</f>
        <v>0</v>
      </c>
      <c r="BQ49" s="2139">
        <f>IF(M49&lt;=0,0,(Risk_Compensation!N56/M49-Risk_Compensation!N$79/M$72-0.5*CU$167*($CK49-CU$135/M$72))*M49)</f>
        <v>0</v>
      </c>
      <c r="BR49" s="2139">
        <f>IF(N49&lt;=0,0,(Risk_Compensation!O56/N49-Risk_Compensation!O$79/N$72-0.5*CV$167*($CK49-CV$135/N$72))*N49)</f>
        <v>0</v>
      </c>
      <c r="BS49" s="2139">
        <f>IF(O49&lt;=0,0,(Risk_Compensation!P56/O49-Risk_Compensation!P$79/O$72-0.5*CW$167*($CK49-CW$135/O$72))*O49)</f>
        <v>0</v>
      </c>
      <c r="BT49" s="2139">
        <f>IF(P49&lt;=0,0,(Risk_Compensation!Q56/P49-Risk_Compensation!Q$79/P$72-0.5*CX$167*($CK49-CX$135/P$72))*P49)</f>
        <v>0</v>
      </c>
      <c r="BU49" s="2139">
        <f>IF(Q49&lt;=0,0,(Risk_Compensation!R56/Q49-Risk_Compensation!R$79/Q$72-0.5*CY$167*($CK49-CY$135/Q$72))*Q49)</f>
        <v>0</v>
      </c>
      <c r="BV49" s="2139">
        <f>IF(R49&lt;=0,0,(Risk_Compensation!S56/R49-Risk_Compensation!S$79/R$72-0.5*CZ$167*($CK49-CZ$135/R$72))*R49)</f>
        <v>0</v>
      </c>
      <c r="BW49" s="2139">
        <f>IF(S49&lt;=0,0,(Risk_Compensation!T56/S49-Risk_Compensation!T$79/S$72-0.5*DA$167*($CK49-DA$135/S$72))*S49)</f>
        <v>0</v>
      </c>
      <c r="BX49" s="2139">
        <f>IF(T49&lt;=0,0,(Risk_Compensation!U56/T49-Risk_Compensation!U$79/T$72-0.5*DB$167*($CK49-DB$135/T$72))*T49)</f>
        <v>0</v>
      </c>
      <c r="BY49" s="2139">
        <f>IF(U49&lt;=0,0,(Risk_Compensation!V56/U49-Risk_Compensation!V$79/U$72-0.5*DC$167*($CK49-DC$135/U$72))*U49)</f>
        <v>0</v>
      </c>
      <c r="BZ49" s="2139">
        <f>IF(V49&lt;=0,0,(Risk_Compensation!W56/V49-Risk_Compensation!W$79/V$72-0.5*DD$167*($CK49-DD$135/V$72))*V49)</f>
        <v>0</v>
      </c>
      <c r="CA49" s="2139">
        <f>IF(W49&lt;=0,0,(Risk_Compensation!X56/W49-Risk_Compensation!X$79/W$72-0.5*DE$167*($CK49-DE$135/W$72))*W49)</f>
        <v>0</v>
      </c>
      <c r="CB49" s="2139">
        <f>IF(X49&lt;=0,0,(Risk_Compensation!Y56/X49-Risk_Compensation!Y$79/X$72-0.5*DF$167*($CK49-DF$135/X$72))*X49)</f>
        <v>0</v>
      </c>
      <c r="CC49" s="2139">
        <f>IF(Y49&lt;=0,0,(Risk_Compensation!Z56/Y49-Risk_Compensation!Z$79/Y$72-0.5*DG$167*($CK49-DG$135/Y$72))*Y49)</f>
        <v>0</v>
      </c>
      <c r="CD49" s="2139">
        <f>IF(Z49&lt;=0,0,(Risk_Compensation!AA56/Z49-Risk_Compensation!AA$79/Z$72-0.5*DH$167*($CK49-DH$135/Z$72))*Z49)</f>
        <v>0</v>
      </c>
      <c r="CE49" s="2139">
        <f>IF(AA49&lt;=0,0,(Risk_Compensation!AB56/AA49-Risk_Compensation!AB$79/AA$72-0.5*DI$167*($CK49-DI$135/AA$72))*AA49)</f>
        <v>0</v>
      </c>
      <c r="CF49" s="2139">
        <f>IF(AB49&lt;=0,0,(Risk_Compensation!AC56/AB49-Risk_Compensation!AC$79/AB$72-0.5*DJ$167*($CK49-DJ$135/AB$72))*AB49)</f>
        <v>0</v>
      </c>
      <c r="CG49" s="2139">
        <f>IF(AC49&lt;=0,0,(Risk_Compensation!AD56/AC49-Risk_Compensation!AD$79/AC$72-0.5*DK$167*($CK49-DK$135/AC$72))*AC49)</f>
        <v>0</v>
      </c>
      <c r="CH49" s="2139">
        <f>IF(AD49&lt;=0,0,(Risk_Compensation!AE56/AD49-Risk_Compensation!AE$79/AD$72-0.5*DL$167*($CK49-DL$135/AD$72))*AD49)</f>
        <v>0</v>
      </c>
      <c r="CI49" s="2139">
        <f>IF(AE49&lt;=0,0,(Risk_Compensation!AF56/AE49-Risk_Compensation!AF$79/AE$72-0.5*DM$167*($CK49-DM$135/AE$72))*AE49)</f>
        <v>0</v>
      </c>
      <c r="CJ49" s="2140">
        <f>IF(AF49&lt;=0,0,(Risk_Compensation!AG56/AF49-Risk_Compensation!AG$79/AF$72-0.5*DN$167*($CK49-DN$135/AF$72))*AF49)</f>
        <v>0</v>
      </c>
      <c r="CK49" s="2166">
        <v>0</v>
      </c>
      <c r="CL49" s="644"/>
      <c r="CM49" s="1829">
        <v>39</v>
      </c>
      <c r="CN49" s="2149">
        <f t="shared" si="26"/>
        <v>0</v>
      </c>
      <c r="CO49" s="2150">
        <f t="shared" si="27"/>
        <v>0</v>
      </c>
      <c r="CP49" s="2150">
        <f t="shared" si="28"/>
        <v>0</v>
      </c>
      <c r="CQ49" s="2150">
        <f t="shared" si="29"/>
        <v>0</v>
      </c>
      <c r="CR49" s="2150">
        <f t="shared" si="30"/>
        <v>0</v>
      </c>
      <c r="CS49" s="2150">
        <f t="shared" si="31"/>
        <v>0</v>
      </c>
      <c r="CT49" s="2150">
        <f t="shared" si="32"/>
        <v>0</v>
      </c>
      <c r="CU49" s="2150">
        <f t="shared" si="33"/>
        <v>0</v>
      </c>
      <c r="CV49" s="2150">
        <f t="shared" si="34"/>
        <v>0</v>
      </c>
      <c r="CW49" s="2150">
        <f t="shared" si="35"/>
        <v>0</v>
      </c>
      <c r="CX49" s="2150">
        <f t="shared" si="36"/>
        <v>0</v>
      </c>
      <c r="CY49" s="2150">
        <f t="shared" si="37"/>
        <v>0</v>
      </c>
      <c r="CZ49" s="2150">
        <f t="shared" si="38"/>
        <v>0</v>
      </c>
      <c r="DA49" s="2150">
        <f t="shared" si="39"/>
        <v>0</v>
      </c>
      <c r="DB49" s="2150">
        <f t="shared" si="40"/>
        <v>0</v>
      </c>
      <c r="DC49" s="2150">
        <f t="shared" si="41"/>
        <v>0</v>
      </c>
      <c r="DD49" s="2150">
        <f t="shared" si="42"/>
        <v>0</v>
      </c>
      <c r="DE49" s="2150">
        <f t="shared" si="43"/>
        <v>0</v>
      </c>
      <c r="DF49" s="2150">
        <f t="shared" si="44"/>
        <v>0</v>
      </c>
      <c r="DG49" s="2150">
        <f t="shared" si="45"/>
        <v>0</v>
      </c>
      <c r="DH49" s="2150">
        <f t="shared" si="46"/>
        <v>0</v>
      </c>
      <c r="DI49" s="2150">
        <f t="shared" si="47"/>
        <v>0</v>
      </c>
      <c r="DJ49" s="2150">
        <f t="shared" si="48"/>
        <v>0</v>
      </c>
      <c r="DK49" s="2150">
        <f t="shared" si="49"/>
        <v>0</v>
      </c>
      <c r="DL49" s="2150">
        <f t="shared" si="50"/>
        <v>0</v>
      </c>
      <c r="DM49" s="2151">
        <f t="shared" si="51"/>
        <v>0</v>
      </c>
      <c r="DN49" s="644"/>
      <c r="DO49" s="1829">
        <v>39</v>
      </c>
      <c r="DP49" s="2211">
        <v>608.03513253310496</v>
      </c>
      <c r="DQ49" s="2212">
        <v>154.58342652989199</v>
      </c>
      <c r="DR49" s="2212">
        <v>1033.17649688348</v>
      </c>
      <c r="DS49" s="2212">
        <v>589.68103626507002</v>
      </c>
      <c r="DT49" s="2212">
        <v>740.61103220033397</v>
      </c>
      <c r="DU49" s="2212">
        <v>1077.15730132725</v>
      </c>
      <c r="DV49" s="2212">
        <v>712.04525507774599</v>
      </c>
      <c r="DW49" s="2212">
        <v>920.01813231311996</v>
      </c>
      <c r="DX49" s="2212">
        <v>272.792641712815</v>
      </c>
      <c r="DY49" s="2212">
        <v>746.53456573766698</v>
      </c>
      <c r="DZ49" s="2212">
        <v>749.85373959824005</v>
      </c>
      <c r="EA49" s="2212">
        <v>721.032045131622</v>
      </c>
      <c r="EB49" s="2212">
        <v>889.80028145146298</v>
      </c>
      <c r="EC49" s="2212">
        <v>413.25100213121402</v>
      </c>
      <c r="ED49" s="2212">
        <v>551.20518346252595</v>
      </c>
      <c r="EE49" s="2212">
        <v>624.28715972415102</v>
      </c>
      <c r="EF49" s="2212">
        <v>580.5347179309</v>
      </c>
      <c r="EG49" s="2212">
        <v>681.95637395434403</v>
      </c>
      <c r="EH49" s="2212">
        <v>635.21675308363103</v>
      </c>
      <c r="EI49" s="2212">
        <v>725.75972419245602</v>
      </c>
      <c r="EJ49" s="2212">
        <v>612.69877893232399</v>
      </c>
      <c r="EK49" s="2212">
        <v>916.70610617849798</v>
      </c>
      <c r="EL49" s="2212">
        <v>954.49998930953598</v>
      </c>
      <c r="EM49" s="2212">
        <v>672.13695821564704</v>
      </c>
      <c r="EN49" s="2212">
        <v>609.186608808404</v>
      </c>
      <c r="EO49" s="2213">
        <v>803.69036200512301</v>
      </c>
      <c r="ER49" s="1829">
        <v>39</v>
      </c>
      <c r="ES49" s="1830">
        <v>1.9090223065757199</v>
      </c>
      <c r="ET49" s="644"/>
      <c r="EU49" s="2156">
        <v>39</v>
      </c>
      <c r="EV49" s="2090" t="s">
        <v>162</v>
      </c>
      <c r="EW49" s="2090" t="s">
        <v>1908</v>
      </c>
      <c r="EX49" s="2090" t="str">
        <f>Translation!B$579</f>
        <v>Ja</v>
      </c>
    </row>
    <row r="50" spans="2:154" ht="12.75" x14ac:dyDescent="0.2">
      <c r="B50" s="2090">
        <v>40</v>
      </c>
      <c r="C50" s="2090" t="s">
        <v>162</v>
      </c>
      <c r="D50" s="2090" t="s">
        <v>1908</v>
      </c>
      <c r="E50" s="2090" t="str">
        <f>Translation!B$580</f>
        <v>Nein</v>
      </c>
      <c r="F50" s="1622">
        <v>40</v>
      </c>
      <c r="G50" s="2211">
        <v>24337.5075</v>
      </c>
      <c r="H50" s="2212">
        <v>450.53166666666698</v>
      </c>
      <c r="I50" s="2212">
        <v>1811.5425</v>
      </c>
      <c r="J50" s="2212">
        <v>34592.847500000003</v>
      </c>
      <c r="K50" s="2212">
        <v>9616.5508333333291</v>
      </c>
      <c r="L50" s="2212">
        <v>6959.6450000000004</v>
      </c>
      <c r="M50" s="2212">
        <v>11145.1975</v>
      </c>
      <c r="N50" s="2212">
        <v>17415.996666666699</v>
      </c>
      <c r="O50" s="2212">
        <v>1329.86</v>
      </c>
      <c r="P50" s="2212">
        <v>6432.9108333333297</v>
      </c>
      <c r="Q50" s="2212">
        <v>2070.4358333333298</v>
      </c>
      <c r="R50" s="2212">
        <v>14234.96</v>
      </c>
      <c r="S50" s="2212">
        <v>5633.57416666667</v>
      </c>
      <c r="T50" s="2212">
        <v>1367.73</v>
      </c>
      <c r="U50" s="2212">
        <v>1240.16166666667</v>
      </c>
      <c r="V50" s="2212">
        <v>16597.645833333299</v>
      </c>
      <c r="W50" s="2212">
        <v>2712.28</v>
      </c>
      <c r="X50" s="2212">
        <v>8937.1283333333304</v>
      </c>
      <c r="Y50" s="2212">
        <v>5442.8783333333304</v>
      </c>
      <c r="Z50" s="2212">
        <v>9202.65</v>
      </c>
      <c r="AA50" s="2212">
        <v>11075.319166666701</v>
      </c>
      <c r="AB50" s="2212">
        <v>1050.5625</v>
      </c>
      <c r="AC50" s="2212">
        <v>29402.046666666702</v>
      </c>
      <c r="AD50" s="2212">
        <v>11313.134166666699</v>
      </c>
      <c r="AE50" s="2212">
        <v>4651.1091666666698</v>
      </c>
      <c r="AF50" s="2213">
        <v>59225.947500000002</v>
      </c>
      <c r="AH50" s="1829">
        <v>40</v>
      </c>
      <c r="AI50" s="2124">
        <f>Risk_Compensation!H57*(Risk_Compensation!AK57+CO$144)*12/1000000</f>
        <v>0</v>
      </c>
      <c r="AJ50" s="2121">
        <f>Risk_Compensation!I57*(Risk_Compensation!AL57+CP$144)*12/1000000</f>
        <v>0</v>
      </c>
      <c r="AK50" s="2121">
        <f>Risk_Compensation!J57*(Risk_Compensation!AM57+CQ$144)*12/1000000</f>
        <v>0</v>
      </c>
      <c r="AL50" s="2121">
        <f>Risk_Compensation!K57*(Risk_Compensation!AN57+CR$144)*12/1000000</f>
        <v>0</v>
      </c>
      <c r="AM50" s="2121">
        <f>Risk_Compensation!L57*(Risk_Compensation!AO57+CS$144)*12/1000000</f>
        <v>0</v>
      </c>
      <c r="AN50" s="2121">
        <f>Risk_Compensation!M57*(Risk_Compensation!AP57+CT$144)*12/1000000</f>
        <v>0</v>
      </c>
      <c r="AO50" s="2121">
        <f>Risk_Compensation!N57*(Risk_Compensation!AQ57+CU$144)*12/1000000</f>
        <v>0</v>
      </c>
      <c r="AP50" s="2121">
        <f>Risk_Compensation!O57*(Risk_Compensation!AR57+CV$144)*12/1000000</f>
        <v>0</v>
      </c>
      <c r="AQ50" s="2121">
        <f>Risk_Compensation!P57*(Risk_Compensation!AS57+CW$144)*12/1000000</f>
        <v>0</v>
      </c>
      <c r="AR50" s="2121">
        <f>Risk_Compensation!Q57*(Risk_Compensation!AT57+CX$144)*12/1000000</f>
        <v>0</v>
      </c>
      <c r="AS50" s="2121">
        <f>Risk_Compensation!R57*(Risk_Compensation!AU57+CY$144)*12/1000000</f>
        <v>0</v>
      </c>
      <c r="AT50" s="2121">
        <f>Risk_Compensation!S57*(Risk_Compensation!AV57+CZ$144)*12/1000000</f>
        <v>0</v>
      </c>
      <c r="AU50" s="2121">
        <f>Risk_Compensation!T57*(Risk_Compensation!AW57+DA$144)*12/1000000</f>
        <v>0</v>
      </c>
      <c r="AV50" s="2121">
        <f>Risk_Compensation!U57*(Risk_Compensation!AX57+DB$144)*12/1000000</f>
        <v>0</v>
      </c>
      <c r="AW50" s="2121">
        <f>Risk_Compensation!V57*(Risk_Compensation!AY57+DC$144)*12/1000000</f>
        <v>0</v>
      </c>
      <c r="AX50" s="2121">
        <f>Risk_Compensation!W57*(Risk_Compensation!AZ57+DD$144)*12/1000000</f>
        <v>0</v>
      </c>
      <c r="AY50" s="2121">
        <f>Risk_Compensation!X57*(Risk_Compensation!BA57+DE$144)*12/1000000</f>
        <v>0</v>
      </c>
      <c r="AZ50" s="2121">
        <f>Risk_Compensation!Y57*(Risk_Compensation!BB57+DF$144)*12/1000000</f>
        <v>0</v>
      </c>
      <c r="BA50" s="2121">
        <f>Risk_Compensation!Z57*(Risk_Compensation!BC57+DG$144)*12/1000000</f>
        <v>0</v>
      </c>
      <c r="BB50" s="2121">
        <f>Risk_Compensation!AA57*(Risk_Compensation!BD57+DH$144)*12/1000000</f>
        <v>0</v>
      </c>
      <c r="BC50" s="2121">
        <f>Risk_Compensation!AB57*(Risk_Compensation!BE57+DI$144)*12/1000000</f>
        <v>0</v>
      </c>
      <c r="BD50" s="2121">
        <f>Risk_Compensation!AC57*(Risk_Compensation!BF57+DJ$144)*12/1000000</f>
        <v>0</v>
      </c>
      <c r="BE50" s="2121">
        <f>Risk_Compensation!AD57*(Risk_Compensation!BG57+DK$144)*12/1000000</f>
        <v>0</v>
      </c>
      <c r="BF50" s="2121">
        <f>Risk_Compensation!AE57*(Risk_Compensation!BH57+DL$144)*12/1000000</f>
        <v>0</v>
      </c>
      <c r="BG50" s="2121">
        <f>Risk_Compensation!AF57*(Risk_Compensation!BI57+DM$144)*12/1000000</f>
        <v>0</v>
      </c>
      <c r="BH50" s="2125">
        <f>Risk_Compensation!AG57*(Risk_Compensation!BJ57+DN$144)*12/1000000</f>
        <v>0</v>
      </c>
      <c r="BI50" s="644"/>
      <c r="BJ50" s="1829">
        <v>40</v>
      </c>
      <c r="BK50" s="2138">
        <f>IF(G50&lt;=0,0,(Risk_Compensation!H57/G50-Risk_Compensation!H$79/G$72-0.5*CO$167*($CK50-CO$135/G$72))*G50)</f>
        <v>0</v>
      </c>
      <c r="BL50" s="2139">
        <f>IF(H50&lt;=0,0,(Risk_Compensation!I57/H50-Risk_Compensation!I$79/H$72-0.5*CP$167*($CK50-CP$135/H$72))*H50)</f>
        <v>0</v>
      </c>
      <c r="BM50" s="2139">
        <f>IF(I50&lt;=0,0,(Risk_Compensation!J57/I50-Risk_Compensation!J$79/I$72-0.5*CQ$167*($CK50-CQ$135/I$72))*I50)</f>
        <v>0</v>
      </c>
      <c r="BN50" s="2139">
        <f>IF(J50&lt;=0,0,(Risk_Compensation!K57/J50-Risk_Compensation!K$79/J$72-0.5*CR$167*($CK50-CR$135/J$72))*J50)</f>
        <v>0</v>
      </c>
      <c r="BO50" s="2139">
        <f>IF(K50&lt;=0,0,(Risk_Compensation!L57/K50-Risk_Compensation!L$79/K$72-0.5*CS$167*($CK50-CS$135/K$72))*K50)</f>
        <v>0</v>
      </c>
      <c r="BP50" s="2139">
        <f>IF(L50&lt;=0,0,(Risk_Compensation!M57/L50-Risk_Compensation!M$79/L$72-0.5*CT$167*($CK50-CT$135/L$72))*L50)</f>
        <v>0</v>
      </c>
      <c r="BQ50" s="2139">
        <f>IF(M50&lt;=0,0,(Risk_Compensation!N57/M50-Risk_Compensation!N$79/M$72-0.5*CU$167*($CK50-CU$135/M$72))*M50)</f>
        <v>0</v>
      </c>
      <c r="BR50" s="2139">
        <f>IF(N50&lt;=0,0,(Risk_Compensation!O57/N50-Risk_Compensation!O$79/N$72-0.5*CV$167*($CK50-CV$135/N$72))*N50)</f>
        <v>0</v>
      </c>
      <c r="BS50" s="2139">
        <f>IF(O50&lt;=0,0,(Risk_Compensation!P57/O50-Risk_Compensation!P$79/O$72-0.5*CW$167*($CK50-CW$135/O$72))*O50)</f>
        <v>0</v>
      </c>
      <c r="BT50" s="2139">
        <f>IF(P50&lt;=0,0,(Risk_Compensation!Q57/P50-Risk_Compensation!Q$79/P$72-0.5*CX$167*($CK50-CX$135/P$72))*P50)</f>
        <v>0</v>
      </c>
      <c r="BU50" s="2139">
        <f>IF(Q50&lt;=0,0,(Risk_Compensation!R57/Q50-Risk_Compensation!R$79/Q$72-0.5*CY$167*($CK50-CY$135/Q$72))*Q50)</f>
        <v>0</v>
      </c>
      <c r="BV50" s="2139">
        <f>IF(R50&lt;=0,0,(Risk_Compensation!S57/R50-Risk_Compensation!S$79/R$72-0.5*CZ$167*($CK50-CZ$135/R$72))*R50)</f>
        <v>0</v>
      </c>
      <c r="BW50" s="2139">
        <f>IF(S50&lt;=0,0,(Risk_Compensation!T57/S50-Risk_Compensation!T$79/S$72-0.5*DA$167*($CK50-DA$135/S$72))*S50)</f>
        <v>0</v>
      </c>
      <c r="BX50" s="2139">
        <f>IF(T50&lt;=0,0,(Risk_Compensation!U57/T50-Risk_Compensation!U$79/T$72-0.5*DB$167*($CK50-DB$135/T$72))*T50)</f>
        <v>0</v>
      </c>
      <c r="BY50" s="2139">
        <f>IF(U50&lt;=0,0,(Risk_Compensation!V57/U50-Risk_Compensation!V$79/U$72-0.5*DC$167*($CK50-DC$135/U$72))*U50)</f>
        <v>0</v>
      </c>
      <c r="BZ50" s="2139">
        <f>IF(V50&lt;=0,0,(Risk_Compensation!W57/V50-Risk_Compensation!W$79/V$72-0.5*DD$167*($CK50-DD$135/V$72))*V50)</f>
        <v>0</v>
      </c>
      <c r="CA50" s="2139">
        <f>IF(W50&lt;=0,0,(Risk_Compensation!X57/W50-Risk_Compensation!X$79/W$72-0.5*DE$167*($CK50-DE$135/W$72))*W50)</f>
        <v>0</v>
      </c>
      <c r="CB50" s="2139">
        <f>IF(X50&lt;=0,0,(Risk_Compensation!Y57/X50-Risk_Compensation!Y$79/X$72-0.5*DF$167*($CK50-DF$135/X$72))*X50)</f>
        <v>0</v>
      </c>
      <c r="CC50" s="2139">
        <f>IF(Y50&lt;=0,0,(Risk_Compensation!Z57/Y50-Risk_Compensation!Z$79/Y$72-0.5*DG$167*($CK50-DG$135/Y$72))*Y50)</f>
        <v>0</v>
      </c>
      <c r="CD50" s="2139">
        <f>IF(Z50&lt;=0,0,(Risk_Compensation!AA57/Z50-Risk_Compensation!AA$79/Z$72-0.5*DH$167*($CK50-DH$135/Z$72))*Z50)</f>
        <v>0</v>
      </c>
      <c r="CE50" s="2139">
        <f>IF(AA50&lt;=0,0,(Risk_Compensation!AB57/AA50-Risk_Compensation!AB$79/AA$72-0.5*DI$167*($CK50-DI$135/AA$72))*AA50)</f>
        <v>0</v>
      </c>
      <c r="CF50" s="2139">
        <f>IF(AB50&lt;=0,0,(Risk_Compensation!AC57/AB50-Risk_Compensation!AC$79/AB$72-0.5*DJ$167*($CK50-DJ$135/AB$72))*AB50)</f>
        <v>0</v>
      </c>
      <c r="CG50" s="2139">
        <f>IF(AC50&lt;=0,0,(Risk_Compensation!AD57/AC50-Risk_Compensation!AD$79/AC$72-0.5*DK$167*($CK50-DK$135/AC$72))*AC50)</f>
        <v>0</v>
      </c>
      <c r="CH50" s="2139">
        <f>IF(AD50&lt;=0,0,(Risk_Compensation!AE57/AD50-Risk_Compensation!AE$79/AD$72-0.5*DL$167*($CK50-DL$135/AD$72))*AD50)</f>
        <v>0</v>
      </c>
      <c r="CI50" s="2139">
        <f>IF(AE50&lt;=0,0,(Risk_Compensation!AF57/AE50-Risk_Compensation!AF$79/AE$72-0.5*DM$167*($CK50-DM$135/AE$72))*AE50)</f>
        <v>0</v>
      </c>
      <c r="CJ50" s="2140">
        <f>IF(AF50&lt;=0,0,(Risk_Compensation!AG57/AF50-Risk_Compensation!AG$79/AF$72-0.5*DN$167*($CK50-DN$135/AF$72))*AF50)</f>
        <v>0</v>
      </c>
      <c r="CK50" s="2166">
        <v>0</v>
      </c>
      <c r="CL50" s="644"/>
      <c r="CM50" s="1829">
        <v>40</v>
      </c>
      <c r="CN50" s="2149">
        <f t="shared" si="26"/>
        <v>0</v>
      </c>
      <c r="CO50" s="2150">
        <f t="shared" si="27"/>
        <v>0</v>
      </c>
      <c r="CP50" s="2150">
        <f t="shared" si="28"/>
        <v>0</v>
      </c>
      <c r="CQ50" s="2150">
        <f t="shared" si="29"/>
        <v>0</v>
      </c>
      <c r="CR50" s="2150">
        <f t="shared" si="30"/>
        <v>0</v>
      </c>
      <c r="CS50" s="2150">
        <f t="shared" si="31"/>
        <v>0</v>
      </c>
      <c r="CT50" s="2150">
        <f t="shared" si="32"/>
        <v>0</v>
      </c>
      <c r="CU50" s="2150">
        <f t="shared" si="33"/>
        <v>0</v>
      </c>
      <c r="CV50" s="2150">
        <f t="shared" si="34"/>
        <v>0</v>
      </c>
      <c r="CW50" s="2150">
        <f t="shared" si="35"/>
        <v>0</v>
      </c>
      <c r="CX50" s="2150">
        <f t="shared" si="36"/>
        <v>0</v>
      </c>
      <c r="CY50" s="2150">
        <f t="shared" si="37"/>
        <v>0</v>
      </c>
      <c r="CZ50" s="2150">
        <f t="shared" si="38"/>
        <v>0</v>
      </c>
      <c r="DA50" s="2150">
        <f t="shared" si="39"/>
        <v>0</v>
      </c>
      <c r="DB50" s="2150">
        <f t="shared" si="40"/>
        <v>0</v>
      </c>
      <c r="DC50" s="2150">
        <f t="shared" si="41"/>
        <v>0</v>
      </c>
      <c r="DD50" s="2150">
        <f t="shared" si="42"/>
        <v>0</v>
      </c>
      <c r="DE50" s="2150">
        <f t="shared" si="43"/>
        <v>0</v>
      </c>
      <c r="DF50" s="2150">
        <f t="shared" si="44"/>
        <v>0</v>
      </c>
      <c r="DG50" s="2150">
        <f t="shared" si="45"/>
        <v>0</v>
      </c>
      <c r="DH50" s="2150">
        <f t="shared" si="46"/>
        <v>0</v>
      </c>
      <c r="DI50" s="2150">
        <f t="shared" si="47"/>
        <v>0</v>
      </c>
      <c r="DJ50" s="2150">
        <f t="shared" si="48"/>
        <v>0</v>
      </c>
      <c r="DK50" s="2150">
        <f t="shared" si="49"/>
        <v>0</v>
      </c>
      <c r="DL50" s="2150">
        <f t="shared" si="50"/>
        <v>0</v>
      </c>
      <c r="DM50" s="2151">
        <f t="shared" si="51"/>
        <v>0</v>
      </c>
      <c r="DN50" s="644"/>
      <c r="DO50" s="1829">
        <v>40</v>
      </c>
      <c r="DP50" s="2211">
        <v>130.16092846985299</v>
      </c>
      <c r="DQ50" s="2212">
        <v>58.258448035256301</v>
      </c>
      <c r="DR50" s="2212">
        <v>100.318776689185</v>
      </c>
      <c r="DS50" s="2212">
        <v>120.18254214227601</v>
      </c>
      <c r="DT50" s="2212">
        <v>150.352694330871</v>
      </c>
      <c r="DU50" s="2212">
        <v>159.99030582573801</v>
      </c>
      <c r="DV50" s="2212">
        <v>136.22882314526601</v>
      </c>
      <c r="DW50" s="2212">
        <v>228.08758268240601</v>
      </c>
      <c r="DX50" s="2212">
        <v>96.575780699948496</v>
      </c>
      <c r="DY50" s="2212">
        <v>98.895898128222001</v>
      </c>
      <c r="DZ50" s="2212">
        <v>117.40151641826699</v>
      </c>
      <c r="EA50" s="2212">
        <v>108.71195084706901</v>
      </c>
      <c r="EB50" s="2212">
        <v>128.13908080168599</v>
      </c>
      <c r="EC50" s="2212">
        <v>97.613229996068597</v>
      </c>
      <c r="ED50" s="2212">
        <v>74.375154632709695</v>
      </c>
      <c r="EE50" s="2212">
        <v>117.149886517162</v>
      </c>
      <c r="EF50" s="2212">
        <v>132.10229287305199</v>
      </c>
      <c r="EG50" s="2212">
        <v>128.62983755288101</v>
      </c>
      <c r="EH50" s="2212">
        <v>105.799370386089</v>
      </c>
      <c r="EI50" s="2212">
        <v>119.698253484456</v>
      </c>
      <c r="EJ50" s="2212">
        <v>153.49754615652</v>
      </c>
      <c r="EK50" s="2212">
        <v>58.530691172365103</v>
      </c>
      <c r="EL50" s="2212">
        <v>170.97996987239699</v>
      </c>
      <c r="EM50" s="2212">
        <v>127.35641408629</v>
      </c>
      <c r="EN50" s="2212">
        <v>124.05483687152601</v>
      </c>
      <c r="EO50" s="2213">
        <v>149.026909107634</v>
      </c>
      <c r="ER50" s="1829">
        <v>40</v>
      </c>
      <c r="ES50" s="1830">
        <v>2.95029711542043</v>
      </c>
      <c r="ET50" s="644"/>
      <c r="EU50" s="2156">
        <v>40</v>
      </c>
      <c r="EV50" s="2090" t="s">
        <v>162</v>
      </c>
      <c r="EW50" s="2090" t="s">
        <v>1908</v>
      </c>
      <c r="EX50" s="2090" t="str">
        <f>Translation!B$580</f>
        <v>Nein</v>
      </c>
    </row>
    <row r="51" spans="2:154" ht="12.75" x14ac:dyDescent="0.2">
      <c r="B51" s="2090">
        <v>41</v>
      </c>
      <c r="C51" s="2090" t="s">
        <v>162</v>
      </c>
      <c r="D51" s="2090" t="s">
        <v>1909</v>
      </c>
      <c r="E51" s="2090" t="str">
        <f>Translation!B$579</f>
        <v>Ja</v>
      </c>
      <c r="F51" s="1622">
        <v>41</v>
      </c>
      <c r="G51" s="2211">
        <v>900.074166666667</v>
      </c>
      <c r="H51" s="2212">
        <v>18.5</v>
      </c>
      <c r="I51" s="2212">
        <v>81.1666666666667</v>
      </c>
      <c r="J51" s="2212">
        <v>1268.0558333333299</v>
      </c>
      <c r="K51" s="2212">
        <v>446.30666666666701</v>
      </c>
      <c r="L51" s="2212">
        <v>280.65249999999997</v>
      </c>
      <c r="M51" s="2212">
        <v>398.54500000000002</v>
      </c>
      <c r="N51" s="2212">
        <v>580.64583333333303</v>
      </c>
      <c r="O51" s="2212">
        <v>51.9583333333333</v>
      </c>
      <c r="P51" s="2212">
        <v>208.06</v>
      </c>
      <c r="Q51" s="2212">
        <v>109.333333333333</v>
      </c>
      <c r="R51" s="2212">
        <v>474.04416666666702</v>
      </c>
      <c r="S51" s="2212">
        <v>224.588333333333</v>
      </c>
      <c r="T51" s="2212">
        <v>37.325000000000003</v>
      </c>
      <c r="U51" s="2212">
        <v>44.347499999999997</v>
      </c>
      <c r="V51" s="2212">
        <v>664.29833333333295</v>
      </c>
      <c r="W51" s="2212">
        <v>126.333333333333</v>
      </c>
      <c r="X51" s="2212">
        <v>379.51749999999998</v>
      </c>
      <c r="Y51" s="2212">
        <v>160</v>
      </c>
      <c r="Z51" s="2212">
        <v>397.78250000000003</v>
      </c>
      <c r="AA51" s="2212">
        <v>477.315</v>
      </c>
      <c r="AB51" s="2212">
        <v>34.5833333333333</v>
      </c>
      <c r="AC51" s="2212">
        <v>872.67583333333403</v>
      </c>
      <c r="AD51" s="2212">
        <v>346.73083333333301</v>
      </c>
      <c r="AE51" s="2212">
        <v>162.166666666667</v>
      </c>
      <c r="AF51" s="2213">
        <v>1937.3375000000001</v>
      </c>
      <c r="AH51" s="1829">
        <v>41</v>
      </c>
      <c r="AI51" s="2124">
        <f>Risk_Compensation!H58*(Risk_Compensation!AK58+CO$144)*12/1000000</f>
        <v>0</v>
      </c>
      <c r="AJ51" s="2121">
        <f>Risk_Compensation!I58*(Risk_Compensation!AL58+CP$144)*12/1000000</f>
        <v>0</v>
      </c>
      <c r="AK51" s="2121">
        <f>Risk_Compensation!J58*(Risk_Compensation!AM58+CQ$144)*12/1000000</f>
        <v>0</v>
      </c>
      <c r="AL51" s="2121">
        <f>Risk_Compensation!K58*(Risk_Compensation!AN58+CR$144)*12/1000000</f>
        <v>0</v>
      </c>
      <c r="AM51" s="2121">
        <f>Risk_Compensation!L58*(Risk_Compensation!AO58+CS$144)*12/1000000</f>
        <v>0</v>
      </c>
      <c r="AN51" s="2121">
        <f>Risk_Compensation!M58*(Risk_Compensation!AP58+CT$144)*12/1000000</f>
        <v>0</v>
      </c>
      <c r="AO51" s="2121">
        <f>Risk_Compensation!N58*(Risk_Compensation!AQ58+CU$144)*12/1000000</f>
        <v>0</v>
      </c>
      <c r="AP51" s="2121">
        <f>Risk_Compensation!O58*(Risk_Compensation!AR58+CV$144)*12/1000000</f>
        <v>0</v>
      </c>
      <c r="AQ51" s="2121">
        <f>Risk_Compensation!P58*(Risk_Compensation!AS58+CW$144)*12/1000000</f>
        <v>0</v>
      </c>
      <c r="AR51" s="2121">
        <f>Risk_Compensation!Q58*(Risk_Compensation!AT58+CX$144)*12/1000000</f>
        <v>0</v>
      </c>
      <c r="AS51" s="2121">
        <f>Risk_Compensation!R58*(Risk_Compensation!AU58+CY$144)*12/1000000</f>
        <v>0</v>
      </c>
      <c r="AT51" s="2121">
        <f>Risk_Compensation!S58*(Risk_Compensation!AV58+CZ$144)*12/1000000</f>
        <v>0</v>
      </c>
      <c r="AU51" s="2121">
        <f>Risk_Compensation!T58*(Risk_Compensation!AW58+DA$144)*12/1000000</f>
        <v>0</v>
      </c>
      <c r="AV51" s="2121">
        <f>Risk_Compensation!U58*(Risk_Compensation!AX58+DB$144)*12/1000000</f>
        <v>0</v>
      </c>
      <c r="AW51" s="2121">
        <f>Risk_Compensation!V58*(Risk_Compensation!AY58+DC$144)*12/1000000</f>
        <v>0</v>
      </c>
      <c r="AX51" s="2121">
        <f>Risk_Compensation!W58*(Risk_Compensation!AZ58+DD$144)*12/1000000</f>
        <v>0</v>
      </c>
      <c r="AY51" s="2121">
        <f>Risk_Compensation!X58*(Risk_Compensation!BA58+DE$144)*12/1000000</f>
        <v>0</v>
      </c>
      <c r="AZ51" s="2121">
        <f>Risk_Compensation!Y58*(Risk_Compensation!BB58+DF$144)*12/1000000</f>
        <v>0</v>
      </c>
      <c r="BA51" s="2121">
        <f>Risk_Compensation!Z58*(Risk_Compensation!BC58+DG$144)*12/1000000</f>
        <v>0</v>
      </c>
      <c r="BB51" s="2121">
        <f>Risk_Compensation!AA58*(Risk_Compensation!BD58+DH$144)*12/1000000</f>
        <v>0</v>
      </c>
      <c r="BC51" s="2121">
        <f>Risk_Compensation!AB58*(Risk_Compensation!BE58+DI$144)*12/1000000</f>
        <v>0</v>
      </c>
      <c r="BD51" s="2121">
        <f>Risk_Compensation!AC58*(Risk_Compensation!BF58+DJ$144)*12/1000000</f>
        <v>0</v>
      </c>
      <c r="BE51" s="2121">
        <f>Risk_Compensation!AD58*(Risk_Compensation!BG58+DK$144)*12/1000000</f>
        <v>0</v>
      </c>
      <c r="BF51" s="2121">
        <f>Risk_Compensation!AE58*(Risk_Compensation!BH58+DL$144)*12/1000000</f>
        <v>0</v>
      </c>
      <c r="BG51" s="2121">
        <f>Risk_Compensation!AF58*(Risk_Compensation!BI58+DM$144)*12/1000000</f>
        <v>0</v>
      </c>
      <c r="BH51" s="2125">
        <f>Risk_Compensation!AG58*(Risk_Compensation!BJ58+DN$144)*12/1000000</f>
        <v>0</v>
      </c>
      <c r="BI51" s="644"/>
      <c r="BJ51" s="1829">
        <v>41</v>
      </c>
      <c r="BK51" s="2138">
        <f>IF(G51&lt;=0,0,(Risk_Compensation!H58/G51-Risk_Compensation!H$79/G$72-0.5*CO$167*($CK51-CO$135/G$72))*G51)</f>
        <v>0</v>
      </c>
      <c r="BL51" s="2139">
        <f>IF(H51&lt;=0,0,(Risk_Compensation!I58/H51-Risk_Compensation!I$79/H$72-0.5*CP$167*($CK51-CP$135/H$72))*H51)</f>
        <v>0</v>
      </c>
      <c r="BM51" s="2139">
        <f>IF(I51&lt;=0,0,(Risk_Compensation!J58/I51-Risk_Compensation!J$79/I$72-0.5*CQ$167*($CK51-CQ$135/I$72))*I51)</f>
        <v>0</v>
      </c>
      <c r="BN51" s="2139">
        <f>IF(J51&lt;=0,0,(Risk_Compensation!K58/J51-Risk_Compensation!K$79/J$72-0.5*CR$167*($CK51-CR$135/J$72))*J51)</f>
        <v>0</v>
      </c>
      <c r="BO51" s="2139">
        <f>IF(K51&lt;=0,0,(Risk_Compensation!L58/K51-Risk_Compensation!L$79/K$72-0.5*CS$167*($CK51-CS$135/K$72))*K51)</f>
        <v>0</v>
      </c>
      <c r="BP51" s="2139">
        <f>IF(L51&lt;=0,0,(Risk_Compensation!M58/L51-Risk_Compensation!M$79/L$72-0.5*CT$167*($CK51-CT$135/L$72))*L51)</f>
        <v>0</v>
      </c>
      <c r="BQ51" s="2139">
        <f>IF(M51&lt;=0,0,(Risk_Compensation!N58/M51-Risk_Compensation!N$79/M$72-0.5*CU$167*($CK51-CU$135/M$72))*M51)</f>
        <v>0</v>
      </c>
      <c r="BR51" s="2139">
        <f>IF(N51&lt;=0,0,(Risk_Compensation!O58/N51-Risk_Compensation!O$79/N$72-0.5*CV$167*($CK51-CV$135/N$72))*N51)</f>
        <v>0</v>
      </c>
      <c r="BS51" s="2139">
        <f>IF(O51&lt;=0,0,(Risk_Compensation!P58/O51-Risk_Compensation!P$79/O$72-0.5*CW$167*($CK51-CW$135/O$72))*O51)</f>
        <v>0</v>
      </c>
      <c r="BT51" s="2139">
        <f>IF(P51&lt;=0,0,(Risk_Compensation!Q58/P51-Risk_Compensation!Q$79/P$72-0.5*CX$167*($CK51-CX$135/P$72))*P51)</f>
        <v>0</v>
      </c>
      <c r="BU51" s="2139">
        <f>IF(Q51&lt;=0,0,(Risk_Compensation!R58/Q51-Risk_Compensation!R$79/Q$72-0.5*CY$167*($CK51-CY$135/Q$72))*Q51)</f>
        <v>0</v>
      </c>
      <c r="BV51" s="2139">
        <f>IF(R51&lt;=0,0,(Risk_Compensation!S58/R51-Risk_Compensation!S$79/R$72-0.5*CZ$167*($CK51-CZ$135/R$72))*R51)</f>
        <v>0</v>
      </c>
      <c r="BW51" s="2139">
        <f>IF(S51&lt;=0,0,(Risk_Compensation!T58/S51-Risk_Compensation!T$79/S$72-0.5*DA$167*($CK51-DA$135/S$72))*S51)</f>
        <v>0</v>
      </c>
      <c r="BX51" s="2139">
        <f>IF(T51&lt;=0,0,(Risk_Compensation!U58/T51-Risk_Compensation!U$79/T$72-0.5*DB$167*($CK51-DB$135/T$72))*T51)</f>
        <v>0</v>
      </c>
      <c r="BY51" s="2139">
        <f>IF(U51&lt;=0,0,(Risk_Compensation!V58/U51-Risk_Compensation!V$79/U$72-0.5*DC$167*($CK51-DC$135/U$72))*U51)</f>
        <v>0</v>
      </c>
      <c r="BZ51" s="2139">
        <f>IF(V51&lt;=0,0,(Risk_Compensation!W58/V51-Risk_Compensation!W$79/V$72-0.5*DD$167*($CK51-DD$135/V$72))*V51)</f>
        <v>0</v>
      </c>
      <c r="CA51" s="2139">
        <f>IF(W51&lt;=0,0,(Risk_Compensation!X58/W51-Risk_Compensation!X$79/W$72-0.5*DE$167*($CK51-DE$135/W$72))*W51)</f>
        <v>0</v>
      </c>
      <c r="CB51" s="2139">
        <f>IF(X51&lt;=0,0,(Risk_Compensation!Y58/X51-Risk_Compensation!Y$79/X$72-0.5*DF$167*($CK51-DF$135/X$72))*X51)</f>
        <v>0</v>
      </c>
      <c r="CC51" s="2139">
        <f>IF(Y51&lt;=0,0,(Risk_Compensation!Z58/Y51-Risk_Compensation!Z$79/Y$72-0.5*DG$167*($CK51-DG$135/Y$72))*Y51)</f>
        <v>0</v>
      </c>
      <c r="CD51" s="2139">
        <f>IF(Z51&lt;=0,0,(Risk_Compensation!AA58/Z51-Risk_Compensation!AA$79/Z$72-0.5*DH$167*($CK51-DH$135/Z$72))*Z51)</f>
        <v>0</v>
      </c>
      <c r="CE51" s="2139">
        <f>IF(AA51&lt;=0,0,(Risk_Compensation!AB58/AA51-Risk_Compensation!AB$79/AA$72-0.5*DI$167*($CK51-DI$135/AA$72))*AA51)</f>
        <v>0</v>
      </c>
      <c r="CF51" s="2139">
        <f>IF(AB51&lt;=0,0,(Risk_Compensation!AC58/AB51-Risk_Compensation!AC$79/AB$72-0.5*DJ$167*($CK51-DJ$135/AB$72))*AB51)</f>
        <v>0</v>
      </c>
      <c r="CG51" s="2139">
        <f>IF(AC51&lt;=0,0,(Risk_Compensation!AD58/AC51-Risk_Compensation!AD$79/AC$72-0.5*DK$167*($CK51-DK$135/AC$72))*AC51)</f>
        <v>0</v>
      </c>
      <c r="CH51" s="2139">
        <f>IF(AD51&lt;=0,0,(Risk_Compensation!AE58/AD51-Risk_Compensation!AE$79/AD$72-0.5*DL$167*($CK51-DL$135/AD$72))*AD51)</f>
        <v>0</v>
      </c>
      <c r="CI51" s="2139">
        <f>IF(AE51&lt;=0,0,(Risk_Compensation!AF58/AE51-Risk_Compensation!AF$79/AE$72-0.5*DM$167*($CK51-DM$135/AE$72))*AE51)</f>
        <v>0</v>
      </c>
      <c r="CJ51" s="2140">
        <f>IF(AF51&lt;=0,0,(Risk_Compensation!AG58/AF51-Risk_Compensation!AG$79/AF$72-0.5*DN$167*($CK51-DN$135/AF$72))*AF51)</f>
        <v>0</v>
      </c>
      <c r="CK51" s="2166">
        <v>0</v>
      </c>
      <c r="CL51" s="644"/>
      <c r="CM51" s="1829">
        <v>41</v>
      </c>
      <c r="CN51" s="2149">
        <f t="shared" si="26"/>
        <v>0</v>
      </c>
      <c r="CO51" s="2150">
        <f t="shared" si="27"/>
        <v>0</v>
      </c>
      <c r="CP51" s="2150">
        <f t="shared" si="28"/>
        <v>0</v>
      </c>
      <c r="CQ51" s="2150">
        <f t="shared" si="29"/>
        <v>0</v>
      </c>
      <c r="CR51" s="2150">
        <f t="shared" si="30"/>
        <v>0</v>
      </c>
      <c r="CS51" s="2150">
        <f t="shared" si="31"/>
        <v>0</v>
      </c>
      <c r="CT51" s="2150">
        <f t="shared" si="32"/>
        <v>0</v>
      </c>
      <c r="CU51" s="2150">
        <f t="shared" si="33"/>
        <v>0</v>
      </c>
      <c r="CV51" s="2150">
        <f t="shared" si="34"/>
        <v>0</v>
      </c>
      <c r="CW51" s="2150">
        <f t="shared" si="35"/>
        <v>0</v>
      </c>
      <c r="CX51" s="2150">
        <f t="shared" si="36"/>
        <v>0</v>
      </c>
      <c r="CY51" s="2150">
        <f t="shared" si="37"/>
        <v>0</v>
      </c>
      <c r="CZ51" s="2150">
        <f t="shared" si="38"/>
        <v>0</v>
      </c>
      <c r="DA51" s="2150">
        <f t="shared" si="39"/>
        <v>0</v>
      </c>
      <c r="DB51" s="2150">
        <f t="shared" si="40"/>
        <v>0</v>
      </c>
      <c r="DC51" s="2150">
        <f t="shared" si="41"/>
        <v>0</v>
      </c>
      <c r="DD51" s="2150">
        <f t="shared" si="42"/>
        <v>0</v>
      </c>
      <c r="DE51" s="2150">
        <f t="shared" si="43"/>
        <v>0</v>
      </c>
      <c r="DF51" s="2150">
        <f t="shared" si="44"/>
        <v>0</v>
      </c>
      <c r="DG51" s="2150">
        <f t="shared" si="45"/>
        <v>0</v>
      </c>
      <c r="DH51" s="2150">
        <f t="shared" si="46"/>
        <v>0</v>
      </c>
      <c r="DI51" s="2150">
        <f t="shared" si="47"/>
        <v>0</v>
      </c>
      <c r="DJ51" s="2150">
        <f t="shared" si="48"/>
        <v>0</v>
      </c>
      <c r="DK51" s="2150">
        <f t="shared" si="49"/>
        <v>0</v>
      </c>
      <c r="DL51" s="2150">
        <f t="shared" si="50"/>
        <v>0</v>
      </c>
      <c r="DM51" s="2151">
        <f t="shared" si="51"/>
        <v>0</v>
      </c>
      <c r="DN51" s="644"/>
      <c r="DO51" s="1829">
        <v>41</v>
      </c>
      <c r="DP51" s="2211">
        <v>698.53262879126896</v>
      </c>
      <c r="DQ51" s="2212">
        <v>556.84576835341898</v>
      </c>
      <c r="DR51" s="2212">
        <v>955.64055069989502</v>
      </c>
      <c r="DS51" s="2212">
        <v>797.13635823859795</v>
      </c>
      <c r="DT51" s="2212">
        <v>575.95405853114005</v>
      </c>
      <c r="DU51" s="2212">
        <v>953.64126584140695</v>
      </c>
      <c r="DV51" s="2212">
        <v>602.495115657018</v>
      </c>
      <c r="DW51" s="2212">
        <v>1194.30129709979</v>
      </c>
      <c r="DX51" s="2212">
        <v>512.77040225491896</v>
      </c>
      <c r="DY51" s="2212">
        <v>531.061766696787</v>
      </c>
      <c r="DZ51" s="2212">
        <v>900.70826125208305</v>
      </c>
      <c r="EA51" s="2212">
        <v>742.70223523422499</v>
      </c>
      <c r="EB51" s="2212">
        <v>803.96705249579304</v>
      </c>
      <c r="EC51" s="2212">
        <v>371.19979182842201</v>
      </c>
      <c r="ED51" s="2212">
        <v>517.46320449214204</v>
      </c>
      <c r="EE51" s="2212">
        <v>735.88436787092405</v>
      </c>
      <c r="EF51" s="2212">
        <v>543.41523069651601</v>
      </c>
      <c r="EG51" s="2212">
        <v>676.91148249215996</v>
      </c>
      <c r="EH51" s="2212">
        <v>628.77277184604702</v>
      </c>
      <c r="EI51" s="2212">
        <v>675.58580028809797</v>
      </c>
      <c r="EJ51" s="2212">
        <v>683.79232203709898</v>
      </c>
      <c r="EK51" s="2212">
        <v>344.96363213112801</v>
      </c>
      <c r="EL51" s="2212">
        <v>987.91976056291605</v>
      </c>
      <c r="EM51" s="2212">
        <v>707.25579886410003</v>
      </c>
      <c r="EN51" s="2212">
        <v>455.113146886697</v>
      </c>
      <c r="EO51" s="2213">
        <v>881.11024360611896</v>
      </c>
      <c r="ER51" s="1829">
        <v>41</v>
      </c>
      <c r="ES51" s="1830">
        <v>1.7876643475748399</v>
      </c>
      <c r="ET51" s="644"/>
      <c r="EU51" s="2156">
        <v>41</v>
      </c>
      <c r="EV51" s="2090" t="s">
        <v>162</v>
      </c>
      <c r="EW51" s="2090" t="s">
        <v>1909</v>
      </c>
      <c r="EX51" s="2090" t="str">
        <f>Translation!B$579</f>
        <v>Ja</v>
      </c>
    </row>
    <row r="52" spans="2:154" ht="12.75" x14ac:dyDescent="0.2">
      <c r="B52" s="2090">
        <v>42</v>
      </c>
      <c r="C52" s="2090" t="s">
        <v>162</v>
      </c>
      <c r="D52" s="2090" t="s">
        <v>1909</v>
      </c>
      <c r="E52" s="2090" t="str">
        <f>Translation!B$580</f>
        <v>Nein</v>
      </c>
      <c r="F52" s="1622">
        <v>42</v>
      </c>
      <c r="G52" s="2211">
        <v>22530.3966666667</v>
      </c>
      <c r="H52" s="2212">
        <v>466.07916666666699</v>
      </c>
      <c r="I52" s="2212">
        <v>1616.54416666667</v>
      </c>
      <c r="J52" s="2212">
        <v>32325.053333333301</v>
      </c>
      <c r="K52" s="2212">
        <v>9363.9941666666691</v>
      </c>
      <c r="L52" s="2212">
        <v>6160.5474999999997</v>
      </c>
      <c r="M52" s="2212">
        <v>10981.647499999999</v>
      </c>
      <c r="N52" s="2212">
        <v>17220.320833333299</v>
      </c>
      <c r="O52" s="2212">
        <v>1221.0733333333301</v>
      </c>
      <c r="P52" s="2212">
        <v>6396.4125000000004</v>
      </c>
      <c r="Q52" s="2212">
        <v>2254.3958333333298</v>
      </c>
      <c r="R52" s="2212">
        <v>13134.1675</v>
      </c>
      <c r="S52" s="2212">
        <v>5985.5416666666697</v>
      </c>
      <c r="T52" s="2212">
        <v>1343.1558333333301</v>
      </c>
      <c r="U52" s="2212">
        <v>1172.1775</v>
      </c>
      <c r="V52" s="2212">
        <v>15670.995000000001</v>
      </c>
      <c r="W52" s="2212">
        <v>2474.1091666666698</v>
      </c>
      <c r="X52" s="2212">
        <v>8325.8133333333299</v>
      </c>
      <c r="Y52" s="2212">
        <v>5367.2008333333297</v>
      </c>
      <c r="Z52" s="2212">
        <v>8597.1791666666704</v>
      </c>
      <c r="AA52" s="2212">
        <v>12535.4433333333</v>
      </c>
      <c r="AB52" s="2212">
        <v>1141.27833333333</v>
      </c>
      <c r="AC52" s="2212">
        <v>28886.6033333333</v>
      </c>
      <c r="AD52" s="2212">
        <v>11273.6791666667</v>
      </c>
      <c r="AE52" s="2212">
        <v>4605.9333333333298</v>
      </c>
      <c r="AF52" s="2213">
        <v>52953.61</v>
      </c>
      <c r="AH52" s="1829">
        <v>42</v>
      </c>
      <c r="AI52" s="2124">
        <f>Risk_Compensation!H59*(Risk_Compensation!AK59+CO$144)*12/1000000</f>
        <v>0</v>
      </c>
      <c r="AJ52" s="2121">
        <f>Risk_Compensation!I59*(Risk_Compensation!AL59+CP$144)*12/1000000</f>
        <v>0</v>
      </c>
      <c r="AK52" s="2121">
        <f>Risk_Compensation!J59*(Risk_Compensation!AM59+CQ$144)*12/1000000</f>
        <v>0</v>
      </c>
      <c r="AL52" s="2121">
        <f>Risk_Compensation!K59*(Risk_Compensation!AN59+CR$144)*12/1000000</f>
        <v>0</v>
      </c>
      <c r="AM52" s="2121">
        <f>Risk_Compensation!L59*(Risk_Compensation!AO59+CS$144)*12/1000000</f>
        <v>0</v>
      </c>
      <c r="AN52" s="2121">
        <f>Risk_Compensation!M59*(Risk_Compensation!AP59+CT$144)*12/1000000</f>
        <v>0</v>
      </c>
      <c r="AO52" s="2121">
        <f>Risk_Compensation!N59*(Risk_Compensation!AQ59+CU$144)*12/1000000</f>
        <v>0</v>
      </c>
      <c r="AP52" s="2121">
        <f>Risk_Compensation!O59*(Risk_Compensation!AR59+CV$144)*12/1000000</f>
        <v>0</v>
      </c>
      <c r="AQ52" s="2121">
        <f>Risk_Compensation!P59*(Risk_Compensation!AS59+CW$144)*12/1000000</f>
        <v>0</v>
      </c>
      <c r="AR52" s="2121">
        <f>Risk_Compensation!Q59*(Risk_Compensation!AT59+CX$144)*12/1000000</f>
        <v>0</v>
      </c>
      <c r="AS52" s="2121">
        <f>Risk_Compensation!R59*(Risk_Compensation!AU59+CY$144)*12/1000000</f>
        <v>0</v>
      </c>
      <c r="AT52" s="2121">
        <f>Risk_Compensation!S59*(Risk_Compensation!AV59+CZ$144)*12/1000000</f>
        <v>0</v>
      </c>
      <c r="AU52" s="2121">
        <f>Risk_Compensation!T59*(Risk_Compensation!AW59+DA$144)*12/1000000</f>
        <v>0</v>
      </c>
      <c r="AV52" s="2121">
        <f>Risk_Compensation!U59*(Risk_Compensation!AX59+DB$144)*12/1000000</f>
        <v>0</v>
      </c>
      <c r="AW52" s="2121">
        <f>Risk_Compensation!V59*(Risk_Compensation!AY59+DC$144)*12/1000000</f>
        <v>0</v>
      </c>
      <c r="AX52" s="2121">
        <f>Risk_Compensation!W59*(Risk_Compensation!AZ59+DD$144)*12/1000000</f>
        <v>0</v>
      </c>
      <c r="AY52" s="2121">
        <f>Risk_Compensation!X59*(Risk_Compensation!BA59+DE$144)*12/1000000</f>
        <v>0</v>
      </c>
      <c r="AZ52" s="2121">
        <f>Risk_Compensation!Y59*(Risk_Compensation!BB59+DF$144)*12/1000000</f>
        <v>0</v>
      </c>
      <c r="BA52" s="2121">
        <f>Risk_Compensation!Z59*(Risk_Compensation!BC59+DG$144)*12/1000000</f>
        <v>0</v>
      </c>
      <c r="BB52" s="2121">
        <f>Risk_Compensation!AA59*(Risk_Compensation!BD59+DH$144)*12/1000000</f>
        <v>0</v>
      </c>
      <c r="BC52" s="2121">
        <f>Risk_Compensation!AB59*(Risk_Compensation!BE59+DI$144)*12/1000000</f>
        <v>0</v>
      </c>
      <c r="BD52" s="2121">
        <f>Risk_Compensation!AC59*(Risk_Compensation!BF59+DJ$144)*12/1000000</f>
        <v>0</v>
      </c>
      <c r="BE52" s="2121">
        <f>Risk_Compensation!AD59*(Risk_Compensation!BG59+DK$144)*12/1000000</f>
        <v>0</v>
      </c>
      <c r="BF52" s="2121">
        <f>Risk_Compensation!AE59*(Risk_Compensation!BH59+DL$144)*12/1000000</f>
        <v>0</v>
      </c>
      <c r="BG52" s="2121">
        <f>Risk_Compensation!AF59*(Risk_Compensation!BI59+DM$144)*12/1000000</f>
        <v>0</v>
      </c>
      <c r="BH52" s="2125">
        <f>Risk_Compensation!AG59*(Risk_Compensation!BJ59+DN$144)*12/1000000</f>
        <v>0</v>
      </c>
      <c r="BI52" s="644"/>
      <c r="BJ52" s="1829">
        <v>42</v>
      </c>
      <c r="BK52" s="2138">
        <f>IF(G52&lt;=0,0,(Risk_Compensation!H59/G52-Risk_Compensation!H$79/G$72-0.5*CO$167*($CK52-CO$135/G$72))*G52)</f>
        <v>0</v>
      </c>
      <c r="BL52" s="2139">
        <f>IF(H52&lt;=0,0,(Risk_Compensation!I59/H52-Risk_Compensation!I$79/H$72-0.5*CP$167*($CK52-CP$135/H$72))*H52)</f>
        <v>0</v>
      </c>
      <c r="BM52" s="2139">
        <f>IF(I52&lt;=0,0,(Risk_Compensation!J59/I52-Risk_Compensation!J$79/I$72-0.5*CQ$167*($CK52-CQ$135/I$72))*I52)</f>
        <v>0</v>
      </c>
      <c r="BN52" s="2139">
        <f>IF(J52&lt;=0,0,(Risk_Compensation!K59/J52-Risk_Compensation!K$79/J$72-0.5*CR$167*($CK52-CR$135/J$72))*J52)</f>
        <v>0</v>
      </c>
      <c r="BO52" s="2139">
        <f>IF(K52&lt;=0,0,(Risk_Compensation!L59/K52-Risk_Compensation!L$79/K$72-0.5*CS$167*($CK52-CS$135/K$72))*K52)</f>
        <v>0</v>
      </c>
      <c r="BP52" s="2139">
        <f>IF(L52&lt;=0,0,(Risk_Compensation!M59/L52-Risk_Compensation!M$79/L$72-0.5*CT$167*($CK52-CT$135/L$72))*L52)</f>
        <v>0</v>
      </c>
      <c r="BQ52" s="2139">
        <f>IF(M52&lt;=0,0,(Risk_Compensation!N59/M52-Risk_Compensation!N$79/M$72-0.5*CU$167*($CK52-CU$135/M$72))*M52)</f>
        <v>0</v>
      </c>
      <c r="BR52" s="2139">
        <f>IF(N52&lt;=0,0,(Risk_Compensation!O59/N52-Risk_Compensation!O$79/N$72-0.5*CV$167*($CK52-CV$135/N$72))*N52)</f>
        <v>0</v>
      </c>
      <c r="BS52" s="2139">
        <f>IF(O52&lt;=0,0,(Risk_Compensation!P59/O52-Risk_Compensation!P$79/O$72-0.5*CW$167*($CK52-CW$135/O$72))*O52)</f>
        <v>0</v>
      </c>
      <c r="BT52" s="2139">
        <f>IF(P52&lt;=0,0,(Risk_Compensation!Q59/P52-Risk_Compensation!Q$79/P$72-0.5*CX$167*($CK52-CX$135/P$72))*P52)</f>
        <v>0</v>
      </c>
      <c r="BU52" s="2139">
        <f>IF(Q52&lt;=0,0,(Risk_Compensation!R59/Q52-Risk_Compensation!R$79/Q$72-0.5*CY$167*($CK52-CY$135/Q$72))*Q52)</f>
        <v>0</v>
      </c>
      <c r="BV52" s="2139">
        <f>IF(R52&lt;=0,0,(Risk_Compensation!S59/R52-Risk_Compensation!S$79/R$72-0.5*CZ$167*($CK52-CZ$135/R$72))*R52)</f>
        <v>0</v>
      </c>
      <c r="BW52" s="2139">
        <f>IF(S52&lt;=0,0,(Risk_Compensation!T59/S52-Risk_Compensation!T$79/S$72-0.5*DA$167*($CK52-DA$135/S$72))*S52)</f>
        <v>0</v>
      </c>
      <c r="BX52" s="2139">
        <f>IF(T52&lt;=0,0,(Risk_Compensation!U59/T52-Risk_Compensation!U$79/T$72-0.5*DB$167*($CK52-DB$135/T$72))*T52)</f>
        <v>0</v>
      </c>
      <c r="BY52" s="2139">
        <f>IF(U52&lt;=0,0,(Risk_Compensation!V59/U52-Risk_Compensation!V$79/U$72-0.5*DC$167*($CK52-DC$135/U$72))*U52)</f>
        <v>0</v>
      </c>
      <c r="BZ52" s="2139">
        <f>IF(V52&lt;=0,0,(Risk_Compensation!W59/V52-Risk_Compensation!W$79/V$72-0.5*DD$167*($CK52-DD$135/V$72))*V52)</f>
        <v>0</v>
      </c>
      <c r="CA52" s="2139">
        <f>IF(W52&lt;=0,0,(Risk_Compensation!X59/W52-Risk_Compensation!X$79/W$72-0.5*DE$167*($CK52-DE$135/W$72))*W52)</f>
        <v>0</v>
      </c>
      <c r="CB52" s="2139">
        <f>IF(X52&lt;=0,0,(Risk_Compensation!Y59/X52-Risk_Compensation!Y$79/X$72-0.5*DF$167*($CK52-DF$135/X$72))*X52)</f>
        <v>0</v>
      </c>
      <c r="CC52" s="2139">
        <f>IF(Y52&lt;=0,0,(Risk_Compensation!Z59/Y52-Risk_Compensation!Z$79/Y$72-0.5*DG$167*($CK52-DG$135/Y$72))*Y52)</f>
        <v>0</v>
      </c>
      <c r="CD52" s="2139">
        <f>IF(Z52&lt;=0,0,(Risk_Compensation!AA59/Z52-Risk_Compensation!AA$79/Z$72-0.5*DH$167*($CK52-DH$135/Z$72))*Z52)</f>
        <v>0</v>
      </c>
      <c r="CE52" s="2139">
        <f>IF(AA52&lt;=0,0,(Risk_Compensation!AB59/AA52-Risk_Compensation!AB$79/AA$72-0.5*DI$167*($CK52-DI$135/AA$72))*AA52)</f>
        <v>0</v>
      </c>
      <c r="CF52" s="2139">
        <f>IF(AB52&lt;=0,0,(Risk_Compensation!AC59/AB52-Risk_Compensation!AC$79/AB$72-0.5*DJ$167*($CK52-DJ$135/AB$72))*AB52)</f>
        <v>0</v>
      </c>
      <c r="CG52" s="2139">
        <f>IF(AC52&lt;=0,0,(Risk_Compensation!AD59/AC52-Risk_Compensation!AD$79/AC$72-0.5*DK$167*($CK52-DK$135/AC$72))*AC52)</f>
        <v>0</v>
      </c>
      <c r="CH52" s="2139">
        <f>IF(AD52&lt;=0,0,(Risk_Compensation!AE59/AD52-Risk_Compensation!AE$79/AD$72-0.5*DL$167*($CK52-DL$135/AD$72))*AD52)</f>
        <v>0</v>
      </c>
      <c r="CI52" s="2139">
        <f>IF(AE52&lt;=0,0,(Risk_Compensation!AF59/AE52-Risk_Compensation!AF$79/AE$72-0.5*DM$167*($CK52-DM$135/AE$72))*AE52)</f>
        <v>0</v>
      </c>
      <c r="CJ52" s="2140">
        <f>IF(AF52&lt;=0,0,(Risk_Compensation!AG59/AF52-Risk_Compensation!AG$79/AF$72-0.5*DN$167*($CK52-DN$135/AF$72))*AF52)</f>
        <v>0</v>
      </c>
      <c r="CK52" s="2166">
        <v>0</v>
      </c>
      <c r="CL52" s="644"/>
      <c r="CM52" s="1829">
        <v>42</v>
      </c>
      <c r="CN52" s="2149">
        <f t="shared" si="26"/>
        <v>0</v>
      </c>
      <c r="CO52" s="2150">
        <f t="shared" si="27"/>
        <v>0</v>
      </c>
      <c r="CP52" s="2150">
        <f t="shared" si="28"/>
        <v>0</v>
      </c>
      <c r="CQ52" s="2150">
        <f t="shared" si="29"/>
        <v>0</v>
      </c>
      <c r="CR52" s="2150">
        <f t="shared" si="30"/>
        <v>0</v>
      </c>
      <c r="CS52" s="2150">
        <f t="shared" si="31"/>
        <v>0</v>
      </c>
      <c r="CT52" s="2150">
        <f t="shared" si="32"/>
        <v>0</v>
      </c>
      <c r="CU52" s="2150">
        <f t="shared" si="33"/>
        <v>0</v>
      </c>
      <c r="CV52" s="2150">
        <f t="shared" si="34"/>
        <v>0</v>
      </c>
      <c r="CW52" s="2150">
        <f t="shared" si="35"/>
        <v>0</v>
      </c>
      <c r="CX52" s="2150">
        <f t="shared" si="36"/>
        <v>0</v>
      </c>
      <c r="CY52" s="2150">
        <f t="shared" si="37"/>
        <v>0</v>
      </c>
      <c r="CZ52" s="2150">
        <f t="shared" si="38"/>
        <v>0</v>
      </c>
      <c r="DA52" s="2150">
        <f t="shared" si="39"/>
        <v>0</v>
      </c>
      <c r="DB52" s="2150">
        <f t="shared" si="40"/>
        <v>0</v>
      </c>
      <c r="DC52" s="2150">
        <f t="shared" si="41"/>
        <v>0</v>
      </c>
      <c r="DD52" s="2150">
        <f t="shared" si="42"/>
        <v>0</v>
      </c>
      <c r="DE52" s="2150">
        <f t="shared" si="43"/>
        <v>0</v>
      </c>
      <c r="DF52" s="2150">
        <f t="shared" si="44"/>
        <v>0</v>
      </c>
      <c r="DG52" s="2150">
        <f t="shared" si="45"/>
        <v>0</v>
      </c>
      <c r="DH52" s="2150">
        <f t="shared" si="46"/>
        <v>0</v>
      </c>
      <c r="DI52" s="2150">
        <f t="shared" si="47"/>
        <v>0</v>
      </c>
      <c r="DJ52" s="2150">
        <f t="shared" si="48"/>
        <v>0</v>
      </c>
      <c r="DK52" s="2150">
        <f t="shared" si="49"/>
        <v>0</v>
      </c>
      <c r="DL52" s="2150">
        <f t="shared" si="50"/>
        <v>0</v>
      </c>
      <c r="DM52" s="2151">
        <f t="shared" si="51"/>
        <v>0</v>
      </c>
      <c r="DN52" s="644"/>
      <c r="DO52" s="1829">
        <v>42</v>
      </c>
      <c r="DP52" s="2211">
        <v>139.706186803755</v>
      </c>
      <c r="DQ52" s="2212">
        <v>68.336804818062703</v>
      </c>
      <c r="DR52" s="2212">
        <v>109.84291064351901</v>
      </c>
      <c r="DS52" s="2212">
        <v>126.166400643806</v>
      </c>
      <c r="DT52" s="2212">
        <v>144.213213249175</v>
      </c>
      <c r="DU52" s="2212">
        <v>174.565105476452</v>
      </c>
      <c r="DV52" s="2212">
        <v>145.25672641832901</v>
      </c>
      <c r="DW52" s="2212">
        <v>240.31767904820799</v>
      </c>
      <c r="DX52" s="2212">
        <v>109.319735127122</v>
      </c>
      <c r="DY52" s="2212">
        <v>112.634630848925</v>
      </c>
      <c r="DZ52" s="2212">
        <v>126.108870667454</v>
      </c>
      <c r="EA52" s="2212">
        <v>118.197413298458</v>
      </c>
      <c r="EB52" s="2212">
        <v>137.369573062238</v>
      </c>
      <c r="EC52" s="2212">
        <v>95.830454386508507</v>
      </c>
      <c r="ED52" s="2212">
        <v>91.282201295655895</v>
      </c>
      <c r="EE52" s="2212">
        <v>123.37238123094799</v>
      </c>
      <c r="EF52" s="2212">
        <v>115.853486969383</v>
      </c>
      <c r="EG52" s="2212">
        <v>136.45837247469299</v>
      </c>
      <c r="EH52" s="2212">
        <v>114.425497305465</v>
      </c>
      <c r="EI52" s="2212">
        <v>116.077848321953</v>
      </c>
      <c r="EJ52" s="2212">
        <v>164.94309142587201</v>
      </c>
      <c r="EK52" s="2212">
        <v>66.118350397076497</v>
      </c>
      <c r="EL52" s="2212">
        <v>172.379260247297</v>
      </c>
      <c r="EM52" s="2212">
        <v>131.47372457783101</v>
      </c>
      <c r="EN52" s="2212">
        <v>115.296073631715</v>
      </c>
      <c r="EO52" s="2213">
        <v>154.877705830292</v>
      </c>
      <c r="ER52" s="1829">
        <v>42</v>
      </c>
      <c r="ES52" s="1830">
        <v>2.77866413888002</v>
      </c>
      <c r="ET52" s="644"/>
      <c r="EU52" s="2156">
        <v>42</v>
      </c>
      <c r="EV52" s="2090" t="s">
        <v>162</v>
      </c>
      <c r="EW52" s="2090" t="s">
        <v>1909</v>
      </c>
      <c r="EX52" s="2090" t="str">
        <f>Translation!B$580</f>
        <v>Nein</v>
      </c>
    </row>
    <row r="53" spans="2:154" ht="12.75" x14ac:dyDescent="0.2">
      <c r="B53" s="2090">
        <v>43</v>
      </c>
      <c r="C53" s="2090" t="s">
        <v>162</v>
      </c>
      <c r="D53" s="2090" t="s">
        <v>1910</v>
      </c>
      <c r="E53" s="2090" t="str">
        <f>Translation!B$579</f>
        <v>Ja</v>
      </c>
      <c r="F53" s="1622">
        <v>43</v>
      </c>
      <c r="G53" s="2211">
        <v>1202.72583333333</v>
      </c>
      <c r="H53" s="2212">
        <v>24.25</v>
      </c>
      <c r="I53" s="2212">
        <v>90.064999999999998</v>
      </c>
      <c r="J53" s="2212">
        <v>1737.3316666666699</v>
      </c>
      <c r="K53" s="2212">
        <v>568.68916666666701</v>
      </c>
      <c r="L53" s="2212">
        <v>357.14249999999998</v>
      </c>
      <c r="M53" s="2212">
        <v>542.82666666666705</v>
      </c>
      <c r="N53" s="2212">
        <v>644.881666666667</v>
      </c>
      <c r="O53" s="2212">
        <v>80.465000000000003</v>
      </c>
      <c r="P53" s="2212">
        <v>301.46499999999997</v>
      </c>
      <c r="Q53" s="2212">
        <v>127.315833333333</v>
      </c>
      <c r="R53" s="2212">
        <v>607.85333333333301</v>
      </c>
      <c r="S53" s="2212">
        <v>263.30250000000001</v>
      </c>
      <c r="T53" s="2212">
        <v>59.191666666666698</v>
      </c>
      <c r="U53" s="2212">
        <v>53.6666666666667</v>
      </c>
      <c r="V53" s="2212">
        <v>882.04416666666702</v>
      </c>
      <c r="W53" s="2212">
        <v>162.72</v>
      </c>
      <c r="X53" s="2212">
        <v>500.38083333333299</v>
      </c>
      <c r="Y53" s="2212">
        <v>217.31</v>
      </c>
      <c r="Z53" s="2212">
        <v>505.131666666667</v>
      </c>
      <c r="AA53" s="2212">
        <v>658.09833333333302</v>
      </c>
      <c r="AB53" s="2212">
        <v>63.1666666666667</v>
      </c>
      <c r="AC53" s="2212">
        <v>1053.4775</v>
      </c>
      <c r="AD53" s="2212">
        <v>472.79416666666702</v>
      </c>
      <c r="AE53" s="2212">
        <v>202.155</v>
      </c>
      <c r="AF53" s="2213">
        <v>2350.1325000000002</v>
      </c>
      <c r="AH53" s="1829">
        <v>43</v>
      </c>
      <c r="AI53" s="2124">
        <f>Risk_Compensation!H60*(Risk_Compensation!AK60+CO$144)*12/1000000</f>
        <v>0</v>
      </c>
      <c r="AJ53" s="2121">
        <f>Risk_Compensation!I60*(Risk_Compensation!AL60+CP$144)*12/1000000</f>
        <v>0</v>
      </c>
      <c r="AK53" s="2121">
        <f>Risk_Compensation!J60*(Risk_Compensation!AM60+CQ$144)*12/1000000</f>
        <v>0</v>
      </c>
      <c r="AL53" s="2121">
        <f>Risk_Compensation!K60*(Risk_Compensation!AN60+CR$144)*12/1000000</f>
        <v>0</v>
      </c>
      <c r="AM53" s="2121">
        <f>Risk_Compensation!L60*(Risk_Compensation!AO60+CS$144)*12/1000000</f>
        <v>0</v>
      </c>
      <c r="AN53" s="2121">
        <f>Risk_Compensation!M60*(Risk_Compensation!AP60+CT$144)*12/1000000</f>
        <v>0</v>
      </c>
      <c r="AO53" s="2121">
        <f>Risk_Compensation!N60*(Risk_Compensation!AQ60+CU$144)*12/1000000</f>
        <v>0</v>
      </c>
      <c r="AP53" s="2121">
        <f>Risk_Compensation!O60*(Risk_Compensation!AR60+CV$144)*12/1000000</f>
        <v>0</v>
      </c>
      <c r="AQ53" s="2121">
        <f>Risk_Compensation!P60*(Risk_Compensation!AS60+CW$144)*12/1000000</f>
        <v>0</v>
      </c>
      <c r="AR53" s="2121">
        <f>Risk_Compensation!Q60*(Risk_Compensation!AT60+CX$144)*12/1000000</f>
        <v>0</v>
      </c>
      <c r="AS53" s="2121">
        <f>Risk_Compensation!R60*(Risk_Compensation!AU60+CY$144)*12/1000000</f>
        <v>0</v>
      </c>
      <c r="AT53" s="2121">
        <f>Risk_Compensation!S60*(Risk_Compensation!AV60+CZ$144)*12/1000000</f>
        <v>0</v>
      </c>
      <c r="AU53" s="2121">
        <f>Risk_Compensation!T60*(Risk_Compensation!AW60+DA$144)*12/1000000</f>
        <v>0</v>
      </c>
      <c r="AV53" s="2121">
        <f>Risk_Compensation!U60*(Risk_Compensation!AX60+DB$144)*12/1000000</f>
        <v>0</v>
      </c>
      <c r="AW53" s="2121">
        <f>Risk_Compensation!V60*(Risk_Compensation!AY60+DC$144)*12/1000000</f>
        <v>0</v>
      </c>
      <c r="AX53" s="2121">
        <f>Risk_Compensation!W60*(Risk_Compensation!AZ60+DD$144)*12/1000000</f>
        <v>0</v>
      </c>
      <c r="AY53" s="2121">
        <f>Risk_Compensation!X60*(Risk_Compensation!BA60+DE$144)*12/1000000</f>
        <v>0</v>
      </c>
      <c r="AZ53" s="2121">
        <f>Risk_Compensation!Y60*(Risk_Compensation!BB60+DF$144)*12/1000000</f>
        <v>0</v>
      </c>
      <c r="BA53" s="2121">
        <f>Risk_Compensation!Z60*(Risk_Compensation!BC60+DG$144)*12/1000000</f>
        <v>0</v>
      </c>
      <c r="BB53" s="2121">
        <f>Risk_Compensation!AA60*(Risk_Compensation!BD60+DH$144)*12/1000000</f>
        <v>0</v>
      </c>
      <c r="BC53" s="2121">
        <f>Risk_Compensation!AB60*(Risk_Compensation!BE60+DI$144)*12/1000000</f>
        <v>0</v>
      </c>
      <c r="BD53" s="2121">
        <f>Risk_Compensation!AC60*(Risk_Compensation!BF60+DJ$144)*12/1000000</f>
        <v>0</v>
      </c>
      <c r="BE53" s="2121">
        <f>Risk_Compensation!AD60*(Risk_Compensation!BG60+DK$144)*12/1000000</f>
        <v>0</v>
      </c>
      <c r="BF53" s="2121">
        <f>Risk_Compensation!AE60*(Risk_Compensation!BH60+DL$144)*12/1000000</f>
        <v>0</v>
      </c>
      <c r="BG53" s="2121">
        <f>Risk_Compensation!AF60*(Risk_Compensation!BI60+DM$144)*12/1000000</f>
        <v>0</v>
      </c>
      <c r="BH53" s="2125">
        <f>Risk_Compensation!AG60*(Risk_Compensation!BJ60+DN$144)*12/1000000</f>
        <v>0</v>
      </c>
      <c r="BI53" s="644"/>
      <c r="BJ53" s="1829">
        <v>43</v>
      </c>
      <c r="BK53" s="2138">
        <f>IF(G53&lt;=0,0,(Risk_Compensation!H60/G53-Risk_Compensation!H$79/G$72-0.5*CO$167*($CK53-CO$135/G$72))*G53)</f>
        <v>0</v>
      </c>
      <c r="BL53" s="2139">
        <f>IF(H53&lt;=0,0,(Risk_Compensation!I60/H53-Risk_Compensation!I$79/H$72-0.5*CP$167*($CK53-CP$135/H$72))*H53)</f>
        <v>0</v>
      </c>
      <c r="BM53" s="2139">
        <f>IF(I53&lt;=0,0,(Risk_Compensation!J60/I53-Risk_Compensation!J$79/I$72-0.5*CQ$167*($CK53-CQ$135/I$72))*I53)</f>
        <v>0</v>
      </c>
      <c r="BN53" s="2139">
        <f>IF(J53&lt;=0,0,(Risk_Compensation!K60/J53-Risk_Compensation!K$79/J$72-0.5*CR$167*($CK53-CR$135/J$72))*J53)</f>
        <v>0</v>
      </c>
      <c r="BO53" s="2139">
        <f>IF(K53&lt;=0,0,(Risk_Compensation!L60/K53-Risk_Compensation!L$79/K$72-0.5*CS$167*($CK53-CS$135/K$72))*K53)</f>
        <v>0</v>
      </c>
      <c r="BP53" s="2139">
        <f>IF(L53&lt;=0,0,(Risk_Compensation!M60/L53-Risk_Compensation!M$79/L$72-0.5*CT$167*($CK53-CT$135/L$72))*L53)</f>
        <v>0</v>
      </c>
      <c r="BQ53" s="2139">
        <f>IF(M53&lt;=0,0,(Risk_Compensation!N60/M53-Risk_Compensation!N$79/M$72-0.5*CU$167*($CK53-CU$135/M$72))*M53)</f>
        <v>0</v>
      </c>
      <c r="BR53" s="2139">
        <f>IF(N53&lt;=0,0,(Risk_Compensation!O60/N53-Risk_Compensation!O$79/N$72-0.5*CV$167*($CK53-CV$135/N$72))*N53)</f>
        <v>0</v>
      </c>
      <c r="BS53" s="2139">
        <f>IF(O53&lt;=0,0,(Risk_Compensation!P60/O53-Risk_Compensation!P$79/O$72-0.5*CW$167*($CK53-CW$135/O$72))*O53)</f>
        <v>0</v>
      </c>
      <c r="BT53" s="2139">
        <f>IF(P53&lt;=0,0,(Risk_Compensation!Q60/P53-Risk_Compensation!Q$79/P$72-0.5*CX$167*($CK53-CX$135/P$72))*P53)</f>
        <v>0</v>
      </c>
      <c r="BU53" s="2139">
        <f>IF(Q53&lt;=0,0,(Risk_Compensation!R60/Q53-Risk_Compensation!R$79/Q$72-0.5*CY$167*($CK53-CY$135/Q$72))*Q53)</f>
        <v>0</v>
      </c>
      <c r="BV53" s="2139">
        <f>IF(R53&lt;=0,0,(Risk_Compensation!S60/R53-Risk_Compensation!S$79/R$72-0.5*CZ$167*($CK53-CZ$135/R$72))*R53)</f>
        <v>0</v>
      </c>
      <c r="BW53" s="2139">
        <f>IF(S53&lt;=0,0,(Risk_Compensation!T60/S53-Risk_Compensation!T$79/S$72-0.5*DA$167*($CK53-DA$135/S$72))*S53)</f>
        <v>0</v>
      </c>
      <c r="BX53" s="2139">
        <f>IF(T53&lt;=0,0,(Risk_Compensation!U60/T53-Risk_Compensation!U$79/T$72-0.5*DB$167*($CK53-DB$135/T$72))*T53)</f>
        <v>0</v>
      </c>
      <c r="BY53" s="2139">
        <f>IF(U53&lt;=0,0,(Risk_Compensation!V60/U53-Risk_Compensation!V$79/U$72-0.5*DC$167*($CK53-DC$135/U$72))*U53)</f>
        <v>0</v>
      </c>
      <c r="BZ53" s="2139">
        <f>IF(V53&lt;=0,0,(Risk_Compensation!W60/V53-Risk_Compensation!W$79/V$72-0.5*DD$167*($CK53-DD$135/V$72))*V53)</f>
        <v>0</v>
      </c>
      <c r="CA53" s="2139">
        <f>IF(W53&lt;=0,0,(Risk_Compensation!X60/W53-Risk_Compensation!X$79/W$72-0.5*DE$167*($CK53-DE$135/W$72))*W53)</f>
        <v>0</v>
      </c>
      <c r="CB53" s="2139">
        <f>IF(X53&lt;=0,0,(Risk_Compensation!Y60/X53-Risk_Compensation!Y$79/X$72-0.5*DF$167*($CK53-DF$135/X$72))*X53)</f>
        <v>0</v>
      </c>
      <c r="CC53" s="2139">
        <f>IF(Y53&lt;=0,0,(Risk_Compensation!Z60/Y53-Risk_Compensation!Z$79/Y$72-0.5*DG$167*($CK53-DG$135/Y$72))*Y53)</f>
        <v>0</v>
      </c>
      <c r="CD53" s="2139">
        <f>IF(Z53&lt;=0,0,(Risk_Compensation!AA60/Z53-Risk_Compensation!AA$79/Z$72-0.5*DH$167*($CK53-DH$135/Z$72))*Z53)</f>
        <v>0</v>
      </c>
      <c r="CE53" s="2139">
        <f>IF(AA53&lt;=0,0,(Risk_Compensation!AB60/AA53-Risk_Compensation!AB$79/AA$72-0.5*DI$167*($CK53-DI$135/AA$72))*AA53)</f>
        <v>0</v>
      </c>
      <c r="CF53" s="2139">
        <f>IF(AB53&lt;=0,0,(Risk_Compensation!AC60/AB53-Risk_Compensation!AC$79/AB$72-0.5*DJ$167*($CK53-DJ$135/AB$72))*AB53)</f>
        <v>0</v>
      </c>
      <c r="CG53" s="2139">
        <f>IF(AC53&lt;=0,0,(Risk_Compensation!AD60/AC53-Risk_Compensation!AD$79/AC$72-0.5*DK$167*($CK53-DK$135/AC$72))*AC53)</f>
        <v>0</v>
      </c>
      <c r="CH53" s="2139">
        <f>IF(AD53&lt;=0,0,(Risk_Compensation!AE60/AD53-Risk_Compensation!AE$79/AD$72-0.5*DL$167*($CK53-DL$135/AD$72))*AD53)</f>
        <v>0</v>
      </c>
      <c r="CI53" s="2139">
        <f>IF(AE53&lt;=0,0,(Risk_Compensation!AF60/AE53-Risk_Compensation!AF$79/AE$72-0.5*DM$167*($CK53-DM$135/AE$72))*AE53)</f>
        <v>0</v>
      </c>
      <c r="CJ53" s="2140">
        <f>IF(AF53&lt;=0,0,(Risk_Compensation!AG60/AF53-Risk_Compensation!AG$79/AF$72-0.5*DN$167*($CK53-DN$135/AF$72))*AF53)</f>
        <v>0</v>
      </c>
      <c r="CK53" s="2166">
        <v>0</v>
      </c>
      <c r="CL53" s="644"/>
      <c r="CM53" s="1829">
        <v>43</v>
      </c>
      <c r="CN53" s="2149">
        <f t="shared" si="26"/>
        <v>0</v>
      </c>
      <c r="CO53" s="2150">
        <f t="shared" si="27"/>
        <v>0</v>
      </c>
      <c r="CP53" s="2150">
        <f t="shared" si="28"/>
        <v>0</v>
      </c>
      <c r="CQ53" s="2150">
        <f t="shared" si="29"/>
        <v>0</v>
      </c>
      <c r="CR53" s="2150">
        <f t="shared" si="30"/>
        <v>0</v>
      </c>
      <c r="CS53" s="2150">
        <f t="shared" si="31"/>
        <v>0</v>
      </c>
      <c r="CT53" s="2150">
        <f t="shared" si="32"/>
        <v>0</v>
      </c>
      <c r="CU53" s="2150">
        <f t="shared" si="33"/>
        <v>0</v>
      </c>
      <c r="CV53" s="2150">
        <f t="shared" si="34"/>
        <v>0</v>
      </c>
      <c r="CW53" s="2150">
        <f t="shared" si="35"/>
        <v>0</v>
      </c>
      <c r="CX53" s="2150">
        <f t="shared" si="36"/>
        <v>0</v>
      </c>
      <c r="CY53" s="2150">
        <f t="shared" si="37"/>
        <v>0</v>
      </c>
      <c r="CZ53" s="2150">
        <f t="shared" si="38"/>
        <v>0</v>
      </c>
      <c r="DA53" s="2150">
        <f t="shared" si="39"/>
        <v>0</v>
      </c>
      <c r="DB53" s="2150">
        <f t="shared" si="40"/>
        <v>0</v>
      </c>
      <c r="DC53" s="2150">
        <f t="shared" si="41"/>
        <v>0</v>
      </c>
      <c r="DD53" s="2150">
        <f t="shared" si="42"/>
        <v>0</v>
      </c>
      <c r="DE53" s="2150">
        <f t="shared" si="43"/>
        <v>0</v>
      </c>
      <c r="DF53" s="2150">
        <f t="shared" si="44"/>
        <v>0</v>
      </c>
      <c r="DG53" s="2150">
        <f t="shared" si="45"/>
        <v>0</v>
      </c>
      <c r="DH53" s="2150">
        <f t="shared" si="46"/>
        <v>0</v>
      </c>
      <c r="DI53" s="2150">
        <f t="shared" si="47"/>
        <v>0</v>
      </c>
      <c r="DJ53" s="2150">
        <f t="shared" si="48"/>
        <v>0</v>
      </c>
      <c r="DK53" s="2150">
        <f t="shared" si="49"/>
        <v>0</v>
      </c>
      <c r="DL53" s="2150">
        <f t="shared" si="50"/>
        <v>0</v>
      </c>
      <c r="DM53" s="2151">
        <f t="shared" si="51"/>
        <v>0</v>
      </c>
      <c r="DN53" s="644"/>
      <c r="DO53" s="1829">
        <v>43</v>
      </c>
      <c r="DP53" s="2211">
        <v>829.13615086494804</v>
      </c>
      <c r="DQ53" s="2212">
        <v>750.34463347512303</v>
      </c>
      <c r="DR53" s="2212">
        <v>521.81093877687294</v>
      </c>
      <c r="DS53" s="2212">
        <v>808.85779022326005</v>
      </c>
      <c r="DT53" s="2212">
        <v>844.24072589721004</v>
      </c>
      <c r="DU53" s="2212">
        <v>974.14087721490205</v>
      </c>
      <c r="DV53" s="2212">
        <v>848.09243881462896</v>
      </c>
      <c r="DW53" s="2212">
        <v>983.231068008639</v>
      </c>
      <c r="DX53" s="2212">
        <v>573.81864283896596</v>
      </c>
      <c r="DY53" s="2212">
        <v>644.25425657150799</v>
      </c>
      <c r="DZ53" s="2212">
        <v>606.18936107261197</v>
      </c>
      <c r="EA53" s="2212">
        <v>743.18490900868801</v>
      </c>
      <c r="EB53" s="2212">
        <v>1040.4790884706599</v>
      </c>
      <c r="EC53" s="2212">
        <v>983.70981142267203</v>
      </c>
      <c r="ED53" s="2212">
        <v>489.91044048734</v>
      </c>
      <c r="EE53" s="2212">
        <v>730.31194386768095</v>
      </c>
      <c r="EF53" s="2212">
        <v>749.07427055057997</v>
      </c>
      <c r="EG53" s="2212">
        <v>680.51195871135701</v>
      </c>
      <c r="EH53" s="2212">
        <v>721.57319161304599</v>
      </c>
      <c r="EI53" s="2212">
        <v>666.59588148894795</v>
      </c>
      <c r="EJ53" s="2212">
        <v>764.32567345811799</v>
      </c>
      <c r="EK53" s="2212">
        <v>602.05135864229203</v>
      </c>
      <c r="EL53" s="2212">
        <v>1057.9040073706401</v>
      </c>
      <c r="EM53" s="2212">
        <v>778.68139001398504</v>
      </c>
      <c r="EN53" s="2212">
        <v>511.28941540417298</v>
      </c>
      <c r="EO53" s="2213">
        <v>916.39782345249398</v>
      </c>
      <c r="ER53" s="1829">
        <v>43</v>
      </c>
      <c r="ES53" s="1830">
        <v>1.81178173089859</v>
      </c>
      <c r="ET53" s="644"/>
      <c r="EU53" s="2156">
        <v>43</v>
      </c>
      <c r="EV53" s="2090" t="s">
        <v>162</v>
      </c>
      <c r="EW53" s="2090" t="s">
        <v>1910</v>
      </c>
      <c r="EX53" s="2090" t="str">
        <f>Translation!B$579</f>
        <v>Ja</v>
      </c>
    </row>
    <row r="54" spans="2:154" ht="12.75" x14ac:dyDescent="0.2">
      <c r="B54" s="2090">
        <v>44</v>
      </c>
      <c r="C54" s="2090" t="s">
        <v>162</v>
      </c>
      <c r="D54" s="2090" t="s">
        <v>1910</v>
      </c>
      <c r="E54" s="2090" t="str">
        <f>Translation!B$580</f>
        <v>Nein</v>
      </c>
      <c r="F54" s="1622">
        <v>44</v>
      </c>
      <c r="G54" s="2211">
        <v>24366.428333333301</v>
      </c>
      <c r="H54" s="2212">
        <v>530.02583333333303</v>
      </c>
      <c r="I54" s="2212">
        <v>1890.3375000000001</v>
      </c>
      <c r="J54" s="2212">
        <v>35718.046666666698</v>
      </c>
      <c r="K54" s="2212">
        <v>10474.708333333299</v>
      </c>
      <c r="L54" s="2212">
        <v>5845.1791666666704</v>
      </c>
      <c r="M54" s="2212">
        <v>11716.079166666699</v>
      </c>
      <c r="N54" s="2212">
        <v>16618.031666666699</v>
      </c>
      <c r="O54" s="2212">
        <v>1295.3433333333301</v>
      </c>
      <c r="P54" s="2212">
        <v>7216.4808333333403</v>
      </c>
      <c r="Q54" s="2212">
        <v>2498.32666666667</v>
      </c>
      <c r="R54" s="2212">
        <v>14459.6166666667</v>
      </c>
      <c r="S54" s="2212">
        <v>6208.0491666666703</v>
      </c>
      <c r="T54" s="2212">
        <v>1610.7449999999999</v>
      </c>
      <c r="U54" s="2212">
        <v>1426.1516666666701</v>
      </c>
      <c r="V54" s="2212">
        <v>17086.624166666701</v>
      </c>
      <c r="W54" s="2212">
        <v>2725.59083333333</v>
      </c>
      <c r="X54" s="2212">
        <v>9790.1608333333297</v>
      </c>
      <c r="Y54" s="2212">
        <v>5886.5550000000003</v>
      </c>
      <c r="Z54" s="2212">
        <v>9823.8591666666707</v>
      </c>
      <c r="AA54" s="2212">
        <v>13907.440833333299</v>
      </c>
      <c r="AB54" s="2212">
        <v>1285.0216666666699</v>
      </c>
      <c r="AC54" s="2212">
        <v>28647.262500000001</v>
      </c>
      <c r="AD54" s="2212">
        <v>12426.465</v>
      </c>
      <c r="AE54" s="2212">
        <v>4868.04</v>
      </c>
      <c r="AF54" s="2213">
        <v>52168.475833333301</v>
      </c>
      <c r="AH54" s="1829">
        <v>44</v>
      </c>
      <c r="AI54" s="2124">
        <f>Risk_Compensation!H61*(Risk_Compensation!AK61+CO$144)*12/1000000</f>
        <v>0</v>
      </c>
      <c r="AJ54" s="2121">
        <f>Risk_Compensation!I61*(Risk_Compensation!AL61+CP$144)*12/1000000</f>
        <v>0</v>
      </c>
      <c r="AK54" s="2121">
        <f>Risk_Compensation!J61*(Risk_Compensation!AM61+CQ$144)*12/1000000</f>
        <v>0</v>
      </c>
      <c r="AL54" s="2121">
        <f>Risk_Compensation!K61*(Risk_Compensation!AN61+CR$144)*12/1000000</f>
        <v>0</v>
      </c>
      <c r="AM54" s="2121">
        <f>Risk_Compensation!L61*(Risk_Compensation!AO61+CS$144)*12/1000000</f>
        <v>0</v>
      </c>
      <c r="AN54" s="2121">
        <f>Risk_Compensation!M61*(Risk_Compensation!AP61+CT$144)*12/1000000</f>
        <v>0</v>
      </c>
      <c r="AO54" s="2121">
        <f>Risk_Compensation!N61*(Risk_Compensation!AQ61+CU$144)*12/1000000</f>
        <v>0</v>
      </c>
      <c r="AP54" s="2121">
        <f>Risk_Compensation!O61*(Risk_Compensation!AR61+CV$144)*12/1000000</f>
        <v>0</v>
      </c>
      <c r="AQ54" s="2121">
        <f>Risk_Compensation!P61*(Risk_Compensation!AS61+CW$144)*12/1000000</f>
        <v>0</v>
      </c>
      <c r="AR54" s="2121">
        <f>Risk_Compensation!Q61*(Risk_Compensation!AT61+CX$144)*12/1000000</f>
        <v>0</v>
      </c>
      <c r="AS54" s="2121">
        <f>Risk_Compensation!R61*(Risk_Compensation!AU61+CY$144)*12/1000000</f>
        <v>0</v>
      </c>
      <c r="AT54" s="2121">
        <f>Risk_Compensation!S61*(Risk_Compensation!AV61+CZ$144)*12/1000000</f>
        <v>0</v>
      </c>
      <c r="AU54" s="2121">
        <f>Risk_Compensation!T61*(Risk_Compensation!AW61+DA$144)*12/1000000</f>
        <v>0</v>
      </c>
      <c r="AV54" s="2121">
        <f>Risk_Compensation!U61*(Risk_Compensation!AX61+DB$144)*12/1000000</f>
        <v>0</v>
      </c>
      <c r="AW54" s="2121">
        <f>Risk_Compensation!V61*(Risk_Compensation!AY61+DC$144)*12/1000000</f>
        <v>0</v>
      </c>
      <c r="AX54" s="2121">
        <f>Risk_Compensation!W61*(Risk_Compensation!AZ61+DD$144)*12/1000000</f>
        <v>0</v>
      </c>
      <c r="AY54" s="2121">
        <f>Risk_Compensation!X61*(Risk_Compensation!BA61+DE$144)*12/1000000</f>
        <v>0</v>
      </c>
      <c r="AZ54" s="2121">
        <f>Risk_Compensation!Y61*(Risk_Compensation!BB61+DF$144)*12/1000000</f>
        <v>0</v>
      </c>
      <c r="BA54" s="2121">
        <f>Risk_Compensation!Z61*(Risk_Compensation!BC61+DG$144)*12/1000000</f>
        <v>0</v>
      </c>
      <c r="BB54" s="2121">
        <f>Risk_Compensation!AA61*(Risk_Compensation!BD61+DH$144)*12/1000000</f>
        <v>0</v>
      </c>
      <c r="BC54" s="2121">
        <f>Risk_Compensation!AB61*(Risk_Compensation!BE61+DI$144)*12/1000000</f>
        <v>0</v>
      </c>
      <c r="BD54" s="2121">
        <f>Risk_Compensation!AC61*(Risk_Compensation!BF61+DJ$144)*12/1000000</f>
        <v>0</v>
      </c>
      <c r="BE54" s="2121">
        <f>Risk_Compensation!AD61*(Risk_Compensation!BG61+DK$144)*12/1000000</f>
        <v>0</v>
      </c>
      <c r="BF54" s="2121">
        <f>Risk_Compensation!AE61*(Risk_Compensation!BH61+DL$144)*12/1000000</f>
        <v>0</v>
      </c>
      <c r="BG54" s="2121">
        <f>Risk_Compensation!AF61*(Risk_Compensation!BI61+DM$144)*12/1000000</f>
        <v>0</v>
      </c>
      <c r="BH54" s="2125">
        <f>Risk_Compensation!AG61*(Risk_Compensation!BJ61+DN$144)*12/1000000</f>
        <v>0</v>
      </c>
      <c r="BI54" s="644"/>
      <c r="BJ54" s="1829">
        <v>44</v>
      </c>
      <c r="BK54" s="2138">
        <f>IF(G54&lt;=0,0,(Risk_Compensation!H61/G54-Risk_Compensation!H$79/G$72-0.5*CO$167*($CK54-CO$135/G$72))*G54)</f>
        <v>0</v>
      </c>
      <c r="BL54" s="2139">
        <f>IF(H54&lt;=0,0,(Risk_Compensation!I61/H54-Risk_Compensation!I$79/H$72-0.5*CP$167*($CK54-CP$135/H$72))*H54)</f>
        <v>0</v>
      </c>
      <c r="BM54" s="2139">
        <f>IF(I54&lt;=0,0,(Risk_Compensation!J61/I54-Risk_Compensation!J$79/I$72-0.5*CQ$167*($CK54-CQ$135/I$72))*I54)</f>
        <v>0</v>
      </c>
      <c r="BN54" s="2139">
        <f>IF(J54&lt;=0,0,(Risk_Compensation!K61/J54-Risk_Compensation!K$79/J$72-0.5*CR$167*($CK54-CR$135/J$72))*J54)</f>
        <v>0</v>
      </c>
      <c r="BO54" s="2139">
        <f>IF(K54&lt;=0,0,(Risk_Compensation!L61/K54-Risk_Compensation!L$79/K$72-0.5*CS$167*($CK54-CS$135/K$72))*K54)</f>
        <v>0</v>
      </c>
      <c r="BP54" s="2139">
        <f>IF(L54&lt;=0,0,(Risk_Compensation!M61/L54-Risk_Compensation!M$79/L$72-0.5*CT$167*($CK54-CT$135/L$72))*L54)</f>
        <v>0</v>
      </c>
      <c r="BQ54" s="2139">
        <f>IF(M54&lt;=0,0,(Risk_Compensation!N61/M54-Risk_Compensation!N$79/M$72-0.5*CU$167*($CK54-CU$135/M$72))*M54)</f>
        <v>0</v>
      </c>
      <c r="BR54" s="2139">
        <f>IF(N54&lt;=0,0,(Risk_Compensation!O61/N54-Risk_Compensation!O$79/N$72-0.5*CV$167*($CK54-CV$135/N$72))*N54)</f>
        <v>0</v>
      </c>
      <c r="BS54" s="2139">
        <f>IF(O54&lt;=0,0,(Risk_Compensation!P61/O54-Risk_Compensation!P$79/O$72-0.5*CW$167*($CK54-CW$135/O$72))*O54)</f>
        <v>0</v>
      </c>
      <c r="BT54" s="2139">
        <f>IF(P54&lt;=0,0,(Risk_Compensation!Q61/P54-Risk_Compensation!Q$79/P$72-0.5*CX$167*($CK54-CX$135/P$72))*P54)</f>
        <v>0</v>
      </c>
      <c r="BU54" s="2139">
        <f>IF(Q54&lt;=0,0,(Risk_Compensation!R61/Q54-Risk_Compensation!R$79/Q$72-0.5*CY$167*($CK54-CY$135/Q$72))*Q54)</f>
        <v>0</v>
      </c>
      <c r="BV54" s="2139">
        <f>IF(R54&lt;=0,0,(Risk_Compensation!S61/R54-Risk_Compensation!S$79/R$72-0.5*CZ$167*($CK54-CZ$135/R$72))*R54)</f>
        <v>0</v>
      </c>
      <c r="BW54" s="2139">
        <f>IF(S54&lt;=0,0,(Risk_Compensation!T61/S54-Risk_Compensation!T$79/S$72-0.5*DA$167*($CK54-DA$135/S$72))*S54)</f>
        <v>0</v>
      </c>
      <c r="BX54" s="2139">
        <f>IF(T54&lt;=0,0,(Risk_Compensation!U61/T54-Risk_Compensation!U$79/T$72-0.5*DB$167*($CK54-DB$135/T$72))*T54)</f>
        <v>0</v>
      </c>
      <c r="BY54" s="2139">
        <f>IF(U54&lt;=0,0,(Risk_Compensation!V61/U54-Risk_Compensation!V$79/U$72-0.5*DC$167*($CK54-DC$135/U$72))*U54)</f>
        <v>0</v>
      </c>
      <c r="BZ54" s="2139">
        <f>IF(V54&lt;=0,0,(Risk_Compensation!W61/V54-Risk_Compensation!W$79/V$72-0.5*DD$167*($CK54-DD$135/V$72))*V54)</f>
        <v>0</v>
      </c>
      <c r="CA54" s="2139">
        <f>IF(W54&lt;=0,0,(Risk_Compensation!X61/W54-Risk_Compensation!X$79/W$72-0.5*DE$167*($CK54-DE$135/W$72))*W54)</f>
        <v>0</v>
      </c>
      <c r="CB54" s="2139">
        <f>IF(X54&lt;=0,0,(Risk_Compensation!Y61/X54-Risk_Compensation!Y$79/X$72-0.5*DF$167*($CK54-DF$135/X$72))*X54)</f>
        <v>0</v>
      </c>
      <c r="CC54" s="2139">
        <f>IF(Y54&lt;=0,0,(Risk_Compensation!Z61/Y54-Risk_Compensation!Z$79/Y$72-0.5*DG$167*($CK54-DG$135/Y$72))*Y54)</f>
        <v>0</v>
      </c>
      <c r="CD54" s="2139">
        <f>IF(Z54&lt;=0,0,(Risk_Compensation!AA61/Z54-Risk_Compensation!AA$79/Z$72-0.5*DH$167*($CK54-DH$135/Z$72))*Z54)</f>
        <v>0</v>
      </c>
      <c r="CE54" s="2139">
        <f>IF(AA54&lt;=0,0,(Risk_Compensation!AB61/AA54-Risk_Compensation!AB$79/AA$72-0.5*DI$167*($CK54-DI$135/AA$72))*AA54)</f>
        <v>0</v>
      </c>
      <c r="CF54" s="2139">
        <f>IF(AB54&lt;=0,0,(Risk_Compensation!AC61/AB54-Risk_Compensation!AC$79/AB$72-0.5*DJ$167*($CK54-DJ$135/AB$72))*AB54)</f>
        <v>0</v>
      </c>
      <c r="CG54" s="2139">
        <f>IF(AC54&lt;=0,0,(Risk_Compensation!AD61/AC54-Risk_Compensation!AD$79/AC$72-0.5*DK$167*($CK54-DK$135/AC$72))*AC54)</f>
        <v>0</v>
      </c>
      <c r="CH54" s="2139">
        <f>IF(AD54&lt;=0,0,(Risk_Compensation!AE61/AD54-Risk_Compensation!AE$79/AD$72-0.5*DL$167*($CK54-DL$135/AD$72))*AD54)</f>
        <v>0</v>
      </c>
      <c r="CI54" s="2139">
        <f>IF(AE54&lt;=0,0,(Risk_Compensation!AF61/AE54-Risk_Compensation!AF$79/AE$72-0.5*DM$167*($CK54-DM$135/AE$72))*AE54)</f>
        <v>0</v>
      </c>
      <c r="CJ54" s="2140">
        <f>IF(AF54&lt;=0,0,(Risk_Compensation!AG61/AF54-Risk_Compensation!AG$79/AF$72-0.5*DN$167*($CK54-DN$135/AF$72))*AF54)</f>
        <v>0</v>
      </c>
      <c r="CK54" s="2166">
        <v>0</v>
      </c>
      <c r="CL54" s="644"/>
      <c r="CM54" s="1829">
        <v>44</v>
      </c>
      <c r="CN54" s="2149">
        <f t="shared" si="26"/>
        <v>0</v>
      </c>
      <c r="CO54" s="2150">
        <f t="shared" si="27"/>
        <v>0</v>
      </c>
      <c r="CP54" s="2150">
        <f t="shared" si="28"/>
        <v>0</v>
      </c>
      <c r="CQ54" s="2150">
        <f t="shared" si="29"/>
        <v>0</v>
      </c>
      <c r="CR54" s="2150">
        <f t="shared" si="30"/>
        <v>0</v>
      </c>
      <c r="CS54" s="2150">
        <f t="shared" si="31"/>
        <v>0</v>
      </c>
      <c r="CT54" s="2150">
        <f t="shared" si="32"/>
        <v>0</v>
      </c>
      <c r="CU54" s="2150">
        <f t="shared" si="33"/>
        <v>0</v>
      </c>
      <c r="CV54" s="2150">
        <f t="shared" si="34"/>
        <v>0</v>
      </c>
      <c r="CW54" s="2150">
        <f t="shared" si="35"/>
        <v>0</v>
      </c>
      <c r="CX54" s="2150">
        <f t="shared" si="36"/>
        <v>0</v>
      </c>
      <c r="CY54" s="2150">
        <f t="shared" si="37"/>
        <v>0</v>
      </c>
      <c r="CZ54" s="2150">
        <f t="shared" si="38"/>
        <v>0</v>
      </c>
      <c r="DA54" s="2150">
        <f t="shared" si="39"/>
        <v>0</v>
      </c>
      <c r="DB54" s="2150">
        <f t="shared" si="40"/>
        <v>0</v>
      </c>
      <c r="DC54" s="2150">
        <f t="shared" si="41"/>
        <v>0</v>
      </c>
      <c r="DD54" s="2150">
        <f t="shared" si="42"/>
        <v>0</v>
      </c>
      <c r="DE54" s="2150">
        <f t="shared" si="43"/>
        <v>0</v>
      </c>
      <c r="DF54" s="2150">
        <f t="shared" si="44"/>
        <v>0</v>
      </c>
      <c r="DG54" s="2150">
        <f t="shared" si="45"/>
        <v>0</v>
      </c>
      <c r="DH54" s="2150">
        <f t="shared" si="46"/>
        <v>0</v>
      </c>
      <c r="DI54" s="2150">
        <f t="shared" si="47"/>
        <v>0</v>
      </c>
      <c r="DJ54" s="2150">
        <f t="shared" si="48"/>
        <v>0</v>
      </c>
      <c r="DK54" s="2150">
        <f t="shared" si="49"/>
        <v>0</v>
      </c>
      <c r="DL54" s="2150">
        <f t="shared" si="50"/>
        <v>0</v>
      </c>
      <c r="DM54" s="2151">
        <f t="shared" si="51"/>
        <v>0</v>
      </c>
      <c r="DN54" s="644"/>
      <c r="DO54" s="1829">
        <v>44</v>
      </c>
      <c r="DP54" s="2211">
        <v>152.65288624417099</v>
      </c>
      <c r="DQ54" s="2212">
        <v>86.644106640773401</v>
      </c>
      <c r="DR54" s="2212">
        <v>141.25761448555201</v>
      </c>
      <c r="DS54" s="2212">
        <v>148.82066334045601</v>
      </c>
      <c r="DT54" s="2212">
        <v>175.19736029841599</v>
      </c>
      <c r="DU54" s="2212">
        <v>199.91589562104301</v>
      </c>
      <c r="DV54" s="2212">
        <v>163.22221294035899</v>
      </c>
      <c r="DW54" s="2212">
        <v>270.72904298641799</v>
      </c>
      <c r="DX54" s="2212">
        <v>157.18231501076701</v>
      </c>
      <c r="DY54" s="2212">
        <v>124.066901579757</v>
      </c>
      <c r="DZ54" s="2212">
        <v>127.416422627077</v>
      </c>
      <c r="EA54" s="2212">
        <v>137.055392859286</v>
      </c>
      <c r="EB54" s="2212">
        <v>163.45616472439201</v>
      </c>
      <c r="EC54" s="2212">
        <v>119.304350540171</v>
      </c>
      <c r="ED54" s="2212">
        <v>107.27692930684201</v>
      </c>
      <c r="EE54" s="2212">
        <v>136.38895530963001</v>
      </c>
      <c r="EF54" s="2212">
        <v>148.01348756602599</v>
      </c>
      <c r="EG54" s="2212">
        <v>147.84114676413699</v>
      </c>
      <c r="EH54" s="2212">
        <v>133.46631937111101</v>
      </c>
      <c r="EI54" s="2212">
        <v>140.25398745183901</v>
      </c>
      <c r="EJ54" s="2212">
        <v>188.61029928238301</v>
      </c>
      <c r="EK54" s="2212">
        <v>103.901052769508</v>
      </c>
      <c r="EL54" s="2212">
        <v>202.51666503536501</v>
      </c>
      <c r="EM54" s="2212">
        <v>150.118710987562</v>
      </c>
      <c r="EN54" s="2212">
        <v>134.635929513912</v>
      </c>
      <c r="EO54" s="2213">
        <v>174.644163420518</v>
      </c>
      <c r="ER54" s="1829">
        <v>44</v>
      </c>
      <c r="ES54" s="1830">
        <v>2.5679290234056</v>
      </c>
      <c r="ET54" s="644"/>
      <c r="EU54" s="2156">
        <v>44</v>
      </c>
      <c r="EV54" s="2090" t="s">
        <v>162</v>
      </c>
      <c r="EW54" s="2090" t="s">
        <v>1910</v>
      </c>
      <c r="EX54" s="2090" t="str">
        <f>Translation!B$580</f>
        <v>Nein</v>
      </c>
    </row>
    <row r="55" spans="2:154" ht="12.75" x14ac:dyDescent="0.2">
      <c r="B55" s="2090">
        <v>45</v>
      </c>
      <c r="C55" s="2090" t="s">
        <v>162</v>
      </c>
      <c r="D55" s="2090" t="s">
        <v>1911</v>
      </c>
      <c r="E55" s="2090" t="str">
        <f>Translation!B$579</f>
        <v>Ja</v>
      </c>
      <c r="F55" s="1622">
        <v>45</v>
      </c>
      <c r="G55" s="2211">
        <v>1421.4283333333301</v>
      </c>
      <c r="H55" s="2212">
        <v>21</v>
      </c>
      <c r="I55" s="2212">
        <v>135.25</v>
      </c>
      <c r="J55" s="2212">
        <v>2152.9341666666701</v>
      </c>
      <c r="K55" s="2212">
        <v>774.40916666666703</v>
      </c>
      <c r="L55" s="2212">
        <v>469.63749999999999</v>
      </c>
      <c r="M55" s="2212">
        <v>613.04833333333295</v>
      </c>
      <c r="N55" s="2212">
        <v>770.02083333333303</v>
      </c>
      <c r="O55" s="2212">
        <v>108.003333333333</v>
      </c>
      <c r="P55" s="2212">
        <v>455.88749999999999</v>
      </c>
      <c r="Q55" s="2212">
        <v>143.143333333333</v>
      </c>
      <c r="R55" s="2212">
        <v>751.65583333333302</v>
      </c>
      <c r="S55" s="2212">
        <v>366.84416666666698</v>
      </c>
      <c r="T55" s="2212">
        <v>82.919166666666698</v>
      </c>
      <c r="U55" s="2212">
        <v>76.263333333333307</v>
      </c>
      <c r="V55" s="2212">
        <v>1053.8958333333301</v>
      </c>
      <c r="W55" s="2212">
        <v>204.98916666666699</v>
      </c>
      <c r="X55" s="2212">
        <v>673.78499999999997</v>
      </c>
      <c r="Y55" s="2212">
        <v>324.46083333333303</v>
      </c>
      <c r="Z55" s="2212">
        <v>662.32833333333303</v>
      </c>
      <c r="AA55" s="2212">
        <v>762.26916666666705</v>
      </c>
      <c r="AB55" s="2212">
        <v>73.047499999999999</v>
      </c>
      <c r="AC55" s="2212">
        <v>1289.3741666666699</v>
      </c>
      <c r="AD55" s="2212">
        <v>642.61583333333294</v>
      </c>
      <c r="AE55" s="2212">
        <v>243.803333333333</v>
      </c>
      <c r="AF55" s="2213">
        <v>2578.42333333333</v>
      </c>
      <c r="AH55" s="1829">
        <v>45</v>
      </c>
      <c r="AI55" s="2124">
        <f>Risk_Compensation!H62*(Risk_Compensation!AK62+CO$144)*12/1000000</f>
        <v>0</v>
      </c>
      <c r="AJ55" s="2121">
        <f>Risk_Compensation!I62*(Risk_Compensation!AL62+CP$144)*12/1000000</f>
        <v>0</v>
      </c>
      <c r="AK55" s="2121">
        <f>Risk_Compensation!J62*(Risk_Compensation!AM62+CQ$144)*12/1000000</f>
        <v>0</v>
      </c>
      <c r="AL55" s="2121">
        <f>Risk_Compensation!K62*(Risk_Compensation!AN62+CR$144)*12/1000000</f>
        <v>0</v>
      </c>
      <c r="AM55" s="2121">
        <f>Risk_Compensation!L62*(Risk_Compensation!AO62+CS$144)*12/1000000</f>
        <v>0</v>
      </c>
      <c r="AN55" s="2121">
        <f>Risk_Compensation!M62*(Risk_Compensation!AP62+CT$144)*12/1000000</f>
        <v>0</v>
      </c>
      <c r="AO55" s="2121">
        <f>Risk_Compensation!N62*(Risk_Compensation!AQ62+CU$144)*12/1000000</f>
        <v>0</v>
      </c>
      <c r="AP55" s="2121">
        <f>Risk_Compensation!O62*(Risk_Compensation!AR62+CV$144)*12/1000000</f>
        <v>0</v>
      </c>
      <c r="AQ55" s="2121">
        <f>Risk_Compensation!P62*(Risk_Compensation!AS62+CW$144)*12/1000000</f>
        <v>0</v>
      </c>
      <c r="AR55" s="2121">
        <f>Risk_Compensation!Q62*(Risk_Compensation!AT62+CX$144)*12/1000000</f>
        <v>0</v>
      </c>
      <c r="AS55" s="2121">
        <f>Risk_Compensation!R62*(Risk_Compensation!AU62+CY$144)*12/1000000</f>
        <v>0</v>
      </c>
      <c r="AT55" s="2121">
        <f>Risk_Compensation!S62*(Risk_Compensation!AV62+CZ$144)*12/1000000</f>
        <v>0</v>
      </c>
      <c r="AU55" s="2121">
        <f>Risk_Compensation!T62*(Risk_Compensation!AW62+DA$144)*12/1000000</f>
        <v>0</v>
      </c>
      <c r="AV55" s="2121">
        <f>Risk_Compensation!U62*(Risk_Compensation!AX62+DB$144)*12/1000000</f>
        <v>0</v>
      </c>
      <c r="AW55" s="2121">
        <f>Risk_Compensation!V62*(Risk_Compensation!AY62+DC$144)*12/1000000</f>
        <v>0</v>
      </c>
      <c r="AX55" s="2121">
        <f>Risk_Compensation!W62*(Risk_Compensation!AZ62+DD$144)*12/1000000</f>
        <v>0</v>
      </c>
      <c r="AY55" s="2121">
        <f>Risk_Compensation!X62*(Risk_Compensation!BA62+DE$144)*12/1000000</f>
        <v>0</v>
      </c>
      <c r="AZ55" s="2121">
        <f>Risk_Compensation!Y62*(Risk_Compensation!BB62+DF$144)*12/1000000</f>
        <v>0</v>
      </c>
      <c r="BA55" s="2121">
        <f>Risk_Compensation!Z62*(Risk_Compensation!BC62+DG$144)*12/1000000</f>
        <v>0</v>
      </c>
      <c r="BB55" s="2121">
        <f>Risk_Compensation!AA62*(Risk_Compensation!BD62+DH$144)*12/1000000</f>
        <v>0</v>
      </c>
      <c r="BC55" s="2121">
        <f>Risk_Compensation!AB62*(Risk_Compensation!BE62+DI$144)*12/1000000</f>
        <v>0</v>
      </c>
      <c r="BD55" s="2121">
        <f>Risk_Compensation!AC62*(Risk_Compensation!BF62+DJ$144)*12/1000000</f>
        <v>0</v>
      </c>
      <c r="BE55" s="2121">
        <f>Risk_Compensation!AD62*(Risk_Compensation!BG62+DK$144)*12/1000000</f>
        <v>0</v>
      </c>
      <c r="BF55" s="2121">
        <f>Risk_Compensation!AE62*(Risk_Compensation!BH62+DL$144)*12/1000000</f>
        <v>0</v>
      </c>
      <c r="BG55" s="2121">
        <f>Risk_Compensation!AF62*(Risk_Compensation!BI62+DM$144)*12/1000000</f>
        <v>0</v>
      </c>
      <c r="BH55" s="2125">
        <f>Risk_Compensation!AG62*(Risk_Compensation!BJ62+DN$144)*12/1000000</f>
        <v>0</v>
      </c>
      <c r="BI55" s="644"/>
      <c r="BJ55" s="1829">
        <v>45</v>
      </c>
      <c r="BK55" s="2138">
        <f>IF(G55&lt;=0,0,(Risk_Compensation!H62/G55-Risk_Compensation!H$79/G$72-0.5*CO$167*($CK55-CO$135/G$72))*G55)</f>
        <v>0</v>
      </c>
      <c r="BL55" s="2139">
        <f>IF(H55&lt;=0,0,(Risk_Compensation!I62/H55-Risk_Compensation!I$79/H$72-0.5*CP$167*($CK55-CP$135/H$72))*H55)</f>
        <v>0</v>
      </c>
      <c r="BM55" s="2139">
        <f>IF(I55&lt;=0,0,(Risk_Compensation!J62/I55-Risk_Compensation!J$79/I$72-0.5*CQ$167*($CK55-CQ$135/I$72))*I55)</f>
        <v>0</v>
      </c>
      <c r="BN55" s="2139">
        <f>IF(J55&lt;=0,0,(Risk_Compensation!K62/J55-Risk_Compensation!K$79/J$72-0.5*CR$167*($CK55-CR$135/J$72))*J55)</f>
        <v>0</v>
      </c>
      <c r="BO55" s="2139">
        <f>IF(K55&lt;=0,0,(Risk_Compensation!L62/K55-Risk_Compensation!L$79/K$72-0.5*CS$167*($CK55-CS$135/K$72))*K55)</f>
        <v>0</v>
      </c>
      <c r="BP55" s="2139">
        <f>IF(L55&lt;=0,0,(Risk_Compensation!M62/L55-Risk_Compensation!M$79/L$72-0.5*CT$167*($CK55-CT$135/L$72))*L55)</f>
        <v>0</v>
      </c>
      <c r="BQ55" s="2139">
        <f>IF(M55&lt;=0,0,(Risk_Compensation!N62/M55-Risk_Compensation!N$79/M$72-0.5*CU$167*($CK55-CU$135/M$72))*M55)</f>
        <v>0</v>
      </c>
      <c r="BR55" s="2139">
        <f>IF(N55&lt;=0,0,(Risk_Compensation!O62/N55-Risk_Compensation!O$79/N$72-0.5*CV$167*($CK55-CV$135/N$72))*N55)</f>
        <v>0</v>
      </c>
      <c r="BS55" s="2139">
        <f>IF(O55&lt;=0,0,(Risk_Compensation!P62/O55-Risk_Compensation!P$79/O$72-0.5*CW$167*($CK55-CW$135/O$72))*O55)</f>
        <v>0</v>
      </c>
      <c r="BT55" s="2139">
        <f>IF(P55&lt;=0,0,(Risk_Compensation!Q62/P55-Risk_Compensation!Q$79/P$72-0.5*CX$167*($CK55-CX$135/P$72))*P55)</f>
        <v>0</v>
      </c>
      <c r="BU55" s="2139">
        <f>IF(Q55&lt;=0,0,(Risk_Compensation!R62/Q55-Risk_Compensation!R$79/Q$72-0.5*CY$167*($CK55-CY$135/Q$72))*Q55)</f>
        <v>0</v>
      </c>
      <c r="BV55" s="2139">
        <f>IF(R55&lt;=0,0,(Risk_Compensation!S62/R55-Risk_Compensation!S$79/R$72-0.5*CZ$167*($CK55-CZ$135/R$72))*R55)</f>
        <v>0</v>
      </c>
      <c r="BW55" s="2139">
        <f>IF(S55&lt;=0,0,(Risk_Compensation!T62/S55-Risk_Compensation!T$79/S$72-0.5*DA$167*($CK55-DA$135/S$72))*S55)</f>
        <v>0</v>
      </c>
      <c r="BX55" s="2139">
        <f>IF(T55&lt;=0,0,(Risk_Compensation!U62/T55-Risk_Compensation!U$79/T$72-0.5*DB$167*($CK55-DB$135/T$72))*T55)</f>
        <v>0</v>
      </c>
      <c r="BY55" s="2139">
        <f>IF(U55&lt;=0,0,(Risk_Compensation!V62/U55-Risk_Compensation!V$79/U$72-0.5*DC$167*($CK55-DC$135/U$72))*U55)</f>
        <v>0</v>
      </c>
      <c r="BZ55" s="2139">
        <f>IF(V55&lt;=0,0,(Risk_Compensation!W62/V55-Risk_Compensation!W$79/V$72-0.5*DD$167*($CK55-DD$135/V$72))*V55)</f>
        <v>0</v>
      </c>
      <c r="CA55" s="2139">
        <f>IF(W55&lt;=0,0,(Risk_Compensation!X62/W55-Risk_Compensation!X$79/W$72-0.5*DE$167*($CK55-DE$135/W$72))*W55)</f>
        <v>0</v>
      </c>
      <c r="CB55" s="2139">
        <f>IF(X55&lt;=0,0,(Risk_Compensation!Y62/X55-Risk_Compensation!Y$79/X$72-0.5*DF$167*($CK55-DF$135/X$72))*X55)</f>
        <v>0</v>
      </c>
      <c r="CC55" s="2139">
        <f>IF(Y55&lt;=0,0,(Risk_Compensation!Z62/Y55-Risk_Compensation!Z$79/Y$72-0.5*DG$167*($CK55-DG$135/Y$72))*Y55)</f>
        <v>0</v>
      </c>
      <c r="CD55" s="2139">
        <f>IF(Z55&lt;=0,0,(Risk_Compensation!AA62/Z55-Risk_Compensation!AA$79/Z$72-0.5*DH$167*($CK55-DH$135/Z$72))*Z55)</f>
        <v>0</v>
      </c>
      <c r="CE55" s="2139">
        <f>IF(AA55&lt;=0,0,(Risk_Compensation!AB62/AA55-Risk_Compensation!AB$79/AA$72-0.5*DI$167*($CK55-DI$135/AA$72))*AA55)</f>
        <v>0</v>
      </c>
      <c r="CF55" s="2139">
        <f>IF(AB55&lt;=0,0,(Risk_Compensation!AC62/AB55-Risk_Compensation!AC$79/AB$72-0.5*DJ$167*($CK55-DJ$135/AB$72))*AB55)</f>
        <v>0</v>
      </c>
      <c r="CG55" s="2139">
        <f>IF(AC55&lt;=0,0,(Risk_Compensation!AD62/AC55-Risk_Compensation!AD$79/AC$72-0.5*DK$167*($CK55-DK$135/AC$72))*AC55)</f>
        <v>0</v>
      </c>
      <c r="CH55" s="2139">
        <f>IF(AD55&lt;=0,0,(Risk_Compensation!AE62/AD55-Risk_Compensation!AE$79/AD$72-0.5*DL$167*($CK55-DL$135/AD$72))*AD55)</f>
        <v>0</v>
      </c>
      <c r="CI55" s="2139">
        <f>IF(AE55&lt;=0,0,(Risk_Compensation!AF62/AE55-Risk_Compensation!AF$79/AE$72-0.5*DM$167*($CK55-DM$135/AE$72))*AE55)</f>
        <v>0</v>
      </c>
      <c r="CJ55" s="2140">
        <f>IF(AF55&lt;=0,0,(Risk_Compensation!AG62/AF55-Risk_Compensation!AG$79/AF$72-0.5*DN$167*($CK55-DN$135/AF$72))*AF55)</f>
        <v>0</v>
      </c>
      <c r="CK55" s="2166">
        <v>0</v>
      </c>
      <c r="CL55" s="644"/>
      <c r="CM55" s="1829">
        <v>45</v>
      </c>
      <c r="CN55" s="2149">
        <f t="shared" si="26"/>
        <v>0</v>
      </c>
      <c r="CO55" s="2150">
        <f t="shared" si="27"/>
        <v>0</v>
      </c>
      <c r="CP55" s="2150">
        <f t="shared" si="28"/>
        <v>0</v>
      </c>
      <c r="CQ55" s="2150">
        <f t="shared" si="29"/>
        <v>0</v>
      </c>
      <c r="CR55" s="2150">
        <f t="shared" si="30"/>
        <v>0</v>
      </c>
      <c r="CS55" s="2150">
        <f t="shared" si="31"/>
        <v>0</v>
      </c>
      <c r="CT55" s="2150">
        <f t="shared" si="32"/>
        <v>0</v>
      </c>
      <c r="CU55" s="2150">
        <f t="shared" si="33"/>
        <v>0</v>
      </c>
      <c r="CV55" s="2150">
        <f t="shared" si="34"/>
        <v>0</v>
      </c>
      <c r="CW55" s="2150">
        <f t="shared" si="35"/>
        <v>0</v>
      </c>
      <c r="CX55" s="2150">
        <f t="shared" si="36"/>
        <v>0</v>
      </c>
      <c r="CY55" s="2150">
        <f t="shared" si="37"/>
        <v>0</v>
      </c>
      <c r="CZ55" s="2150">
        <f t="shared" si="38"/>
        <v>0</v>
      </c>
      <c r="DA55" s="2150">
        <f t="shared" si="39"/>
        <v>0</v>
      </c>
      <c r="DB55" s="2150">
        <f t="shared" si="40"/>
        <v>0</v>
      </c>
      <c r="DC55" s="2150">
        <f t="shared" si="41"/>
        <v>0</v>
      </c>
      <c r="DD55" s="2150">
        <f t="shared" si="42"/>
        <v>0</v>
      </c>
      <c r="DE55" s="2150">
        <f t="shared" si="43"/>
        <v>0</v>
      </c>
      <c r="DF55" s="2150">
        <f t="shared" si="44"/>
        <v>0</v>
      </c>
      <c r="DG55" s="2150">
        <f t="shared" si="45"/>
        <v>0</v>
      </c>
      <c r="DH55" s="2150">
        <f t="shared" si="46"/>
        <v>0</v>
      </c>
      <c r="DI55" s="2150">
        <f t="shared" si="47"/>
        <v>0</v>
      </c>
      <c r="DJ55" s="2150">
        <f t="shared" si="48"/>
        <v>0</v>
      </c>
      <c r="DK55" s="2150">
        <f t="shared" si="49"/>
        <v>0</v>
      </c>
      <c r="DL55" s="2150">
        <f t="shared" si="50"/>
        <v>0</v>
      </c>
      <c r="DM55" s="2151">
        <f t="shared" si="51"/>
        <v>0</v>
      </c>
      <c r="DN55" s="644"/>
      <c r="DO55" s="1829">
        <v>45</v>
      </c>
      <c r="DP55" s="2211">
        <v>802.97313136653599</v>
      </c>
      <c r="DQ55" s="2212">
        <v>97.966139401292097</v>
      </c>
      <c r="DR55" s="2212">
        <v>1069.8648204931501</v>
      </c>
      <c r="DS55" s="2212">
        <v>786.87217238013704</v>
      </c>
      <c r="DT55" s="2212">
        <v>866.29435041701197</v>
      </c>
      <c r="DU55" s="2212">
        <v>1095.1472972753299</v>
      </c>
      <c r="DV55" s="2212">
        <v>824.45795722860703</v>
      </c>
      <c r="DW55" s="2212">
        <v>1298.0099479753101</v>
      </c>
      <c r="DX55" s="2212">
        <v>644.22918083615605</v>
      </c>
      <c r="DY55" s="2212">
        <v>882.46241948399404</v>
      </c>
      <c r="DZ55" s="2212">
        <v>773.11696853398405</v>
      </c>
      <c r="EA55" s="2212">
        <v>786.77588915983597</v>
      </c>
      <c r="EB55" s="2212">
        <v>996.41600650625003</v>
      </c>
      <c r="EC55" s="2212">
        <v>927.81318587111605</v>
      </c>
      <c r="ED55" s="2212">
        <v>797.48325804899298</v>
      </c>
      <c r="EE55" s="2212">
        <v>662.69593318867805</v>
      </c>
      <c r="EF55" s="2212">
        <v>574.66615845536705</v>
      </c>
      <c r="EG55" s="2212">
        <v>781.50652828276998</v>
      </c>
      <c r="EH55" s="2212">
        <v>629.93376902038199</v>
      </c>
      <c r="EI55" s="2212">
        <v>894.38156473929098</v>
      </c>
      <c r="EJ55" s="2212">
        <v>934.61239104187496</v>
      </c>
      <c r="EK55" s="2212">
        <v>356.92948695334297</v>
      </c>
      <c r="EL55" s="2212">
        <v>1130.5495438709499</v>
      </c>
      <c r="EM55" s="2212">
        <v>893.23639010992895</v>
      </c>
      <c r="EN55" s="2212">
        <v>808.89220452181405</v>
      </c>
      <c r="EO55" s="2213">
        <v>877.99129789759297</v>
      </c>
      <c r="ER55" s="1829">
        <v>45</v>
      </c>
      <c r="ES55" s="1830">
        <v>1.7381616281432899</v>
      </c>
      <c r="ET55" s="644"/>
      <c r="EU55" s="2156">
        <v>45</v>
      </c>
      <c r="EV55" s="2090" t="s">
        <v>162</v>
      </c>
      <c r="EW55" s="2090" t="s">
        <v>1911</v>
      </c>
      <c r="EX55" s="2090" t="str">
        <f>Translation!B$579</f>
        <v>Ja</v>
      </c>
    </row>
    <row r="56" spans="2:154" ht="12.75" x14ac:dyDescent="0.2">
      <c r="B56" s="2090">
        <v>46</v>
      </c>
      <c r="C56" s="2090" t="s">
        <v>162</v>
      </c>
      <c r="D56" s="2090" t="s">
        <v>1911</v>
      </c>
      <c r="E56" s="2090" t="str">
        <f>Translation!B$580</f>
        <v>Nein</v>
      </c>
      <c r="F56" s="1622">
        <v>46</v>
      </c>
      <c r="G56" s="2211">
        <v>25490.26</v>
      </c>
      <c r="H56" s="2212">
        <v>641.68583333333299</v>
      </c>
      <c r="I56" s="2212">
        <v>2113.29833333333</v>
      </c>
      <c r="J56" s="2212">
        <v>37256.996666666702</v>
      </c>
      <c r="K56" s="2212">
        <v>11017.705833333301</v>
      </c>
      <c r="L56" s="2212">
        <v>6221.4525000000003</v>
      </c>
      <c r="M56" s="2212">
        <v>11555.9066666667</v>
      </c>
      <c r="N56" s="2212">
        <v>16209.1391666667</v>
      </c>
      <c r="O56" s="2212">
        <v>1496.9275</v>
      </c>
      <c r="P56" s="2212">
        <v>7556.6175000000003</v>
      </c>
      <c r="Q56" s="2212">
        <v>2632.72166666667</v>
      </c>
      <c r="R56" s="2212">
        <v>14970.5425</v>
      </c>
      <c r="S56" s="2212">
        <v>6024.2166666666699</v>
      </c>
      <c r="T56" s="2212">
        <v>1747.34083333333</v>
      </c>
      <c r="U56" s="2212">
        <v>1415.99583333333</v>
      </c>
      <c r="V56" s="2212">
        <v>18245.840833333299</v>
      </c>
      <c r="W56" s="2212">
        <v>3040.4124999999999</v>
      </c>
      <c r="X56" s="2212">
        <v>10392.2358333333</v>
      </c>
      <c r="Y56" s="2212">
        <v>6316.6433333333298</v>
      </c>
      <c r="Z56" s="2212">
        <v>10765.410833333301</v>
      </c>
      <c r="AA56" s="2212">
        <v>14021.5858333333</v>
      </c>
      <c r="AB56" s="2212">
        <v>1270.99416666667</v>
      </c>
      <c r="AC56" s="2212">
        <v>27146.136666666702</v>
      </c>
      <c r="AD56" s="2212">
        <v>13256.385</v>
      </c>
      <c r="AE56" s="2212">
        <v>4769.6608333333297</v>
      </c>
      <c r="AF56" s="2213">
        <v>51254.246666666702</v>
      </c>
      <c r="AH56" s="1829">
        <v>46</v>
      </c>
      <c r="AI56" s="2124">
        <f>Risk_Compensation!H63*(Risk_Compensation!AK63+CO$144)*12/1000000</f>
        <v>0</v>
      </c>
      <c r="AJ56" s="2121">
        <f>Risk_Compensation!I63*(Risk_Compensation!AL63+CP$144)*12/1000000</f>
        <v>0</v>
      </c>
      <c r="AK56" s="2121">
        <f>Risk_Compensation!J63*(Risk_Compensation!AM63+CQ$144)*12/1000000</f>
        <v>0</v>
      </c>
      <c r="AL56" s="2121">
        <f>Risk_Compensation!K63*(Risk_Compensation!AN63+CR$144)*12/1000000</f>
        <v>0</v>
      </c>
      <c r="AM56" s="2121">
        <f>Risk_Compensation!L63*(Risk_Compensation!AO63+CS$144)*12/1000000</f>
        <v>0</v>
      </c>
      <c r="AN56" s="2121">
        <f>Risk_Compensation!M63*(Risk_Compensation!AP63+CT$144)*12/1000000</f>
        <v>0</v>
      </c>
      <c r="AO56" s="2121">
        <f>Risk_Compensation!N63*(Risk_Compensation!AQ63+CU$144)*12/1000000</f>
        <v>0</v>
      </c>
      <c r="AP56" s="2121">
        <f>Risk_Compensation!O63*(Risk_Compensation!AR63+CV$144)*12/1000000</f>
        <v>0</v>
      </c>
      <c r="AQ56" s="2121">
        <f>Risk_Compensation!P63*(Risk_Compensation!AS63+CW$144)*12/1000000</f>
        <v>0</v>
      </c>
      <c r="AR56" s="2121">
        <f>Risk_Compensation!Q63*(Risk_Compensation!AT63+CX$144)*12/1000000</f>
        <v>0</v>
      </c>
      <c r="AS56" s="2121">
        <f>Risk_Compensation!R63*(Risk_Compensation!AU63+CY$144)*12/1000000</f>
        <v>0</v>
      </c>
      <c r="AT56" s="2121">
        <f>Risk_Compensation!S63*(Risk_Compensation!AV63+CZ$144)*12/1000000</f>
        <v>0</v>
      </c>
      <c r="AU56" s="2121">
        <f>Risk_Compensation!T63*(Risk_Compensation!AW63+DA$144)*12/1000000</f>
        <v>0</v>
      </c>
      <c r="AV56" s="2121">
        <f>Risk_Compensation!U63*(Risk_Compensation!AX63+DB$144)*12/1000000</f>
        <v>0</v>
      </c>
      <c r="AW56" s="2121">
        <f>Risk_Compensation!V63*(Risk_Compensation!AY63+DC$144)*12/1000000</f>
        <v>0</v>
      </c>
      <c r="AX56" s="2121">
        <f>Risk_Compensation!W63*(Risk_Compensation!AZ63+DD$144)*12/1000000</f>
        <v>0</v>
      </c>
      <c r="AY56" s="2121">
        <f>Risk_Compensation!X63*(Risk_Compensation!BA63+DE$144)*12/1000000</f>
        <v>0</v>
      </c>
      <c r="AZ56" s="2121">
        <f>Risk_Compensation!Y63*(Risk_Compensation!BB63+DF$144)*12/1000000</f>
        <v>0</v>
      </c>
      <c r="BA56" s="2121">
        <f>Risk_Compensation!Z63*(Risk_Compensation!BC63+DG$144)*12/1000000</f>
        <v>0</v>
      </c>
      <c r="BB56" s="2121">
        <f>Risk_Compensation!AA63*(Risk_Compensation!BD63+DH$144)*12/1000000</f>
        <v>0</v>
      </c>
      <c r="BC56" s="2121">
        <f>Risk_Compensation!AB63*(Risk_Compensation!BE63+DI$144)*12/1000000</f>
        <v>0</v>
      </c>
      <c r="BD56" s="2121">
        <f>Risk_Compensation!AC63*(Risk_Compensation!BF63+DJ$144)*12/1000000</f>
        <v>0</v>
      </c>
      <c r="BE56" s="2121">
        <f>Risk_Compensation!AD63*(Risk_Compensation!BG63+DK$144)*12/1000000</f>
        <v>0</v>
      </c>
      <c r="BF56" s="2121">
        <f>Risk_Compensation!AE63*(Risk_Compensation!BH63+DL$144)*12/1000000</f>
        <v>0</v>
      </c>
      <c r="BG56" s="2121">
        <f>Risk_Compensation!AF63*(Risk_Compensation!BI63+DM$144)*12/1000000</f>
        <v>0</v>
      </c>
      <c r="BH56" s="2125">
        <f>Risk_Compensation!AG63*(Risk_Compensation!BJ63+DN$144)*12/1000000</f>
        <v>0</v>
      </c>
      <c r="BI56" s="644"/>
      <c r="BJ56" s="1829">
        <v>46</v>
      </c>
      <c r="BK56" s="2138">
        <f>IF(G56&lt;=0,0,(Risk_Compensation!H63/G56-Risk_Compensation!H$79/G$72-0.5*CO$167*($CK56-CO$135/G$72))*G56)</f>
        <v>0</v>
      </c>
      <c r="BL56" s="2139">
        <f>IF(H56&lt;=0,0,(Risk_Compensation!I63/H56-Risk_Compensation!I$79/H$72-0.5*CP$167*($CK56-CP$135/H$72))*H56)</f>
        <v>0</v>
      </c>
      <c r="BM56" s="2139">
        <f>IF(I56&lt;=0,0,(Risk_Compensation!J63/I56-Risk_Compensation!J$79/I$72-0.5*CQ$167*($CK56-CQ$135/I$72))*I56)</f>
        <v>0</v>
      </c>
      <c r="BN56" s="2139">
        <f>IF(J56&lt;=0,0,(Risk_Compensation!K63/J56-Risk_Compensation!K$79/J$72-0.5*CR$167*($CK56-CR$135/J$72))*J56)</f>
        <v>0</v>
      </c>
      <c r="BO56" s="2139">
        <f>IF(K56&lt;=0,0,(Risk_Compensation!L63/K56-Risk_Compensation!L$79/K$72-0.5*CS$167*($CK56-CS$135/K$72))*K56)</f>
        <v>0</v>
      </c>
      <c r="BP56" s="2139">
        <f>IF(L56&lt;=0,0,(Risk_Compensation!M63/L56-Risk_Compensation!M$79/L$72-0.5*CT$167*($CK56-CT$135/L$72))*L56)</f>
        <v>0</v>
      </c>
      <c r="BQ56" s="2139">
        <f>IF(M56&lt;=0,0,(Risk_Compensation!N63/M56-Risk_Compensation!N$79/M$72-0.5*CU$167*($CK56-CU$135/M$72))*M56)</f>
        <v>0</v>
      </c>
      <c r="BR56" s="2139">
        <f>IF(N56&lt;=0,0,(Risk_Compensation!O63/N56-Risk_Compensation!O$79/N$72-0.5*CV$167*($CK56-CV$135/N$72))*N56)</f>
        <v>0</v>
      </c>
      <c r="BS56" s="2139">
        <f>IF(O56&lt;=0,0,(Risk_Compensation!P63/O56-Risk_Compensation!P$79/O$72-0.5*CW$167*($CK56-CW$135/O$72))*O56)</f>
        <v>0</v>
      </c>
      <c r="BT56" s="2139">
        <f>IF(P56&lt;=0,0,(Risk_Compensation!Q63/P56-Risk_Compensation!Q$79/P$72-0.5*CX$167*($CK56-CX$135/P$72))*P56)</f>
        <v>0</v>
      </c>
      <c r="BU56" s="2139">
        <f>IF(Q56&lt;=0,0,(Risk_Compensation!R63/Q56-Risk_Compensation!R$79/Q$72-0.5*CY$167*($CK56-CY$135/Q$72))*Q56)</f>
        <v>0</v>
      </c>
      <c r="BV56" s="2139">
        <f>IF(R56&lt;=0,0,(Risk_Compensation!S63/R56-Risk_Compensation!S$79/R$72-0.5*CZ$167*($CK56-CZ$135/R$72))*R56)</f>
        <v>0</v>
      </c>
      <c r="BW56" s="2139">
        <f>IF(S56&lt;=0,0,(Risk_Compensation!T63/S56-Risk_Compensation!T$79/S$72-0.5*DA$167*($CK56-DA$135/S$72))*S56)</f>
        <v>0</v>
      </c>
      <c r="BX56" s="2139">
        <f>IF(T56&lt;=0,0,(Risk_Compensation!U63/T56-Risk_Compensation!U$79/T$72-0.5*DB$167*($CK56-DB$135/T$72))*T56)</f>
        <v>0</v>
      </c>
      <c r="BY56" s="2139">
        <f>IF(U56&lt;=0,0,(Risk_Compensation!V63/U56-Risk_Compensation!V$79/U$72-0.5*DC$167*($CK56-DC$135/U$72))*U56)</f>
        <v>0</v>
      </c>
      <c r="BZ56" s="2139">
        <f>IF(V56&lt;=0,0,(Risk_Compensation!W63/V56-Risk_Compensation!W$79/V$72-0.5*DD$167*($CK56-DD$135/V$72))*V56)</f>
        <v>0</v>
      </c>
      <c r="CA56" s="2139">
        <f>IF(W56&lt;=0,0,(Risk_Compensation!X63/W56-Risk_Compensation!X$79/W$72-0.5*DE$167*($CK56-DE$135/W$72))*W56)</f>
        <v>0</v>
      </c>
      <c r="CB56" s="2139">
        <f>IF(X56&lt;=0,0,(Risk_Compensation!Y63/X56-Risk_Compensation!Y$79/X$72-0.5*DF$167*($CK56-DF$135/X$72))*X56)</f>
        <v>0</v>
      </c>
      <c r="CC56" s="2139">
        <f>IF(Y56&lt;=0,0,(Risk_Compensation!Z63/Y56-Risk_Compensation!Z$79/Y$72-0.5*DG$167*($CK56-DG$135/Y$72))*Y56)</f>
        <v>0</v>
      </c>
      <c r="CD56" s="2139">
        <f>IF(Z56&lt;=0,0,(Risk_Compensation!AA63/Z56-Risk_Compensation!AA$79/Z$72-0.5*DH$167*($CK56-DH$135/Z$72))*Z56)</f>
        <v>0</v>
      </c>
      <c r="CE56" s="2139">
        <f>IF(AA56&lt;=0,0,(Risk_Compensation!AB63/AA56-Risk_Compensation!AB$79/AA$72-0.5*DI$167*($CK56-DI$135/AA$72))*AA56)</f>
        <v>0</v>
      </c>
      <c r="CF56" s="2139">
        <f>IF(AB56&lt;=0,0,(Risk_Compensation!AC63/AB56-Risk_Compensation!AC$79/AB$72-0.5*DJ$167*($CK56-DJ$135/AB$72))*AB56)</f>
        <v>0</v>
      </c>
      <c r="CG56" s="2139">
        <f>IF(AC56&lt;=0,0,(Risk_Compensation!AD63/AC56-Risk_Compensation!AD$79/AC$72-0.5*DK$167*($CK56-DK$135/AC$72))*AC56)</f>
        <v>0</v>
      </c>
      <c r="CH56" s="2139">
        <f>IF(AD56&lt;=0,0,(Risk_Compensation!AE63/AD56-Risk_Compensation!AE$79/AD$72-0.5*DL$167*($CK56-DL$135/AD$72))*AD56)</f>
        <v>0</v>
      </c>
      <c r="CI56" s="2139">
        <f>IF(AE56&lt;=0,0,(Risk_Compensation!AF63/AE56-Risk_Compensation!AF$79/AE$72-0.5*DM$167*($CK56-DM$135/AE$72))*AE56)</f>
        <v>0</v>
      </c>
      <c r="CJ56" s="2140">
        <f>IF(AF56&lt;=0,0,(Risk_Compensation!AG63/AF56-Risk_Compensation!AG$79/AF$72-0.5*DN$167*($CK56-DN$135/AF$72))*AF56)</f>
        <v>0</v>
      </c>
      <c r="CK56" s="2166">
        <v>0</v>
      </c>
      <c r="CL56" s="644"/>
      <c r="CM56" s="1829">
        <v>46</v>
      </c>
      <c r="CN56" s="2149">
        <f t="shared" si="26"/>
        <v>0</v>
      </c>
      <c r="CO56" s="2150">
        <f t="shared" si="27"/>
        <v>0</v>
      </c>
      <c r="CP56" s="2150">
        <f t="shared" si="28"/>
        <v>0</v>
      </c>
      <c r="CQ56" s="2150">
        <f t="shared" si="29"/>
        <v>0</v>
      </c>
      <c r="CR56" s="2150">
        <f t="shared" si="30"/>
        <v>0</v>
      </c>
      <c r="CS56" s="2150">
        <f t="shared" si="31"/>
        <v>0</v>
      </c>
      <c r="CT56" s="2150">
        <f t="shared" si="32"/>
        <v>0</v>
      </c>
      <c r="CU56" s="2150">
        <f t="shared" si="33"/>
        <v>0</v>
      </c>
      <c r="CV56" s="2150">
        <f t="shared" si="34"/>
        <v>0</v>
      </c>
      <c r="CW56" s="2150">
        <f t="shared" si="35"/>
        <v>0</v>
      </c>
      <c r="CX56" s="2150">
        <f t="shared" si="36"/>
        <v>0</v>
      </c>
      <c r="CY56" s="2150">
        <f t="shared" si="37"/>
        <v>0</v>
      </c>
      <c r="CZ56" s="2150">
        <f t="shared" si="38"/>
        <v>0</v>
      </c>
      <c r="DA56" s="2150">
        <f t="shared" si="39"/>
        <v>0</v>
      </c>
      <c r="DB56" s="2150">
        <f t="shared" si="40"/>
        <v>0</v>
      </c>
      <c r="DC56" s="2150">
        <f t="shared" si="41"/>
        <v>0</v>
      </c>
      <c r="DD56" s="2150">
        <f t="shared" si="42"/>
        <v>0</v>
      </c>
      <c r="DE56" s="2150">
        <f t="shared" si="43"/>
        <v>0</v>
      </c>
      <c r="DF56" s="2150">
        <f t="shared" si="44"/>
        <v>0</v>
      </c>
      <c r="DG56" s="2150">
        <f t="shared" si="45"/>
        <v>0</v>
      </c>
      <c r="DH56" s="2150">
        <f t="shared" si="46"/>
        <v>0</v>
      </c>
      <c r="DI56" s="2150">
        <f t="shared" si="47"/>
        <v>0</v>
      </c>
      <c r="DJ56" s="2150">
        <f t="shared" si="48"/>
        <v>0</v>
      </c>
      <c r="DK56" s="2150">
        <f t="shared" si="49"/>
        <v>0</v>
      </c>
      <c r="DL56" s="2150">
        <f t="shared" si="50"/>
        <v>0</v>
      </c>
      <c r="DM56" s="2151">
        <f t="shared" si="51"/>
        <v>0</v>
      </c>
      <c r="DN56" s="644"/>
      <c r="DO56" s="1829">
        <v>46</v>
      </c>
      <c r="DP56" s="2211">
        <v>165.01626161888601</v>
      </c>
      <c r="DQ56" s="2212">
        <v>94.848087620274697</v>
      </c>
      <c r="DR56" s="2212">
        <v>122.40030439410199</v>
      </c>
      <c r="DS56" s="2212">
        <v>164.21061468343601</v>
      </c>
      <c r="DT56" s="2212">
        <v>187.632339870902</v>
      </c>
      <c r="DU56" s="2212">
        <v>216.85130149288199</v>
      </c>
      <c r="DV56" s="2212">
        <v>172.868473054438</v>
      </c>
      <c r="DW56" s="2212">
        <v>277.32122346521402</v>
      </c>
      <c r="DX56" s="2212">
        <v>142.92910597476001</v>
      </c>
      <c r="DY56" s="2212">
        <v>136.840537715344</v>
      </c>
      <c r="DZ56" s="2212">
        <v>124.083604222112</v>
      </c>
      <c r="EA56" s="2212">
        <v>152.48980487150101</v>
      </c>
      <c r="EB56" s="2212">
        <v>180.08335315316199</v>
      </c>
      <c r="EC56" s="2212">
        <v>144.52945496306901</v>
      </c>
      <c r="ED56" s="2212">
        <v>127.68821343206901</v>
      </c>
      <c r="EE56" s="2212">
        <v>137.27489047837801</v>
      </c>
      <c r="EF56" s="2212">
        <v>155.226015662283</v>
      </c>
      <c r="EG56" s="2212">
        <v>163.170396322307</v>
      </c>
      <c r="EH56" s="2212">
        <v>143.50742596507601</v>
      </c>
      <c r="EI56" s="2212">
        <v>155.293692991455</v>
      </c>
      <c r="EJ56" s="2212">
        <v>201.94795502015501</v>
      </c>
      <c r="EK56" s="2212">
        <v>110.648419154463</v>
      </c>
      <c r="EL56" s="2212">
        <v>211.50794584233799</v>
      </c>
      <c r="EM56" s="2212">
        <v>162.57217206845999</v>
      </c>
      <c r="EN56" s="2212">
        <v>140.55177871790301</v>
      </c>
      <c r="EO56" s="2213">
        <v>188.833193251051</v>
      </c>
      <c r="ER56" s="1829">
        <v>46</v>
      </c>
      <c r="ES56" s="1830">
        <v>2.5276928824412699</v>
      </c>
      <c r="ET56" s="644"/>
      <c r="EU56" s="2156">
        <v>46</v>
      </c>
      <c r="EV56" s="2090" t="s">
        <v>162</v>
      </c>
      <c r="EW56" s="2090" t="s">
        <v>1911</v>
      </c>
      <c r="EX56" s="2090" t="str">
        <f>Translation!B$580</f>
        <v>Nein</v>
      </c>
    </row>
    <row r="57" spans="2:154" ht="12.75" x14ac:dyDescent="0.2">
      <c r="B57" s="2090">
        <v>47</v>
      </c>
      <c r="C57" s="2090" t="s">
        <v>162</v>
      </c>
      <c r="D57" s="2090" t="s">
        <v>1912</v>
      </c>
      <c r="E57" s="2090" t="str">
        <f>Translation!B$579</f>
        <v>Ja</v>
      </c>
      <c r="F57" s="1622">
        <v>47</v>
      </c>
      <c r="G57" s="2211">
        <v>1511.46166666667</v>
      </c>
      <c r="H57" s="2212">
        <v>29.9166666666667</v>
      </c>
      <c r="I57" s="2212">
        <v>131.01916666666699</v>
      </c>
      <c r="J57" s="2212">
        <v>2385.1424999999999</v>
      </c>
      <c r="K57" s="2212">
        <v>826.07249999999999</v>
      </c>
      <c r="L57" s="2212">
        <v>513.23</v>
      </c>
      <c r="M57" s="2212">
        <v>651.245</v>
      </c>
      <c r="N57" s="2212">
        <v>788.51</v>
      </c>
      <c r="O57" s="2212">
        <v>123.865833333333</v>
      </c>
      <c r="P57" s="2212">
        <v>455.59916666666697</v>
      </c>
      <c r="Q57" s="2212">
        <v>195.44749999999999</v>
      </c>
      <c r="R57" s="2212">
        <v>851.44500000000005</v>
      </c>
      <c r="S57" s="2212">
        <v>348.29416666666702</v>
      </c>
      <c r="T57" s="2212">
        <v>93.3691666666667</v>
      </c>
      <c r="U57" s="2212">
        <v>89.876666666666694</v>
      </c>
      <c r="V57" s="2212">
        <v>1267.8858333333301</v>
      </c>
      <c r="W57" s="2212">
        <v>230.565</v>
      </c>
      <c r="X57" s="2212">
        <v>738.02333333333399</v>
      </c>
      <c r="Y57" s="2212">
        <v>326.20166666666699</v>
      </c>
      <c r="Z57" s="2212">
        <v>723.14750000000004</v>
      </c>
      <c r="AA57" s="2212">
        <v>816.43333333333305</v>
      </c>
      <c r="AB57" s="2212">
        <v>89.366666666666703</v>
      </c>
      <c r="AC57" s="2212">
        <v>1309.96583333333</v>
      </c>
      <c r="AD57" s="2212">
        <v>726.76833333333298</v>
      </c>
      <c r="AE57" s="2212">
        <v>261.86166666666702</v>
      </c>
      <c r="AF57" s="2213">
        <v>2901.97416666667</v>
      </c>
      <c r="AH57" s="1829">
        <v>47</v>
      </c>
      <c r="AI57" s="2124">
        <f>Risk_Compensation!H64*(Risk_Compensation!AK64+CO$144)*12/1000000</f>
        <v>0</v>
      </c>
      <c r="AJ57" s="2121">
        <f>Risk_Compensation!I64*(Risk_Compensation!AL64+CP$144)*12/1000000</f>
        <v>0</v>
      </c>
      <c r="AK57" s="2121">
        <f>Risk_Compensation!J64*(Risk_Compensation!AM64+CQ$144)*12/1000000</f>
        <v>0</v>
      </c>
      <c r="AL57" s="2121">
        <f>Risk_Compensation!K64*(Risk_Compensation!AN64+CR$144)*12/1000000</f>
        <v>0</v>
      </c>
      <c r="AM57" s="2121">
        <f>Risk_Compensation!L64*(Risk_Compensation!AO64+CS$144)*12/1000000</f>
        <v>0</v>
      </c>
      <c r="AN57" s="2121">
        <f>Risk_Compensation!M64*(Risk_Compensation!AP64+CT$144)*12/1000000</f>
        <v>0</v>
      </c>
      <c r="AO57" s="2121">
        <f>Risk_Compensation!N64*(Risk_Compensation!AQ64+CU$144)*12/1000000</f>
        <v>0</v>
      </c>
      <c r="AP57" s="2121">
        <f>Risk_Compensation!O64*(Risk_Compensation!AR64+CV$144)*12/1000000</f>
        <v>0</v>
      </c>
      <c r="AQ57" s="2121">
        <f>Risk_Compensation!P64*(Risk_Compensation!AS64+CW$144)*12/1000000</f>
        <v>0</v>
      </c>
      <c r="AR57" s="2121">
        <f>Risk_Compensation!Q64*(Risk_Compensation!AT64+CX$144)*12/1000000</f>
        <v>0</v>
      </c>
      <c r="AS57" s="2121">
        <f>Risk_Compensation!R64*(Risk_Compensation!AU64+CY$144)*12/1000000</f>
        <v>0</v>
      </c>
      <c r="AT57" s="2121">
        <f>Risk_Compensation!S64*(Risk_Compensation!AV64+CZ$144)*12/1000000</f>
        <v>0</v>
      </c>
      <c r="AU57" s="2121">
        <f>Risk_Compensation!T64*(Risk_Compensation!AW64+DA$144)*12/1000000</f>
        <v>0</v>
      </c>
      <c r="AV57" s="2121">
        <f>Risk_Compensation!U64*(Risk_Compensation!AX64+DB$144)*12/1000000</f>
        <v>0</v>
      </c>
      <c r="AW57" s="2121">
        <f>Risk_Compensation!V64*(Risk_Compensation!AY64+DC$144)*12/1000000</f>
        <v>0</v>
      </c>
      <c r="AX57" s="2121">
        <f>Risk_Compensation!W64*(Risk_Compensation!AZ64+DD$144)*12/1000000</f>
        <v>0</v>
      </c>
      <c r="AY57" s="2121">
        <f>Risk_Compensation!X64*(Risk_Compensation!BA64+DE$144)*12/1000000</f>
        <v>0</v>
      </c>
      <c r="AZ57" s="2121">
        <f>Risk_Compensation!Y64*(Risk_Compensation!BB64+DF$144)*12/1000000</f>
        <v>0</v>
      </c>
      <c r="BA57" s="2121">
        <f>Risk_Compensation!Z64*(Risk_Compensation!BC64+DG$144)*12/1000000</f>
        <v>0</v>
      </c>
      <c r="BB57" s="2121">
        <f>Risk_Compensation!AA64*(Risk_Compensation!BD64+DH$144)*12/1000000</f>
        <v>0</v>
      </c>
      <c r="BC57" s="2121">
        <f>Risk_Compensation!AB64*(Risk_Compensation!BE64+DI$144)*12/1000000</f>
        <v>0</v>
      </c>
      <c r="BD57" s="2121">
        <f>Risk_Compensation!AC64*(Risk_Compensation!BF64+DJ$144)*12/1000000</f>
        <v>0</v>
      </c>
      <c r="BE57" s="2121">
        <f>Risk_Compensation!AD64*(Risk_Compensation!BG64+DK$144)*12/1000000</f>
        <v>0</v>
      </c>
      <c r="BF57" s="2121">
        <f>Risk_Compensation!AE64*(Risk_Compensation!BH64+DL$144)*12/1000000</f>
        <v>0</v>
      </c>
      <c r="BG57" s="2121">
        <f>Risk_Compensation!AF64*(Risk_Compensation!BI64+DM$144)*12/1000000</f>
        <v>0</v>
      </c>
      <c r="BH57" s="2125">
        <f>Risk_Compensation!AG64*(Risk_Compensation!BJ64+DN$144)*12/1000000</f>
        <v>0</v>
      </c>
      <c r="BI57" s="644"/>
      <c r="BJ57" s="1829">
        <v>47</v>
      </c>
      <c r="BK57" s="2138">
        <f>IF(G57&lt;=0,0,(Risk_Compensation!H64/G57-Risk_Compensation!H$79/G$72-0.5*CO$167*($CK57-CO$135/G$72))*G57)</f>
        <v>0</v>
      </c>
      <c r="BL57" s="2139">
        <f>IF(H57&lt;=0,0,(Risk_Compensation!I64/H57-Risk_Compensation!I$79/H$72-0.5*CP$167*($CK57-CP$135/H$72))*H57)</f>
        <v>0</v>
      </c>
      <c r="BM57" s="2139">
        <f>IF(I57&lt;=0,0,(Risk_Compensation!J64/I57-Risk_Compensation!J$79/I$72-0.5*CQ$167*($CK57-CQ$135/I$72))*I57)</f>
        <v>0</v>
      </c>
      <c r="BN57" s="2139">
        <f>IF(J57&lt;=0,0,(Risk_Compensation!K64/J57-Risk_Compensation!K$79/J$72-0.5*CR$167*($CK57-CR$135/J$72))*J57)</f>
        <v>0</v>
      </c>
      <c r="BO57" s="2139">
        <f>IF(K57&lt;=0,0,(Risk_Compensation!L64/K57-Risk_Compensation!L$79/K$72-0.5*CS$167*($CK57-CS$135/K$72))*K57)</f>
        <v>0</v>
      </c>
      <c r="BP57" s="2139">
        <f>IF(L57&lt;=0,0,(Risk_Compensation!M64/L57-Risk_Compensation!M$79/L$72-0.5*CT$167*($CK57-CT$135/L$72))*L57)</f>
        <v>0</v>
      </c>
      <c r="BQ57" s="2139">
        <f>IF(M57&lt;=0,0,(Risk_Compensation!N64/M57-Risk_Compensation!N$79/M$72-0.5*CU$167*($CK57-CU$135/M$72))*M57)</f>
        <v>0</v>
      </c>
      <c r="BR57" s="2139">
        <f>IF(N57&lt;=0,0,(Risk_Compensation!O64/N57-Risk_Compensation!O$79/N$72-0.5*CV$167*($CK57-CV$135/N$72))*N57)</f>
        <v>0</v>
      </c>
      <c r="BS57" s="2139">
        <f>IF(O57&lt;=0,0,(Risk_Compensation!P64/O57-Risk_Compensation!P$79/O$72-0.5*CW$167*($CK57-CW$135/O$72))*O57)</f>
        <v>0</v>
      </c>
      <c r="BT57" s="2139">
        <f>IF(P57&lt;=0,0,(Risk_Compensation!Q64/P57-Risk_Compensation!Q$79/P$72-0.5*CX$167*($CK57-CX$135/P$72))*P57)</f>
        <v>0</v>
      </c>
      <c r="BU57" s="2139">
        <f>IF(Q57&lt;=0,0,(Risk_Compensation!R64/Q57-Risk_Compensation!R$79/Q$72-0.5*CY$167*($CK57-CY$135/Q$72))*Q57)</f>
        <v>0</v>
      </c>
      <c r="BV57" s="2139">
        <f>IF(R57&lt;=0,0,(Risk_Compensation!S64/R57-Risk_Compensation!S$79/R$72-0.5*CZ$167*($CK57-CZ$135/R$72))*R57)</f>
        <v>0</v>
      </c>
      <c r="BW57" s="2139">
        <f>IF(S57&lt;=0,0,(Risk_Compensation!T64/S57-Risk_Compensation!T$79/S$72-0.5*DA$167*($CK57-DA$135/S$72))*S57)</f>
        <v>0</v>
      </c>
      <c r="BX57" s="2139">
        <f>IF(T57&lt;=0,0,(Risk_Compensation!U64/T57-Risk_Compensation!U$79/T$72-0.5*DB$167*($CK57-DB$135/T$72))*T57)</f>
        <v>0</v>
      </c>
      <c r="BY57" s="2139">
        <f>IF(U57&lt;=0,0,(Risk_Compensation!V64/U57-Risk_Compensation!V$79/U$72-0.5*DC$167*($CK57-DC$135/U$72))*U57)</f>
        <v>0</v>
      </c>
      <c r="BZ57" s="2139">
        <f>IF(V57&lt;=0,0,(Risk_Compensation!W64/V57-Risk_Compensation!W$79/V$72-0.5*DD$167*($CK57-DD$135/V$72))*V57)</f>
        <v>0</v>
      </c>
      <c r="CA57" s="2139">
        <f>IF(W57&lt;=0,0,(Risk_Compensation!X64/W57-Risk_Compensation!X$79/W$72-0.5*DE$167*($CK57-DE$135/W$72))*W57)</f>
        <v>0</v>
      </c>
      <c r="CB57" s="2139">
        <f>IF(X57&lt;=0,0,(Risk_Compensation!Y64/X57-Risk_Compensation!Y$79/X$72-0.5*DF$167*($CK57-DF$135/X$72))*X57)</f>
        <v>0</v>
      </c>
      <c r="CC57" s="2139">
        <f>IF(Y57&lt;=0,0,(Risk_Compensation!Z64/Y57-Risk_Compensation!Z$79/Y$72-0.5*DG$167*($CK57-DG$135/Y$72))*Y57)</f>
        <v>0</v>
      </c>
      <c r="CD57" s="2139">
        <f>IF(Z57&lt;=0,0,(Risk_Compensation!AA64/Z57-Risk_Compensation!AA$79/Z$72-0.5*DH$167*($CK57-DH$135/Z$72))*Z57)</f>
        <v>0</v>
      </c>
      <c r="CE57" s="2139">
        <f>IF(AA57&lt;=0,0,(Risk_Compensation!AB64/AA57-Risk_Compensation!AB$79/AA$72-0.5*DI$167*($CK57-DI$135/AA$72))*AA57)</f>
        <v>0</v>
      </c>
      <c r="CF57" s="2139">
        <f>IF(AB57&lt;=0,0,(Risk_Compensation!AC64/AB57-Risk_Compensation!AC$79/AB$72-0.5*DJ$167*($CK57-DJ$135/AB$72))*AB57)</f>
        <v>0</v>
      </c>
      <c r="CG57" s="2139">
        <f>IF(AC57&lt;=0,0,(Risk_Compensation!AD64/AC57-Risk_Compensation!AD$79/AC$72-0.5*DK$167*($CK57-DK$135/AC$72))*AC57)</f>
        <v>0</v>
      </c>
      <c r="CH57" s="2139">
        <f>IF(AD57&lt;=0,0,(Risk_Compensation!AE64/AD57-Risk_Compensation!AE$79/AD$72-0.5*DL$167*($CK57-DL$135/AD$72))*AD57)</f>
        <v>0</v>
      </c>
      <c r="CI57" s="2139">
        <f>IF(AE57&lt;=0,0,(Risk_Compensation!AF64/AE57-Risk_Compensation!AF$79/AE$72-0.5*DM$167*($CK57-DM$135/AE$72))*AE57)</f>
        <v>0</v>
      </c>
      <c r="CJ57" s="2140">
        <f>IF(AF57&lt;=0,0,(Risk_Compensation!AG64/AF57-Risk_Compensation!AG$79/AF$72-0.5*DN$167*($CK57-DN$135/AF$72))*AF57)</f>
        <v>0</v>
      </c>
      <c r="CK57" s="2166">
        <v>0</v>
      </c>
      <c r="CL57" s="644"/>
      <c r="CM57" s="1829">
        <v>47</v>
      </c>
      <c r="CN57" s="2149">
        <f t="shared" si="26"/>
        <v>0</v>
      </c>
      <c r="CO57" s="2150">
        <f t="shared" si="27"/>
        <v>0</v>
      </c>
      <c r="CP57" s="2150">
        <f t="shared" si="28"/>
        <v>0</v>
      </c>
      <c r="CQ57" s="2150">
        <f t="shared" si="29"/>
        <v>0</v>
      </c>
      <c r="CR57" s="2150">
        <f t="shared" si="30"/>
        <v>0</v>
      </c>
      <c r="CS57" s="2150">
        <f t="shared" si="31"/>
        <v>0</v>
      </c>
      <c r="CT57" s="2150">
        <f t="shared" si="32"/>
        <v>0</v>
      </c>
      <c r="CU57" s="2150">
        <f t="shared" si="33"/>
        <v>0</v>
      </c>
      <c r="CV57" s="2150">
        <f t="shared" si="34"/>
        <v>0</v>
      </c>
      <c r="CW57" s="2150">
        <f t="shared" si="35"/>
        <v>0</v>
      </c>
      <c r="CX57" s="2150">
        <f t="shared" si="36"/>
        <v>0</v>
      </c>
      <c r="CY57" s="2150">
        <f t="shared" si="37"/>
        <v>0</v>
      </c>
      <c r="CZ57" s="2150">
        <f t="shared" si="38"/>
        <v>0</v>
      </c>
      <c r="DA57" s="2150">
        <f t="shared" si="39"/>
        <v>0</v>
      </c>
      <c r="DB57" s="2150">
        <f t="shared" si="40"/>
        <v>0</v>
      </c>
      <c r="DC57" s="2150">
        <f t="shared" si="41"/>
        <v>0</v>
      </c>
      <c r="DD57" s="2150">
        <f t="shared" si="42"/>
        <v>0</v>
      </c>
      <c r="DE57" s="2150">
        <f t="shared" si="43"/>
        <v>0</v>
      </c>
      <c r="DF57" s="2150">
        <f t="shared" si="44"/>
        <v>0</v>
      </c>
      <c r="DG57" s="2150">
        <f t="shared" si="45"/>
        <v>0</v>
      </c>
      <c r="DH57" s="2150">
        <f t="shared" si="46"/>
        <v>0</v>
      </c>
      <c r="DI57" s="2150">
        <f t="shared" si="47"/>
        <v>0</v>
      </c>
      <c r="DJ57" s="2150">
        <f t="shared" si="48"/>
        <v>0</v>
      </c>
      <c r="DK57" s="2150">
        <f t="shared" si="49"/>
        <v>0</v>
      </c>
      <c r="DL57" s="2150">
        <f t="shared" si="50"/>
        <v>0</v>
      </c>
      <c r="DM57" s="2151">
        <f t="shared" si="51"/>
        <v>0</v>
      </c>
      <c r="DN57" s="644"/>
      <c r="DO57" s="1829">
        <v>47</v>
      </c>
      <c r="DP57" s="2211">
        <v>800.38017163213499</v>
      </c>
      <c r="DQ57" s="2212">
        <v>384.11683888044098</v>
      </c>
      <c r="DR57" s="2212">
        <v>490.95894557461901</v>
      </c>
      <c r="DS57" s="2212">
        <v>877.92129398500595</v>
      </c>
      <c r="DT57" s="2212">
        <v>901.54694058129496</v>
      </c>
      <c r="DU57" s="2212">
        <v>1121.8978096399601</v>
      </c>
      <c r="DV57" s="2212">
        <v>899.47217783825397</v>
      </c>
      <c r="DW57" s="2212">
        <v>1229.8481381878901</v>
      </c>
      <c r="DX57" s="2212">
        <v>819.92110437310498</v>
      </c>
      <c r="DY57" s="2212">
        <v>654.30971351843402</v>
      </c>
      <c r="DZ57" s="2212">
        <v>810.80088480351299</v>
      </c>
      <c r="EA57" s="2212">
        <v>796.65035629685099</v>
      </c>
      <c r="EB57" s="2212">
        <v>966.16768131717504</v>
      </c>
      <c r="EC57" s="2212">
        <v>603.48070609871399</v>
      </c>
      <c r="ED57" s="2212">
        <v>948.31790311815098</v>
      </c>
      <c r="EE57" s="2212">
        <v>765.55694241178105</v>
      </c>
      <c r="EF57" s="2212">
        <v>657.61265873431103</v>
      </c>
      <c r="EG57" s="2212">
        <v>672.60841087851395</v>
      </c>
      <c r="EH57" s="2212">
        <v>658.10617535995902</v>
      </c>
      <c r="EI57" s="2212">
        <v>827.07434954312203</v>
      </c>
      <c r="EJ57" s="2212">
        <v>977.39158594952403</v>
      </c>
      <c r="EK57" s="2212">
        <v>713.85571772768606</v>
      </c>
      <c r="EL57" s="2212">
        <v>1224.57629139905</v>
      </c>
      <c r="EM57" s="2212">
        <v>957.31170845859401</v>
      </c>
      <c r="EN57" s="2212">
        <v>925.60071227767298</v>
      </c>
      <c r="EO57" s="2213">
        <v>984.42404224176801</v>
      </c>
      <c r="ER57" s="1829">
        <v>47</v>
      </c>
      <c r="ES57" s="1830">
        <v>1.7533715116712001</v>
      </c>
      <c r="ET57" s="644"/>
      <c r="EU57" s="2156">
        <v>47</v>
      </c>
      <c r="EV57" s="2090" t="s">
        <v>162</v>
      </c>
      <c r="EW57" s="2090" t="s">
        <v>1912</v>
      </c>
      <c r="EX57" s="2090" t="str">
        <f>Translation!B$579</f>
        <v>Ja</v>
      </c>
    </row>
    <row r="58" spans="2:154" ht="12.75" x14ac:dyDescent="0.2">
      <c r="B58" s="2090">
        <v>48</v>
      </c>
      <c r="C58" s="2090" t="s">
        <v>162</v>
      </c>
      <c r="D58" s="2090" t="s">
        <v>1912</v>
      </c>
      <c r="E58" s="2090" t="str">
        <f>Translation!B$580</f>
        <v>Nein</v>
      </c>
      <c r="F58" s="1622">
        <v>48</v>
      </c>
      <c r="G58" s="2211">
        <v>21899.295833333301</v>
      </c>
      <c r="H58" s="2212">
        <v>516.95916666666699</v>
      </c>
      <c r="I58" s="2212">
        <v>1959.2191666666699</v>
      </c>
      <c r="J58" s="2212">
        <v>33422.69</v>
      </c>
      <c r="K58" s="2212">
        <v>9274.3508333333302</v>
      </c>
      <c r="L58" s="2212">
        <v>5461.4516666666696</v>
      </c>
      <c r="M58" s="2212">
        <v>9370.4933333333302</v>
      </c>
      <c r="N58" s="2212">
        <v>12808.6016666667</v>
      </c>
      <c r="O58" s="2212">
        <v>1395.8941666666699</v>
      </c>
      <c r="P58" s="2212">
        <v>6969.6175000000003</v>
      </c>
      <c r="Q58" s="2212">
        <v>2362.2550000000001</v>
      </c>
      <c r="R58" s="2212">
        <v>12878.893333333301</v>
      </c>
      <c r="S58" s="2212">
        <v>4917.8333333333303</v>
      </c>
      <c r="T58" s="2212">
        <v>1582.915</v>
      </c>
      <c r="U58" s="2212">
        <v>1283.8558333333301</v>
      </c>
      <c r="V58" s="2212">
        <v>15820.204166666699</v>
      </c>
      <c r="W58" s="2212">
        <v>2847.5783333333302</v>
      </c>
      <c r="X58" s="2212">
        <v>9386.7108333333308</v>
      </c>
      <c r="Y58" s="2212">
        <v>5261.8883333333297</v>
      </c>
      <c r="Z58" s="2212">
        <v>9227.7616666666709</v>
      </c>
      <c r="AA58" s="2212">
        <v>11458.2891666667</v>
      </c>
      <c r="AB58" s="2212">
        <v>1190.1183333333299</v>
      </c>
      <c r="AC58" s="2212">
        <v>21837.731666666699</v>
      </c>
      <c r="AD58" s="2212">
        <v>11473.282499999999</v>
      </c>
      <c r="AE58" s="2212">
        <v>3712.645</v>
      </c>
      <c r="AF58" s="2213">
        <v>41688.1383333333</v>
      </c>
      <c r="AH58" s="1829">
        <v>48</v>
      </c>
      <c r="AI58" s="2124">
        <f>Risk_Compensation!H65*(Risk_Compensation!AK65+CO$144)*12/1000000</f>
        <v>0</v>
      </c>
      <c r="AJ58" s="2121">
        <f>Risk_Compensation!I65*(Risk_Compensation!AL65+CP$144)*12/1000000</f>
        <v>0</v>
      </c>
      <c r="AK58" s="2121">
        <f>Risk_Compensation!J65*(Risk_Compensation!AM65+CQ$144)*12/1000000</f>
        <v>0</v>
      </c>
      <c r="AL58" s="2121">
        <f>Risk_Compensation!K65*(Risk_Compensation!AN65+CR$144)*12/1000000</f>
        <v>0</v>
      </c>
      <c r="AM58" s="2121">
        <f>Risk_Compensation!L65*(Risk_Compensation!AO65+CS$144)*12/1000000</f>
        <v>0</v>
      </c>
      <c r="AN58" s="2121">
        <f>Risk_Compensation!M65*(Risk_Compensation!AP65+CT$144)*12/1000000</f>
        <v>0</v>
      </c>
      <c r="AO58" s="2121">
        <f>Risk_Compensation!N65*(Risk_Compensation!AQ65+CU$144)*12/1000000</f>
        <v>0</v>
      </c>
      <c r="AP58" s="2121">
        <f>Risk_Compensation!O65*(Risk_Compensation!AR65+CV$144)*12/1000000</f>
        <v>0</v>
      </c>
      <c r="AQ58" s="2121">
        <f>Risk_Compensation!P65*(Risk_Compensation!AS65+CW$144)*12/1000000</f>
        <v>0</v>
      </c>
      <c r="AR58" s="2121">
        <f>Risk_Compensation!Q65*(Risk_Compensation!AT65+CX$144)*12/1000000</f>
        <v>0</v>
      </c>
      <c r="AS58" s="2121">
        <f>Risk_Compensation!R65*(Risk_Compensation!AU65+CY$144)*12/1000000</f>
        <v>0</v>
      </c>
      <c r="AT58" s="2121">
        <f>Risk_Compensation!S65*(Risk_Compensation!AV65+CZ$144)*12/1000000</f>
        <v>0</v>
      </c>
      <c r="AU58" s="2121">
        <f>Risk_Compensation!T65*(Risk_Compensation!AW65+DA$144)*12/1000000</f>
        <v>0</v>
      </c>
      <c r="AV58" s="2121">
        <f>Risk_Compensation!U65*(Risk_Compensation!AX65+DB$144)*12/1000000</f>
        <v>0</v>
      </c>
      <c r="AW58" s="2121">
        <f>Risk_Compensation!V65*(Risk_Compensation!AY65+DC$144)*12/1000000</f>
        <v>0</v>
      </c>
      <c r="AX58" s="2121">
        <f>Risk_Compensation!W65*(Risk_Compensation!AZ65+DD$144)*12/1000000</f>
        <v>0</v>
      </c>
      <c r="AY58" s="2121">
        <f>Risk_Compensation!X65*(Risk_Compensation!BA65+DE$144)*12/1000000</f>
        <v>0</v>
      </c>
      <c r="AZ58" s="2121">
        <f>Risk_Compensation!Y65*(Risk_Compensation!BB65+DF$144)*12/1000000</f>
        <v>0</v>
      </c>
      <c r="BA58" s="2121">
        <f>Risk_Compensation!Z65*(Risk_Compensation!BC65+DG$144)*12/1000000</f>
        <v>0</v>
      </c>
      <c r="BB58" s="2121">
        <f>Risk_Compensation!AA65*(Risk_Compensation!BD65+DH$144)*12/1000000</f>
        <v>0</v>
      </c>
      <c r="BC58" s="2121">
        <f>Risk_Compensation!AB65*(Risk_Compensation!BE65+DI$144)*12/1000000</f>
        <v>0</v>
      </c>
      <c r="BD58" s="2121">
        <f>Risk_Compensation!AC65*(Risk_Compensation!BF65+DJ$144)*12/1000000</f>
        <v>0</v>
      </c>
      <c r="BE58" s="2121">
        <f>Risk_Compensation!AD65*(Risk_Compensation!BG65+DK$144)*12/1000000</f>
        <v>0</v>
      </c>
      <c r="BF58" s="2121">
        <f>Risk_Compensation!AE65*(Risk_Compensation!BH65+DL$144)*12/1000000</f>
        <v>0</v>
      </c>
      <c r="BG58" s="2121">
        <f>Risk_Compensation!AF65*(Risk_Compensation!BI65+DM$144)*12/1000000</f>
        <v>0</v>
      </c>
      <c r="BH58" s="2125">
        <f>Risk_Compensation!AG65*(Risk_Compensation!BJ65+DN$144)*12/1000000</f>
        <v>0</v>
      </c>
      <c r="BI58" s="644"/>
      <c r="BJ58" s="1829">
        <v>48</v>
      </c>
      <c r="BK58" s="2138">
        <f>IF(G58&lt;=0,0,(Risk_Compensation!H65/G58-Risk_Compensation!H$79/G$72-0.5*CO$167*($CK58-CO$135/G$72))*G58)</f>
        <v>0</v>
      </c>
      <c r="BL58" s="2139">
        <f>IF(H58&lt;=0,0,(Risk_Compensation!I65/H58-Risk_Compensation!I$79/H$72-0.5*CP$167*($CK58-CP$135/H$72))*H58)</f>
        <v>0</v>
      </c>
      <c r="BM58" s="2139">
        <f>IF(I58&lt;=0,0,(Risk_Compensation!J65/I58-Risk_Compensation!J$79/I$72-0.5*CQ$167*($CK58-CQ$135/I$72))*I58)</f>
        <v>0</v>
      </c>
      <c r="BN58" s="2139">
        <f>IF(J58&lt;=0,0,(Risk_Compensation!K65/J58-Risk_Compensation!K$79/J$72-0.5*CR$167*($CK58-CR$135/J$72))*J58)</f>
        <v>0</v>
      </c>
      <c r="BO58" s="2139">
        <f>IF(K58&lt;=0,0,(Risk_Compensation!L65/K58-Risk_Compensation!L$79/K$72-0.5*CS$167*($CK58-CS$135/K$72))*K58)</f>
        <v>0</v>
      </c>
      <c r="BP58" s="2139">
        <f>IF(L58&lt;=0,0,(Risk_Compensation!M65/L58-Risk_Compensation!M$79/L$72-0.5*CT$167*($CK58-CT$135/L$72))*L58)</f>
        <v>0</v>
      </c>
      <c r="BQ58" s="2139">
        <f>IF(M58&lt;=0,0,(Risk_Compensation!N65/M58-Risk_Compensation!N$79/M$72-0.5*CU$167*($CK58-CU$135/M$72))*M58)</f>
        <v>0</v>
      </c>
      <c r="BR58" s="2139">
        <f>IF(N58&lt;=0,0,(Risk_Compensation!O65/N58-Risk_Compensation!O$79/N$72-0.5*CV$167*($CK58-CV$135/N$72))*N58)</f>
        <v>0</v>
      </c>
      <c r="BS58" s="2139">
        <f>IF(O58&lt;=0,0,(Risk_Compensation!P65/O58-Risk_Compensation!P$79/O$72-0.5*CW$167*($CK58-CW$135/O$72))*O58)</f>
        <v>0</v>
      </c>
      <c r="BT58" s="2139">
        <f>IF(P58&lt;=0,0,(Risk_Compensation!Q65/P58-Risk_Compensation!Q$79/P$72-0.5*CX$167*($CK58-CX$135/P$72))*P58)</f>
        <v>0</v>
      </c>
      <c r="BU58" s="2139">
        <f>IF(Q58&lt;=0,0,(Risk_Compensation!R65/Q58-Risk_Compensation!R$79/Q$72-0.5*CY$167*($CK58-CY$135/Q$72))*Q58)</f>
        <v>0</v>
      </c>
      <c r="BV58" s="2139">
        <f>IF(R58&lt;=0,0,(Risk_Compensation!S65/R58-Risk_Compensation!S$79/R$72-0.5*CZ$167*($CK58-CZ$135/R$72))*R58)</f>
        <v>0</v>
      </c>
      <c r="BW58" s="2139">
        <f>IF(S58&lt;=0,0,(Risk_Compensation!T65/S58-Risk_Compensation!T$79/S$72-0.5*DA$167*($CK58-DA$135/S$72))*S58)</f>
        <v>0</v>
      </c>
      <c r="BX58" s="2139">
        <f>IF(T58&lt;=0,0,(Risk_Compensation!U65/T58-Risk_Compensation!U$79/T$72-0.5*DB$167*($CK58-DB$135/T$72))*T58)</f>
        <v>0</v>
      </c>
      <c r="BY58" s="2139">
        <f>IF(U58&lt;=0,0,(Risk_Compensation!V65/U58-Risk_Compensation!V$79/U$72-0.5*DC$167*($CK58-DC$135/U$72))*U58)</f>
        <v>0</v>
      </c>
      <c r="BZ58" s="2139">
        <f>IF(V58&lt;=0,0,(Risk_Compensation!W65/V58-Risk_Compensation!W$79/V$72-0.5*DD$167*($CK58-DD$135/V$72))*V58)</f>
        <v>0</v>
      </c>
      <c r="CA58" s="2139">
        <f>IF(W58&lt;=0,0,(Risk_Compensation!X65/W58-Risk_Compensation!X$79/W$72-0.5*DE$167*($CK58-DE$135/W$72))*W58)</f>
        <v>0</v>
      </c>
      <c r="CB58" s="2139">
        <f>IF(X58&lt;=0,0,(Risk_Compensation!Y65/X58-Risk_Compensation!Y$79/X$72-0.5*DF$167*($CK58-DF$135/X$72))*X58)</f>
        <v>0</v>
      </c>
      <c r="CC58" s="2139">
        <f>IF(Y58&lt;=0,0,(Risk_Compensation!Z65/Y58-Risk_Compensation!Z$79/Y$72-0.5*DG$167*($CK58-DG$135/Y$72))*Y58)</f>
        <v>0</v>
      </c>
      <c r="CD58" s="2139">
        <f>IF(Z58&lt;=0,0,(Risk_Compensation!AA65/Z58-Risk_Compensation!AA$79/Z$72-0.5*DH$167*($CK58-DH$135/Z$72))*Z58)</f>
        <v>0</v>
      </c>
      <c r="CE58" s="2139">
        <f>IF(AA58&lt;=0,0,(Risk_Compensation!AB65/AA58-Risk_Compensation!AB$79/AA$72-0.5*DI$167*($CK58-DI$135/AA$72))*AA58)</f>
        <v>0</v>
      </c>
      <c r="CF58" s="2139">
        <f>IF(AB58&lt;=0,0,(Risk_Compensation!AC65/AB58-Risk_Compensation!AC$79/AB$72-0.5*DJ$167*($CK58-DJ$135/AB$72))*AB58)</f>
        <v>0</v>
      </c>
      <c r="CG58" s="2139">
        <f>IF(AC58&lt;=0,0,(Risk_Compensation!AD65/AC58-Risk_Compensation!AD$79/AC$72-0.5*DK$167*($CK58-DK$135/AC$72))*AC58)</f>
        <v>0</v>
      </c>
      <c r="CH58" s="2139">
        <f>IF(AD58&lt;=0,0,(Risk_Compensation!AE65/AD58-Risk_Compensation!AE$79/AD$72-0.5*DL$167*($CK58-DL$135/AD$72))*AD58)</f>
        <v>0</v>
      </c>
      <c r="CI58" s="2139">
        <f>IF(AE58&lt;=0,0,(Risk_Compensation!AF65/AE58-Risk_Compensation!AF$79/AE$72-0.5*DM$167*($CK58-DM$135/AE$72))*AE58)</f>
        <v>0</v>
      </c>
      <c r="CJ58" s="2140">
        <f>IF(AF58&lt;=0,0,(Risk_Compensation!AG65/AF58-Risk_Compensation!AG$79/AF$72-0.5*DN$167*($CK58-DN$135/AF$72))*AF58)</f>
        <v>0</v>
      </c>
      <c r="CK58" s="2166">
        <v>0</v>
      </c>
      <c r="CL58" s="644"/>
      <c r="CM58" s="1829">
        <v>48</v>
      </c>
      <c r="CN58" s="2149">
        <f t="shared" si="26"/>
        <v>0</v>
      </c>
      <c r="CO58" s="2150">
        <f t="shared" si="27"/>
        <v>0</v>
      </c>
      <c r="CP58" s="2150">
        <f t="shared" si="28"/>
        <v>0</v>
      </c>
      <c r="CQ58" s="2150">
        <f t="shared" si="29"/>
        <v>0</v>
      </c>
      <c r="CR58" s="2150">
        <f t="shared" si="30"/>
        <v>0</v>
      </c>
      <c r="CS58" s="2150">
        <f t="shared" si="31"/>
        <v>0</v>
      </c>
      <c r="CT58" s="2150">
        <f t="shared" si="32"/>
        <v>0</v>
      </c>
      <c r="CU58" s="2150">
        <f t="shared" si="33"/>
        <v>0</v>
      </c>
      <c r="CV58" s="2150">
        <f t="shared" si="34"/>
        <v>0</v>
      </c>
      <c r="CW58" s="2150">
        <f t="shared" si="35"/>
        <v>0</v>
      </c>
      <c r="CX58" s="2150">
        <f t="shared" si="36"/>
        <v>0</v>
      </c>
      <c r="CY58" s="2150">
        <f t="shared" si="37"/>
        <v>0</v>
      </c>
      <c r="CZ58" s="2150">
        <f t="shared" si="38"/>
        <v>0</v>
      </c>
      <c r="DA58" s="2150">
        <f t="shared" si="39"/>
        <v>0</v>
      </c>
      <c r="DB58" s="2150">
        <f t="shared" si="40"/>
        <v>0</v>
      </c>
      <c r="DC58" s="2150">
        <f t="shared" si="41"/>
        <v>0</v>
      </c>
      <c r="DD58" s="2150">
        <f t="shared" si="42"/>
        <v>0</v>
      </c>
      <c r="DE58" s="2150">
        <f t="shared" si="43"/>
        <v>0</v>
      </c>
      <c r="DF58" s="2150">
        <f t="shared" si="44"/>
        <v>0</v>
      </c>
      <c r="DG58" s="2150">
        <f t="shared" si="45"/>
        <v>0</v>
      </c>
      <c r="DH58" s="2150">
        <f t="shared" si="46"/>
        <v>0</v>
      </c>
      <c r="DI58" s="2150">
        <f t="shared" si="47"/>
        <v>0</v>
      </c>
      <c r="DJ58" s="2150">
        <f t="shared" si="48"/>
        <v>0</v>
      </c>
      <c r="DK58" s="2150">
        <f t="shared" si="49"/>
        <v>0</v>
      </c>
      <c r="DL58" s="2150">
        <f t="shared" si="50"/>
        <v>0</v>
      </c>
      <c r="DM58" s="2151">
        <f t="shared" si="51"/>
        <v>0</v>
      </c>
      <c r="DN58" s="644"/>
      <c r="DO58" s="1829">
        <v>48</v>
      </c>
      <c r="DP58" s="2211">
        <v>186.79075526330999</v>
      </c>
      <c r="DQ58" s="2212">
        <v>125.786570111285</v>
      </c>
      <c r="DR58" s="2212">
        <v>136.94036532085099</v>
      </c>
      <c r="DS58" s="2212">
        <v>177.72205898509699</v>
      </c>
      <c r="DT58" s="2212">
        <v>208.49416469268601</v>
      </c>
      <c r="DU58" s="2212">
        <v>242.70359414383799</v>
      </c>
      <c r="DV58" s="2212">
        <v>206.9899745653</v>
      </c>
      <c r="DW58" s="2212">
        <v>314.002167970485</v>
      </c>
      <c r="DX58" s="2212">
        <v>166.12548254958401</v>
      </c>
      <c r="DY58" s="2212">
        <v>150.88536029791899</v>
      </c>
      <c r="DZ58" s="2212">
        <v>176.32916654539801</v>
      </c>
      <c r="EA58" s="2212">
        <v>168.832260226702</v>
      </c>
      <c r="EB58" s="2212">
        <v>221.04639836225499</v>
      </c>
      <c r="EC58" s="2212">
        <v>142.180442490221</v>
      </c>
      <c r="ED58" s="2212">
        <v>152.417024036496</v>
      </c>
      <c r="EE58" s="2212">
        <v>174.099894547605</v>
      </c>
      <c r="EF58" s="2212">
        <v>187.56205595327501</v>
      </c>
      <c r="EG58" s="2212">
        <v>186.80868755563901</v>
      </c>
      <c r="EH58" s="2212">
        <v>176.88155322476601</v>
      </c>
      <c r="EI58" s="2212">
        <v>186.155877462929</v>
      </c>
      <c r="EJ58" s="2212">
        <v>237.87212421280501</v>
      </c>
      <c r="EK58" s="2212">
        <v>107.22167549353399</v>
      </c>
      <c r="EL58" s="2212">
        <v>242.140247298742</v>
      </c>
      <c r="EM58" s="2212">
        <v>181.950579985887</v>
      </c>
      <c r="EN58" s="2212">
        <v>175.438448003113</v>
      </c>
      <c r="EO58" s="2213">
        <v>213.24829108901301</v>
      </c>
      <c r="ER58" s="1829">
        <v>48</v>
      </c>
      <c r="ES58" s="1830">
        <v>2.35569942326378</v>
      </c>
      <c r="ET58" s="644"/>
      <c r="EU58" s="2156">
        <v>48</v>
      </c>
      <c r="EV58" s="2090" t="s">
        <v>162</v>
      </c>
      <c r="EW58" s="2090" t="s">
        <v>1912</v>
      </c>
      <c r="EX58" s="2090" t="str">
        <f>Translation!B$580</f>
        <v>Nein</v>
      </c>
    </row>
    <row r="59" spans="2:154" ht="12.75" x14ac:dyDescent="0.2">
      <c r="B59" s="2090">
        <v>49</v>
      </c>
      <c r="C59" s="2090" t="s">
        <v>162</v>
      </c>
      <c r="D59" s="2090" t="s">
        <v>1913</v>
      </c>
      <c r="E59" s="2090" t="str">
        <f>Translation!B$579</f>
        <v>Ja</v>
      </c>
      <c r="F59" s="1622">
        <v>49</v>
      </c>
      <c r="G59" s="2211">
        <v>1777.17333333333</v>
      </c>
      <c r="H59" s="2212">
        <v>32.340000000000003</v>
      </c>
      <c r="I59" s="2212">
        <v>137.52416666666701</v>
      </c>
      <c r="J59" s="2212">
        <v>2866.0925000000002</v>
      </c>
      <c r="K59" s="2212">
        <v>871.83833333333303</v>
      </c>
      <c r="L59" s="2212">
        <v>538.42499999999995</v>
      </c>
      <c r="M59" s="2212">
        <v>685.97749999999996</v>
      </c>
      <c r="N59" s="2212">
        <v>887.66750000000002</v>
      </c>
      <c r="O59" s="2212">
        <v>100.668333333333</v>
      </c>
      <c r="P59" s="2212">
        <v>552.97500000000002</v>
      </c>
      <c r="Q59" s="2212">
        <v>207.35</v>
      </c>
      <c r="R59" s="2212">
        <v>857.35749999999996</v>
      </c>
      <c r="S59" s="2212">
        <v>386.39833333333303</v>
      </c>
      <c r="T59" s="2212">
        <v>118.57</v>
      </c>
      <c r="U59" s="2212">
        <v>104.01583333333301</v>
      </c>
      <c r="V59" s="2212">
        <v>1368.635</v>
      </c>
      <c r="W59" s="2212">
        <v>267.41916666666702</v>
      </c>
      <c r="X59" s="2212">
        <v>762.98083333333295</v>
      </c>
      <c r="Y59" s="2212">
        <v>366.1925</v>
      </c>
      <c r="Z59" s="2212">
        <v>797.09083333333297</v>
      </c>
      <c r="AA59" s="2212">
        <v>941.76583333333303</v>
      </c>
      <c r="AB59" s="2212">
        <v>95.887500000000003</v>
      </c>
      <c r="AC59" s="2212">
        <v>1562.0825</v>
      </c>
      <c r="AD59" s="2212">
        <v>831.06333333333305</v>
      </c>
      <c r="AE59" s="2212">
        <v>256.26416666666699</v>
      </c>
      <c r="AF59" s="2213">
        <v>3184.1266666666702</v>
      </c>
      <c r="AH59" s="1829">
        <v>49</v>
      </c>
      <c r="AI59" s="2124">
        <f>Risk_Compensation!H66*(Risk_Compensation!AK66+CO$144)*12/1000000</f>
        <v>0</v>
      </c>
      <c r="AJ59" s="2121">
        <f>Risk_Compensation!I66*(Risk_Compensation!AL66+CP$144)*12/1000000</f>
        <v>0</v>
      </c>
      <c r="AK59" s="2121">
        <f>Risk_Compensation!J66*(Risk_Compensation!AM66+CQ$144)*12/1000000</f>
        <v>0</v>
      </c>
      <c r="AL59" s="2121">
        <f>Risk_Compensation!K66*(Risk_Compensation!AN66+CR$144)*12/1000000</f>
        <v>0</v>
      </c>
      <c r="AM59" s="2121">
        <f>Risk_Compensation!L66*(Risk_Compensation!AO66+CS$144)*12/1000000</f>
        <v>0</v>
      </c>
      <c r="AN59" s="2121">
        <f>Risk_Compensation!M66*(Risk_Compensation!AP66+CT$144)*12/1000000</f>
        <v>0</v>
      </c>
      <c r="AO59" s="2121">
        <f>Risk_Compensation!N66*(Risk_Compensation!AQ66+CU$144)*12/1000000</f>
        <v>0</v>
      </c>
      <c r="AP59" s="2121">
        <f>Risk_Compensation!O66*(Risk_Compensation!AR66+CV$144)*12/1000000</f>
        <v>0</v>
      </c>
      <c r="AQ59" s="2121">
        <f>Risk_Compensation!P66*(Risk_Compensation!AS66+CW$144)*12/1000000</f>
        <v>0</v>
      </c>
      <c r="AR59" s="2121">
        <f>Risk_Compensation!Q66*(Risk_Compensation!AT66+CX$144)*12/1000000</f>
        <v>0</v>
      </c>
      <c r="AS59" s="2121">
        <f>Risk_Compensation!R66*(Risk_Compensation!AU66+CY$144)*12/1000000</f>
        <v>0</v>
      </c>
      <c r="AT59" s="2121">
        <f>Risk_Compensation!S66*(Risk_Compensation!AV66+CZ$144)*12/1000000</f>
        <v>0</v>
      </c>
      <c r="AU59" s="2121">
        <f>Risk_Compensation!T66*(Risk_Compensation!AW66+DA$144)*12/1000000</f>
        <v>0</v>
      </c>
      <c r="AV59" s="2121">
        <f>Risk_Compensation!U66*(Risk_Compensation!AX66+DB$144)*12/1000000</f>
        <v>0</v>
      </c>
      <c r="AW59" s="2121">
        <f>Risk_Compensation!V66*(Risk_Compensation!AY66+DC$144)*12/1000000</f>
        <v>0</v>
      </c>
      <c r="AX59" s="2121">
        <f>Risk_Compensation!W66*(Risk_Compensation!AZ66+DD$144)*12/1000000</f>
        <v>0</v>
      </c>
      <c r="AY59" s="2121">
        <f>Risk_Compensation!X66*(Risk_Compensation!BA66+DE$144)*12/1000000</f>
        <v>0</v>
      </c>
      <c r="AZ59" s="2121">
        <f>Risk_Compensation!Y66*(Risk_Compensation!BB66+DF$144)*12/1000000</f>
        <v>0</v>
      </c>
      <c r="BA59" s="2121">
        <f>Risk_Compensation!Z66*(Risk_Compensation!BC66+DG$144)*12/1000000</f>
        <v>0</v>
      </c>
      <c r="BB59" s="2121">
        <f>Risk_Compensation!AA66*(Risk_Compensation!BD66+DH$144)*12/1000000</f>
        <v>0</v>
      </c>
      <c r="BC59" s="2121">
        <f>Risk_Compensation!AB66*(Risk_Compensation!BE66+DI$144)*12/1000000</f>
        <v>0</v>
      </c>
      <c r="BD59" s="2121">
        <f>Risk_Compensation!AC66*(Risk_Compensation!BF66+DJ$144)*12/1000000</f>
        <v>0</v>
      </c>
      <c r="BE59" s="2121">
        <f>Risk_Compensation!AD66*(Risk_Compensation!BG66+DK$144)*12/1000000</f>
        <v>0</v>
      </c>
      <c r="BF59" s="2121">
        <f>Risk_Compensation!AE66*(Risk_Compensation!BH66+DL$144)*12/1000000</f>
        <v>0</v>
      </c>
      <c r="BG59" s="2121">
        <f>Risk_Compensation!AF66*(Risk_Compensation!BI66+DM$144)*12/1000000</f>
        <v>0</v>
      </c>
      <c r="BH59" s="2125">
        <f>Risk_Compensation!AG66*(Risk_Compensation!BJ66+DN$144)*12/1000000</f>
        <v>0</v>
      </c>
      <c r="BI59" s="644"/>
      <c r="BJ59" s="1829">
        <v>49</v>
      </c>
      <c r="BK59" s="2138">
        <f>IF(G59&lt;=0,0,(Risk_Compensation!H66/G59-Risk_Compensation!H$79/G$72-0.5*CO$167*($CK59-CO$135/G$72))*G59)</f>
        <v>0</v>
      </c>
      <c r="BL59" s="2139">
        <f>IF(H59&lt;=0,0,(Risk_Compensation!I66/H59-Risk_Compensation!I$79/H$72-0.5*CP$167*($CK59-CP$135/H$72))*H59)</f>
        <v>0</v>
      </c>
      <c r="BM59" s="2139">
        <f>IF(I59&lt;=0,0,(Risk_Compensation!J66/I59-Risk_Compensation!J$79/I$72-0.5*CQ$167*($CK59-CQ$135/I$72))*I59)</f>
        <v>0</v>
      </c>
      <c r="BN59" s="2139">
        <f>IF(J59&lt;=0,0,(Risk_Compensation!K66/J59-Risk_Compensation!K$79/J$72-0.5*CR$167*($CK59-CR$135/J$72))*J59)</f>
        <v>0</v>
      </c>
      <c r="BO59" s="2139">
        <f>IF(K59&lt;=0,0,(Risk_Compensation!L66/K59-Risk_Compensation!L$79/K$72-0.5*CS$167*($CK59-CS$135/K$72))*K59)</f>
        <v>0</v>
      </c>
      <c r="BP59" s="2139">
        <f>IF(L59&lt;=0,0,(Risk_Compensation!M66/L59-Risk_Compensation!M$79/L$72-0.5*CT$167*($CK59-CT$135/L$72))*L59)</f>
        <v>0</v>
      </c>
      <c r="BQ59" s="2139">
        <f>IF(M59&lt;=0,0,(Risk_Compensation!N66/M59-Risk_Compensation!N$79/M$72-0.5*CU$167*($CK59-CU$135/M$72))*M59)</f>
        <v>0</v>
      </c>
      <c r="BR59" s="2139">
        <f>IF(N59&lt;=0,0,(Risk_Compensation!O66/N59-Risk_Compensation!O$79/N$72-0.5*CV$167*($CK59-CV$135/N$72))*N59)</f>
        <v>0</v>
      </c>
      <c r="BS59" s="2139">
        <f>IF(O59&lt;=0,0,(Risk_Compensation!P66/O59-Risk_Compensation!P$79/O$72-0.5*CW$167*($CK59-CW$135/O$72))*O59)</f>
        <v>0</v>
      </c>
      <c r="BT59" s="2139">
        <f>IF(P59&lt;=0,0,(Risk_Compensation!Q66/P59-Risk_Compensation!Q$79/P$72-0.5*CX$167*($CK59-CX$135/P$72))*P59)</f>
        <v>0</v>
      </c>
      <c r="BU59" s="2139">
        <f>IF(Q59&lt;=0,0,(Risk_Compensation!R66/Q59-Risk_Compensation!R$79/Q$72-0.5*CY$167*($CK59-CY$135/Q$72))*Q59)</f>
        <v>0</v>
      </c>
      <c r="BV59" s="2139">
        <f>IF(R59&lt;=0,0,(Risk_Compensation!S66/R59-Risk_Compensation!S$79/R$72-0.5*CZ$167*($CK59-CZ$135/R$72))*R59)</f>
        <v>0</v>
      </c>
      <c r="BW59" s="2139">
        <f>IF(S59&lt;=0,0,(Risk_Compensation!T66/S59-Risk_Compensation!T$79/S$72-0.5*DA$167*($CK59-DA$135/S$72))*S59)</f>
        <v>0</v>
      </c>
      <c r="BX59" s="2139">
        <f>IF(T59&lt;=0,0,(Risk_Compensation!U66/T59-Risk_Compensation!U$79/T$72-0.5*DB$167*($CK59-DB$135/T$72))*T59)</f>
        <v>0</v>
      </c>
      <c r="BY59" s="2139">
        <f>IF(U59&lt;=0,0,(Risk_Compensation!V66/U59-Risk_Compensation!V$79/U$72-0.5*DC$167*($CK59-DC$135/U$72))*U59)</f>
        <v>0</v>
      </c>
      <c r="BZ59" s="2139">
        <f>IF(V59&lt;=0,0,(Risk_Compensation!W66/V59-Risk_Compensation!W$79/V$72-0.5*DD$167*($CK59-DD$135/V$72))*V59)</f>
        <v>0</v>
      </c>
      <c r="CA59" s="2139">
        <f>IF(W59&lt;=0,0,(Risk_Compensation!X66/W59-Risk_Compensation!X$79/W$72-0.5*DE$167*($CK59-DE$135/W$72))*W59)</f>
        <v>0</v>
      </c>
      <c r="CB59" s="2139">
        <f>IF(X59&lt;=0,0,(Risk_Compensation!Y66/X59-Risk_Compensation!Y$79/X$72-0.5*DF$167*($CK59-DF$135/X$72))*X59)</f>
        <v>0</v>
      </c>
      <c r="CC59" s="2139">
        <f>IF(Y59&lt;=0,0,(Risk_Compensation!Z66/Y59-Risk_Compensation!Z$79/Y$72-0.5*DG$167*($CK59-DG$135/Y$72))*Y59)</f>
        <v>0</v>
      </c>
      <c r="CD59" s="2139">
        <f>IF(Z59&lt;=0,0,(Risk_Compensation!AA66/Z59-Risk_Compensation!AA$79/Z$72-0.5*DH$167*($CK59-DH$135/Z$72))*Z59)</f>
        <v>0</v>
      </c>
      <c r="CE59" s="2139">
        <f>IF(AA59&lt;=0,0,(Risk_Compensation!AB66/AA59-Risk_Compensation!AB$79/AA$72-0.5*DI$167*($CK59-DI$135/AA$72))*AA59)</f>
        <v>0</v>
      </c>
      <c r="CF59" s="2139">
        <f>IF(AB59&lt;=0,0,(Risk_Compensation!AC66/AB59-Risk_Compensation!AC$79/AB$72-0.5*DJ$167*($CK59-DJ$135/AB$72))*AB59)</f>
        <v>0</v>
      </c>
      <c r="CG59" s="2139">
        <f>IF(AC59&lt;=0,0,(Risk_Compensation!AD66/AC59-Risk_Compensation!AD$79/AC$72-0.5*DK$167*($CK59-DK$135/AC$72))*AC59)</f>
        <v>0</v>
      </c>
      <c r="CH59" s="2139">
        <f>IF(AD59&lt;=0,0,(Risk_Compensation!AE66/AD59-Risk_Compensation!AE$79/AD$72-0.5*DL$167*($CK59-DL$135/AD$72))*AD59)</f>
        <v>0</v>
      </c>
      <c r="CI59" s="2139">
        <f>IF(AE59&lt;=0,0,(Risk_Compensation!AF66/AE59-Risk_Compensation!AF$79/AE$72-0.5*DM$167*($CK59-DM$135/AE$72))*AE59)</f>
        <v>0</v>
      </c>
      <c r="CJ59" s="2140">
        <f>IF(AF59&lt;=0,0,(Risk_Compensation!AG66/AF59-Risk_Compensation!AG$79/AF$72-0.5*DN$167*($CK59-DN$135/AF$72))*AF59)</f>
        <v>0</v>
      </c>
      <c r="CK59" s="2166">
        <v>0</v>
      </c>
      <c r="CL59" s="644"/>
      <c r="CM59" s="1829">
        <v>49</v>
      </c>
      <c r="CN59" s="2149">
        <f t="shared" si="26"/>
        <v>0</v>
      </c>
      <c r="CO59" s="2150">
        <f t="shared" si="27"/>
        <v>0</v>
      </c>
      <c r="CP59" s="2150">
        <f t="shared" si="28"/>
        <v>0</v>
      </c>
      <c r="CQ59" s="2150">
        <f t="shared" si="29"/>
        <v>0</v>
      </c>
      <c r="CR59" s="2150">
        <f t="shared" si="30"/>
        <v>0</v>
      </c>
      <c r="CS59" s="2150">
        <f t="shared" si="31"/>
        <v>0</v>
      </c>
      <c r="CT59" s="2150">
        <f t="shared" si="32"/>
        <v>0</v>
      </c>
      <c r="CU59" s="2150">
        <f t="shared" si="33"/>
        <v>0</v>
      </c>
      <c r="CV59" s="2150">
        <f t="shared" si="34"/>
        <v>0</v>
      </c>
      <c r="CW59" s="2150">
        <f t="shared" si="35"/>
        <v>0</v>
      </c>
      <c r="CX59" s="2150">
        <f t="shared" si="36"/>
        <v>0</v>
      </c>
      <c r="CY59" s="2150">
        <f t="shared" si="37"/>
        <v>0</v>
      </c>
      <c r="CZ59" s="2150">
        <f t="shared" si="38"/>
        <v>0</v>
      </c>
      <c r="DA59" s="2150">
        <f t="shared" si="39"/>
        <v>0</v>
      </c>
      <c r="DB59" s="2150">
        <f t="shared" si="40"/>
        <v>0</v>
      </c>
      <c r="DC59" s="2150">
        <f t="shared" si="41"/>
        <v>0</v>
      </c>
      <c r="DD59" s="2150">
        <f t="shared" si="42"/>
        <v>0</v>
      </c>
      <c r="DE59" s="2150">
        <f t="shared" si="43"/>
        <v>0</v>
      </c>
      <c r="DF59" s="2150">
        <f t="shared" si="44"/>
        <v>0</v>
      </c>
      <c r="DG59" s="2150">
        <f t="shared" si="45"/>
        <v>0</v>
      </c>
      <c r="DH59" s="2150">
        <f t="shared" si="46"/>
        <v>0</v>
      </c>
      <c r="DI59" s="2150">
        <f t="shared" si="47"/>
        <v>0</v>
      </c>
      <c r="DJ59" s="2150">
        <f t="shared" si="48"/>
        <v>0</v>
      </c>
      <c r="DK59" s="2150">
        <f t="shared" si="49"/>
        <v>0</v>
      </c>
      <c r="DL59" s="2150">
        <f t="shared" si="50"/>
        <v>0</v>
      </c>
      <c r="DM59" s="2151">
        <f t="shared" si="51"/>
        <v>0</v>
      </c>
      <c r="DN59" s="644"/>
      <c r="DO59" s="1829">
        <v>49</v>
      </c>
      <c r="DP59" s="2211">
        <v>835.33537470650901</v>
      </c>
      <c r="DQ59" s="2212">
        <v>972.23482707665198</v>
      </c>
      <c r="DR59" s="2212">
        <v>1084.41635123635</v>
      </c>
      <c r="DS59" s="2212">
        <v>898.31800112629799</v>
      </c>
      <c r="DT59" s="2212">
        <v>1030.03125002811</v>
      </c>
      <c r="DU59" s="2212">
        <v>1164.2868255173501</v>
      </c>
      <c r="DV59" s="2212">
        <v>915.598015757334</v>
      </c>
      <c r="DW59" s="2212">
        <v>1370.3869097429199</v>
      </c>
      <c r="DX59" s="2212">
        <v>561.77463934297498</v>
      </c>
      <c r="DY59" s="2212">
        <v>778.92585088963403</v>
      </c>
      <c r="DZ59" s="2212">
        <v>610.75883258675901</v>
      </c>
      <c r="EA59" s="2212">
        <v>931.61703458424597</v>
      </c>
      <c r="EB59" s="2212">
        <v>1176.82009890922</v>
      </c>
      <c r="EC59" s="2212">
        <v>1014.6068535964999</v>
      </c>
      <c r="ED59" s="2212">
        <v>622.93458657337703</v>
      </c>
      <c r="EE59" s="2212">
        <v>785.99182687196696</v>
      </c>
      <c r="EF59" s="2212">
        <v>897.81919519930796</v>
      </c>
      <c r="EG59" s="2212">
        <v>862.45189089677694</v>
      </c>
      <c r="EH59" s="2212">
        <v>774.32452752325298</v>
      </c>
      <c r="EI59" s="2212">
        <v>866.69920827484202</v>
      </c>
      <c r="EJ59" s="2212">
        <v>1112.07338198455</v>
      </c>
      <c r="EK59" s="2212">
        <v>676.19072855528896</v>
      </c>
      <c r="EL59" s="2212">
        <v>1326.10293622363</v>
      </c>
      <c r="EM59" s="2212">
        <v>1002.87825752717</v>
      </c>
      <c r="EN59" s="2212">
        <v>605.616304737105</v>
      </c>
      <c r="EO59" s="2213">
        <v>1024.2912771019701</v>
      </c>
      <c r="ER59" s="1829">
        <v>49</v>
      </c>
      <c r="ES59" s="1830">
        <v>1.65396963897449</v>
      </c>
      <c r="ET59" s="644"/>
      <c r="EU59" s="2156">
        <v>49</v>
      </c>
      <c r="EV59" s="2090" t="s">
        <v>162</v>
      </c>
      <c r="EW59" s="2090" t="s">
        <v>1913</v>
      </c>
      <c r="EX59" s="2090" t="str">
        <f>Translation!B$579</f>
        <v>Ja</v>
      </c>
    </row>
    <row r="60" spans="2:154" ht="12.75" x14ac:dyDescent="0.2">
      <c r="B60" s="2090">
        <v>50</v>
      </c>
      <c r="C60" s="2090" t="s">
        <v>162</v>
      </c>
      <c r="D60" s="2090" t="s">
        <v>1913</v>
      </c>
      <c r="E60" s="2090" t="str">
        <f>Translation!B$580</f>
        <v>Nein</v>
      </c>
      <c r="F60" s="1622">
        <v>50</v>
      </c>
      <c r="G60" s="2211">
        <v>17810.616666666701</v>
      </c>
      <c r="H60" s="2212">
        <v>397.863333333333</v>
      </c>
      <c r="I60" s="2212">
        <v>1501.48416666667</v>
      </c>
      <c r="J60" s="2212">
        <v>28464.6525</v>
      </c>
      <c r="K60" s="2212">
        <v>7810.3824999999997</v>
      </c>
      <c r="L60" s="2212">
        <v>4457.1450000000004</v>
      </c>
      <c r="M60" s="2212">
        <v>7297.8608333333304</v>
      </c>
      <c r="N60" s="2212">
        <v>9609.1083333333299</v>
      </c>
      <c r="O60" s="2212">
        <v>1088.11083333333</v>
      </c>
      <c r="P60" s="2212">
        <v>5760.8433333333296</v>
      </c>
      <c r="Q60" s="2212">
        <v>2038.81666666667</v>
      </c>
      <c r="R60" s="2212">
        <v>10153.6758333333</v>
      </c>
      <c r="S60" s="2212">
        <v>4255.0433333333303</v>
      </c>
      <c r="T60" s="2212">
        <v>1205.9833333333299</v>
      </c>
      <c r="U60" s="2212">
        <v>998.86249999999995</v>
      </c>
      <c r="V60" s="2212">
        <v>13001.186666666699</v>
      </c>
      <c r="W60" s="2212">
        <v>2306.5166666666701</v>
      </c>
      <c r="X60" s="2212">
        <v>7596.17583333333</v>
      </c>
      <c r="Y60" s="2212">
        <v>4118.3358333333299</v>
      </c>
      <c r="Z60" s="2212">
        <v>7317.69</v>
      </c>
      <c r="AA60" s="2212">
        <v>9417.6391666666696</v>
      </c>
      <c r="AB60" s="2212">
        <v>990.41416666666703</v>
      </c>
      <c r="AC60" s="2212">
        <v>16882.705000000002</v>
      </c>
      <c r="AD60" s="2212">
        <v>9283.5849999999991</v>
      </c>
      <c r="AE60" s="2212">
        <v>2956.0583333333302</v>
      </c>
      <c r="AF60" s="2213">
        <v>33577.458333333299</v>
      </c>
      <c r="AH60" s="1829">
        <v>50</v>
      </c>
      <c r="AI60" s="2124">
        <f>Risk_Compensation!H67*(Risk_Compensation!AK67+CO$144)*12/1000000</f>
        <v>0</v>
      </c>
      <c r="AJ60" s="2121">
        <f>Risk_Compensation!I67*(Risk_Compensation!AL67+CP$144)*12/1000000</f>
        <v>0</v>
      </c>
      <c r="AK60" s="2121">
        <f>Risk_Compensation!J67*(Risk_Compensation!AM67+CQ$144)*12/1000000</f>
        <v>0</v>
      </c>
      <c r="AL60" s="2121">
        <f>Risk_Compensation!K67*(Risk_Compensation!AN67+CR$144)*12/1000000</f>
        <v>0</v>
      </c>
      <c r="AM60" s="2121">
        <f>Risk_Compensation!L67*(Risk_Compensation!AO67+CS$144)*12/1000000</f>
        <v>0</v>
      </c>
      <c r="AN60" s="2121">
        <f>Risk_Compensation!M67*(Risk_Compensation!AP67+CT$144)*12/1000000</f>
        <v>0</v>
      </c>
      <c r="AO60" s="2121">
        <f>Risk_Compensation!N67*(Risk_Compensation!AQ67+CU$144)*12/1000000</f>
        <v>0</v>
      </c>
      <c r="AP60" s="2121">
        <f>Risk_Compensation!O67*(Risk_Compensation!AR67+CV$144)*12/1000000</f>
        <v>0</v>
      </c>
      <c r="AQ60" s="2121">
        <f>Risk_Compensation!P67*(Risk_Compensation!AS67+CW$144)*12/1000000</f>
        <v>0</v>
      </c>
      <c r="AR60" s="2121">
        <f>Risk_Compensation!Q67*(Risk_Compensation!AT67+CX$144)*12/1000000</f>
        <v>0</v>
      </c>
      <c r="AS60" s="2121">
        <f>Risk_Compensation!R67*(Risk_Compensation!AU67+CY$144)*12/1000000</f>
        <v>0</v>
      </c>
      <c r="AT60" s="2121">
        <f>Risk_Compensation!S67*(Risk_Compensation!AV67+CZ$144)*12/1000000</f>
        <v>0</v>
      </c>
      <c r="AU60" s="2121">
        <f>Risk_Compensation!T67*(Risk_Compensation!AW67+DA$144)*12/1000000</f>
        <v>0</v>
      </c>
      <c r="AV60" s="2121">
        <f>Risk_Compensation!U67*(Risk_Compensation!AX67+DB$144)*12/1000000</f>
        <v>0</v>
      </c>
      <c r="AW60" s="2121">
        <f>Risk_Compensation!V67*(Risk_Compensation!AY67+DC$144)*12/1000000</f>
        <v>0</v>
      </c>
      <c r="AX60" s="2121">
        <f>Risk_Compensation!W67*(Risk_Compensation!AZ67+DD$144)*12/1000000</f>
        <v>0</v>
      </c>
      <c r="AY60" s="2121">
        <f>Risk_Compensation!X67*(Risk_Compensation!BA67+DE$144)*12/1000000</f>
        <v>0</v>
      </c>
      <c r="AZ60" s="2121">
        <f>Risk_Compensation!Y67*(Risk_Compensation!BB67+DF$144)*12/1000000</f>
        <v>0</v>
      </c>
      <c r="BA60" s="2121">
        <f>Risk_Compensation!Z67*(Risk_Compensation!BC67+DG$144)*12/1000000</f>
        <v>0</v>
      </c>
      <c r="BB60" s="2121">
        <f>Risk_Compensation!AA67*(Risk_Compensation!BD67+DH$144)*12/1000000</f>
        <v>0</v>
      </c>
      <c r="BC60" s="2121">
        <f>Risk_Compensation!AB67*(Risk_Compensation!BE67+DI$144)*12/1000000</f>
        <v>0</v>
      </c>
      <c r="BD60" s="2121">
        <f>Risk_Compensation!AC67*(Risk_Compensation!BF67+DJ$144)*12/1000000</f>
        <v>0</v>
      </c>
      <c r="BE60" s="2121">
        <f>Risk_Compensation!AD67*(Risk_Compensation!BG67+DK$144)*12/1000000</f>
        <v>0</v>
      </c>
      <c r="BF60" s="2121">
        <f>Risk_Compensation!AE67*(Risk_Compensation!BH67+DL$144)*12/1000000</f>
        <v>0</v>
      </c>
      <c r="BG60" s="2121">
        <f>Risk_Compensation!AF67*(Risk_Compensation!BI67+DM$144)*12/1000000</f>
        <v>0</v>
      </c>
      <c r="BH60" s="2125">
        <f>Risk_Compensation!AG67*(Risk_Compensation!BJ67+DN$144)*12/1000000</f>
        <v>0</v>
      </c>
      <c r="BI60" s="644"/>
      <c r="BJ60" s="1829">
        <v>50</v>
      </c>
      <c r="BK60" s="2138">
        <f>IF(G60&lt;=0,0,(Risk_Compensation!H67/G60-Risk_Compensation!H$79/G$72-0.5*CO$167*($CK60-CO$135/G$72))*G60)</f>
        <v>0</v>
      </c>
      <c r="BL60" s="2139">
        <f>IF(H60&lt;=0,0,(Risk_Compensation!I67/H60-Risk_Compensation!I$79/H$72-0.5*CP$167*($CK60-CP$135/H$72))*H60)</f>
        <v>0</v>
      </c>
      <c r="BM60" s="2139">
        <f>IF(I60&lt;=0,0,(Risk_Compensation!J67/I60-Risk_Compensation!J$79/I$72-0.5*CQ$167*($CK60-CQ$135/I$72))*I60)</f>
        <v>0</v>
      </c>
      <c r="BN60" s="2139">
        <f>IF(J60&lt;=0,0,(Risk_Compensation!K67/J60-Risk_Compensation!K$79/J$72-0.5*CR$167*($CK60-CR$135/J$72))*J60)</f>
        <v>0</v>
      </c>
      <c r="BO60" s="2139">
        <f>IF(K60&lt;=0,0,(Risk_Compensation!L67/K60-Risk_Compensation!L$79/K$72-0.5*CS$167*($CK60-CS$135/K$72))*K60)</f>
        <v>0</v>
      </c>
      <c r="BP60" s="2139">
        <f>IF(L60&lt;=0,0,(Risk_Compensation!M67/L60-Risk_Compensation!M$79/L$72-0.5*CT$167*($CK60-CT$135/L$72))*L60)</f>
        <v>0</v>
      </c>
      <c r="BQ60" s="2139">
        <f>IF(M60&lt;=0,0,(Risk_Compensation!N67/M60-Risk_Compensation!N$79/M$72-0.5*CU$167*($CK60-CU$135/M$72))*M60)</f>
        <v>0</v>
      </c>
      <c r="BR60" s="2139">
        <f>IF(N60&lt;=0,0,(Risk_Compensation!O67/N60-Risk_Compensation!O$79/N$72-0.5*CV$167*($CK60-CV$135/N$72))*N60)</f>
        <v>0</v>
      </c>
      <c r="BS60" s="2139">
        <f>IF(O60&lt;=0,0,(Risk_Compensation!P67/O60-Risk_Compensation!P$79/O$72-0.5*CW$167*($CK60-CW$135/O$72))*O60)</f>
        <v>0</v>
      </c>
      <c r="BT60" s="2139">
        <f>IF(P60&lt;=0,0,(Risk_Compensation!Q67/P60-Risk_Compensation!Q$79/P$72-0.5*CX$167*($CK60-CX$135/P$72))*P60)</f>
        <v>0</v>
      </c>
      <c r="BU60" s="2139">
        <f>IF(Q60&lt;=0,0,(Risk_Compensation!R67/Q60-Risk_Compensation!R$79/Q$72-0.5*CY$167*($CK60-CY$135/Q$72))*Q60)</f>
        <v>0</v>
      </c>
      <c r="BV60" s="2139">
        <f>IF(R60&lt;=0,0,(Risk_Compensation!S67/R60-Risk_Compensation!S$79/R$72-0.5*CZ$167*($CK60-CZ$135/R$72))*R60)</f>
        <v>0</v>
      </c>
      <c r="BW60" s="2139">
        <f>IF(S60&lt;=0,0,(Risk_Compensation!T67/S60-Risk_Compensation!T$79/S$72-0.5*DA$167*($CK60-DA$135/S$72))*S60)</f>
        <v>0</v>
      </c>
      <c r="BX60" s="2139">
        <f>IF(T60&lt;=0,0,(Risk_Compensation!U67/T60-Risk_Compensation!U$79/T$72-0.5*DB$167*($CK60-DB$135/T$72))*T60)</f>
        <v>0</v>
      </c>
      <c r="BY60" s="2139">
        <f>IF(U60&lt;=0,0,(Risk_Compensation!V67/U60-Risk_Compensation!V$79/U$72-0.5*DC$167*($CK60-DC$135/U$72))*U60)</f>
        <v>0</v>
      </c>
      <c r="BZ60" s="2139">
        <f>IF(V60&lt;=0,0,(Risk_Compensation!W67/V60-Risk_Compensation!W$79/V$72-0.5*DD$167*($CK60-DD$135/V$72))*V60)</f>
        <v>0</v>
      </c>
      <c r="CA60" s="2139">
        <f>IF(W60&lt;=0,0,(Risk_Compensation!X67/W60-Risk_Compensation!X$79/W$72-0.5*DE$167*($CK60-DE$135/W$72))*W60)</f>
        <v>0</v>
      </c>
      <c r="CB60" s="2139">
        <f>IF(X60&lt;=0,0,(Risk_Compensation!Y67/X60-Risk_Compensation!Y$79/X$72-0.5*DF$167*($CK60-DF$135/X$72))*X60)</f>
        <v>0</v>
      </c>
      <c r="CC60" s="2139">
        <f>IF(Y60&lt;=0,0,(Risk_Compensation!Z67/Y60-Risk_Compensation!Z$79/Y$72-0.5*DG$167*($CK60-DG$135/Y$72))*Y60)</f>
        <v>0</v>
      </c>
      <c r="CD60" s="2139">
        <f>IF(Z60&lt;=0,0,(Risk_Compensation!AA67/Z60-Risk_Compensation!AA$79/Z$72-0.5*DH$167*($CK60-DH$135/Z$72))*Z60)</f>
        <v>0</v>
      </c>
      <c r="CE60" s="2139">
        <f>IF(AA60&lt;=0,0,(Risk_Compensation!AB67/AA60-Risk_Compensation!AB$79/AA$72-0.5*DI$167*($CK60-DI$135/AA$72))*AA60)</f>
        <v>0</v>
      </c>
      <c r="CF60" s="2139">
        <f>IF(AB60&lt;=0,0,(Risk_Compensation!AC67/AB60-Risk_Compensation!AC$79/AB$72-0.5*DJ$167*($CK60-DJ$135/AB$72))*AB60)</f>
        <v>0</v>
      </c>
      <c r="CG60" s="2139">
        <f>IF(AC60&lt;=0,0,(Risk_Compensation!AD67/AC60-Risk_Compensation!AD$79/AC$72-0.5*DK$167*($CK60-DK$135/AC$72))*AC60)</f>
        <v>0</v>
      </c>
      <c r="CH60" s="2139">
        <f>IF(AD60&lt;=0,0,(Risk_Compensation!AE67/AD60-Risk_Compensation!AE$79/AD$72-0.5*DL$167*($CK60-DL$135/AD$72))*AD60)</f>
        <v>0</v>
      </c>
      <c r="CI60" s="2139">
        <f>IF(AE60&lt;=0,0,(Risk_Compensation!AF67/AE60-Risk_Compensation!AF$79/AE$72-0.5*DM$167*($CK60-DM$135/AE$72))*AE60)</f>
        <v>0</v>
      </c>
      <c r="CJ60" s="2140">
        <f>IF(AF60&lt;=0,0,(Risk_Compensation!AG67/AF60-Risk_Compensation!AG$79/AF$72-0.5*DN$167*($CK60-DN$135/AF$72))*AF60)</f>
        <v>0</v>
      </c>
      <c r="CK60" s="2166">
        <v>0</v>
      </c>
      <c r="CL60" s="644"/>
      <c r="CM60" s="1829">
        <v>50</v>
      </c>
      <c r="CN60" s="2149">
        <f t="shared" si="26"/>
        <v>0</v>
      </c>
      <c r="CO60" s="2150">
        <f t="shared" si="27"/>
        <v>0</v>
      </c>
      <c r="CP60" s="2150">
        <f t="shared" si="28"/>
        <v>0</v>
      </c>
      <c r="CQ60" s="2150">
        <f t="shared" si="29"/>
        <v>0</v>
      </c>
      <c r="CR60" s="2150">
        <f t="shared" si="30"/>
        <v>0</v>
      </c>
      <c r="CS60" s="2150">
        <f t="shared" si="31"/>
        <v>0</v>
      </c>
      <c r="CT60" s="2150">
        <f t="shared" si="32"/>
        <v>0</v>
      </c>
      <c r="CU60" s="2150">
        <f t="shared" si="33"/>
        <v>0</v>
      </c>
      <c r="CV60" s="2150">
        <f t="shared" si="34"/>
        <v>0</v>
      </c>
      <c r="CW60" s="2150">
        <f t="shared" si="35"/>
        <v>0</v>
      </c>
      <c r="CX60" s="2150">
        <f t="shared" si="36"/>
        <v>0</v>
      </c>
      <c r="CY60" s="2150">
        <f t="shared" si="37"/>
        <v>0</v>
      </c>
      <c r="CZ60" s="2150">
        <f t="shared" si="38"/>
        <v>0</v>
      </c>
      <c r="DA60" s="2150">
        <f t="shared" si="39"/>
        <v>0</v>
      </c>
      <c r="DB60" s="2150">
        <f t="shared" si="40"/>
        <v>0</v>
      </c>
      <c r="DC60" s="2150">
        <f t="shared" si="41"/>
        <v>0</v>
      </c>
      <c r="DD60" s="2150">
        <f t="shared" si="42"/>
        <v>0</v>
      </c>
      <c r="DE60" s="2150">
        <f t="shared" si="43"/>
        <v>0</v>
      </c>
      <c r="DF60" s="2150">
        <f t="shared" si="44"/>
        <v>0</v>
      </c>
      <c r="DG60" s="2150">
        <f t="shared" si="45"/>
        <v>0</v>
      </c>
      <c r="DH60" s="2150">
        <f t="shared" si="46"/>
        <v>0</v>
      </c>
      <c r="DI60" s="2150">
        <f t="shared" si="47"/>
        <v>0</v>
      </c>
      <c r="DJ60" s="2150">
        <f t="shared" si="48"/>
        <v>0</v>
      </c>
      <c r="DK60" s="2150">
        <f t="shared" si="49"/>
        <v>0</v>
      </c>
      <c r="DL60" s="2150">
        <f t="shared" si="50"/>
        <v>0</v>
      </c>
      <c r="DM60" s="2151">
        <f t="shared" si="51"/>
        <v>0</v>
      </c>
      <c r="DN60" s="644"/>
      <c r="DO60" s="1829">
        <v>50</v>
      </c>
      <c r="DP60" s="2211">
        <v>245.182540816841</v>
      </c>
      <c r="DQ60" s="2212">
        <v>111.672074885623</v>
      </c>
      <c r="DR60" s="2212">
        <v>185.76684454640201</v>
      </c>
      <c r="DS60" s="2212">
        <v>239.512750954837</v>
      </c>
      <c r="DT60" s="2212">
        <v>261.49715671900498</v>
      </c>
      <c r="DU60" s="2212">
        <v>277.50740406338502</v>
      </c>
      <c r="DV60" s="2212">
        <v>238.453985098777</v>
      </c>
      <c r="DW60" s="2212">
        <v>372.69519838673699</v>
      </c>
      <c r="DX60" s="2212">
        <v>163.76585647513701</v>
      </c>
      <c r="DY60" s="2212">
        <v>211.81460324355001</v>
      </c>
      <c r="DZ60" s="2212">
        <v>241.537914087616</v>
      </c>
      <c r="EA60" s="2212">
        <v>216.271974578119</v>
      </c>
      <c r="EB60" s="2212">
        <v>293.76254277209699</v>
      </c>
      <c r="EC60" s="2212">
        <v>221.15620052365199</v>
      </c>
      <c r="ED60" s="2212">
        <v>267.80027020413303</v>
      </c>
      <c r="EE60" s="2212">
        <v>223.13918796604199</v>
      </c>
      <c r="EF60" s="2212">
        <v>233.01421940263401</v>
      </c>
      <c r="EG60" s="2212">
        <v>222.55332951813199</v>
      </c>
      <c r="EH60" s="2212">
        <v>216.010623111218</v>
      </c>
      <c r="EI60" s="2212">
        <v>236.09228258569101</v>
      </c>
      <c r="EJ60" s="2212">
        <v>296.26213263170803</v>
      </c>
      <c r="EK60" s="2212">
        <v>182.058397599426</v>
      </c>
      <c r="EL60" s="2212">
        <v>305.74579074426202</v>
      </c>
      <c r="EM60" s="2212">
        <v>234.76017910817001</v>
      </c>
      <c r="EN60" s="2212">
        <v>210.95376558528201</v>
      </c>
      <c r="EO60" s="2213">
        <v>279.86926541534899</v>
      </c>
      <c r="ER60" s="1829">
        <v>50</v>
      </c>
      <c r="ES60" s="1830">
        <v>2.2060298580693098</v>
      </c>
      <c r="ET60" s="644"/>
      <c r="EU60" s="2156">
        <v>50</v>
      </c>
      <c r="EV60" s="2090" t="s">
        <v>162</v>
      </c>
      <c r="EW60" s="2090" t="s">
        <v>1913</v>
      </c>
      <c r="EX60" s="2090" t="str">
        <f>Translation!B$580</f>
        <v>Nein</v>
      </c>
    </row>
    <row r="61" spans="2:154" ht="12.75" x14ac:dyDescent="0.2">
      <c r="B61" s="2090">
        <v>51</v>
      </c>
      <c r="C61" s="2090" t="s">
        <v>162</v>
      </c>
      <c r="D61" s="2090" t="s">
        <v>1914</v>
      </c>
      <c r="E61" s="2090" t="str">
        <f>Translation!B$579</f>
        <v>Ja</v>
      </c>
      <c r="F61" s="1622">
        <v>51</v>
      </c>
      <c r="G61" s="2211">
        <v>2023.9625000000001</v>
      </c>
      <c r="H61" s="2212">
        <v>51.500833333333297</v>
      </c>
      <c r="I61" s="2212">
        <v>188.963333333333</v>
      </c>
      <c r="J61" s="2212">
        <v>3502.88</v>
      </c>
      <c r="K61" s="2212">
        <v>1118.0433333333301</v>
      </c>
      <c r="L61" s="2212">
        <v>719.67750000000001</v>
      </c>
      <c r="M61" s="2212">
        <v>839.23916666666696</v>
      </c>
      <c r="N61" s="2212">
        <v>1030.355</v>
      </c>
      <c r="O61" s="2212">
        <v>156.59833333333299</v>
      </c>
      <c r="P61" s="2212">
        <v>657.78083333333302</v>
      </c>
      <c r="Q61" s="2212">
        <v>245.20249999999999</v>
      </c>
      <c r="R61" s="2212">
        <v>1043.8800000000001</v>
      </c>
      <c r="S61" s="2212">
        <v>491.58416666666699</v>
      </c>
      <c r="T61" s="2212">
        <v>109.22</v>
      </c>
      <c r="U61" s="2212">
        <v>115.88833333333299</v>
      </c>
      <c r="V61" s="2212">
        <v>1548.79833333333</v>
      </c>
      <c r="W61" s="2212">
        <v>301.50333333333299</v>
      </c>
      <c r="X61" s="2212">
        <v>898.64250000000004</v>
      </c>
      <c r="Y61" s="2212">
        <v>454.24833333333299</v>
      </c>
      <c r="Z61" s="2212">
        <v>911.50250000000005</v>
      </c>
      <c r="AA61" s="2212">
        <v>1191.7733333333299</v>
      </c>
      <c r="AB61" s="2212">
        <v>121.709166666667</v>
      </c>
      <c r="AC61" s="2212">
        <v>1875.2183333333301</v>
      </c>
      <c r="AD61" s="2212">
        <v>1054.6675</v>
      </c>
      <c r="AE61" s="2212">
        <v>323.02999999999997</v>
      </c>
      <c r="AF61" s="2213">
        <v>3950.0391666666701</v>
      </c>
      <c r="AH61" s="1829">
        <v>51</v>
      </c>
      <c r="AI61" s="2124">
        <f>Risk_Compensation!H68*(Risk_Compensation!AK68+CO$144)*12/1000000</f>
        <v>0</v>
      </c>
      <c r="AJ61" s="2121">
        <f>Risk_Compensation!I68*(Risk_Compensation!AL68+CP$144)*12/1000000</f>
        <v>0</v>
      </c>
      <c r="AK61" s="2121">
        <f>Risk_Compensation!J68*(Risk_Compensation!AM68+CQ$144)*12/1000000</f>
        <v>0</v>
      </c>
      <c r="AL61" s="2121">
        <f>Risk_Compensation!K68*(Risk_Compensation!AN68+CR$144)*12/1000000</f>
        <v>0</v>
      </c>
      <c r="AM61" s="2121">
        <f>Risk_Compensation!L68*(Risk_Compensation!AO68+CS$144)*12/1000000</f>
        <v>0</v>
      </c>
      <c r="AN61" s="2121">
        <f>Risk_Compensation!M68*(Risk_Compensation!AP68+CT$144)*12/1000000</f>
        <v>0</v>
      </c>
      <c r="AO61" s="2121">
        <f>Risk_Compensation!N68*(Risk_Compensation!AQ68+CU$144)*12/1000000</f>
        <v>0</v>
      </c>
      <c r="AP61" s="2121">
        <f>Risk_Compensation!O68*(Risk_Compensation!AR68+CV$144)*12/1000000</f>
        <v>0</v>
      </c>
      <c r="AQ61" s="2121">
        <f>Risk_Compensation!P68*(Risk_Compensation!AS68+CW$144)*12/1000000</f>
        <v>0</v>
      </c>
      <c r="AR61" s="2121">
        <f>Risk_Compensation!Q68*(Risk_Compensation!AT68+CX$144)*12/1000000</f>
        <v>0</v>
      </c>
      <c r="AS61" s="2121">
        <f>Risk_Compensation!R68*(Risk_Compensation!AU68+CY$144)*12/1000000</f>
        <v>0</v>
      </c>
      <c r="AT61" s="2121">
        <f>Risk_Compensation!S68*(Risk_Compensation!AV68+CZ$144)*12/1000000</f>
        <v>0</v>
      </c>
      <c r="AU61" s="2121">
        <f>Risk_Compensation!T68*(Risk_Compensation!AW68+DA$144)*12/1000000</f>
        <v>0</v>
      </c>
      <c r="AV61" s="2121">
        <f>Risk_Compensation!U68*(Risk_Compensation!AX68+DB$144)*12/1000000</f>
        <v>0</v>
      </c>
      <c r="AW61" s="2121">
        <f>Risk_Compensation!V68*(Risk_Compensation!AY68+DC$144)*12/1000000</f>
        <v>0</v>
      </c>
      <c r="AX61" s="2121">
        <f>Risk_Compensation!W68*(Risk_Compensation!AZ68+DD$144)*12/1000000</f>
        <v>0</v>
      </c>
      <c r="AY61" s="2121">
        <f>Risk_Compensation!X68*(Risk_Compensation!BA68+DE$144)*12/1000000</f>
        <v>0</v>
      </c>
      <c r="AZ61" s="2121">
        <f>Risk_Compensation!Y68*(Risk_Compensation!BB68+DF$144)*12/1000000</f>
        <v>0</v>
      </c>
      <c r="BA61" s="2121">
        <f>Risk_Compensation!Z68*(Risk_Compensation!BC68+DG$144)*12/1000000</f>
        <v>0</v>
      </c>
      <c r="BB61" s="2121">
        <f>Risk_Compensation!AA68*(Risk_Compensation!BD68+DH$144)*12/1000000</f>
        <v>0</v>
      </c>
      <c r="BC61" s="2121">
        <f>Risk_Compensation!AB68*(Risk_Compensation!BE68+DI$144)*12/1000000</f>
        <v>0</v>
      </c>
      <c r="BD61" s="2121">
        <f>Risk_Compensation!AC68*(Risk_Compensation!BF68+DJ$144)*12/1000000</f>
        <v>0</v>
      </c>
      <c r="BE61" s="2121">
        <f>Risk_Compensation!AD68*(Risk_Compensation!BG68+DK$144)*12/1000000</f>
        <v>0</v>
      </c>
      <c r="BF61" s="2121">
        <f>Risk_Compensation!AE68*(Risk_Compensation!BH68+DL$144)*12/1000000</f>
        <v>0</v>
      </c>
      <c r="BG61" s="2121">
        <f>Risk_Compensation!AF68*(Risk_Compensation!BI68+DM$144)*12/1000000</f>
        <v>0</v>
      </c>
      <c r="BH61" s="2125">
        <f>Risk_Compensation!AG68*(Risk_Compensation!BJ68+DN$144)*12/1000000</f>
        <v>0</v>
      </c>
      <c r="BI61" s="644"/>
      <c r="BJ61" s="1829">
        <v>51</v>
      </c>
      <c r="BK61" s="2138">
        <f>IF(G61&lt;=0,0,(Risk_Compensation!H68/G61-Risk_Compensation!H$79/G$72-0.5*CO$167*($CK61-CO$135/G$72))*G61)</f>
        <v>0</v>
      </c>
      <c r="BL61" s="2139">
        <f>IF(H61&lt;=0,0,(Risk_Compensation!I68/H61-Risk_Compensation!I$79/H$72-0.5*CP$167*($CK61-CP$135/H$72))*H61)</f>
        <v>0</v>
      </c>
      <c r="BM61" s="2139">
        <f>IF(I61&lt;=0,0,(Risk_Compensation!J68/I61-Risk_Compensation!J$79/I$72-0.5*CQ$167*($CK61-CQ$135/I$72))*I61)</f>
        <v>0</v>
      </c>
      <c r="BN61" s="2139">
        <f>IF(J61&lt;=0,0,(Risk_Compensation!K68/J61-Risk_Compensation!K$79/J$72-0.5*CR$167*($CK61-CR$135/J$72))*J61)</f>
        <v>0</v>
      </c>
      <c r="BO61" s="2139">
        <f>IF(K61&lt;=0,0,(Risk_Compensation!L68/K61-Risk_Compensation!L$79/K$72-0.5*CS$167*($CK61-CS$135/K$72))*K61)</f>
        <v>0</v>
      </c>
      <c r="BP61" s="2139">
        <f>IF(L61&lt;=0,0,(Risk_Compensation!M68/L61-Risk_Compensation!M$79/L$72-0.5*CT$167*($CK61-CT$135/L$72))*L61)</f>
        <v>0</v>
      </c>
      <c r="BQ61" s="2139">
        <f>IF(M61&lt;=0,0,(Risk_Compensation!N68/M61-Risk_Compensation!N$79/M$72-0.5*CU$167*($CK61-CU$135/M$72))*M61)</f>
        <v>0</v>
      </c>
      <c r="BR61" s="2139">
        <f>IF(N61&lt;=0,0,(Risk_Compensation!O68/N61-Risk_Compensation!O$79/N$72-0.5*CV$167*($CK61-CV$135/N$72))*N61)</f>
        <v>0</v>
      </c>
      <c r="BS61" s="2139">
        <f>IF(O61&lt;=0,0,(Risk_Compensation!P68/O61-Risk_Compensation!P$79/O$72-0.5*CW$167*($CK61-CW$135/O$72))*O61)</f>
        <v>0</v>
      </c>
      <c r="BT61" s="2139">
        <f>IF(P61&lt;=0,0,(Risk_Compensation!Q68/P61-Risk_Compensation!Q$79/P$72-0.5*CX$167*($CK61-CX$135/P$72))*P61)</f>
        <v>0</v>
      </c>
      <c r="BU61" s="2139">
        <f>IF(Q61&lt;=0,0,(Risk_Compensation!R68/Q61-Risk_Compensation!R$79/Q$72-0.5*CY$167*($CK61-CY$135/Q$72))*Q61)</f>
        <v>0</v>
      </c>
      <c r="BV61" s="2139">
        <f>IF(R61&lt;=0,0,(Risk_Compensation!S68/R61-Risk_Compensation!S$79/R$72-0.5*CZ$167*($CK61-CZ$135/R$72))*R61)</f>
        <v>0</v>
      </c>
      <c r="BW61" s="2139">
        <f>IF(S61&lt;=0,0,(Risk_Compensation!T68/S61-Risk_Compensation!T$79/S$72-0.5*DA$167*($CK61-DA$135/S$72))*S61)</f>
        <v>0</v>
      </c>
      <c r="BX61" s="2139">
        <f>IF(T61&lt;=0,0,(Risk_Compensation!U68/T61-Risk_Compensation!U$79/T$72-0.5*DB$167*($CK61-DB$135/T$72))*T61)</f>
        <v>0</v>
      </c>
      <c r="BY61" s="2139">
        <f>IF(U61&lt;=0,0,(Risk_Compensation!V68/U61-Risk_Compensation!V$79/U$72-0.5*DC$167*($CK61-DC$135/U$72))*U61)</f>
        <v>0</v>
      </c>
      <c r="BZ61" s="2139">
        <f>IF(V61&lt;=0,0,(Risk_Compensation!W68/V61-Risk_Compensation!W$79/V$72-0.5*DD$167*($CK61-DD$135/V$72))*V61)</f>
        <v>0</v>
      </c>
      <c r="CA61" s="2139">
        <f>IF(W61&lt;=0,0,(Risk_Compensation!X68/W61-Risk_Compensation!X$79/W$72-0.5*DE$167*($CK61-DE$135/W$72))*W61)</f>
        <v>0</v>
      </c>
      <c r="CB61" s="2139">
        <f>IF(X61&lt;=0,0,(Risk_Compensation!Y68/X61-Risk_Compensation!Y$79/X$72-0.5*DF$167*($CK61-DF$135/X$72))*X61)</f>
        <v>0</v>
      </c>
      <c r="CC61" s="2139">
        <f>IF(Y61&lt;=0,0,(Risk_Compensation!Z68/Y61-Risk_Compensation!Z$79/Y$72-0.5*DG$167*($CK61-DG$135/Y$72))*Y61)</f>
        <v>0</v>
      </c>
      <c r="CD61" s="2139">
        <f>IF(Z61&lt;=0,0,(Risk_Compensation!AA68/Z61-Risk_Compensation!AA$79/Z$72-0.5*DH$167*($CK61-DH$135/Z$72))*Z61)</f>
        <v>0</v>
      </c>
      <c r="CE61" s="2139">
        <f>IF(AA61&lt;=0,0,(Risk_Compensation!AB68/AA61-Risk_Compensation!AB$79/AA$72-0.5*DI$167*($CK61-DI$135/AA$72))*AA61)</f>
        <v>0</v>
      </c>
      <c r="CF61" s="2139">
        <f>IF(AB61&lt;=0,0,(Risk_Compensation!AC68/AB61-Risk_Compensation!AC$79/AB$72-0.5*DJ$167*($CK61-DJ$135/AB$72))*AB61)</f>
        <v>0</v>
      </c>
      <c r="CG61" s="2139">
        <f>IF(AC61&lt;=0,0,(Risk_Compensation!AD68/AC61-Risk_Compensation!AD$79/AC$72-0.5*DK$167*($CK61-DK$135/AC$72))*AC61)</f>
        <v>0</v>
      </c>
      <c r="CH61" s="2139">
        <f>IF(AD61&lt;=0,0,(Risk_Compensation!AE68/AD61-Risk_Compensation!AE$79/AD$72-0.5*DL$167*($CK61-DL$135/AD$72))*AD61)</f>
        <v>0</v>
      </c>
      <c r="CI61" s="2139">
        <f>IF(AE61&lt;=0,0,(Risk_Compensation!AF68/AE61-Risk_Compensation!AF$79/AE$72-0.5*DM$167*($CK61-DM$135/AE$72))*AE61)</f>
        <v>0</v>
      </c>
      <c r="CJ61" s="2140">
        <f>IF(AF61&lt;=0,0,(Risk_Compensation!AG68/AF61-Risk_Compensation!AG$79/AF$72-0.5*DN$167*($CK61-DN$135/AF$72))*AF61)</f>
        <v>0</v>
      </c>
      <c r="CK61" s="2166">
        <v>0</v>
      </c>
      <c r="CL61" s="644"/>
      <c r="CM61" s="1829">
        <v>51</v>
      </c>
      <c r="CN61" s="2149">
        <f t="shared" si="26"/>
        <v>0</v>
      </c>
      <c r="CO61" s="2150">
        <f t="shared" si="27"/>
        <v>0</v>
      </c>
      <c r="CP61" s="2150">
        <f t="shared" si="28"/>
        <v>0</v>
      </c>
      <c r="CQ61" s="2150">
        <f t="shared" si="29"/>
        <v>0</v>
      </c>
      <c r="CR61" s="2150">
        <f t="shared" si="30"/>
        <v>0</v>
      </c>
      <c r="CS61" s="2150">
        <f t="shared" si="31"/>
        <v>0</v>
      </c>
      <c r="CT61" s="2150">
        <f t="shared" si="32"/>
        <v>0</v>
      </c>
      <c r="CU61" s="2150">
        <f t="shared" si="33"/>
        <v>0</v>
      </c>
      <c r="CV61" s="2150">
        <f t="shared" si="34"/>
        <v>0</v>
      </c>
      <c r="CW61" s="2150">
        <f t="shared" si="35"/>
        <v>0</v>
      </c>
      <c r="CX61" s="2150">
        <f t="shared" si="36"/>
        <v>0</v>
      </c>
      <c r="CY61" s="2150">
        <f t="shared" si="37"/>
        <v>0</v>
      </c>
      <c r="CZ61" s="2150">
        <f t="shared" si="38"/>
        <v>0</v>
      </c>
      <c r="DA61" s="2150">
        <f t="shared" si="39"/>
        <v>0</v>
      </c>
      <c r="DB61" s="2150">
        <f t="shared" si="40"/>
        <v>0</v>
      </c>
      <c r="DC61" s="2150">
        <f t="shared" si="41"/>
        <v>0</v>
      </c>
      <c r="DD61" s="2150">
        <f t="shared" si="42"/>
        <v>0</v>
      </c>
      <c r="DE61" s="2150">
        <f t="shared" si="43"/>
        <v>0</v>
      </c>
      <c r="DF61" s="2150">
        <f t="shared" si="44"/>
        <v>0</v>
      </c>
      <c r="DG61" s="2150">
        <f t="shared" si="45"/>
        <v>0</v>
      </c>
      <c r="DH61" s="2150">
        <f t="shared" si="46"/>
        <v>0</v>
      </c>
      <c r="DI61" s="2150">
        <f t="shared" si="47"/>
        <v>0</v>
      </c>
      <c r="DJ61" s="2150">
        <f t="shared" si="48"/>
        <v>0</v>
      </c>
      <c r="DK61" s="2150">
        <f t="shared" si="49"/>
        <v>0</v>
      </c>
      <c r="DL61" s="2150">
        <f t="shared" si="50"/>
        <v>0</v>
      </c>
      <c r="DM61" s="2151">
        <f t="shared" si="51"/>
        <v>0</v>
      </c>
      <c r="DN61" s="644"/>
      <c r="DO61" s="1829">
        <v>51</v>
      </c>
      <c r="DP61" s="2211">
        <v>1010.55126785774</v>
      </c>
      <c r="DQ61" s="2212">
        <v>573.72406580211998</v>
      </c>
      <c r="DR61" s="2212">
        <v>1052.4536497280601</v>
      </c>
      <c r="DS61" s="2212">
        <v>1046.92895993753</v>
      </c>
      <c r="DT61" s="2212">
        <v>1002.08371142433</v>
      </c>
      <c r="DU61" s="2212">
        <v>1322.23036178695</v>
      </c>
      <c r="DV61" s="2212">
        <v>1060.04955482383</v>
      </c>
      <c r="DW61" s="2212">
        <v>1566.32517726935</v>
      </c>
      <c r="DX61" s="2212">
        <v>743.77089873488603</v>
      </c>
      <c r="DY61" s="2212">
        <v>833.15914890328304</v>
      </c>
      <c r="DZ61" s="2212">
        <v>1295.35627694339</v>
      </c>
      <c r="EA61" s="2212">
        <v>810.61705494265402</v>
      </c>
      <c r="EB61" s="2212">
        <v>1422.8512795317999</v>
      </c>
      <c r="EC61" s="2212">
        <v>677.08084418012299</v>
      </c>
      <c r="ED61" s="2212">
        <v>806.73834082076303</v>
      </c>
      <c r="EE61" s="2212">
        <v>909.44735196883096</v>
      </c>
      <c r="EF61" s="2212">
        <v>799.67971543236399</v>
      </c>
      <c r="EG61" s="2212">
        <v>1041.67115444562</v>
      </c>
      <c r="EH61" s="2212">
        <v>986.28713814990203</v>
      </c>
      <c r="EI61" s="2212">
        <v>970.80574001938601</v>
      </c>
      <c r="EJ61" s="2212">
        <v>1217.47632518257</v>
      </c>
      <c r="EK61" s="2212">
        <v>809.45214504348996</v>
      </c>
      <c r="EL61" s="2212">
        <v>1396.2446603563001</v>
      </c>
      <c r="EM61" s="2212">
        <v>1021.69884189253</v>
      </c>
      <c r="EN61" s="2212">
        <v>797.29900609869003</v>
      </c>
      <c r="EO61" s="2213">
        <v>1121.7744018205301</v>
      </c>
      <c r="ER61" s="1829">
        <v>51</v>
      </c>
      <c r="ES61" s="1830">
        <v>1.5583449680052199</v>
      </c>
      <c r="ET61" s="644"/>
      <c r="EU61" s="2156">
        <v>51</v>
      </c>
      <c r="EV61" s="2090" t="s">
        <v>162</v>
      </c>
      <c r="EW61" s="2090" t="s">
        <v>1914</v>
      </c>
      <c r="EX61" s="2090" t="str">
        <f>Translation!B$579</f>
        <v>Ja</v>
      </c>
    </row>
    <row r="62" spans="2:154" ht="12.75" x14ac:dyDescent="0.2">
      <c r="B62" s="2090">
        <v>52</v>
      </c>
      <c r="C62" s="2090" t="s">
        <v>162</v>
      </c>
      <c r="D62" s="2090" t="s">
        <v>1914</v>
      </c>
      <c r="E62" s="2090" t="str">
        <f>Translation!B$580</f>
        <v>Nein</v>
      </c>
      <c r="F62" s="1622">
        <v>52</v>
      </c>
      <c r="G62" s="2211">
        <v>14602.996666666701</v>
      </c>
      <c r="H62" s="2212">
        <v>333.27416666666699</v>
      </c>
      <c r="I62" s="2212">
        <v>1245.2325000000001</v>
      </c>
      <c r="J62" s="2212">
        <v>25122.4375</v>
      </c>
      <c r="K62" s="2212">
        <v>7049.5958333333301</v>
      </c>
      <c r="L62" s="2212">
        <v>3868.7125000000001</v>
      </c>
      <c r="M62" s="2212">
        <v>6233.71</v>
      </c>
      <c r="N62" s="2212">
        <v>8620.5375000000004</v>
      </c>
      <c r="O62" s="2212">
        <v>929.78333333333296</v>
      </c>
      <c r="P62" s="2212">
        <v>4920.7141666666703</v>
      </c>
      <c r="Q62" s="2212">
        <v>1837.41916666667</v>
      </c>
      <c r="R62" s="2212">
        <v>8520.2408333333296</v>
      </c>
      <c r="S62" s="2212">
        <v>3822.3575000000001</v>
      </c>
      <c r="T62" s="2212">
        <v>1039.3625</v>
      </c>
      <c r="U62" s="2212">
        <v>865.4325</v>
      </c>
      <c r="V62" s="2212">
        <v>10661.125833333301</v>
      </c>
      <c r="W62" s="2212">
        <v>2004.48</v>
      </c>
      <c r="X62" s="2212">
        <v>6220.7691666666697</v>
      </c>
      <c r="Y62" s="2212">
        <v>3344.5374999999999</v>
      </c>
      <c r="Z62" s="2212">
        <v>5810.3024999999998</v>
      </c>
      <c r="AA62" s="2212">
        <v>8683.4058333333305</v>
      </c>
      <c r="AB62" s="2212">
        <v>840.09916666666697</v>
      </c>
      <c r="AC62" s="2212">
        <v>15475.875</v>
      </c>
      <c r="AD62" s="2212">
        <v>8351.5166666666701</v>
      </c>
      <c r="AE62" s="2212">
        <v>2450.6541666666699</v>
      </c>
      <c r="AF62" s="2213">
        <v>29623.018333333301</v>
      </c>
      <c r="AH62" s="1829">
        <v>52</v>
      </c>
      <c r="AI62" s="2124">
        <f>Risk_Compensation!H69*(Risk_Compensation!AK69+CO$144)*12/1000000</f>
        <v>0</v>
      </c>
      <c r="AJ62" s="2121">
        <f>Risk_Compensation!I69*(Risk_Compensation!AL69+CP$144)*12/1000000</f>
        <v>0</v>
      </c>
      <c r="AK62" s="2121">
        <f>Risk_Compensation!J69*(Risk_Compensation!AM69+CQ$144)*12/1000000</f>
        <v>0</v>
      </c>
      <c r="AL62" s="2121">
        <f>Risk_Compensation!K69*(Risk_Compensation!AN69+CR$144)*12/1000000</f>
        <v>0</v>
      </c>
      <c r="AM62" s="2121">
        <f>Risk_Compensation!L69*(Risk_Compensation!AO69+CS$144)*12/1000000</f>
        <v>0</v>
      </c>
      <c r="AN62" s="2121">
        <f>Risk_Compensation!M69*(Risk_Compensation!AP69+CT$144)*12/1000000</f>
        <v>0</v>
      </c>
      <c r="AO62" s="2121">
        <f>Risk_Compensation!N69*(Risk_Compensation!AQ69+CU$144)*12/1000000</f>
        <v>0</v>
      </c>
      <c r="AP62" s="2121">
        <f>Risk_Compensation!O69*(Risk_Compensation!AR69+CV$144)*12/1000000</f>
        <v>0</v>
      </c>
      <c r="AQ62" s="2121">
        <f>Risk_Compensation!P69*(Risk_Compensation!AS69+CW$144)*12/1000000</f>
        <v>0</v>
      </c>
      <c r="AR62" s="2121">
        <f>Risk_Compensation!Q69*(Risk_Compensation!AT69+CX$144)*12/1000000</f>
        <v>0</v>
      </c>
      <c r="AS62" s="2121">
        <f>Risk_Compensation!R69*(Risk_Compensation!AU69+CY$144)*12/1000000</f>
        <v>0</v>
      </c>
      <c r="AT62" s="2121">
        <f>Risk_Compensation!S69*(Risk_Compensation!AV69+CZ$144)*12/1000000</f>
        <v>0</v>
      </c>
      <c r="AU62" s="2121">
        <f>Risk_Compensation!T69*(Risk_Compensation!AW69+DA$144)*12/1000000</f>
        <v>0</v>
      </c>
      <c r="AV62" s="2121">
        <f>Risk_Compensation!U69*(Risk_Compensation!AX69+DB$144)*12/1000000</f>
        <v>0</v>
      </c>
      <c r="AW62" s="2121">
        <f>Risk_Compensation!V69*(Risk_Compensation!AY69+DC$144)*12/1000000</f>
        <v>0</v>
      </c>
      <c r="AX62" s="2121">
        <f>Risk_Compensation!W69*(Risk_Compensation!AZ69+DD$144)*12/1000000</f>
        <v>0</v>
      </c>
      <c r="AY62" s="2121">
        <f>Risk_Compensation!X69*(Risk_Compensation!BA69+DE$144)*12/1000000</f>
        <v>0</v>
      </c>
      <c r="AZ62" s="2121">
        <f>Risk_Compensation!Y69*(Risk_Compensation!BB69+DF$144)*12/1000000</f>
        <v>0</v>
      </c>
      <c r="BA62" s="2121">
        <f>Risk_Compensation!Z69*(Risk_Compensation!BC69+DG$144)*12/1000000</f>
        <v>0</v>
      </c>
      <c r="BB62" s="2121">
        <f>Risk_Compensation!AA69*(Risk_Compensation!BD69+DH$144)*12/1000000</f>
        <v>0</v>
      </c>
      <c r="BC62" s="2121">
        <f>Risk_Compensation!AB69*(Risk_Compensation!BE69+DI$144)*12/1000000</f>
        <v>0</v>
      </c>
      <c r="BD62" s="2121">
        <f>Risk_Compensation!AC69*(Risk_Compensation!BF69+DJ$144)*12/1000000</f>
        <v>0</v>
      </c>
      <c r="BE62" s="2121">
        <f>Risk_Compensation!AD69*(Risk_Compensation!BG69+DK$144)*12/1000000</f>
        <v>0</v>
      </c>
      <c r="BF62" s="2121">
        <f>Risk_Compensation!AE69*(Risk_Compensation!BH69+DL$144)*12/1000000</f>
        <v>0</v>
      </c>
      <c r="BG62" s="2121">
        <f>Risk_Compensation!AF69*(Risk_Compensation!BI69+DM$144)*12/1000000</f>
        <v>0</v>
      </c>
      <c r="BH62" s="2125">
        <f>Risk_Compensation!AG69*(Risk_Compensation!BJ69+DN$144)*12/1000000</f>
        <v>0</v>
      </c>
      <c r="BI62" s="644"/>
      <c r="BJ62" s="1829">
        <v>52</v>
      </c>
      <c r="BK62" s="2138">
        <f>IF(G62&lt;=0,0,(Risk_Compensation!H69/G62-Risk_Compensation!H$79/G$72-0.5*CO$167*($CK62-CO$135/G$72))*G62)</f>
        <v>0</v>
      </c>
      <c r="BL62" s="2139">
        <f>IF(H62&lt;=0,0,(Risk_Compensation!I69/H62-Risk_Compensation!I$79/H$72-0.5*CP$167*($CK62-CP$135/H$72))*H62)</f>
        <v>0</v>
      </c>
      <c r="BM62" s="2139">
        <f>IF(I62&lt;=0,0,(Risk_Compensation!J69/I62-Risk_Compensation!J$79/I$72-0.5*CQ$167*($CK62-CQ$135/I$72))*I62)</f>
        <v>0</v>
      </c>
      <c r="BN62" s="2139">
        <f>IF(J62&lt;=0,0,(Risk_Compensation!K69/J62-Risk_Compensation!K$79/J$72-0.5*CR$167*($CK62-CR$135/J$72))*J62)</f>
        <v>0</v>
      </c>
      <c r="BO62" s="2139">
        <f>IF(K62&lt;=0,0,(Risk_Compensation!L69/K62-Risk_Compensation!L$79/K$72-0.5*CS$167*($CK62-CS$135/K$72))*K62)</f>
        <v>0</v>
      </c>
      <c r="BP62" s="2139">
        <f>IF(L62&lt;=0,0,(Risk_Compensation!M69/L62-Risk_Compensation!M$79/L$72-0.5*CT$167*($CK62-CT$135/L$72))*L62)</f>
        <v>0</v>
      </c>
      <c r="BQ62" s="2139">
        <f>IF(M62&lt;=0,0,(Risk_Compensation!N69/M62-Risk_Compensation!N$79/M$72-0.5*CU$167*($CK62-CU$135/M$72))*M62)</f>
        <v>0</v>
      </c>
      <c r="BR62" s="2139">
        <f>IF(N62&lt;=0,0,(Risk_Compensation!O69/N62-Risk_Compensation!O$79/N$72-0.5*CV$167*($CK62-CV$135/N$72))*N62)</f>
        <v>0</v>
      </c>
      <c r="BS62" s="2139">
        <f>IF(O62&lt;=0,0,(Risk_Compensation!P69/O62-Risk_Compensation!P$79/O$72-0.5*CW$167*($CK62-CW$135/O$72))*O62)</f>
        <v>0</v>
      </c>
      <c r="BT62" s="2139">
        <f>IF(P62&lt;=0,0,(Risk_Compensation!Q69/P62-Risk_Compensation!Q$79/P$72-0.5*CX$167*($CK62-CX$135/P$72))*P62)</f>
        <v>0</v>
      </c>
      <c r="BU62" s="2139">
        <f>IF(Q62&lt;=0,0,(Risk_Compensation!R69/Q62-Risk_Compensation!R$79/Q$72-0.5*CY$167*($CK62-CY$135/Q$72))*Q62)</f>
        <v>0</v>
      </c>
      <c r="BV62" s="2139">
        <f>IF(R62&lt;=0,0,(Risk_Compensation!S69/R62-Risk_Compensation!S$79/R$72-0.5*CZ$167*($CK62-CZ$135/R$72))*R62)</f>
        <v>0</v>
      </c>
      <c r="BW62" s="2139">
        <f>IF(S62&lt;=0,0,(Risk_Compensation!T69/S62-Risk_Compensation!T$79/S$72-0.5*DA$167*($CK62-DA$135/S$72))*S62)</f>
        <v>0</v>
      </c>
      <c r="BX62" s="2139">
        <f>IF(T62&lt;=0,0,(Risk_Compensation!U69/T62-Risk_Compensation!U$79/T$72-0.5*DB$167*($CK62-DB$135/T$72))*T62)</f>
        <v>0</v>
      </c>
      <c r="BY62" s="2139">
        <f>IF(U62&lt;=0,0,(Risk_Compensation!V69/U62-Risk_Compensation!V$79/U$72-0.5*DC$167*($CK62-DC$135/U$72))*U62)</f>
        <v>0</v>
      </c>
      <c r="BZ62" s="2139">
        <f>IF(V62&lt;=0,0,(Risk_Compensation!W69/V62-Risk_Compensation!W$79/V$72-0.5*DD$167*($CK62-DD$135/V$72))*V62)</f>
        <v>0</v>
      </c>
      <c r="CA62" s="2139">
        <f>IF(W62&lt;=0,0,(Risk_Compensation!X69/W62-Risk_Compensation!X$79/W$72-0.5*DE$167*($CK62-DE$135/W$72))*W62)</f>
        <v>0</v>
      </c>
      <c r="CB62" s="2139">
        <f>IF(X62&lt;=0,0,(Risk_Compensation!Y69/X62-Risk_Compensation!Y$79/X$72-0.5*DF$167*($CK62-DF$135/X$72))*X62)</f>
        <v>0</v>
      </c>
      <c r="CC62" s="2139">
        <f>IF(Y62&lt;=0,0,(Risk_Compensation!Z69/Y62-Risk_Compensation!Z$79/Y$72-0.5*DG$167*($CK62-DG$135/Y$72))*Y62)</f>
        <v>0</v>
      </c>
      <c r="CD62" s="2139">
        <f>IF(Z62&lt;=0,0,(Risk_Compensation!AA69/Z62-Risk_Compensation!AA$79/Z$72-0.5*DH$167*($CK62-DH$135/Z$72))*Z62)</f>
        <v>0</v>
      </c>
      <c r="CE62" s="2139">
        <f>IF(AA62&lt;=0,0,(Risk_Compensation!AB69/AA62-Risk_Compensation!AB$79/AA$72-0.5*DI$167*($CK62-DI$135/AA$72))*AA62)</f>
        <v>0</v>
      </c>
      <c r="CF62" s="2139">
        <f>IF(AB62&lt;=0,0,(Risk_Compensation!AC69/AB62-Risk_Compensation!AC$79/AB$72-0.5*DJ$167*($CK62-DJ$135/AB$72))*AB62)</f>
        <v>0</v>
      </c>
      <c r="CG62" s="2139">
        <f>IF(AC62&lt;=0,0,(Risk_Compensation!AD69/AC62-Risk_Compensation!AD$79/AC$72-0.5*DK$167*($CK62-DK$135/AC$72))*AC62)</f>
        <v>0</v>
      </c>
      <c r="CH62" s="2139">
        <f>IF(AD62&lt;=0,0,(Risk_Compensation!AE69/AD62-Risk_Compensation!AE$79/AD$72-0.5*DL$167*($CK62-DL$135/AD$72))*AD62)</f>
        <v>0</v>
      </c>
      <c r="CI62" s="2139">
        <f>IF(AE62&lt;=0,0,(Risk_Compensation!AF69/AE62-Risk_Compensation!AF$79/AE$72-0.5*DM$167*($CK62-DM$135/AE$72))*AE62)</f>
        <v>0</v>
      </c>
      <c r="CJ62" s="2140">
        <f>IF(AF62&lt;=0,0,(Risk_Compensation!AG69/AF62-Risk_Compensation!AG$79/AF$72-0.5*DN$167*($CK62-DN$135/AF$72))*AF62)</f>
        <v>0</v>
      </c>
      <c r="CK62" s="2166">
        <v>0</v>
      </c>
      <c r="CL62" s="644"/>
      <c r="CM62" s="1829">
        <v>52</v>
      </c>
      <c r="CN62" s="2149">
        <f t="shared" si="26"/>
        <v>0</v>
      </c>
      <c r="CO62" s="2150">
        <f t="shared" si="27"/>
        <v>0</v>
      </c>
      <c r="CP62" s="2150">
        <f t="shared" si="28"/>
        <v>0</v>
      </c>
      <c r="CQ62" s="2150">
        <f t="shared" si="29"/>
        <v>0</v>
      </c>
      <c r="CR62" s="2150">
        <f t="shared" si="30"/>
        <v>0</v>
      </c>
      <c r="CS62" s="2150">
        <f t="shared" si="31"/>
        <v>0</v>
      </c>
      <c r="CT62" s="2150">
        <f t="shared" si="32"/>
        <v>0</v>
      </c>
      <c r="CU62" s="2150">
        <f t="shared" si="33"/>
        <v>0</v>
      </c>
      <c r="CV62" s="2150">
        <f t="shared" si="34"/>
        <v>0</v>
      </c>
      <c r="CW62" s="2150">
        <f t="shared" si="35"/>
        <v>0</v>
      </c>
      <c r="CX62" s="2150">
        <f t="shared" si="36"/>
        <v>0</v>
      </c>
      <c r="CY62" s="2150">
        <f t="shared" si="37"/>
        <v>0</v>
      </c>
      <c r="CZ62" s="2150">
        <f t="shared" si="38"/>
        <v>0</v>
      </c>
      <c r="DA62" s="2150">
        <f t="shared" si="39"/>
        <v>0</v>
      </c>
      <c r="DB62" s="2150">
        <f t="shared" si="40"/>
        <v>0</v>
      </c>
      <c r="DC62" s="2150">
        <f t="shared" si="41"/>
        <v>0</v>
      </c>
      <c r="DD62" s="2150">
        <f t="shared" si="42"/>
        <v>0</v>
      </c>
      <c r="DE62" s="2150">
        <f t="shared" si="43"/>
        <v>0</v>
      </c>
      <c r="DF62" s="2150">
        <f t="shared" si="44"/>
        <v>0</v>
      </c>
      <c r="DG62" s="2150">
        <f t="shared" si="45"/>
        <v>0</v>
      </c>
      <c r="DH62" s="2150">
        <f t="shared" si="46"/>
        <v>0</v>
      </c>
      <c r="DI62" s="2150">
        <f t="shared" si="47"/>
        <v>0</v>
      </c>
      <c r="DJ62" s="2150">
        <f t="shared" si="48"/>
        <v>0</v>
      </c>
      <c r="DK62" s="2150">
        <f t="shared" si="49"/>
        <v>0</v>
      </c>
      <c r="DL62" s="2150">
        <f t="shared" si="50"/>
        <v>0</v>
      </c>
      <c r="DM62" s="2151">
        <f t="shared" si="51"/>
        <v>0</v>
      </c>
      <c r="DN62" s="644"/>
      <c r="DO62" s="1829">
        <v>52</v>
      </c>
      <c r="DP62" s="2211">
        <v>302.47878239041199</v>
      </c>
      <c r="DQ62" s="2212">
        <v>203.6806989538</v>
      </c>
      <c r="DR62" s="2212">
        <v>243.51807690523401</v>
      </c>
      <c r="DS62" s="2212">
        <v>303.79973853143503</v>
      </c>
      <c r="DT62" s="2212">
        <v>369.27137195249497</v>
      </c>
      <c r="DU62" s="2212">
        <v>402.11547437026798</v>
      </c>
      <c r="DV62" s="2212">
        <v>319.98992024250299</v>
      </c>
      <c r="DW62" s="2212">
        <v>435.548125280183</v>
      </c>
      <c r="DX62" s="2212">
        <v>243.29263650757099</v>
      </c>
      <c r="DY62" s="2212">
        <v>266.660473445707</v>
      </c>
      <c r="DZ62" s="2212">
        <v>280.878006405424</v>
      </c>
      <c r="EA62" s="2212">
        <v>295.577898141182</v>
      </c>
      <c r="EB62" s="2212">
        <v>347.83604201795902</v>
      </c>
      <c r="EC62" s="2212">
        <v>290.42502573621198</v>
      </c>
      <c r="ED62" s="2212">
        <v>236.79054008741099</v>
      </c>
      <c r="EE62" s="2212">
        <v>285.94547427502198</v>
      </c>
      <c r="EF62" s="2212">
        <v>300.45767800775798</v>
      </c>
      <c r="EG62" s="2212">
        <v>299.259670897928</v>
      </c>
      <c r="EH62" s="2212">
        <v>283.48439408690598</v>
      </c>
      <c r="EI62" s="2212">
        <v>269.69434379780802</v>
      </c>
      <c r="EJ62" s="2212">
        <v>341.03935124558097</v>
      </c>
      <c r="EK62" s="2212">
        <v>231.714216352747</v>
      </c>
      <c r="EL62" s="2212">
        <v>385.73447014220199</v>
      </c>
      <c r="EM62" s="2212">
        <v>283.33770223332903</v>
      </c>
      <c r="EN62" s="2212">
        <v>285.897016765655</v>
      </c>
      <c r="EO62" s="2213">
        <v>342.690616482037</v>
      </c>
      <c r="ER62" s="1829">
        <v>52</v>
      </c>
      <c r="ES62" s="1830">
        <v>2.0268732756260799</v>
      </c>
      <c r="ET62" s="644"/>
      <c r="EU62" s="2156">
        <v>52</v>
      </c>
      <c r="EV62" s="2090" t="s">
        <v>162</v>
      </c>
      <c r="EW62" s="2090" t="s">
        <v>1914</v>
      </c>
      <c r="EX62" s="2090" t="str">
        <f>Translation!B$580</f>
        <v>Nein</v>
      </c>
    </row>
    <row r="63" spans="2:154" ht="12.75" x14ac:dyDescent="0.2">
      <c r="B63" s="2090">
        <v>53</v>
      </c>
      <c r="C63" s="2090" t="s">
        <v>162</v>
      </c>
      <c r="D63" s="2090" t="s">
        <v>1915</v>
      </c>
      <c r="E63" s="2090" t="str">
        <f>Translation!B$579</f>
        <v>Ja</v>
      </c>
      <c r="F63" s="1622">
        <v>53</v>
      </c>
      <c r="G63" s="2211">
        <v>2313.6808333333302</v>
      </c>
      <c r="H63" s="2212">
        <v>52.359166666666702</v>
      </c>
      <c r="I63" s="2212">
        <v>201.101666666667</v>
      </c>
      <c r="J63" s="2212">
        <v>4220.4025000000001</v>
      </c>
      <c r="K63" s="2212">
        <v>1364.8458333333299</v>
      </c>
      <c r="L63" s="2212">
        <v>867.33333333333303</v>
      </c>
      <c r="M63" s="2212">
        <v>981.06166666666695</v>
      </c>
      <c r="N63" s="2212">
        <v>1498.7974999999999</v>
      </c>
      <c r="O63" s="2212">
        <v>159.80416666666699</v>
      </c>
      <c r="P63" s="2212">
        <v>748.50083333333305</v>
      </c>
      <c r="Q63" s="2212">
        <v>336.15833333333302</v>
      </c>
      <c r="R63" s="2212">
        <v>1337.5474999999999</v>
      </c>
      <c r="S63" s="2212">
        <v>635.97166666666703</v>
      </c>
      <c r="T63" s="2212">
        <v>154.19333333333299</v>
      </c>
      <c r="U63" s="2212">
        <v>124.94750000000001</v>
      </c>
      <c r="V63" s="2212">
        <v>1889.0233333333299</v>
      </c>
      <c r="W63" s="2212">
        <v>350.69083333333299</v>
      </c>
      <c r="X63" s="2212">
        <v>1026.9849999999999</v>
      </c>
      <c r="Y63" s="2212">
        <v>508.694166666667</v>
      </c>
      <c r="Z63" s="2212">
        <v>1007.7875</v>
      </c>
      <c r="AA63" s="2212">
        <v>1658.5091666666699</v>
      </c>
      <c r="AB63" s="2212">
        <v>150.09333333333299</v>
      </c>
      <c r="AC63" s="2212">
        <v>2509.8074999999999</v>
      </c>
      <c r="AD63" s="2212">
        <v>1272.6966666666699</v>
      </c>
      <c r="AE63" s="2212">
        <v>376.80666666666701</v>
      </c>
      <c r="AF63" s="2213">
        <v>5133.46583333333</v>
      </c>
      <c r="AH63" s="1829">
        <v>53</v>
      </c>
      <c r="AI63" s="2124">
        <f>Risk_Compensation!H70*(Risk_Compensation!AK70+CO$144)*12/1000000</f>
        <v>0</v>
      </c>
      <c r="AJ63" s="2121">
        <f>Risk_Compensation!I70*(Risk_Compensation!AL70+CP$144)*12/1000000</f>
        <v>0</v>
      </c>
      <c r="AK63" s="2121">
        <f>Risk_Compensation!J70*(Risk_Compensation!AM70+CQ$144)*12/1000000</f>
        <v>0</v>
      </c>
      <c r="AL63" s="2121">
        <f>Risk_Compensation!K70*(Risk_Compensation!AN70+CR$144)*12/1000000</f>
        <v>0</v>
      </c>
      <c r="AM63" s="2121">
        <f>Risk_Compensation!L70*(Risk_Compensation!AO70+CS$144)*12/1000000</f>
        <v>0</v>
      </c>
      <c r="AN63" s="2121">
        <f>Risk_Compensation!M70*(Risk_Compensation!AP70+CT$144)*12/1000000</f>
        <v>0</v>
      </c>
      <c r="AO63" s="2121">
        <f>Risk_Compensation!N70*(Risk_Compensation!AQ70+CU$144)*12/1000000</f>
        <v>0</v>
      </c>
      <c r="AP63" s="2121">
        <f>Risk_Compensation!O70*(Risk_Compensation!AR70+CV$144)*12/1000000</f>
        <v>0</v>
      </c>
      <c r="AQ63" s="2121">
        <f>Risk_Compensation!P70*(Risk_Compensation!AS70+CW$144)*12/1000000</f>
        <v>0</v>
      </c>
      <c r="AR63" s="2121">
        <f>Risk_Compensation!Q70*(Risk_Compensation!AT70+CX$144)*12/1000000</f>
        <v>0</v>
      </c>
      <c r="AS63" s="2121">
        <f>Risk_Compensation!R70*(Risk_Compensation!AU70+CY$144)*12/1000000</f>
        <v>0</v>
      </c>
      <c r="AT63" s="2121">
        <f>Risk_Compensation!S70*(Risk_Compensation!AV70+CZ$144)*12/1000000</f>
        <v>0</v>
      </c>
      <c r="AU63" s="2121">
        <f>Risk_Compensation!T70*(Risk_Compensation!AW70+DA$144)*12/1000000</f>
        <v>0</v>
      </c>
      <c r="AV63" s="2121">
        <f>Risk_Compensation!U70*(Risk_Compensation!AX70+DB$144)*12/1000000</f>
        <v>0</v>
      </c>
      <c r="AW63" s="2121">
        <f>Risk_Compensation!V70*(Risk_Compensation!AY70+DC$144)*12/1000000</f>
        <v>0</v>
      </c>
      <c r="AX63" s="2121">
        <f>Risk_Compensation!W70*(Risk_Compensation!AZ70+DD$144)*12/1000000</f>
        <v>0</v>
      </c>
      <c r="AY63" s="2121">
        <f>Risk_Compensation!X70*(Risk_Compensation!BA70+DE$144)*12/1000000</f>
        <v>0</v>
      </c>
      <c r="AZ63" s="2121">
        <f>Risk_Compensation!Y70*(Risk_Compensation!BB70+DF$144)*12/1000000</f>
        <v>0</v>
      </c>
      <c r="BA63" s="2121">
        <f>Risk_Compensation!Z70*(Risk_Compensation!BC70+DG$144)*12/1000000</f>
        <v>0</v>
      </c>
      <c r="BB63" s="2121">
        <f>Risk_Compensation!AA70*(Risk_Compensation!BD70+DH$144)*12/1000000</f>
        <v>0</v>
      </c>
      <c r="BC63" s="2121">
        <f>Risk_Compensation!AB70*(Risk_Compensation!BE70+DI$144)*12/1000000</f>
        <v>0</v>
      </c>
      <c r="BD63" s="2121">
        <f>Risk_Compensation!AC70*(Risk_Compensation!BF70+DJ$144)*12/1000000</f>
        <v>0</v>
      </c>
      <c r="BE63" s="2121">
        <f>Risk_Compensation!AD70*(Risk_Compensation!BG70+DK$144)*12/1000000</f>
        <v>0</v>
      </c>
      <c r="BF63" s="2121">
        <f>Risk_Compensation!AE70*(Risk_Compensation!BH70+DL$144)*12/1000000</f>
        <v>0</v>
      </c>
      <c r="BG63" s="2121">
        <f>Risk_Compensation!AF70*(Risk_Compensation!BI70+DM$144)*12/1000000</f>
        <v>0</v>
      </c>
      <c r="BH63" s="2125">
        <f>Risk_Compensation!AG70*(Risk_Compensation!BJ70+DN$144)*12/1000000</f>
        <v>0</v>
      </c>
      <c r="BI63" s="644"/>
      <c r="BJ63" s="1829">
        <v>53</v>
      </c>
      <c r="BK63" s="2138">
        <f>IF(G63&lt;=0,0,(Risk_Compensation!H70/G63-Risk_Compensation!H$79/G$72-0.5*CO$167*($CK63-CO$135/G$72))*G63)</f>
        <v>0</v>
      </c>
      <c r="BL63" s="2139">
        <f>IF(H63&lt;=0,0,(Risk_Compensation!I70/H63-Risk_Compensation!I$79/H$72-0.5*CP$167*($CK63-CP$135/H$72))*H63)</f>
        <v>0</v>
      </c>
      <c r="BM63" s="2139">
        <f>IF(I63&lt;=0,0,(Risk_Compensation!J70/I63-Risk_Compensation!J$79/I$72-0.5*CQ$167*($CK63-CQ$135/I$72))*I63)</f>
        <v>0</v>
      </c>
      <c r="BN63" s="2139">
        <f>IF(J63&lt;=0,0,(Risk_Compensation!K70/J63-Risk_Compensation!K$79/J$72-0.5*CR$167*($CK63-CR$135/J$72))*J63)</f>
        <v>0</v>
      </c>
      <c r="BO63" s="2139">
        <f>IF(K63&lt;=0,0,(Risk_Compensation!L70/K63-Risk_Compensation!L$79/K$72-0.5*CS$167*($CK63-CS$135/K$72))*K63)</f>
        <v>0</v>
      </c>
      <c r="BP63" s="2139">
        <f>IF(L63&lt;=0,0,(Risk_Compensation!M70/L63-Risk_Compensation!M$79/L$72-0.5*CT$167*($CK63-CT$135/L$72))*L63)</f>
        <v>0</v>
      </c>
      <c r="BQ63" s="2139">
        <f>IF(M63&lt;=0,0,(Risk_Compensation!N70/M63-Risk_Compensation!N$79/M$72-0.5*CU$167*($CK63-CU$135/M$72))*M63)</f>
        <v>0</v>
      </c>
      <c r="BR63" s="2139">
        <f>IF(N63&lt;=0,0,(Risk_Compensation!O70/N63-Risk_Compensation!O$79/N$72-0.5*CV$167*($CK63-CV$135/N$72))*N63)</f>
        <v>0</v>
      </c>
      <c r="BS63" s="2139">
        <f>IF(O63&lt;=0,0,(Risk_Compensation!P70/O63-Risk_Compensation!P$79/O$72-0.5*CW$167*($CK63-CW$135/O$72))*O63)</f>
        <v>0</v>
      </c>
      <c r="BT63" s="2139">
        <f>IF(P63&lt;=0,0,(Risk_Compensation!Q70/P63-Risk_Compensation!Q$79/P$72-0.5*CX$167*($CK63-CX$135/P$72))*P63)</f>
        <v>0</v>
      </c>
      <c r="BU63" s="2139">
        <f>IF(Q63&lt;=0,0,(Risk_Compensation!R70/Q63-Risk_Compensation!R$79/Q$72-0.5*CY$167*($CK63-CY$135/Q$72))*Q63)</f>
        <v>0</v>
      </c>
      <c r="BV63" s="2139">
        <f>IF(R63&lt;=0,0,(Risk_Compensation!S70/R63-Risk_Compensation!S$79/R$72-0.5*CZ$167*($CK63-CZ$135/R$72))*R63)</f>
        <v>0</v>
      </c>
      <c r="BW63" s="2139">
        <f>IF(S63&lt;=0,0,(Risk_Compensation!T70/S63-Risk_Compensation!T$79/S$72-0.5*DA$167*($CK63-DA$135/S$72))*S63)</f>
        <v>0</v>
      </c>
      <c r="BX63" s="2139">
        <f>IF(T63&lt;=0,0,(Risk_Compensation!U70/T63-Risk_Compensation!U$79/T$72-0.5*DB$167*($CK63-DB$135/T$72))*T63)</f>
        <v>0</v>
      </c>
      <c r="BY63" s="2139">
        <f>IF(U63&lt;=0,0,(Risk_Compensation!V70/U63-Risk_Compensation!V$79/U$72-0.5*DC$167*($CK63-DC$135/U$72))*U63)</f>
        <v>0</v>
      </c>
      <c r="BZ63" s="2139">
        <f>IF(V63&lt;=0,0,(Risk_Compensation!W70/V63-Risk_Compensation!W$79/V$72-0.5*DD$167*($CK63-DD$135/V$72))*V63)</f>
        <v>0</v>
      </c>
      <c r="CA63" s="2139">
        <f>IF(W63&lt;=0,0,(Risk_Compensation!X70/W63-Risk_Compensation!X$79/W$72-0.5*DE$167*($CK63-DE$135/W$72))*W63)</f>
        <v>0</v>
      </c>
      <c r="CB63" s="2139">
        <f>IF(X63&lt;=0,0,(Risk_Compensation!Y70/X63-Risk_Compensation!Y$79/X$72-0.5*DF$167*($CK63-DF$135/X$72))*X63)</f>
        <v>0</v>
      </c>
      <c r="CC63" s="2139">
        <f>IF(Y63&lt;=0,0,(Risk_Compensation!Z70/Y63-Risk_Compensation!Z$79/Y$72-0.5*DG$167*($CK63-DG$135/Y$72))*Y63)</f>
        <v>0</v>
      </c>
      <c r="CD63" s="2139">
        <f>IF(Z63&lt;=0,0,(Risk_Compensation!AA70/Z63-Risk_Compensation!AA$79/Z$72-0.5*DH$167*($CK63-DH$135/Z$72))*Z63)</f>
        <v>0</v>
      </c>
      <c r="CE63" s="2139">
        <f>IF(AA63&lt;=0,0,(Risk_Compensation!AB70/AA63-Risk_Compensation!AB$79/AA$72-0.5*DI$167*($CK63-DI$135/AA$72))*AA63)</f>
        <v>0</v>
      </c>
      <c r="CF63" s="2139">
        <f>IF(AB63&lt;=0,0,(Risk_Compensation!AC70/AB63-Risk_Compensation!AC$79/AB$72-0.5*DJ$167*($CK63-DJ$135/AB$72))*AB63)</f>
        <v>0</v>
      </c>
      <c r="CG63" s="2139">
        <f>IF(AC63&lt;=0,0,(Risk_Compensation!AD70/AC63-Risk_Compensation!AD$79/AC$72-0.5*DK$167*($CK63-DK$135/AC$72))*AC63)</f>
        <v>0</v>
      </c>
      <c r="CH63" s="2139">
        <f>IF(AD63&lt;=0,0,(Risk_Compensation!AE70/AD63-Risk_Compensation!AE$79/AD$72-0.5*DL$167*($CK63-DL$135/AD$72))*AD63)</f>
        <v>0</v>
      </c>
      <c r="CI63" s="2139">
        <f>IF(AE63&lt;=0,0,(Risk_Compensation!AF70/AE63-Risk_Compensation!AF$79/AE$72-0.5*DM$167*($CK63-DM$135/AE$72))*AE63)</f>
        <v>0</v>
      </c>
      <c r="CJ63" s="2140">
        <f>IF(AF63&lt;=0,0,(Risk_Compensation!AG70/AF63-Risk_Compensation!AG$79/AF$72-0.5*DN$167*($CK63-DN$135/AF$72))*AF63)</f>
        <v>0</v>
      </c>
      <c r="CK63" s="2166">
        <v>0</v>
      </c>
      <c r="CL63" s="644"/>
      <c r="CM63" s="1829">
        <v>53</v>
      </c>
      <c r="CN63" s="2149">
        <f t="shared" si="26"/>
        <v>0</v>
      </c>
      <c r="CO63" s="2150">
        <f t="shared" si="27"/>
        <v>0</v>
      </c>
      <c r="CP63" s="2150">
        <f t="shared" si="28"/>
        <v>0</v>
      </c>
      <c r="CQ63" s="2150">
        <f t="shared" si="29"/>
        <v>0</v>
      </c>
      <c r="CR63" s="2150">
        <f t="shared" si="30"/>
        <v>0</v>
      </c>
      <c r="CS63" s="2150">
        <f t="shared" si="31"/>
        <v>0</v>
      </c>
      <c r="CT63" s="2150">
        <f t="shared" si="32"/>
        <v>0</v>
      </c>
      <c r="CU63" s="2150">
        <f t="shared" si="33"/>
        <v>0</v>
      </c>
      <c r="CV63" s="2150">
        <f t="shared" si="34"/>
        <v>0</v>
      </c>
      <c r="CW63" s="2150">
        <f t="shared" si="35"/>
        <v>0</v>
      </c>
      <c r="CX63" s="2150">
        <f t="shared" si="36"/>
        <v>0</v>
      </c>
      <c r="CY63" s="2150">
        <f t="shared" si="37"/>
        <v>0</v>
      </c>
      <c r="CZ63" s="2150">
        <f t="shared" si="38"/>
        <v>0</v>
      </c>
      <c r="DA63" s="2150">
        <f t="shared" si="39"/>
        <v>0</v>
      </c>
      <c r="DB63" s="2150">
        <f t="shared" si="40"/>
        <v>0</v>
      </c>
      <c r="DC63" s="2150">
        <f t="shared" si="41"/>
        <v>0</v>
      </c>
      <c r="DD63" s="2150">
        <f t="shared" si="42"/>
        <v>0</v>
      </c>
      <c r="DE63" s="2150">
        <f t="shared" si="43"/>
        <v>0</v>
      </c>
      <c r="DF63" s="2150">
        <f t="shared" si="44"/>
        <v>0</v>
      </c>
      <c r="DG63" s="2150">
        <f t="shared" si="45"/>
        <v>0</v>
      </c>
      <c r="DH63" s="2150">
        <f t="shared" si="46"/>
        <v>0</v>
      </c>
      <c r="DI63" s="2150">
        <f t="shared" si="47"/>
        <v>0</v>
      </c>
      <c r="DJ63" s="2150">
        <f t="shared" si="48"/>
        <v>0</v>
      </c>
      <c r="DK63" s="2150">
        <f t="shared" si="49"/>
        <v>0</v>
      </c>
      <c r="DL63" s="2150">
        <f t="shared" si="50"/>
        <v>0</v>
      </c>
      <c r="DM63" s="2151">
        <f t="shared" si="51"/>
        <v>0</v>
      </c>
      <c r="DN63" s="644"/>
      <c r="DO63" s="1829">
        <v>53</v>
      </c>
      <c r="DP63" s="2211">
        <v>1177.60497465303</v>
      </c>
      <c r="DQ63" s="2212">
        <v>658.92134988732005</v>
      </c>
      <c r="DR63" s="2212">
        <v>959.21588454171297</v>
      </c>
      <c r="DS63" s="2212">
        <v>1147.2278157812</v>
      </c>
      <c r="DT63" s="2212">
        <v>1263.54654747057</v>
      </c>
      <c r="DU63" s="2212">
        <v>1538.0924797072701</v>
      </c>
      <c r="DV63" s="2212">
        <v>1250.40391833475</v>
      </c>
      <c r="DW63" s="2212">
        <v>1782.2135836970299</v>
      </c>
      <c r="DX63" s="2212">
        <v>891.48766135540097</v>
      </c>
      <c r="DY63" s="2212">
        <v>1030.34145734601</v>
      </c>
      <c r="DZ63" s="2212">
        <v>1606.04497752408</v>
      </c>
      <c r="EA63" s="2212">
        <v>1181.513211057</v>
      </c>
      <c r="EB63" s="2212">
        <v>1356.83164701386</v>
      </c>
      <c r="EC63" s="2212">
        <v>1199.5154993342501</v>
      </c>
      <c r="ED63" s="2212">
        <v>995.29171761114105</v>
      </c>
      <c r="EE63" s="2212">
        <v>976.70049522638396</v>
      </c>
      <c r="EF63" s="2212">
        <v>954.45247111490301</v>
      </c>
      <c r="EG63" s="2212">
        <v>1254.5023304374199</v>
      </c>
      <c r="EH63" s="2212">
        <v>1081.6329301872199</v>
      </c>
      <c r="EI63" s="2212">
        <v>1114.7364988801701</v>
      </c>
      <c r="EJ63" s="2212">
        <v>1521.5480121682299</v>
      </c>
      <c r="EK63" s="2212">
        <v>948.51206531297896</v>
      </c>
      <c r="EL63" s="2212">
        <v>1616.5705849379899</v>
      </c>
      <c r="EM63" s="2212">
        <v>1284.9876335455399</v>
      </c>
      <c r="EN63" s="2212">
        <v>1035.50280368983</v>
      </c>
      <c r="EO63" s="2213">
        <v>1329.76135962591</v>
      </c>
      <c r="ER63" s="1829">
        <v>53</v>
      </c>
      <c r="ES63" s="1830">
        <v>1.41587584668014</v>
      </c>
      <c r="ET63" s="644"/>
      <c r="EU63" s="2156">
        <v>53</v>
      </c>
      <c r="EV63" s="2090" t="s">
        <v>162</v>
      </c>
      <c r="EW63" s="2090" t="s">
        <v>1915</v>
      </c>
      <c r="EX63" s="2090" t="str">
        <f>Translation!B$579</f>
        <v>Ja</v>
      </c>
    </row>
    <row r="64" spans="2:154" ht="12.75" x14ac:dyDescent="0.2">
      <c r="B64" s="2090">
        <v>54</v>
      </c>
      <c r="C64" s="2090" t="s">
        <v>162</v>
      </c>
      <c r="D64" s="2090" t="s">
        <v>1915</v>
      </c>
      <c r="E64" s="2090" t="str">
        <f>Translation!B$580</f>
        <v>Nein</v>
      </c>
      <c r="F64" s="1622">
        <v>54</v>
      </c>
      <c r="G64" s="2211">
        <v>11821.885833333299</v>
      </c>
      <c r="H64" s="2212">
        <v>254.583333333333</v>
      </c>
      <c r="I64" s="2212">
        <v>989.53416666666703</v>
      </c>
      <c r="J64" s="2212">
        <v>21806.9158333333</v>
      </c>
      <c r="K64" s="2212">
        <v>6161.1058333333303</v>
      </c>
      <c r="L64" s="2212">
        <v>3248.9783333333298</v>
      </c>
      <c r="M64" s="2212">
        <v>5210.3916666666701</v>
      </c>
      <c r="N64" s="2212">
        <v>8035.6058333333303</v>
      </c>
      <c r="O64" s="2212">
        <v>728.62416666666695</v>
      </c>
      <c r="P64" s="2212">
        <v>4188.46583333333</v>
      </c>
      <c r="Q64" s="2212">
        <v>1437.1241666666699</v>
      </c>
      <c r="R64" s="2212">
        <v>6842.99</v>
      </c>
      <c r="S64" s="2212">
        <v>3400.5383333333298</v>
      </c>
      <c r="T64" s="2212">
        <v>882.41333333333296</v>
      </c>
      <c r="U64" s="2212">
        <v>645.06833333333304</v>
      </c>
      <c r="V64" s="2212">
        <v>8907.2749999999996</v>
      </c>
      <c r="W64" s="2212">
        <v>1625.9966666666701</v>
      </c>
      <c r="X64" s="2212">
        <v>5007.7</v>
      </c>
      <c r="Y64" s="2212">
        <v>2568.4466666666699</v>
      </c>
      <c r="Z64" s="2212">
        <v>4600.5083333333296</v>
      </c>
      <c r="AA64" s="2212">
        <v>7701.9016666666703</v>
      </c>
      <c r="AB64" s="2212">
        <v>716.118333333333</v>
      </c>
      <c r="AC64" s="2212">
        <v>13829.365833333301</v>
      </c>
      <c r="AD64" s="2212">
        <v>6944.08</v>
      </c>
      <c r="AE64" s="2212">
        <v>2194.8333333333298</v>
      </c>
      <c r="AF64" s="2213">
        <v>25764.848333333299</v>
      </c>
      <c r="AH64" s="1829">
        <v>54</v>
      </c>
      <c r="AI64" s="2124">
        <f>Risk_Compensation!H71*(Risk_Compensation!AK71+CO$144)*12/1000000</f>
        <v>0</v>
      </c>
      <c r="AJ64" s="2121">
        <f>Risk_Compensation!I71*(Risk_Compensation!AL71+CP$144)*12/1000000</f>
        <v>0</v>
      </c>
      <c r="AK64" s="2121">
        <f>Risk_Compensation!J71*(Risk_Compensation!AM71+CQ$144)*12/1000000</f>
        <v>0</v>
      </c>
      <c r="AL64" s="2121">
        <f>Risk_Compensation!K71*(Risk_Compensation!AN71+CR$144)*12/1000000</f>
        <v>0</v>
      </c>
      <c r="AM64" s="2121">
        <f>Risk_Compensation!L71*(Risk_Compensation!AO71+CS$144)*12/1000000</f>
        <v>0</v>
      </c>
      <c r="AN64" s="2121">
        <f>Risk_Compensation!M71*(Risk_Compensation!AP71+CT$144)*12/1000000</f>
        <v>0</v>
      </c>
      <c r="AO64" s="2121">
        <f>Risk_Compensation!N71*(Risk_Compensation!AQ71+CU$144)*12/1000000</f>
        <v>0</v>
      </c>
      <c r="AP64" s="2121">
        <f>Risk_Compensation!O71*(Risk_Compensation!AR71+CV$144)*12/1000000</f>
        <v>0</v>
      </c>
      <c r="AQ64" s="2121">
        <f>Risk_Compensation!P71*(Risk_Compensation!AS71+CW$144)*12/1000000</f>
        <v>0</v>
      </c>
      <c r="AR64" s="2121">
        <f>Risk_Compensation!Q71*(Risk_Compensation!AT71+CX$144)*12/1000000</f>
        <v>0</v>
      </c>
      <c r="AS64" s="2121">
        <f>Risk_Compensation!R71*(Risk_Compensation!AU71+CY$144)*12/1000000</f>
        <v>0</v>
      </c>
      <c r="AT64" s="2121">
        <f>Risk_Compensation!S71*(Risk_Compensation!AV71+CZ$144)*12/1000000</f>
        <v>0</v>
      </c>
      <c r="AU64" s="2121">
        <f>Risk_Compensation!T71*(Risk_Compensation!AW71+DA$144)*12/1000000</f>
        <v>0</v>
      </c>
      <c r="AV64" s="2121">
        <f>Risk_Compensation!U71*(Risk_Compensation!AX71+DB$144)*12/1000000</f>
        <v>0</v>
      </c>
      <c r="AW64" s="2121">
        <f>Risk_Compensation!V71*(Risk_Compensation!AY71+DC$144)*12/1000000</f>
        <v>0</v>
      </c>
      <c r="AX64" s="2121">
        <f>Risk_Compensation!W71*(Risk_Compensation!AZ71+DD$144)*12/1000000</f>
        <v>0</v>
      </c>
      <c r="AY64" s="2121">
        <f>Risk_Compensation!X71*(Risk_Compensation!BA71+DE$144)*12/1000000</f>
        <v>0</v>
      </c>
      <c r="AZ64" s="2121">
        <f>Risk_Compensation!Y71*(Risk_Compensation!BB71+DF$144)*12/1000000</f>
        <v>0</v>
      </c>
      <c r="BA64" s="2121">
        <f>Risk_Compensation!Z71*(Risk_Compensation!BC71+DG$144)*12/1000000</f>
        <v>0</v>
      </c>
      <c r="BB64" s="2121">
        <f>Risk_Compensation!AA71*(Risk_Compensation!BD71+DH$144)*12/1000000</f>
        <v>0</v>
      </c>
      <c r="BC64" s="2121">
        <f>Risk_Compensation!AB71*(Risk_Compensation!BE71+DI$144)*12/1000000</f>
        <v>0</v>
      </c>
      <c r="BD64" s="2121">
        <f>Risk_Compensation!AC71*(Risk_Compensation!BF71+DJ$144)*12/1000000</f>
        <v>0</v>
      </c>
      <c r="BE64" s="2121">
        <f>Risk_Compensation!AD71*(Risk_Compensation!BG71+DK$144)*12/1000000</f>
        <v>0</v>
      </c>
      <c r="BF64" s="2121">
        <f>Risk_Compensation!AE71*(Risk_Compensation!BH71+DL$144)*12/1000000</f>
        <v>0</v>
      </c>
      <c r="BG64" s="2121">
        <f>Risk_Compensation!AF71*(Risk_Compensation!BI71+DM$144)*12/1000000</f>
        <v>0</v>
      </c>
      <c r="BH64" s="2125">
        <f>Risk_Compensation!AG71*(Risk_Compensation!BJ71+DN$144)*12/1000000</f>
        <v>0</v>
      </c>
      <c r="BI64" s="644"/>
      <c r="BJ64" s="1829">
        <v>54</v>
      </c>
      <c r="BK64" s="2138">
        <f>IF(G64&lt;=0,0,(Risk_Compensation!H71/G64-Risk_Compensation!H$79/G$72-0.5*CO$167*($CK64-CO$135/G$72))*G64)</f>
        <v>0</v>
      </c>
      <c r="BL64" s="2139">
        <f>IF(H64&lt;=0,0,(Risk_Compensation!I71/H64-Risk_Compensation!I$79/H$72-0.5*CP$167*($CK64-CP$135/H$72))*H64)</f>
        <v>0</v>
      </c>
      <c r="BM64" s="2139">
        <f>IF(I64&lt;=0,0,(Risk_Compensation!J71/I64-Risk_Compensation!J$79/I$72-0.5*CQ$167*($CK64-CQ$135/I$72))*I64)</f>
        <v>0</v>
      </c>
      <c r="BN64" s="2139">
        <f>IF(J64&lt;=0,0,(Risk_Compensation!K71/J64-Risk_Compensation!K$79/J$72-0.5*CR$167*($CK64-CR$135/J$72))*J64)</f>
        <v>0</v>
      </c>
      <c r="BO64" s="2139">
        <f>IF(K64&lt;=0,0,(Risk_Compensation!L71/K64-Risk_Compensation!L$79/K$72-0.5*CS$167*($CK64-CS$135/K$72))*K64)</f>
        <v>0</v>
      </c>
      <c r="BP64" s="2139">
        <f>IF(L64&lt;=0,0,(Risk_Compensation!M71/L64-Risk_Compensation!M$79/L$72-0.5*CT$167*($CK64-CT$135/L$72))*L64)</f>
        <v>0</v>
      </c>
      <c r="BQ64" s="2139">
        <f>IF(M64&lt;=0,0,(Risk_Compensation!N71/M64-Risk_Compensation!N$79/M$72-0.5*CU$167*($CK64-CU$135/M$72))*M64)</f>
        <v>0</v>
      </c>
      <c r="BR64" s="2139">
        <f>IF(N64&lt;=0,0,(Risk_Compensation!O71/N64-Risk_Compensation!O$79/N$72-0.5*CV$167*($CK64-CV$135/N$72))*N64)</f>
        <v>0</v>
      </c>
      <c r="BS64" s="2139">
        <f>IF(O64&lt;=0,0,(Risk_Compensation!P71/O64-Risk_Compensation!P$79/O$72-0.5*CW$167*($CK64-CW$135/O$72))*O64)</f>
        <v>0</v>
      </c>
      <c r="BT64" s="2139">
        <f>IF(P64&lt;=0,0,(Risk_Compensation!Q71/P64-Risk_Compensation!Q$79/P$72-0.5*CX$167*($CK64-CX$135/P$72))*P64)</f>
        <v>0</v>
      </c>
      <c r="BU64" s="2139">
        <f>IF(Q64&lt;=0,0,(Risk_Compensation!R71/Q64-Risk_Compensation!R$79/Q$72-0.5*CY$167*($CK64-CY$135/Q$72))*Q64)</f>
        <v>0</v>
      </c>
      <c r="BV64" s="2139">
        <f>IF(R64&lt;=0,0,(Risk_Compensation!S71/R64-Risk_Compensation!S$79/R$72-0.5*CZ$167*($CK64-CZ$135/R$72))*R64)</f>
        <v>0</v>
      </c>
      <c r="BW64" s="2139">
        <f>IF(S64&lt;=0,0,(Risk_Compensation!T71/S64-Risk_Compensation!T$79/S$72-0.5*DA$167*($CK64-DA$135/S$72))*S64)</f>
        <v>0</v>
      </c>
      <c r="BX64" s="2139">
        <f>IF(T64&lt;=0,0,(Risk_Compensation!U71/T64-Risk_Compensation!U$79/T$72-0.5*DB$167*($CK64-DB$135/T$72))*T64)</f>
        <v>0</v>
      </c>
      <c r="BY64" s="2139">
        <f>IF(U64&lt;=0,0,(Risk_Compensation!V71/U64-Risk_Compensation!V$79/U$72-0.5*DC$167*($CK64-DC$135/U$72))*U64)</f>
        <v>0</v>
      </c>
      <c r="BZ64" s="2139">
        <f>IF(V64&lt;=0,0,(Risk_Compensation!W71/V64-Risk_Compensation!W$79/V$72-0.5*DD$167*($CK64-DD$135/V$72))*V64)</f>
        <v>0</v>
      </c>
      <c r="CA64" s="2139">
        <f>IF(W64&lt;=0,0,(Risk_Compensation!X71/W64-Risk_Compensation!X$79/W$72-0.5*DE$167*($CK64-DE$135/W$72))*W64)</f>
        <v>0</v>
      </c>
      <c r="CB64" s="2139">
        <f>IF(X64&lt;=0,0,(Risk_Compensation!Y71/X64-Risk_Compensation!Y$79/X$72-0.5*DF$167*($CK64-DF$135/X$72))*X64)</f>
        <v>0</v>
      </c>
      <c r="CC64" s="2139">
        <f>IF(Y64&lt;=0,0,(Risk_Compensation!Z71/Y64-Risk_Compensation!Z$79/Y$72-0.5*DG$167*($CK64-DG$135/Y$72))*Y64)</f>
        <v>0</v>
      </c>
      <c r="CD64" s="2139">
        <f>IF(Z64&lt;=0,0,(Risk_Compensation!AA71/Z64-Risk_Compensation!AA$79/Z$72-0.5*DH$167*($CK64-DH$135/Z$72))*Z64)</f>
        <v>0</v>
      </c>
      <c r="CE64" s="2139">
        <f>IF(AA64&lt;=0,0,(Risk_Compensation!AB71/AA64-Risk_Compensation!AB$79/AA$72-0.5*DI$167*($CK64-DI$135/AA$72))*AA64)</f>
        <v>0</v>
      </c>
      <c r="CF64" s="2139">
        <f>IF(AB64&lt;=0,0,(Risk_Compensation!AC71/AB64-Risk_Compensation!AC$79/AB$72-0.5*DJ$167*($CK64-DJ$135/AB$72))*AB64)</f>
        <v>0</v>
      </c>
      <c r="CG64" s="2139">
        <f>IF(AC64&lt;=0,0,(Risk_Compensation!AD71/AC64-Risk_Compensation!AD$79/AC$72-0.5*DK$167*($CK64-DK$135/AC$72))*AC64)</f>
        <v>0</v>
      </c>
      <c r="CH64" s="2139">
        <f>IF(AD64&lt;=0,0,(Risk_Compensation!AE71/AD64-Risk_Compensation!AE$79/AD$72-0.5*DL$167*($CK64-DL$135/AD$72))*AD64)</f>
        <v>0</v>
      </c>
      <c r="CI64" s="2139">
        <f>IF(AE64&lt;=0,0,(Risk_Compensation!AF71/AE64-Risk_Compensation!AF$79/AE$72-0.5*DM$167*($CK64-DM$135/AE$72))*AE64)</f>
        <v>0</v>
      </c>
      <c r="CJ64" s="2140">
        <f>IF(AF64&lt;=0,0,(Risk_Compensation!AG71/AF64-Risk_Compensation!AG$79/AF$72-0.5*DN$167*($CK64-DN$135/AF$72))*AF64)</f>
        <v>0</v>
      </c>
      <c r="CK64" s="2166">
        <v>0</v>
      </c>
      <c r="CL64" s="644"/>
      <c r="CM64" s="1829">
        <v>54</v>
      </c>
      <c r="CN64" s="2149">
        <f t="shared" si="26"/>
        <v>0</v>
      </c>
      <c r="CO64" s="2150">
        <f t="shared" si="27"/>
        <v>0</v>
      </c>
      <c r="CP64" s="2150">
        <f t="shared" si="28"/>
        <v>0</v>
      </c>
      <c r="CQ64" s="2150">
        <f t="shared" si="29"/>
        <v>0</v>
      </c>
      <c r="CR64" s="2150">
        <f t="shared" si="30"/>
        <v>0</v>
      </c>
      <c r="CS64" s="2150">
        <f t="shared" si="31"/>
        <v>0</v>
      </c>
      <c r="CT64" s="2150">
        <f t="shared" si="32"/>
        <v>0</v>
      </c>
      <c r="CU64" s="2150">
        <f t="shared" si="33"/>
        <v>0</v>
      </c>
      <c r="CV64" s="2150">
        <f t="shared" si="34"/>
        <v>0</v>
      </c>
      <c r="CW64" s="2150">
        <f t="shared" si="35"/>
        <v>0</v>
      </c>
      <c r="CX64" s="2150">
        <f t="shared" si="36"/>
        <v>0</v>
      </c>
      <c r="CY64" s="2150">
        <f t="shared" si="37"/>
        <v>0</v>
      </c>
      <c r="CZ64" s="2150">
        <f t="shared" si="38"/>
        <v>0</v>
      </c>
      <c r="DA64" s="2150">
        <f t="shared" si="39"/>
        <v>0</v>
      </c>
      <c r="DB64" s="2150">
        <f t="shared" si="40"/>
        <v>0</v>
      </c>
      <c r="DC64" s="2150">
        <f t="shared" si="41"/>
        <v>0</v>
      </c>
      <c r="DD64" s="2150">
        <f t="shared" si="42"/>
        <v>0</v>
      </c>
      <c r="DE64" s="2150">
        <f t="shared" si="43"/>
        <v>0</v>
      </c>
      <c r="DF64" s="2150">
        <f t="shared" si="44"/>
        <v>0</v>
      </c>
      <c r="DG64" s="2150">
        <f t="shared" si="45"/>
        <v>0</v>
      </c>
      <c r="DH64" s="2150">
        <f t="shared" si="46"/>
        <v>0</v>
      </c>
      <c r="DI64" s="2150">
        <f t="shared" si="47"/>
        <v>0</v>
      </c>
      <c r="DJ64" s="2150">
        <f t="shared" si="48"/>
        <v>0</v>
      </c>
      <c r="DK64" s="2150">
        <f t="shared" si="49"/>
        <v>0</v>
      </c>
      <c r="DL64" s="2150">
        <f t="shared" si="50"/>
        <v>0</v>
      </c>
      <c r="DM64" s="2151">
        <f t="shared" si="51"/>
        <v>0</v>
      </c>
      <c r="DN64" s="644"/>
      <c r="DO64" s="1829">
        <v>54</v>
      </c>
      <c r="DP64" s="2211">
        <v>380.69828535055399</v>
      </c>
      <c r="DQ64" s="2212">
        <v>285.77770286549202</v>
      </c>
      <c r="DR64" s="2212">
        <v>349.096766124721</v>
      </c>
      <c r="DS64" s="2212">
        <v>369.603491536153</v>
      </c>
      <c r="DT64" s="2212">
        <v>417.32469422108801</v>
      </c>
      <c r="DU64" s="2212">
        <v>470.45873137113398</v>
      </c>
      <c r="DV64" s="2212">
        <v>388.23427629514998</v>
      </c>
      <c r="DW64" s="2212">
        <v>548.38728036370105</v>
      </c>
      <c r="DX64" s="2212">
        <v>330.727578946508</v>
      </c>
      <c r="DY64" s="2212">
        <v>308.24029594111698</v>
      </c>
      <c r="DZ64" s="2212">
        <v>423.70755026164198</v>
      </c>
      <c r="EA64" s="2212">
        <v>360.24288224839802</v>
      </c>
      <c r="EB64" s="2212">
        <v>441.815923322495</v>
      </c>
      <c r="EC64" s="2212">
        <v>328.46752770949001</v>
      </c>
      <c r="ED64" s="2212">
        <v>304.24529711183902</v>
      </c>
      <c r="EE64" s="2212">
        <v>375.981831715466</v>
      </c>
      <c r="EF64" s="2212">
        <v>387.98461713499398</v>
      </c>
      <c r="EG64" s="2212">
        <v>372.09623909684399</v>
      </c>
      <c r="EH64" s="2212">
        <v>369.28504155010398</v>
      </c>
      <c r="EI64" s="2212">
        <v>387.69137651557003</v>
      </c>
      <c r="EJ64" s="2212">
        <v>436.81721180529001</v>
      </c>
      <c r="EK64" s="2212">
        <v>268.76193348316002</v>
      </c>
      <c r="EL64" s="2212">
        <v>482.66506927311599</v>
      </c>
      <c r="EM64" s="2212">
        <v>343.330197084112</v>
      </c>
      <c r="EN64" s="2212">
        <v>395.90745236425499</v>
      </c>
      <c r="EO64" s="2213">
        <v>440.17014065753398</v>
      </c>
      <c r="ER64" s="1829">
        <v>54</v>
      </c>
      <c r="ES64" s="1830">
        <v>1.79147896823902</v>
      </c>
      <c r="ET64" s="644"/>
      <c r="EU64" s="2156">
        <v>54</v>
      </c>
      <c r="EV64" s="2090" t="s">
        <v>162</v>
      </c>
      <c r="EW64" s="2090" t="s">
        <v>1915</v>
      </c>
      <c r="EX64" s="2090" t="str">
        <f>Translation!B$580</f>
        <v>Nein</v>
      </c>
    </row>
    <row r="65" spans="2:154" ht="12.75" x14ac:dyDescent="0.2">
      <c r="B65" s="2090">
        <v>55</v>
      </c>
      <c r="C65" s="2090" t="s">
        <v>162</v>
      </c>
      <c r="D65" s="2090" t="s">
        <v>1916</v>
      </c>
      <c r="E65" s="2090" t="str">
        <f>Translation!B$579</f>
        <v>Ja</v>
      </c>
      <c r="F65" s="1622">
        <v>55</v>
      </c>
      <c r="G65" s="2211">
        <v>2338.9524999999999</v>
      </c>
      <c r="H65" s="2212">
        <v>73.260833333333295</v>
      </c>
      <c r="I65" s="2212">
        <v>216.15916666666701</v>
      </c>
      <c r="J65" s="2212">
        <v>4202.2908333333298</v>
      </c>
      <c r="K65" s="2212">
        <v>1478.2716666666699</v>
      </c>
      <c r="L65" s="2212">
        <v>969.02416666666704</v>
      </c>
      <c r="M65" s="2212">
        <v>966.1</v>
      </c>
      <c r="N65" s="2212">
        <v>1582.7075</v>
      </c>
      <c r="O65" s="2212">
        <v>178.98583333333301</v>
      </c>
      <c r="P65" s="2212">
        <v>807.68416666666701</v>
      </c>
      <c r="Q65" s="2212">
        <v>323.08333333333297</v>
      </c>
      <c r="R65" s="2212">
        <v>1469.91916666667</v>
      </c>
      <c r="S65" s="2212">
        <v>639.23166666666702</v>
      </c>
      <c r="T65" s="2212">
        <v>134.95500000000001</v>
      </c>
      <c r="U65" s="2212">
        <v>129.32666666666699</v>
      </c>
      <c r="V65" s="2212">
        <v>1908.6283333333299</v>
      </c>
      <c r="W65" s="2212">
        <v>415.27916666666698</v>
      </c>
      <c r="X65" s="2212">
        <v>1043.6841666666701</v>
      </c>
      <c r="Y65" s="2212">
        <v>544.88583333333304</v>
      </c>
      <c r="Z65" s="2212">
        <v>995.07916666666699</v>
      </c>
      <c r="AA65" s="2212">
        <v>1893.91916666667</v>
      </c>
      <c r="AB65" s="2212">
        <v>146.256666666667</v>
      </c>
      <c r="AC65" s="2212">
        <v>2526.4066666666699</v>
      </c>
      <c r="AD65" s="2212">
        <v>1285.1183333333299</v>
      </c>
      <c r="AE65" s="2212">
        <v>440.89083333333298</v>
      </c>
      <c r="AF65" s="2213">
        <v>5464.5325000000003</v>
      </c>
      <c r="AH65" s="1829">
        <v>55</v>
      </c>
      <c r="AI65" s="2124">
        <f>Risk_Compensation!H72*(Risk_Compensation!AK72+CO$144)*12/1000000</f>
        <v>0</v>
      </c>
      <c r="AJ65" s="2121">
        <f>Risk_Compensation!I72*(Risk_Compensation!AL72+CP$144)*12/1000000</f>
        <v>0</v>
      </c>
      <c r="AK65" s="2121">
        <f>Risk_Compensation!J72*(Risk_Compensation!AM72+CQ$144)*12/1000000</f>
        <v>0</v>
      </c>
      <c r="AL65" s="2121">
        <f>Risk_Compensation!K72*(Risk_Compensation!AN72+CR$144)*12/1000000</f>
        <v>0</v>
      </c>
      <c r="AM65" s="2121">
        <f>Risk_Compensation!L72*(Risk_Compensation!AO72+CS$144)*12/1000000</f>
        <v>0</v>
      </c>
      <c r="AN65" s="2121">
        <f>Risk_Compensation!M72*(Risk_Compensation!AP72+CT$144)*12/1000000</f>
        <v>0</v>
      </c>
      <c r="AO65" s="2121">
        <f>Risk_Compensation!N72*(Risk_Compensation!AQ72+CU$144)*12/1000000</f>
        <v>0</v>
      </c>
      <c r="AP65" s="2121">
        <f>Risk_Compensation!O72*(Risk_Compensation!AR72+CV$144)*12/1000000</f>
        <v>0</v>
      </c>
      <c r="AQ65" s="2121">
        <f>Risk_Compensation!P72*(Risk_Compensation!AS72+CW$144)*12/1000000</f>
        <v>0</v>
      </c>
      <c r="AR65" s="2121">
        <f>Risk_Compensation!Q72*(Risk_Compensation!AT72+CX$144)*12/1000000</f>
        <v>0</v>
      </c>
      <c r="AS65" s="2121">
        <f>Risk_Compensation!R72*(Risk_Compensation!AU72+CY$144)*12/1000000</f>
        <v>0</v>
      </c>
      <c r="AT65" s="2121">
        <f>Risk_Compensation!S72*(Risk_Compensation!AV72+CZ$144)*12/1000000</f>
        <v>0</v>
      </c>
      <c r="AU65" s="2121">
        <f>Risk_Compensation!T72*(Risk_Compensation!AW72+DA$144)*12/1000000</f>
        <v>0</v>
      </c>
      <c r="AV65" s="2121">
        <f>Risk_Compensation!U72*(Risk_Compensation!AX72+DB$144)*12/1000000</f>
        <v>0</v>
      </c>
      <c r="AW65" s="2121">
        <f>Risk_Compensation!V72*(Risk_Compensation!AY72+DC$144)*12/1000000</f>
        <v>0</v>
      </c>
      <c r="AX65" s="2121">
        <f>Risk_Compensation!W72*(Risk_Compensation!AZ72+DD$144)*12/1000000</f>
        <v>0</v>
      </c>
      <c r="AY65" s="2121">
        <f>Risk_Compensation!X72*(Risk_Compensation!BA72+DE$144)*12/1000000</f>
        <v>0</v>
      </c>
      <c r="AZ65" s="2121">
        <f>Risk_Compensation!Y72*(Risk_Compensation!BB72+DF$144)*12/1000000</f>
        <v>0</v>
      </c>
      <c r="BA65" s="2121">
        <f>Risk_Compensation!Z72*(Risk_Compensation!BC72+DG$144)*12/1000000</f>
        <v>0</v>
      </c>
      <c r="BB65" s="2121">
        <f>Risk_Compensation!AA72*(Risk_Compensation!BD72+DH$144)*12/1000000</f>
        <v>0</v>
      </c>
      <c r="BC65" s="2121">
        <f>Risk_Compensation!AB72*(Risk_Compensation!BE72+DI$144)*12/1000000</f>
        <v>0</v>
      </c>
      <c r="BD65" s="2121">
        <f>Risk_Compensation!AC72*(Risk_Compensation!BF72+DJ$144)*12/1000000</f>
        <v>0</v>
      </c>
      <c r="BE65" s="2121">
        <f>Risk_Compensation!AD72*(Risk_Compensation!BG72+DK$144)*12/1000000</f>
        <v>0</v>
      </c>
      <c r="BF65" s="2121">
        <f>Risk_Compensation!AE72*(Risk_Compensation!BH72+DL$144)*12/1000000</f>
        <v>0</v>
      </c>
      <c r="BG65" s="2121">
        <f>Risk_Compensation!AF72*(Risk_Compensation!BI72+DM$144)*12/1000000</f>
        <v>0</v>
      </c>
      <c r="BH65" s="2125">
        <f>Risk_Compensation!AG72*(Risk_Compensation!BJ72+DN$144)*12/1000000</f>
        <v>0</v>
      </c>
      <c r="BI65" s="644"/>
      <c r="BJ65" s="1829">
        <v>55</v>
      </c>
      <c r="BK65" s="2138">
        <f>IF(G65&lt;=0,0,(Risk_Compensation!H72/G65-Risk_Compensation!H$79/G$72-0.5*CO$167*($CK65-CO$135/G$72))*G65)</f>
        <v>0</v>
      </c>
      <c r="BL65" s="2139">
        <f>IF(H65&lt;=0,0,(Risk_Compensation!I72/H65-Risk_Compensation!I$79/H$72-0.5*CP$167*($CK65-CP$135/H$72))*H65)</f>
        <v>0</v>
      </c>
      <c r="BM65" s="2139">
        <f>IF(I65&lt;=0,0,(Risk_Compensation!J72/I65-Risk_Compensation!J$79/I$72-0.5*CQ$167*($CK65-CQ$135/I$72))*I65)</f>
        <v>0</v>
      </c>
      <c r="BN65" s="2139">
        <f>IF(J65&lt;=0,0,(Risk_Compensation!K72/J65-Risk_Compensation!K$79/J$72-0.5*CR$167*($CK65-CR$135/J$72))*J65)</f>
        <v>0</v>
      </c>
      <c r="BO65" s="2139">
        <f>IF(K65&lt;=0,0,(Risk_Compensation!L72/K65-Risk_Compensation!L$79/K$72-0.5*CS$167*($CK65-CS$135/K$72))*K65)</f>
        <v>0</v>
      </c>
      <c r="BP65" s="2139">
        <f>IF(L65&lt;=0,0,(Risk_Compensation!M72/L65-Risk_Compensation!M$79/L$72-0.5*CT$167*($CK65-CT$135/L$72))*L65)</f>
        <v>0</v>
      </c>
      <c r="BQ65" s="2139">
        <f>IF(M65&lt;=0,0,(Risk_Compensation!N72/M65-Risk_Compensation!N$79/M$72-0.5*CU$167*($CK65-CU$135/M$72))*M65)</f>
        <v>0</v>
      </c>
      <c r="BR65" s="2139">
        <f>IF(N65&lt;=0,0,(Risk_Compensation!O72/N65-Risk_Compensation!O$79/N$72-0.5*CV$167*($CK65-CV$135/N$72))*N65)</f>
        <v>0</v>
      </c>
      <c r="BS65" s="2139">
        <f>IF(O65&lt;=0,0,(Risk_Compensation!P72/O65-Risk_Compensation!P$79/O$72-0.5*CW$167*($CK65-CW$135/O$72))*O65)</f>
        <v>0</v>
      </c>
      <c r="BT65" s="2139">
        <f>IF(P65&lt;=0,0,(Risk_Compensation!Q72/P65-Risk_Compensation!Q$79/P$72-0.5*CX$167*($CK65-CX$135/P$72))*P65)</f>
        <v>0</v>
      </c>
      <c r="BU65" s="2139">
        <f>IF(Q65&lt;=0,0,(Risk_Compensation!R72/Q65-Risk_Compensation!R$79/Q$72-0.5*CY$167*($CK65-CY$135/Q$72))*Q65)</f>
        <v>0</v>
      </c>
      <c r="BV65" s="2139">
        <f>IF(R65&lt;=0,0,(Risk_Compensation!S72/R65-Risk_Compensation!S$79/R$72-0.5*CZ$167*($CK65-CZ$135/R$72))*R65)</f>
        <v>0</v>
      </c>
      <c r="BW65" s="2139">
        <f>IF(S65&lt;=0,0,(Risk_Compensation!T72/S65-Risk_Compensation!T$79/S$72-0.5*DA$167*($CK65-DA$135/S$72))*S65)</f>
        <v>0</v>
      </c>
      <c r="BX65" s="2139">
        <f>IF(T65&lt;=0,0,(Risk_Compensation!U72/T65-Risk_Compensation!U$79/T$72-0.5*DB$167*($CK65-DB$135/T$72))*T65)</f>
        <v>0</v>
      </c>
      <c r="BY65" s="2139">
        <f>IF(U65&lt;=0,0,(Risk_Compensation!V72/U65-Risk_Compensation!V$79/U$72-0.5*DC$167*($CK65-DC$135/U$72))*U65)</f>
        <v>0</v>
      </c>
      <c r="BZ65" s="2139">
        <f>IF(V65&lt;=0,0,(Risk_Compensation!W72/V65-Risk_Compensation!W$79/V$72-0.5*DD$167*($CK65-DD$135/V$72))*V65)</f>
        <v>0</v>
      </c>
      <c r="CA65" s="2139">
        <f>IF(W65&lt;=0,0,(Risk_Compensation!X72/W65-Risk_Compensation!X$79/W$72-0.5*DE$167*($CK65-DE$135/W$72))*W65)</f>
        <v>0</v>
      </c>
      <c r="CB65" s="2139">
        <f>IF(X65&lt;=0,0,(Risk_Compensation!Y72/X65-Risk_Compensation!Y$79/X$72-0.5*DF$167*($CK65-DF$135/X$72))*X65)</f>
        <v>0</v>
      </c>
      <c r="CC65" s="2139">
        <f>IF(Y65&lt;=0,0,(Risk_Compensation!Z72/Y65-Risk_Compensation!Z$79/Y$72-0.5*DG$167*($CK65-DG$135/Y$72))*Y65)</f>
        <v>0</v>
      </c>
      <c r="CD65" s="2139">
        <f>IF(Z65&lt;=0,0,(Risk_Compensation!AA72/Z65-Risk_Compensation!AA$79/Z$72-0.5*DH$167*($CK65-DH$135/Z$72))*Z65)</f>
        <v>0</v>
      </c>
      <c r="CE65" s="2139">
        <f>IF(AA65&lt;=0,0,(Risk_Compensation!AB72/AA65-Risk_Compensation!AB$79/AA$72-0.5*DI$167*($CK65-DI$135/AA$72))*AA65)</f>
        <v>0</v>
      </c>
      <c r="CF65" s="2139">
        <f>IF(AB65&lt;=0,0,(Risk_Compensation!AC72/AB65-Risk_Compensation!AC$79/AB$72-0.5*DJ$167*($CK65-DJ$135/AB$72))*AB65)</f>
        <v>0</v>
      </c>
      <c r="CG65" s="2139">
        <f>IF(AC65&lt;=0,0,(Risk_Compensation!AD72/AC65-Risk_Compensation!AD$79/AC$72-0.5*DK$167*($CK65-DK$135/AC$72))*AC65)</f>
        <v>0</v>
      </c>
      <c r="CH65" s="2139">
        <f>IF(AD65&lt;=0,0,(Risk_Compensation!AE72/AD65-Risk_Compensation!AE$79/AD$72-0.5*DL$167*($CK65-DL$135/AD$72))*AD65)</f>
        <v>0</v>
      </c>
      <c r="CI65" s="2139">
        <f>IF(AE65&lt;=0,0,(Risk_Compensation!AF72/AE65-Risk_Compensation!AF$79/AE$72-0.5*DM$167*($CK65-DM$135/AE$72))*AE65)</f>
        <v>0</v>
      </c>
      <c r="CJ65" s="2140">
        <f>IF(AF65&lt;=0,0,(Risk_Compensation!AG72/AF65-Risk_Compensation!AG$79/AF$72-0.5*DN$167*($CK65-DN$135/AF$72))*AF65)</f>
        <v>0</v>
      </c>
      <c r="CK65" s="2166">
        <v>0</v>
      </c>
      <c r="CL65" s="644"/>
      <c r="CM65" s="1829">
        <v>55</v>
      </c>
      <c r="CN65" s="2149">
        <f t="shared" si="26"/>
        <v>0</v>
      </c>
      <c r="CO65" s="2150">
        <f t="shared" si="27"/>
        <v>0</v>
      </c>
      <c r="CP65" s="2150">
        <f t="shared" si="28"/>
        <v>0</v>
      </c>
      <c r="CQ65" s="2150">
        <f t="shared" si="29"/>
        <v>0</v>
      </c>
      <c r="CR65" s="2150">
        <f t="shared" si="30"/>
        <v>0</v>
      </c>
      <c r="CS65" s="2150">
        <f t="shared" si="31"/>
        <v>0</v>
      </c>
      <c r="CT65" s="2150">
        <f t="shared" si="32"/>
        <v>0</v>
      </c>
      <c r="CU65" s="2150">
        <f t="shared" si="33"/>
        <v>0</v>
      </c>
      <c r="CV65" s="2150">
        <f t="shared" si="34"/>
        <v>0</v>
      </c>
      <c r="CW65" s="2150">
        <f t="shared" si="35"/>
        <v>0</v>
      </c>
      <c r="CX65" s="2150">
        <f t="shared" si="36"/>
        <v>0</v>
      </c>
      <c r="CY65" s="2150">
        <f t="shared" si="37"/>
        <v>0</v>
      </c>
      <c r="CZ65" s="2150">
        <f t="shared" si="38"/>
        <v>0</v>
      </c>
      <c r="DA65" s="2150">
        <f t="shared" si="39"/>
        <v>0</v>
      </c>
      <c r="DB65" s="2150">
        <f t="shared" si="40"/>
        <v>0</v>
      </c>
      <c r="DC65" s="2150">
        <f t="shared" si="41"/>
        <v>0</v>
      </c>
      <c r="DD65" s="2150">
        <f t="shared" si="42"/>
        <v>0</v>
      </c>
      <c r="DE65" s="2150">
        <f t="shared" si="43"/>
        <v>0</v>
      </c>
      <c r="DF65" s="2150">
        <f t="shared" si="44"/>
        <v>0</v>
      </c>
      <c r="DG65" s="2150">
        <f t="shared" si="45"/>
        <v>0</v>
      </c>
      <c r="DH65" s="2150">
        <f t="shared" si="46"/>
        <v>0</v>
      </c>
      <c r="DI65" s="2150">
        <f t="shared" si="47"/>
        <v>0</v>
      </c>
      <c r="DJ65" s="2150">
        <f t="shared" si="48"/>
        <v>0</v>
      </c>
      <c r="DK65" s="2150">
        <f t="shared" si="49"/>
        <v>0</v>
      </c>
      <c r="DL65" s="2150">
        <f t="shared" si="50"/>
        <v>0</v>
      </c>
      <c r="DM65" s="2151">
        <f t="shared" si="51"/>
        <v>0</v>
      </c>
      <c r="DN65" s="644"/>
      <c r="DO65" s="1829">
        <v>55</v>
      </c>
      <c r="DP65" s="2211">
        <v>1315.7650582251799</v>
      </c>
      <c r="DQ65" s="2212">
        <v>1111.5130721115099</v>
      </c>
      <c r="DR65" s="2212">
        <v>1095.4751041080201</v>
      </c>
      <c r="DS65" s="2212">
        <v>1441.18491866673</v>
      </c>
      <c r="DT65" s="2212">
        <v>1456.2519964994001</v>
      </c>
      <c r="DU65" s="2212">
        <v>1725.8850825555301</v>
      </c>
      <c r="DV65" s="2212">
        <v>1585.2897040754101</v>
      </c>
      <c r="DW65" s="2212">
        <v>2132.55906604956</v>
      </c>
      <c r="DX65" s="2212">
        <v>1029.4620246920099</v>
      </c>
      <c r="DY65" s="2212">
        <v>1151.97259878164</v>
      </c>
      <c r="DZ65" s="2212">
        <v>1754.35043667939</v>
      </c>
      <c r="EA65" s="2212">
        <v>1312.13483716673</v>
      </c>
      <c r="EB65" s="2212">
        <v>1785.2000491019901</v>
      </c>
      <c r="EC65" s="2212">
        <v>1195.19173601486</v>
      </c>
      <c r="ED65" s="2212">
        <v>973.71486345243898</v>
      </c>
      <c r="EE65" s="2212">
        <v>1219.05897503293</v>
      </c>
      <c r="EF65" s="2212">
        <v>1239.6923756275401</v>
      </c>
      <c r="EG65" s="2212">
        <v>1347.2407664766999</v>
      </c>
      <c r="EH65" s="2212">
        <v>1285.6440676265599</v>
      </c>
      <c r="EI65" s="2212">
        <v>1218.6082726205</v>
      </c>
      <c r="EJ65" s="2212">
        <v>1834.37954123534</v>
      </c>
      <c r="EK65" s="2212">
        <v>1304.42762266522</v>
      </c>
      <c r="EL65" s="2212">
        <v>2018.80034367899</v>
      </c>
      <c r="EM65" s="2212">
        <v>1591.04125904578</v>
      </c>
      <c r="EN65" s="2212">
        <v>1284.8727431387999</v>
      </c>
      <c r="EO65" s="2213">
        <v>1495.3136834453701</v>
      </c>
      <c r="ER65" s="1829">
        <v>55</v>
      </c>
      <c r="ES65" s="1830">
        <v>1.25192957038797</v>
      </c>
      <c r="ET65" s="644"/>
      <c r="EU65" s="2156">
        <v>55</v>
      </c>
      <c r="EV65" s="2090" t="s">
        <v>162</v>
      </c>
      <c r="EW65" s="2090" t="s">
        <v>1916</v>
      </c>
      <c r="EX65" s="2090" t="str">
        <f>Translation!B$579</f>
        <v>Ja</v>
      </c>
    </row>
    <row r="66" spans="2:154" ht="12.75" x14ac:dyDescent="0.2">
      <c r="B66" s="2090">
        <v>56</v>
      </c>
      <c r="C66" s="2090" t="s">
        <v>162</v>
      </c>
      <c r="D66" s="2090" t="s">
        <v>1916</v>
      </c>
      <c r="E66" s="2090" t="str">
        <f>Translation!B$580</f>
        <v>Nein</v>
      </c>
      <c r="F66" s="1622">
        <v>56</v>
      </c>
      <c r="G66" s="2211">
        <v>7478.7</v>
      </c>
      <c r="H66" s="2212">
        <v>195.255</v>
      </c>
      <c r="I66" s="2212">
        <v>666.01583333333303</v>
      </c>
      <c r="J66" s="2212">
        <v>14113.8283333333</v>
      </c>
      <c r="K66" s="2212">
        <v>4349.9808333333303</v>
      </c>
      <c r="L66" s="2212">
        <v>2549.8283333333302</v>
      </c>
      <c r="M66" s="2212">
        <v>3116.9083333333301</v>
      </c>
      <c r="N66" s="2212">
        <v>5508.9324999999999</v>
      </c>
      <c r="O66" s="2212">
        <v>467.19583333333298</v>
      </c>
      <c r="P66" s="2212">
        <v>2669.1658333333298</v>
      </c>
      <c r="Q66" s="2212">
        <v>908.54333333333295</v>
      </c>
      <c r="R66" s="2212">
        <v>4848.40333333333</v>
      </c>
      <c r="S66" s="2212">
        <v>2304.1741666666699</v>
      </c>
      <c r="T66" s="2212">
        <v>545.06500000000005</v>
      </c>
      <c r="U66" s="2212">
        <v>419.44499999999999</v>
      </c>
      <c r="V66" s="2212">
        <v>6082.3991666666698</v>
      </c>
      <c r="W66" s="2212">
        <v>1167.4483333333301</v>
      </c>
      <c r="X66" s="2212">
        <v>3340.6891666666702</v>
      </c>
      <c r="Y66" s="2212">
        <v>1682.8783333333299</v>
      </c>
      <c r="Z66" s="2212">
        <v>3038.9416666666698</v>
      </c>
      <c r="AA66" s="2212">
        <v>5464.6674999999996</v>
      </c>
      <c r="AB66" s="2212">
        <v>458.82583333333298</v>
      </c>
      <c r="AC66" s="2212">
        <v>8773.9108333333297</v>
      </c>
      <c r="AD66" s="2212">
        <v>4205.4925000000003</v>
      </c>
      <c r="AE66" s="2212">
        <v>1421.2075</v>
      </c>
      <c r="AF66" s="2213">
        <v>17501.5483333333</v>
      </c>
      <c r="AH66" s="1829">
        <v>56</v>
      </c>
      <c r="AI66" s="2124">
        <f>Risk_Compensation!H73*(Risk_Compensation!AK73+CO$144)*12/1000000</f>
        <v>0</v>
      </c>
      <c r="AJ66" s="2121">
        <f>Risk_Compensation!I73*(Risk_Compensation!AL73+CP$144)*12/1000000</f>
        <v>0</v>
      </c>
      <c r="AK66" s="2121">
        <f>Risk_Compensation!J73*(Risk_Compensation!AM73+CQ$144)*12/1000000</f>
        <v>0</v>
      </c>
      <c r="AL66" s="2121">
        <f>Risk_Compensation!K73*(Risk_Compensation!AN73+CR$144)*12/1000000</f>
        <v>0</v>
      </c>
      <c r="AM66" s="2121">
        <f>Risk_Compensation!L73*(Risk_Compensation!AO73+CS$144)*12/1000000</f>
        <v>0</v>
      </c>
      <c r="AN66" s="2121">
        <f>Risk_Compensation!M73*(Risk_Compensation!AP73+CT$144)*12/1000000</f>
        <v>0</v>
      </c>
      <c r="AO66" s="2121">
        <f>Risk_Compensation!N73*(Risk_Compensation!AQ73+CU$144)*12/1000000</f>
        <v>0</v>
      </c>
      <c r="AP66" s="2121">
        <f>Risk_Compensation!O73*(Risk_Compensation!AR73+CV$144)*12/1000000</f>
        <v>0</v>
      </c>
      <c r="AQ66" s="2121">
        <f>Risk_Compensation!P73*(Risk_Compensation!AS73+CW$144)*12/1000000</f>
        <v>0</v>
      </c>
      <c r="AR66" s="2121">
        <f>Risk_Compensation!Q73*(Risk_Compensation!AT73+CX$144)*12/1000000</f>
        <v>0</v>
      </c>
      <c r="AS66" s="2121">
        <f>Risk_Compensation!R73*(Risk_Compensation!AU73+CY$144)*12/1000000</f>
        <v>0</v>
      </c>
      <c r="AT66" s="2121">
        <f>Risk_Compensation!S73*(Risk_Compensation!AV73+CZ$144)*12/1000000</f>
        <v>0</v>
      </c>
      <c r="AU66" s="2121">
        <f>Risk_Compensation!T73*(Risk_Compensation!AW73+DA$144)*12/1000000</f>
        <v>0</v>
      </c>
      <c r="AV66" s="2121">
        <f>Risk_Compensation!U73*(Risk_Compensation!AX73+DB$144)*12/1000000</f>
        <v>0</v>
      </c>
      <c r="AW66" s="2121">
        <f>Risk_Compensation!V73*(Risk_Compensation!AY73+DC$144)*12/1000000</f>
        <v>0</v>
      </c>
      <c r="AX66" s="2121">
        <f>Risk_Compensation!W73*(Risk_Compensation!AZ73+DD$144)*12/1000000</f>
        <v>0</v>
      </c>
      <c r="AY66" s="2121">
        <f>Risk_Compensation!X73*(Risk_Compensation!BA73+DE$144)*12/1000000</f>
        <v>0</v>
      </c>
      <c r="AZ66" s="2121">
        <f>Risk_Compensation!Y73*(Risk_Compensation!BB73+DF$144)*12/1000000</f>
        <v>0</v>
      </c>
      <c r="BA66" s="2121">
        <f>Risk_Compensation!Z73*(Risk_Compensation!BC73+DG$144)*12/1000000</f>
        <v>0</v>
      </c>
      <c r="BB66" s="2121">
        <f>Risk_Compensation!AA73*(Risk_Compensation!BD73+DH$144)*12/1000000</f>
        <v>0</v>
      </c>
      <c r="BC66" s="2121">
        <f>Risk_Compensation!AB73*(Risk_Compensation!BE73+DI$144)*12/1000000</f>
        <v>0</v>
      </c>
      <c r="BD66" s="2121">
        <f>Risk_Compensation!AC73*(Risk_Compensation!BF73+DJ$144)*12/1000000</f>
        <v>0</v>
      </c>
      <c r="BE66" s="2121">
        <f>Risk_Compensation!AD73*(Risk_Compensation!BG73+DK$144)*12/1000000</f>
        <v>0</v>
      </c>
      <c r="BF66" s="2121">
        <f>Risk_Compensation!AE73*(Risk_Compensation!BH73+DL$144)*12/1000000</f>
        <v>0</v>
      </c>
      <c r="BG66" s="2121">
        <f>Risk_Compensation!AF73*(Risk_Compensation!BI73+DM$144)*12/1000000</f>
        <v>0</v>
      </c>
      <c r="BH66" s="2125">
        <f>Risk_Compensation!AG73*(Risk_Compensation!BJ73+DN$144)*12/1000000</f>
        <v>0</v>
      </c>
      <c r="BI66" s="644"/>
      <c r="BJ66" s="1829">
        <v>56</v>
      </c>
      <c r="BK66" s="2138">
        <f>IF(G66&lt;=0,0,(Risk_Compensation!H73/G66-Risk_Compensation!H$79/G$72-0.5*CO$167*($CK66-CO$135/G$72))*G66)</f>
        <v>0</v>
      </c>
      <c r="BL66" s="2139">
        <f>IF(H66&lt;=0,0,(Risk_Compensation!I73/H66-Risk_Compensation!I$79/H$72-0.5*CP$167*($CK66-CP$135/H$72))*H66)</f>
        <v>0</v>
      </c>
      <c r="BM66" s="2139">
        <f>IF(I66&lt;=0,0,(Risk_Compensation!J73/I66-Risk_Compensation!J$79/I$72-0.5*CQ$167*($CK66-CQ$135/I$72))*I66)</f>
        <v>0</v>
      </c>
      <c r="BN66" s="2139">
        <f>IF(J66&lt;=0,0,(Risk_Compensation!K73/J66-Risk_Compensation!K$79/J$72-0.5*CR$167*($CK66-CR$135/J$72))*J66)</f>
        <v>0</v>
      </c>
      <c r="BO66" s="2139">
        <f>IF(K66&lt;=0,0,(Risk_Compensation!L73/K66-Risk_Compensation!L$79/K$72-0.5*CS$167*($CK66-CS$135/K$72))*K66)</f>
        <v>0</v>
      </c>
      <c r="BP66" s="2139">
        <f>IF(L66&lt;=0,0,(Risk_Compensation!M73/L66-Risk_Compensation!M$79/L$72-0.5*CT$167*($CK66-CT$135/L$72))*L66)</f>
        <v>0</v>
      </c>
      <c r="BQ66" s="2139">
        <f>IF(M66&lt;=0,0,(Risk_Compensation!N73/M66-Risk_Compensation!N$79/M$72-0.5*CU$167*($CK66-CU$135/M$72))*M66)</f>
        <v>0</v>
      </c>
      <c r="BR66" s="2139">
        <f>IF(N66&lt;=0,0,(Risk_Compensation!O73/N66-Risk_Compensation!O$79/N$72-0.5*CV$167*($CK66-CV$135/N$72))*N66)</f>
        <v>0</v>
      </c>
      <c r="BS66" s="2139">
        <f>IF(O66&lt;=0,0,(Risk_Compensation!P73/O66-Risk_Compensation!P$79/O$72-0.5*CW$167*($CK66-CW$135/O$72))*O66)</f>
        <v>0</v>
      </c>
      <c r="BT66" s="2139">
        <f>IF(P66&lt;=0,0,(Risk_Compensation!Q73/P66-Risk_Compensation!Q$79/P$72-0.5*CX$167*($CK66-CX$135/P$72))*P66)</f>
        <v>0</v>
      </c>
      <c r="BU66" s="2139">
        <f>IF(Q66&lt;=0,0,(Risk_Compensation!R73/Q66-Risk_Compensation!R$79/Q$72-0.5*CY$167*($CK66-CY$135/Q$72))*Q66)</f>
        <v>0</v>
      </c>
      <c r="BV66" s="2139">
        <f>IF(R66&lt;=0,0,(Risk_Compensation!S73/R66-Risk_Compensation!S$79/R$72-0.5*CZ$167*($CK66-CZ$135/R$72))*R66)</f>
        <v>0</v>
      </c>
      <c r="BW66" s="2139">
        <f>IF(S66&lt;=0,0,(Risk_Compensation!T73/S66-Risk_Compensation!T$79/S$72-0.5*DA$167*($CK66-DA$135/S$72))*S66)</f>
        <v>0</v>
      </c>
      <c r="BX66" s="2139">
        <f>IF(T66&lt;=0,0,(Risk_Compensation!U73/T66-Risk_Compensation!U$79/T$72-0.5*DB$167*($CK66-DB$135/T$72))*T66)</f>
        <v>0</v>
      </c>
      <c r="BY66" s="2139">
        <f>IF(U66&lt;=0,0,(Risk_Compensation!V73/U66-Risk_Compensation!V$79/U$72-0.5*DC$167*($CK66-DC$135/U$72))*U66)</f>
        <v>0</v>
      </c>
      <c r="BZ66" s="2139">
        <f>IF(V66&lt;=0,0,(Risk_Compensation!W73/V66-Risk_Compensation!W$79/V$72-0.5*DD$167*($CK66-DD$135/V$72))*V66)</f>
        <v>0</v>
      </c>
      <c r="CA66" s="2139">
        <f>IF(W66&lt;=0,0,(Risk_Compensation!X73/W66-Risk_Compensation!X$79/W$72-0.5*DE$167*($CK66-DE$135/W$72))*W66)</f>
        <v>0</v>
      </c>
      <c r="CB66" s="2139">
        <f>IF(X66&lt;=0,0,(Risk_Compensation!Y73/X66-Risk_Compensation!Y$79/X$72-0.5*DF$167*($CK66-DF$135/X$72))*X66)</f>
        <v>0</v>
      </c>
      <c r="CC66" s="2139">
        <f>IF(Y66&lt;=0,0,(Risk_Compensation!Z73/Y66-Risk_Compensation!Z$79/Y$72-0.5*DG$167*($CK66-DG$135/Y$72))*Y66)</f>
        <v>0</v>
      </c>
      <c r="CD66" s="2139">
        <f>IF(Z66&lt;=0,0,(Risk_Compensation!AA73/Z66-Risk_Compensation!AA$79/Z$72-0.5*DH$167*($CK66-DH$135/Z$72))*Z66)</f>
        <v>0</v>
      </c>
      <c r="CE66" s="2139">
        <f>IF(AA66&lt;=0,0,(Risk_Compensation!AB73/AA66-Risk_Compensation!AB$79/AA$72-0.5*DI$167*($CK66-DI$135/AA$72))*AA66)</f>
        <v>0</v>
      </c>
      <c r="CF66" s="2139">
        <f>IF(AB66&lt;=0,0,(Risk_Compensation!AC73/AB66-Risk_Compensation!AC$79/AB$72-0.5*DJ$167*($CK66-DJ$135/AB$72))*AB66)</f>
        <v>0</v>
      </c>
      <c r="CG66" s="2139">
        <f>IF(AC66&lt;=0,0,(Risk_Compensation!AD73/AC66-Risk_Compensation!AD$79/AC$72-0.5*DK$167*($CK66-DK$135/AC$72))*AC66)</f>
        <v>0</v>
      </c>
      <c r="CH66" s="2139">
        <f>IF(AD66&lt;=0,0,(Risk_Compensation!AE73/AD66-Risk_Compensation!AE$79/AD$72-0.5*DL$167*($CK66-DL$135/AD$72))*AD66)</f>
        <v>0</v>
      </c>
      <c r="CI66" s="2139">
        <f>IF(AE66&lt;=0,0,(Risk_Compensation!AF73/AE66-Risk_Compensation!AF$79/AE$72-0.5*DM$167*($CK66-DM$135/AE$72))*AE66)</f>
        <v>0</v>
      </c>
      <c r="CJ66" s="2140">
        <f>IF(AF66&lt;=0,0,(Risk_Compensation!AG73/AF66-Risk_Compensation!AG$79/AF$72-0.5*DN$167*($CK66-DN$135/AF$72))*AF66)</f>
        <v>0</v>
      </c>
      <c r="CK66" s="2166">
        <v>0</v>
      </c>
      <c r="CL66" s="644"/>
      <c r="CM66" s="1829">
        <v>56</v>
      </c>
      <c r="CN66" s="2149">
        <f t="shared" si="26"/>
        <v>0</v>
      </c>
      <c r="CO66" s="2150">
        <f t="shared" si="27"/>
        <v>0</v>
      </c>
      <c r="CP66" s="2150">
        <f t="shared" si="28"/>
        <v>0</v>
      </c>
      <c r="CQ66" s="2150">
        <f t="shared" si="29"/>
        <v>0</v>
      </c>
      <c r="CR66" s="2150">
        <f t="shared" si="30"/>
        <v>0</v>
      </c>
      <c r="CS66" s="2150">
        <f t="shared" si="31"/>
        <v>0</v>
      </c>
      <c r="CT66" s="2150">
        <f t="shared" si="32"/>
        <v>0</v>
      </c>
      <c r="CU66" s="2150">
        <f t="shared" si="33"/>
        <v>0</v>
      </c>
      <c r="CV66" s="2150">
        <f t="shared" si="34"/>
        <v>0</v>
      </c>
      <c r="CW66" s="2150">
        <f t="shared" si="35"/>
        <v>0</v>
      </c>
      <c r="CX66" s="2150">
        <f t="shared" si="36"/>
        <v>0</v>
      </c>
      <c r="CY66" s="2150">
        <f t="shared" si="37"/>
        <v>0</v>
      </c>
      <c r="CZ66" s="2150">
        <f t="shared" si="38"/>
        <v>0</v>
      </c>
      <c r="DA66" s="2150">
        <f t="shared" si="39"/>
        <v>0</v>
      </c>
      <c r="DB66" s="2150">
        <f t="shared" si="40"/>
        <v>0</v>
      </c>
      <c r="DC66" s="2150">
        <f t="shared" si="41"/>
        <v>0</v>
      </c>
      <c r="DD66" s="2150">
        <f t="shared" si="42"/>
        <v>0</v>
      </c>
      <c r="DE66" s="2150">
        <f t="shared" si="43"/>
        <v>0</v>
      </c>
      <c r="DF66" s="2150">
        <f t="shared" si="44"/>
        <v>0</v>
      </c>
      <c r="DG66" s="2150">
        <f t="shared" si="45"/>
        <v>0</v>
      </c>
      <c r="DH66" s="2150">
        <f t="shared" si="46"/>
        <v>0</v>
      </c>
      <c r="DI66" s="2150">
        <f t="shared" si="47"/>
        <v>0</v>
      </c>
      <c r="DJ66" s="2150">
        <f t="shared" si="48"/>
        <v>0</v>
      </c>
      <c r="DK66" s="2150">
        <f t="shared" si="49"/>
        <v>0</v>
      </c>
      <c r="DL66" s="2150">
        <f t="shared" si="50"/>
        <v>0</v>
      </c>
      <c r="DM66" s="2151">
        <f t="shared" si="51"/>
        <v>0</v>
      </c>
      <c r="DN66" s="644"/>
      <c r="DO66" s="1829">
        <v>56</v>
      </c>
      <c r="DP66" s="2211">
        <v>477.14436325621898</v>
      </c>
      <c r="DQ66" s="2212">
        <v>357.96873445382403</v>
      </c>
      <c r="DR66" s="2212">
        <v>387.31629785076302</v>
      </c>
      <c r="DS66" s="2212">
        <v>471.35960536172303</v>
      </c>
      <c r="DT66" s="2212">
        <v>567.59961540806205</v>
      </c>
      <c r="DU66" s="2212">
        <v>604.79717802361495</v>
      </c>
      <c r="DV66" s="2212">
        <v>465.80865028622799</v>
      </c>
      <c r="DW66" s="2212">
        <v>666.66487813997605</v>
      </c>
      <c r="DX66" s="2212">
        <v>442.18608464774201</v>
      </c>
      <c r="DY66" s="2212">
        <v>423.29463574076698</v>
      </c>
      <c r="DZ66" s="2212">
        <v>568.72935317522001</v>
      </c>
      <c r="EA66" s="2212">
        <v>421.42037718101398</v>
      </c>
      <c r="EB66" s="2212">
        <v>526.28195177433497</v>
      </c>
      <c r="EC66" s="2212">
        <v>374.612797418919</v>
      </c>
      <c r="ED66" s="2212">
        <v>410.68498339796298</v>
      </c>
      <c r="EE66" s="2212">
        <v>441.69494692194598</v>
      </c>
      <c r="EF66" s="2212">
        <v>445.98429188554599</v>
      </c>
      <c r="EG66" s="2212">
        <v>454.094498360069</v>
      </c>
      <c r="EH66" s="2212">
        <v>444.206090298753</v>
      </c>
      <c r="EI66" s="2212">
        <v>469.15242204763001</v>
      </c>
      <c r="EJ66" s="2212">
        <v>597.89024211412902</v>
      </c>
      <c r="EK66" s="2212">
        <v>365.64060365819</v>
      </c>
      <c r="EL66" s="2212">
        <v>633.18528273673905</v>
      </c>
      <c r="EM66" s="2212">
        <v>483.46938734141099</v>
      </c>
      <c r="EN66" s="2212">
        <v>444.73877616604699</v>
      </c>
      <c r="EO66" s="2213">
        <v>551.25167573703698</v>
      </c>
      <c r="ER66" s="1829">
        <v>56</v>
      </c>
      <c r="ES66" s="1830">
        <v>1.6540747024437801</v>
      </c>
      <c r="ET66" s="644"/>
      <c r="EU66" s="2156">
        <v>56</v>
      </c>
      <c r="EV66" s="2090" t="s">
        <v>162</v>
      </c>
      <c r="EW66" s="2090" t="s">
        <v>1916</v>
      </c>
      <c r="EX66" s="2090" t="str">
        <f>Translation!B$580</f>
        <v>Nein</v>
      </c>
    </row>
    <row r="67" spans="2:154" ht="12.75" x14ac:dyDescent="0.2">
      <c r="B67" s="2090">
        <v>57</v>
      </c>
      <c r="C67" s="2090" t="s">
        <v>162</v>
      </c>
      <c r="D67" s="2090" t="s">
        <v>1917</v>
      </c>
      <c r="E67" s="2090" t="str">
        <f>Translation!B$579</f>
        <v>Ja</v>
      </c>
      <c r="F67" s="1622">
        <v>57</v>
      </c>
      <c r="G67" s="2211">
        <v>2192.9908333333301</v>
      </c>
      <c r="H67" s="2212">
        <v>53.677500000000002</v>
      </c>
      <c r="I67" s="2212">
        <v>214.41083333333299</v>
      </c>
      <c r="J67" s="2212">
        <v>4041.9766666666701</v>
      </c>
      <c r="K67" s="2212">
        <v>1322.74583333333</v>
      </c>
      <c r="L67" s="2212">
        <v>1007.55833333333</v>
      </c>
      <c r="M67" s="2212">
        <v>846.82249999999999</v>
      </c>
      <c r="N67" s="2212">
        <v>1566.1016666666701</v>
      </c>
      <c r="O67" s="2212">
        <v>175.39916666666701</v>
      </c>
      <c r="P67" s="2212">
        <v>750.97416666666697</v>
      </c>
      <c r="Q67" s="2212">
        <v>288.17250000000001</v>
      </c>
      <c r="R67" s="2212">
        <v>1447.72416666667</v>
      </c>
      <c r="S67" s="2212">
        <v>650.16833333333295</v>
      </c>
      <c r="T67" s="2212">
        <v>134.68166666666701</v>
      </c>
      <c r="U67" s="2212">
        <v>127.103333333333</v>
      </c>
      <c r="V67" s="2212">
        <v>1767.4366666666699</v>
      </c>
      <c r="W67" s="2212">
        <v>363.04416666666702</v>
      </c>
      <c r="X67" s="2212">
        <v>1086.1016666666701</v>
      </c>
      <c r="Y67" s="2212">
        <v>544.37249999999995</v>
      </c>
      <c r="Z67" s="2212">
        <v>955.40833333333296</v>
      </c>
      <c r="AA67" s="2212">
        <v>1889.38666666667</v>
      </c>
      <c r="AB67" s="2212">
        <v>132.53333333333299</v>
      </c>
      <c r="AC67" s="2212">
        <v>2445.0333333333301</v>
      </c>
      <c r="AD67" s="2212">
        <v>1230.18583333333</v>
      </c>
      <c r="AE67" s="2212">
        <v>432.53250000000003</v>
      </c>
      <c r="AF67" s="2213">
        <v>4834.4208333333299</v>
      </c>
      <c r="AH67" s="1829">
        <v>57</v>
      </c>
      <c r="AI67" s="2124">
        <f>Risk_Compensation!H74*(Risk_Compensation!AK74+CO$144)*12/1000000</f>
        <v>0</v>
      </c>
      <c r="AJ67" s="2121">
        <f>Risk_Compensation!I74*(Risk_Compensation!AL74+CP$144)*12/1000000</f>
        <v>0</v>
      </c>
      <c r="AK67" s="2121">
        <f>Risk_Compensation!J74*(Risk_Compensation!AM74+CQ$144)*12/1000000</f>
        <v>0</v>
      </c>
      <c r="AL67" s="2121">
        <f>Risk_Compensation!K74*(Risk_Compensation!AN74+CR$144)*12/1000000</f>
        <v>0</v>
      </c>
      <c r="AM67" s="2121">
        <f>Risk_Compensation!L74*(Risk_Compensation!AO74+CS$144)*12/1000000</f>
        <v>0</v>
      </c>
      <c r="AN67" s="2121">
        <f>Risk_Compensation!M74*(Risk_Compensation!AP74+CT$144)*12/1000000</f>
        <v>0</v>
      </c>
      <c r="AO67" s="2121">
        <f>Risk_Compensation!N74*(Risk_Compensation!AQ74+CU$144)*12/1000000</f>
        <v>0</v>
      </c>
      <c r="AP67" s="2121">
        <f>Risk_Compensation!O74*(Risk_Compensation!AR74+CV$144)*12/1000000</f>
        <v>0</v>
      </c>
      <c r="AQ67" s="2121">
        <f>Risk_Compensation!P74*(Risk_Compensation!AS74+CW$144)*12/1000000</f>
        <v>0</v>
      </c>
      <c r="AR67" s="2121">
        <f>Risk_Compensation!Q74*(Risk_Compensation!AT74+CX$144)*12/1000000</f>
        <v>0</v>
      </c>
      <c r="AS67" s="2121">
        <f>Risk_Compensation!R74*(Risk_Compensation!AU74+CY$144)*12/1000000</f>
        <v>0</v>
      </c>
      <c r="AT67" s="2121">
        <f>Risk_Compensation!S74*(Risk_Compensation!AV74+CZ$144)*12/1000000</f>
        <v>0</v>
      </c>
      <c r="AU67" s="2121">
        <f>Risk_Compensation!T74*(Risk_Compensation!AW74+DA$144)*12/1000000</f>
        <v>0</v>
      </c>
      <c r="AV67" s="2121">
        <f>Risk_Compensation!U74*(Risk_Compensation!AX74+DB$144)*12/1000000</f>
        <v>0</v>
      </c>
      <c r="AW67" s="2121">
        <f>Risk_Compensation!V74*(Risk_Compensation!AY74+DC$144)*12/1000000</f>
        <v>0</v>
      </c>
      <c r="AX67" s="2121">
        <f>Risk_Compensation!W74*(Risk_Compensation!AZ74+DD$144)*12/1000000</f>
        <v>0</v>
      </c>
      <c r="AY67" s="2121">
        <f>Risk_Compensation!X74*(Risk_Compensation!BA74+DE$144)*12/1000000</f>
        <v>0</v>
      </c>
      <c r="AZ67" s="2121">
        <f>Risk_Compensation!Y74*(Risk_Compensation!BB74+DF$144)*12/1000000</f>
        <v>0</v>
      </c>
      <c r="BA67" s="2121">
        <f>Risk_Compensation!Z74*(Risk_Compensation!BC74+DG$144)*12/1000000</f>
        <v>0</v>
      </c>
      <c r="BB67" s="2121">
        <f>Risk_Compensation!AA74*(Risk_Compensation!BD74+DH$144)*12/1000000</f>
        <v>0</v>
      </c>
      <c r="BC67" s="2121">
        <f>Risk_Compensation!AB74*(Risk_Compensation!BE74+DI$144)*12/1000000</f>
        <v>0</v>
      </c>
      <c r="BD67" s="2121">
        <f>Risk_Compensation!AC74*(Risk_Compensation!BF74+DJ$144)*12/1000000</f>
        <v>0</v>
      </c>
      <c r="BE67" s="2121">
        <f>Risk_Compensation!AD74*(Risk_Compensation!BG74+DK$144)*12/1000000</f>
        <v>0</v>
      </c>
      <c r="BF67" s="2121">
        <f>Risk_Compensation!AE74*(Risk_Compensation!BH74+DL$144)*12/1000000</f>
        <v>0</v>
      </c>
      <c r="BG67" s="2121">
        <f>Risk_Compensation!AF74*(Risk_Compensation!BI74+DM$144)*12/1000000</f>
        <v>0</v>
      </c>
      <c r="BH67" s="2125">
        <f>Risk_Compensation!AG74*(Risk_Compensation!BJ74+DN$144)*12/1000000</f>
        <v>0</v>
      </c>
      <c r="BI67" s="644"/>
      <c r="BJ67" s="1829">
        <v>57</v>
      </c>
      <c r="BK67" s="2138">
        <f>IF(G67&lt;=0,0,(Risk_Compensation!H74/G67-Risk_Compensation!H$79/G$72-0.5*CO$167*($CK67-CO$135/G$72))*G67)</f>
        <v>0</v>
      </c>
      <c r="BL67" s="2139">
        <f>IF(H67&lt;=0,0,(Risk_Compensation!I74/H67-Risk_Compensation!I$79/H$72-0.5*CP$167*($CK67-CP$135/H$72))*H67)</f>
        <v>0</v>
      </c>
      <c r="BM67" s="2139">
        <f>IF(I67&lt;=0,0,(Risk_Compensation!J74/I67-Risk_Compensation!J$79/I$72-0.5*CQ$167*($CK67-CQ$135/I$72))*I67)</f>
        <v>0</v>
      </c>
      <c r="BN67" s="2139">
        <f>IF(J67&lt;=0,0,(Risk_Compensation!K74/J67-Risk_Compensation!K$79/J$72-0.5*CR$167*($CK67-CR$135/J$72))*J67)</f>
        <v>0</v>
      </c>
      <c r="BO67" s="2139">
        <f>IF(K67&lt;=0,0,(Risk_Compensation!L74/K67-Risk_Compensation!L$79/K$72-0.5*CS$167*($CK67-CS$135/K$72))*K67)</f>
        <v>0</v>
      </c>
      <c r="BP67" s="2139">
        <f>IF(L67&lt;=0,0,(Risk_Compensation!M74/L67-Risk_Compensation!M$79/L$72-0.5*CT$167*($CK67-CT$135/L$72))*L67)</f>
        <v>0</v>
      </c>
      <c r="BQ67" s="2139">
        <f>IF(M67&lt;=0,0,(Risk_Compensation!N74/M67-Risk_Compensation!N$79/M$72-0.5*CU$167*($CK67-CU$135/M$72))*M67)</f>
        <v>0</v>
      </c>
      <c r="BR67" s="2139">
        <f>IF(N67&lt;=0,0,(Risk_Compensation!O74/N67-Risk_Compensation!O$79/N$72-0.5*CV$167*($CK67-CV$135/N$72))*N67)</f>
        <v>0</v>
      </c>
      <c r="BS67" s="2139">
        <f>IF(O67&lt;=0,0,(Risk_Compensation!P74/O67-Risk_Compensation!P$79/O$72-0.5*CW$167*($CK67-CW$135/O$72))*O67)</f>
        <v>0</v>
      </c>
      <c r="BT67" s="2139">
        <f>IF(P67&lt;=0,0,(Risk_Compensation!Q74/P67-Risk_Compensation!Q$79/P$72-0.5*CX$167*($CK67-CX$135/P$72))*P67)</f>
        <v>0</v>
      </c>
      <c r="BU67" s="2139">
        <f>IF(Q67&lt;=0,0,(Risk_Compensation!R74/Q67-Risk_Compensation!R$79/Q$72-0.5*CY$167*($CK67-CY$135/Q$72))*Q67)</f>
        <v>0</v>
      </c>
      <c r="BV67" s="2139">
        <f>IF(R67&lt;=0,0,(Risk_Compensation!S74/R67-Risk_Compensation!S$79/R$72-0.5*CZ$167*($CK67-CZ$135/R$72))*R67)</f>
        <v>0</v>
      </c>
      <c r="BW67" s="2139">
        <f>IF(S67&lt;=0,0,(Risk_Compensation!T74/S67-Risk_Compensation!T$79/S$72-0.5*DA$167*($CK67-DA$135/S$72))*S67)</f>
        <v>0</v>
      </c>
      <c r="BX67" s="2139">
        <f>IF(T67&lt;=0,0,(Risk_Compensation!U74/T67-Risk_Compensation!U$79/T$72-0.5*DB$167*($CK67-DB$135/T$72))*T67)</f>
        <v>0</v>
      </c>
      <c r="BY67" s="2139">
        <f>IF(U67&lt;=0,0,(Risk_Compensation!V74/U67-Risk_Compensation!V$79/U$72-0.5*DC$167*($CK67-DC$135/U$72))*U67)</f>
        <v>0</v>
      </c>
      <c r="BZ67" s="2139">
        <f>IF(V67&lt;=0,0,(Risk_Compensation!W74/V67-Risk_Compensation!W$79/V$72-0.5*DD$167*($CK67-DD$135/V$72))*V67)</f>
        <v>0</v>
      </c>
      <c r="CA67" s="2139">
        <f>IF(W67&lt;=0,0,(Risk_Compensation!X74/W67-Risk_Compensation!X$79/W$72-0.5*DE$167*($CK67-DE$135/W$72))*W67)</f>
        <v>0</v>
      </c>
      <c r="CB67" s="2139">
        <f>IF(X67&lt;=0,0,(Risk_Compensation!Y74/X67-Risk_Compensation!Y$79/X$72-0.5*DF$167*($CK67-DF$135/X$72))*X67)</f>
        <v>0</v>
      </c>
      <c r="CC67" s="2139">
        <f>IF(Y67&lt;=0,0,(Risk_Compensation!Z74/Y67-Risk_Compensation!Z$79/Y$72-0.5*DG$167*($CK67-DG$135/Y$72))*Y67)</f>
        <v>0</v>
      </c>
      <c r="CD67" s="2139">
        <f>IF(Z67&lt;=0,0,(Risk_Compensation!AA74/Z67-Risk_Compensation!AA$79/Z$72-0.5*DH$167*($CK67-DH$135/Z$72))*Z67)</f>
        <v>0</v>
      </c>
      <c r="CE67" s="2139">
        <f>IF(AA67&lt;=0,0,(Risk_Compensation!AB74/AA67-Risk_Compensation!AB$79/AA$72-0.5*DI$167*($CK67-DI$135/AA$72))*AA67)</f>
        <v>0</v>
      </c>
      <c r="CF67" s="2139">
        <f>IF(AB67&lt;=0,0,(Risk_Compensation!AC74/AB67-Risk_Compensation!AC$79/AB$72-0.5*DJ$167*($CK67-DJ$135/AB$72))*AB67)</f>
        <v>0</v>
      </c>
      <c r="CG67" s="2139">
        <f>IF(AC67&lt;=0,0,(Risk_Compensation!AD74/AC67-Risk_Compensation!AD$79/AC$72-0.5*DK$167*($CK67-DK$135/AC$72))*AC67)</f>
        <v>0</v>
      </c>
      <c r="CH67" s="2139">
        <f>IF(AD67&lt;=0,0,(Risk_Compensation!AE74/AD67-Risk_Compensation!AE$79/AD$72-0.5*DL$167*($CK67-DL$135/AD$72))*AD67)</f>
        <v>0</v>
      </c>
      <c r="CI67" s="2139">
        <f>IF(AE67&lt;=0,0,(Risk_Compensation!AF74/AE67-Risk_Compensation!AF$79/AE$72-0.5*DM$167*($CK67-DM$135/AE$72))*AE67)</f>
        <v>0</v>
      </c>
      <c r="CJ67" s="2140">
        <f>IF(AF67&lt;=0,0,(Risk_Compensation!AG74/AF67-Risk_Compensation!AG$79/AF$72-0.5*DN$167*($CK67-DN$135/AF$72))*AF67)</f>
        <v>0</v>
      </c>
      <c r="CK67" s="2166">
        <v>0</v>
      </c>
      <c r="CL67" s="644"/>
      <c r="CM67" s="1829">
        <v>57</v>
      </c>
      <c r="CN67" s="2149">
        <f t="shared" si="26"/>
        <v>0</v>
      </c>
      <c r="CO67" s="2150">
        <f t="shared" si="27"/>
        <v>0</v>
      </c>
      <c r="CP67" s="2150">
        <f t="shared" si="28"/>
        <v>0</v>
      </c>
      <c r="CQ67" s="2150">
        <f t="shared" si="29"/>
        <v>0</v>
      </c>
      <c r="CR67" s="2150">
        <f t="shared" si="30"/>
        <v>0</v>
      </c>
      <c r="CS67" s="2150">
        <f t="shared" si="31"/>
        <v>0</v>
      </c>
      <c r="CT67" s="2150">
        <f t="shared" si="32"/>
        <v>0</v>
      </c>
      <c r="CU67" s="2150">
        <f t="shared" si="33"/>
        <v>0</v>
      </c>
      <c r="CV67" s="2150">
        <f t="shared" si="34"/>
        <v>0</v>
      </c>
      <c r="CW67" s="2150">
        <f t="shared" si="35"/>
        <v>0</v>
      </c>
      <c r="CX67" s="2150">
        <f t="shared" si="36"/>
        <v>0</v>
      </c>
      <c r="CY67" s="2150">
        <f t="shared" si="37"/>
        <v>0</v>
      </c>
      <c r="CZ67" s="2150">
        <f t="shared" si="38"/>
        <v>0</v>
      </c>
      <c r="DA67" s="2150">
        <f t="shared" si="39"/>
        <v>0</v>
      </c>
      <c r="DB67" s="2150">
        <f t="shared" si="40"/>
        <v>0</v>
      </c>
      <c r="DC67" s="2150">
        <f t="shared" si="41"/>
        <v>0</v>
      </c>
      <c r="DD67" s="2150">
        <f t="shared" si="42"/>
        <v>0</v>
      </c>
      <c r="DE67" s="2150">
        <f t="shared" si="43"/>
        <v>0</v>
      </c>
      <c r="DF67" s="2150">
        <f t="shared" si="44"/>
        <v>0</v>
      </c>
      <c r="DG67" s="2150">
        <f t="shared" si="45"/>
        <v>0</v>
      </c>
      <c r="DH67" s="2150">
        <f t="shared" si="46"/>
        <v>0</v>
      </c>
      <c r="DI67" s="2150">
        <f t="shared" si="47"/>
        <v>0</v>
      </c>
      <c r="DJ67" s="2150">
        <f t="shared" si="48"/>
        <v>0</v>
      </c>
      <c r="DK67" s="2150">
        <f t="shared" si="49"/>
        <v>0</v>
      </c>
      <c r="DL67" s="2150">
        <f t="shared" si="50"/>
        <v>0</v>
      </c>
      <c r="DM67" s="2151">
        <f t="shared" si="51"/>
        <v>0</v>
      </c>
      <c r="DN67" s="644"/>
      <c r="DO67" s="1829">
        <v>57</v>
      </c>
      <c r="DP67" s="2211">
        <v>1558.85115431335</v>
      </c>
      <c r="DQ67" s="2212">
        <v>1064.7447837105401</v>
      </c>
      <c r="DR67" s="2212">
        <v>1555.6231245603799</v>
      </c>
      <c r="DS67" s="2212">
        <v>1659.0230317979699</v>
      </c>
      <c r="DT67" s="2212">
        <v>1672.00447853526</v>
      </c>
      <c r="DU67" s="2212">
        <v>1994.61014228361</v>
      </c>
      <c r="DV67" s="2212">
        <v>1788.3502812711999</v>
      </c>
      <c r="DW67" s="2212">
        <v>2465.93633292086</v>
      </c>
      <c r="DX67" s="2212">
        <v>1293.2507106258499</v>
      </c>
      <c r="DY67" s="2212">
        <v>1429.5732125393899</v>
      </c>
      <c r="DZ67" s="2212">
        <v>2362.1497048556098</v>
      </c>
      <c r="EA67" s="2212">
        <v>1521.0766673492501</v>
      </c>
      <c r="EB67" s="2212">
        <v>2138.1142799232498</v>
      </c>
      <c r="EC67" s="2212">
        <v>1396.6936073833499</v>
      </c>
      <c r="ED67" s="2212">
        <v>1349.35842594574</v>
      </c>
      <c r="EE67" s="2212">
        <v>1410.0940300578</v>
      </c>
      <c r="EF67" s="2212">
        <v>1377.1034246572101</v>
      </c>
      <c r="EG67" s="2212">
        <v>1588.8786910884</v>
      </c>
      <c r="EH67" s="2212">
        <v>1425.4389726694001</v>
      </c>
      <c r="EI67" s="2212">
        <v>1453.90153179861</v>
      </c>
      <c r="EJ67" s="2212">
        <v>2112.9256802464201</v>
      </c>
      <c r="EK67" s="2212">
        <v>1332.66094138987</v>
      </c>
      <c r="EL67" s="2212">
        <v>2327.8249113256302</v>
      </c>
      <c r="EM67" s="2212">
        <v>1875.4584326562201</v>
      </c>
      <c r="EN67" s="2212">
        <v>1329.51543322717</v>
      </c>
      <c r="EO67" s="2213">
        <v>1679.7079581673499</v>
      </c>
      <c r="ER67" s="1829">
        <v>57</v>
      </c>
      <c r="ES67" s="1830">
        <v>1.12913825505608</v>
      </c>
      <c r="ET67" s="644"/>
      <c r="EU67" s="2156">
        <v>57</v>
      </c>
      <c r="EV67" s="2090" t="s">
        <v>162</v>
      </c>
      <c r="EW67" s="2090" t="s">
        <v>1917</v>
      </c>
      <c r="EX67" s="2090" t="str">
        <f>Translation!B$579</f>
        <v>Ja</v>
      </c>
    </row>
    <row r="68" spans="2:154" ht="12.75" x14ac:dyDescent="0.2">
      <c r="B68" s="2090">
        <v>58</v>
      </c>
      <c r="C68" s="2090" t="s">
        <v>162</v>
      </c>
      <c r="D68" s="2090" t="s">
        <v>1917</v>
      </c>
      <c r="E68" s="2090" t="str">
        <f>Translation!B$580</f>
        <v>Nein</v>
      </c>
      <c r="F68" s="1622">
        <v>58</v>
      </c>
      <c r="G68" s="2211">
        <v>3979.1525000000001</v>
      </c>
      <c r="H68" s="2212">
        <v>115.03416666666701</v>
      </c>
      <c r="I68" s="2212">
        <v>352.11416666666702</v>
      </c>
      <c r="J68" s="2212">
        <v>8166.7366666666703</v>
      </c>
      <c r="K68" s="2212">
        <v>2423.3225000000002</v>
      </c>
      <c r="L68" s="2212">
        <v>1579.8575000000001</v>
      </c>
      <c r="M68" s="2212">
        <v>1644.41916666667</v>
      </c>
      <c r="N68" s="2212">
        <v>3124.8441666666699</v>
      </c>
      <c r="O68" s="2212">
        <v>275.72416666666697</v>
      </c>
      <c r="P68" s="2212">
        <v>1492.47416666667</v>
      </c>
      <c r="Q68" s="2212">
        <v>565.86</v>
      </c>
      <c r="R68" s="2212">
        <v>2798.8216666666699</v>
      </c>
      <c r="S68" s="2212">
        <v>1363.6041666666699</v>
      </c>
      <c r="T68" s="2212">
        <v>295.23250000000002</v>
      </c>
      <c r="U68" s="2212">
        <v>217.738333333333</v>
      </c>
      <c r="V68" s="2212">
        <v>3179.4216666666698</v>
      </c>
      <c r="W68" s="2212">
        <v>642.08333333333303</v>
      </c>
      <c r="X68" s="2212">
        <v>1916.6458333333301</v>
      </c>
      <c r="Y68" s="2212">
        <v>961.63333333333298</v>
      </c>
      <c r="Z68" s="2212">
        <v>1662.3675000000001</v>
      </c>
      <c r="AA68" s="2212">
        <v>3103.3483333333302</v>
      </c>
      <c r="AB68" s="2212">
        <v>247.05250000000001</v>
      </c>
      <c r="AC68" s="2212">
        <v>4997.2066666666697</v>
      </c>
      <c r="AD68" s="2212">
        <v>2261.4908333333301</v>
      </c>
      <c r="AE68" s="2212">
        <v>783.84916666666697</v>
      </c>
      <c r="AF68" s="2213">
        <v>9969.73</v>
      </c>
      <c r="AH68" s="1829">
        <v>58</v>
      </c>
      <c r="AI68" s="2124">
        <f>Risk_Compensation!H75*(Risk_Compensation!AK75+CO$144)*12/1000000</f>
        <v>0</v>
      </c>
      <c r="AJ68" s="2121">
        <f>Risk_Compensation!I75*(Risk_Compensation!AL75+CP$144)*12/1000000</f>
        <v>0</v>
      </c>
      <c r="AK68" s="2121">
        <f>Risk_Compensation!J75*(Risk_Compensation!AM75+CQ$144)*12/1000000</f>
        <v>0</v>
      </c>
      <c r="AL68" s="2121">
        <f>Risk_Compensation!K75*(Risk_Compensation!AN75+CR$144)*12/1000000</f>
        <v>0</v>
      </c>
      <c r="AM68" s="2121">
        <f>Risk_Compensation!L75*(Risk_Compensation!AO75+CS$144)*12/1000000</f>
        <v>0</v>
      </c>
      <c r="AN68" s="2121">
        <f>Risk_Compensation!M75*(Risk_Compensation!AP75+CT$144)*12/1000000</f>
        <v>0</v>
      </c>
      <c r="AO68" s="2121">
        <f>Risk_Compensation!N75*(Risk_Compensation!AQ75+CU$144)*12/1000000</f>
        <v>0</v>
      </c>
      <c r="AP68" s="2121">
        <f>Risk_Compensation!O75*(Risk_Compensation!AR75+CV$144)*12/1000000</f>
        <v>0</v>
      </c>
      <c r="AQ68" s="2121">
        <f>Risk_Compensation!P75*(Risk_Compensation!AS75+CW$144)*12/1000000</f>
        <v>0</v>
      </c>
      <c r="AR68" s="2121">
        <f>Risk_Compensation!Q75*(Risk_Compensation!AT75+CX$144)*12/1000000</f>
        <v>0</v>
      </c>
      <c r="AS68" s="2121">
        <f>Risk_Compensation!R75*(Risk_Compensation!AU75+CY$144)*12/1000000</f>
        <v>0</v>
      </c>
      <c r="AT68" s="2121">
        <f>Risk_Compensation!S75*(Risk_Compensation!AV75+CZ$144)*12/1000000</f>
        <v>0</v>
      </c>
      <c r="AU68" s="2121">
        <f>Risk_Compensation!T75*(Risk_Compensation!AW75+DA$144)*12/1000000</f>
        <v>0</v>
      </c>
      <c r="AV68" s="2121">
        <f>Risk_Compensation!U75*(Risk_Compensation!AX75+DB$144)*12/1000000</f>
        <v>0</v>
      </c>
      <c r="AW68" s="2121">
        <f>Risk_Compensation!V75*(Risk_Compensation!AY75+DC$144)*12/1000000</f>
        <v>0</v>
      </c>
      <c r="AX68" s="2121">
        <f>Risk_Compensation!W75*(Risk_Compensation!AZ75+DD$144)*12/1000000</f>
        <v>0</v>
      </c>
      <c r="AY68" s="2121">
        <f>Risk_Compensation!X75*(Risk_Compensation!BA75+DE$144)*12/1000000</f>
        <v>0</v>
      </c>
      <c r="AZ68" s="2121">
        <f>Risk_Compensation!Y75*(Risk_Compensation!BB75+DF$144)*12/1000000</f>
        <v>0</v>
      </c>
      <c r="BA68" s="2121">
        <f>Risk_Compensation!Z75*(Risk_Compensation!BC75+DG$144)*12/1000000</f>
        <v>0</v>
      </c>
      <c r="BB68" s="2121">
        <f>Risk_Compensation!AA75*(Risk_Compensation!BD75+DH$144)*12/1000000</f>
        <v>0</v>
      </c>
      <c r="BC68" s="2121">
        <f>Risk_Compensation!AB75*(Risk_Compensation!BE75+DI$144)*12/1000000</f>
        <v>0</v>
      </c>
      <c r="BD68" s="2121">
        <f>Risk_Compensation!AC75*(Risk_Compensation!BF75+DJ$144)*12/1000000</f>
        <v>0</v>
      </c>
      <c r="BE68" s="2121">
        <f>Risk_Compensation!AD75*(Risk_Compensation!BG75+DK$144)*12/1000000</f>
        <v>0</v>
      </c>
      <c r="BF68" s="2121">
        <f>Risk_Compensation!AE75*(Risk_Compensation!BH75+DL$144)*12/1000000</f>
        <v>0</v>
      </c>
      <c r="BG68" s="2121">
        <f>Risk_Compensation!AF75*(Risk_Compensation!BI75+DM$144)*12/1000000</f>
        <v>0</v>
      </c>
      <c r="BH68" s="2125">
        <f>Risk_Compensation!AG75*(Risk_Compensation!BJ75+DN$144)*12/1000000</f>
        <v>0</v>
      </c>
      <c r="BI68" s="644"/>
      <c r="BJ68" s="1829">
        <v>58</v>
      </c>
      <c r="BK68" s="2138">
        <f>IF(G68&lt;=0,0,(Risk_Compensation!H75/G68-Risk_Compensation!H$79/G$72-0.5*CO$167*($CK68-CO$135/G$72))*G68)</f>
        <v>0</v>
      </c>
      <c r="BL68" s="2139">
        <f>IF(H68&lt;=0,0,(Risk_Compensation!I75/H68-Risk_Compensation!I$79/H$72-0.5*CP$167*($CK68-CP$135/H$72))*H68)</f>
        <v>0</v>
      </c>
      <c r="BM68" s="2139">
        <f>IF(I68&lt;=0,0,(Risk_Compensation!J75/I68-Risk_Compensation!J$79/I$72-0.5*CQ$167*($CK68-CQ$135/I$72))*I68)</f>
        <v>0</v>
      </c>
      <c r="BN68" s="2139">
        <f>IF(J68&lt;=0,0,(Risk_Compensation!K75/J68-Risk_Compensation!K$79/J$72-0.5*CR$167*($CK68-CR$135/J$72))*J68)</f>
        <v>0</v>
      </c>
      <c r="BO68" s="2139">
        <f>IF(K68&lt;=0,0,(Risk_Compensation!L75/K68-Risk_Compensation!L$79/K$72-0.5*CS$167*($CK68-CS$135/K$72))*K68)</f>
        <v>0</v>
      </c>
      <c r="BP68" s="2139">
        <f>IF(L68&lt;=0,0,(Risk_Compensation!M75/L68-Risk_Compensation!M$79/L$72-0.5*CT$167*($CK68-CT$135/L$72))*L68)</f>
        <v>0</v>
      </c>
      <c r="BQ68" s="2139">
        <f>IF(M68&lt;=0,0,(Risk_Compensation!N75/M68-Risk_Compensation!N$79/M$72-0.5*CU$167*($CK68-CU$135/M$72))*M68)</f>
        <v>0</v>
      </c>
      <c r="BR68" s="2139">
        <f>IF(N68&lt;=0,0,(Risk_Compensation!O75/N68-Risk_Compensation!O$79/N$72-0.5*CV$167*($CK68-CV$135/N$72))*N68)</f>
        <v>0</v>
      </c>
      <c r="BS68" s="2139">
        <f>IF(O68&lt;=0,0,(Risk_Compensation!P75/O68-Risk_Compensation!P$79/O$72-0.5*CW$167*($CK68-CW$135/O$72))*O68)</f>
        <v>0</v>
      </c>
      <c r="BT68" s="2139">
        <f>IF(P68&lt;=0,0,(Risk_Compensation!Q75/P68-Risk_Compensation!Q$79/P$72-0.5*CX$167*($CK68-CX$135/P$72))*P68)</f>
        <v>0</v>
      </c>
      <c r="BU68" s="2139">
        <f>IF(Q68&lt;=0,0,(Risk_Compensation!R75/Q68-Risk_Compensation!R$79/Q$72-0.5*CY$167*($CK68-CY$135/Q$72))*Q68)</f>
        <v>0</v>
      </c>
      <c r="BV68" s="2139">
        <f>IF(R68&lt;=0,0,(Risk_Compensation!S75/R68-Risk_Compensation!S$79/R$72-0.5*CZ$167*($CK68-CZ$135/R$72))*R68)</f>
        <v>0</v>
      </c>
      <c r="BW68" s="2139">
        <f>IF(S68&lt;=0,0,(Risk_Compensation!T75/S68-Risk_Compensation!T$79/S$72-0.5*DA$167*($CK68-DA$135/S$72))*S68)</f>
        <v>0</v>
      </c>
      <c r="BX68" s="2139">
        <f>IF(T68&lt;=0,0,(Risk_Compensation!U75/T68-Risk_Compensation!U$79/T$72-0.5*DB$167*($CK68-DB$135/T$72))*T68)</f>
        <v>0</v>
      </c>
      <c r="BY68" s="2139">
        <f>IF(U68&lt;=0,0,(Risk_Compensation!V75/U68-Risk_Compensation!V$79/U$72-0.5*DC$167*($CK68-DC$135/U$72))*U68)</f>
        <v>0</v>
      </c>
      <c r="BZ68" s="2139">
        <f>IF(V68&lt;=0,0,(Risk_Compensation!W75/V68-Risk_Compensation!W$79/V$72-0.5*DD$167*($CK68-DD$135/V$72))*V68)</f>
        <v>0</v>
      </c>
      <c r="CA68" s="2139">
        <f>IF(W68&lt;=0,0,(Risk_Compensation!X75/W68-Risk_Compensation!X$79/W$72-0.5*DE$167*($CK68-DE$135/W$72))*W68)</f>
        <v>0</v>
      </c>
      <c r="CB68" s="2139">
        <f>IF(X68&lt;=0,0,(Risk_Compensation!Y75/X68-Risk_Compensation!Y$79/X$72-0.5*DF$167*($CK68-DF$135/X$72))*X68)</f>
        <v>0</v>
      </c>
      <c r="CC68" s="2139">
        <f>IF(Y68&lt;=0,0,(Risk_Compensation!Z75/Y68-Risk_Compensation!Z$79/Y$72-0.5*DG$167*($CK68-DG$135/Y$72))*Y68)</f>
        <v>0</v>
      </c>
      <c r="CD68" s="2139">
        <f>IF(Z68&lt;=0,0,(Risk_Compensation!AA75/Z68-Risk_Compensation!AA$79/Z$72-0.5*DH$167*($CK68-DH$135/Z$72))*Z68)</f>
        <v>0</v>
      </c>
      <c r="CE68" s="2139">
        <f>IF(AA68&lt;=0,0,(Risk_Compensation!AB75/AA68-Risk_Compensation!AB$79/AA$72-0.5*DI$167*($CK68-DI$135/AA$72))*AA68)</f>
        <v>0</v>
      </c>
      <c r="CF68" s="2139">
        <f>IF(AB68&lt;=0,0,(Risk_Compensation!AC75/AB68-Risk_Compensation!AC$79/AB$72-0.5*DJ$167*($CK68-DJ$135/AB$72))*AB68)</f>
        <v>0</v>
      </c>
      <c r="CG68" s="2139">
        <f>IF(AC68&lt;=0,0,(Risk_Compensation!AD75/AC68-Risk_Compensation!AD$79/AC$72-0.5*DK$167*($CK68-DK$135/AC$72))*AC68)</f>
        <v>0</v>
      </c>
      <c r="CH68" s="2139">
        <f>IF(AD68&lt;=0,0,(Risk_Compensation!AE75/AD68-Risk_Compensation!AE$79/AD$72-0.5*DL$167*($CK68-DL$135/AD$72))*AD68)</f>
        <v>0</v>
      </c>
      <c r="CI68" s="2139">
        <f>IF(AE68&lt;=0,0,(Risk_Compensation!AF75/AE68-Risk_Compensation!AF$79/AE$72-0.5*DM$167*($CK68-DM$135/AE$72))*AE68)</f>
        <v>0</v>
      </c>
      <c r="CJ68" s="2140">
        <f>IF(AF68&lt;=0,0,(Risk_Compensation!AG75/AF68-Risk_Compensation!AG$79/AF$72-0.5*DN$167*($CK68-DN$135/AF$72))*AF68)</f>
        <v>0</v>
      </c>
      <c r="CK68" s="2166">
        <v>0</v>
      </c>
      <c r="CL68" s="644"/>
      <c r="CM68" s="1829">
        <v>58</v>
      </c>
      <c r="CN68" s="2149">
        <f t="shared" si="26"/>
        <v>0</v>
      </c>
      <c r="CO68" s="2150">
        <f t="shared" si="27"/>
        <v>0</v>
      </c>
      <c r="CP68" s="2150">
        <f t="shared" si="28"/>
        <v>0</v>
      </c>
      <c r="CQ68" s="2150">
        <f t="shared" si="29"/>
        <v>0</v>
      </c>
      <c r="CR68" s="2150">
        <f t="shared" si="30"/>
        <v>0</v>
      </c>
      <c r="CS68" s="2150">
        <f t="shared" si="31"/>
        <v>0</v>
      </c>
      <c r="CT68" s="2150">
        <f t="shared" si="32"/>
        <v>0</v>
      </c>
      <c r="CU68" s="2150">
        <f t="shared" si="33"/>
        <v>0</v>
      </c>
      <c r="CV68" s="2150">
        <f t="shared" si="34"/>
        <v>0</v>
      </c>
      <c r="CW68" s="2150">
        <f t="shared" si="35"/>
        <v>0</v>
      </c>
      <c r="CX68" s="2150">
        <f t="shared" si="36"/>
        <v>0</v>
      </c>
      <c r="CY68" s="2150">
        <f t="shared" si="37"/>
        <v>0</v>
      </c>
      <c r="CZ68" s="2150">
        <f t="shared" si="38"/>
        <v>0</v>
      </c>
      <c r="DA68" s="2150">
        <f t="shared" si="39"/>
        <v>0</v>
      </c>
      <c r="DB68" s="2150">
        <f t="shared" si="40"/>
        <v>0</v>
      </c>
      <c r="DC68" s="2150">
        <f t="shared" si="41"/>
        <v>0</v>
      </c>
      <c r="DD68" s="2150">
        <f t="shared" si="42"/>
        <v>0</v>
      </c>
      <c r="DE68" s="2150">
        <f t="shared" si="43"/>
        <v>0</v>
      </c>
      <c r="DF68" s="2150">
        <f t="shared" si="44"/>
        <v>0</v>
      </c>
      <c r="DG68" s="2150">
        <f t="shared" si="45"/>
        <v>0</v>
      </c>
      <c r="DH68" s="2150">
        <f t="shared" si="46"/>
        <v>0</v>
      </c>
      <c r="DI68" s="2150">
        <f t="shared" si="47"/>
        <v>0</v>
      </c>
      <c r="DJ68" s="2150">
        <f t="shared" si="48"/>
        <v>0</v>
      </c>
      <c r="DK68" s="2150">
        <f t="shared" si="49"/>
        <v>0</v>
      </c>
      <c r="DL68" s="2150">
        <f t="shared" si="50"/>
        <v>0</v>
      </c>
      <c r="DM68" s="2151">
        <f t="shared" si="51"/>
        <v>0</v>
      </c>
      <c r="DN68" s="644"/>
      <c r="DO68" s="1829">
        <v>58</v>
      </c>
      <c r="DP68" s="2211">
        <v>613.53884975589904</v>
      </c>
      <c r="DQ68" s="2212">
        <v>442.036812581052</v>
      </c>
      <c r="DR68" s="2212">
        <v>534.13105335934404</v>
      </c>
      <c r="DS68" s="2212">
        <v>627.71200770944904</v>
      </c>
      <c r="DT68" s="2212">
        <v>681.48882407694396</v>
      </c>
      <c r="DU68" s="2212">
        <v>835.25746311106502</v>
      </c>
      <c r="DV68" s="2212">
        <v>650.44430975441605</v>
      </c>
      <c r="DW68" s="2212">
        <v>900.42494599094096</v>
      </c>
      <c r="DX68" s="2212">
        <v>504.485452245972</v>
      </c>
      <c r="DY68" s="2212">
        <v>482.33431869415</v>
      </c>
      <c r="DZ68" s="2212">
        <v>764.39479483463106</v>
      </c>
      <c r="EA68" s="2212">
        <v>532.45975110659697</v>
      </c>
      <c r="EB68" s="2212">
        <v>723.72602605338602</v>
      </c>
      <c r="EC68" s="2212">
        <v>499.41411031917198</v>
      </c>
      <c r="ED68" s="2212">
        <v>611.87263820307601</v>
      </c>
      <c r="EE68" s="2212">
        <v>512.49856966593302</v>
      </c>
      <c r="EF68" s="2212">
        <v>623.09456218439095</v>
      </c>
      <c r="EG68" s="2212">
        <v>602.34911510811605</v>
      </c>
      <c r="EH68" s="2212">
        <v>552.12742256147806</v>
      </c>
      <c r="EI68" s="2212">
        <v>597.86434564756098</v>
      </c>
      <c r="EJ68" s="2212">
        <v>764.11689452397002</v>
      </c>
      <c r="EK68" s="2212">
        <v>362.91628341209599</v>
      </c>
      <c r="EL68" s="2212">
        <v>835.80295630467799</v>
      </c>
      <c r="EM68" s="2212">
        <v>626.53735302071198</v>
      </c>
      <c r="EN68" s="2212">
        <v>543.01840077513805</v>
      </c>
      <c r="EO68" s="2213">
        <v>664.81084698089603</v>
      </c>
      <c r="ER68" s="1829">
        <v>58</v>
      </c>
      <c r="ES68" s="1830">
        <v>1.49431200712335</v>
      </c>
      <c r="ET68" s="644"/>
      <c r="EU68" s="2156">
        <v>58</v>
      </c>
      <c r="EV68" s="2090" t="s">
        <v>162</v>
      </c>
      <c r="EW68" s="2090" t="s">
        <v>1917</v>
      </c>
      <c r="EX68" s="2090" t="str">
        <f>Translation!B$580</f>
        <v>Nein</v>
      </c>
    </row>
    <row r="69" spans="2:154" ht="12.75" x14ac:dyDescent="0.2">
      <c r="B69" s="2090">
        <v>59</v>
      </c>
      <c r="C69" s="2090" t="s">
        <v>162</v>
      </c>
      <c r="D69" s="1437" t="s">
        <v>1918</v>
      </c>
      <c r="E69" s="2090" t="str">
        <f>Translation!B$579</f>
        <v>Ja</v>
      </c>
      <c r="F69" s="1622">
        <v>59</v>
      </c>
      <c r="G69" s="2211">
        <v>1799.63333333333</v>
      </c>
      <c r="H69" s="2212">
        <v>41.734166666666702</v>
      </c>
      <c r="I69" s="2212">
        <v>214.381666666667</v>
      </c>
      <c r="J69" s="2212">
        <v>3781.7874999999999</v>
      </c>
      <c r="K69" s="2212">
        <v>1137.4024999999999</v>
      </c>
      <c r="L69" s="2212">
        <v>1042.7075</v>
      </c>
      <c r="M69" s="2212">
        <v>770.89583333333303</v>
      </c>
      <c r="N69" s="2212">
        <v>1686.7091666666699</v>
      </c>
      <c r="O69" s="2212">
        <v>170.565</v>
      </c>
      <c r="P69" s="2212">
        <v>702.74749999999995</v>
      </c>
      <c r="Q69" s="2212">
        <v>324.80500000000001</v>
      </c>
      <c r="R69" s="2212">
        <v>1287.2674999999999</v>
      </c>
      <c r="S69" s="2212">
        <v>749.88333333333298</v>
      </c>
      <c r="T69" s="2212">
        <v>115.08499999999999</v>
      </c>
      <c r="U69" s="2212">
        <v>123.46250000000001</v>
      </c>
      <c r="V69" s="2212">
        <v>1571.17583333333</v>
      </c>
      <c r="W69" s="2212">
        <v>337.97666666666697</v>
      </c>
      <c r="X69" s="2212">
        <v>908.37583333333305</v>
      </c>
      <c r="Y69" s="2212">
        <v>429.74666666666701</v>
      </c>
      <c r="Z69" s="2212">
        <v>795.91833333333398</v>
      </c>
      <c r="AA69" s="2212">
        <v>1750.6783333333301</v>
      </c>
      <c r="AB69" s="2212">
        <v>130.338333333333</v>
      </c>
      <c r="AC69" s="2212">
        <v>2617.3150000000001</v>
      </c>
      <c r="AD69" s="2212">
        <v>1033.0008333333301</v>
      </c>
      <c r="AE69" s="2212">
        <v>336.30250000000001</v>
      </c>
      <c r="AF69" s="2213">
        <v>4384.8508333333302</v>
      </c>
      <c r="AH69" s="1829">
        <v>59</v>
      </c>
      <c r="AI69" s="2124">
        <f>Risk_Compensation!H76*(Risk_Compensation!AK76+CO$144)*12/1000000</f>
        <v>0</v>
      </c>
      <c r="AJ69" s="2121">
        <f>Risk_Compensation!I76*(Risk_Compensation!AL76+CP$144)*12/1000000</f>
        <v>0</v>
      </c>
      <c r="AK69" s="2121">
        <f>Risk_Compensation!J76*(Risk_Compensation!AM76+CQ$144)*12/1000000</f>
        <v>0</v>
      </c>
      <c r="AL69" s="2121">
        <f>Risk_Compensation!K76*(Risk_Compensation!AN76+CR$144)*12/1000000</f>
        <v>0</v>
      </c>
      <c r="AM69" s="2121">
        <f>Risk_Compensation!L76*(Risk_Compensation!AO76+CS$144)*12/1000000</f>
        <v>0</v>
      </c>
      <c r="AN69" s="2121">
        <f>Risk_Compensation!M76*(Risk_Compensation!AP76+CT$144)*12/1000000</f>
        <v>0</v>
      </c>
      <c r="AO69" s="2121">
        <f>Risk_Compensation!N76*(Risk_Compensation!AQ76+CU$144)*12/1000000</f>
        <v>0</v>
      </c>
      <c r="AP69" s="2121">
        <f>Risk_Compensation!O76*(Risk_Compensation!AR76+CV$144)*12/1000000</f>
        <v>0</v>
      </c>
      <c r="AQ69" s="2121">
        <f>Risk_Compensation!P76*(Risk_Compensation!AS76+CW$144)*12/1000000</f>
        <v>0</v>
      </c>
      <c r="AR69" s="2121">
        <f>Risk_Compensation!Q76*(Risk_Compensation!AT76+CX$144)*12/1000000</f>
        <v>0</v>
      </c>
      <c r="AS69" s="2121">
        <f>Risk_Compensation!R76*(Risk_Compensation!AU76+CY$144)*12/1000000</f>
        <v>0</v>
      </c>
      <c r="AT69" s="2121">
        <f>Risk_Compensation!S76*(Risk_Compensation!AV76+CZ$144)*12/1000000</f>
        <v>0</v>
      </c>
      <c r="AU69" s="2121">
        <f>Risk_Compensation!T76*(Risk_Compensation!AW76+DA$144)*12/1000000</f>
        <v>0</v>
      </c>
      <c r="AV69" s="2121">
        <f>Risk_Compensation!U76*(Risk_Compensation!AX76+DB$144)*12/1000000</f>
        <v>0</v>
      </c>
      <c r="AW69" s="2121">
        <f>Risk_Compensation!V76*(Risk_Compensation!AY76+DC$144)*12/1000000</f>
        <v>0</v>
      </c>
      <c r="AX69" s="2121">
        <f>Risk_Compensation!W76*(Risk_Compensation!AZ76+DD$144)*12/1000000</f>
        <v>0</v>
      </c>
      <c r="AY69" s="2121">
        <f>Risk_Compensation!X76*(Risk_Compensation!BA76+DE$144)*12/1000000</f>
        <v>0</v>
      </c>
      <c r="AZ69" s="2121">
        <f>Risk_Compensation!Y76*(Risk_Compensation!BB76+DF$144)*12/1000000</f>
        <v>0</v>
      </c>
      <c r="BA69" s="2121">
        <f>Risk_Compensation!Z76*(Risk_Compensation!BC76+DG$144)*12/1000000</f>
        <v>0</v>
      </c>
      <c r="BB69" s="2121">
        <f>Risk_Compensation!AA76*(Risk_Compensation!BD76+DH$144)*12/1000000</f>
        <v>0</v>
      </c>
      <c r="BC69" s="2121">
        <f>Risk_Compensation!AB76*(Risk_Compensation!BE76+DI$144)*12/1000000</f>
        <v>0</v>
      </c>
      <c r="BD69" s="2121">
        <f>Risk_Compensation!AC76*(Risk_Compensation!BF76+DJ$144)*12/1000000</f>
        <v>0</v>
      </c>
      <c r="BE69" s="2121">
        <f>Risk_Compensation!AD76*(Risk_Compensation!BG76+DK$144)*12/1000000</f>
        <v>0</v>
      </c>
      <c r="BF69" s="2121">
        <f>Risk_Compensation!AE76*(Risk_Compensation!BH76+DL$144)*12/1000000</f>
        <v>0</v>
      </c>
      <c r="BG69" s="2121">
        <f>Risk_Compensation!AF76*(Risk_Compensation!BI76+DM$144)*12/1000000</f>
        <v>0</v>
      </c>
      <c r="BH69" s="2125">
        <f>Risk_Compensation!AG76*(Risk_Compensation!BJ76+DN$144)*12/1000000</f>
        <v>0</v>
      </c>
      <c r="BI69" s="644"/>
      <c r="BJ69" s="1829">
        <v>59</v>
      </c>
      <c r="BK69" s="2138">
        <f>IF(G69&lt;=0,0,(Risk_Compensation!H76/G69-Risk_Compensation!H$79/G$72-0.5*CO$167*($CK69-CO$135/G$72))*G69)</f>
        <v>0</v>
      </c>
      <c r="BL69" s="2139">
        <f>IF(H69&lt;=0,0,(Risk_Compensation!I76/H69-Risk_Compensation!I$79/H$72-0.5*CP$167*($CK69-CP$135/H$72))*H69)</f>
        <v>0</v>
      </c>
      <c r="BM69" s="2139">
        <f>IF(I69&lt;=0,0,(Risk_Compensation!J76/I69-Risk_Compensation!J$79/I$72-0.5*CQ$167*($CK69-CQ$135/I$72))*I69)</f>
        <v>0</v>
      </c>
      <c r="BN69" s="2139">
        <f>IF(J69&lt;=0,0,(Risk_Compensation!K76/J69-Risk_Compensation!K$79/J$72-0.5*CR$167*($CK69-CR$135/J$72))*J69)</f>
        <v>0</v>
      </c>
      <c r="BO69" s="2139">
        <f>IF(K69&lt;=0,0,(Risk_Compensation!L76/K69-Risk_Compensation!L$79/K$72-0.5*CS$167*($CK69-CS$135/K$72))*K69)</f>
        <v>0</v>
      </c>
      <c r="BP69" s="2139">
        <f>IF(L69&lt;=0,0,(Risk_Compensation!M76/L69-Risk_Compensation!M$79/L$72-0.5*CT$167*($CK69-CT$135/L$72))*L69)</f>
        <v>0</v>
      </c>
      <c r="BQ69" s="2139">
        <f>IF(M69&lt;=0,0,(Risk_Compensation!N76/M69-Risk_Compensation!N$79/M$72-0.5*CU$167*($CK69-CU$135/M$72))*M69)</f>
        <v>0</v>
      </c>
      <c r="BR69" s="2139">
        <f>IF(N69&lt;=0,0,(Risk_Compensation!O76/N69-Risk_Compensation!O$79/N$72-0.5*CV$167*($CK69-CV$135/N$72))*N69)</f>
        <v>0</v>
      </c>
      <c r="BS69" s="2139">
        <f>IF(O69&lt;=0,0,(Risk_Compensation!P76/O69-Risk_Compensation!P$79/O$72-0.5*CW$167*($CK69-CW$135/O$72))*O69)</f>
        <v>0</v>
      </c>
      <c r="BT69" s="2139">
        <f>IF(P69&lt;=0,0,(Risk_Compensation!Q76/P69-Risk_Compensation!Q$79/P$72-0.5*CX$167*($CK69-CX$135/P$72))*P69)</f>
        <v>0</v>
      </c>
      <c r="BU69" s="2139">
        <f>IF(Q69&lt;=0,0,(Risk_Compensation!R76/Q69-Risk_Compensation!R$79/Q$72-0.5*CY$167*($CK69-CY$135/Q$72))*Q69)</f>
        <v>0</v>
      </c>
      <c r="BV69" s="2139">
        <f>IF(R69&lt;=0,0,(Risk_Compensation!S76/R69-Risk_Compensation!S$79/R$72-0.5*CZ$167*($CK69-CZ$135/R$72))*R69)</f>
        <v>0</v>
      </c>
      <c r="BW69" s="2139">
        <f>IF(S69&lt;=0,0,(Risk_Compensation!T76/S69-Risk_Compensation!T$79/S$72-0.5*DA$167*($CK69-DA$135/S$72))*S69)</f>
        <v>0</v>
      </c>
      <c r="BX69" s="2139">
        <f>IF(T69&lt;=0,0,(Risk_Compensation!U76/T69-Risk_Compensation!U$79/T$72-0.5*DB$167*($CK69-DB$135/T$72))*T69)</f>
        <v>0</v>
      </c>
      <c r="BY69" s="2139">
        <f>IF(U69&lt;=0,0,(Risk_Compensation!V76/U69-Risk_Compensation!V$79/U$72-0.5*DC$167*($CK69-DC$135/U$72))*U69)</f>
        <v>0</v>
      </c>
      <c r="BZ69" s="2139">
        <f>IF(V69&lt;=0,0,(Risk_Compensation!W76/V69-Risk_Compensation!W$79/V$72-0.5*DD$167*($CK69-DD$135/V$72))*V69)</f>
        <v>0</v>
      </c>
      <c r="CA69" s="2139">
        <f>IF(W69&lt;=0,0,(Risk_Compensation!X76/W69-Risk_Compensation!X$79/W$72-0.5*DE$167*($CK69-DE$135/W$72))*W69)</f>
        <v>0</v>
      </c>
      <c r="CB69" s="2139">
        <f>IF(X69&lt;=0,0,(Risk_Compensation!Y76/X69-Risk_Compensation!Y$79/X$72-0.5*DF$167*($CK69-DF$135/X$72))*X69)</f>
        <v>0</v>
      </c>
      <c r="CC69" s="2139">
        <f>IF(Y69&lt;=0,0,(Risk_Compensation!Z76/Y69-Risk_Compensation!Z$79/Y$72-0.5*DG$167*($CK69-DG$135/Y$72))*Y69)</f>
        <v>0</v>
      </c>
      <c r="CD69" s="2139">
        <f>IF(Z69&lt;=0,0,(Risk_Compensation!AA76/Z69-Risk_Compensation!AA$79/Z$72-0.5*DH$167*($CK69-DH$135/Z$72))*Z69)</f>
        <v>0</v>
      </c>
      <c r="CE69" s="2139">
        <f>IF(AA69&lt;=0,0,(Risk_Compensation!AB76/AA69-Risk_Compensation!AB$79/AA$72-0.5*DI$167*($CK69-DI$135/AA$72))*AA69)</f>
        <v>0</v>
      </c>
      <c r="CF69" s="2139">
        <f>IF(AB69&lt;=0,0,(Risk_Compensation!AC76/AB69-Risk_Compensation!AC$79/AB$72-0.5*DJ$167*($CK69-DJ$135/AB$72))*AB69)</f>
        <v>0</v>
      </c>
      <c r="CG69" s="2139">
        <f>IF(AC69&lt;=0,0,(Risk_Compensation!AD76/AC69-Risk_Compensation!AD$79/AC$72-0.5*DK$167*($CK69-DK$135/AC$72))*AC69)</f>
        <v>0</v>
      </c>
      <c r="CH69" s="2139">
        <f>IF(AD69&lt;=0,0,(Risk_Compensation!AE76/AD69-Risk_Compensation!AE$79/AD$72-0.5*DL$167*($CK69-DL$135/AD$72))*AD69)</f>
        <v>0</v>
      </c>
      <c r="CI69" s="2139">
        <f>IF(AE69&lt;=0,0,(Risk_Compensation!AF76/AE69-Risk_Compensation!AF$79/AE$72-0.5*DM$167*($CK69-DM$135/AE$72))*AE69)</f>
        <v>0</v>
      </c>
      <c r="CJ69" s="2140">
        <f>IF(AF69&lt;=0,0,(Risk_Compensation!AG76/AF69-Risk_Compensation!AG$79/AF$72-0.5*DN$167*($CK69-DN$135/AF$72))*AF69)</f>
        <v>0</v>
      </c>
      <c r="CK69" s="2166">
        <v>0</v>
      </c>
      <c r="CL69" s="644"/>
      <c r="CM69" s="1829">
        <v>59</v>
      </c>
      <c r="CN69" s="2149">
        <f t="shared" si="26"/>
        <v>0</v>
      </c>
      <c r="CO69" s="2150">
        <f t="shared" si="27"/>
        <v>0</v>
      </c>
      <c r="CP69" s="2150">
        <f t="shared" si="28"/>
        <v>0</v>
      </c>
      <c r="CQ69" s="2150">
        <f t="shared" si="29"/>
        <v>0</v>
      </c>
      <c r="CR69" s="2150">
        <f t="shared" si="30"/>
        <v>0</v>
      </c>
      <c r="CS69" s="2150">
        <f t="shared" si="31"/>
        <v>0</v>
      </c>
      <c r="CT69" s="2150">
        <f t="shared" si="32"/>
        <v>0</v>
      </c>
      <c r="CU69" s="2150">
        <f t="shared" si="33"/>
        <v>0</v>
      </c>
      <c r="CV69" s="2150">
        <f t="shared" si="34"/>
        <v>0</v>
      </c>
      <c r="CW69" s="2150">
        <f t="shared" si="35"/>
        <v>0</v>
      </c>
      <c r="CX69" s="2150">
        <f t="shared" si="36"/>
        <v>0</v>
      </c>
      <c r="CY69" s="2150">
        <f t="shared" si="37"/>
        <v>0</v>
      </c>
      <c r="CZ69" s="2150">
        <f t="shared" si="38"/>
        <v>0</v>
      </c>
      <c r="DA69" s="2150">
        <f t="shared" si="39"/>
        <v>0</v>
      </c>
      <c r="DB69" s="2150">
        <f t="shared" si="40"/>
        <v>0</v>
      </c>
      <c r="DC69" s="2150">
        <f t="shared" si="41"/>
        <v>0</v>
      </c>
      <c r="DD69" s="2150">
        <f t="shared" si="42"/>
        <v>0</v>
      </c>
      <c r="DE69" s="2150">
        <f t="shared" si="43"/>
        <v>0</v>
      </c>
      <c r="DF69" s="2150">
        <f t="shared" si="44"/>
        <v>0</v>
      </c>
      <c r="DG69" s="2150">
        <f t="shared" si="45"/>
        <v>0</v>
      </c>
      <c r="DH69" s="2150">
        <f t="shared" si="46"/>
        <v>0</v>
      </c>
      <c r="DI69" s="2150">
        <f t="shared" si="47"/>
        <v>0</v>
      </c>
      <c r="DJ69" s="2150">
        <f t="shared" si="48"/>
        <v>0</v>
      </c>
      <c r="DK69" s="2150">
        <f t="shared" si="49"/>
        <v>0</v>
      </c>
      <c r="DL69" s="2150">
        <f t="shared" si="50"/>
        <v>0</v>
      </c>
      <c r="DM69" s="2151">
        <f t="shared" si="51"/>
        <v>0</v>
      </c>
      <c r="DN69" s="644"/>
      <c r="DO69" s="1829">
        <v>59</v>
      </c>
      <c r="DP69" s="2211">
        <v>1806.96586494957</v>
      </c>
      <c r="DQ69" s="2212">
        <v>1646.7750149604601</v>
      </c>
      <c r="DR69" s="2212">
        <v>1611.52956964036</v>
      </c>
      <c r="DS69" s="2212">
        <v>1948.82263896821</v>
      </c>
      <c r="DT69" s="2212">
        <v>1916.21767222118</v>
      </c>
      <c r="DU69" s="2212">
        <v>2209.3348447899598</v>
      </c>
      <c r="DV69" s="2212">
        <v>2118.4069026976399</v>
      </c>
      <c r="DW69" s="2212">
        <v>2925.0582277067001</v>
      </c>
      <c r="DX69" s="2212">
        <v>1481.19148150612</v>
      </c>
      <c r="DY69" s="2212">
        <v>1804.6103838931399</v>
      </c>
      <c r="DZ69" s="2212">
        <v>2751.8477674382898</v>
      </c>
      <c r="EA69" s="2212">
        <v>1743.12418117162</v>
      </c>
      <c r="EB69" s="2212">
        <v>2694.1301524420201</v>
      </c>
      <c r="EC69" s="2212">
        <v>1823.7057223608799</v>
      </c>
      <c r="ED69" s="2212">
        <v>1428.38886128027</v>
      </c>
      <c r="EE69" s="2212">
        <v>1687.65823757107</v>
      </c>
      <c r="EF69" s="2212">
        <v>1537.75171112049</v>
      </c>
      <c r="EG69" s="2212">
        <v>1836.4373043591199</v>
      </c>
      <c r="EH69" s="2212">
        <v>1785.8592061925201</v>
      </c>
      <c r="EI69" s="2212">
        <v>1676.38652640847</v>
      </c>
      <c r="EJ69" s="2212">
        <v>2482.63335400802</v>
      </c>
      <c r="EK69" s="2212">
        <v>1539.6123093952799</v>
      </c>
      <c r="EL69" s="2212">
        <v>2829.21834108336</v>
      </c>
      <c r="EM69" s="2212">
        <v>2195.9547102748602</v>
      </c>
      <c r="EN69" s="2212">
        <v>1562.9288680229699</v>
      </c>
      <c r="EO69" s="2213">
        <v>1956.9845312009199</v>
      </c>
      <c r="ER69" s="1829">
        <v>59</v>
      </c>
      <c r="ES69" s="1830">
        <v>1.0304781904634199</v>
      </c>
      <c r="ET69" s="644"/>
      <c r="EU69" s="2156">
        <v>59</v>
      </c>
      <c r="EV69" s="2090" t="s">
        <v>162</v>
      </c>
      <c r="EW69" s="1437" t="s">
        <v>1918</v>
      </c>
      <c r="EX69" s="2090" t="str">
        <f>Translation!B$579</f>
        <v>Ja</v>
      </c>
    </row>
    <row r="70" spans="2:154" ht="12.75" x14ac:dyDescent="0.2">
      <c r="B70" s="2090">
        <v>60</v>
      </c>
      <c r="C70" s="2090" t="s">
        <v>162</v>
      </c>
      <c r="D70" s="1437" t="s">
        <v>1918</v>
      </c>
      <c r="E70" s="2090" t="str">
        <f>Translation!B$580</f>
        <v>Nein</v>
      </c>
      <c r="F70" s="1623">
        <v>60</v>
      </c>
      <c r="G70" s="2214">
        <v>1754.27</v>
      </c>
      <c r="H70" s="2215">
        <v>48.524166666666702</v>
      </c>
      <c r="I70" s="2215">
        <v>168.476666666667</v>
      </c>
      <c r="J70" s="2215">
        <v>3725.3916666666701</v>
      </c>
      <c r="K70" s="2215">
        <v>1040.72</v>
      </c>
      <c r="L70" s="2215">
        <v>885.29666666666697</v>
      </c>
      <c r="M70" s="2215">
        <v>690.08666666666704</v>
      </c>
      <c r="N70" s="2215">
        <v>1639.6824999999999</v>
      </c>
      <c r="O70" s="2215">
        <v>113.57833333333301</v>
      </c>
      <c r="P70" s="2215">
        <v>622.41833333333295</v>
      </c>
      <c r="Q70" s="2215">
        <v>264.54500000000002</v>
      </c>
      <c r="R70" s="2215">
        <v>1147.5899999999999</v>
      </c>
      <c r="S70" s="2215">
        <v>689.881666666667</v>
      </c>
      <c r="T70" s="2215">
        <v>98.935833333333306</v>
      </c>
      <c r="U70" s="2215">
        <v>100.963333333333</v>
      </c>
      <c r="V70" s="2215">
        <v>1347.7008333333299</v>
      </c>
      <c r="W70" s="2215">
        <v>287.36166666666702</v>
      </c>
      <c r="X70" s="2215">
        <v>915.52083333333303</v>
      </c>
      <c r="Y70" s="2215">
        <v>382.51749999999998</v>
      </c>
      <c r="Z70" s="2215">
        <v>692.02166666666699</v>
      </c>
      <c r="AA70" s="2215">
        <v>1492.76416666667</v>
      </c>
      <c r="AB70" s="2215">
        <v>102.089166666667</v>
      </c>
      <c r="AC70" s="2215">
        <v>2627.88083333333</v>
      </c>
      <c r="AD70" s="2215">
        <v>988.83583333333297</v>
      </c>
      <c r="AE70" s="2215">
        <v>282.01249999999999</v>
      </c>
      <c r="AF70" s="2216">
        <v>4519.7916666666697</v>
      </c>
      <c r="AH70" s="1826">
        <v>60</v>
      </c>
      <c r="AI70" s="2126">
        <f>Risk_Compensation!H77*(Risk_Compensation!AK77+CO$144)*12/1000000</f>
        <v>0</v>
      </c>
      <c r="AJ70" s="2127">
        <f>Risk_Compensation!I77*(Risk_Compensation!AL77+CP$144)*12/1000000</f>
        <v>0</v>
      </c>
      <c r="AK70" s="2127">
        <f>Risk_Compensation!J77*(Risk_Compensation!AM77+CQ$144)*12/1000000</f>
        <v>0</v>
      </c>
      <c r="AL70" s="2127">
        <f>Risk_Compensation!K77*(Risk_Compensation!AN77+CR$144)*12/1000000</f>
        <v>0</v>
      </c>
      <c r="AM70" s="2127">
        <f>Risk_Compensation!L77*(Risk_Compensation!AO77+CS$144)*12/1000000</f>
        <v>0</v>
      </c>
      <c r="AN70" s="2127">
        <f>Risk_Compensation!M77*(Risk_Compensation!AP77+CT$144)*12/1000000</f>
        <v>0</v>
      </c>
      <c r="AO70" s="2127">
        <f>Risk_Compensation!N77*(Risk_Compensation!AQ77+CU$144)*12/1000000</f>
        <v>0</v>
      </c>
      <c r="AP70" s="2127">
        <f>Risk_Compensation!O77*(Risk_Compensation!AR77+CV$144)*12/1000000</f>
        <v>0</v>
      </c>
      <c r="AQ70" s="2127">
        <f>Risk_Compensation!P77*(Risk_Compensation!AS77+CW$144)*12/1000000</f>
        <v>0</v>
      </c>
      <c r="AR70" s="2127">
        <f>Risk_Compensation!Q77*(Risk_Compensation!AT77+CX$144)*12/1000000</f>
        <v>0</v>
      </c>
      <c r="AS70" s="2127">
        <f>Risk_Compensation!R77*(Risk_Compensation!AU77+CY$144)*12/1000000</f>
        <v>0</v>
      </c>
      <c r="AT70" s="2127">
        <f>Risk_Compensation!S77*(Risk_Compensation!AV77+CZ$144)*12/1000000</f>
        <v>0</v>
      </c>
      <c r="AU70" s="2127">
        <f>Risk_Compensation!T77*(Risk_Compensation!AW77+DA$144)*12/1000000</f>
        <v>0</v>
      </c>
      <c r="AV70" s="2127">
        <f>Risk_Compensation!U77*(Risk_Compensation!AX77+DB$144)*12/1000000</f>
        <v>0</v>
      </c>
      <c r="AW70" s="2127">
        <f>Risk_Compensation!V77*(Risk_Compensation!AY77+DC$144)*12/1000000</f>
        <v>0</v>
      </c>
      <c r="AX70" s="2127">
        <f>Risk_Compensation!W77*(Risk_Compensation!AZ77+DD$144)*12/1000000</f>
        <v>0</v>
      </c>
      <c r="AY70" s="2127">
        <f>Risk_Compensation!X77*(Risk_Compensation!BA77+DE$144)*12/1000000</f>
        <v>0</v>
      </c>
      <c r="AZ70" s="2127">
        <f>Risk_Compensation!Y77*(Risk_Compensation!BB77+DF$144)*12/1000000</f>
        <v>0</v>
      </c>
      <c r="BA70" s="2127">
        <f>Risk_Compensation!Z77*(Risk_Compensation!BC77+DG$144)*12/1000000</f>
        <v>0</v>
      </c>
      <c r="BB70" s="2127">
        <f>Risk_Compensation!AA77*(Risk_Compensation!BD77+DH$144)*12/1000000</f>
        <v>0</v>
      </c>
      <c r="BC70" s="2127">
        <f>Risk_Compensation!AB77*(Risk_Compensation!BE77+DI$144)*12/1000000</f>
        <v>0</v>
      </c>
      <c r="BD70" s="2127">
        <f>Risk_Compensation!AC77*(Risk_Compensation!BF77+DJ$144)*12/1000000</f>
        <v>0</v>
      </c>
      <c r="BE70" s="2127">
        <f>Risk_Compensation!AD77*(Risk_Compensation!BG77+DK$144)*12/1000000</f>
        <v>0</v>
      </c>
      <c r="BF70" s="2127">
        <f>Risk_Compensation!AE77*(Risk_Compensation!BH77+DL$144)*12/1000000</f>
        <v>0</v>
      </c>
      <c r="BG70" s="2127">
        <f>Risk_Compensation!AF77*(Risk_Compensation!BI77+DM$144)*12/1000000</f>
        <v>0</v>
      </c>
      <c r="BH70" s="2128">
        <f>Risk_Compensation!AG77*(Risk_Compensation!BJ77+DN$144)*12/1000000</f>
        <v>0</v>
      </c>
      <c r="BI70" s="644"/>
      <c r="BJ70" s="1826">
        <v>60</v>
      </c>
      <c r="BK70" s="2141">
        <f>IF(G70&lt;=0,0,(Risk_Compensation!H77/G70-Risk_Compensation!H$79/G$72-0.5*CO$167*($CK70-CO$135/G$72))*G70)</f>
        <v>0</v>
      </c>
      <c r="BL70" s="2142">
        <f>IF(H70&lt;=0,0,(Risk_Compensation!I77/H70-Risk_Compensation!I$79/H$72-0.5*CP$167*($CK70-CP$135/H$72))*H70)</f>
        <v>0</v>
      </c>
      <c r="BM70" s="2142">
        <f>IF(I70&lt;=0,0,(Risk_Compensation!J77/I70-Risk_Compensation!J$79/I$72-0.5*CQ$167*($CK70-CQ$135/I$72))*I70)</f>
        <v>0</v>
      </c>
      <c r="BN70" s="2142">
        <f>IF(J70&lt;=0,0,(Risk_Compensation!K77/J70-Risk_Compensation!K$79/J$72-0.5*CR$167*($CK70-CR$135/J$72))*J70)</f>
        <v>0</v>
      </c>
      <c r="BO70" s="2142">
        <f>IF(K70&lt;=0,0,(Risk_Compensation!L77/K70-Risk_Compensation!L$79/K$72-0.5*CS$167*($CK70-CS$135/K$72))*K70)</f>
        <v>0</v>
      </c>
      <c r="BP70" s="2142">
        <f>IF(L70&lt;=0,0,(Risk_Compensation!M77/L70-Risk_Compensation!M$79/L$72-0.5*CT$167*($CK70-CT$135/L$72))*L70)</f>
        <v>0</v>
      </c>
      <c r="BQ70" s="2142">
        <f>IF(M70&lt;=0,0,(Risk_Compensation!N77/M70-Risk_Compensation!N$79/M$72-0.5*CU$167*($CK70-CU$135/M$72))*M70)</f>
        <v>0</v>
      </c>
      <c r="BR70" s="2142">
        <f>IF(N70&lt;=0,0,(Risk_Compensation!O77/N70-Risk_Compensation!O$79/N$72-0.5*CV$167*($CK70-CV$135/N$72))*N70)</f>
        <v>0</v>
      </c>
      <c r="BS70" s="2142">
        <f>IF(O70&lt;=0,0,(Risk_Compensation!P77/O70-Risk_Compensation!P$79/O$72-0.5*CW$167*($CK70-CW$135/O$72))*O70)</f>
        <v>0</v>
      </c>
      <c r="BT70" s="2142">
        <f>IF(P70&lt;=0,0,(Risk_Compensation!Q77/P70-Risk_Compensation!Q$79/P$72-0.5*CX$167*($CK70-CX$135/P$72))*P70)</f>
        <v>0</v>
      </c>
      <c r="BU70" s="2142">
        <f>IF(Q70&lt;=0,0,(Risk_Compensation!R77/Q70-Risk_Compensation!R$79/Q$72-0.5*CY$167*($CK70-CY$135/Q$72))*Q70)</f>
        <v>0</v>
      </c>
      <c r="BV70" s="2142">
        <f>IF(R70&lt;=0,0,(Risk_Compensation!S77/R70-Risk_Compensation!S$79/R$72-0.5*CZ$167*($CK70-CZ$135/R$72))*R70)</f>
        <v>0</v>
      </c>
      <c r="BW70" s="2142">
        <f>IF(S70&lt;=0,0,(Risk_Compensation!T77/S70-Risk_Compensation!T$79/S$72-0.5*DA$167*($CK70-DA$135/S$72))*S70)</f>
        <v>0</v>
      </c>
      <c r="BX70" s="2142">
        <f>IF(T70&lt;=0,0,(Risk_Compensation!U77/T70-Risk_Compensation!U$79/T$72-0.5*DB$167*($CK70-DB$135/T$72))*T70)</f>
        <v>0</v>
      </c>
      <c r="BY70" s="2142">
        <f>IF(U70&lt;=0,0,(Risk_Compensation!V77/U70-Risk_Compensation!V$79/U$72-0.5*DC$167*($CK70-DC$135/U$72))*U70)</f>
        <v>0</v>
      </c>
      <c r="BZ70" s="2142">
        <f>IF(V70&lt;=0,0,(Risk_Compensation!W77/V70-Risk_Compensation!W$79/V$72-0.5*DD$167*($CK70-DD$135/V$72))*V70)</f>
        <v>0</v>
      </c>
      <c r="CA70" s="2142">
        <f>IF(W70&lt;=0,0,(Risk_Compensation!X77/W70-Risk_Compensation!X$79/W$72-0.5*DE$167*($CK70-DE$135/W$72))*W70)</f>
        <v>0</v>
      </c>
      <c r="CB70" s="2142">
        <f>IF(X70&lt;=0,0,(Risk_Compensation!Y77/X70-Risk_Compensation!Y$79/X$72-0.5*DF$167*($CK70-DF$135/X$72))*X70)</f>
        <v>0</v>
      </c>
      <c r="CC70" s="2142">
        <f>IF(Y70&lt;=0,0,(Risk_Compensation!Z77/Y70-Risk_Compensation!Z$79/Y$72-0.5*DG$167*($CK70-DG$135/Y$72))*Y70)</f>
        <v>0</v>
      </c>
      <c r="CD70" s="2142">
        <f>IF(Z70&lt;=0,0,(Risk_Compensation!AA77/Z70-Risk_Compensation!AA$79/Z$72-0.5*DH$167*($CK70-DH$135/Z$72))*Z70)</f>
        <v>0</v>
      </c>
      <c r="CE70" s="2142">
        <f>IF(AA70&lt;=0,0,(Risk_Compensation!AB77/AA70-Risk_Compensation!AB$79/AA$72-0.5*DI$167*($CK70-DI$135/AA$72))*AA70)</f>
        <v>0</v>
      </c>
      <c r="CF70" s="2142">
        <f>IF(AB70&lt;=0,0,(Risk_Compensation!AC77/AB70-Risk_Compensation!AC$79/AB$72-0.5*DJ$167*($CK70-DJ$135/AB$72))*AB70)</f>
        <v>0</v>
      </c>
      <c r="CG70" s="2142">
        <f>IF(AC70&lt;=0,0,(Risk_Compensation!AD77/AC70-Risk_Compensation!AD$79/AC$72-0.5*DK$167*($CK70-DK$135/AC$72))*AC70)</f>
        <v>0</v>
      </c>
      <c r="CH70" s="2142">
        <f>IF(AD70&lt;=0,0,(Risk_Compensation!AE77/AD70-Risk_Compensation!AE$79/AD$72-0.5*DL$167*($CK70-DL$135/AD$72))*AD70)</f>
        <v>0</v>
      </c>
      <c r="CI70" s="2142">
        <f>IF(AE70&lt;=0,0,(Risk_Compensation!AF77/AE70-Risk_Compensation!AF$79/AE$72-0.5*DM$167*($CK70-DM$135/AE$72))*AE70)</f>
        <v>0</v>
      </c>
      <c r="CJ70" s="2143">
        <f>IF(AF70&lt;=0,0,(Risk_Compensation!AG77/AF70-Risk_Compensation!AG$79/AF$72-0.5*DN$167*($CK70-DN$135/AF$72))*AF70)</f>
        <v>0</v>
      </c>
      <c r="CK70" s="2166">
        <v>0</v>
      </c>
      <c r="CL70" s="644"/>
      <c r="CM70" s="1826">
        <v>60</v>
      </c>
      <c r="CN70" s="2152">
        <f t="shared" si="26"/>
        <v>0</v>
      </c>
      <c r="CO70" s="2153">
        <f t="shared" si="27"/>
        <v>0</v>
      </c>
      <c r="CP70" s="2153">
        <f t="shared" si="28"/>
        <v>0</v>
      </c>
      <c r="CQ70" s="2153">
        <f t="shared" si="29"/>
        <v>0</v>
      </c>
      <c r="CR70" s="2153">
        <f t="shared" si="30"/>
        <v>0</v>
      </c>
      <c r="CS70" s="2153">
        <f t="shared" si="31"/>
        <v>0</v>
      </c>
      <c r="CT70" s="2153">
        <f t="shared" si="32"/>
        <v>0</v>
      </c>
      <c r="CU70" s="2153">
        <f t="shared" si="33"/>
        <v>0</v>
      </c>
      <c r="CV70" s="2153">
        <f t="shared" si="34"/>
        <v>0</v>
      </c>
      <c r="CW70" s="2153">
        <f t="shared" si="35"/>
        <v>0</v>
      </c>
      <c r="CX70" s="2153">
        <f t="shared" si="36"/>
        <v>0</v>
      </c>
      <c r="CY70" s="2153">
        <f t="shared" si="37"/>
        <v>0</v>
      </c>
      <c r="CZ70" s="2153">
        <f t="shared" si="38"/>
        <v>0</v>
      </c>
      <c r="DA70" s="2153">
        <f t="shared" si="39"/>
        <v>0</v>
      </c>
      <c r="DB70" s="2153">
        <f t="shared" si="40"/>
        <v>0</v>
      </c>
      <c r="DC70" s="2153">
        <f t="shared" si="41"/>
        <v>0</v>
      </c>
      <c r="DD70" s="2153">
        <f t="shared" si="42"/>
        <v>0</v>
      </c>
      <c r="DE70" s="2153">
        <f t="shared" si="43"/>
        <v>0</v>
      </c>
      <c r="DF70" s="2153">
        <f t="shared" si="44"/>
        <v>0</v>
      </c>
      <c r="DG70" s="2153">
        <f t="shared" si="45"/>
        <v>0</v>
      </c>
      <c r="DH70" s="2153">
        <f t="shared" si="46"/>
        <v>0</v>
      </c>
      <c r="DI70" s="2153">
        <f t="shared" si="47"/>
        <v>0</v>
      </c>
      <c r="DJ70" s="2153">
        <f t="shared" si="48"/>
        <v>0</v>
      </c>
      <c r="DK70" s="2153">
        <f t="shared" si="49"/>
        <v>0</v>
      </c>
      <c r="DL70" s="2153">
        <f t="shared" si="50"/>
        <v>0</v>
      </c>
      <c r="DM70" s="2154">
        <f t="shared" si="51"/>
        <v>0</v>
      </c>
      <c r="DN70" s="644"/>
      <c r="DO70" s="1826">
        <v>60</v>
      </c>
      <c r="DP70" s="2214">
        <v>776.67061040873295</v>
      </c>
      <c r="DQ70" s="2215">
        <v>706.790497196876</v>
      </c>
      <c r="DR70" s="2215">
        <v>523.811099366078</v>
      </c>
      <c r="DS70" s="2215">
        <v>852.63785931020698</v>
      </c>
      <c r="DT70" s="2215">
        <v>1005.83285228506</v>
      </c>
      <c r="DU70" s="2215">
        <v>1158.9854891551099</v>
      </c>
      <c r="DV70" s="2215">
        <v>966.82482840964497</v>
      </c>
      <c r="DW70" s="2215">
        <v>1272.6068982430099</v>
      </c>
      <c r="DX70" s="2215">
        <v>602.77516625577096</v>
      </c>
      <c r="DY70" s="2215">
        <v>737.52494943951899</v>
      </c>
      <c r="DZ70" s="2215">
        <v>1164.73942820461</v>
      </c>
      <c r="EA70" s="2215">
        <v>734.33064026483305</v>
      </c>
      <c r="EB70" s="2215">
        <v>1030.5845369875201</v>
      </c>
      <c r="EC70" s="2215">
        <v>668.60194081509803</v>
      </c>
      <c r="ED70" s="2215">
        <v>711.44962503907004</v>
      </c>
      <c r="EE70" s="2215">
        <v>732.203176449843</v>
      </c>
      <c r="EF70" s="2215">
        <v>694.18876593767402</v>
      </c>
      <c r="EG70" s="2215">
        <v>808.25944882314104</v>
      </c>
      <c r="EH70" s="2215">
        <v>728.35718507324498</v>
      </c>
      <c r="EI70" s="2215">
        <v>774.20531475579503</v>
      </c>
      <c r="EJ70" s="2215">
        <v>1102.06719416753</v>
      </c>
      <c r="EK70" s="2215">
        <v>540.12826531140695</v>
      </c>
      <c r="EL70" s="2215">
        <v>1193.4566271579499</v>
      </c>
      <c r="EM70" s="2215">
        <v>945.87654104706996</v>
      </c>
      <c r="EN70" s="2215">
        <v>650.62605668264098</v>
      </c>
      <c r="EO70" s="2216">
        <v>937.95805396093499</v>
      </c>
      <c r="ER70" s="1826">
        <v>60</v>
      </c>
      <c r="ES70" s="1835">
        <v>1.3728619767985799</v>
      </c>
      <c r="ET70" s="644"/>
      <c r="EU70" s="2156">
        <v>60</v>
      </c>
      <c r="EV70" s="2090" t="s">
        <v>162</v>
      </c>
      <c r="EW70" s="1437" t="s">
        <v>1918</v>
      </c>
      <c r="EX70" s="2090" t="str">
        <f>Translation!B$580</f>
        <v>Nein</v>
      </c>
    </row>
    <row r="71" spans="2:154" ht="12.75" x14ac:dyDescent="0.2">
      <c r="B71" s="644"/>
      <c r="C71" s="644"/>
      <c r="D71" s="644"/>
      <c r="E71" s="644"/>
      <c r="G71" s="1816"/>
      <c r="H71" s="1816"/>
      <c r="I71" s="1816"/>
      <c r="J71" s="1816"/>
      <c r="K71" s="1816"/>
      <c r="L71" s="1816"/>
      <c r="M71" s="1816"/>
      <c r="N71" s="1816"/>
      <c r="O71" s="1816"/>
      <c r="P71" s="1816"/>
      <c r="Q71" s="1816"/>
      <c r="R71" s="1816"/>
      <c r="S71" s="1816"/>
      <c r="T71" s="1816"/>
      <c r="U71" s="1816"/>
      <c r="V71" s="1816"/>
      <c r="W71" s="1816"/>
      <c r="X71" s="1816"/>
      <c r="Y71" s="1816"/>
      <c r="Z71" s="1816"/>
      <c r="AA71" s="1816"/>
      <c r="AB71" s="1816"/>
      <c r="AC71" s="1816"/>
      <c r="AD71" s="1816"/>
      <c r="AE71" s="1816"/>
      <c r="AF71" s="1816"/>
      <c r="AI71" s="1816"/>
      <c r="AJ71" s="1816"/>
      <c r="AK71" s="1816"/>
      <c r="AL71" s="1816"/>
      <c r="AM71" s="1816"/>
      <c r="AN71" s="1816"/>
      <c r="AO71" s="1816"/>
      <c r="AP71" s="1816"/>
      <c r="AQ71" s="1816"/>
      <c r="AR71" s="1816"/>
      <c r="AS71" s="1816"/>
      <c r="AT71" s="1816"/>
      <c r="AU71" s="1816"/>
      <c r="AV71" s="1816"/>
      <c r="AW71" s="1816"/>
      <c r="AX71" s="1816"/>
      <c r="AY71" s="1816"/>
      <c r="AZ71" s="1816"/>
      <c r="BA71" s="1816"/>
      <c r="BB71" s="1816"/>
      <c r="BC71" s="1816"/>
      <c r="BD71" s="1816"/>
      <c r="BE71" s="1816"/>
      <c r="BF71" s="1816"/>
      <c r="BG71" s="1816"/>
      <c r="BH71" s="1816"/>
      <c r="BI71" s="644"/>
      <c r="BJ71" s="644"/>
      <c r="BK71" s="644"/>
      <c r="BL71" s="644"/>
      <c r="BM71" s="644"/>
      <c r="BN71" s="644"/>
      <c r="BO71" s="644"/>
      <c r="BP71" s="644"/>
      <c r="BQ71" s="644"/>
      <c r="BR71" s="644"/>
      <c r="BS71" s="644"/>
      <c r="BT71" s="644"/>
      <c r="BU71" s="644"/>
      <c r="BV71" s="644"/>
      <c r="BW71" s="644"/>
      <c r="BX71" s="644"/>
      <c r="BY71" s="644"/>
      <c r="BZ71" s="644"/>
      <c r="CA71" s="644"/>
      <c r="CB71" s="644"/>
      <c r="CC71" s="644"/>
      <c r="CD71" s="644"/>
      <c r="CE71" s="644"/>
      <c r="CF71" s="644"/>
      <c r="CG71" s="644"/>
      <c r="CH71" s="644"/>
      <c r="CI71" s="644"/>
      <c r="CJ71" s="644"/>
      <c r="CK71" s="644"/>
      <c r="CL71" s="644"/>
      <c r="CM71" s="1846"/>
      <c r="DN71" s="644"/>
      <c r="DO71" s="644"/>
      <c r="DP71" s="644"/>
      <c r="DQ71" s="644"/>
    </row>
    <row r="72" spans="2:154" ht="12.75" x14ac:dyDescent="0.2">
      <c r="B72" s="644"/>
      <c r="C72" s="644"/>
      <c r="D72" s="644"/>
      <c r="E72" s="644"/>
      <c r="F72" s="1439" t="str">
        <f>Translation!B$582</f>
        <v>Summe</v>
      </c>
      <c r="G72" s="1624">
        <f t="shared" ref="G72:AE72" si="52">SUM(G11:G70)</f>
        <v>581606.81499999983</v>
      </c>
      <c r="H72" s="1624">
        <f t="shared" si="52"/>
        <v>13278.379999999997</v>
      </c>
      <c r="I72" s="1624">
        <f t="shared" si="52"/>
        <v>45253.580833333384</v>
      </c>
      <c r="J72" s="1624">
        <f t="shared" si="52"/>
        <v>864381.03416666645</v>
      </c>
      <c r="K72" s="1624">
        <f t="shared" si="52"/>
        <v>241691.48750000002</v>
      </c>
      <c r="L72" s="1624">
        <f t="shared" si="52"/>
        <v>161779.40583333335</v>
      </c>
      <c r="M72" s="1624">
        <f t="shared" si="52"/>
        <v>268083.8466666668</v>
      </c>
      <c r="N72" s="1624">
        <f t="shared" si="52"/>
        <v>375541.67500000005</v>
      </c>
      <c r="O72" s="1624">
        <f t="shared" si="52"/>
        <v>34335.010833333319</v>
      </c>
      <c r="P72" s="1624">
        <f t="shared" si="52"/>
        <v>173406.99249999999</v>
      </c>
      <c r="Q72" s="1624">
        <f t="shared" si="52"/>
        <v>59489.410833333313</v>
      </c>
      <c r="R72" s="1624">
        <f t="shared" si="52"/>
        <v>345640.16666666669</v>
      </c>
      <c r="S72" s="1624">
        <f t="shared" si="52"/>
        <v>142872.30666666667</v>
      </c>
      <c r="T72" s="1624">
        <f t="shared" si="52"/>
        <v>36815.574166666665</v>
      </c>
      <c r="U72" s="1624">
        <f t="shared" si="52"/>
        <v>31854.10833333333</v>
      </c>
      <c r="V72" s="1624">
        <f t="shared" si="52"/>
        <v>428133.005</v>
      </c>
      <c r="W72" s="1624">
        <f t="shared" si="52"/>
        <v>69723.035833333342</v>
      </c>
      <c r="X72" s="1624">
        <f t="shared" si="52"/>
        <v>234058.63333333336</v>
      </c>
      <c r="Y72" s="1624">
        <f t="shared" si="52"/>
        <v>135938.23000000001</v>
      </c>
      <c r="Z72" s="1624">
        <f t="shared" si="52"/>
        <v>236438.09583333327</v>
      </c>
      <c r="AA72" s="1624">
        <f t="shared" si="52"/>
        <v>292989.87666666653</v>
      </c>
      <c r="AB72" s="1624">
        <f t="shared" si="52"/>
        <v>30482.151666666665</v>
      </c>
      <c r="AC72" s="1624">
        <f t="shared" si="52"/>
        <v>653586.71249999991</v>
      </c>
      <c r="AD72" s="1624">
        <f t="shared" si="52"/>
        <v>299891.73750000005</v>
      </c>
      <c r="AE72" s="1624">
        <f t="shared" si="52"/>
        <v>106266.79916666669</v>
      </c>
      <c r="AF72" s="1817">
        <f>SUM(AF11:AF70)</f>
        <v>1281643.0633333332</v>
      </c>
      <c r="AH72" s="1439" t="str">
        <f>Translation!B$582</f>
        <v>Summe</v>
      </c>
      <c r="AI72" s="1836">
        <f t="shared" ref="AI72:BH72" si="53">SUM(AI11:AI70)</f>
        <v>0</v>
      </c>
      <c r="AJ72" s="1836">
        <f t="shared" si="53"/>
        <v>0</v>
      </c>
      <c r="AK72" s="1836">
        <f t="shared" si="53"/>
        <v>0</v>
      </c>
      <c r="AL72" s="1836">
        <f t="shared" si="53"/>
        <v>0</v>
      </c>
      <c r="AM72" s="1836">
        <f t="shared" si="53"/>
        <v>0</v>
      </c>
      <c r="AN72" s="1836">
        <f t="shared" si="53"/>
        <v>0</v>
      </c>
      <c r="AO72" s="1836">
        <f t="shared" si="53"/>
        <v>0</v>
      </c>
      <c r="AP72" s="1836">
        <f t="shared" si="53"/>
        <v>0</v>
      </c>
      <c r="AQ72" s="1836">
        <f t="shared" si="53"/>
        <v>0</v>
      </c>
      <c r="AR72" s="1836">
        <f t="shared" si="53"/>
        <v>0</v>
      </c>
      <c r="AS72" s="1836">
        <f t="shared" si="53"/>
        <v>0</v>
      </c>
      <c r="AT72" s="1836">
        <f t="shared" si="53"/>
        <v>0</v>
      </c>
      <c r="AU72" s="1836">
        <f t="shared" si="53"/>
        <v>0</v>
      </c>
      <c r="AV72" s="1836">
        <f t="shared" si="53"/>
        <v>0</v>
      </c>
      <c r="AW72" s="1836">
        <f t="shared" si="53"/>
        <v>0</v>
      </c>
      <c r="AX72" s="1836">
        <f t="shared" si="53"/>
        <v>0</v>
      </c>
      <c r="AY72" s="1836">
        <f t="shared" si="53"/>
        <v>0</v>
      </c>
      <c r="AZ72" s="1836">
        <f t="shared" si="53"/>
        <v>0</v>
      </c>
      <c r="BA72" s="1836">
        <f t="shared" si="53"/>
        <v>0</v>
      </c>
      <c r="BB72" s="1836">
        <f t="shared" si="53"/>
        <v>0</v>
      </c>
      <c r="BC72" s="1836">
        <f t="shared" si="53"/>
        <v>0</v>
      </c>
      <c r="BD72" s="1836">
        <f t="shared" si="53"/>
        <v>0</v>
      </c>
      <c r="BE72" s="1836">
        <f t="shared" si="53"/>
        <v>0</v>
      </c>
      <c r="BF72" s="1836">
        <f t="shared" si="53"/>
        <v>0</v>
      </c>
      <c r="BG72" s="1836">
        <f t="shared" si="53"/>
        <v>0</v>
      </c>
      <c r="BH72" s="1837">
        <f t="shared" si="53"/>
        <v>0</v>
      </c>
      <c r="BI72" s="1840"/>
      <c r="BJ72" s="1840"/>
      <c r="BK72" s="1840"/>
      <c r="BL72" s="1840"/>
      <c r="BM72" s="1840"/>
      <c r="BN72" s="1840"/>
      <c r="BO72" s="1840"/>
      <c r="BP72" s="1840"/>
      <c r="BQ72" s="1840"/>
      <c r="BR72" s="1840"/>
      <c r="BS72" s="1840"/>
      <c r="BT72" s="1840"/>
      <c r="BU72" s="1840"/>
      <c r="BV72" s="1840"/>
      <c r="BW72" s="1840"/>
      <c r="BX72" s="1840"/>
      <c r="BY72" s="1840"/>
      <c r="BZ72" s="1840"/>
      <c r="CA72" s="1840"/>
      <c r="CB72" s="1840"/>
      <c r="CC72" s="1840"/>
      <c r="CD72" s="1840"/>
      <c r="CE72" s="1840"/>
      <c r="CF72" s="1840"/>
      <c r="CG72" s="1840"/>
      <c r="CH72" s="1840"/>
      <c r="CI72" s="1840"/>
      <c r="CJ72" s="1840"/>
      <c r="CK72" s="1840"/>
      <c r="CL72" s="1840"/>
      <c r="CM72" s="1846" t="str">
        <f>Translation!B$582</f>
        <v>Summe</v>
      </c>
      <c r="CN72" s="1831">
        <f t="shared" ref="CN72:DM72" si="54">SUM(CN11:CN70)</f>
        <v>0</v>
      </c>
      <c r="CO72" s="1832">
        <f t="shared" si="54"/>
        <v>0</v>
      </c>
      <c r="CP72" s="1832">
        <f t="shared" si="54"/>
        <v>0</v>
      </c>
      <c r="CQ72" s="1832">
        <f t="shared" si="54"/>
        <v>0</v>
      </c>
      <c r="CR72" s="1832">
        <f t="shared" si="54"/>
        <v>0</v>
      </c>
      <c r="CS72" s="1832">
        <f t="shared" si="54"/>
        <v>0</v>
      </c>
      <c r="CT72" s="1832">
        <f t="shared" si="54"/>
        <v>0</v>
      </c>
      <c r="CU72" s="1832">
        <f t="shared" si="54"/>
        <v>0</v>
      </c>
      <c r="CV72" s="1832">
        <f t="shared" si="54"/>
        <v>0</v>
      </c>
      <c r="CW72" s="1832">
        <f t="shared" si="54"/>
        <v>0</v>
      </c>
      <c r="CX72" s="1832">
        <f t="shared" si="54"/>
        <v>0</v>
      </c>
      <c r="CY72" s="1832">
        <f t="shared" si="54"/>
        <v>0</v>
      </c>
      <c r="CZ72" s="1832">
        <f t="shared" si="54"/>
        <v>0</v>
      </c>
      <c r="DA72" s="1832">
        <f t="shared" si="54"/>
        <v>0</v>
      </c>
      <c r="DB72" s="1832">
        <f t="shared" si="54"/>
        <v>0</v>
      </c>
      <c r="DC72" s="1832">
        <f t="shared" si="54"/>
        <v>0</v>
      </c>
      <c r="DD72" s="1832">
        <f t="shared" si="54"/>
        <v>0</v>
      </c>
      <c r="DE72" s="1832">
        <f t="shared" si="54"/>
        <v>0</v>
      </c>
      <c r="DF72" s="1832">
        <f t="shared" si="54"/>
        <v>0</v>
      </c>
      <c r="DG72" s="1832">
        <f t="shared" si="54"/>
        <v>0</v>
      </c>
      <c r="DH72" s="1832">
        <f t="shared" si="54"/>
        <v>0</v>
      </c>
      <c r="DI72" s="1832">
        <f t="shared" si="54"/>
        <v>0</v>
      </c>
      <c r="DJ72" s="1832">
        <f t="shared" si="54"/>
        <v>0</v>
      </c>
      <c r="DK72" s="1832">
        <f t="shared" si="54"/>
        <v>0</v>
      </c>
      <c r="DL72" s="1832">
        <f t="shared" si="54"/>
        <v>0</v>
      </c>
      <c r="DM72" s="1833">
        <f t="shared" si="54"/>
        <v>0</v>
      </c>
      <c r="DN72" s="644"/>
      <c r="DO72" s="644"/>
      <c r="DP72" s="644"/>
      <c r="DQ72" s="644"/>
    </row>
    <row r="76" spans="2:154" x14ac:dyDescent="0.2">
      <c r="BJ76" s="1426" t="s">
        <v>2432</v>
      </c>
    </row>
    <row r="77" spans="2:154" ht="12.75" x14ac:dyDescent="0.2">
      <c r="D77" s="644"/>
      <c r="E77" s="2082"/>
      <c r="F77" s="644"/>
      <c r="G77" s="2157" t="str">
        <f>Translation!B$619</f>
        <v>Geschätzter Durchschnittsbestand der Gesamtbranche pro PCG für das Jahr 2025</v>
      </c>
      <c r="H77" s="2157"/>
      <c r="I77" s="2157"/>
      <c r="J77" s="2157"/>
      <c r="K77" s="2157"/>
      <c r="L77" s="2157"/>
      <c r="M77" s="2157"/>
      <c r="N77" s="2157"/>
      <c r="O77" s="2157"/>
      <c r="P77" s="2079"/>
      <c r="Q77" s="2079"/>
      <c r="R77" s="2079"/>
      <c r="S77" s="2079"/>
      <c r="T77" s="2079"/>
      <c r="U77" s="2079"/>
      <c r="V77" s="2079"/>
      <c r="W77" s="2079"/>
      <c r="X77" s="2079"/>
      <c r="Y77" s="2079"/>
      <c r="Z77" s="2079"/>
      <c r="AA77" s="2079"/>
      <c r="AB77" s="2079"/>
      <c r="AC77" s="2079"/>
      <c r="AD77" s="2079"/>
      <c r="AE77" s="2079"/>
      <c r="AF77" s="2079"/>
      <c r="AI77" s="2158" t="str">
        <f>Translation!B$621</f>
        <v>Risikoausgleich pro PCG in Mio. CHF</v>
      </c>
      <c r="AJ77" s="2158"/>
      <c r="AK77" s="2158"/>
      <c r="AL77" s="2158"/>
      <c r="CN77" s="2160" t="str">
        <f>Translation!B624</f>
        <v>Zufallsrisiko der PCG</v>
      </c>
      <c r="CO77" s="2160"/>
      <c r="CP77" s="1846"/>
      <c r="CQ77" s="1846"/>
      <c r="CR77" s="1846"/>
      <c r="CS77" s="1846"/>
      <c r="CT77" s="1846"/>
      <c r="CU77" s="1846"/>
      <c r="CV77" s="1846"/>
      <c r="CW77" s="1846"/>
      <c r="CX77" s="1846"/>
      <c r="CY77" s="1846"/>
      <c r="CZ77" s="1846"/>
      <c r="DA77" s="1846"/>
      <c r="DB77" s="1846"/>
      <c r="DC77" s="1846"/>
      <c r="DD77" s="1846"/>
      <c r="DE77" s="1846"/>
      <c r="DF77" s="1846"/>
      <c r="DG77" s="1846"/>
      <c r="DH77" s="1846"/>
      <c r="DI77" s="1846"/>
      <c r="DJ77" s="1846"/>
      <c r="DK77" s="1846"/>
      <c r="DL77" s="1846"/>
      <c r="DM77" s="1846"/>
    </row>
    <row r="78" spans="2:154" ht="12.75" customHeight="1" x14ac:dyDescent="0.2">
      <c r="D78" s="644"/>
      <c r="E78" s="644"/>
      <c r="F78" s="2563"/>
      <c r="G78" s="2564" t="str">
        <f>Translation!B$583</f>
        <v xml:space="preserve">Kanton </v>
      </c>
      <c r="H78" s="2565"/>
      <c r="I78" s="2565"/>
      <c r="J78" s="2565"/>
      <c r="K78" s="2565"/>
      <c r="L78" s="2565"/>
      <c r="M78" s="2565"/>
      <c r="N78" s="2565"/>
      <c r="O78" s="2565"/>
      <c r="P78" s="2565"/>
      <c r="Q78" s="2565"/>
      <c r="R78" s="2565"/>
      <c r="S78" s="2565"/>
      <c r="T78" s="2565"/>
      <c r="U78" s="2565"/>
      <c r="V78" s="2565"/>
      <c r="W78" s="2565"/>
      <c r="X78" s="2565"/>
      <c r="Y78" s="2565"/>
      <c r="Z78" s="2565"/>
      <c r="AA78" s="2565"/>
      <c r="AB78" s="2565"/>
      <c r="AC78" s="2565"/>
      <c r="AD78" s="2565"/>
      <c r="AE78" s="2565"/>
      <c r="AF78" s="2566"/>
      <c r="AI78" s="2564" t="str">
        <f>Translation!B$583</f>
        <v xml:space="preserve">Kanton </v>
      </c>
      <c r="AJ78" s="2565"/>
      <c r="AK78" s="2565"/>
      <c r="AL78" s="2565"/>
      <c r="AM78" s="2565"/>
      <c r="AN78" s="2565"/>
      <c r="AO78" s="2565"/>
      <c r="AP78" s="2565"/>
      <c r="AQ78" s="2565"/>
      <c r="AR78" s="2565"/>
      <c r="AS78" s="2565"/>
      <c r="AT78" s="2565"/>
      <c r="AU78" s="2565"/>
      <c r="AV78" s="2565"/>
      <c r="AW78" s="2565"/>
      <c r="AX78" s="2565"/>
      <c r="AY78" s="2565"/>
      <c r="AZ78" s="2565"/>
      <c r="BA78" s="2565"/>
      <c r="BB78" s="2565"/>
      <c r="BC78" s="2565"/>
      <c r="BD78" s="2565"/>
      <c r="BE78" s="2565"/>
      <c r="BF78" s="2565"/>
      <c r="BG78" s="2565"/>
      <c r="BH78" s="2566"/>
      <c r="BK78" s="2564" t="str">
        <f>Translation!B$583</f>
        <v xml:space="preserve">Kanton </v>
      </c>
      <c r="BL78" s="2565"/>
      <c r="BM78" s="2565"/>
      <c r="BN78" s="2565"/>
      <c r="BO78" s="2565"/>
      <c r="BP78" s="2565"/>
      <c r="BQ78" s="2565"/>
      <c r="BR78" s="2565"/>
      <c r="BS78" s="2565"/>
      <c r="BT78" s="2565"/>
      <c r="BU78" s="2565"/>
      <c r="BV78" s="2565"/>
      <c r="BW78" s="2565"/>
      <c r="BX78" s="2565"/>
      <c r="BY78" s="2565"/>
      <c r="BZ78" s="2565"/>
      <c r="CA78" s="2565"/>
      <c r="CB78" s="2565"/>
      <c r="CC78" s="2565"/>
      <c r="CD78" s="2565"/>
      <c r="CE78" s="2565"/>
      <c r="CF78" s="2565"/>
      <c r="CG78" s="2565"/>
      <c r="CH78" s="2565"/>
      <c r="CI78" s="2565"/>
      <c r="CJ78" s="2566"/>
      <c r="CN78" s="2564" t="str">
        <f>Translation!B$583</f>
        <v xml:space="preserve">Kanton </v>
      </c>
      <c r="CO78" s="2576"/>
      <c r="CP78" s="2576"/>
      <c r="CQ78" s="2576"/>
      <c r="CR78" s="2576"/>
      <c r="CS78" s="2576"/>
      <c r="CT78" s="2576"/>
      <c r="CU78" s="2576"/>
      <c r="CV78" s="2576"/>
      <c r="CW78" s="2576"/>
      <c r="CX78" s="2576"/>
      <c r="CY78" s="2576"/>
      <c r="CZ78" s="2576"/>
      <c r="DA78" s="2576"/>
      <c r="DB78" s="2576"/>
      <c r="DC78" s="2576"/>
      <c r="DD78" s="2576"/>
      <c r="DE78" s="2576"/>
      <c r="DF78" s="2576"/>
      <c r="DG78" s="2576"/>
      <c r="DH78" s="2576"/>
      <c r="DI78" s="2576"/>
      <c r="DJ78" s="2576"/>
      <c r="DK78" s="2576"/>
      <c r="DL78" s="2576"/>
      <c r="DM78" s="2577"/>
      <c r="DO78" s="2573" t="str">
        <f>Translation!B556</f>
        <v>Variations-koeffizienten der Einzelleistungen</v>
      </c>
      <c r="DP78" s="2574"/>
      <c r="DR78" s="1431"/>
      <c r="DS78" s="1432"/>
      <c r="DU78" s="2563"/>
      <c r="DV78" s="1428"/>
      <c r="DW78" s="1428"/>
      <c r="DX78" s="1428"/>
      <c r="DY78" s="1428"/>
      <c r="DZ78" s="1428"/>
      <c r="EA78" s="1428"/>
      <c r="EB78" s="1428"/>
      <c r="EC78" s="1428"/>
      <c r="ED78" s="1428"/>
      <c r="EE78" s="1428"/>
      <c r="EF78" s="1428"/>
      <c r="EG78" s="1428"/>
      <c r="EH78" s="1428"/>
      <c r="EI78" s="1428"/>
      <c r="EJ78" s="1428"/>
    </row>
    <row r="79" spans="2:154" ht="12.75" customHeight="1" x14ac:dyDescent="0.2">
      <c r="D79" s="644"/>
      <c r="E79" s="644"/>
      <c r="F79" s="2563"/>
      <c r="G79" s="1434">
        <v>1</v>
      </c>
      <c r="H79" s="1434">
        <v>2</v>
      </c>
      <c r="I79" s="1434">
        <v>3</v>
      </c>
      <c r="J79" s="1434">
        <v>4</v>
      </c>
      <c r="K79" s="1434">
        <v>5</v>
      </c>
      <c r="L79" s="1434">
        <v>6</v>
      </c>
      <c r="M79" s="1434">
        <v>7</v>
      </c>
      <c r="N79" s="1434">
        <v>8</v>
      </c>
      <c r="O79" s="1434">
        <v>9</v>
      </c>
      <c r="P79" s="1434">
        <v>10</v>
      </c>
      <c r="Q79" s="1434">
        <v>11</v>
      </c>
      <c r="R79" s="1434">
        <v>12</v>
      </c>
      <c r="S79" s="1434">
        <v>13</v>
      </c>
      <c r="T79" s="1434">
        <v>14</v>
      </c>
      <c r="U79" s="1434">
        <v>15</v>
      </c>
      <c r="V79" s="1434">
        <v>16</v>
      </c>
      <c r="W79" s="1434">
        <v>17</v>
      </c>
      <c r="X79" s="1434">
        <v>18</v>
      </c>
      <c r="Y79" s="1434">
        <v>19</v>
      </c>
      <c r="Z79" s="1434">
        <v>20</v>
      </c>
      <c r="AA79" s="1434">
        <v>21</v>
      </c>
      <c r="AB79" s="1434">
        <v>22</v>
      </c>
      <c r="AC79" s="1434">
        <v>23</v>
      </c>
      <c r="AD79" s="1434">
        <v>24</v>
      </c>
      <c r="AE79" s="1434">
        <v>25</v>
      </c>
      <c r="AF79" s="1435">
        <v>26</v>
      </c>
      <c r="AI79" s="1825">
        <v>1</v>
      </c>
      <c r="AJ79" s="1434">
        <v>2</v>
      </c>
      <c r="AK79" s="1434">
        <v>3</v>
      </c>
      <c r="AL79" s="1434">
        <v>4</v>
      </c>
      <c r="AM79" s="1434">
        <v>5</v>
      </c>
      <c r="AN79" s="1434">
        <v>6</v>
      </c>
      <c r="AO79" s="1434">
        <v>7</v>
      </c>
      <c r="AP79" s="1434">
        <v>8</v>
      </c>
      <c r="AQ79" s="1434">
        <v>9</v>
      </c>
      <c r="AR79" s="1434">
        <v>10</v>
      </c>
      <c r="AS79" s="1434">
        <v>11</v>
      </c>
      <c r="AT79" s="1434">
        <v>12</v>
      </c>
      <c r="AU79" s="1434">
        <v>13</v>
      </c>
      <c r="AV79" s="1434">
        <v>14</v>
      </c>
      <c r="AW79" s="1434">
        <v>15</v>
      </c>
      <c r="AX79" s="1434">
        <v>16</v>
      </c>
      <c r="AY79" s="1434">
        <v>17</v>
      </c>
      <c r="AZ79" s="1434">
        <v>18</v>
      </c>
      <c r="BA79" s="1434">
        <v>19</v>
      </c>
      <c r="BB79" s="1434">
        <v>20</v>
      </c>
      <c r="BC79" s="1434">
        <v>21</v>
      </c>
      <c r="BD79" s="1434">
        <v>22</v>
      </c>
      <c r="BE79" s="1434">
        <v>23</v>
      </c>
      <c r="BF79" s="1434">
        <v>24</v>
      </c>
      <c r="BG79" s="1434">
        <v>25</v>
      </c>
      <c r="BH79" s="1435">
        <v>26</v>
      </c>
      <c r="BK79" s="1434">
        <v>1</v>
      </c>
      <c r="BL79" s="1434">
        <v>2</v>
      </c>
      <c r="BM79" s="1434">
        <v>3</v>
      </c>
      <c r="BN79" s="1434">
        <v>4</v>
      </c>
      <c r="BO79" s="1434">
        <v>5</v>
      </c>
      <c r="BP79" s="1434">
        <v>6</v>
      </c>
      <c r="BQ79" s="1434">
        <v>7</v>
      </c>
      <c r="BR79" s="1434">
        <v>8</v>
      </c>
      <c r="BS79" s="1434">
        <v>9</v>
      </c>
      <c r="BT79" s="1434">
        <v>10</v>
      </c>
      <c r="BU79" s="1434">
        <v>11</v>
      </c>
      <c r="BV79" s="1434">
        <v>12</v>
      </c>
      <c r="BW79" s="1434">
        <v>13</v>
      </c>
      <c r="BX79" s="1434">
        <v>14</v>
      </c>
      <c r="BY79" s="1434">
        <v>15</v>
      </c>
      <c r="BZ79" s="1434">
        <v>16</v>
      </c>
      <c r="CA79" s="1434">
        <v>17</v>
      </c>
      <c r="CB79" s="1434">
        <v>18</v>
      </c>
      <c r="CC79" s="1434">
        <v>19</v>
      </c>
      <c r="CD79" s="1434">
        <v>20</v>
      </c>
      <c r="CE79" s="1434">
        <v>21</v>
      </c>
      <c r="CF79" s="1434">
        <v>22</v>
      </c>
      <c r="CG79" s="1434">
        <v>23</v>
      </c>
      <c r="CH79" s="1434">
        <v>24</v>
      </c>
      <c r="CI79" s="1434">
        <v>25</v>
      </c>
      <c r="CJ79" s="1435">
        <v>26</v>
      </c>
      <c r="CN79" s="1825">
        <v>1</v>
      </c>
      <c r="CO79" s="1434">
        <v>2</v>
      </c>
      <c r="CP79" s="1434">
        <v>3</v>
      </c>
      <c r="CQ79" s="1434">
        <v>4</v>
      </c>
      <c r="CR79" s="1434">
        <v>5</v>
      </c>
      <c r="CS79" s="1434">
        <v>6</v>
      </c>
      <c r="CT79" s="1434">
        <v>7</v>
      </c>
      <c r="CU79" s="1434">
        <v>8</v>
      </c>
      <c r="CV79" s="1434">
        <v>9</v>
      </c>
      <c r="CW79" s="1434">
        <v>10</v>
      </c>
      <c r="CX79" s="1434">
        <v>11</v>
      </c>
      <c r="CY79" s="1434">
        <v>12</v>
      </c>
      <c r="CZ79" s="1434">
        <v>13</v>
      </c>
      <c r="DA79" s="1434">
        <v>14</v>
      </c>
      <c r="DB79" s="1434">
        <v>15</v>
      </c>
      <c r="DC79" s="1434">
        <v>16</v>
      </c>
      <c r="DD79" s="1434">
        <v>17</v>
      </c>
      <c r="DE79" s="1434">
        <v>18</v>
      </c>
      <c r="DF79" s="1434">
        <v>19</v>
      </c>
      <c r="DG79" s="1434">
        <v>20</v>
      </c>
      <c r="DH79" s="1434">
        <v>21</v>
      </c>
      <c r="DI79" s="1434">
        <v>22</v>
      </c>
      <c r="DJ79" s="1434">
        <v>23</v>
      </c>
      <c r="DK79" s="1434">
        <v>24</v>
      </c>
      <c r="DL79" s="1434">
        <v>25</v>
      </c>
      <c r="DM79" s="1435">
        <v>26</v>
      </c>
      <c r="DO79" s="2556"/>
      <c r="DP79" s="2575"/>
      <c r="DU79" s="2447"/>
      <c r="DV79" s="1428"/>
      <c r="DW79" s="1428"/>
      <c r="DX79" s="1428"/>
      <c r="DY79" s="1428"/>
      <c r="DZ79" s="1428"/>
      <c r="EA79" s="1428"/>
      <c r="EB79" s="1428"/>
      <c r="EC79" s="1428"/>
      <c r="ED79" s="1428"/>
      <c r="EE79" s="1428"/>
      <c r="EF79" s="1428"/>
      <c r="EG79" s="1428"/>
      <c r="EH79" s="1428"/>
      <c r="EI79" s="1428"/>
      <c r="EJ79" s="1428"/>
    </row>
    <row r="80" spans="2:154" ht="11.25" customHeight="1" x14ac:dyDescent="0.2">
      <c r="C80" s="2077" t="s">
        <v>2341</v>
      </c>
      <c r="D80" s="1436"/>
      <c r="F80" s="2563"/>
      <c r="G80" s="1437" t="s">
        <v>1877</v>
      </c>
      <c r="H80" s="1437" t="s">
        <v>1878</v>
      </c>
      <c r="I80" s="1437" t="s">
        <v>1879</v>
      </c>
      <c r="J80" s="1437" t="s">
        <v>1880</v>
      </c>
      <c r="K80" s="1437" t="s">
        <v>1881</v>
      </c>
      <c r="L80" s="1437" t="s">
        <v>1882</v>
      </c>
      <c r="M80" s="1437" t="s">
        <v>1883</v>
      </c>
      <c r="N80" s="1437" t="s">
        <v>1884</v>
      </c>
      <c r="O80" s="1437" t="s">
        <v>1885</v>
      </c>
      <c r="P80" s="1437" t="s">
        <v>1886</v>
      </c>
      <c r="Q80" s="1437" t="s">
        <v>1887</v>
      </c>
      <c r="R80" s="1437" t="s">
        <v>1888</v>
      </c>
      <c r="S80" s="1437" t="s">
        <v>1889</v>
      </c>
      <c r="T80" s="1437" t="s">
        <v>1890</v>
      </c>
      <c r="U80" s="1437" t="s">
        <v>1891</v>
      </c>
      <c r="V80" s="1437" t="s">
        <v>1892</v>
      </c>
      <c r="W80" s="1437" t="s">
        <v>1893</v>
      </c>
      <c r="X80" s="1437" t="s">
        <v>1894</v>
      </c>
      <c r="Y80" s="1437" t="s">
        <v>1895</v>
      </c>
      <c r="Z80" s="1437" t="s">
        <v>1896</v>
      </c>
      <c r="AA80" s="1437" t="s">
        <v>1897</v>
      </c>
      <c r="AB80" s="1437" t="s">
        <v>1898</v>
      </c>
      <c r="AC80" s="1437" t="s">
        <v>1899</v>
      </c>
      <c r="AD80" s="1437" t="s">
        <v>1900</v>
      </c>
      <c r="AE80" s="1437" t="s">
        <v>1901</v>
      </c>
      <c r="AF80" s="1438" t="s">
        <v>1902</v>
      </c>
      <c r="AI80" s="1829" t="s">
        <v>1877</v>
      </c>
      <c r="AJ80" s="1437" t="s">
        <v>1878</v>
      </c>
      <c r="AK80" s="1437" t="s">
        <v>1879</v>
      </c>
      <c r="AL80" s="1437" t="s">
        <v>1880</v>
      </c>
      <c r="AM80" s="1437" t="s">
        <v>1881</v>
      </c>
      <c r="AN80" s="1437" t="s">
        <v>1882</v>
      </c>
      <c r="AO80" s="1437" t="s">
        <v>1883</v>
      </c>
      <c r="AP80" s="1437" t="s">
        <v>1884</v>
      </c>
      <c r="AQ80" s="1437" t="s">
        <v>1885</v>
      </c>
      <c r="AR80" s="1437" t="s">
        <v>1886</v>
      </c>
      <c r="AS80" s="1437" t="s">
        <v>1887</v>
      </c>
      <c r="AT80" s="1437" t="s">
        <v>1888</v>
      </c>
      <c r="AU80" s="1437" t="s">
        <v>1889</v>
      </c>
      <c r="AV80" s="1437" t="s">
        <v>1890</v>
      </c>
      <c r="AW80" s="1437" t="s">
        <v>1891</v>
      </c>
      <c r="AX80" s="1437" t="s">
        <v>1892</v>
      </c>
      <c r="AY80" s="1437" t="s">
        <v>1893</v>
      </c>
      <c r="AZ80" s="1437" t="s">
        <v>1894</v>
      </c>
      <c r="BA80" s="1437" t="s">
        <v>1895</v>
      </c>
      <c r="BB80" s="1437" t="s">
        <v>1896</v>
      </c>
      <c r="BC80" s="1437" t="s">
        <v>1897</v>
      </c>
      <c r="BD80" s="1437" t="s">
        <v>1898</v>
      </c>
      <c r="BE80" s="1437" t="s">
        <v>1899</v>
      </c>
      <c r="BF80" s="1437" t="s">
        <v>1900</v>
      </c>
      <c r="BG80" s="1437" t="s">
        <v>1901</v>
      </c>
      <c r="BH80" s="1438" t="s">
        <v>1902</v>
      </c>
      <c r="BK80" s="1437" t="s">
        <v>1877</v>
      </c>
      <c r="BL80" s="1437" t="s">
        <v>1878</v>
      </c>
      <c r="BM80" s="1437" t="s">
        <v>1879</v>
      </c>
      <c r="BN80" s="1437" t="s">
        <v>1880</v>
      </c>
      <c r="BO80" s="1437" t="s">
        <v>1881</v>
      </c>
      <c r="BP80" s="1437" t="s">
        <v>1882</v>
      </c>
      <c r="BQ80" s="1437" t="s">
        <v>1883</v>
      </c>
      <c r="BR80" s="1437" t="s">
        <v>1884</v>
      </c>
      <c r="BS80" s="1437" t="s">
        <v>1885</v>
      </c>
      <c r="BT80" s="1437" t="s">
        <v>1886</v>
      </c>
      <c r="BU80" s="1437" t="s">
        <v>1887</v>
      </c>
      <c r="BV80" s="1437" t="s">
        <v>1888</v>
      </c>
      <c r="BW80" s="1437" t="s">
        <v>1889</v>
      </c>
      <c r="BX80" s="1437" t="s">
        <v>1890</v>
      </c>
      <c r="BY80" s="1437" t="s">
        <v>1891</v>
      </c>
      <c r="BZ80" s="1437" t="s">
        <v>1892</v>
      </c>
      <c r="CA80" s="1437" t="s">
        <v>1893</v>
      </c>
      <c r="CB80" s="1437" t="s">
        <v>1894</v>
      </c>
      <c r="CC80" s="1437" t="s">
        <v>1895</v>
      </c>
      <c r="CD80" s="1437" t="s">
        <v>1896</v>
      </c>
      <c r="CE80" s="1437" t="s">
        <v>1897</v>
      </c>
      <c r="CF80" s="1437" t="s">
        <v>1898</v>
      </c>
      <c r="CG80" s="1437" t="s">
        <v>1899</v>
      </c>
      <c r="CH80" s="1437" t="s">
        <v>1900</v>
      </c>
      <c r="CI80" s="1437" t="s">
        <v>1901</v>
      </c>
      <c r="CJ80" s="1438" t="s">
        <v>1902</v>
      </c>
      <c r="CN80" s="1829" t="s">
        <v>1877</v>
      </c>
      <c r="CO80" s="1437" t="s">
        <v>1878</v>
      </c>
      <c r="CP80" s="1437" t="s">
        <v>1879</v>
      </c>
      <c r="CQ80" s="1437" t="s">
        <v>1880</v>
      </c>
      <c r="CR80" s="1437" t="s">
        <v>1881</v>
      </c>
      <c r="CS80" s="1437" t="s">
        <v>1882</v>
      </c>
      <c r="CT80" s="1437" t="s">
        <v>1883</v>
      </c>
      <c r="CU80" s="1437" t="s">
        <v>1884</v>
      </c>
      <c r="CV80" s="1437" t="s">
        <v>1885</v>
      </c>
      <c r="CW80" s="1437" t="s">
        <v>1886</v>
      </c>
      <c r="CX80" s="1437" t="s">
        <v>1887</v>
      </c>
      <c r="CY80" s="1437" t="s">
        <v>1888</v>
      </c>
      <c r="CZ80" s="1437" t="s">
        <v>1889</v>
      </c>
      <c r="DA80" s="1437" t="s">
        <v>1890</v>
      </c>
      <c r="DB80" s="1437" t="s">
        <v>1891</v>
      </c>
      <c r="DC80" s="1437" t="s">
        <v>1892</v>
      </c>
      <c r="DD80" s="1437" t="s">
        <v>1893</v>
      </c>
      <c r="DE80" s="1437" t="s">
        <v>1894</v>
      </c>
      <c r="DF80" s="1437" t="s">
        <v>1895</v>
      </c>
      <c r="DG80" s="1437" t="s">
        <v>1896</v>
      </c>
      <c r="DH80" s="1437" t="s">
        <v>1897</v>
      </c>
      <c r="DI80" s="1437" t="s">
        <v>1898</v>
      </c>
      <c r="DJ80" s="1437" t="s">
        <v>1899</v>
      </c>
      <c r="DK80" s="1437" t="s">
        <v>1900</v>
      </c>
      <c r="DL80" s="1437" t="s">
        <v>1901</v>
      </c>
      <c r="DM80" s="1438" t="s">
        <v>1902</v>
      </c>
      <c r="DO80" s="2556"/>
      <c r="DP80" s="2575"/>
      <c r="DR80" s="2077" t="s">
        <v>2341</v>
      </c>
      <c r="DS80" s="2087"/>
      <c r="DT80" s="2168"/>
      <c r="DU80" s="2447"/>
      <c r="DV80" s="1428"/>
      <c r="DW80" s="1428"/>
      <c r="DX80" s="1428"/>
      <c r="DY80" s="1428"/>
      <c r="DZ80" s="1428"/>
      <c r="EA80" s="1428"/>
      <c r="EB80" s="1428"/>
      <c r="EC80" s="1428"/>
      <c r="ED80" s="1428"/>
      <c r="EE80" s="1428"/>
      <c r="EF80" s="1428"/>
      <c r="EG80" s="1428"/>
      <c r="EH80" s="1428"/>
      <c r="EI80" s="1428"/>
      <c r="EJ80" s="1428"/>
    </row>
    <row r="81" spans="3:140" ht="11.25" customHeight="1" x14ac:dyDescent="0.2">
      <c r="C81" s="1442" t="s">
        <v>2344</v>
      </c>
      <c r="D81" s="1426" t="str">
        <f>Translation!B$584</f>
        <v>Sucht ohne Nikotin</v>
      </c>
      <c r="F81" s="1437"/>
      <c r="G81" s="2208">
        <v>270.884166666667</v>
      </c>
      <c r="H81" s="2209">
        <v>5</v>
      </c>
      <c r="I81" s="2209">
        <v>29.5833333333333</v>
      </c>
      <c r="J81" s="2209">
        <v>740.66499999999996</v>
      </c>
      <c r="K81" s="2209">
        <v>121.544166666667</v>
      </c>
      <c r="L81" s="2209">
        <v>238.50166666666701</v>
      </c>
      <c r="M81" s="2209">
        <v>178.17333333333301</v>
      </c>
      <c r="N81" s="2209">
        <v>254.944166666667</v>
      </c>
      <c r="O81" s="2209">
        <v>29.265833333333301</v>
      </c>
      <c r="P81" s="2209">
        <v>108.1375</v>
      </c>
      <c r="Q81" s="2209">
        <v>60.167499999999997</v>
      </c>
      <c r="R81" s="2209">
        <v>184.71583333333299</v>
      </c>
      <c r="S81" s="2209">
        <v>130.19583333333301</v>
      </c>
      <c r="T81" s="2209">
        <v>10.6666666666667</v>
      </c>
      <c r="U81" s="2209">
        <v>17</v>
      </c>
      <c r="V81" s="2209">
        <v>196.71583333333299</v>
      </c>
      <c r="W81" s="2209">
        <v>37.554166666666703</v>
      </c>
      <c r="X81" s="2209">
        <v>216.52166666666699</v>
      </c>
      <c r="Y81" s="2209">
        <v>45.725833333333298</v>
      </c>
      <c r="Z81" s="2209">
        <v>87.3333333333333</v>
      </c>
      <c r="AA81" s="2209">
        <v>186.70166666666699</v>
      </c>
      <c r="AB81" s="2209">
        <v>9.25</v>
      </c>
      <c r="AC81" s="2209">
        <v>467.57333333333298</v>
      </c>
      <c r="AD81" s="2209">
        <v>173.36250000000001</v>
      </c>
      <c r="AE81" s="2209">
        <v>33.451666666666704</v>
      </c>
      <c r="AF81" s="2210">
        <v>620.96</v>
      </c>
      <c r="AI81" s="2071">
        <f>Risk_Compensation!H87*Risk_Compensation!$AK87*12/1000000</f>
        <v>0</v>
      </c>
      <c r="AJ81" s="2064">
        <f>Risk_Compensation!I87*Risk_Compensation!$AK87*12/1000000</f>
        <v>0</v>
      </c>
      <c r="AK81" s="2064">
        <f>Risk_Compensation!J87*Risk_Compensation!$AK87*12/1000000</f>
        <v>0</v>
      </c>
      <c r="AL81" s="2064">
        <f>Risk_Compensation!K87*Risk_Compensation!$AK87*12/1000000</f>
        <v>0</v>
      </c>
      <c r="AM81" s="2064">
        <f>Risk_Compensation!L87*Risk_Compensation!$AK87*12/1000000</f>
        <v>0</v>
      </c>
      <c r="AN81" s="2064">
        <f>Risk_Compensation!M87*Risk_Compensation!$AK87*12/1000000</f>
        <v>0</v>
      </c>
      <c r="AO81" s="2064">
        <f>Risk_Compensation!N87*Risk_Compensation!$AK87*12/1000000</f>
        <v>0</v>
      </c>
      <c r="AP81" s="2064">
        <f>Risk_Compensation!O87*Risk_Compensation!$AK87*12/1000000</f>
        <v>0</v>
      </c>
      <c r="AQ81" s="2064">
        <f>Risk_Compensation!P87*Risk_Compensation!$AK87*12/1000000</f>
        <v>0</v>
      </c>
      <c r="AR81" s="2064">
        <f>Risk_Compensation!Q87*Risk_Compensation!$AK87*12/1000000</f>
        <v>0</v>
      </c>
      <c r="AS81" s="2064">
        <f>Risk_Compensation!R87*Risk_Compensation!$AK87*12/1000000</f>
        <v>0</v>
      </c>
      <c r="AT81" s="2064">
        <f>Risk_Compensation!S87*Risk_Compensation!$AK87*12/1000000</f>
        <v>0</v>
      </c>
      <c r="AU81" s="2064">
        <f>Risk_Compensation!T87*Risk_Compensation!$AK87*12/1000000</f>
        <v>0</v>
      </c>
      <c r="AV81" s="2064">
        <f>Risk_Compensation!U87*Risk_Compensation!$AK87*12/1000000</f>
        <v>0</v>
      </c>
      <c r="AW81" s="2064">
        <f>Risk_Compensation!V87*Risk_Compensation!$AK87*12/1000000</f>
        <v>0</v>
      </c>
      <c r="AX81" s="2064">
        <f>Risk_Compensation!W87*Risk_Compensation!$AK87*12/1000000</f>
        <v>0</v>
      </c>
      <c r="AY81" s="2064">
        <f>Risk_Compensation!X87*Risk_Compensation!$AK87*12/1000000</f>
        <v>0</v>
      </c>
      <c r="AZ81" s="2064">
        <f>Risk_Compensation!Y87*Risk_Compensation!$AK87*12/1000000</f>
        <v>0</v>
      </c>
      <c r="BA81" s="2064">
        <f>Risk_Compensation!Z87*Risk_Compensation!$AK87*12/1000000</f>
        <v>0</v>
      </c>
      <c r="BB81" s="2064">
        <f>Risk_Compensation!AA87*Risk_Compensation!$AK87*12/1000000</f>
        <v>0</v>
      </c>
      <c r="BC81" s="2064">
        <f>Risk_Compensation!AB87*Risk_Compensation!$AK87*12/1000000</f>
        <v>0</v>
      </c>
      <c r="BD81" s="2064">
        <f>Risk_Compensation!AC87*Risk_Compensation!$AK87*12/1000000</f>
        <v>0</v>
      </c>
      <c r="BE81" s="2064">
        <f>Risk_Compensation!AD87*Risk_Compensation!$AK87*12/1000000</f>
        <v>0</v>
      </c>
      <c r="BF81" s="2064">
        <f>Risk_Compensation!AE87*Risk_Compensation!$AK87*12/1000000</f>
        <v>0</v>
      </c>
      <c r="BG81" s="2064">
        <f>Risk_Compensation!AF87*Risk_Compensation!$AK87*12/1000000</f>
        <v>0</v>
      </c>
      <c r="BH81" s="2065">
        <f>Risk_Compensation!AG87*Risk_Compensation!$AK87*12/1000000</f>
        <v>0</v>
      </c>
      <c r="BK81" s="2135">
        <f>IF(G81&lt;=0,0,(Risk_Compensation!H87/G81-Risk_Compensation!H$79/G$72-0.5*CO$167*(G126/G81-CO$135/G$72))*G81)</f>
        <v>0</v>
      </c>
      <c r="BL81" s="2136">
        <f>IF(H81&lt;=0,0,(Risk_Compensation!I87/H81-Risk_Compensation!I$79/H$72-0.5*CP$167*(H126/H81-CP$135/H$72))*H81)</f>
        <v>0</v>
      </c>
      <c r="BM81" s="2136">
        <f>IF(I81&lt;=0,0,(Risk_Compensation!J87/I81-Risk_Compensation!J$79/I$72-0.5*CQ$167*(I126/I81-CQ$135/I$72))*I81)</f>
        <v>0</v>
      </c>
      <c r="BN81" s="2136">
        <f>IF(J81&lt;=0,0,(Risk_Compensation!K87/J81-Risk_Compensation!K$79/J$72-0.5*CR$167*(J126/J81-CR$135/J$72))*J81)</f>
        <v>0</v>
      </c>
      <c r="BO81" s="2136">
        <f>IF(K81&lt;=0,0,(Risk_Compensation!L87/K81-Risk_Compensation!L$79/K$72-0.5*CS$167*(K126/K81-CS$135/K$72))*K81)</f>
        <v>0</v>
      </c>
      <c r="BP81" s="2136">
        <f>IF(L81&lt;=0,0,(Risk_Compensation!M87/L81-Risk_Compensation!M$79/L$72-0.5*CT$167*(L126/L81-CT$135/L$72))*L81)</f>
        <v>0</v>
      </c>
      <c r="BQ81" s="2136">
        <f>IF(M81&lt;=0,0,(Risk_Compensation!N87/M81-Risk_Compensation!N$79/M$72-0.5*CU$167*(M126/M81-CU$135/M$72))*M81)</f>
        <v>0</v>
      </c>
      <c r="BR81" s="2136">
        <f>IF(N81&lt;=0,0,(Risk_Compensation!O87/N81-Risk_Compensation!O$79/N$72-0.5*CV$167*(N126/N81-CV$135/N$72))*N81)</f>
        <v>0</v>
      </c>
      <c r="BS81" s="2136">
        <f>IF(O81&lt;=0,0,(Risk_Compensation!P87/O81-Risk_Compensation!P$79/O$72-0.5*CW$167*(O126/O81-CW$135/O$72))*O81)</f>
        <v>0</v>
      </c>
      <c r="BT81" s="2136">
        <f>IF(P81&lt;=0,0,(Risk_Compensation!Q87/P81-Risk_Compensation!Q$79/P$72-0.5*CX$167*(P126/P81-CX$135/P$72))*P81)</f>
        <v>0</v>
      </c>
      <c r="BU81" s="2136">
        <f>IF(Q81&lt;=0,0,(Risk_Compensation!R87/Q81-Risk_Compensation!R$79/Q$72-0.5*CY$167*(Q126/Q81-CY$135/Q$72))*Q81)</f>
        <v>0</v>
      </c>
      <c r="BV81" s="2136">
        <f>IF(R81&lt;=0,0,(Risk_Compensation!S87/R81-Risk_Compensation!S$79/R$72-0.5*CZ$167*(R126/R81-CZ$135/R$72))*R81)</f>
        <v>0</v>
      </c>
      <c r="BW81" s="2136">
        <f>IF(S81&lt;=0,0,(Risk_Compensation!T87/S81-Risk_Compensation!T$79/S$72-0.5*DA$167*(S126/S81-DA$135/S$72))*S81)</f>
        <v>0</v>
      </c>
      <c r="BX81" s="2136">
        <f>IF(T81&lt;=0,0,(Risk_Compensation!U87/T81-Risk_Compensation!U$79/T$72-0.5*DB$167*(T126/T81-DB$135/T$72))*T81)</f>
        <v>0</v>
      </c>
      <c r="BY81" s="2136">
        <f>IF(U81&lt;=0,0,(Risk_Compensation!V87/U81-Risk_Compensation!V$79/U$72-0.5*DC$167*(U126/U81-DC$135/U$72))*U81)</f>
        <v>0</v>
      </c>
      <c r="BZ81" s="2136">
        <f>IF(V81&lt;=0,0,(Risk_Compensation!W87/V81-Risk_Compensation!W$79/V$72-0.5*DD$167*(V126/V81-DD$135/V$72))*V81)</f>
        <v>0</v>
      </c>
      <c r="CA81" s="2136">
        <f>IF(W81&lt;=0,0,(Risk_Compensation!X87/W81-Risk_Compensation!X$79/W$72-0.5*DE$167*(W126/W81-DE$135/W$72))*W81)</f>
        <v>0</v>
      </c>
      <c r="CB81" s="2136">
        <f>IF(X81&lt;=0,0,(Risk_Compensation!Y87/X81-Risk_Compensation!Y$79/X$72-0.5*DF$167*(X126/X81-DF$135/X$72))*X81)</f>
        <v>0</v>
      </c>
      <c r="CC81" s="2136">
        <f>IF(Y81&lt;=0,0,(Risk_Compensation!Z87/Y81-Risk_Compensation!Z$79/Y$72-0.5*DG$167*(Y126/Y81-DG$135/Y$72))*Y81)</f>
        <v>0</v>
      </c>
      <c r="CD81" s="2136">
        <f>IF(Z81&lt;=0,0,(Risk_Compensation!AA87/Z81-Risk_Compensation!AA$79/Z$72-0.5*DH$167*(Z126/Z81-DH$135/Z$72))*Z81)</f>
        <v>0</v>
      </c>
      <c r="CE81" s="2136">
        <f>IF(AA81&lt;=0,0,(Risk_Compensation!AB87/AA81-Risk_Compensation!AB$79/AA$72-0.5*DI$167*(AA126/AA81-DI$135/AA$72))*AA81)</f>
        <v>0</v>
      </c>
      <c r="CF81" s="2136">
        <f>IF(AB81&lt;=0,0,(Risk_Compensation!AC87/AB81-Risk_Compensation!AC$79/AB$72-0.5*DJ$167*(AB126/AB81-DJ$135/AB$72))*AB81)</f>
        <v>0</v>
      </c>
      <c r="CG81" s="2136">
        <f>IF(AC81&lt;=0,0,(Risk_Compensation!AD87/AC81-Risk_Compensation!AD$79/AC$72-0.5*DK$167*(AC126/AC81-DK$135/AC$72))*AC81)</f>
        <v>0</v>
      </c>
      <c r="CH81" s="2136">
        <f>IF(AD81&lt;=0,0,(Risk_Compensation!AE87/AD81-Risk_Compensation!AE$79/AD$72-0.5*DL$167*(AD126/AD81-DL$135/AD$72))*AD81)</f>
        <v>0</v>
      </c>
      <c r="CI81" s="2136">
        <f>IF(AE81&lt;=0,0,(Risk_Compensation!AF87/AE81-Risk_Compensation!AF$79/AE$72-0.5*DM$167*(AE126/AE81-DM$135/AE$72))*AE81)</f>
        <v>0</v>
      </c>
      <c r="CJ81" s="2137">
        <f>IF(AF81&lt;=0,0,(Risk_Compensation!AG87/AF81-Risk_Compensation!AG$79/AF$72-0.5*DN$167*(AF126/AF81-DN$135/AF$72))*AF81)</f>
        <v>0</v>
      </c>
      <c r="CL81" s="2144"/>
      <c r="CN81" s="2071">
        <f>IF(G81&gt;0,$DP81^2*(BK81*Risk_Compensation!$AK87*12/1000000)^2/G81,0)</f>
        <v>0</v>
      </c>
      <c r="CO81" s="2064">
        <f>IF(H81&gt;0,$DP81^2*(BL81*Risk_Compensation!$AK87*12/1000000)^2/H81,0)</f>
        <v>0</v>
      </c>
      <c r="CP81" s="2064">
        <f>IF(I81&gt;0,$DP81^2*(BM81*Risk_Compensation!$AK87*12/1000000)^2/I81,0)</f>
        <v>0</v>
      </c>
      <c r="CQ81" s="2064">
        <f>IF(J81&gt;0,$DP81^2*(BN81*Risk_Compensation!$AK87*12/1000000)^2/J81,0)</f>
        <v>0</v>
      </c>
      <c r="CR81" s="2064">
        <f>IF(K81&gt;0,$DP81^2*(BO81*Risk_Compensation!$AK87*12/1000000)^2/K81,0)</f>
        <v>0</v>
      </c>
      <c r="CS81" s="2064">
        <f>IF(L81&gt;0,$DP81^2*(BP81*Risk_Compensation!$AK87*12/1000000)^2/L81,0)</f>
        <v>0</v>
      </c>
      <c r="CT81" s="2064">
        <f>IF(M81&gt;0,$DP81^2*(BQ81*Risk_Compensation!$AK87*12/1000000)^2/M81,0)</f>
        <v>0</v>
      </c>
      <c r="CU81" s="2064">
        <f>IF(N81&gt;0,$DP81^2*(BR81*Risk_Compensation!$AK87*12/1000000)^2/N81,0)</f>
        <v>0</v>
      </c>
      <c r="CV81" s="2064">
        <f>IF(O81&gt;0,$DP81^2*(BS81*Risk_Compensation!$AK87*12/1000000)^2/O81,0)</f>
        <v>0</v>
      </c>
      <c r="CW81" s="2064">
        <f>IF(P81&gt;0,$DP81^2*(BT81*Risk_Compensation!$AK87*12/1000000)^2/P81,0)</f>
        <v>0</v>
      </c>
      <c r="CX81" s="2064">
        <f>IF(Q81&gt;0,$DP81^2*(BU81*Risk_Compensation!$AK87*12/1000000)^2/Q81,0)</f>
        <v>0</v>
      </c>
      <c r="CY81" s="2064">
        <f>IF(R81&gt;0,$DP81^2*(BV81*Risk_Compensation!$AK87*12/1000000)^2/R81,0)</f>
        <v>0</v>
      </c>
      <c r="CZ81" s="2064">
        <f>IF(S81&gt;0,$DP81^2*(BW81*Risk_Compensation!$AK87*12/1000000)^2/S81,0)</f>
        <v>0</v>
      </c>
      <c r="DA81" s="2064">
        <f>IF(T81&gt;0,$DP81^2*(BX81*Risk_Compensation!$AK87*12/1000000)^2/T81,0)</f>
        <v>0</v>
      </c>
      <c r="DB81" s="2064">
        <f>IF(U81&gt;0,$DP81^2*(BY81*Risk_Compensation!$AK87*12/1000000)^2/U81,0)</f>
        <v>0</v>
      </c>
      <c r="DC81" s="2064">
        <f>IF(V81&gt;0,$DP81^2*(BZ81*Risk_Compensation!$AK87*12/1000000)^2/V81,0)</f>
        <v>0</v>
      </c>
      <c r="DD81" s="2064">
        <f>IF(W81&gt;0,$DP81^2*(CA81*Risk_Compensation!$AK87*12/1000000)^2/W81,0)</f>
        <v>0</v>
      </c>
      <c r="DE81" s="2064">
        <f>IF(X81&gt;0,$DP81^2*(CB81*Risk_Compensation!$AK87*12/1000000)^2/X81,0)</f>
        <v>0</v>
      </c>
      <c r="DF81" s="2064">
        <f>IF(Y81&gt;0,$DP81^2*(CC81*Risk_Compensation!$AK87*12/1000000)^2/Y81,0)</f>
        <v>0</v>
      </c>
      <c r="DG81" s="2064">
        <f>IF(Z81&gt;0,$DP81^2*(CD81*Risk_Compensation!$AK87*12/1000000)^2/Z81,0)</f>
        <v>0</v>
      </c>
      <c r="DH81" s="2064">
        <f>IF(AA81&gt;0,$DP81^2*(CE81*Risk_Compensation!$AK87*12/1000000)^2/AA81,0)</f>
        <v>0</v>
      </c>
      <c r="DI81" s="2064">
        <f>IF(AB81&gt;0,$DP81^2*(CF81*Risk_Compensation!$AK87*12/1000000)^2/AB81,0)</f>
        <v>0</v>
      </c>
      <c r="DJ81" s="2064">
        <f>IF(AC81&gt;0,$DP81^2*(CG81*Risk_Compensation!$AK87*12/1000000)^2/AC81,0)</f>
        <v>0</v>
      </c>
      <c r="DK81" s="2064">
        <f>IF(AD81&gt;0,$DP81^2*(CH81*Risk_Compensation!$AK87*12/1000000)^2/AD81,0)</f>
        <v>0</v>
      </c>
      <c r="DL81" s="2064">
        <f>IF(AE81&gt;0,$DP81^2*(CI81*Risk_Compensation!$AK87*12/1000000)^2/AE81,0)</f>
        <v>0</v>
      </c>
      <c r="DM81" s="2065">
        <f>IF(AF81&gt;0,$DP81^2*(CJ81*Risk_Compensation!$AK87*12/1000000)^2/AF81,0)</f>
        <v>0</v>
      </c>
      <c r="DO81" s="2162"/>
      <c r="DP81" s="2218">
        <v>1.26273346791963</v>
      </c>
      <c r="DR81" s="1428" t="s">
        <v>2344</v>
      </c>
      <c r="DS81" s="1426" t="str">
        <f>Translation!B$584</f>
        <v>Sucht ohne Nikotin</v>
      </c>
      <c r="DU81" s="2167"/>
      <c r="DV81" s="1428"/>
      <c r="DW81" s="2159"/>
      <c r="DX81" s="2159"/>
      <c r="DY81" s="2217"/>
      <c r="DZ81" s="2159"/>
      <c r="EA81" s="2159"/>
      <c r="EB81" s="2159"/>
      <c r="EC81" s="2159"/>
      <c r="ED81" s="2159"/>
      <c r="EE81" s="2159"/>
      <c r="EF81" s="2159"/>
      <c r="EG81" s="2159"/>
      <c r="EH81" s="2159"/>
      <c r="EI81" s="2159"/>
      <c r="EJ81" s="2159"/>
    </row>
    <row r="82" spans="3:140" x14ac:dyDescent="0.2">
      <c r="C82" s="1428" t="s">
        <v>2346</v>
      </c>
      <c r="D82" s="1426" t="str">
        <f>Translation!B$585</f>
        <v>ADHS</v>
      </c>
      <c r="F82" s="1437"/>
      <c r="G82" s="2211">
        <v>2269.9933333333302</v>
      </c>
      <c r="H82" s="2212">
        <v>15.75</v>
      </c>
      <c r="I82" s="2212">
        <v>117.166666666667</v>
      </c>
      <c r="J82" s="2212">
        <v>3318.0816666666701</v>
      </c>
      <c r="K82" s="2212">
        <v>794.04750000000001</v>
      </c>
      <c r="L82" s="2212">
        <v>770.3125</v>
      </c>
      <c r="M82" s="2212">
        <v>620.84333333333302</v>
      </c>
      <c r="N82" s="2212">
        <v>1517.4183333333301</v>
      </c>
      <c r="O82" s="2212">
        <v>82.155833333333305</v>
      </c>
      <c r="P82" s="2212">
        <v>284.76333333333298</v>
      </c>
      <c r="Q82" s="2212">
        <v>116.4325</v>
      </c>
      <c r="R82" s="2212">
        <v>1169.9749999999999</v>
      </c>
      <c r="S82" s="2212">
        <v>482.384166666667</v>
      </c>
      <c r="T82" s="2212">
        <v>125.416666666667</v>
      </c>
      <c r="U82" s="2212">
        <v>85.717500000000001</v>
      </c>
      <c r="V82" s="2212">
        <v>1062.4766666666701</v>
      </c>
      <c r="W82" s="2212">
        <v>201.73583333333301</v>
      </c>
      <c r="X82" s="2212">
        <v>722.29833333333295</v>
      </c>
      <c r="Y82" s="2212">
        <v>331.48500000000001</v>
      </c>
      <c r="Z82" s="2212">
        <v>776.745</v>
      </c>
      <c r="AA82" s="2212">
        <v>148.84083333333299</v>
      </c>
      <c r="AB82" s="2212">
        <v>79.1666666666667</v>
      </c>
      <c r="AC82" s="2212">
        <v>1454.54</v>
      </c>
      <c r="AD82" s="2212">
        <v>364.13916666666699</v>
      </c>
      <c r="AE82" s="2212">
        <v>459.66916666666702</v>
      </c>
      <c r="AF82" s="2213">
        <v>6196.3074999999999</v>
      </c>
      <c r="AI82" s="2078">
        <f>Risk_Compensation!H88*Risk_Compensation!$AK88*12/1000000</f>
        <v>0</v>
      </c>
      <c r="AJ82" s="2079">
        <f>Risk_Compensation!I88*Risk_Compensation!$AK88*12/1000000</f>
        <v>0</v>
      </c>
      <c r="AK82" s="2079">
        <f>Risk_Compensation!J88*Risk_Compensation!$AK88*12/1000000</f>
        <v>0</v>
      </c>
      <c r="AL82" s="2079">
        <f>Risk_Compensation!K88*Risk_Compensation!$AK88*12/1000000</f>
        <v>0</v>
      </c>
      <c r="AM82" s="2079">
        <f>Risk_Compensation!L88*Risk_Compensation!$AK88*12/1000000</f>
        <v>0</v>
      </c>
      <c r="AN82" s="2079">
        <f>Risk_Compensation!M88*Risk_Compensation!$AK88*12/1000000</f>
        <v>0</v>
      </c>
      <c r="AO82" s="2079">
        <f>Risk_Compensation!N88*Risk_Compensation!$AK88*12/1000000</f>
        <v>0</v>
      </c>
      <c r="AP82" s="2079">
        <f>Risk_Compensation!O88*Risk_Compensation!$AK88*12/1000000</f>
        <v>0</v>
      </c>
      <c r="AQ82" s="2079">
        <f>Risk_Compensation!P88*Risk_Compensation!$AK88*12/1000000</f>
        <v>0</v>
      </c>
      <c r="AR82" s="2079">
        <f>Risk_Compensation!Q88*Risk_Compensation!$AK88*12/1000000</f>
        <v>0</v>
      </c>
      <c r="AS82" s="2079">
        <f>Risk_Compensation!R88*Risk_Compensation!$AK88*12/1000000</f>
        <v>0</v>
      </c>
      <c r="AT82" s="2079">
        <f>Risk_Compensation!S88*Risk_Compensation!$AK88*12/1000000</f>
        <v>0</v>
      </c>
      <c r="AU82" s="2079">
        <f>Risk_Compensation!T88*Risk_Compensation!$AK88*12/1000000</f>
        <v>0</v>
      </c>
      <c r="AV82" s="2079">
        <f>Risk_Compensation!U88*Risk_Compensation!$AK88*12/1000000</f>
        <v>0</v>
      </c>
      <c r="AW82" s="2079">
        <f>Risk_Compensation!V88*Risk_Compensation!$AK88*12/1000000</f>
        <v>0</v>
      </c>
      <c r="AX82" s="2079">
        <f>Risk_Compensation!W88*Risk_Compensation!$AK88*12/1000000</f>
        <v>0</v>
      </c>
      <c r="AY82" s="2079">
        <f>Risk_Compensation!X88*Risk_Compensation!$AK88*12/1000000</f>
        <v>0</v>
      </c>
      <c r="AZ82" s="2079">
        <f>Risk_Compensation!Y88*Risk_Compensation!$AK88*12/1000000</f>
        <v>0</v>
      </c>
      <c r="BA82" s="2079">
        <f>Risk_Compensation!Z88*Risk_Compensation!$AK88*12/1000000</f>
        <v>0</v>
      </c>
      <c r="BB82" s="2079">
        <f>Risk_Compensation!AA88*Risk_Compensation!$AK88*12/1000000</f>
        <v>0</v>
      </c>
      <c r="BC82" s="2079">
        <f>Risk_Compensation!AB88*Risk_Compensation!$AK88*12/1000000</f>
        <v>0</v>
      </c>
      <c r="BD82" s="2079">
        <f>Risk_Compensation!AC88*Risk_Compensation!$AK88*12/1000000</f>
        <v>0</v>
      </c>
      <c r="BE82" s="2079">
        <f>Risk_Compensation!AD88*Risk_Compensation!$AK88*12/1000000</f>
        <v>0</v>
      </c>
      <c r="BF82" s="2079">
        <f>Risk_Compensation!AE88*Risk_Compensation!$AK88*12/1000000</f>
        <v>0</v>
      </c>
      <c r="BG82" s="2079">
        <f>Risk_Compensation!AF88*Risk_Compensation!$AK88*12/1000000</f>
        <v>0</v>
      </c>
      <c r="BH82" s="2080">
        <f>Risk_Compensation!AG88*Risk_Compensation!$AK88*12/1000000</f>
        <v>0</v>
      </c>
      <c r="BK82" s="2138">
        <f>IF(G82&lt;=0,0,(Risk_Compensation!H88/G82-Risk_Compensation!H$79/G$72-0.5*CO$167*(G127/G82-CO$135/G$72))*G82)</f>
        <v>0</v>
      </c>
      <c r="BL82" s="2139">
        <f>IF(H82&lt;=0,0,(Risk_Compensation!I88/H82-Risk_Compensation!I$79/H$72-0.5*CP$167*(H127/H82-CP$135/H$72))*H82)</f>
        <v>0</v>
      </c>
      <c r="BM82" s="2139">
        <f>IF(I82&lt;=0,0,(Risk_Compensation!J88/I82-Risk_Compensation!J$79/I$72-0.5*CQ$167*(I127/I82-CQ$135/I$72))*I82)</f>
        <v>0</v>
      </c>
      <c r="BN82" s="2139">
        <f>IF(J82&lt;=0,0,(Risk_Compensation!K88/J82-Risk_Compensation!K$79/J$72-0.5*CR$167*(J127/J82-CR$135/J$72))*J82)</f>
        <v>0</v>
      </c>
      <c r="BO82" s="2139">
        <f>IF(K82&lt;=0,0,(Risk_Compensation!L88/K82-Risk_Compensation!L$79/K$72-0.5*CS$167*(K127/K82-CS$135/K$72))*K82)</f>
        <v>0</v>
      </c>
      <c r="BP82" s="2139">
        <f>IF(L82&lt;=0,0,(Risk_Compensation!M88/L82-Risk_Compensation!M$79/L$72-0.5*CT$167*(L127/L82-CT$135/L$72))*L82)</f>
        <v>0</v>
      </c>
      <c r="BQ82" s="2139">
        <f>IF(M82&lt;=0,0,(Risk_Compensation!N88/M82-Risk_Compensation!N$79/M$72-0.5*CU$167*(M127/M82-CU$135/M$72))*M82)</f>
        <v>0</v>
      </c>
      <c r="BR82" s="2139">
        <f>IF(N82&lt;=0,0,(Risk_Compensation!O88/N82-Risk_Compensation!O$79/N$72-0.5*CV$167*(N127/N82-CV$135/N$72))*N82)</f>
        <v>0</v>
      </c>
      <c r="BS82" s="2139">
        <f>IF(O82&lt;=0,0,(Risk_Compensation!P88/O82-Risk_Compensation!P$79/O$72-0.5*CW$167*(O127/O82-CW$135/O$72))*O82)</f>
        <v>0</v>
      </c>
      <c r="BT82" s="2139">
        <f>IF(P82&lt;=0,0,(Risk_Compensation!Q88/P82-Risk_Compensation!Q$79/P$72-0.5*CX$167*(P127/P82-CX$135/P$72))*P82)</f>
        <v>0</v>
      </c>
      <c r="BU82" s="2139">
        <f>IF(Q82&lt;=0,0,(Risk_Compensation!R88/Q82-Risk_Compensation!R$79/Q$72-0.5*CY$167*(Q127/Q82-CY$135/Q$72))*Q82)</f>
        <v>0</v>
      </c>
      <c r="BV82" s="2139">
        <f>IF(R82&lt;=0,0,(Risk_Compensation!S88/R82-Risk_Compensation!S$79/R$72-0.5*CZ$167*(R127/R82-CZ$135/R$72))*R82)</f>
        <v>0</v>
      </c>
      <c r="BW82" s="2139">
        <f>IF(S82&lt;=0,0,(Risk_Compensation!T88/S82-Risk_Compensation!T$79/S$72-0.5*DA$167*(S127/S82-DA$135/S$72))*S82)</f>
        <v>0</v>
      </c>
      <c r="BX82" s="2139">
        <f>IF(T82&lt;=0,0,(Risk_Compensation!U88/T82-Risk_Compensation!U$79/T$72-0.5*DB$167*(T127/T82-DB$135/T$72))*T82)</f>
        <v>0</v>
      </c>
      <c r="BY82" s="2139">
        <f>IF(U82&lt;=0,0,(Risk_Compensation!V88/U82-Risk_Compensation!V$79/U$72-0.5*DC$167*(U127/U82-DC$135/U$72))*U82)</f>
        <v>0</v>
      </c>
      <c r="BZ82" s="2139">
        <f>IF(V82&lt;=0,0,(Risk_Compensation!W88/V82-Risk_Compensation!W$79/V$72-0.5*DD$167*(V127/V82-DD$135/V$72))*V82)</f>
        <v>0</v>
      </c>
      <c r="CA82" s="2139">
        <f>IF(W82&lt;=0,0,(Risk_Compensation!X88/W82-Risk_Compensation!X$79/W$72-0.5*DE$167*(W127/W82-DE$135/W$72))*W82)</f>
        <v>0</v>
      </c>
      <c r="CB82" s="2139">
        <f>IF(X82&lt;=0,0,(Risk_Compensation!Y88/X82-Risk_Compensation!Y$79/X$72-0.5*DF$167*(X127/X82-DF$135/X$72))*X82)</f>
        <v>0</v>
      </c>
      <c r="CC82" s="2139">
        <f>IF(Y82&lt;=0,0,(Risk_Compensation!Z88/Y82-Risk_Compensation!Z$79/Y$72-0.5*DG$167*(Y127/Y82-DG$135/Y$72))*Y82)</f>
        <v>0</v>
      </c>
      <c r="CD82" s="2139">
        <f>IF(Z82&lt;=0,0,(Risk_Compensation!AA88/Z82-Risk_Compensation!AA$79/Z$72-0.5*DH$167*(Z127/Z82-DH$135/Z$72))*Z82)</f>
        <v>0</v>
      </c>
      <c r="CE82" s="2139">
        <f>IF(AA82&lt;=0,0,(Risk_Compensation!AB88/AA82-Risk_Compensation!AB$79/AA$72-0.5*DI$167*(AA127/AA82-DI$135/AA$72))*AA82)</f>
        <v>0</v>
      </c>
      <c r="CF82" s="2139">
        <f>IF(AB82&lt;=0,0,(Risk_Compensation!AC88/AB82-Risk_Compensation!AC$79/AB$72-0.5*DJ$167*(AB127/AB82-DJ$135/AB$72))*AB82)</f>
        <v>0</v>
      </c>
      <c r="CG82" s="2139">
        <f>IF(AC82&lt;=0,0,(Risk_Compensation!AD88/AC82-Risk_Compensation!AD$79/AC$72-0.5*DK$167*(AC127/AC82-DK$135/AC$72))*AC82)</f>
        <v>0</v>
      </c>
      <c r="CH82" s="2139">
        <f>IF(AD82&lt;=0,0,(Risk_Compensation!AE88/AD82-Risk_Compensation!AE$79/AD$72-0.5*DL$167*(AD127/AD82-DL$135/AD$72))*AD82)</f>
        <v>0</v>
      </c>
      <c r="CI82" s="2139">
        <f>IF(AE82&lt;=0,0,(Risk_Compensation!AF88/AE82-Risk_Compensation!AF$79/AE$72-0.5*DM$167*(AE127/AE82-DM$135/AE$72))*AE82)</f>
        <v>0</v>
      </c>
      <c r="CJ82" s="2140">
        <f>IF(AF82&lt;=0,0,(Risk_Compensation!AG88/AF82-Risk_Compensation!AG$79/AF$72-0.5*DN$167*(AF127/AF82-DN$135/AF$72))*AF82)</f>
        <v>0</v>
      </c>
      <c r="CL82" s="2144"/>
      <c r="CN82" s="2078">
        <f>IF(G82&gt;0,$DP82^2*(BK82*Risk_Compensation!$AK88*12/1000000)^2/G82,0)</f>
        <v>0</v>
      </c>
      <c r="CO82" s="2079">
        <f>IF(H82&gt;0,$DP82^2*(BL82*Risk_Compensation!$AK88*12/1000000)^2/H82,0)</f>
        <v>0</v>
      </c>
      <c r="CP82" s="2079">
        <f>IF(I82&gt;0,$DP82^2*(BM82*Risk_Compensation!$AK88*12/1000000)^2/I82,0)</f>
        <v>0</v>
      </c>
      <c r="CQ82" s="2079">
        <f>IF(J82&gt;0,$DP82^2*(BN82*Risk_Compensation!$AK88*12/1000000)^2/J82,0)</f>
        <v>0</v>
      </c>
      <c r="CR82" s="2079">
        <f>IF(K82&gt;0,$DP82^2*(BO82*Risk_Compensation!$AK88*12/1000000)^2/K82,0)</f>
        <v>0</v>
      </c>
      <c r="CS82" s="2079">
        <f>IF(L82&gt;0,$DP82^2*(BP82*Risk_Compensation!$AK88*12/1000000)^2/L82,0)</f>
        <v>0</v>
      </c>
      <c r="CT82" s="2079">
        <f>IF(M82&gt;0,$DP82^2*(BQ82*Risk_Compensation!$AK88*12/1000000)^2/M82,0)</f>
        <v>0</v>
      </c>
      <c r="CU82" s="2079">
        <f>IF(N82&gt;0,$DP82^2*(BR82*Risk_Compensation!$AK88*12/1000000)^2/N82,0)</f>
        <v>0</v>
      </c>
      <c r="CV82" s="2079">
        <f>IF(O82&gt;0,$DP82^2*(BS82*Risk_Compensation!$AK88*12/1000000)^2/O82,0)</f>
        <v>0</v>
      </c>
      <c r="CW82" s="2079">
        <f>IF(P82&gt;0,$DP82^2*(BT82*Risk_Compensation!$AK88*12/1000000)^2/P82,0)</f>
        <v>0</v>
      </c>
      <c r="CX82" s="2079">
        <f>IF(Q82&gt;0,$DP82^2*(BU82*Risk_Compensation!$AK88*12/1000000)^2/Q82,0)</f>
        <v>0</v>
      </c>
      <c r="CY82" s="2079">
        <f>IF(R82&gt;0,$DP82^2*(BV82*Risk_Compensation!$AK88*12/1000000)^2/R82,0)</f>
        <v>0</v>
      </c>
      <c r="CZ82" s="2079">
        <f>IF(S82&gt;0,$DP82^2*(BW82*Risk_Compensation!$AK88*12/1000000)^2/S82,0)</f>
        <v>0</v>
      </c>
      <c r="DA82" s="2079">
        <f>IF(T82&gt;0,$DP82^2*(BX82*Risk_Compensation!$AK88*12/1000000)^2/T82,0)</f>
        <v>0</v>
      </c>
      <c r="DB82" s="2079">
        <f>IF(U82&gt;0,$DP82^2*(BY82*Risk_Compensation!$AK88*12/1000000)^2/U82,0)</f>
        <v>0</v>
      </c>
      <c r="DC82" s="2079">
        <f>IF(V82&gt;0,$DP82^2*(BZ82*Risk_Compensation!$AK88*12/1000000)^2/V82,0)</f>
        <v>0</v>
      </c>
      <c r="DD82" s="2079">
        <f>IF(W82&gt;0,$DP82^2*(CA82*Risk_Compensation!$AK88*12/1000000)^2/W82,0)</f>
        <v>0</v>
      </c>
      <c r="DE82" s="2079">
        <f>IF(X82&gt;0,$DP82^2*(CB82*Risk_Compensation!$AK88*12/1000000)^2/X82,0)</f>
        <v>0</v>
      </c>
      <c r="DF82" s="2079">
        <f>IF(Y82&gt;0,$DP82^2*(CC82*Risk_Compensation!$AK88*12/1000000)^2/Y82,0)</f>
        <v>0</v>
      </c>
      <c r="DG82" s="2079">
        <f>IF(Z82&gt;0,$DP82^2*(CD82*Risk_Compensation!$AK88*12/1000000)^2/Z82,0)</f>
        <v>0</v>
      </c>
      <c r="DH82" s="2079">
        <f>IF(AA82&gt;0,$DP82^2*(CE82*Risk_Compensation!$AK88*12/1000000)^2/AA82,0)</f>
        <v>0</v>
      </c>
      <c r="DI82" s="2079">
        <f>IF(AB82&gt;0,$DP82^2*(CF82*Risk_Compensation!$AK88*12/1000000)^2/AB82,0)</f>
        <v>0</v>
      </c>
      <c r="DJ82" s="2079">
        <f>IF(AC82&gt;0,$DP82^2*(CG82*Risk_Compensation!$AK88*12/1000000)^2/AC82,0)</f>
        <v>0</v>
      </c>
      <c r="DK82" s="2079">
        <f>IF(AD82&gt;0,$DP82^2*(CH82*Risk_Compensation!$AK88*12/1000000)^2/AD82,0)</f>
        <v>0</v>
      </c>
      <c r="DL82" s="2079">
        <f>IF(AE82&gt;0,$DP82^2*(CI82*Risk_Compensation!$AK88*12/1000000)^2/AE82,0)</f>
        <v>0</v>
      </c>
      <c r="DM82" s="2080">
        <f>IF(AF82&gt;0,$DP82^2*(CJ82*Risk_Compensation!$AK88*12/1000000)^2/AF82,0)</f>
        <v>0</v>
      </c>
      <c r="DO82" s="1823"/>
      <c r="DP82" s="2219">
        <v>1.5708577685354601</v>
      </c>
      <c r="DR82" s="1428" t="s">
        <v>2346</v>
      </c>
      <c r="DS82" s="1426" t="str">
        <f>Translation!B$585</f>
        <v>ADHS</v>
      </c>
      <c r="DU82" s="2159"/>
      <c r="DV82" s="1428"/>
      <c r="DW82" s="2159"/>
      <c r="DX82" s="2159"/>
      <c r="DY82" s="2217"/>
      <c r="DZ82" s="2159"/>
      <c r="EA82" s="2159"/>
      <c r="EB82" s="2159"/>
      <c r="EC82" s="2159"/>
      <c r="ED82" s="2159"/>
      <c r="EE82" s="2159"/>
      <c r="EF82" s="2159"/>
      <c r="EG82" s="2159"/>
      <c r="EH82" s="2159"/>
      <c r="EI82" s="2159"/>
      <c r="EJ82" s="2159"/>
    </row>
    <row r="83" spans="3:140" x14ac:dyDescent="0.2">
      <c r="C83" s="1428" t="s">
        <v>2348</v>
      </c>
      <c r="D83" s="1426" t="str">
        <f>Translation!B$586</f>
        <v>Autoimmunkrankheiten</v>
      </c>
      <c r="F83" s="1437"/>
      <c r="G83" s="2211">
        <v>3963.46333333333</v>
      </c>
      <c r="H83" s="2212">
        <v>50.410833333333301</v>
      </c>
      <c r="I83" s="2212">
        <v>225.58500000000001</v>
      </c>
      <c r="J83" s="2212">
        <v>6494.3041666666704</v>
      </c>
      <c r="K83" s="2212">
        <v>1971.6058333333301</v>
      </c>
      <c r="L83" s="2212">
        <v>1141.3483333333299</v>
      </c>
      <c r="M83" s="2212">
        <v>2227.91</v>
      </c>
      <c r="N83" s="2212">
        <v>2259.09</v>
      </c>
      <c r="O83" s="2212">
        <v>181.69499999999999</v>
      </c>
      <c r="P83" s="2212">
        <v>944.74916666666695</v>
      </c>
      <c r="Q83" s="2212">
        <v>495.64249999999998</v>
      </c>
      <c r="R83" s="2212">
        <v>1860.5474999999999</v>
      </c>
      <c r="S83" s="2212">
        <v>1157.6925000000001</v>
      </c>
      <c r="T83" s="2212">
        <v>258.19083333333299</v>
      </c>
      <c r="U83" s="2212">
        <v>244.91083333333299</v>
      </c>
      <c r="V83" s="2212">
        <v>2350.3841666666699</v>
      </c>
      <c r="W83" s="2212">
        <v>412.29833333333301</v>
      </c>
      <c r="X83" s="2212">
        <v>1896.5408333333301</v>
      </c>
      <c r="Y83" s="2212">
        <v>756.50750000000005</v>
      </c>
      <c r="Z83" s="2212">
        <v>1561.5074999999999</v>
      </c>
      <c r="AA83" s="2212">
        <v>1401.25583333333</v>
      </c>
      <c r="AB83" s="2212">
        <v>138.25</v>
      </c>
      <c r="AC83" s="2212">
        <v>4565.3325000000004</v>
      </c>
      <c r="AD83" s="2212">
        <v>1799.64</v>
      </c>
      <c r="AE83" s="2212">
        <v>599.16916666666702</v>
      </c>
      <c r="AF83" s="2213">
        <v>7668.0225</v>
      </c>
      <c r="AI83" s="2078">
        <f>Risk_Compensation!H89*Risk_Compensation!$AK89*12/1000000</f>
        <v>0</v>
      </c>
      <c r="AJ83" s="2079">
        <f>Risk_Compensation!I89*Risk_Compensation!$AK89*12/1000000</f>
        <v>0</v>
      </c>
      <c r="AK83" s="2079">
        <f>Risk_Compensation!J89*Risk_Compensation!$AK89*12/1000000</f>
        <v>0</v>
      </c>
      <c r="AL83" s="2079">
        <f>Risk_Compensation!K89*Risk_Compensation!$AK89*12/1000000</f>
        <v>0</v>
      </c>
      <c r="AM83" s="2079">
        <f>Risk_Compensation!L89*Risk_Compensation!$AK89*12/1000000</f>
        <v>0</v>
      </c>
      <c r="AN83" s="2079">
        <f>Risk_Compensation!M89*Risk_Compensation!$AK89*12/1000000</f>
        <v>0</v>
      </c>
      <c r="AO83" s="2079">
        <f>Risk_Compensation!N89*Risk_Compensation!$AK89*12/1000000</f>
        <v>0</v>
      </c>
      <c r="AP83" s="2079">
        <f>Risk_Compensation!O89*Risk_Compensation!$AK89*12/1000000</f>
        <v>0</v>
      </c>
      <c r="AQ83" s="2079">
        <f>Risk_Compensation!P89*Risk_Compensation!$AK89*12/1000000</f>
        <v>0</v>
      </c>
      <c r="AR83" s="2079">
        <f>Risk_Compensation!Q89*Risk_Compensation!$AK89*12/1000000</f>
        <v>0</v>
      </c>
      <c r="AS83" s="2079">
        <f>Risk_Compensation!R89*Risk_Compensation!$AK89*12/1000000</f>
        <v>0</v>
      </c>
      <c r="AT83" s="2079">
        <f>Risk_Compensation!S89*Risk_Compensation!$AK89*12/1000000</f>
        <v>0</v>
      </c>
      <c r="AU83" s="2079">
        <f>Risk_Compensation!T89*Risk_Compensation!$AK89*12/1000000</f>
        <v>0</v>
      </c>
      <c r="AV83" s="2079">
        <f>Risk_Compensation!U89*Risk_Compensation!$AK89*12/1000000</f>
        <v>0</v>
      </c>
      <c r="AW83" s="2079">
        <f>Risk_Compensation!V89*Risk_Compensation!$AK89*12/1000000</f>
        <v>0</v>
      </c>
      <c r="AX83" s="2079">
        <f>Risk_Compensation!W89*Risk_Compensation!$AK89*12/1000000</f>
        <v>0</v>
      </c>
      <c r="AY83" s="2079">
        <f>Risk_Compensation!X89*Risk_Compensation!$AK89*12/1000000</f>
        <v>0</v>
      </c>
      <c r="AZ83" s="2079">
        <f>Risk_Compensation!Y89*Risk_Compensation!$AK89*12/1000000</f>
        <v>0</v>
      </c>
      <c r="BA83" s="2079">
        <f>Risk_Compensation!Z89*Risk_Compensation!$AK89*12/1000000</f>
        <v>0</v>
      </c>
      <c r="BB83" s="2079">
        <f>Risk_Compensation!AA89*Risk_Compensation!$AK89*12/1000000</f>
        <v>0</v>
      </c>
      <c r="BC83" s="2079">
        <f>Risk_Compensation!AB89*Risk_Compensation!$AK89*12/1000000</f>
        <v>0</v>
      </c>
      <c r="BD83" s="2079">
        <f>Risk_Compensation!AC89*Risk_Compensation!$AK89*12/1000000</f>
        <v>0</v>
      </c>
      <c r="BE83" s="2079">
        <f>Risk_Compensation!AD89*Risk_Compensation!$AK89*12/1000000</f>
        <v>0</v>
      </c>
      <c r="BF83" s="2079">
        <f>Risk_Compensation!AE89*Risk_Compensation!$AK89*12/1000000</f>
        <v>0</v>
      </c>
      <c r="BG83" s="2079">
        <f>Risk_Compensation!AF89*Risk_Compensation!$AK89*12/1000000</f>
        <v>0</v>
      </c>
      <c r="BH83" s="2080">
        <f>Risk_Compensation!AG89*Risk_Compensation!$AK89*12/1000000</f>
        <v>0</v>
      </c>
      <c r="BK83" s="2138">
        <f>IF(G83&lt;=0,0,(Risk_Compensation!H89/G83-Risk_Compensation!H$79/G$72-0.5*CO$167*(G128/G83-CO$135/G$72))*G83)</f>
        <v>0</v>
      </c>
      <c r="BL83" s="2139">
        <f>IF(H83&lt;=0,0,(Risk_Compensation!I89/H83-Risk_Compensation!I$79/H$72-0.5*CP$167*(H128/H83-CP$135/H$72))*H83)</f>
        <v>0</v>
      </c>
      <c r="BM83" s="2139">
        <f>IF(I83&lt;=0,0,(Risk_Compensation!J89/I83-Risk_Compensation!J$79/I$72-0.5*CQ$167*(I128/I83-CQ$135/I$72))*I83)</f>
        <v>0</v>
      </c>
      <c r="BN83" s="2139">
        <f>IF(J83&lt;=0,0,(Risk_Compensation!K89/J83-Risk_Compensation!K$79/J$72-0.5*CR$167*(J128/J83-CR$135/J$72))*J83)</f>
        <v>0</v>
      </c>
      <c r="BO83" s="2139">
        <f>IF(K83&lt;=0,0,(Risk_Compensation!L89/K83-Risk_Compensation!L$79/K$72-0.5*CS$167*(K128/K83-CS$135/K$72))*K83)</f>
        <v>0</v>
      </c>
      <c r="BP83" s="2139">
        <f>IF(L83&lt;=0,0,(Risk_Compensation!M89/L83-Risk_Compensation!M$79/L$72-0.5*CT$167*(L128/L83-CT$135/L$72))*L83)</f>
        <v>0</v>
      </c>
      <c r="BQ83" s="2139">
        <f>IF(M83&lt;=0,0,(Risk_Compensation!N89/M83-Risk_Compensation!N$79/M$72-0.5*CU$167*(M128/M83-CU$135/M$72))*M83)</f>
        <v>0</v>
      </c>
      <c r="BR83" s="2139">
        <f>IF(N83&lt;=0,0,(Risk_Compensation!O89/N83-Risk_Compensation!O$79/N$72-0.5*CV$167*(N128/N83-CV$135/N$72))*N83)</f>
        <v>0</v>
      </c>
      <c r="BS83" s="2139">
        <f>IF(O83&lt;=0,0,(Risk_Compensation!P89/O83-Risk_Compensation!P$79/O$72-0.5*CW$167*(O128/O83-CW$135/O$72))*O83)</f>
        <v>0</v>
      </c>
      <c r="BT83" s="2139">
        <f>IF(P83&lt;=0,0,(Risk_Compensation!Q89/P83-Risk_Compensation!Q$79/P$72-0.5*CX$167*(P128/P83-CX$135/P$72))*P83)</f>
        <v>0</v>
      </c>
      <c r="BU83" s="2139">
        <f>IF(Q83&lt;=0,0,(Risk_Compensation!R89/Q83-Risk_Compensation!R$79/Q$72-0.5*CY$167*(Q128/Q83-CY$135/Q$72))*Q83)</f>
        <v>0</v>
      </c>
      <c r="BV83" s="2139">
        <f>IF(R83&lt;=0,0,(Risk_Compensation!S89/R83-Risk_Compensation!S$79/R$72-0.5*CZ$167*(R128/R83-CZ$135/R$72))*R83)</f>
        <v>0</v>
      </c>
      <c r="BW83" s="2139">
        <f>IF(S83&lt;=0,0,(Risk_Compensation!T89/S83-Risk_Compensation!T$79/S$72-0.5*DA$167*(S128/S83-DA$135/S$72))*S83)</f>
        <v>0</v>
      </c>
      <c r="BX83" s="2139">
        <f>IF(T83&lt;=0,0,(Risk_Compensation!U89/T83-Risk_Compensation!U$79/T$72-0.5*DB$167*(T128/T83-DB$135/T$72))*T83)</f>
        <v>0</v>
      </c>
      <c r="BY83" s="2139">
        <f>IF(U83&lt;=0,0,(Risk_Compensation!V89/U83-Risk_Compensation!V$79/U$72-0.5*DC$167*(U128/U83-DC$135/U$72))*U83)</f>
        <v>0</v>
      </c>
      <c r="BZ83" s="2139">
        <f>IF(V83&lt;=0,0,(Risk_Compensation!W89/V83-Risk_Compensation!W$79/V$72-0.5*DD$167*(V128/V83-DD$135/V$72))*V83)</f>
        <v>0</v>
      </c>
      <c r="CA83" s="2139">
        <f>IF(W83&lt;=0,0,(Risk_Compensation!X89/W83-Risk_Compensation!X$79/W$72-0.5*DE$167*(W128/W83-DE$135/W$72))*W83)</f>
        <v>0</v>
      </c>
      <c r="CB83" s="2139">
        <f>IF(X83&lt;=0,0,(Risk_Compensation!Y89/X83-Risk_Compensation!Y$79/X$72-0.5*DF$167*(X128/X83-DF$135/X$72))*X83)</f>
        <v>0</v>
      </c>
      <c r="CC83" s="2139">
        <f>IF(Y83&lt;=0,0,(Risk_Compensation!Z89/Y83-Risk_Compensation!Z$79/Y$72-0.5*DG$167*(Y128/Y83-DG$135/Y$72))*Y83)</f>
        <v>0</v>
      </c>
      <c r="CD83" s="2139">
        <f>IF(Z83&lt;=0,0,(Risk_Compensation!AA89/Z83-Risk_Compensation!AA$79/Z$72-0.5*DH$167*(Z128/Z83-DH$135/Z$72))*Z83)</f>
        <v>0</v>
      </c>
      <c r="CE83" s="2139">
        <f>IF(AA83&lt;=0,0,(Risk_Compensation!AB89/AA83-Risk_Compensation!AB$79/AA$72-0.5*DI$167*(AA128/AA83-DI$135/AA$72))*AA83)</f>
        <v>0</v>
      </c>
      <c r="CF83" s="2139">
        <f>IF(AB83&lt;=0,0,(Risk_Compensation!AC89/AB83-Risk_Compensation!AC$79/AB$72-0.5*DJ$167*(AB128/AB83-DJ$135/AB$72))*AB83)</f>
        <v>0</v>
      </c>
      <c r="CG83" s="2139">
        <f>IF(AC83&lt;=0,0,(Risk_Compensation!AD89/AC83-Risk_Compensation!AD$79/AC$72-0.5*DK$167*(AC128/AC83-DK$135/AC$72))*AC83)</f>
        <v>0</v>
      </c>
      <c r="CH83" s="2139">
        <f>IF(AD83&lt;=0,0,(Risk_Compensation!AE89/AD83-Risk_Compensation!AE$79/AD$72-0.5*DL$167*(AD128/AD83-DL$135/AD$72))*AD83)</f>
        <v>0</v>
      </c>
      <c r="CI83" s="2139">
        <f>IF(AE83&lt;=0,0,(Risk_Compensation!AF89/AE83-Risk_Compensation!AF$79/AE$72-0.5*DM$167*(AE128/AE83-DM$135/AE$72))*AE83)</f>
        <v>0</v>
      </c>
      <c r="CJ83" s="2140">
        <f>IF(AF83&lt;=0,0,(Risk_Compensation!AG89/AF83-Risk_Compensation!AG$79/AF$72-0.5*DN$167*(AF128/AF83-DN$135/AF$72))*AF83)</f>
        <v>0</v>
      </c>
      <c r="CL83" s="2144"/>
      <c r="CN83" s="2078">
        <f>IF(G83&gt;0,$DP83^2*(BK83*Risk_Compensation!$AK89*12/1000000)^2/G83,0)</f>
        <v>0</v>
      </c>
      <c r="CO83" s="2079">
        <f>IF(H83&gt;0,$DP83^2*(BL83*Risk_Compensation!$AK89*12/1000000)^2/H83,0)</f>
        <v>0</v>
      </c>
      <c r="CP83" s="2079">
        <f>IF(I83&gt;0,$DP83^2*(BM83*Risk_Compensation!$AK89*12/1000000)^2/I83,0)</f>
        <v>0</v>
      </c>
      <c r="CQ83" s="2079">
        <f>IF(J83&gt;0,$DP83^2*(BN83*Risk_Compensation!$AK89*12/1000000)^2/J83,0)</f>
        <v>0</v>
      </c>
      <c r="CR83" s="2079">
        <f>IF(K83&gt;0,$DP83^2*(BO83*Risk_Compensation!$AK89*12/1000000)^2/K83,0)</f>
        <v>0</v>
      </c>
      <c r="CS83" s="2079">
        <f>IF(L83&gt;0,$DP83^2*(BP83*Risk_Compensation!$AK89*12/1000000)^2/L83,0)</f>
        <v>0</v>
      </c>
      <c r="CT83" s="2079">
        <f>IF(M83&gt;0,$DP83^2*(BQ83*Risk_Compensation!$AK89*12/1000000)^2/M83,0)</f>
        <v>0</v>
      </c>
      <c r="CU83" s="2079">
        <f>IF(N83&gt;0,$DP83^2*(BR83*Risk_Compensation!$AK89*12/1000000)^2/N83,0)</f>
        <v>0</v>
      </c>
      <c r="CV83" s="2079">
        <f>IF(O83&gt;0,$DP83^2*(BS83*Risk_Compensation!$AK89*12/1000000)^2/O83,0)</f>
        <v>0</v>
      </c>
      <c r="CW83" s="2079">
        <f>IF(P83&gt;0,$DP83^2*(BT83*Risk_Compensation!$AK89*12/1000000)^2/P83,0)</f>
        <v>0</v>
      </c>
      <c r="CX83" s="2079">
        <f>IF(Q83&gt;0,$DP83^2*(BU83*Risk_Compensation!$AK89*12/1000000)^2/Q83,0)</f>
        <v>0</v>
      </c>
      <c r="CY83" s="2079">
        <f>IF(R83&gt;0,$DP83^2*(BV83*Risk_Compensation!$AK89*12/1000000)^2/R83,0)</f>
        <v>0</v>
      </c>
      <c r="CZ83" s="2079">
        <f>IF(S83&gt;0,$DP83^2*(BW83*Risk_Compensation!$AK89*12/1000000)^2/S83,0)</f>
        <v>0</v>
      </c>
      <c r="DA83" s="2079">
        <f>IF(T83&gt;0,$DP83^2*(BX83*Risk_Compensation!$AK89*12/1000000)^2/T83,0)</f>
        <v>0</v>
      </c>
      <c r="DB83" s="2079">
        <f>IF(U83&gt;0,$DP83^2*(BY83*Risk_Compensation!$AK89*12/1000000)^2/U83,0)</f>
        <v>0</v>
      </c>
      <c r="DC83" s="2079">
        <f>IF(V83&gt;0,$DP83^2*(BZ83*Risk_Compensation!$AK89*12/1000000)^2/V83,0)</f>
        <v>0</v>
      </c>
      <c r="DD83" s="2079">
        <f>IF(W83&gt;0,$DP83^2*(CA83*Risk_Compensation!$AK89*12/1000000)^2/W83,0)</f>
        <v>0</v>
      </c>
      <c r="DE83" s="2079">
        <f>IF(X83&gt;0,$DP83^2*(CB83*Risk_Compensation!$AK89*12/1000000)^2/X83,0)</f>
        <v>0</v>
      </c>
      <c r="DF83" s="2079">
        <f>IF(Y83&gt;0,$DP83^2*(CC83*Risk_Compensation!$AK89*12/1000000)^2/Y83,0)</f>
        <v>0</v>
      </c>
      <c r="DG83" s="2079">
        <f>IF(Z83&gt;0,$DP83^2*(CD83*Risk_Compensation!$AK89*12/1000000)^2/Z83,0)</f>
        <v>0</v>
      </c>
      <c r="DH83" s="2079">
        <f>IF(AA83&gt;0,$DP83^2*(CE83*Risk_Compensation!$AK89*12/1000000)^2/AA83,0)</f>
        <v>0</v>
      </c>
      <c r="DI83" s="2079">
        <f>IF(AB83&gt;0,$DP83^2*(CF83*Risk_Compensation!$AK89*12/1000000)^2/AB83,0)</f>
        <v>0</v>
      </c>
      <c r="DJ83" s="2079">
        <f>IF(AC83&gt;0,$DP83^2*(CG83*Risk_Compensation!$AK89*12/1000000)^2/AC83,0)</f>
        <v>0</v>
      </c>
      <c r="DK83" s="2079">
        <f>IF(AD83&gt;0,$DP83^2*(CH83*Risk_Compensation!$AK89*12/1000000)^2/AD83,0)</f>
        <v>0</v>
      </c>
      <c r="DL83" s="2079">
        <f>IF(AE83&gt;0,$DP83^2*(CI83*Risk_Compensation!$AK89*12/1000000)^2/AE83,0)</f>
        <v>0</v>
      </c>
      <c r="DM83" s="2080">
        <f>IF(AF83&gt;0,$DP83^2*(CJ83*Risk_Compensation!$AK89*12/1000000)^2/AF83,0)</f>
        <v>0</v>
      </c>
      <c r="DO83" s="1823"/>
      <c r="DP83" s="2219">
        <v>0.78215659282371297</v>
      </c>
      <c r="DR83" s="1428" t="s">
        <v>2348</v>
      </c>
      <c r="DS83" s="1426" t="str">
        <f>Translation!B$586</f>
        <v>Autoimmunkrankheiten</v>
      </c>
      <c r="DU83" s="2159"/>
      <c r="DV83" s="1428"/>
      <c r="DW83" s="2159"/>
      <c r="DX83" s="2159"/>
      <c r="DY83" s="2217"/>
      <c r="DZ83" s="2159"/>
      <c r="EA83" s="2159"/>
      <c r="EB83" s="2159"/>
      <c r="EC83" s="2159"/>
      <c r="ED83" s="2159"/>
      <c r="EE83" s="2159"/>
      <c r="EF83" s="2159"/>
      <c r="EG83" s="2159"/>
      <c r="EH83" s="2159"/>
      <c r="EI83" s="2159"/>
      <c r="EJ83" s="2159"/>
    </row>
    <row r="84" spans="3:140" x14ac:dyDescent="0.2">
      <c r="C84" s="1428" t="s">
        <v>2350</v>
      </c>
      <c r="D84" s="1426" t="str">
        <f>Translation!B$587</f>
        <v>Alzheimer</v>
      </c>
      <c r="F84" s="1437"/>
      <c r="G84" s="2211">
        <v>1150.31083333333</v>
      </c>
      <c r="H84" s="2212">
        <v>17.446666666666701</v>
      </c>
      <c r="I84" s="2212">
        <v>52.976666666666702</v>
      </c>
      <c r="J84" s="2212">
        <v>1646.56083333333</v>
      </c>
      <c r="K84" s="2212">
        <v>734.12083333333305</v>
      </c>
      <c r="L84" s="2212">
        <v>662.32083333333298</v>
      </c>
      <c r="M84" s="2212">
        <v>248.9025</v>
      </c>
      <c r="N84" s="2212">
        <v>670.01750000000004</v>
      </c>
      <c r="O84" s="2212">
        <v>48.612499999999997</v>
      </c>
      <c r="P84" s="2212">
        <v>320.23416666666702</v>
      </c>
      <c r="Q84" s="2212">
        <v>54.148333333333298</v>
      </c>
      <c r="R84" s="2212">
        <v>734.1925</v>
      </c>
      <c r="S84" s="2212">
        <v>136.03583333333299</v>
      </c>
      <c r="T84" s="2212">
        <v>53.993333333333297</v>
      </c>
      <c r="U84" s="2212">
        <v>42.660833333333301</v>
      </c>
      <c r="V84" s="2212">
        <v>521.18416666666701</v>
      </c>
      <c r="W84" s="2212">
        <v>98.527500000000003</v>
      </c>
      <c r="X84" s="2212">
        <v>452.36166666666702</v>
      </c>
      <c r="Y84" s="2212">
        <v>207.70166666666699</v>
      </c>
      <c r="Z84" s="2212">
        <v>387.66500000000002</v>
      </c>
      <c r="AA84" s="2212">
        <v>683.868333333333</v>
      </c>
      <c r="AB84" s="2212">
        <v>44.109166666666702</v>
      </c>
      <c r="AC84" s="2212">
        <v>757.22166666666703</v>
      </c>
      <c r="AD84" s="2212">
        <v>549.40583333333302</v>
      </c>
      <c r="AE84" s="2212">
        <v>111.088333333333</v>
      </c>
      <c r="AF84" s="2213">
        <v>2239.3758333333299</v>
      </c>
      <c r="AI84" s="2078">
        <f>Risk_Compensation!H90*Risk_Compensation!$AK90*12/1000000</f>
        <v>0</v>
      </c>
      <c r="AJ84" s="2079">
        <f>Risk_Compensation!I90*Risk_Compensation!$AK90*12/1000000</f>
        <v>0</v>
      </c>
      <c r="AK84" s="2079">
        <f>Risk_Compensation!J90*Risk_Compensation!$AK90*12/1000000</f>
        <v>0</v>
      </c>
      <c r="AL84" s="2079">
        <f>Risk_Compensation!K90*Risk_Compensation!$AK90*12/1000000</f>
        <v>0</v>
      </c>
      <c r="AM84" s="2079">
        <f>Risk_Compensation!L90*Risk_Compensation!$AK90*12/1000000</f>
        <v>0</v>
      </c>
      <c r="AN84" s="2079">
        <f>Risk_Compensation!M90*Risk_Compensation!$AK90*12/1000000</f>
        <v>0</v>
      </c>
      <c r="AO84" s="2079">
        <f>Risk_Compensation!N90*Risk_Compensation!$AK90*12/1000000</f>
        <v>0</v>
      </c>
      <c r="AP84" s="2079">
        <f>Risk_Compensation!O90*Risk_Compensation!$AK90*12/1000000</f>
        <v>0</v>
      </c>
      <c r="AQ84" s="2079">
        <f>Risk_Compensation!P90*Risk_Compensation!$AK90*12/1000000</f>
        <v>0</v>
      </c>
      <c r="AR84" s="2079">
        <f>Risk_Compensation!Q90*Risk_Compensation!$AK90*12/1000000</f>
        <v>0</v>
      </c>
      <c r="AS84" s="2079">
        <f>Risk_Compensation!R90*Risk_Compensation!$AK90*12/1000000</f>
        <v>0</v>
      </c>
      <c r="AT84" s="2079">
        <f>Risk_Compensation!S90*Risk_Compensation!$AK90*12/1000000</f>
        <v>0</v>
      </c>
      <c r="AU84" s="2079">
        <f>Risk_Compensation!T90*Risk_Compensation!$AK90*12/1000000</f>
        <v>0</v>
      </c>
      <c r="AV84" s="2079">
        <f>Risk_Compensation!U90*Risk_Compensation!$AK90*12/1000000</f>
        <v>0</v>
      </c>
      <c r="AW84" s="2079">
        <f>Risk_Compensation!V90*Risk_Compensation!$AK90*12/1000000</f>
        <v>0</v>
      </c>
      <c r="AX84" s="2079">
        <f>Risk_Compensation!W90*Risk_Compensation!$AK90*12/1000000</f>
        <v>0</v>
      </c>
      <c r="AY84" s="2079">
        <f>Risk_Compensation!X90*Risk_Compensation!$AK90*12/1000000</f>
        <v>0</v>
      </c>
      <c r="AZ84" s="2079">
        <f>Risk_Compensation!Y90*Risk_Compensation!$AK90*12/1000000</f>
        <v>0</v>
      </c>
      <c r="BA84" s="2079">
        <f>Risk_Compensation!Z90*Risk_Compensation!$AK90*12/1000000</f>
        <v>0</v>
      </c>
      <c r="BB84" s="2079">
        <f>Risk_Compensation!AA90*Risk_Compensation!$AK90*12/1000000</f>
        <v>0</v>
      </c>
      <c r="BC84" s="2079">
        <f>Risk_Compensation!AB90*Risk_Compensation!$AK90*12/1000000</f>
        <v>0</v>
      </c>
      <c r="BD84" s="2079">
        <f>Risk_Compensation!AC90*Risk_Compensation!$AK90*12/1000000</f>
        <v>0</v>
      </c>
      <c r="BE84" s="2079">
        <f>Risk_Compensation!AD90*Risk_Compensation!$AK90*12/1000000</f>
        <v>0</v>
      </c>
      <c r="BF84" s="2079">
        <f>Risk_Compensation!AE90*Risk_Compensation!$AK90*12/1000000</f>
        <v>0</v>
      </c>
      <c r="BG84" s="2079">
        <f>Risk_Compensation!AF90*Risk_Compensation!$AK90*12/1000000</f>
        <v>0</v>
      </c>
      <c r="BH84" s="2080">
        <f>Risk_Compensation!AG90*Risk_Compensation!$AK90*12/1000000</f>
        <v>0</v>
      </c>
      <c r="BK84" s="2138">
        <f>IF(G84&lt;=0,0,(Risk_Compensation!H90/G84-Risk_Compensation!H$79/G$72-0.5*CO$167*(G129/G84-CO$135/G$72))*G84)</f>
        <v>0</v>
      </c>
      <c r="BL84" s="2139">
        <f>IF(H84&lt;=0,0,(Risk_Compensation!I90/H84-Risk_Compensation!I$79/H$72-0.5*CP$167*(H129/H84-CP$135/H$72))*H84)</f>
        <v>0</v>
      </c>
      <c r="BM84" s="2139">
        <f>IF(I84&lt;=0,0,(Risk_Compensation!J90/I84-Risk_Compensation!J$79/I$72-0.5*CQ$167*(I129/I84-CQ$135/I$72))*I84)</f>
        <v>0</v>
      </c>
      <c r="BN84" s="2139">
        <f>IF(J84&lt;=0,0,(Risk_Compensation!K90/J84-Risk_Compensation!K$79/J$72-0.5*CR$167*(J129/J84-CR$135/J$72))*J84)</f>
        <v>0</v>
      </c>
      <c r="BO84" s="2139">
        <f>IF(K84&lt;=0,0,(Risk_Compensation!L90/K84-Risk_Compensation!L$79/K$72-0.5*CS$167*(K129/K84-CS$135/K$72))*K84)</f>
        <v>0</v>
      </c>
      <c r="BP84" s="2139">
        <f>IF(L84&lt;=0,0,(Risk_Compensation!M90/L84-Risk_Compensation!M$79/L$72-0.5*CT$167*(L129/L84-CT$135/L$72))*L84)</f>
        <v>0</v>
      </c>
      <c r="BQ84" s="2139">
        <f>IF(M84&lt;=0,0,(Risk_Compensation!N90/M84-Risk_Compensation!N$79/M$72-0.5*CU$167*(M129/M84-CU$135/M$72))*M84)</f>
        <v>0</v>
      </c>
      <c r="BR84" s="2139">
        <f>IF(N84&lt;=0,0,(Risk_Compensation!O90/N84-Risk_Compensation!O$79/N$72-0.5*CV$167*(N129/N84-CV$135/N$72))*N84)</f>
        <v>0</v>
      </c>
      <c r="BS84" s="2139">
        <f>IF(O84&lt;=0,0,(Risk_Compensation!P90/O84-Risk_Compensation!P$79/O$72-0.5*CW$167*(O129/O84-CW$135/O$72))*O84)</f>
        <v>0</v>
      </c>
      <c r="BT84" s="2139">
        <f>IF(P84&lt;=0,0,(Risk_Compensation!Q90/P84-Risk_Compensation!Q$79/P$72-0.5*CX$167*(P129/P84-CX$135/P$72))*P84)</f>
        <v>0</v>
      </c>
      <c r="BU84" s="2139">
        <f>IF(Q84&lt;=0,0,(Risk_Compensation!R90/Q84-Risk_Compensation!R$79/Q$72-0.5*CY$167*(Q129/Q84-CY$135/Q$72))*Q84)</f>
        <v>0</v>
      </c>
      <c r="BV84" s="2139">
        <f>IF(R84&lt;=0,0,(Risk_Compensation!S90/R84-Risk_Compensation!S$79/R$72-0.5*CZ$167*(R129/R84-CZ$135/R$72))*R84)</f>
        <v>0</v>
      </c>
      <c r="BW84" s="2139">
        <f>IF(S84&lt;=0,0,(Risk_Compensation!T90/S84-Risk_Compensation!T$79/S$72-0.5*DA$167*(S129/S84-DA$135/S$72))*S84)</f>
        <v>0</v>
      </c>
      <c r="BX84" s="2139">
        <f>IF(T84&lt;=0,0,(Risk_Compensation!U90/T84-Risk_Compensation!U$79/T$72-0.5*DB$167*(T129/T84-DB$135/T$72))*T84)</f>
        <v>0</v>
      </c>
      <c r="BY84" s="2139">
        <f>IF(U84&lt;=0,0,(Risk_Compensation!V90/U84-Risk_Compensation!V$79/U$72-0.5*DC$167*(U129/U84-DC$135/U$72))*U84)</f>
        <v>0</v>
      </c>
      <c r="BZ84" s="2139">
        <f>IF(V84&lt;=0,0,(Risk_Compensation!W90/V84-Risk_Compensation!W$79/V$72-0.5*DD$167*(V129/V84-DD$135/V$72))*V84)</f>
        <v>0</v>
      </c>
      <c r="CA84" s="2139">
        <f>IF(W84&lt;=0,0,(Risk_Compensation!X90/W84-Risk_Compensation!X$79/W$72-0.5*DE$167*(W129/W84-DE$135/W$72))*W84)</f>
        <v>0</v>
      </c>
      <c r="CB84" s="2139">
        <f>IF(X84&lt;=0,0,(Risk_Compensation!Y90/X84-Risk_Compensation!Y$79/X$72-0.5*DF$167*(X129/X84-DF$135/X$72))*X84)</f>
        <v>0</v>
      </c>
      <c r="CC84" s="2139">
        <f>IF(Y84&lt;=0,0,(Risk_Compensation!Z90/Y84-Risk_Compensation!Z$79/Y$72-0.5*DG$167*(Y129/Y84-DG$135/Y$72))*Y84)</f>
        <v>0</v>
      </c>
      <c r="CD84" s="2139">
        <f>IF(Z84&lt;=0,0,(Risk_Compensation!AA90/Z84-Risk_Compensation!AA$79/Z$72-0.5*DH$167*(Z129/Z84-DH$135/Z$72))*Z84)</f>
        <v>0</v>
      </c>
      <c r="CE84" s="2139">
        <f>IF(AA84&lt;=0,0,(Risk_Compensation!AB90/AA84-Risk_Compensation!AB$79/AA$72-0.5*DI$167*(AA129/AA84-DI$135/AA$72))*AA84)</f>
        <v>0</v>
      </c>
      <c r="CF84" s="2139">
        <f>IF(AB84&lt;=0,0,(Risk_Compensation!AC90/AB84-Risk_Compensation!AC$79/AB$72-0.5*DJ$167*(AB129/AB84-DJ$135/AB$72))*AB84)</f>
        <v>0</v>
      </c>
      <c r="CG84" s="2139">
        <f>IF(AC84&lt;=0,0,(Risk_Compensation!AD90/AC84-Risk_Compensation!AD$79/AC$72-0.5*DK$167*(AC129/AC84-DK$135/AC$72))*AC84)</f>
        <v>0</v>
      </c>
      <c r="CH84" s="2139">
        <f>IF(AD84&lt;=0,0,(Risk_Compensation!AE90/AD84-Risk_Compensation!AE$79/AD$72-0.5*DL$167*(AD129/AD84-DL$135/AD$72))*AD84)</f>
        <v>0</v>
      </c>
      <c r="CI84" s="2139">
        <f>IF(AE84&lt;=0,0,(Risk_Compensation!AF90/AE84-Risk_Compensation!AF$79/AE$72-0.5*DM$167*(AE129/AE84-DM$135/AE$72))*AE84)</f>
        <v>0</v>
      </c>
      <c r="CJ84" s="2140">
        <f>IF(AF84&lt;=0,0,(Risk_Compensation!AG90/AF84-Risk_Compensation!AG$79/AF$72-0.5*DN$167*(AF129/AF84-DN$135/AF$72))*AF84)</f>
        <v>0</v>
      </c>
      <c r="CL84" s="2144"/>
      <c r="CN84" s="2078">
        <f>IF(G84&gt;0,$DP84^2*(BK84*Risk_Compensation!$AK90*12/1000000)^2/G84,0)</f>
        <v>0</v>
      </c>
      <c r="CO84" s="2079">
        <f>IF(H84&gt;0,$DP84^2*(BL84*Risk_Compensation!$AK90*12/1000000)^2/H84,0)</f>
        <v>0</v>
      </c>
      <c r="CP84" s="2079">
        <f>IF(I84&gt;0,$DP84^2*(BM84*Risk_Compensation!$AK90*12/1000000)^2/I84,0)</f>
        <v>0</v>
      </c>
      <c r="CQ84" s="2079">
        <f>IF(J84&gt;0,$DP84^2*(BN84*Risk_Compensation!$AK90*12/1000000)^2/J84,0)</f>
        <v>0</v>
      </c>
      <c r="CR84" s="2079">
        <f>IF(K84&gt;0,$DP84^2*(BO84*Risk_Compensation!$AK90*12/1000000)^2/K84,0)</f>
        <v>0</v>
      </c>
      <c r="CS84" s="2079">
        <f>IF(L84&gt;0,$DP84^2*(BP84*Risk_Compensation!$AK90*12/1000000)^2/L84,0)</f>
        <v>0</v>
      </c>
      <c r="CT84" s="2079">
        <f>IF(M84&gt;0,$DP84^2*(BQ84*Risk_Compensation!$AK90*12/1000000)^2/M84,0)</f>
        <v>0</v>
      </c>
      <c r="CU84" s="2079">
        <f>IF(N84&gt;0,$DP84^2*(BR84*Risk_Compensation!$AK90*12/1000000)^2/N84,0)</f>
        <v>0</v>
      </c>
      <c r="CV84" s="2079">
        <f>IF(O84&gt;0,$DP84^2*(BS84*Risk_Compensation!$AK90*12/1000000)^2/O84,0)</f>
        <v>0</v>
      </c>
      <c r="CW84" s="2079">
        <f>IF(P84&gt;0,$DP84^2*(BT84*Risk_Compensation!$AK90*12/1000000)^2/P84,0)</f>
        <v>0</v>
      </c>
      <c r="CX84" s="2079">
        <f>IF(Q84&gt;0,$DP84^2*(BU84*Risk_Compensation!$AK90*12/1000000)^2/Q84,0)</f>
        <v>0</v>
      </c>
      <c r="CY84" s="2079">
        <f>IF(R84&gt;0,$DP84^2*(BV84*Risk_Compensation!$AK90*12/1000000)^2/R84,0)</f>
        <v>0</v>
      </c>
      <c r="CZ84" s="2079">
        <f>IF(S84&gt;0,$DP84^2*(BW84*Risk_Compensation!$AK90*12/1000000)^2/S84,0)</f>
        <v>0</v>
      </c>
      <c r="DA84" s="2079">
        <f>IF(T84&gt;0,$DP84^2*(BX84*Risk_Compensation!$AK90*12/1000000)^2/T84,0)</f>
        <v>0</v>
      </c>
      <c r="DB84" s="2079">
        <f>IF(U84&gt;0,$DP84^2*(BY84*Risk_Compensation!$AK90*12/1000000)^2/U84,0)</f>
        <v>0</v>
      </c>
      <c r="DC84" s="2079">
        <f>IF(V84&gt;0,$DP84^2*(BZ84*Risk_Compensation!$AK90*12/1000000)^2/V84,0)</f>
        <v>0</v>
      </c>
      <c r="DD84" s="2079">
        <f>IF(W84&gt;0,$DP84^2*(CA84*Risk_Compensation!$AK90*12/1000000)^2/W84,0)</f>
        <v>0</v>
      </c>
      <c r="DE84" s="2079">
        <f>IF(X84&gt;0,$DP84^2*(CB84*Risk_Compensation!$AK90*12/1000000)^2/X84,0)</f>
        <v>0</v>
      </c>
      <c r="DF84" s="2079">
        <f>IF(Y84&gt;0,$DP84^2*(CC84*Risk_Compensation!$AK90*12/1000000)^2/Y84,0)</f>
        <v>0</v>
      </c>
      <c r="DG84" s="2079">
        <f>IF(Z84&gt;0,$DP84^2*(CD84*Risk_Compensation!$AK90*12/1000000)^2/Z84,0)</f>
        <v>0</v>
      </c>
      <c r="DH84" s="2079">
        <f>IF(AA84&gt;0,$DP84^2*(CE84*Risk_Compensation!$AK90*12/1000000)^2/AA84,0)</f>
        <v>0</v>
      </c>
      <c r="DI84" s="2079">
        <f>IF(AB84&gt;0,$DP84^2*(CF84*Risk_Compensation!$AK90*12/1000000)^2/AB84,0)</f>
        <v>0</v>
      </c>
      <c r="DJ84" s="2079">
        <f>IF(AC84&gt;0,$DP84^2*(CG84*Risk_Compensation!$AK90*12/1000000)^2/AC84,0)</f>
        <v>0</v>
      </c>
      <c r="DK84" s="2079">
        <f>IF(AD84&gt;0,$DP84^2*(CH84*Risk_Compensation!$AK90*12/1000000)^2/AD84,0)</f>
        <v>0</v>
      </c>
      <c r="DL84" s="2079">
        <f>IF(AE84&gt;0,$DP84^2*(CI84*Risk_Compensation!$AK90*12/1000000)^2/AE84,0)</f>
        <v>0</v>
      </c>
      <c r="DM84" s="2080">
        <f>IF(AF84&gt;0,$DP84^2*(CJ84*Risk_Compensation!$AK90*12/1000000)^2/AF84,0)</f>
        <v>0</v>
      </c>
      <c r="DO84" s="1823"/>
      <c r="DP84" s="2219">
        <v>0.80193956917668197</v>
      </c>
      <c r="DR84" s="1428" t="s">
        <v>2350</v>
      </c>
      <c r="DS84" s="1426" t="str">
        <f>Translation!B$587</f>
        <v>Alzheimer</v>
      </c>
      <c r="DU84" s="2159"/>
      <c r="DV84" s="1428"/>
      <c r="DW84" s="2159"/>
      <c r="DX84" s="2159"/>
      <c r="DY84" s="2217"/>
      <c r="DZ84" s="2159"/>
      <c r="EA84" s="2159"/>
      <c r="EB84" s="2159"/>
      <c r="EC84" s="2159"/>
      <c r="ED84" s="2159"/>
      <c r="EE84" s="2159"/>
      <c r="EF84" s="2159"/>
      <c r="EG84" s="2159"/>
      <c r="EH84" s="2159"/>
      <c r="EI84" s="2159"/>
      <c r="EJ84" s="2159"/>
    </row>
    <row r="85" spans="3:140" x14ac:dyDescent="0.2">
      <c r="C85" s="1428" t="s">
        <v>2352</v>
      </c>
      <c r="D85" s="1426" t="str">
        <f>Translation!B$588</f>
        <v>Asthma</v>
      </c>
      <c r="F85" s="1437"/>
      <c r="G85" s="2211">
        <v>6876.6125000000002</v>
      </c>
      <c r="H85" s="2212">
        <v>104.26666666666701</v>
      </c>
      <c r="I85" s="2212">
        <v>430.11916666666701</v>
      </c>
      <c r="J85" s="2212">
        <v>12248.1091666667</v>
      </c>
      <c r="K85" s="2212">
        <v>3100.0016666666702</v>
      </c>
      <c r="L85" s="2212">
        <v>2085.8216666666699</v>
      </c>
      <c r="M85" s="2212">
        <v>2769.3924999999999</v>
      </c>
      <c r="N85" s="2212">
        <v>4116.9041666666699</v>
      </c>
      <c r="O85" s="2212">
        <v>360.56583333333299</v>
      </c>
      <c r="P85" s="2212">
        <v>1897.24583333333</v>
      </c>
      <c r="Q85" s="2212">
        <v>615.574166666667</v>
      </c>
      <c r="R85" s="2212">
        <v>3968.3541666666702</v>
      </c>
      <c r="S85" s="2212">
        <v>1736.64</v>
      </c>
      <c r="T85" s="2212">
        <v>406.84750000000003</v>
      </c>
      <c r="U85" s="2212">
        <v>324.88916666666699</v>
      </c>
      <c r="V85" s="2212">
        <v>4153.92583333333</v>
      </c>
      <c r="W85" s="2212">
        <v>767.81500000000005</v>
      </c>
      <c r="X85" s="2212">
        <v>3100.93</v>
      </c>
      <c r="Y85" s="2212">
        <v>1564.46</v>
      </c>
      <c r="Z85" s="2212">
        <v>1840.78833333333</v>
      </c>
      <c r="AA85" s="2212">
        <v>3662.4041666666699</v>
      </c>
      <c r="AB85" s="2212">
        <v>277.946666666667</v>
      </c>
      <c r="AC85" s="2212">
        <v>6985.3016666666699</v>
      </c>
      <c r="AD85" s="2212">
        <v>2942.0108333333301</v>
      </c>
      <c r="AE85" s="2212">
        <v>918.21500000000003</v>
      </c>
      <c r="AF85" s="2213">
        <v>13285.57</v>
      </c>
      <c r="AI85" s="2078">
        <f>Risk_Compensation!H91*Risk_Compensation!$AK91*12/1000000</f>
        <v>0</v>
      </c>
      <c r="AJ85" s="2079">
        <f>Risk_Compensation!I91*Risk_Compensation!$AK91*12/1000000</f>
        <v>0</v>
      </c>
      <c r="AK85" s="2079">
        <f>Risk_Compensation!J91*Risk_Compensation!$AK91*12/1000000</f>
        <v>0</v>
      </c>
      <c r="AL85" s="2079">
        <f>Risk_Compensation!K91*Risk_Compensation!$AK91*12/1000000</f>
        <v>0</v>
      </c>
      <c r="AM85" s="2079">
        <f>Risk_Compensation!L91*Risk_Compensation!$AK91*12/1000000</f>
        <v>0</v>
      </c>
      <c r="AN85" s="2079">
        <f>Risk_Compensation!M91*Risk_Compensation!$AK91*12/1000000</f>
        <v>0</v>
      </c>
      <c r="AO85" s="2079">
        <f>Risk_Compensation!N91*Risk_Compensation!$AK91*12/1000000</f>
        <v>0</v>
      </c>
      <c r="AP85" s="2079">
        <f>Risk_Compensation!O91*Risk_Compensation!$AK91*12/1000000</f>
        <v>0</v>
      </c>
      <c r="AQ85" s="2079">
        <f>Risk_Compensation!P91*Risk_Compensation!$AK91*12/1000000</f>
        <v>0</v>
      </c>
      <c r="AR85" s="2079">
        <f>Risk_Compensation!Q91*Risk_Compensation!$AK91*12/1000000</f>
        <v>0</v>
      </c>
      <c r="AS85" s="2079">
        <f>Risk_Compensation!R91*Risk_Compensation!$AK91*12/1000000</f>
        <v>0</v>
      </c>
      <c r="AT85" s="2079">
        <f>Risk_Compensation!S91*Risk_Compensation!$AK91*12/1000000</f>
        <v>0</v>
      </c>
      <c r="AU85" s="2079">
        <f>Risk_Compensation!T91*Risk_Compensation!$AK91*12/1000000</f>
        <v>0</v>
      </c>
      <c r="AV85" s="2079">
        <f>Risk_Compensation!U91*Risk_Compensation!$AK91*12/1000000</f>
        <v>0</v>
      </c>
      <c r="AW85" s="2079">
        <f>Risk_Compensation!V91*Risk_Compensation!$AK91*12/1000000</f>
        <v>0</v>
      </c>
      <c r="AX85" s="2079">
        <f>Risk_Compensation!W91*Risk_Compensation!$AK91*12/1000000</f>
        <v>0</v>
      </c>
      <c r="AY85" s="2079">
        <f>Risk_Compensation!X91*Risk_Compensation!$AK91*12/1000000</f>
        <v>0</v>
      </c>
      <c r="AZ85" s="2079">
        <f>Risk_Compensation!Y91*Risk_Compensation!$AK91*12/1000000</f>
        <v>0</v>
      </c>
      <c r="BA85" s="2079">
        <f>Risk_Compensation!Z91*Risk_Compensation!$AK91*12/1000000</f>
        <v>0</v>
      </c>
      <c r="BB85" s="2079">
        <f>Risk_Compensation!AA91*Risk_Compensation!$AK91*12/1000000</f>
        <v>0</v>
      </c>
      <c r="BC85" s="2079">
        <f>Risk_Compensation!AB91*Risk_Compensation!$AK91*12/1000000</f>
        <v>0</v>
      </c>
      <c r="BD85" s="2079">
        <f>Risk_Compensation!AC91*Risk_Compensation!$AK91*12/1000000</f>
        <v>0</v>
      </c>
      <c r="BE85" s="2079">
        <f>Risk_Compensation!AD91*Risk_Compensation!$AK91*12/1000000</f>
        <v>0</v>
      </c>
      <c r="BF85" s="2079">
        <f>Risk_Compensation!AE91*Risk_Compensation!$AK91*12/1000000</f>
        <v>0</v>
      </c>
      <c r="BG85" s="2079">
        <f>Risk_Compensation!AF91*Risk_Compensation!$AK91*12/1000000</f>
        <v>0</v>
      </c>
      <c r="BH85" s="2080">
        <f>Risk_Compensation!AG91*Risk_Compensation!$AK91*12/1000000</f>
        <v>0</v>
      </c>
      <c r="BK85" s="2138">
        <f>IF(G85&lt;=0,0,(Risk_Compensation!H91/G85-Risk_Compensation!H$79/G$72-0.5*CO$167*(G130/G85-CO$135/G$72))*G85)</f>
        <v>0</v>
      </c>
      <c r="BL85" s="2139">
        <f>IF(H85&lt;=0,0,(Risk_Compensation!I91/H85-Risk_Compensation!I$79/H$72-0.5*CP$167*(H130/H85-CP$135/H$72))*H85)</f>
        <v>0</v>
      </c>
      <c r="BM85" s="2139">
        <f>IF(I85&lt;=0,0,(Risk_Compensation!J91/I85-Risk_Compensation!J$79/I$72-0.5*CQ$167*(I130/I85-CQ$135/I$72))*I85)</f>
        <v>0</v>
      </c>
      <c r="BN85" s="2139">
        <f>IF(J85&lt;=0,0,(Risk_Compensation!K91/J85-Risk_Compensation!K$79/J$72-0.5*CR$167*(J130/J85-CR$135/J$72))*J85)</f>
        <v>0</v>
      </c>
      <c r="BO85" s="2139">
        <f>IF(K85&lt;=0,0,(Risk_Compensation!L91/K85-Risk_Compensation!L$79/K$72-0.5*CS$167*(K130/K85-CS$135/K$72))*K85)</f>
        <v>0</v>
      </c>
      <c r="BP85" s="2139">
        <f>IF(L85&lt;=0,0,(Risk_Compensation!M91/L85-Risk_Compensation!M$79/L$72-0.5*CT$167*(L130/L85-CT$135/L$72))*L85)</f>
        <v>0</v>
      </c>
      <c r="BQ85" s="2139">
        <f>IF(M85&lt;=0,0,(Risk_Compensation!N91/M85-Risk_Compensation!N$79/M$72-0.5*CU$167*(M130/M85-CU$135/M$72))*M85)</f>
        <v>0</v>
      </c>
      <c r="BR85" s="2139">
        <f>IF(N85&lt;=0,0,(Risk_Compensation!O91/N85-Risk_Compensation!O$79/N$72-0.5*CV$167*(N130/N85-CV$135/N$72))*N85)</f>
        <v>0</v>
      </c>
      <c r="BS85" s="2139">
        <f>IF(O85&lt;=0,0,(Risk_Compensation!P91/O85-Risk_Compensation!P$79/O$72-0.5*CW$167*(O130/O85-CW$135/O$72))*O85)</f>
        <v>0</v>
      </c>
      <c r="BT85" s="2139">
        <f>IF(P85&lt;=0,0,(Risk_Compensation!Q91/P85-Risk_Compensation!Q$79/P$72-0.5*CX$167*(P130/P85-CX$135/P$72))*P85)</f>
        <v>0</v>
      </c>
      <c r="BU85" s="2139">
        <f>IF(Q85&lt;=0,0,(Risk_Compensation!R91/Q85-Risk_Compensation!R$79/Q$72-0.5*CY$167*(Q130/Q85-CY$135/Q$72))*Q85)</f>
        <v>0</v>
      </c>
      <c r="BV85" s="2139">
        <f>IF(R85&lt;=0,0,(Risk_Compensation!S91/R85-Risk_Compensation!S$79/R$72-0.5*CZ$167*(R130/R85-CZ$135/R$72))*R85)</f>
        <v>0</v>
      </c>
      <c r="BW85" s="2139">
        <f>IF(S85&lt;=0,0,(Risk_Compensation!T91/S85-Risk_Compensation!T$79/S$72-0.5*DA$167*(S130/S85-DA$135/S$72))*S85)</f>
        <v>0</v>
      </c>
      <c r="BX85" s="2139">
        <f>IF(T85&lt;=0,0,(Risk_Compensation!U91/T85-Risk_Compensation!U$79/T$72-0.5*DB$167*(T130/T85-DB$135/T$72))*T85)</f>
        <v>0</v>
      </c>
      <c r="BY85" s="2139">
        <f>IF(U85&lt;=0,0,(Risk_Compensation!V91/U85-Risk_Compensation!V$79/U$72-0.5*DC$167*(U130/U85-DC$135/U$72))*U85)</f>
        <v>0</v>
      </c>
      <c r="BZ85" s="2139">
        <f>IF(V85&lt;=0,0,(Risk_Compensation!W91/V85-Risk_Compensation!W$79/V$72-0.5*DD$167*(V130/V85-DD$135/V$72))*V85)</f>
        <v>0</v>
      </c>
      <c r="CA85" s="2139">
        <f>IF(W85&lt;=0,0,(Risk_Compensation!X91/W85-Risk_Compensation!X$79/W$72-0.5*DE$167*(W130/W85-DE$135/W$72))*W85)</f>
        <v>0</v>
      </c>
      <c r="CB85" s="2139">
        <f>IF(X85&lt;=0,0,(Risk_Compensation!Y91/X85-Risk_Compensation!Y$79/X$72-0.5*DF$167*(X130/X85-DF$135/X$72))*X85)</f>
        <v>0</v>
      </c>
      <c r="CC85" s="2139">
        <f>IF(Y85&lt;=0,0,(Risk_Compensation!Z91/Y85-Risk_Compensation!Z$79/Y$72-0.5*DG$167*(Y130/Y85-DG$135/Y$72))*Y85)</f>
        <v>0</v>
      </c>
      <c r="CD85" s="2139">
        <f>IF(Z85&lt;=0,0,(Risk_Compensation!AA91/Z85-Risk_Compensation!AA$79/Z$72-0.5*DH$167*(Z130/Z85-DH$135/Z$72))*Z85)</f>
        <v>0</v>
      </c>
      <c r="CE85" s="2139">
        <f>IF(AA85&lt;=0,0,(Risk_Compensation!AB91/AA85-Risk_Compensation!AB$79/AA$72-0.5*DI$167*(AA130/AA85-DI$135/AA$72))*AA85)</f>
        <v>0</v>
      </c>
      <c r="CF85" s="2139">
        <f>IF(AB85&lt;=0,0,(Risk_Compensation!AC91/AB85-Risk_Compensation!AC$79/AB$72-0.5*DJ$167*(AB130/AB85-DJ$135/AB$72))*AB85)</f>
        <v>0</v>
      </c>
      <c r="CG85" s="2139">
        <f>IF(AC85&lt;=0,0,(Risk_Compensation!AD91/AC85-Risk_Compensation!AD$79/AC$72-0.5*DK$167*(AC130/AC85-DK$135/AC$72))*AC85)</f>
        <v>0</v>
      </c>
      <c r="CH85" s="2139">
        <f>IF(AD85&lt;=0,0,(Risk_Compensation!AE91/AD85-Risk_Compensation!AE$79/AD$72-0.5*DL$167*(AD130/AD85-DL$135/AD$72))*AD85)</f>
        <v>0</v>
      </c>
      <c r="CI85" s="2139">
        <f>IF(AE85&lt;=0,0,(Risk_Compensation!AF91/AE85-Risk_Compensation!AF$79/AE$72-0.5*DM$167*(AE130/AE85-DM$135/AE$72))*AE85)</f>
        <v>0</v>
      </c>
      <c r="CJ85" s="2140">
        <f>IF(AF85&lt;=0,0,(Risk_Compensation!AG91/AF85-Risk_Compensation!AG$79/AF$72-0.5*DN$167*(AF130/AF85-DN$135/AF$72))*AF85)</f>
        <v>0</v>
      </c>
      <c r="CL85" s="2144"/>
      <c r="CN85" s="2078">
        <f>IF(G85&gt;0,$DP85^2*(BK85*Risk_Compensation!$AK91*12/1000000)^2/G85,0)</f>
        <v>0</v>
      </c>
      <c r="CO85" s="2079">
        <f>IF(H85&gt;0,$DP85^2*(BL85*Risk_Compensation!$AK91*12/1000000)^2/H85,0)</f>
        <v>0</v>
      </c>
      <c r="CP85" s="2079">
        <f>IF(I85&gt;0,$DP85^2*(BM85*Risk_Compensation!$AK91*12/1000000)^2/I85,0)</f>
        <v>0</v>
      </c>
      <c r="CQ85" s="2079">
        <f>IF(J85&gt;0,$DP85^2*(BN85*Risk_Compensation!$AK91*12/1000000)^2/J85,0)</f>
        <v>0</v>
      </c>
      <c r="CR85" s="2079">
        <f>IF(K85&gt;0,$DP85^2*(BO85*Risk_Compensation!$AK91*12/1000000)^2/K85,0)</f>
        <v>0</v>
      </c>
      <c r="CS85" s="2079">
        <f>IF(L85&gt;0,$DP85^2*(BP85*Risk_Compensation!$AK91*12/1000000)^2/L85,0)</f>
        <v>0</v>
      </c>
      <c r="CT85" s="2079">
        <f>IF(M85&gt;0,$DP85^2*(BQ85*Risk_Compensation!$AK91*12/1000000)^2/M85,0)</f>
        <v>0</v>
      </c>
      <c r="CU85" s="2079">
        <f>IF(N85&gt;0,$DP85^2*(BR85*Risk_Compensation!$AK91*12/1000000)^2/N85,0)</f>
        <v>0</v>
      </c>
      <c r="CV85" s="2079">
        <f>IF(O85&gt;0,$DP85^2*(BS85*Risk_Compensation!$AK91*12/1000000)^2/O85,0)</f>
        <v>0</v>
      </c>
      <c r="CW85" s="2079">
        <f>IF(P85&gt;0,$DP85^2*(BT85*Risk_Compensation!$AK91*12/1000000)^2/P85,0)</f>
        <v>0</v>
      </c>
      <c r="CX85" s="2079">
        <f>IF(Q85&gt;0,$DP85^2*(BU85*Risk_Compensation!$AK91*12/1000000)^2/Q85,0)</f>
        <v>0</v>
      </c>
      <c r="CY85" s="2079">
        <f>IF(R85&gt;0,$DP85^2*(BV85*Risk_Compensation!$AK91*12/1000000)^2/R85,0)</f>
        <v>0</v>
      </c>
      <c r="CZ85" s="2079">
        <f>IF(S85&gt;0,$DP85^2*(BW85*Risk_Compensation!$AK91*12/1000000)^2/S85,0)</f>
        <v>0</v>
      </c>
      <c r="DA85" s="2079">
        <f>IF(T85&gt;0,$DP85^2*(BX85*Risk_Compensation!$AK91*12/1000000)^2/T85,0)</f>
        <v>0</v>
      </c>
      <c r="DB85" s="2079">
        <f>IF(U85&gt;0,$DP85^2*(BY85*Risk_Compensation!$AK91*12/1000000)^2/U85,0)</f>
        <v>0</v>
      </c>
      <c r="DC85" s="2079">
        <f>IF(V85&gt;0,$DP85^2*(BZ85*Risk_Compensation!$AK91*12/1000000)^2/V85,0)</f>
        <v>0</v>
      </c>
      <c r="DD85" s="2079">
        <f>IF(W85&gt;0,$DP85^2*(CA85*Risk_Compensation!$AK91*12/1000000)^2/W85,0)</f>
        <v>0</v>
      </c>
      <c r="DE85" s="2079">
        <f>IF(X85&gt;0,$DP85^2*(CB85*Risk_Compensation!$AK91*12/1000000)^2/X85,0)</f>
        <v>0</v>
      </c>
      <c r="DF85" s="2079">
        <f>IF(Y85&gt;0,$DP85^2*(CC85*Risk_Compensation!$AK91*12/1000000)^2/Y85,0)</f>
        <v>0</v>
      </c>
      <c r="DG85" s="2079">
        <f>IF(Z85&gt;0,$DP85^2*(CD85*Risk_Compensation!$AK91*12/1000000)^2/Z85,0)</f>
        <v>0</v>
      </c>
      <c r="DH85" s="2079">
        <f>IF(AA85&gt;0,$DP85^2*(CE85*Risk_Compensation!$AK91*12/1000000)^2/AA85,0)</f>
        <v>0</v>
      </c>
      <c r="DI85" s="2079">
        <f>IF(AB85&gt;0,$DP85^2*(CF85*Risk_Compensation!$AK91*12/1000000)^2/AB85,0)</f>
        <v>0</v>
      </c>
      <c r="DJ85" s="2079">
        <f>IF(AC85&gt;0,$DP85^2*(CG85*Risk_Compensation!$AK91*12/1000000)^2/AC85,0)</f>
        <v>0</v>
      </c>
      <c r="DK85" s="2079">
        <f>IF(AD85&gt;0,$DP85^2*(CH85*Risk_Compensation!$AK91*12/1000000)^2/AD85,0)</f>
        <v>0</v>
      </c>
      <c r="DL85" s="2079">
        <f>IF(AE85&gt;0,$DP85^2*(CI85*Risk_Compensation!$AK91*12/1000000)^2/AE85,0)</f>
        <v>0</v>
      </c>
      <c r="DM85" s="2080">
        <f>IF(AF85&gt;0,$DP85^2*(CJ85*Risk_Compensation!$AK91*12/1000000)^2/AF85,0)</f>
        <v>0</v>
      </c>
      <c r="DO85" s="1823"/>
      <c r="DP85" s="2219">
        <v>1.7811989140954501</v>
      </c>
      <c r="DR85" s="1428" t="s">
        <v>2352</v>
      </c>
      <c r="DS85" s="1426" t="str">
        <f>Translation!B$588</f>
        <v>Asthma</v>
      </c>
      <c r="DU85" s="2159"/>
      <c r="DV85" s="1428"/>
      <c r="DW85" s="2159"/>
      <c r="DX85" s="2159"/>
      <c r="DY85" s="2217"/>
      <c r="DZ85" s="2159"/>
      <c r="EA85" s="2159"/>
      <c r="EB85" s="2159"/>
      <c r="EC85" s="2159"/>
      <c r="ED85" s="2159"/>
      <c r="EE85" s="2159"/>
      <c r="EF85" s="2159"/>
      <c r="EG85" s="2159"/>
      <c r="EH85" s="2159"/>
      <c r="EI85" s="2159"/>
      <c r="EJ85" s="2159"/>
    </row>
    <row r="86" spans="3:140" x14ac:dyDescent="0.2">
      <c r="C86" s="1428" t="s">
        <v>2354</v>
      </c>
      <c r="D86" s="1426" t="str">
        <f>Translation!B$589</f>
        <v>Bipolare Störung regulär</v>
      </c>
      <c r="F86" s="1437"/>
      <c r="G86" s="2211">
        <v>694.824166666667</v>
      </c>
      <c r="H86" s="2212">
        <v>15.75</v>
      </c>
      <c r="I86" s="2212">
        <v>72.3333333333333</v>
      </c>
      <c r="J86" s="2212">
        <v>1336.76833333333</v>
      </c>
      <c r="K86" s="2212">
        <v>237.86083333333301</v>
      </c>
      <c r="L86" s="2212">
        <v>282.78583333333302</v>
      </c>
      <c r="M86" s="2212">
        <v>291.85916666666702</v>
      </c>
      <c r="N86" s="2212">
        <v>374.16666666666703</v>
      </c>
      <c r="O86" s="2212">
        <v>30.4166666666667</v>
      </c>
      <c r="P86" s="2212">
        <v>191.770833333333</v>
      </c>
      <c r="Q86" s="2212">
        <v>91.5833333333333</v>
      </c>
      <c r="R86" s="2212">
        <v>335.868333333333</v>
      </c>
      <c r="S86" s="2212">
        <v>176.16499999999999</v>
      </c>
      <c r="T86" s="2212">
        <v>42.265833333333298</v>
      </c>
      <c r="U86" s="2212">
        <v>36.5</v>
      </c>
      <c r="V86" s="2212">
        <v>467.70499999999998</v>
      </c>
      <c r="W86" s="2212">
        <v>101.7475</v>
      </c>
      <c r="X86" s="2212">
        <v>259.17</v>
      </c>
      <c r="Y86" s="2212">
        <v>125.804166666667</v>
      </c>
      <c r="Z86" s="2212">
        <v>236.47166666666701</v>
      </c>
      <c r="AA86" s="2212">
        <v>348.96833333333302</v>
      </c>
      <c r="AB86" s="2212">
        <v>38.9166666666667</v>
      </c>
      <c r="AC86" s="2212">
        <v>763.33833333333303</v>
      </c>
      <c r="AD86" s="2212">
        <v>475.21166666666699</v>
      </c>
      <c r="AE86" s="2212">
        <v>139.59833333333299</v>
      </c>
      <c r="AF86" s="2213">
        <v>1520.0166666666701</v>
      </c>
      <c r="AI86" s="2078">
        <f>Risk_Compensation!H92*Risk_Compensation!$AK92*12/1000000</f>
        <v>0</v>
      </c>
      <c r="AJ86" s="2079">
        <f>Risk_Compensation!I92*Risk_Compensation!$AK92*12/1000000</f>
        <v>0</v>
      </c>
      <c r="AK86" s="2079">
        <f>Risk_Compensation!J92*Risk_Compensation!$AK92*12/1000000</f>
        <v>0</v>
      </c>
      <c r="AL86" s="2079">
        <f>Risk_Compensation!K92*Risk_Compensation!$AK92*12/1000000</f>
        <v>0</v>
      </c>
      <c r="AM86" s="2079">
        <f>Risk_Compensation!L92*Risk_Compensation!$AK92*12/1000000</f>
        <v>0</v>
      </c>
      <c r="AN86" s="2079">
        <f>Risk_Compensation!M92*Risk_Compensation!$AK92*12/1000000</f>
        <v>0</v>
      </c>
      <c r="AO86" s="2079">
        <f>Risk_Compensation!N92*Risk_Compensation!$AK92*12/1000000</f>
        <v>0</v>
      </c>
      <c r="AP86" s="2079">
        <f>Risk_Compensation!O92*Risk_Compensation!$AK92*12/1000000</f>
        <v>0</v>
      </c>
      <c r="AQ86" s="2079">
        <f>Risk_Compensation!P92*Risk_Compensation!$AK92*12/1000000</f>
        <v>0</v>
      </c>
      <c r="AR86" s="2079">
        <f>Risk_Compensation!Q92*Risk_Compensation!$AK92*12/1000000</f>
        <v>0</v>
      </c>
      <c r="AS86" s="2079">
        <f>Risk_Compensation!R92*Risk_Compensation!$AK92*12/1000000</f>
        <v>0</v>
      </c>
      <c r="AT86" s="2079">
        <f>Risk_Compensation!S92*Risk_Compensation!$AK92*12/1000000</f>
        <v>0</v>
      </c>
      <c r="AU86" s="2079">
        <f>Risk_Compensation!T92*Risk_Compensation!$AK92*12/1000000</f>
        <v>0</v>
      </c>
      <c r="AV86" s="2079">
        <f>Risk_Compensation!U92*Risk_Compensation!$AK92*12/1000000</f>
        <v>0</v>
      </c>
      <c r="AW86" s="2079">
        <f>Risk_Compensation!V92*Risk_Compensation!$AK92*12/1000000</f>
        <v>0</v>
      </c>
      <c r="AX86" s="2079">
        <f>Risk_Compensation!W92*Risk_Compensation!$AK92*12/1000000</f>
        <v>0</v>
      </c>
      <c r="AY86" s="2079">
        <f>Risk_Compensation!X92*Risk_Compensation!$AK92*12/1000000</f>
        <v>0</v>
      </c>
      <c r="AZ86" s="2079">
        <f>Risk_Compensation!Y92*Risk_Compensation!$AK92*12/1000000</f>
        <v>0</v>
      </c>
      <c r="BA86" s="2079">
        <f>Risk_Compensation!Z92*Risk_Compensation!$AK92*12/1000000</f>
        <v>0</v>
      </c>
      <c r="BB86" s="2079">
        <f>Risk_Compensation!AA92*Risk_Compensation!$AK92*12/1000000</f>
        <v>0</v>
      </c>
      <c r="BC86" s="2079">
        <f>Risk_Compensation!AB92*Risk_Compensation!$AK92*12/1000000</f>
        <v>0</v>
      </c>
      <c r="BD86" s="2079">
        <f>Risk_Compensation!AC92*Risk_Compensation!$AK92*12/1000000</f>
        <v>0</v>
      </c>
      <c r="BE86" s="2079">
        <f>Risk_Compensation!AD92*Risk_Compensation!$AK92*12/1000000</f>
        <v>0</v>
      </c>
      <c r="BF86" s="2079">
        <f>Risk_Compensation!AE92*Risk_Compensation!$AK92*12/1000000</f>
        <v>0</v>
      </c>
      <c r="BG86" s="2079">
        <f>Risk_Compensation!AF92*Risk_Compensation!$AK92*12/1000000</f>
        <v>0</v>
      </c>
      <c r="BH86" s="2080">
        <f>Risk_Compensation!AG92*Risk_Compensation!$AK92*12/1000000</f>
        <v>0</v>
      </c>
      <c r="BK86" s="2138">
        <f>IF(G86&lt;=0,0,(Risk_Compensation!H92/G86-Risk_Compensation!H$79/G$72-0.5*CO$167*(G131/G86-CO$135/G$72))*G86)</f>
        <v>0</v>
      </c>
      <c r="BL86" s="2139">
        <f>IF(H86&lt;=0,0,(Risk_Compensation!I92/H86-Risk_Compensation!I$79/H$72-0.5*CP$167*(H131/H86-CP$135/H$72))*H86)</f>
        <v>0</v>
      </c>
      <c r="BM86" s="2139">
        <f>IF(I86&lt;=0,0,(Risk_Compensation!J92/I86-Risk_Compensation!J$79/I$72-0.5*CQ$167*(I131/I86-CQ$135/I$72))*I86)</f>
        <v>0</v>
      </c>
      <c r="BN86" s="2139">
        <f>IF(J86&lt;=0,0,(Risk_Compensation!K92/J86-Risk_Compensation!K$79/J$72-0.5*CR$167*(J131/J86-CR$135/J$72))*J86)</f>
        <v>0</v>
      </c>
      <c r="BO86" s="2139">
        <f>IF(K86&lt;=0,0,(Risk_Compensation!L92/K86-Risk_Compensation!L$79/K$72-0.5*CS$167*(K131/K86-CS$135/K$72))*K86)</f>
        <v>0</v>
      </c>
      <c r="BP86" s="2139">
        <f>IF(L86&lt;=0,0,(Risk_Compensation!M92/L86-Risk_Compensation!M$79/L$72-0.5*CT$167*(L131/L86-CT$135/L$72))*L86)</f>
        <v>0</v>
      </c>
      <c r="BQ86" s="2139">
        <f>IF(M86&lt;=0,0,(Risk_Compensation!N92/M86-Risk_Compensation!N$79/M$72-0.5*CU$167*(M131/M86-CU$135/M$72))*M86)</f>
        <v>0</v>
      </c>
      <c r="BR86" s="2139">
        <f>IF(N86&lt;=0,0,(Risk_Compensation!O92/N86-Risk_Compensation!O$79/N$72-0.5*CV$167*(N131/N86-CV$135/N$72))*N86)</f>
        <v>0</v>
      </c>
      <c r="BS86" s="2139">
        <f>IF(O86&lt;=0,0,(Risk_Compensation!P92/O86-Risk_Compensation!P$79/O$72-0.5*CW$167*(O131/O86-CW$135/O$72))*O86)</f>
        <v>0</v>
      </c>
      <c r="BT86" s="2139">
        <f>IF(P86&lt;=0,0,(Risk_Compensation!Q92/P86-Risk_Compensation!Q$79/P$72-0.5*CX$167*(P131/P86-CX$135/P$72))*P86)</f>
        <v>0</v>
      </c>
      <c r="BU86" s="2139">
        <f>IF(Q86&lt;=0,0,(Risk_Compensation!R92/Q86-Risk_Compensation!R$79/Q$72-0.5*CY$167*(Q131/Q86-CY$135/Q$72))*Q86)</f>
        <v>0</v>
      </c>
      <c r="BV86" s="2139">
        <f>IF(R86&lt;=0,0,(Risk_Compensation!S92/R86-Risk_Compensation!S$79/R$72-0.5*CZ$167*(R131/R86-CZ$135/R$72))*R86)</f>
        <v>0</v>
      </c>
      <c r="BW86" s="2139">
        <f>IF(S86&lt;=0,0,(Risk_Compensation!T92/S86-Risk_Compensation!T$79/S$72-0.5*DA$167*(S131/S86-DA$135/S$72))*S86)</f>
        <v>0</v>
      </c>
      <c r="BX86" s="2139">
        <f>IF(T86&lt;=0,0,(Risk_Compensation!U92/T86-Risk_Compensation!U$79/T$72-0.5*DB$167*(T131/T86-DB$135/T$72))*T86)</f>
        <v>0</v>
      </c>
      <c r="BY86" s="2139">
        <f>IF(U86&lt;=0,0,(Risk_Compensation!V92/U86-Risk_Compensation!V$79/U$72-0.5*DC$167*(U131/U86-DC$135/U$72))*U86)</f>
        <v>0</v>
      </c>
      <c r="BZ86" s="2139">
        <f>IF(V86&lt;=0,0,(Risk_Compensation!W92/V86-Risk_Compensation!W$79/V$72-0.5*DD$167*(V131/V86-DD$135/V$72))*V86)</f>
        <v>0</v>
      </c>
      <c r="CA86" s="2139">
        <f>IF(W86&lt;=0,0,(Risk_Compensation!X92/W86-Risk_Compensation!X$79/W$72-0.5*DE$167*(W131/W86-DE$135/W$72))*W86)</f>
        <v>0</v>
      </c>
      <c r="CB86" s="2139">
        <f>IF(X86&lt;=0,0,(Risk_Compensation!Y92/X86-Risk_Compensation!Y$79/X$72-0.5*DF$167*(X131/X86-DF$135/X$72))*X86)</f>
        <v>0</v>
      </c>
      <c r="CC86" s="2139">
        <f>IF(Y86&lt;=0,0,(Risk_Compensation!Z92/Y86-Risk_Compensation!Z$79/Y$72-0.5*DG$167*(Y131/Y86-DG$135/Y$72))*Y86)</f>
        <v>0</v>
      </c>
      <c r="CD86" s="2139">
        <f>IF(Z86&lt;=0,0,(Risk_Compensation!AA92/Z86-Risk_Compensation!AA$79/Z$72-0.5*DH$167*(Z131/Z86-DH$135/Z$72))*Z86)</f>
        <v>0</v>
      </c>
      <c r="CE86" s="2139">
        <f>IF(AA86&lt;=0,0,(Risk_Compensation!AB92/AA86-Risk_Compensation!AB$79/AA$72-0.5*DI$167*(AA131/AA86-DI$135/AA$72))*AA86)</f>
        <v>0</v>
      </c>
      <c r="CF86" s="2139">
        <f>IF(AB86&lt;=0,0,(Risk_Compensation!AC92/AB86-Risk_Compensation!AC$79/AB$72-0.5*DJ$167*(AB131/AB86-DJ$135/AB$72))*AB86)</f>
        <v>0</v>
      </c>
      <c r="CG86" s="2139">
        <f>IF(AC86&lt;=0,0,(Risk_Compensation!AD92/AC86-Risk_Compensation!AD$79/AC$72-0.5*DK$167*(AC131/AC86-DK$135/AC$72))*AC86)</f>
        <v>0</v>
      </c>
      <c r="CH86" s="2139">
        <f>IF(AD86&lt;=0,0,(Risk_Compensation!AE92/AD86-Risk_Compensation!AE$79/AD$72-0.5*DL$167*(AD131/AD86-DL$135/AD$72))*AD86)</f>
        <v>0</v>
      </c>
      <c r="CI86" s="2139">
        <f>IF(AE86&lt;=0,0,(Risk_Compensation!AF92/AE86-Risk_Compensation!AF$79/AE$72-0.5*DM$167*(AE131/AE86-DM$135/AE$72))*AE86)</f>
        <v>0</v>
      </c>
      <c r="CJ86" s="2140">
        <f>IF(AF86&lt;=0,0,(Risk_Compensation!AG92/AF86-Risk_Compensation!AG$79/AF$72-0.5*DN$167*(AF131/AF86-DN$135/AF$72))*AF86)</f>
        <v>0</v>
      </c>
      <c r="CL86" s="2144"/>
      <c r="CN86" s="2078">
        <f>IF(G86&gt;0,$DP86^2*(BK86*Risk_Compensation!$AK92*12/1000000)^2/G86,0)</f>
        <v>0</v>
      </c>
      <c r="CO86" s="2079">
        <f>IF(H86&gt;0,$DP86^2*(BL86*Risk_Compensation!$AK92*12/1000000)^2/H86,0)</f>
        <v>0</v>
      </c>
      <c r="CP86" s="2079">
        <f>IF(I86&gt;0,$DP86^2*(BM86*Risk_Compensation!$AK92*12/1000000)^2/I86,0)</f>
        <v>0</v>
      </c>
      <c r="CQ86" s="2079">
        <f>IF(J86&gt;0,$DP86^2*(BN86*Risk_Compensation!$AK92*12/1000000)^2/J86,0)</f>
        <v>0</v>
      </c>
      <c r="CR86" s="2079">
        <f>IF(K86&gt;0,$DP86^2*(BO86*Risk_Compensation!$AK92*12/1000000)^2/K86,0)</f>
        <v>0</v>
      </c>
      <c r="CS86" s="2079">
        <f>IF(L86&gt;0,$DP86^2*(BP86*Risk_Compensation!$AK92*12/1000000)^2/L86,0)</f>
        <v>0</v>
      </c>
      <c r="CT86" s="2079">
        <f>IF(M86&gt;0,$DP86^2*(BQ86*Risk_Compensation!$AK92*12/1000000)^2/M86,0)</f>
        <v>0</v>
      </c>
      <c r="CU86" s="2079">
        <f>IF(N86&gt;0,$DP86^2*(BR86*Risk_Compensation!$AK92*12/1000000)^2/N86,0)</f>
        <v>0</v>
      </c>
      <c r="CV86" s="2079">
        <f>IF(O86&gt;0,$DP86^2*(BS86*Risk_Compensation!$AK92*12/1000000)^2/O86,0)</f>
        <v>0</v>
      </c>
      <c r="CW86" s="2079">
        <f>IF(P86&gt;0,$DP86^2*(BT86*Risk_Compensation!$AK92*12/1000000)^2/P86,0)</f>
        <v>0</v>
      </c>
      <c r="CX86" s="2079">
        <f>IF(Q86&gt;0,$DP86^2*(BU86*Risk_Compensation!$AK92*12/1000000)^2/Q86,0)</f>
        <v>0</v>
      </c>
      <c r="CY86" s="2079">
        <f>IF(R86&gt;0,$DP86^2*(BV86*Risk_Compensation!$AK92*12/1000000)^2/R86,0)</f>
        <v>0</v>
      </c>
      <c r="CZ86" s="2079">
        <f>IF(S86&gt;0,$DP86^2*(BW86*Risk_Compensation!$AK92*12/1000000)^2/S86,0)</f>
        <v>0</v>
      </c>
      <c r="DA86" s="2079">
        <f>IF(T86&gt;0,$DP86^2*(BX86*Risk_Compensation!$AK92*12/1000000)^2/T86,0)</f>
        <v>0</v>
      </c>
      <c r="DB86" s="2079">
        <f>IF(U86&gt;0,$DP86^2*(BY86*Risk_Compensation!$AK92*12/1000000)^2/U86,0)</f>
        <v>0</v>
      </c>
      <c r="DC86" s="2079">
        <f>IF(V86&gt;0,$DP86^2*(BZ86*Risk_Compensation!$AK92*12/1000000)^2/V86,0)</f>
        <v>0</v>
      </c>
      <c r="DD86" s="2079">
        <f>IF(W86&gt;0,$DP86^2*(CA86*Risk_Compensation!$AK92*12/1000000)^2/W86,0)</f>
        <v>0</v>
      </c>
      <c r="DE86" s="2079">
        <f>IF(X86&gt;0,$DP86^2*(CB86*Risk_Compensation!$AK92*12/1000000)^2/X86,0)</f>
        <v>0</v>
      </c>
      <c r="DF86" s="2079">
        <f>IF(Y86&gt;0,$DP86^2*(CC86*Risk_Compensation!$AK92*12/1000000)^2/Y86,0)</f>
        <v>0</v>
      </c>
      <c r="DG86" s="2079">
        <f>IF(Z86&gt;0,$DP86^2*(CD86*Risk_Compensation!$AK92*12/1000000)^2/Z86,0)</f>
        <v>0</v>
      </c>
      <c r="DH86" s="2079">
        <f>IF(AA86&gt;0,$DP86^2*(CE86*Risk_Compensation!$AK92*12/1000000)^2/AA86,0)</f>
        <v>0</v>
      </c>
      <c r="DI86" s="2079">
        <f>IF(AB86&gt;0,$DP86^2*(CF86*Risk_Compensation!$AK92*12/1000000)^2/AB86,0)</f>
        <v>0</v>
      </c>
      <c r="DJ86" s="2079">
        <f>IF(AC86&gt;0,$DP86^2*(CG86*Risk_Compensation!$AK92*12/1000000)^2/AC86,0)</f>
        <v>0</v>
      </c>
      <c r="DK86" s="2079">
        <f>IF(AD86&gt;0,$DP86^2*(CH86*Risk_Compensation!$AK92*12/1000000)^2/AD86,0)</f>
        <v>0</v>
      </c>
      <c r="DL86" s="2079">
        <f>IF(AE86&gt;0,$DP86^2*(CI86*Risk_Compensation!$AK92*12/1000000)^2/AE86,0)</f>
        <v>0</v>
      </c>
      <c r="DM86" s="2080">
        <f>IF(AF86&gt;0,$DP86^2*(CJ86*Risk_Compensation!$AK92*12/1000000)^2/AF86,0)</f>
        <v>0</v>
      </c>
      <c r="DO86" s="1823"/>
      <c r="DP86" s="2219">
        <v>1.32461516744248</v>
      </c>
      <c r="DR86" s="1428" t="s">
        <v>2354</v>
      </c>
      <c r="DS86" s="1426" t="str">
        <f>Translation!B$589</f>
        <v>Bipolare Störung regulär</v>
      </c>
      <c r="DU86" s="2159"/>
      <c r="DV86" s="1428"/>
      <c r="DW86" s="2159"/>
      <c r="DX86" s="2159"/>
      <c r="DY86" s="2217"/>
      <c r="DZ86" s="2159"/>
      <c r="EA86" s="2159"/>
      <c r="EB86" s="2159"/>
      <c r="EC86" s="2159"/>
      <c r="ED86" s="2159"/>
      <c r="EE86" s="2159"/>
      <c r="EF86" s="2159"/>
      <c r="EG86" s="2159"/>
      <c r="EH86" s="2159"/>
      <c r="EI86" s="2159"/>
      <c r="EJ86" s="2159"/>
    </row>
    <row r="87" spans="3:140" x14ac:dyDescent="0.2">
      <c r="C87" s="1428" t="s">
        <v>2356</v>
      </c>
      <c r="D87" s="1426" t="str">
        <f>Translation!B$590</f>
        <v>Herzleiden</v>
      </c>
      <c r="F87" s="1437"/>
      <c r="G87" s="2211">
        <v>3761.0225</v>
      </c>
      <c r="H87" s="2212">
        <v>80.476666666666702</v>
      </c>
      <c r="I87" s="2212">
        <v>254.77916666666701</v>
      </c>
      <c r="J87" s="2212">
        <v>5622.1175000000003</v>
      </c>
      <c r="K87" s="2212">
        <v>1682.52583333333</v>
      </c>
      <c r="L87" s="2212">
        <v>1118.915</v>
      </c>
      <c r="M87" s="2212">
        <v>1782.49</v>
      </c>
      <c r="N87" s="2212">
        <v>2364.7775000000001</v>
      </c>
      <c r="O87" s="2212">
        <v>164.73750000000001</v>
      </c>
      <c r="P87" s="2212">
        <v>1025.2916666666699</v>
      </c>
      <c r="Q87" s="2212">
        <v>383.89083333333298</v>
      </c>
      <c r="R87" s="2212">
        <v>2045.8958333333301</v>
      </c>
      <c r="S87" s="2212">
        <v>810.09083333333297</v>
      </c>
      <c r="T87" s="2212">
        <v>316.24416666666701</v>
      </c>
      <c r="U87" s="2212">
        <v>194.4725</v>
      </c>
      <c r="V87" s="2212">
        <v>2737.11083333333</v>
      </c>
      <c r="W87" s="2212">
        <v>430.93583333333299</v>
      </c>
      <c r="X87" s="2212">
        <v>1760.0350000000001</v>
      </c>
      <c r="Y87" s="2212">
        <v>785.66333333333296</v>
      </c>
      <c r="Z87" s="2212">
        <v>1563.06833333333</v>
      </c>
      <c r="AA87" s="2212">
        <v>3298.79</v>
      </c>
      <c r="AB87" s="2212">
        <v>166.044166666667</v>
      </c>
      <c r="AC87" s="2212">
        <v>4214.7016666666696</v>
      </c>
      <c r="AD87" s="2212">
        <v>1767.55083333333</v>
      </c>
      <c r="AE87" s="2212">
        <v>458.24666666666701</v>
      </c>
      <c r="AF87" s="2213">
        <v>6194.8675000000003</v>
      </c>
      <c r="AI87" s="2078">
        <f>Risk_Compensation!H93*Risk_Compensation!$AK93*12/1000000</f>
        <v>0</v>
      </c>
      <c r="AJ87" s="2079">
        <f>Risk_Compensation!I93*Risk_Compensation!$AK93*12/1000000</f>
        <v>0</v>
      </c>
      <c r="AK87" s="2079">
        <f>Risk_Compensation!J93*Risk_Compensation!$AK93*12/1000000</f>
        <v>0</v>
      </c>
      <c r="AL87" s="2079">
        <f>Risk_Compensation!K93*Risk_Compensation!$AK93*12/1000000</f>
        <v>0</v>
      </c>
      <c r="AM87" s="2079">
        <f>Risk_Compensation!L93*Risk_Compensation!$AK93*12/1000000</f>
        <v>0</v>
      </c>
      <c r="AN87" s="2079">
        <f>Risk_Compensation!M93*Risk_Compensation!$AK93*12/1000000</f>
        <v>0</v>
      </c>
      <c r="AO87" s="2079">
        <f>Risk_Compensation!N93*Risk_Compensation!$AK93*12/1000000</f>
        <v>0</v>
      </c>
      <c r="AP87" s="2079">
        <f>Risk_Compensation!O93*Risk_Compensation!$AK93*12/1000000</f>
        <v>0</v>
      </c>
      <c r="AQ87" s="2079">
        <f>Risk_Compensation!P93*Risk_Compensation!$AK93*12/1000000</f>
        <v>0</v>
      </c>
      <c r="AR87" s="2079">
        <f>Risk_Compensation!Q93*Risk_Compensation!$AK93*12/1000000</f>
        <v>0</v>
      </c>
      <c r="AS87" s="2079">
        <f>Risk_Compensation!R93*Risk_Compensation!$AK93*12/1000000</f>
        <v>0</v>
      </c>
      <c r="AT87" s="2079">
        <f>Risk_Compensation!S93*Risk_Compensation!$AK93*12/1000000</f>
        <v>0</v>
      </c>
      <c r="AU87" s="2079">
        <f>Risk_Compensation!T93*Risk_Compensation!$AK93*12/1000000</f>
        <v>0</v>
      </c>
      <c r="AV87" s="2079">
        <f>Risk_Compensation!U93*Risk_Compensation!$AK93*12/1000000</f>
        <v>0</v>
      </c>
      <c r="AW87" s="2079">
        <f>Risk_Compensation!V93*Risk_Compensation!$AK93*12/1000000</f>
        <v>0</v>
      </c>
      <c r="AX87" s="2079">
        <f>Risk_Compensation!W93*Risk_Compensation!$AK93*12/1000000</f>
        <v>0</v>
      </c>
      <c r="AY87" s="2079">
        <f>Risk_Compensation!X93*Risk_Compensation!$AK93*12/1000000</f>
        <v>0</v>
      </c>
      <c r="AZ87" s="2079">
        <f>Risk_Compensation!Y93*Risk_Compensation!$AK93*12/1000000</f>
        <v>0</v>
      </c>
      <c r="BA87" s="2079">
        <f>Risk_Compensation!Z93*Risk_Compensation!$AK93*12/1000000</f>
        <v>0</v>
      </c>
      <c r="BB87" s="2079">
        <f>Risk_Compensation!AA93*Risk_Compensation!$AK93*12/1000000</f>
        <v>0</v>
      </c>
      <c r="BC87" s="2079">
        <f>Risk_Compensation!AB93*Risk_Compensation!$AK93*12/1000000</f>
        <v>0</v>
      </c>
      <c r="BD87" s="2079">
        <f>Risk_Compensation!AC93*Risk_Compensation!$AK93*12/1000000</f>
        <v>0</v>
      </c>
      <c r="BE87" s="2079">
        <f>Risk_Compensation!AD93*Risk_Compensation!$AK93*12/1000000</f>
        <v>0</v>
      </c>
      <c r="BF87" s="2079">
        <f>Risk_Compensation!AE93*Risk_Compensation!$AK93*12/1000000</f>
        <v>0</v>
      </c>
      <c r="BG87" s="2079">
        <f>Risk_Compensation!AF93*Risk_Compensation!$AK93*12/1000000</f>
        <v>0</v>
      </c>
      <c r="BH87" s="2080">
        <f>Risk_Compensation!AG93*Risk_Compensation!$AK93*12/1000000</f>
        <v>0</v>
      </c>
      <c r="BK87" s="2138">
        <f>IF(G87&lt;=0,0,(Risk_Compensation!H93/G87-Risk_Compensation!H$79/G$72-0.5*CO$167*(G132/G87-CO$135/G$72))*G87)</f>
        <v>0</v>
      </c>
      <c r="BL87" s="2139">
        <f>IF(H87&lt;=0,0,(Risk_Compensation!I93/H87-Risk_Compensation!I$79/H$72-0.5*CP$167*(H132/H87-CP$135/H$72))*H87)</f>
        <v>0</v>
      </c>
      <c r="BM87" s="2139">
        <f>IF(I87&lt;=0,0,(Risk_Compensation!J93/I87-Risk_Compensation!J$79/I$72-0.5*CQ$167*(I132/I87-CQ$135/I$72))*I87)</f>
        <v>0</v>
      </c>
      <c r="BN87" s="2139">
        <f>IF(J87&lt;=0,0,(Risk_Compensation!K93/J87-Risk_Compensation!K$79/J$72-0.5*CR$167*(J132/J87-CR$135/J$72))*J87)</f>
        <v>0</v>
      </c>
      <c r="BO87" s="2139">
        <f>IF(K87&lt;=0,0,(Risk_Compensation!L93/K87-Risk_Compensation!L$79/K$72-0.5*CS$167*(K132/K87-CS$135/K$72))*K87)</f>
        <v>0</v>
      </c>
      <c r="BP87" s="2139">
        <f>IF(L87&lt;=0,0,(Risk_Compensation!M93/L87-Risk_Compensation!M$79/L$72-0.5*CT$167*(L132/L87-CT$135/L$72))*L87)</f>
        <v>0</v>
      </c>
      <c r="BQ87" s="2139">
        <f>IF(M87&lt;=0,0,(Risk_Compensation!N93/M87-Risk_Compensation!N$79/M$72-0.5*CU$167*(M132/M87-CU$135/M$72))*M87)</f>
        <v>0</v>
      </c>
      <c r="BR87" s="2139">
        <f>IF(N87&lt;=0,0,(Risk_Compensation!O93/N87-Risk_Compensation!O$79/N$72-0.5*CV$167*(N132/N87-CV$135/N$72))*N87)</f>
        <v>0</v>
      </c>
      <c r="BS87" s="2139">
        <f>IF(O87&lt;=0,0,(Risk_Compensation!P93/O87-Risk_Compensation!P$79/O$72-0.5*CW$167*(O132/O87-CW$135/O$72))*O87)</f>
        <v>0</v>
      </c>
      <c r="BT87" s="2139">
        <f>IF(P87&lt;=0,0,(Risk_Compensation!Q93/P87-Risk_Compensation!Q$79/P$72-0.5*CX$167*(P132/P87-CX$135/P$72))*P87)</f>
        <v>0</v>
      </c>
      <c r="BU87" s="2139">
        <f>IF(Q87&lt;=0,0,(Risk_Compensation!R93/Q87-Risk_Compensation!R$79/Q$72-0.5*CY$167*(Q132/Q87-CY$135/Q$72))*Q87)</f>
        <v>0</v>
      </c>
      <c r="BV87" s="2139">
        <f>IF(R87&lt;=0,0,(Risk_Compensation!S93/R87-Risk_Compensation!S$79/R$72-0.5*CZ$167*(R132/R87-CZ$135/R$72))*R87)</f>
        <v>0</v>
      </c>
      <c r="BW87" s="2139">
        <f>IF(S87&lt;=0,0,(Risk_Compensation!T93/S87-Risk_Compensation!T$79/S$72-0.5*DA$167*(S132/S87-DA$135/S$72))*S87)</f>
        <v>0</v>
      </c>
      <c r="BX87" s="2139">
        <f>IF(T87&lt;=0,0,(Risk_Compensation!U93/T87-Risk_Compensation!U$79/T$72-0.5*DB$167*(T132/T87-DB$135/T$72))*T87)</f>
        <v>0</v>
      </c>
      <c r="BY87" s="2139">
        <f>IF(U87&lt;=0,0,(Risk_Compensation!V93/U87-Risk_Compensation!V$79/U$72-0.5*DC$167*(U132/U87-DC$135/U$72))*U87)</f>
        <v>0</v>
      </c>
      <c r="BZ87" s="2139">
        <f>IF(V87&lt;=0,0,(Risk_Compensation!W93/V87-Risk_Compensation!W$79/V$72-0.5*DD$167*(V132/V87-DD$135/V$72))*V87)</f>
        <v>0</v>
      </c>
      <c r="CA87" s="2139">
        <f>IF(W87&lt;=0,0,(Risk_Compensation!X93/W87-Risk_Compensation!X$79/W$72-0.5*DE$167*(W132/W87-DE$135/W$72))*W87)</f>
        <v>0</v>
      </c>
      <c r="CB87" s="2139">
        <f>IF(X87&lt;=0,0,(Risk_Compensation!Y93/X87-Risk_Compensation!Y$79/X$72-0.5*DF$167*(X132/X87-DF$135/X$72))*X87)</f>
        <v>0</v>
      </c>
      <c r="CC87" s="2139">
        <f>IF(Y87&lt;=0,0,(Risk_Compensation!Z93/Y87-Risk_Compensation!Z$79/Y$72-0.5*DG$167*(Y132/Y87-DG$135/Y$72))*Y87)</f>
        <v>0</v>
      </c>
      <c r="CD87" s="2139">
        <f>IF(Z87&lt;=0,0,(Risk_Compensation!AA93/Z87-Risk_Compensation!AA$79/Z$72-0.5*DH$167*(Z132/Z87-DH$135/Z$72))*Z87)</f>
        <v>0</v>
      </c>
      <c r="CE87" s="2139">
        <f>IF(AA87&lt;=0,0,(Risk_Compensation!AB93/AA87-Risk_Compensation!AB$79/AA$72-0.5*DI$167*(AA132/AA87-DI$135/AA$72))*AA87)</f>
        <v>0</v>
      </c>
      <c r="CF87" s="2139">
        <f>IF(AB87&lt;=0,0,(Risk_Compensation!AC93/AB87-Risk_Compensation!AC$79/AB$72-0.5*DJ$167*(AB132/AB87-DJ$135/AB$72))*AB87)</f>
        <v>0</v>
      </c>
      <c r="CG87" s="2139">
        <f>IF(AC87&lt;=0,0,(Risk_Compensation!AD93/AC87-Risk_Compensation!AD$79/AC$72-0.5*DK$167*(AC132/AC87-DK$135/AC$72))*AC87)</f>
        <v>0</v>
      </c>
      <c r="CH87" s="2139">
        <f>IF(AD87&lt;=0,0,(Risk_Compensation!AE93/AD87-Risk_Compensation!AE$79/AD$72-0.5*DL$167*(AD132/AD87-DL$135/AD$72))*AD87)</f>
        <v>0</v>
      </c>
      <c r="CI87" s="2139">
        <f>IF(AE87&lt;=0,0,(Risk_Compensation!AF93/AE87-Risk_Compensation!AF$79/AE$72-0.5*DM$167*(AE132/AE87-DM$135/AE$72))*AE87)</f>
        <v>0</v>
      </c>
      <c r="CJ87" s="2140">
        <f>IF(AF87&lt;=0,0,(Risk_Compensation!AG93/AF87-Risk_Compensation!AG$79/AF$72-0.5*DN$167*(AF132/AF87-DN$135/AF$72))*AF87)</f>
        <v>0</v>
      </c>
      <c r="CL87" s="2144"/>
      <c r="CN87" s="2078">
        <f>IF(G87&gt;0,$DP87^2*(BK87*Risk_Compensation!$AK93*12/1000000)^2/G87,0)</f>
        <v>0</v>
      </c>
      <c r="CO87" s="2079">
        <f>IF(H87&gt;0,$DP87^2*(BL87*Risk_Compensation!$AK93*12/1000000)^2/H87,0)</f>
        <v>0</v>
      </c>
      <c r="CP87" s="2079">
        <f>IF(I87&gt;0,$DP87^2*(BM87*Risk_Compensation!$AK93*12/1000000)^2/I87,0)</f>
        <v>0</v>
      </c>
      <c r="CQ87" s="2079">
        <f>IF(J87&gt;0,$DP87^2*(BN87*Risk_Compensation!$AK93*12/1000000)^2/J87,0)</f>
        <v>0</v>
      </c>
      <c r="CR87" s="2079">
        <f>IF(K87&gt;0,$DP87^2*(BO87*Risk_Compensation!$AK93*12/1000000)^2/K87,0)</f>
        <v>0</v>
      </c>
      <c r="CS87" s="2079">
        <f>IF(L87&gt;0,$DP87^2*(BP87*Risk_Compensation!$AK93*12/1000000)^2/L87,0)</f>
        <v>0</v>
      </c>
      <c r="CT87" s="2079">
        <f>IF(M87&gt;0,$DP87^2*(BQ87*Risk_Compensation!$AK93*12/1000000)^2/M87,0)</f>
        <v>0</v>
      </c>
      <c r="CU87" s="2079">
        <f>IF(N87&gt;0,$DP87^2*(BR87*Risk_Compensation!$AK93*12/1000000)^2/N87,0)</f>
        <v>0</v>
      </c>
      <c r="CV87" s="2079">
        <f>IF(O87&gt;0,$DP87^2*(BS87*Risk_Compensation!$AK93*12/1000000)^2/O87,0)</f>
        <v>0</v>
      </c>
      <c r="CW87" s="2079">
        <f>IF(P87&gt;0,$DP87^2*(BT87*Risk_Compensation!$AK93*12/1000000)^2/P87,0)</f>
        <v>0</v>
      </c>
      <c r="CX87" s="2079">
        <f>IF(Q87&gt;0,$DP87^2*(BU87*Risk_Compensation!$AK93*12/1000000)^2/Q87,0)</f>
        <v>0</v>
      </c>
      <c r="CY87" s="2079">
        <f>IF(R87&gt;0,$DP87^2*(BV87*Risk_Compensation!$AK93*12/1000000)^2/R87,0)</f>
        <v>0</v>
      </c>
      <c r="CZ87" s="2079">
        <f>IF(S87&gt;0,$DP87^2*(BW87*Risk_Compensation!$AK93*12/1000000)^2/S87,0)</f>
        <v>0</v>
      </c>
      <c r="DA87" s="2079">
        <f>IF(T87&gt;0,$DP87^2*(BX87*Risk_Compensation!$AK93*12/1000000)^2/T87,0)</f>
        <v>0</v>
      </c>
      <c r="DB87" s="2079">
        <f>IF(U87&gt;0,$DP87^2*(BY87*Risk_Compensation!$AK93*12/1000000)^2/U87,0)</f>
        <v>0</v>
      </c>
      <c r="DC87" s="2079">
        <f>IF(V87&gt;0,$DP87^2*(BZ87*Risk_Compensation!$AK93*12/1000000)^2/V87,0)</f>
        <v>0</v>
      </c>
      <c r="DD87" s="2079">
        <f>IF(W87&gt;0,$DP87^2*(CA87*Risk_Compensation!$AK93*12/1000000)^2/W87,0)</f>
        <v>0</v>
      </c>
      <c r="DE87" s="2079">
        <f>IF(X87&gt;0,$DP87^2*(CB87*Risk_Compensation!$AK93*12/1000000)^2/X87,0)</f>
        <v>0</v>
      </c>
      <c r="DF87" s="2079">
        <f>IF(Y87&gt;0,$DP87^2*(CC87*Risk_Compensation!$AK93*12/1000000)^2/Y87,0)</f>
        <v>0</v>
      </c>
      <c r="DG87" s="2079">
        <f>IF(Z87&gt;0,$DP87^2*(CD87*Risk_Compensation!$AK93*12/1000000)^2/Z87,0)</f>
        <v>0</v>
      </c>
      <c r="DH87" s="2079">
        <f>IF(AA87&gt;0,$DP87^2*(CE87*Risk_Compensation!$AK93*12/1000000)^2/AA87,0)</f>
        <v>0</v>
      </c>
      <c r="DI87" s="2079">
        <f>IF(AB87&gt;0,$DP87^2*(CF87*Risk_Compensation!$AK93*12/1000000)^2/AB87,0)</f>
        <v>0</v>
      </c>
      <c r="DJ87" s="2079">
        <f>IF(AC87&gt;0,$DP87^2*(CG87*Risk_Compensation!$AK93*12/1000000)^2/AC87,0)</f>
        <v>0</v>
      </c>
      <c r="DK87" s="2079">
        <f>IF(AD87&gt;0,$DP87^2*(CH87*Risk_Compensation!$AK93*12/1000000)^2/AD87,0)</f>
        <v>0</v>
      </c>
      <c r="DL87" s="2079">
        <f>IF(AE87&gt;0,$DP87^2*(CI87*Risk_Compensation!$AK93*12/1000000)^2/AE87,0)</f>
        <v>0</v>
      </c>
      <c r="DM87" s="2080">
        <f>IF(AF87&gt;0,$DP87^2*(CJ87*Risk_Compensation!$AK93*12/1000000)^2/AF87,0)</f>
        <v>0</v>
      </c>
      <c r="DO87" s="1823"/>
      <c r="DP87" s="2219">
        <v>1.2947167884884101</v>
      </c>
      <c r="DR87" s="1428" t="s">
        <v>2356</v>
      </c>
      <c r="DS87" s="1426" t="str">
        <f>Translation!B$590</f>
        <v>Herzleiden</v>
      </c>
      <c r="DU87" s="2159"/>
      <c r="DV87" s="1428"/>
      <c r="DW87" s="2159"/>
      <c r="DX87" s="2159"/>
      <c r="DY87" s="2217"/>
      <c r="DZ87" s="2159"/>
      <c r="EA87" s="2159"/>
      <c r="EB87" s="2159"/>
      <c r="EC87" s="2159"/>
      <c r="ED87" s="2159"/>
      <c r="EE87" s="2159"/>
      <c r="EF87" s="2159"/>
      <c r="EG87" s="2159"/>
      <c r="EH87" s="2159"/>
      <c r="EI87" s="2159"/>
      <c r="EJ87" s="2159"/>
    </row>
    <row r="88" spans="3:140" x14ac:dyDescent="0.2">
      <c r="C88" s="1428" t="s">
        <v>2358</v>
      </c>
      <c r="D88" s="1426" t="str">
        <f>Translation!B$591</f>
        <v>COPD / Schweres Asthma</v>
      </c>
      <c r="F88" s="1437"/>
      <c r="G88" s="2211">
        <v>4216.9849999999997</v>
      </c>
      <c r="H88" s="2212">
        <v>102.85</v>
      </c>
      <c r="I88" s="2212">
        <v>305.90333333333302</v>
      </c>
      <c r="J88" s="2212">
        <v>8933.7491666666701</v>
      </c>
      <c r="K88" s="2212">
        <v>2294.1633333333298</v>
      </c>
      <c r="L88" s="2212">
        <v>1783.25833333333</v>
      </c>
      <c r="M88" s="2212">
        <v>2270.1708333333299</v>
      </c>
      <c r="N88" s="2212">
        <v>2841.6725000000001</v>
      </c>
      <c r="O88" s="2212">
        <v>340.28166666666698</v>
      </c>
      <c r="P88" s="2212">
        <v>1713.59916666667</v>
      </c>
      <c r="Q88" s="2212">
        <v>514.48333333333301</v>
      </c>
      <c r="R88" s="2212">
        <v>2591.3291666666701</v>
      </c>
      <c r="S88" s="2212">
        <v>1402.615</v>
      </c>
      <c r="T88" s="2212">
        <v>302.28416666666698</v>
      </c>
      <c r="U88" s="2212">
        <v>207.428333333333</v>
      </c>
      <c r="V88" s="2212">
        <v>3588.5216666666702</v>
      </c>
      <c r="W88" s="2212">
        <v>688.17333333333295</v>
      </c>
      <c r="X88" s="2212">
        <v>1852.7266666666701</v>
      </c>
      <c r="Y88" s="2212">
        <v>989.63</v>
      </c>
      <c r="Z88" s="2212">
        <v>1726.2674999999999</v>
      </c>
      <c r="AA88" s="2212">
        <v>2612.3958333333298</v>
      </c>
      <c r="AB88" s="2212">
        <v>206.52500000000001</v>
      </c>
      <c r="AC88" s="2212">
        <v>5657.2416666666704</v>
      </c>
      <c r="AD88" s="2212">
        <v>2689.8016666666699</v>
      </c>
      <c r="AE88" s="2212">
        <v>555.993333333333</v>
      </c>
      <c r="AF88" s="2213">
        <v>9764.8533333333307</v>
      </c>
      <c r="AI88" s="2078">
        <f>Risk_Compensation!H94*Risk_Compensation!$AK94*12/1000000</f>
        <v>0</v>
      </c>
      <c r="AJ88" s="2079">
        <f>Risk_Compensation!I94*Risk_Compensation!$AK94*12/1000000</f>
        <v>0</v>
      </c>
      <c r="AK88" s="2079">
        <f>Risk_Compensation!J94*Risk_Compensation!$AK94*12/1000000</f>
        <v>0</v>
      </c>
      <c r="AL88" s="2079">
        <f>Risk_Compensation!K94*Risk_Compensation!$AK94*12/1000000</f>
        <v>0</v>
      </c>
      <c r="AM88" s="2079">
        <f>Risk_Compensation!L94*Risk_Compensation!$AK94*12/1000000</f>
        <v>0</v>
      </c>
      <c r="AN88" s="2079">
        <f>Risk_Compensation!M94*Risk_Compensation!$AK94*12/1000000</f>
        <v>0</v>
      </c>
      <c r="AO88" s="2079">
        <f>Risk_Compensation!N94*Risk_Compensation!$AK94*12/1000000</f>
        <v>0</v>
      </c>
      <c r="AP88" s="2079">
        <f>Risk_Compensation!O94*Risk_Compensation!$AK94*12/1000000</f>
        <v>0</v>
      </c>
      <c r="AQ88" s="2079">
        <f>Risk_Compensation!P94*Risk_Compensation!$AK94*12/1000000</f>
        <v>0</v>
      </c>
      <c r="AR88" s="2079">
        <f>Risk_Compensation!Q94*Risk_Compensation!$AK94*12/1000000</f>
        <v>0</v>
      </c>
      <c r="AS88" s="2079">
        <f>Risk_Compensation!R94*Risk_Compensation!$AK94*12/1000000</f>
        <v>0</v>
      </c>
      <c r="AT88" s="2079">
        <f>Risk_Compensation!S94*Risk_Compensation!$AK94*12/1000000</f>
        <v>0</v>
      </c>
      <c r="AU88" s="2079">
        <f>Risk_Compensation!T94*Risk_Compensation!$AK94*12/1000000</f>
        <v>0</v>
      </c>
      <c r="AV88" s="2079">
        <f>Risk_Compensation!U94*Risk_Compensation!$AK94*12/1000000</f>
        <v>0</v>
      </c>
      <c r="AW88" s="2079">
        <f>Risk_Compensation!V94*Risk_Compensation!$AK94*12/1000000</f>
        <v>0</v>
      </c>
      <c r="AX88" s="2079">
        <f>Risk_Compensation!W94*Risk_Compensation!$AK94*12/1000000</f>
        <v>0</v>
      </c>
      <c r="AY88" s="2079">
        <f>Risk_Compensation!X94*Risk_Compensation!$AK94*12/1000000</f>
        <v>0</v>
      </c>
      <c r="AZ88" s="2079">
        <f>Risk_Compensation!Y94*Risk_Compensation!$AK94*12/1000000</f>
        <v>0</v>
      </c>
      <c r="BA88" s="2079">
        <f>Risk_Compensation!Z94*Risk_Compensation!$AK94*12/1000000</f>
        <v>0</v>
      </c>
      <c r="BB88" s="2079">
        <f>Risk_Compensation!AA94*Risk_Compensation!$AK94*12/1000000</f>
        <v>0</v>
      </c>
      <c r="BC88" s="2079">
        <f>Risk_Compensation!AB94*Risk_Compensation!$AK94*12/1000000</f>
        <v>0</v>
      </c>
      <c r="BD88" s="2079">
        <f>Risk_Compensation!AC94*Risk_Compensation!$AK94*12/1000000</f>
        <v>0</v>
      </c>
      <c r="BE88" s="2079">
        <f>Risk_Compensation!AD94*Risk_Compensation!$AK94*12/1000000</f>
        <v>0</v>
      </c>
      <c r="BF88" s="2079">
        <f>Risk_Compensation!AE94*Risk_Compensation!$AK94*12/1000000</f>
        <v>0</v>
      </c>
      <c r="BG88" s="2079">
        <f>Risk_Compensation!AF94*Risk_Compensation!$AK94*12/1000000</f>
        <v>0</v>
      </c>
      <c r="BH88" s="2080">
        <f>Risk_Compensation!AG94*Risk_Compensation!$AK94*12/1000000</f>
        <v>0</v>
      </c>
      <c r="BK88" s="2138">
        <f>IF(G88&lt;=0,0,(Risk_Compensation!H94/G88-Risk_Compensation!H$79/G$72-0.5*CO$167*(G133/G88-CO$135/G$72))*G88)</f>
        <v>0</v>
      </c>
      <c r="BL88" s="2139">
        <f>IF(H88&lt;=0,0,(Risk_Compensation!I94/H88-Risk_Compensation!I$79/H$72-0.5*CP$167*(H133/H88-CP$135/H$72))*H88)</f>
        <v>0</v>
      </c>
      <c r="BM88" s="2139">
        <f>IF(I88&lt;=0,0,(Risk_Compensation!J94/I88-Risk_Compensation!J$79/I$72-0.5*CQ$167*(I133/I88-CQ$135/I$72))*I88)</f>
        <v>0</v>
      </c>
      <c r="BN88" s="2139">
        <f>IF(J88&lt;=0,0,(Risk_Compensation!K94/J88-Risk_Compensation!K$79/J$72-0.5*CR$167*(J133/J88-CR$135/J$72))*J88)</f>
        <v>0</v>
      </c>
      <c r="BO88" s="2139">
        <f>IF(K88&lt;=0,0,(Risk_Compensation!L94/K88-Risk_Compensation!L$79/K$72-0.5*CS$167*(K133/K88-CS$135/K$72))*K88)</f>
        <v>0</v>
      </c>
      <c r="BP88" s="2139">
        <f>IF(L88&lt;=0,0,(Risk_Compensation!M94/L88-Risk_Compensation!M$79/L$72-0.5*CT$167*(L133/L88-CT$135/L$72))*L88)</f>
        <v>0</v>
      </c>
      <c r="BQ88" s="2139">
        <f>IF(M88&lt;=0,0,(Risk_Compensation!N94/M88-Risk_Compensation!N$79/M$72-0.5*CU$167*(M133/M88-CU$135/M$72))*M88)</f>
        <v>0</v>
      </c>
      <c r="BR88" s="2139">
        <f>IF(N88&lt;=0,0,(Risk_Compensation!O94/N88-Risk_Compensation!O$79/N$72-0.5*CV$167*(N133/N88-CV$135/N$72))*N88)</f>
        <v>0</v>
      </c>
      <c r="BS88" s="2139">
        <f>IF(O88&lt;=0,0,(Risk_Compensation!P94/O88-Risk_Compensation!P$79/O$72-0.5*CW$167*(O133/O88-CW$135/O$72))*O88)</f>
        <v>0</v>
      </c>
      <c r="BT88" s="2139">
        <f>IF(P88&lt;=0,0,(Risk_Compensation!Q94/P88-Risk_Compensation!Q$79/P$72-0.5*CX$167*(P133/P88-CX$135/P$72))*P88)</f>
        <v>0</v>
      </c>
      <c r="BU88" s="2139">
        <f>IF(Q88&lt;=0,0,(Risk_Compensation!R94/Q88-Risk_Compensation!R$79/Q$72-0.5*CY$167*(Q133/Q88-CY$135/Q$72))*Q88)</f>
        <v>0</v>
      </c>
      <c r="BV88" s="2139">
        <f>IF(R88&lt;=0,0,(Risk_Compensation!S94/R88-Risk_Compensation!S$79/R$72-0.5*CZ$167*(R133/R88-CZ$135/R$72))*R88)</f>
        <v>0</v>
      </c>
      <c r="BW88" s="2139">
        <f>IF(S88&lt;=0,0,(Risk_Compensation!T94/S88-Risk_Compensation!T$79/S$72-0.5*DA$167*(S133/S88-DA$135/S$72))*S88)</f>
        <v>0</v>
      </c>
      <c r="BX88" s="2139">
        <f>IF(T88&lt;=0,0,(Risk_Compensation!U94/T88-Risk_Compensation!U$79/T$72-0.5*DB$167*(T133/T88-DB$135/T$72))*T88)</f>
        <v>0</v>
      </c>
      <c r="BY88" s="2139">
        <f>IF(U88&lt;=0,0,(Risk_Compensation!V94/U88-Risk_Compensation!V$79/U$72-0.5*DC$167*(U133/U88-DC$135/U$72))*U88)</f>
        <v>0</v>
      </c>
      <c r="BZ88" s="2139">
        <f>IF(V88&lt;=0,0,(Risk_Compensation!W94/V88-Risk_Compensation!W$79/V$72-0.5*DD$167*(V133/V88-DD$135/V$72))*V88)</f>
        <v>0</v>
      </c>
      <c r="CA88" s="2139">
        <f>IF(W88&lt;=0,0,(Risk_Compensation!X94/W88-Risk_Compensation!X$79/W$72-0.5*DE$167*(W133/W88-DE$135/W$72))*W88)</f>
        <v>0</v>
      </c>
      <c r="CB88" s="2139">
        <f>IF(X88&lt;=0,0,(Risk_Compensation!Y94/X88-Risk_Compensation!Y$79/X$72-0.5*DF$167*(X133/X88-DF$135/X$72))*X88)</f>
        <v>0</v>
      </c>
      <c r="CC88" s="2139">
        <f>IF(Y88&lt;=0,0,(Risk_Compensation!Z94/Y88-Risk_Compensation!Z$79/Y$72-0.5*DG$167*(Y133/Y88-DG$135/Y$72))*Y88)</f>
        <v>0</v>
      </c>
      <c r="CD88" s="2139">
        <f>IF(Z88&lt;=0,0,(Risk_Compensation!AA94/Z88-Risk_Compensation!AA$79/Z$72-0.5*DH$167*(Z133/Z88-DH$135/Z$72))*Z88)</f>
        <v>0</v>
      </c>
      <c r="CE88" s="2139">
        <f>IF(AA88&lt;=0,0,(Risk_Compensation!AB94/AA88-Risk_Compensation!AB$79/AA$72-0.5*DI$167*(AA133/AA88-DI$135/AA$72))*AA88)</f>
        <v>0</v>
      </c>
      <c r="CF88" s="2139">
        <f>IF(AB88&lt;=0,0,(Risk_Compensation!AC94/AB88-Risk_Compensation!AC$79/AB$72-0.5*DJ$167*(AB133/AB88-DJ$135/AB$72))*AB88)</f>
        <v>0</v>
      </c>
      <c r="CG88" s="2139">
        <f>IF(AC88&lt;=0,0,(Risk_Compensation!AD94/AC88-Risk_Compensation!AD$79/AC$72-0.5*DK$167*(AC133/AC88-DK$135/AC$72))*AC88)</f>
        <v>0</v>
      </c>
      <c r="CH88" s="2139">
        <f>IF(AD88&lt;=0,0,(Risk_Compensation!AE94/AD88-Risk_Compensation!AE$79/AD$72-0.5*DL$167*(AD133/AD88-DL$135/AD$72))*AD88)</f>
        <v>0</v>
      </c>
      <c r="CI88" s="2139">
        <f>IF(AE88&lt;=0,0,(Risk_Compensation!AF94/AE88-Risk_Compensation!AF$79/AE$72-0.5*DM$167*(AE133/AE88-DM$135/AE$72))*AE88)</f>
        <v>0</v>
      </c>
      <c r="CJ88" s="2140">
        <f>IF(AF88&lt;=0,0,(Risk_Compensation!AG94/AF88-Risk_Compensation!AG$79/AF$72-0.5*DN$167*(AF133/AF88-DN$135/AF$72))*AF88)</f>
        <v>0</v>
      </c>
      <c r="CL88" s="2144"/>
      <c r="CN88" s="2078">
        <f>IF(G88&gt;0,$DP88^2*(BK88*Risk_Compensation!$AK94*12/1000000)^2/G88,0)</f>
        <v>0</v>
      </c>
      <c r="CO88" s="2079">
        <f>IF(H88&gt;0,$DP88^2*(BL88*Risk_Compensation!$AK94*12/1000000)^2/H88,0)</f>
        <v>0</v>
      </c>
      <c r="CP88" s="2079">
        <f>IF(I88&gt;0,$DP88^2*(BM88*Risk_Compensation!$AK94*12/1000000)^2/I88,0)</f>
        <v>0</v>
      </c>
      <c r="CQ88" s="2079">
        <f>IF(J88&gt;0,$DP88^2*(BN88*Risk_Compensation!$AK94*12/1000000)^2/J88,0)</f>
        <v>0</v>
      </c>
      <c r="CR88" s="2079">
        <f>IF(K88&gt;0,$DP88^2*(BO88*Risk_Compensation!$AK94*12/1000000)^2/K88,0)</f>
        <v>0</v>
      </c>
      <c r="CS88" s="2079">
        <f>IF(L88&gt;0,$DP88^2*(BP88*Risk_Compensation!$AK94*12/1000000)^2/L88,0)</f>
        <v>0</v>
      </c>
      <c r="CT88" s="2079">
        <f>IF(M88&gt;0,$DP88^2*(BQ88*Risk_Compensation!$AK94*12/1000000)^2/M88,0)</f>
        <v>0</v>
      </c>
      <c r="CU88" s="2079">
        <f>IF(N88&gt;0,$DP88^2*(BR88*Risk_Compensation!$AK94*12/1000000)^2/N88,0)</f>
        <v>0</v>
      </c>
      <c r="CV88" s="2079">
        <f>IF(O88&gt;0,$DP88^2*(BS88*Risk_Compensation!$AK94*12/1000000)^2/O88,0)</f>
        <v>0</v>
      </c>
      <c r="CW88" s="2079">
        <f>IF(P88&gt;0,$DP88^2*(BT88*Risk_Compensation!$AK94*12/1000000)^2/P88,0)</f>
        <v>0</v>
      </c>
      <c r="CX88" s="2079">
        <f>IF(Q88&gt;0,$DP88^2*(BU88*Risk_Compensation!$AK94*12/1000000)^2/Q88,0)</f>
        <v>0</v>
      </c>
      <c r="CY88" s="2079">
        <f>IF(R88&gt;0,$DP88^2*(BV88*Risk_Compensation!$AK94*12/1000000)^2/R88,0)</f>
        <v>0</v>
      </c>
      <c r="CZ88" s="2079">
        <f>IF(S88&gt;0,$DP88^2*(BW88*Risk_Compensation!$AK94*12/1000000)^2/S88,0)</f>
        <v>0</v>
      </c>
      <c r="DA88" s="2079">
        <f>IF(T88&gt;0,$DP88^2*(BX88*Risk_Compensation!$AK94*12/1000000)^2/T88,0)</f>
        <v>0</v>
      </c>
      <c r="DB88" s="2079">
        <f>IF(U88&gt;0,$DP88^2*(BY88*Risk_Compensation!$AK94*12/1000000)^2/U88,0)</f>
        <v>0</v>
      </c>
      <c r="DC88" s="2079">
        <f>IF(V88&gt;0,$DP88^2*(BZ88*Risk_Compensation!$AK94*12/1000000)^2/V88,0)</f>
        <v>0</v>
      </c>
      <c r="DD88" s="2079">
        <f>IF(W88&gt;0,$DP88^2*(CA88*Risk_Compensation!$AK94*12/1000000)^2/W88,0)</f>
        <v>0</v>
      </c>
      <c r="DE88" s="2079">
        <f>IF(X88&gt;0,$DP88^2*(CB88*Risk_Compensation!$AK94*12/1000000)^2/X88,0)</f>
        <v>0</v>
      </c>
      <c r="DF88" s="2079">
        <f>IF(Y88&gt;0,$DP88^2*(CC88*Risk_Compensation!$AK94*12/1000000)^2/Y88,0)</f>
        <v>0</v>
      </c>
      <c r="DG88" s="2079">
        <f>IF(Z88&gt;0,$DP88^2*(CD88*Risk_Compensation!$AK94*12/1000000)^2/Z88,0)</f>
        <v>0</v>
      </c>
      <c r="DH88" s="2079">
        <f>IF(AA88&gt;0,$DP88^2*(CE88*Risk_Compensation!$AK94*12/1000000)^2/AA88,0)</f>
        <v>0</v>
      </c>
      <c r="DI88" s="2079">
        <f>IF(AB88&gt;0,$DP88^2*(CF88*Risk_Compensation!$AK94*12/1000000)^2/AB88,0)</f>
        <v>0</v>
      </c>
      <c r="DJ88" s="2079">
        <f>IF(AC88&gt;0,$DP88^2*(CG88*Risk_Compensation!$AK94*12/1000000)^2/AC88,0)</f>
        <v>0</v>
      </c>
      <c r="DK88" s="2079">
        <f>IF(AD88&gt;0,$DP88^2*(CH88*Risk_Compensation!$AK94*12/1000000)^2/AD88,0)</f>
        <v>0</v>
      </c>
      <c r="DL88" s="2079">
        <f>IF(AE88&gt;0,$DP88^2*(CI88*Risk_Compensation!$AK94*12/1000000)^2/AE88,0)</f>
        <v>0</v>
      </c>
      <c r="DM88" s="2080">
        <f>IF(AF88&gt;0,$DP88^2*(CJ88*Risk_Compensation!$AK94*12/1000000)^2/AF88,0)</f>
        <v>0</v>
      </c>
      <c r="DO88" s="1823"/>
      <c r="DP88" s="2219">
        <v>1.3811198331766401</v>
      </c>
      <c r="DR88" s="1428" t="s">
        <v>2358</v>
      </c>
      <c r="DS88" s="1426" t="str">
        <f>Translation!B$591</f>
        <v>COPD / Schweres Asthma</v>
      </c>
      <c r="DU88" s="2159"/>
      <c r="DV88" s="1428"/>
      <c r="DW88" s="2159"/>
      <c r="DX88" s="2159"/>
      <c r="DY88" s="2217"/>
      <c r="DZ88" s="2159"/>
      <c r="EA88" s="2159"/>
      <c r="EB88" s="2159"/>
      <c r="EC88" s="2159"/>
      <c r="ED88" s="2159"/>
      <c r="EE88" s="2159"/>
      <c r="EF88" s="2159"/>
      <c r="EG88" s="2159"/>
      <c r="EH88" s="2159"/>
      <c r="EI88" s="2159"/>
      <c r="EJ88" s="2159"/>
    </row>
    <row r="89" spans="3:140" x14ac:dyDescent="0.2">
      <c r="C89" s="1428" t="s">
        <v>2360</v>
      </c>
      <c r="D89" s="1426" t="str">
        <f>Translation!B$592</f>
        <v>Depression</v>
      </c>
      <c r="F89" s="1437"/>
      <c r="G89" s="2211">
        <v>27687.567500000001</v>
      </c>
      <c r="H89" s="2212">
        <v>585.39083333333303</v>
      </c>
      <c r="I89" s="2212">
        <v>2008.4449999999999</v>
      </c>
      <c r="J89" s="2212">
        <v>49825.415000000001</v>
      </c>
      <c r="K89" s="2212">
        <v>12504.881666666701</v>
      </c>
      <c r="L89" s="2212">
        <v>9410.42</v>
      </c>
      <c r="M89" s="2212">
        <v>15335.374166666699</v>
      </c>
      <c r="N89" s="2212">
        <v>25572.616666666701</v>
      </c>
      <c r="O89" s="2212">
        <v>1707.40083333333</v>
      </c>
      <c r="P89" s="2212">
        <v>8683.8758333333299</v>
      </c>
      <c r="Q89" s="2212">
        <v>4097.9075000000003</v>
      </c>
      <c r="R89" s="2212">
        <v>15423.7341666667</v>
      </c>
      <c r="S89" s="2212">
        <v>10349.24</v>
      </c>
      <c r="T89" s="2212">
        <v>1402.52416666667</v>
      </c>
      <c r="U89" s="2212">
        <v>1230.4108333333299</v>
      </c>
      <c r="V89" s="2212">
        <v>19488.429166666701</v>
      </c>
      <c r="W89" s="2212">
        <v>3551.25583333333</v>
      </c>
      <c r="X89" s="2212">
        <v>13452.7816666667</v>
      </c>
      <c r="Y89" s="2212">
        <v>5318.4683333333296</v>
      </c>
      <c r="Z89" s="2212">
        <v>10028.7891666667</v>
      </c>
      <c r="AA89" s="2212">
        <v>19615.769166666701</v>
      </c>
      <c r="AB89" s="2212">
        <v>1362.6475</v>
      </c>
      <c r="AC89" s="2212">
        <v>38351.8883333333</v>
      </c>
      <c r="AD89" s="2212">
        <v>15832.643333333301</v>
      </c>
      <c r="AE89" s="2212">
        <v>4260.6283333333304</v>
      </c>
      <c r="AF89" s="2213">
        <v>58758.198333333297</v>
      </c>
      <c r="AI89" s="2078">
        <f>Risk_Compensation!H95*Risk_Compensation!$AK95*12/1000000</f>
        <v>0</v>
      </c>
      <c r="AJ89" s="2079">
        <f>Risk_Compensation!I95*Risk_Compensation!$AK95*12/1000000</f>
        <v>0</v>
      </c>
      <c r="AK89" s="2079">
        <f>Risk_Compensation!J95*Risk_Compensation!$AK95*12/1000000</f>
        <v>0</v>
      </c>
      <c r="AL89" s="2079">
        <f>Risk_Compensation!K95*Risk_Compensation!$AK95*12/1000000</f>
        <v>0</v>
      </c>
      <c r="AM89" s="2079">
        <f>Risk_Compensation!L95*Risk_Compensation!$AK95*12/1000000</f>
        <v>0</v>
      </c>
      <c r="AN89" s="2079">
        <f>Risk_Compensation!M95*Risk_Compensation!$AK95*12/1000000</f>
        <v>0</v>
      </c>
      <c r="AO89" s="2079">
        <f>Risk_Compensation!N95*Risk_Compensation!$AK95*12/1000000</f>
        <v>0</v>
      </c>
      <c r="AP89" s="2079">
        <f>Risk_Compensation!O95*Risk_Compensation!$AK95*12/1000000</f>
        <v>0</v>
      </c>
      <c r="AQ89" s="2079">
        <f>Risk_Compensation!P95*Risk_Compensation!$AK95*12/1000000</f>
        <v>0</v>
      </c>
      <c r="AR89" s="2079">
        <f>Risk_Compensation!Q95*Risk_Compensation!$AK95*12/1000000</f>
        <v>0</v>
      </c>
      <c r="AS89" s="2079">
        <f>Risk_Compensation!R95*Risk_Compensation!$AK95*12/1000000</f>
        <v>0</v>
      </c>
      <c r="AT89" s="2079">
        <f>Risk_Compensation!S95*Risk_Compensation!$AK95*12/1000000</f>
        <v>0</v>
      </c>
      <c r="AU89" s="2079">
        <f>Risk_Compensation!T95*Risk_Compensation!$AK95*12/1000000</f>
        <v>0</v>
      </c>
      <c r="AV89" s="2079">
        <f>Risk_Compensation!U95*Risk_Compensation!$AK95*12/1000000</f>
        <v>0</v>
      </c>
      <c r="AW89" s="2079">
        <f>Risk_Compensation!V95*Risk_Compensation!$AK95*12/1000000</f>
        <v>0</v>
      </c>
      <c r="AX89" s="2079">
        <f>Risk_Compensation!W95*Risk_Compensation!$AK95*12/1000000</f>
        <v>0</v>
      </c>
      <c r="AY89" s="2079">
        <f>Risk_Compensation!X95*Risk_Compensation!$AK95*12/1000000</f>
        <v>0</v>
      </c>
      <c r="AZ89" s="2079">
        <f>Risk_Compensation!Y95*Risk_Compensation!$AK95*12/1000000</f>
        <v>0</v>
      </c>
      <c r="BA89" s="2079">
        <f>Risk_Compensation!Z95*Risk_Compensation!$AK95*12/1000000</f>
        <v>0</v>
      </c>
      <c r="BB89" s="2079">
        <f>Risk_Compensation!AA95*Risk_Compensation!$AK95*12/1000000</f>
        <v>0</v>
      </c>
      <c r="BC89" s="2079">
        <f>Risk_Compensation!AB95*Risk_Compensation!$AK95*12/1000000</f>
        <v>0</v>
      </c>
      <c r="BD89" s="2079">
        <f>Risk_Compensation!AC95*Risk_Compensation!$AK95*12/1000000</f>
        <v>0</v>
      </c>
      <c r="BE89" s="2079">
        <f>Risk_Compensation!AD95*Risk_Compensation!$AK95*12/1000000</f>
        <v>0</v>
      </c>
      <c r="BF89" s="2079">
        <f>Risk_Compensation!AE95*Risk_Compensation!$AK95*12/1000000</f>
        <v>0</v>
      </c>
      <c r="BG89" s="2079">
        <f>Risk_Compensation!AF95*Risk_Compensation!$AK95*12/1000000</f>
        <v>0</v>
      </c>
      <c r="BH89" s="2080">
        <f>Risk_Compensation!AG95*Risk_Compensation!$AK95*12/1000000</f>
        <v>0</v>
      </c>
      <c r="BK89" s="2138">
        <f>IF(G89&lt;=0,0,(Risk_Compensation!H95/G89-Risk_Compensation!H$79/G$72-0.5*CO$167*(G134/G89-CO$135/G$72))*G89)</f>
        <v>0</v>
      </c>
      <c r="BL89" s="2139">
        <f>IF(H89&lt;=0,0,(Risk_Compensation!I95/H89-Risk_Compensation!I$79/H$72-0.5*CP$167*(H134/H89-CP$135/H$72))*H89)</f>
        <v>0</v>
      </c>
      <c r="BM89" s="2139">
        <f>IF(I89&lt;=0,0,(Risk_Compensation!J95/I89-Risk_Compensation!J$79/I$72-0.5*CQ$167*(I134/I89-CQ$135/I$72))*I89)</f>
        <v>0</v>
      </c>
      <c r="BN89" s="2139">
        <f>IF(J89&lt;=0,0,(Risk_Compensation!K95/J89-Risk_Compensation!K$79/J$72-0.5*CR$167*(J134/J89-CR$135/J$72))*J89)</f>
        <v>0</v>
      </c>
      <c r="BO89" s="2139">
        <f>IF(K89&lt;=0,0,(Risk_Compensation!L95/K89-Risk_Compensation!L$79/K$72-0.5*CS$167*(K134/K89-CS$135/K$72))*K89)</f>
        <v>0</v>
      </c>
      <c r="BP89" s="2139">
        <f>IF(L89&lt;=0,0,(Risk_Compensation!M95/L89-Risk_Compensation!M$79/L$72-0.5*CT$167*(L134/L89-CT$135/L$72))*L89)</f>
        <v>0</v>
      </c>
      <c r="BQ89" s="2139">
        <f>IF(M89&lt;=0,0,(Risk_Compensation!N95/M89-Risk_Compensation!N$79/M$72-0.5*CU$167*(M134/M89-CU$135/M$72))*M89)</f>
        <v>0</v>
      </c>
      <c r="BR89" s="2139">
        <f>IF(N89&lt;=0,0,(Risk_Compensation!O95/N89-Risk_Compensation!O$79/N$72-0.5*CV$167*(N134/N89-CV$135/N$72))*N89)</f>
        <v>0</v>
      </c>
      <c r="BS89" s="2139">
        <f>IF(O89&lt;=0,0,(Risk_Compensation!P95/O89-Risk_Compensation!P$79/O$72-0.5*CW$167*(O134/O89-CW$135/O$72))*O89)</f>
        <v>0</v>
      </c>
      <c r="BT89" s="2139">
        <f>IF(P89&lt;=0,0,(Risk_Compensation!Q95/P89-Risk_Compensation!Q$79/P$72-0.5*CX$167*(P134/P89-CX$135/P$72))*P89)</f>
        <v>0</v>
      </c>
      <c r="BU89" s="2139">
        <f>IF(Q89&lt;=0,0,(Risk_Compensation!R95/Q89-Risk_Compensation!R$79/Q$72-0.5*CY$167*(Q134/Q89-CY$135/Q$72))*Q89)</f>
        <v>0</v>
      </c>
      <c r="BV89" s="2139">
        <f>IF(R89&lt;=0,0,(Risk_Compensation!S95/R89-Risk_Compensation!S$79/R$72-0.5*CZ$167*(R134/R89-CZ$135/R$72))*R89)</f>
        <v>0</v>
      </c>
      <c r="BW89" s="2139">
        <f>IF(S89&lt;=0,0,(Risk_Compensation!T95/S89-Risk_Compensation!T$79/S$72-0.5*DA$167*(S134/S89-DA$135/S$72))*S89)</f>
        <v>0</v>
      </c>
      <c r="BX89" s="2139">
        <f>IF(T89&lt;=0,0,(Risk_Compensation!U95/T89-Risk_Compensation!U$79/T$72-0.5*DB$167*(T134/T89-DB$135/T$72))*T89)</f>
        <v>0</v>
      </c>
      <c r="BY89" s="2139">
        <f>IF(U89&lt;=0,0,(Risk_Compensation!V95/U89-Risk_Compensation!V$79/U$72-0.5*DC$167*(U134/U89-DC$135/U$72))*U89)</f>
        <v>0</v>
      </c>
      <c r="BZ89" s="2139">
        <f>IF(V89&lt;=0,0,(Risk_Compensation!W95/V89-Risk_Compensation!W$79/V$72-0.5*DD$167*(V134/V89-DD$135/V$72))*V89)</f>
        <v>0</v>
      </c>
      <c r="CA89" s="2139">
        <f>IF(W89&lt;=0,0,(Risk_Compensation!X95/W89-Risk_Compensation!X$79/W$72-0.5*DE$167*(W134/W89-DE$135/W$72))*W89)</f>
        <v>0</v>
      </c>
      <c r="CB89" s="2139">
        <f>IF(X89&lt;=0,0,(Risk_Compensation!Y95/X89-Risk_Compensation!Y$79/X$72-0.5*DF$167*(X134/X89-DF$135/X$72))*X89)</f>
        <v>0</v>
      </c>
      <c r="CC89" s="2139">
        <f>IF(Y89&lt;=0,0,(Risk_Compensation!Z95/Y89-Risk_Compensation!Z$79/Y$72-0.5*DG$167*(Y134/Y89-DG$135/Y$72))*Y89)</f>
        <v>0</v>
      </c>
      <c r="CD89" s="2139">
        <f>IF(Z89&lt;=0,0,(Risk_Compensation!AA95/Z89-Risk_Compensation!AA$79/Z$72-0.5*DH$167*(Z134/Z89-DH$135/Z$72))*Z89)</f>
        <v>0</v>
      </c>
      <c r="CE89" s="2139">
        <f>IF(AA89&lt;=0,0,(Risk_Compensation!AB95/AA89-Risk_Compensation!AB$79/AA$72-0.5*DI$167*(AA134/AA89-DI$135/AA$72))*AA89)</f>
        <v>0</v>
      </c>
      <c r="CF89" s="2139">
        <f>IF(AB89&lt;=0,0,(Risk_Compensation!AC95/AB89-Risk_Compensation!AC$79/AB$72-0.5*DJ$167*(AB134/AB89-DJ$135/AB$72))*AB89)</f>
        <v>0</v>
      </c>
      <c r="CG89" s="2139">
        <f>IF(AC89&lt;=0,0,(Risk_Compensation!AD95/AC89-Risk_Compensation!AD$79/AC$72-0.5*DK$167*(AC134/AC89-DK$135/AC$72))*AC89)</f>
        <v>0</v>
      </c>
      <c r="CH89" s="2139">
        <f>IF(AD89&lt;=0,0,(Risk_Compensation!AE95/AD89-Risk_Compensation!AE$79/AD$72-0.5*DL$167*(AD134/AD89-DL$135/AD$72))*AD89)</f>
        <v>0</v>
      </c>
      <c r="CI89" s="2139">
        <f>IF(AE89&lt;=0,0,(Risk_Compensation!AF95/AE89-Risk_Compensation!AF$79/AE$72-0.5*DM$167*(AE134/AE89-DM$135/AE$72))*AE89)</f>
        <v>0</v>
      </c>
      <c r="CJ89" s="2140">
        <f>IF(AF89&lt;=0,0,(Risk_Compensation!AG95/AF89-Risk_Compensation!AG$79/AF$72-0.5*DN$167*(AF134/AF89-DN$135/AF$72))*AF89)</f>
        <v>0</v>
      </c>
      <c r="CL89" s="2144"/>
      <c r="CN89" s="2078">
        <f>IF(G89&gt;0,$DP89^2*(BK89*Risk_Compensation!$AK95*12/1000000)^2/G89,0)</f>
        <v>0</v>
      </c>
      <c r="CO89" s="2079">
        <f>IF(H89&gt;0,$DP89^2*(BL89*Risk_Compensation!$AK95*12/1000000)^2/H89,0)</f>
        <v>0</v>
      </c>
      <c r="CP89" s="2079">
        <f>IF(I89&gt;0,$DP89^2*(BM89*Risk_Compensation!$AK95*12/1000000)^2/I89,0)</f>
        <v>0</v>
      </c>
      <c r="CQ89" s="2079">
        <f>IF(J89&gt;0,$DP89^2*(BN89*Risk_Compensation!$AK95*12/1000000)^2/J89,0)</f>
        <v>0</v>
      </c>
      <c r="CR89" s="2079">
        <f>IF(K89&gt;0,$DP89^2*(BO89*Risk_Compensation!$AK95*12/1000000)^2/K89,0)</f>
        <v>0</v>
      </c>
      <c r="CS89" s="2079">
        <f>IF(L89&gt;0,$DP89^2*(BP89*Risk_Compensation!$AK95*12/1000000)^2/L89,0)</f>
        <v>0</v>
      </c>
      <c r="CT89" s="2079">
        <f>IF(M89&gt;0,$DP89^2*(BQ89*Risk_Compensation!$AK95*12/1000000)^2/M89,0)</f>
        <v>0</v>
      </c>
      <c r="CU89" s="2079">
        <f>IF(N89&gt;0,$DP89^2*(BR89*Risk_Compensation!$AK95*12/1000000)^2/N89,0)</f>
        <v>0</v>
      </c>
      <c r="CV89" s="2079">
        <f>IF(O89&gt;0,$DP89^2*(BS89*Risk_Compensation!$AK95*12/1000000)^2/O89,0)</f>
        <v>0</v>
      </c>
      <c r="CW89" s="2079">
        <f>IF(P89&gt;0,$DP89^2*(BT89*Risk_Compensation!$AK95*12/1000000)^2/P89,0)</f>
        <v>0</v>
      </c>
      <c r="CX89" s="2079">
        <f>IF(Q89&gt;0,$DP89^2*(BU89*Risk_Compensation!$AK95*12/1000000)^2/Q89,0)</f>
        <v>0</v>
      </c>
      <c r="CY89" s="2079">
        <f>IF(R89&gt;0,$DP89^2*(BV89*Risk_Compensation!$AK95*12/1000000)^2/R89,0)</f>
        <v>0</v>
      </c>
      <c r="CZ89" s="2079">
        <f>IF(S89&gt;0,$DP89^2*(BW89*Risk_Compensation!$AK95*12/1000000)^2/S89,0)</f>
        <v>0</v>
      </c>
      <c r="DA89" s="2079">
        <f>IF(T89&gt;0,$DP89^2*(BX89*Risk_Compensation!$AK95*12/1000000)^2/T89,0)</f>
        <v>0</v>
      </c>
      <c r="DB89" s="2079">
        <f>IF(U89&gt;0,$DP89^2*(BY89*Risk_Compensation!$AK95*12/1000000)^2/U89,0)</f>
        <v>0</v>
      </c>
      <c r="DC89" s="2079">
        <f>IF(V89&gt;0,$DP89^2*(BZ89*Risk_Compensation!$AK95*12/1000000)^2/V89,0)</f>
        <v>0</v>
      </c>
      <c r="DD89" s="2079">
        <f>IF(W89&gt;0,$DP89^2*(CA89*Risk_Compensation!$AK95*12/1000000)^2/W89,0)</f>
        <v>0</v>
      </c>
      <c r="DE89" s="2079">
        <f>IF(X89&gt;0,$DP89^2*(CB89*Risk_Compensation!$AK95*12/1000000)^2/X89,0)</f>
        <v>0</v>
      </c>
      <c r="DF89" s="2079">
        <f>IF(Y89&gt;0,$DP89^2*(CC89*Risk_Compensation!$AK95*12/1000000)^2/Y89,0)</f>
        <v>0</v>
      </c>
      <c r="DG89" s="2079">
        <f>IF(Z89&gt;0,$DP89^2*(CD89*Risk_Compensation!$AK95*12/1000000)^2/Z89,0)</f>
        <v>0</v>
      </c>
      <c r="DH89" s="2079">
        <f>IF(AA89&gt;0,$DP89^2*(CE89*Risk_Compensation!$AK95*12/1000000)^2/AA89,0)</f>
        <v>0</v>
      </c>
      <c r="DI89" s="2079">
        <f>IF(AB89&gt;0,$DP89^2*(CF89*Risk_Compensation!$AK95*12/1000000)^2/AB89,0)</f>
        <v>0</v>
      </c>
      <c r="DJ89" s="2079">
        <f>IF(AC89&gt;0,$DP89^2*(CG89*Risk_Compensation!$AK95*12/1000000)^2/AC89,0)</f>
        <v>0</v>
      </c>
      <c r="DK89" s="2079">
        <f>IF(AD89&gt;0,$DP89^2*(CH89*Risk_Compensation!$AK95*12/1000000)^2/AD89,0)</f>
        <v>0</v>
      </c>
      <c r="DL89" s="2079">
        <f>IF(AE89&gt;0,$DP89^2*(CI89*Risk_Compensation!$AK95*12/1000000)^2/AE89,0)</f>
        <v>0</v>
      </c>
      <c r="DM89" s="2080">
        <f>IF(AF89&gt;0,$DP89^2*(CJ89*Risk_Compensation!$AK95*12/1000000)^2/AF89,0)</f>
        <v>0</v>
      </c>
      <c r="DO89" s="1823"/>
      <c r="DP89" s="2219">
        <v>1.40531654077627</v>
      </c>
      <c r="DR89" s="1428" t="s">
        <v>2360</v>
      </c>
      <c r="DS89" s="1426" t="str">
        <f>Translation!B$592</f>
        <v>Depression</v>
      </c>
      <c r="DU89" s="2159"/>
      <c r="DV89" s="1428"/>
      <c r="DW89" s="2159"/>
      <c r="DX89" s="2159"/>
      <c r="DY89" s="2217"/>
      <c r="DZ89" s="2159"/>
      <c r="EA89" s="2159"/>
      <c r="EB89" s="2159"/>
      <c r="EC89" s="2159"/>
      <c r="ED89" s="2159"/>
      <c r="EE89" s="2159"/>
      <c r="EF89" s="2159"/>
      <c r="EG89" s="2159"/>
      <c r="EH89" s="2159"/>
      <c r="EI89" s="2159"/>
      <c r="EJ89" s="2159"/>
    </row>
    <row r="90" spans="3:140" x14ac:dyDescent="0.2">
      <c r="C90" s="1428" t="s">
        <v>2362</v>
      </c>
      <c r="D90" s="1426" t="str">
        <f>Translation!B$593</f>
        <v>Diabetes Typ-I</v>
      </c>
      <c r="F90" s="1437"/>
      <c r="G90" s="2211">
        <v>5494.3283333333302</v>
      </c>
      <c r="H90" s="2212">
        <v>88.414166666666702</v>
      </c>
      <c r="I90" s="2212">
        <v>395.51083333333298</v>
      </c>
      <c r="J90" s="2212">
        <v>9303.3366666666698</v>
      </c>
      <c r="K90" s="2212">
        <v>2493.8441666666699</v>
      </c>
      <c r="L90" s="2212">
        <v>1707.09</v>
      </c>
      <c r="M90" s="2212">
        <v>2533.29</v>
      </c>
      <c r="N90" s="2212">
        <v>2806.3741666666701</v>
      </c>
      <c r="O90" s="2212">
        <v>379.47583333333301</v>
      </c>
      <c r="P90" s="2212">
        <v>1492.91166666667</v>
      </c>
      <c r="Q90" s="2212">
        <v>687.98</v>
      </c>
      <c r="R90" s="2212">
        <v>3025.1483333333299</v>
      </c>
      <c r="S90" s="2212">
        <v>1798.94</v>
      </c>
      <c r="T90" s="2212">
        <v>305.37416666666701</v>
      </c>
      <c r="U90" s="2212">
        <v>237.949166666667</v>
      </c>
      <c r="V90" s="2212">
        <v>3929.7950000000001</v>
      </c>
      <c r="W90" s="2212">
        <v>757.23583333333295</v>
      </c>
      <c r="X90" s="2212">
        <v>2714.0891666666698</v>
      </c>
      <c r="Y90" s="2212">
        <v>1189.74</v>
      </c>
      <c r="Z90" s="2212">
        <v>2024.3658333333301</v>
      </c>
      <c r="AA90" s="2212">
        <v>2323.2791666666699</v>
      </c>
      <c r="AB90" s="2212">
        <v>269.21666666666698</v>
      </c>
      <c r="AC90" s="2212">
        <v>5693.7108333333299</v>
      </c>
      <c r="AD90" s="2212">
        <v>2572.4841666666698</v>
      </c>
      <c r="AE90" s="2212">
        <v>842.58749999999998</v>
      </c>
      <c r="AF90" s="2213">
        <v>10693.01</v>
      </c>
      <c r="AI90" s="2078">
        <f>Risk_Compensation!H96*Risk_Compensation!$AK96*12/1000000</f>
        <v>0</v>
      </c>
      <c r="AJ90" s="2079">
        <f>Risk_Compensation!I96*Risk_Compensation!$AK96*12/1000000</f>
        <v>0</v>
      </c>
      <c r="AK90" s="2079">
        <f>Risk_Compensation!J96*Risk_Compensation!$AK96*12/1000000</f>
        <v>0</v>
      </c>
      <c r="AL90" s="2079">
        <f>Risk_Compensation!K96*Risk_Compensation!$AK96*12/1000000</f>
        <v>0</v>
      </c>
      <c r="AM90" s="2079">
        <f>Risk_Compensation!L96*Risk_Compensation!$AK96*12/1000000</f>
        <v>0</v>
      </c>
      <c r="AN90" s="2079">
        <f>Risk_Compensation!M96*Risk_Compensation!$AK96*12/1000000</f>
        <v>0</v>
      </c>
      <c r="AO90" s="2079">
        <f>Risk_Compensation!N96*Risk_Compensation!$AK96*12/1000000</f>
        <v>0</v>
      </c>
      <c r="AP90" s="2079">
        <f>Risk_Compensation!O96*Risk_Compensation!$AK96*12/1000000</f>
        <v>0</v>
      </c>
      <c r="AQ90" s="2079">
        <f>Risk_Compensation!P96*Risk_Compensation!$AK96*12/1000000</f>
        <v>0</v>
      </c>
      <c r="AR90" s="2079">
        <f>Risk_Compensation!Q96*Risk_Compensation!$AK96*12/1000000</f>
        <v>0</v>
      </c>
      <c r="AS90" s="2079">
        <f>Risk_Compensation!R96*Risk_Compensation!$AK96*12/1000000</f>
        <v>0</v>
      </c>
      <c r="AT90" s="2079">
        <f>Risk_Compensation!S96*Risk_Compensation!$AK96*12/1000000</f>
        <v>0</v>
      </c>
      <c r="AU90" s="2079">
        <f>Risk_Compensation!T96*Risk_Compensation!$AK96*12/1000000</f>
        <v>0</v>
      </c>
      <c r="AV90" s="2079">
        <f>Risk_Compensation!U96*Risk_Compensation!$AK96*12/1000000</f>
        <v>0</v>
      </c>
      <c r="AW90" s="2079">
        <f>Risk_Compensation!V96*Risk_Compensation!$AK96*12/1000000</f>
        <v>0</v>
      </c>
      <c r="AX90" s="2079">
        <f>Risk_Compensation!W96*Risk_Compensation!$AK96*12/1000000</f>
        <v>0</v>
      </c>
      <c r="AY90" s="2079">
        <f>Risk_Compensation!X96*Risk_Compensation!$AK96*12/1000000</f>
        <v>0</v>
      </c>
      <c r="AZ90" s="2079">
        <f>Risk_Compensation!Y96*Risk_Compensation!$AK96*12/1000000</f>
        <v>0</v>
      </c>
      <c r="BA90" s="2079">
        <f>Risk_Compensation!Z96*Risk_Compensation!$AK96*12/1000000</f>
        <v>0</v>
      </c>
      <c r="BB90" s="2079">
        <f>Risk_Compensation!AA96*Risk_Compensation!$AK96*12/1000000</f>
        <v>0</v>
      </c>
      <c r="BC90" s="2079">
        <f>Risk_Compensation!AB96*Risk_Compensation!$AK96*12/1000000</f>
        <v>0</v>
      </c>
      <c r="BD90" s="2079">
        <f>Risk_Compensation!AC96*Risk_Compensation!$AK96*12/1000000</f>
        <v>0</v>
      </c>
      <c r="BE90" s="2079">
        <f>Risk_Compensation!AD96*Risk_Compensation!$AK96*12/1000000</f>
        <v>0</v>
      </c>
      <c r="BF90" s="2079">
        <f>Risk_Compensation!AE96*Risk_Compensation!$AK96*12/1000000</f>
        <v>0</v>
      </c>
      <c r="BG90" s="2079">
        <f>Risk_Compensation!AF96*Risk_Compensation!$AK96*12/1000000</f>
        <v>0</v>
      </c>
      <c r="BH90" s="2080">
        <f>Risk_Compensation!AG96*Risk_Compensation!$AK96*12/1000000</f>
        <v>0</v>
      </c>
      <c r="BK90" s="2138">
        <f>IF(G90&lt;=0,0,(Risk_Compensation!H96/G90-Risk_Compensation!H$79/G$72-0.5*CO$167*(G135/G90-CO$135/G$72))*G90)</f>
        <v>0</v>
      </c>
      <c r="BL90" s="2139">
        <f>IF(H90&lt;=0,0,(Risk_Compensation!I96/H90-Risk_Compensation!I$79/H$72-0.5*CP$167*(H135/H90-CP$135/H$72))*H90)</f>
        <v>0</v>
      </c>
      <c r="BM90" s="2139">
        <f>IF(I90&lt;=0,0,(Risk_Compensation!J96/I90-Risk_Compensation!J$79/I$72-0.5*CQ$167*(I135/I90-CQ$135/I$72))*I90)</f>
        <v>0</v>
      </c>
      <c r="BN90" s="2139">
        <f>IF(J90&lt;=0,0,(Risk_Compensation!K96/J90-Risk_Compensation!K$79/J$72-0.5*CR$167*(J135/J90-CR$135/J$72))*J90)</f>
        <v>0</v>
      </c>
      <c r="BO90" s="2139">
        <f>IF(K90&lt;=0,0,(Risk_Compensation!L96/K90-Risk_Compensation!L$79/K$72-0.5*CS$167*(K135/K90-CS$135/K$72))*K90)</f>
        <v>0</v>
      </c>
      <c r="BP90" s="2139">
        <f>IF(L90&lt;=0,0,(Risk_Compensation!M96/L90-Risk_Compensation!M$79/L$72-0.5*CT$167*(L135/L90-CT$135/L$72))*L90)</f>
        <v>0</v>
      </c>
      <c r="BQ90" s="2139">
        <f>IF(M90&lt;=0,0,(Risk_Compensation!N96/M90-Risk_Compensation!N$79/M$72-0.5*CU$167*(M135/M90-CU$135/M$72))*M90)</f>
        <v>0</v>
      </c>
      <c r="BR90" s="2139">
        <f>IF(N90&lt;=0,0,(Risk_Compensation!O96/N90-Risk_Compensation!O$79/N$72-0.5*CV$167*(N135/N90-CV$135/N$72))*N90)</f>
        <v>0</v>
      </c>
      <c r="BS90" s="2139">
        <f>IF(O90&lt;=0,0,(Risk_Compensation!P96/O90-Risk_Compensation!P$79/O$72-0.5*CW$167*(O135/O90-CW$135/O$72))*O90)</f>
        <v>0</v>
      </c>
      <c r="BT90" s="2139">
        <f>IF(P90&lt;=0,0,(Risk_Compensation!Q96/P90-Risk_Compensation!Q$79/P$72-0.5*CX$167*(P135/P90-CX$135/P$72))*P90)</f>
        <v>0</v>
      </c>
      <c r="BU90" s="2139">
        <f>IF(Q90&lt;=0,0,(Risk_Compensation!R96/Q90-Risk_Compensation!R$79/Q$72-0.5*CY$167*(Q135/Q90-CY$135/Q$72))*Q90)</f>
        <v>0</v>
      </c>
      <c r="BV90" s="2139">
        <f>IF(R90&lt;=0,0,(Risk_Compensation!S96/R90-Risk_Compensation!S$79/R$72-0.5*CZ$167*(R135/R90-CZ$135/R$72))*R90)</f>
        <v>0</v>
      </c>
      <c r="BW90" s="2139">
        <f>IF(S90&lt;=0,0,(Risk_Compensation!T96/S90-Risk_Compensation!T$79/S$72-0.5*DA$167*(S135/S90-DA$135/S$72))*S90)</f>
        <v>0</v>
      </c>
      <c r="BX90" s="2139">
        <f>IF(T90&lt;=0,0,(Risk_Compensation!U96/T90-Risk_Compensation!U$79/T$72-0.5*DB$167*(T135/T90-DB$135/T$72))*T90)</f>
        <v>0</v>
      </c>
      <c r="BY90" s="2139">
        <f>IF(U90&lt;=0,0,(Risk_Compensation!V96/U90-Risk_Compensation!V$79/U$72-0.5*DC$167*(U135/U90-DC$135/U$72))*U90)</f>
        <v>0</v>
      </c>
      <c r="BZ90" s="2139">
        <f>IF(V90&lt;=0,0,(Risk_Compensation!W96/V90-Risk_Compensation!W$79/V$72-0.5*DD$167*(V135/V90-DD$135/V$72))*V90)</f>
        <v>0</v>
      </c>
      <c r="CA90" s="2139">
        <f>IF(W90&lt;=0,0,(Risk_Compensation!X96/W90-Risk_Compensation!X$79/W$72-0.5*DE$167*(W135/W90-DE$135/W$72))*W90)</f>
        <v>0</v>
      </c>
      <c r="CB90" s="2139">
        <f>IF(X90&lt;=0,0,(Risk_Compensation!Y96/X90-Risk_Compensation!Y$79/X$72-0.5*DF$167*(X135/X90-DF$135/X$72))*X90)</f>
        <v>0</v>
      </c>
      <c r="CC90" s="2139">
        <f>IF(Y90&lt;=0,0,(Risk_Compensation!Z96/Y90-Risk_Compensation!Z$79/Y$72-0.5*DG$167*(Y135/Y90-DG$135/Y$72))*Y90)</f>
        <v>0</v>
      </c>
      <c r="CD90" s="2139">
        <f>IF(Z90&lt;=0,0,(Risk_Compensation!AA96/Z90-Risk_Compensation!AA$79/Z$72-0.5*DH$167*(Z135/Z90-DH$135/Z$72))*Z90)</f>
        <v>0</v>
      </c>
      <c r="CE90" s="2139">
        <f>IF(AA90&lt;=0,0,(Risk_Compensation!AB96/AA90-Risk_Compensation!AB$79/AA$72-0.5*DI$167*(AA135/AA90-DI$135/AA$72))*AA90)</f>
        <v>0</v>
      </c>
      <c r="CF90" s="2139">
        <f>IF(AB90&lt;=0,0,(Risk_Compensation!AC96/AB90-Risk_Compensation!AC$79/AB$72-0.5*DJ$167*(AB135/AB90-DJ$135/AB$72))*AB90)</f>
        <v>0</v>
      </c>
      <c r="CG90" s="2139">
        <f>IF(AC90&lt;=0,0,(Risk_Compensation!AD96/AC90-Risk_Compensation!AD$79/AC$72-0.5*DK$167*(AC135/AC90-DK$135/AC$72))*AC90)</f>
        <v>0</v>
      </c>
      <c r="CH90" s="2139">
        <f>IF(AD90&lt;=0,0,(Risk_Compensation!AE96/AD90-Risk_Compensation!AE$79/AD$72-0.5*DL$167*(AD135/AD90-DL$135/AD$72))*AD90)</f>
        <v>0</v>
      </c>
      <c r="CI90" s="2139">
        <f>IF(AE90&lt;=0,0,(Risk_Compensation!AF96/AE90-Risk_Compensation!AF$79/AE$72-0.5*DM$167*(AE135/AE90-DM$135/AE$72))*AE90)</f>
        <v>0</v>
      </c>
      <c r="CJ90" s="2140">
        <f>IF(AF90&lt;=0,0,(Risk_Compensation!AG96/AF90-Risk_Compensation!AG$79/AF$72-0.5*DN$167*(AF135/AF90-DN$135/AF$72))*AF90)</f>
        <v>0</v>
      </c>
      <c r="CL90" s="2144"/>
      <c r="CN90" s="2078">
        <f>IF(G90&gt;0,$DP90^2*(BK90*Risk_Compensation!$AK96*12/1000000)^2/G90,0)</f>
        <v>0</v>
      </c>
      <c r="CO90" s="2079">
        <f>IF(H90&gt;0,$DP90^2*(BL90*Risk_Compensation!$AK96*12/1000000)^2/H90,0)</f>
        <v>0</v>
      </c>
      <c r="CP90" s="2079">
        <f>IF(I90&gt;0,$DP90^2*(BM90*Risk_Compensation!$AK96*12/1000000)^2/I90,0)</f>
        <v>0</v>
      </c>
      <c r="CQ90" s="2079">
        <f>IF(J90&gt;0,$DP90^2*(BN90*Risk_Compensation!$AK96*12/1000000)^2/J90,0)</f>
        <v>0</v>
      </c>
      <c r="CR90" s="2079">
        <f>IF(K90&gt;0,$DP90^2*(BO90*Risk_Compensation!$AK96*12/1000000)^2/K90,0)</f>
        <v>0</v>
      </c>
      <c r="CS90" s="2079">
        <f>IF(L90&gt;0,$DP90^2*(BP90*Risk_Compensation!$AK96*12/1000000)^2/L90,0)</f>
        <v>0</v>
      </c>
      <c r="CT90" s="2079">
        <f>IF(M90&gt;0,$DP90^2*(BQ90*Risk_Compensation!$AK96*12/1000000)^2/M90,0)</f>
        <v>0</v>
      </c>
      <c r="CU90" s="2079">
        <f>IF(N90&gt;0,$DP90^2*(BR90*Risk_Compensation!$AK96*12/1000000)^2/N90,0)</f>
        <v>0</v>
      </c>
      <c r="CV90" s="2079">
        <f>IF(O90&gt;0,$DP90^2*(BS90*Risk_Compensation!$AK96*12/1000000)^2/O90,0)</f>
        <v>0</v>
      </c>
      <c r="CW90" s="2079">
        <f>IF(P90&gt;0,$DP90^2*(BT90*Risk_Compensation!$AK96*12/1000000)^2/P90,0)</f>
        <v>0</v>
      </c>
      <c r="CX90" s="2079">
        <f>IF(Q90&gt;0,$DP90^2*(BU90*Risk_Compensation!$AK96*12/1000000)^2/Q90,0)</f>
        <v>0</v>
      </c>
      <c r="CY90" s="2079">
        <f>IF(R90&gt;0,$DP90^2*(BV90*Risk_Compensation!$AK96*12/1000000)^2/R90,0)</f>
        <v>0</v>
      </c>
      <c r="CZ90" s="2079">
        <f>IF(S90&gt;0,$DP90^2*(BW90*Risk_Compensation!$AK96*12/1000000)^2/S90,0)</f>
        <v>0</v>
      </c>
      <c r="DA90" s="2079">
        <f>IF(T90&gt;0,$DP90^2*(BX90*Risk_Compensation!$AK96*12/1000000)^2/T90,0)</f>
        <v>0</v>
      </c>
      <c r="DB90" s="2079">
        <f>IF(U90&gt;0,$DP90^2*(BY90*Risk_Compensation!$AK96*12/1000000)^2/U90,0)</f>
        <v>0</v>
      </c>
      <c r="DC90" s="2079">
        <f>IF(V90&gt;0,$DP90^2*(BZ90*Risk_Compensation!$AK96*12/1000000)^2/V90,0)</f>
        <v>0</v>
      </c>
      <c r="DD90" s="2079">
        <f>IF(W90&gt;0,$DP90^2*(CA90*Risk_Compensation!$AK96*12/1000000)^2/W90,0)</f>
        <v>0</v>
      </c>
      <c r="DE90" s="2079">
        <f>IF(X90&gt;0,$DP90^2*(CB90*Risk_Compensation!$AK96*12/1000000)^2/X90,0)</f>
        <v>0</v>
      </c>
      <c r="DF90" s="2079">
        <f>IF(Y90&gt;0,$DP90^2*(CC90*Risk_Compensation!$AK96*12/1000000)^2/Y90,0)</f>
        <v>0</v>
      </c>
      <c r="DG90" s="2079">
        <f>IF(Z90&gt;0,$DP90^2*(CD90*Risk_Compensation!$AK96*12/1000000)^2/Z90,0)</f>
        <v>0</v>
      </c>
      <c r="DH90" s="2079">
        <f>IF(AA90&gt;0,$DP90^2*(CE90*Risk_Compensation!$AK96*12/1000000)^2/AA90,0)</f>
        <v>0</v>
      </c>
      <c r="DI90" s="2079">
        <f>IF(AB90&gt;0,$DP90^2*(CF90*Risk_Compensation!$AK96*12/1000000)^2/AB90,0)</f>
        <v>0</v>
      </c>
      <c r="DJ90" s="2079">
        <f>IF(AC90&gt;0,$DP90^2*(CG90*Risk_Compensation!$AK96*12/1000000)^2/AC90,0)</f>
        <v>0</v>
      </c>
      <c r="DK90" s="2079">
        <f>IF(AD90&gt;0,$DP90^2*(CH90*Risk_Compensation!$AK96*12/1000000)^2/AD90,0)</f>
        <v>0</v>
      </c>
      <c r="DL90" s="2079">
        <f>IF(AE90&gt;0,$DP90^2*(CI90*Risk_Compensation!$AK96*12/1000000)^2/AE90,0)</f>
        <v>0</v>
      </c>
      <c r="DM90" s="2080">
        <f>IF(AF90&gt;0,$DP90^2*(CJ90*Risk_Compensation!$AK96*12/1000000)^2/AF90,0)</f>
        <v>0</v>
      </c>
      <c r="DO90" s="1823"/>
      <c r="DP90" s="2219">
        <v>1.33656488485867</v>
      </c>
      <c r="DR90" s="1428" t="s">
        <v>2362</v>
      </c>
      <c r="DS90" s="1426" t="str">
        <f>Translation!B$593</f>
        <v>Diabetes Typ-I</v>
      </c>
      <c r="DU90" s="2159"/>
      <c r="DV90" s="1428"/>
      <c r="DW90" s="2159"/>
      <c r="DX90" s="2159"/>
      <c r="DY90" s="2217"/>
      <c r="DZ90" s="2159"/>
      <c r="EA90" s="2159"/>
      <c r="EB90" s="2159"/>
      <c r="EC90" s="2159"/>
      <c r="ED90" s="2159"/>
      <c r="EE90" s="2159"/>
      <c r="EF90" s="2159"/>
      <c r="EG90" s="2159"/>
      <c r="EH90" s="2159"/>
      <c r="EI90" s="2159"/>
      <c r="EJ90" s="2159"/>
    </row>
    <row r="91" spans="3:140" x14ac:dyDescent="0.2">
      <c r="C91" s="1428" t="s">
        <v>2364</v>
      </c>
      <c r="D91" s="1426" t="str">
        <f>Translation!B$594</f>
        <v>Diabetes Typ-2</v>
      </c>
      <c r="F91" s="1437"/>
      <c r="G91" s="2211">
        <v>6217.9866666666703</v>
      </c>
      <c r="H91" s="2212">
        <v>66.269166666666706</v>
      </c>
      <c r="I91" s="2212">
        <v>414.4</v>
      </c>
      <c r="J91" s="2212">
        <v>8934.5625</v>
      </c>
      <c r="K91" s="2212">
        <v>2530.6983333333301</v>
      </c>
      <c r="L91" s="2212">
        <v>1786.73</v>
      </c>
      <c r="M91" s="2212">
        <v>2556.2541666666698</v>
      </c>
      <c r="N91" s="2212">
        <v>4864.82</v>
      </c>
      <c r="O91" s="2212">
        <v>372.85</v>
      </c>
      <c r="P91" s="2212">
        <v>1425.44333333333</v>
      </c>
      <c r="Q91" s="2212">
        <v>605.319166666667</v>
      </c>
      <c r="R91" s="2212">
        <v>3039.8341666666702</v>
      </c>
      <c r="S91" s="2212">
        <v>1528.0150000000001</v>
      </c>
      <c r="T91" s="2212">
        <v>261.13916666666699</v>
      </c>
      <c r="U91" s="2212">
        <v>242.20416666666699</v>
      </c>
      <c r="V91" s="2212">
        <v>4274.1625000000004</v>
      </c>
      <c r="W91" s="2212">
        <v>683.49666666666701</v>
      </c>
      <c r="X91" s="2212">
        <v>2866.4</v>
      </c>
      <c r="Y91" s="2212">
        <v>1316.18916666667</v>
      </c>
      <c r="Z91" s="2212">
        <v>2221.7399999999998</v>
      </c>
      <c r="AA91" s="2212">
        <v>3674.2791666666699</v>
      </c>
      <c r="AB91" s="2212">
        <v>292.74250000000001</v>
      </c>
      <c r="AC91" s="2212">
        <v>6749.3474999999999</v>
      </c>
      <c r="AD91" s="2212">
        <v>3077.7024999999999</v>
      </c>
      <c r="AE91" s="2212">
        <v>888.33083333333298</v>
      </c>
      <c r="AF91" s="2213">
        <v>11631.028333333301</v>
      </c>
      <c r="AI91" s="2078">
        <f>Risk_Compensation!H97*Risk_Compensation!$AK97*12/1000000</f>
        <v>0</v>
      </c>
      <c r="AJ91" s="2079">
        <f>Risk_Compensation!I97*Risk_Compensation!$AK97*12/1000000</f>
        <v>0</v>
      </c>
      <c r="AK91" s="2079">
        <f>Risk_Compensation!J97*Risk_Compensation!$AK97*12/1000000</f>
        <v>0</v>
      </c>
      <c r="AL91" s="2079">
        <f>Risk_Compensation!K97*Risk_Compensation!$AK97*12/1000000</f>
        <v>0</v>
      </c>
      <c r="AM91" s="2079">
        <f>Risk_Compensation!L97*Risk_Compensation!$AK97*12/1000000</f>
        <v>0</v>
      </c>
      <c r="AN91" s="2079">
        <f>Risk_Compensation!M97*Risk_Compensation!$AK97*12/1000000</f>
        <v>0</v>
      </c>
      <c r="AO91" s="2079">
        <f>Risk_Compensation!N97*Risk_Compensation!$AK97*12/1000000</f>
        <v>0</v>
      </c>
      <c r="AP91" s="2079">
        <f>Risk_Compensation!O97*Risk_Compensation!$AK97*12/1000000</f>
        <v>0</v>
      </c>
      <c r="AQ91" s="2079">
        <f>Risk_Compensation!P97*Risk_Compensation!$AK97*12/1000000</f>
        <v>0</v>
      </c>
      <c r="AR91" s="2079">
        <f>Risk_Compensation!Q97*Risk_Compensation!$AK97*12/1000000</f>
        <v>0</v>
      </c>
      <c r="AS91" s="2079">
        <f>Risk_Compensation!R97*Risk_Compensation!$AK97*12/1000000</f>
        <v>0</v>
      </c>
      <c r="AT91" s="2079">
        <f>Risk_Compensation!S97*Risk_Compensation!$AK97*12/1000000</f>
        <v>0</v>
      </c>
      <c r="AU91" s="2079">
        <f>Risk_Compensation!T97*Risk_Compensation!$AK97*12/1000000</f>
        <v>0</v>
      </c>
      <c r="AV91" s="2079">
        <f>Risk_Compensation!U97*Risk_Compensation!$AK97*12/1000000</f>
        <v>0</v>
      </c>
      <c r="AW91" s="2079">
        <f>Risk_Compensation!V97*Risk_Compensation!$AK97*12/1000000</f>
        <v>0</v>
      </c>
      <c r="AX91" s="2079">
        <f>Risk_Compensation!W97*Risk_Compensation!$AK97*12/1000000</f>
        <v>0</v>
      </c>
      <c r="AY91" s="2079">
        <f>Risk_Compensation!X97*Risk_Compensation!$AK97*12/1000000</f>
        <v>0</v>
      </c>
      <c r="AZ91" s="2079">
        <f>Risk_Compensation!Y97*Risk_Compensation!$AK97*12/1000000</f>
        <v>0</v>
      </c>
      <c r="BA91" s="2079">
        <f>Risk_Compensation!Z97*Risk_Compensation!$AK97*12/1000000</f>
        <v>0</v>
      </c>
      <c r="BB91" s="2079">
        <f>Risk_Compensation!AA97*Risk_Compensation!$AK97*12/1000000</f>
        <v>0</v>
      </c>
      <c r="BC91" s="2079">
        <f>Risk_Compensation!AB97*Risk_Compensation!$AK97*12/1000000</f>
        <v>0</v>
      </c>
      <c r="BD91" s="2079">
        <f>Risk_Compensation!AC97*Risk_Compensation!$AK97*12/1000000</f>
        <v>0</v>
      </c>
      <c r="BE91" s="2079">
        <f>Risk_Compensation!AD97*Risk_Compensation!$AK97*12/1000000</f>
        <v>0</v>
      </c>
      <c r="BF91" s="2079">
        <f>Risk_Compensation!AE97*Risk_Compensation!$AK97*12/1000000</f>
        <v>0</v>
      </c>
      <c r="BG91" s="2079">
        <f>Risk_Compensation!AF97*Risk_Compensation!$AK97*12/1000000</f>
        <v>0</v>
      </c>
      <c r="BH91" s="2080">
        <f>Risk_Compensation!AG97*Risk_Compensation!$AK97*12/1000000</f>
        <v>0</v>
      </c>
      <c r="BK91" s="2138">
        <f>IF(G91&lt;=0,0,(Risk_Compensation!H97/G91-Risk_Compensation!H$79/G$72-0.5*CO$167*(G136/G91-CO$135/G$72))*G91)</f>
        <v>0</v>
      </c>
      <c r="BL91" s="2139">
        <f>IF(H91&lt;=0,0,(Risk_Compensation!I97/H91-Risk_Compensation!I$79/H$72-0.5*CP$167*(H136/H91-CP$135/H$72))*H91)</f>
        <v>0</v>
      </c>
      <c r="BM91" s="2139">
        <f>IF(I91&lt;=0,0,(Risk_Compensation!J97/I91-Risk_Compensation!J$79/I$72-0.5*CQ$167*(I136/I91-CQ$135/I$72))*I91)</f>
        <v>0</v>
      </c>
      <c r="BN91" s="2139">
        <f>IF(J91&lt;=0,0,(Risk_Compensation!K97/J91-Risk_Compensation!K$79/J$72-0.5*CR$167*(J136/J91-CR$135/J$72))*J91)</f>
        <v>0</v>
      </c>
      <c r="BO91" s="2139">
        <f>IF(K91&lt;=0,0,(Risk_Compensation!L97/K91-Risk_Compensation!L$79/K$72-0.5*CS$167*(K136/K91-CS$135/K$72))*K91)</f>
        <v>0</v>
      </c>
      <c r="BP91" s="2139">
        <f>IF(L91&lt;=0,0,(Risk_Compensation!M97/L91-Risk_Compensation!M$79/L$72-0.5*CT$167*(L136/L91-CT$135/L$72))*L91)</f>
        <v>0</v>
      </c>
      <c r="BQ91" s="2139">
        <f>IF(M91&lt;=0,0,(Risk_Compensation!N97/M91-Risk_Compensation!N$79/M$72-0.5*CU$167*(M136/M91-CU$135/M$72))*M91)</f>
        <v>0</v>
      </c>
      <c r="BR91" s="2139">
        <f>IF(N91&lt;=0,0,(Risk_Compensation!O97/N91-Risk_Compensation!O$79/N$72-0.5*CV$167*(N136/N91-CV$135/N$72))*N91)</f>
        <v>0</v>
      </c>
      <c r="BS91" s="2139">
        <f>IF(O91&lt;=0,0,(Risk_Compensation!P97/O91-Risk_Compensation!P$79/O$72-0.5*CW$167*(O136/O91-CW$135/O$72))*O91)</f>
        <v>0</v>
      </c>
      <c r="BT91" s="2139">
        <f>IF(P91&lt;=0,0,(Risk_Compensation!Q97/P91-Risk_Compensation!Q$79/P$72-0.5*CX$167*(P136/P91-CX$135/P$72))*P91)</f>
        <v>0</v>
      </c>
      <c r="BU91" s="2139">
        <f>IF(Q91&lt;=0,0,(Risk_Compensation!R97/Q91-Risk_Compensation!R$79/Q$72-0.5*CY$167*(Q136/Q91-CY$135/Q$72))*Q91)</f>
        <v>0</v>
      </c>
      <c r="BV91" s="2139">
        <f>IF(R91&lt;=0,0,(Risk_Compensation!S97/R91-Risk_Compensation!S$79/R$72-0.5*CZ$167*(R136/R91-CZ$135/R$72))*R91)</f>
        <v>0</v>
      </c>
      <c r="BW91" s="2139">
        <f>IF(S91&lt;=0,0,(Risk_Compensation!T97/S91-Risk_Compensation!T$79/S$72-0.5*DA$167*(S136/S91-DA$135/S$72))*S91)</f>
        <v>0</v>
      </c>
      <c r="BX91" s="2139">
        <f>IF(T91&lt;=0,0,(Risk_Compensation!U97/T91-Risk_Compensation!U$79/T$72-0.5*DB$167*(T136/T91-DB$135/T$72))*T91)</f>
        <v>0</v>
      </c>
      <c r="BY91" s="2139">
        <f>IF(U91&lt;=0,0,(Risk_Compensation!V97/U91-Risk_Compensation!V$79/U$72-0.5*DC$167*(U136/U91-DC$135/U$72))*U91)</f>
        <v>0</v>
      </c>
      <c r="BZ91" s="2139">
        <f>IF(V91&lt;=0,0,(Risk_Compensation!W97/V91-Risk_Compensation!W$79/V$72-0.5*DD$167*(V136/V91-DD$135/V$72))*V91)</f>
        <v>0</v>
      </c>
      <c r="CA91" s="2139">
        <f>IF(W91&lt;=0,0,(Risk_Compensation!X97/W91-Risk_Compensation!X$79/W$72-0.5*DE$167*(W136/W91-DE$135/W$72))*W91)</f>
        <v>0</v>
      </c>
      <c r="CB91" s="2139">
        <f>IF(X91&lt;=0,0,(Risk_Compensation!Y97/X91-Risk_Compensation!Y$79/X$72-0.5*DF$167*(X136/X91-DF$135/X$72))*X91)</f>
        <v>0</v>
      </c>
      <c r="CC91" s="2139">
        <f>IF(Y91&lt;=0,0,(Risk_Compensation!Z97/Y91-Risk_Compensation!Z$79/Y$72-0.5*DG$167*(Y136/Y91-DG$135/Y$72))*Y91)</f>
        <v>0</v>
      </c>
      <c r="CD91" s="2139">
        <f>IF(Z91&lt;=0,0,(Risk_Compensation!AA97/Z91-Risk_Compensation!AA$79/Z$72-0.5*DH$167*(Z136/Z91-DH$135/Z$72))*Z91)</f>
        <v>0</v>
      </c>
      <c r="CE91" s="2139">
        <f>IF(AA91&lt;=0,0,(Risk_Compensation!AB97/AA91-Risk_Compensation!AB$79/AA$72-0.5*DI$167*(AA136/AA91-DI$135/AA$72))*AA91)</f>
        <v>0</v>
      </c>
      <c r="CF91" s="2139">
        <f>IF(AB91&lt;=0,0,(Risk_Compensation!AC97/AB91-Risk_Compensation!AC$79/AB$72-0.5*DJ$167*(AB136/AB91-DJ$135/AB$72))*AB91)</f>
        <v>0</v>
      </c>
      <c r="CG91" s="2139">
        <f>IF(AC91&lt;=0,0,(Risk_Compensation!AD97/AC91-Risk_Compensation!AD$79/AC$72-0.5*DK$167*(AC136/AC91-DK$135/AC$72))*AC91)</f>
        <v>0</v>
      </c>
      <c r="CH91" s="2139">
        <f>IF(AD91&lt;=0,0,(Risk_Compensation!AE97/AD91-Risk_Compensation!AE$79/AD$72-0.5*DL$167*(AD136/AD91-DL$135/AD$72))*AD91)</f>
        <v>0</v>
      </c>
      <c r="CI91" s="2139">
        <f>IF(AE91&lt;=0,0,(Risk_Compensation!AF97/AE91-Risk_Compensation!AF$79/AE$72-0.5*DM$167*(AE136/AE91-DM$135/AE$72))*AE91)</f>
        <v>0</v>
      </c>
      <c r="CJ91" s="2140">
        <f>IF(AF91&lt;=0,0,(Risk_Compensation!AG97/AF91-Risk_Compensation!AG$79/AF$72-0.5*DN$167*(AF136/AF91-DN$135/AF$72))*AF91)</f>
        <v>0</v>
      </c>
      <c r="CL91" s="2144"/>
      <c r="CN91" s="2078">
        <f>IF(G91&gt;0,$DP91^2*(BK91*Risk_Compensation!$AK97*12/1000000)^2/G91,0)</f>
        <v>0</v>
      </c>
      <c r="CO91" s="2079">
        <f>IF(H91&gt;0,$DP91^2*(BL91*Risk_Compensation!$AK97*12/1000000)^2/H91,0)</f>
        <v>0</v>
      </c>
      <c r="CP91" s="2079">
        <f>IF(I91&gt;0,$DP91^2*(BM91*Risk_Compensation!$AK97*12/1000000)^2/I91,0)</f>
        <v>0</v>
      </c>
      <c r="CQ91" s="2079">
        <f>IF(J91&gt;0,$DP91^2*(BN91*Risk_Compensation!$AK97*12/1000000)^2/J91,0)</f>
        <v>0</v>
      </c>
      <c r="CR91" s="2079">
        <f>IF(K91&gt;0,$DP91^2*(BO91*Risk_Compensation!$AK97*12/1000000)^2/K91,0)</f>
        <v>0</v>
      </c>
      <c r="CS91" s="2079">
        <f>IF(L91&gt;0,$DP91^2*(BP91*Risk_Compensation!$AK97*12/1000000)^2/L91,0)</f>
        <v>0</v>
      </c>
      <c r="CT91" s="2079">
        <f>IF(M91&gt;0,$DP91^2*(BQ91*Risk_Compensation!$AK97*12/1000000)^2/M91,0)</f>
        <v>0</v>
      </c>
      <c r="CU91" s="2079">
        <f>IF(N91&gt;0,$DP91^2*(BR91*Risk_Compensation!$AK97*12/1000000)^2/N91,0)</f>
        <v>0</v>
      </c>
      <c r="CV91" s="2079">
        <f>IF(O91&gt;0,$DP91^2*(BS91*Risk_Compensation!$AK97*12/1000000)^2/O91,0)</f>
        <v>0</v>
      </c>
      <c r="CW91" s="2079">
        <f>IF(P91&gt;0,$DP91^2*(BT91*Risk_Compensation!$AK97*12/1000000)^2/P91,0)</f>
        <v>0</v>
      </c>
      <c r="CX91" s="2079">
        <f>IF(Q91&gt;0,$DP91^2*(BU91*Risk_Compensation!$AK97*12/1000000)^2/Q91,0)</f>
        <v>0</v>
      </c>
      <c r="CY91" s="2079">
        <f>IF(R91&gt;0,$DP91^2*(BV91*Risk_Compensation!$AK97*12/1000000)^2/R91,0)</f>
        <v>0</v>
      </c>
      <c r="CZ91" s="2079">
        <f>IF(S91&gt;0,$DP91^2*(BW91*Risk_Compensation!$AK97*12/1000000)^2/S91,0)</f>
        <v>0</v>
      </c>
      <c r="DA91" s="2079">
        <f>IF(T91&gt;0,$DP91^2*(BX91*Risk_Compensation!$AK97*12/1000000)^2/T91,0)</f>
        <v>0</v>
      </c>
      <c r="DB91" s="2079">
        <f>IF(U91&gt;0,$DP91^2*(BY91*Risk_Compensation!$AK97*12/1000000)^2/U91,0)</f>
        <v>0</v>
      </c>
      <c r="DC91" s="2079">
        <f>IF(V91&gt;0,$DP91^2*(BZ91*Risk_Compensation!$AK97*12/1000000)^2/V91,0)</f>
        <v>0</v>
      </c>
      <c r="DD91" s="2079">
        <f>IF(W91&gt;0,$DP91^2*(CA91*Risk_Compensation!$AK97*12/1000000)^2/W91,0)</f>
        <v>0</v>
      </c>
      <c r="DE91" s="2079">
        <f>IF(X91&gt;0,$DP91^2*(CB91*Risk_Compensation!$AK97*12/1000000)^2/X91,0)</f>
        <v>0</v>
      </c>
      <c r="DF91" s="2079">
        <f>IF(Y91&gt;0,$DP91^2*(CC91*Risk_Compensation!$AK97*12/1000000)^2/Y91,0)</f>
        <v>0</v>
      </c>
      <c r="DG91" s="2079">
        <f>IF(Z91&gt;0,$DP91^2*(CD91*Risk_Compensation!$AK97*12/1000000)^2/Z91,0)</f>
        <v>0</v>
      </c>
      <c r="DH91" s="2079">
        <f>IF(AA91&gt;0,$DP91^2*(CE91*Risk_Compensation!$AK97*12/1000000)^2/AA91,0)</f>
        <v>0</v>
      </c>
      <c r="DI91" s="2079">
        <f>IF(AB91&gt;0,$DP91^2*(CF91*Risk_Compensation!$AK97*12/1000000)^2/AB91,0)</f>
        <v>0</v>
      </c>
      <c r="DJ91" s="2079">
        <f>IF(AC91&gt;0,$DP91^2*(CG91*Risk_Compensation!$AK97*12/1000000)^2/AC91,0)</f>
        <v>0</v>
      </c>
      <c r="DK91" s="2079">
        <f>IF(AD91&gt;0,$DP91^2*(CH91*Risk_Compensation!$AK97*12/1000000)^2/AD91,0)</f>
        <v>0</v>
      </c>
      <c r="DL91" s="2079">
        <f>IF(AE91&gt;0,$DP91^2*(CI91*Risk_Compensation!$AK97*12/1000000)^2/AE91,0)</f>
        <v>0</v>
      </c>
      <c r="DM91" s="2080">
        <f>IF(AF91&gt;0,$DP91^2*(CJ91*Risk_Compensation!$AK97*12/1000000)^2/AF91,0)</f>
        <v>0</v>
      </c>
      <c r="DO91" s="1823"/>
      <c r="DP91" s="2219">
        <v>1.7381649820490901</v>
      </c>
      <c r="DR91" s="1428" t="s">
        <v>2364</v>
      </c>
      <c r="DS91" s="1426" t="str">
        <f>Translation!B$594</f>
        <v>Diabetes Typ-2</v>
      </c>
      <c r="DU91" s="2159"/>
      <c r="DV91" s="1428"/>
      <c r="DW91" s="2159"/>
      <c r="DX91" s="2159"/>
      <c r="DY91" s="2217"/>
      <c r="DZ91" s="2159"/>
      <c r="EA91" s="2159"/>
      <c r="EB91" s="2159"/>
      <c r="EC91" s="2159"/>
      <c r="ED91" s="2159"/>
      <c r="EE91" s="2159"/>
      <c r="EF91" s="2159"/>
      <c r="EG91" s="2159"/>
      <c r="EH91" s="2159"/>
      <c r="EI91" s="2159"/>
      <c r="EJ91" s="2159"/>
    </row>
    <row r="92" spans="3:140" x14ac:dyDescent="0.2">
      <c r="C92" s="1428" t="s">
        <v>2366</v>
      </c>
      <c r="D92" s="1426" t="str">
        <f>Translation!B$595</f>
        <v>Epilepsie</v>
      </c>
      <c r="F92" s="1437"/>
      <c r="G92" s="2211">
        <v>4160.5258333333304</v>
      </c>
      <c r="H92" s="2212">
        <v>83.499166666666696</v>
      </c>
      <c r="I92" s="2212">
        <v>332.91500000000002</v>
      </c>
      <c r="J92" s="2212">
        <v>7221.8708333333298</v>
      </c>
      <c r="K92" s="2212">
        <v>2292.4875000000002</v>
      </c>
      <c r="L92" s="2212">
        <v>1812.2566666666701</v>
      </c>
      <c r="M92" s="2212">
        <v>1939.8816666666701</v>
      </c>
      <c r="N92" s="2212">
        <v>2541.33833333333</v>
      </c>
      <c r="O92" s="2212">
        <v>254.56</v>
      </c>
      <c r="P92" s="2212">
        <v>1342.57416666667</v>
      </c>
      <c r="Q92" s="2212">
        <v>572.52666666666698</v>
      </c>
      <c r="R92" s="2212">
        <v>2329.0216666666702</v>
      </c>
      <c r="S92" s="2212">
        <v>1434.90916666667</v>
      </c>
      <c r="T92" s="2212">
        <v>230.21916666666701</v>
      </c>
      <c r="U92" s="2212">
        <v>197.905</v>
      </c>
      <c r="V92" s="2212">
        <v>2783.3083333333302</v>
      </c>
      <c r="W92" s="2212">
        <v>498.255</v>
      </c>
      <c r="X92" s="2212">
        <v>1932.89333333333</v>
      </c>
      <c r="Y92" s="2212">
        <v>756.49083333333294</v>
      </c>
      <c r="Z92" s="2212">
        <v>1479.4541666666701</v>
      </c>
      <c r="AA92" s="2212">
        <v>2501.5208333333298</v>
      </c>
      <c r="AB92" s="2212">
        <v>190.599166666667</v>
      </c>
      <c r="AC92" s="2212">
        <v>3937.6350000000002</v>
      </c>
      <c r="AD92" s="2212">
        <v>2098.625</v>
      </c>
      <c r="AE92" s="2212">
        <v>610.83500000000004</v>
      </c>
      <c r="AF92" s="2213">
        <v>7771.6958333333296</v>
      </c>
      <c r="AI92" s="2078">
        <f>Risk_Compensation!H98*Risk_Compensation!$AK98*12/1000000</f>
        <v>0</v>
      </c>
      <c r="AJ92" s="2079">
        <f>Risk_Compensation!I98*Risk_Compensation!$AK98*12/1000000</f>
        <v>0</v>
      </c>
      <c r="AK92" s="2079">
        <f>Risk_Compensation!J98*Risk_Compensation!$AK98*12/1000000</f>
        <v>0</v>
      </c>
      <c r="AL92" s="2079">
        <f>Risk_Compensation!K98*Risk_Compensation!$AK98*12/1000000</f>
        <v>0</v>
      </c>
      <c r="AM92" s="2079">
        <f>Risk_Compensation!L98*Risk_Compensation!$AK98*12/1000000</f>
        <v>0</v>
      </c>
      <c r="AN92" s="2079">
        <f>Risk_Compensation!M98*Risk_Compensation!$AK98*12/1000000</f>
        <v>0</v>
      </c>
      <c r="AO92" s="2079">
        <f>Risk_Compensation!N98*Risk_Compensation!$AK98*12/1000000</f>
        <v>0</v>
      </c>
      <c r="AP92" s="2079">
        <f>Risk_Compensation!O98*Risk_Compensation!$AK98*12/1000000</f>
        <v>0</v>
      </c>
      <c r="AQ92" s="2079">
        <f>Risk_Compensation!P98*Risk_Compensation!$AK98*12/1000000</f>
        <v>0</v>
      </c>
      <c r="AR92" s="2079">
        <f>Risk_Compensation!Q98*Risk_Compensation!$AK98*12/1000000</f>
        <v>0</v>
      </c>
      <c r="AS92" s="2079">
        <f>Risk_Compensation!R98*Risk_Compensation!$AK98*12/1000000</f>
        <v>0</v>
      </c>
      <c r="AT92" s="2079">
        <f>Risk_Compensation!S98*Risk_Compensation!$AK98*12/1000000</f>
        <v>0</v>
      </c>
      <c r="AU92" s="2079">
        <f>Risk_Compensation!T98*Risk_Compensation!$AK98*12/1000000</f>
        <v>0</v>
      </c>
      <c r="AV92" s="2079">
        <f>Risk_Compensation!U98*Risk_Compensation!$AK98*12/1000000</f>
        <v>0</v>
      </c>
      <c r="AW92" s="2079">
        <f>Risk_Compensation!V98*Risk_Compensation!$AK98*12/1000000</f>
        <v>0</v>
      </c>
      <c r="AX92" s="2079">
        <f>Risk_Compensation!W98*Risk_Compensation!$AK98*12/1000000</f>
        <v>0</v>
      </c>
      <c r="AY92" s="2079">
        <f>Risk_Compensation!X98*Risk_Compensation!$AK98*12/1000000</f>
        <v>0</v>
      </c>
      <c r="AZ92" s="2079">
        <f>Risk_Compensation!Y98*Risk_Compensation!$AK98*12/1000000</f>
        <v>0</v>
      </c>
      <c r="BA92" s="2079">
        <f>Risk_Compensation!Z98*Risk_Compensation!$AK98*12/1000000</f>
        <v>0</v>
      </c>
      <c r="BB92" s="2079">
        <f>Risk_Compensation!AA98*Risk_Compensation!$AK98*12/1000000</f>
        <v>0</v>
      </c>
      <c r="BC92" s="2079">
        <f>Risk_Compensation!AB98*Risk_Compensation!$AK98*12/1000000</f>
        <v>0</v>
      </c>
      <c r="BD92" s="2079">
        <f>Risk_Compensation!AC98*Risk_Compensation!$AK98*12/1000000</f>
        <v>0</v>
      </c>
      <c r="BE92" s="2079">
        <f>Risk_Compensation!AD98*Risk_Compensation!$AK98*12/1000000</f>
        <v>0</v>
      </c>
      <c r="BF92" s="2079">
        <f>Risk_Compensation!AE98*Risk_Compensation!$AK98*12/1000000</f>
        <v>0</v>
      </c>
      <c r="BG92" s="2079">
        <f>Risk_Compensation!AF98*Risk_Compensation!$AK98*12/1000000</f>
        <v>0</v>
      </c>
      <c r="BH92" s="2080">
        <f>Risk_Compensation!AG98*Risk_Compensation!$AK98*12/1000000</f>
        <v>0</v>
      </c>
      <c r="BK92" s="2138">
        <f>IF(G92&lt;=0,0,(Risk_Compensation!H98/G92-Risk_Compensation!H$79/G$72-0.5*CO$167*(G137/G92-CO$135/G$72))*G92)</f>
        <v>0</v>
      </c>
      <c r="BL92" s="2139">
        <f>IF(H92&lt;=0,0,(Risk_Compensation!I98/H92-Risk_Compensation!I$79/H$72-0.5*CP$167*(H137/H92-CP$135/H$72))*H92)</f>
        <v>0</v>
      </c>
      <c r="BM92" s="2139">
        <f>IF(I92&lt;=0,0,(Risk_Compensation!J98/I92-Risk_Compensation!J$79/I$72-0.5*CQ$167*(I137/I92-CQ$135/I$72))*I92)</f>
        <v>0</v>
      </c>
      <c r="BN92" s="2139">
        <f>IF(J92&lt;=0,0,(Risk_Compensation!K98/J92-Risk_Compensation!K$79/J$72-0.5*CR$167*(J137/J92-CR$135/J$72))*J92)</f>
        <v>0</v>
      </c>
      <c r="BO92" s="2139">
        <f>IF(K92&lt;=0,0,(Risk_Compensation!L98/K92-Risk_Compensation!L$79/K$72-0.5*CS$167*(K137/K92-CS$135/K$72))*K92)</f>
        <v>0</v>
      </c>
      <c r="BP92" s="2139">
        <f>IF(L92&lt;=0,0,(Risk_Compensation!M98/L92-Risk_Compensation!M$79/L$72-0.5*CT$167*(L137/L92-CT$135/L$72))*L92)</f>
        <v>0</v>
      </c>
      <c r="BQ92" s="2139">
        <f>IF(M92&lt;=0,0,(Risk_Compensation!N98/M92-Risk_Compensation!N$79/M$72-0.5*CU$167*(M137/M92-CU$135/M$72))*M92)</f>
        <v>0</v>
      </c>
      <c r="BR92" s="2139">
        <f>IF(N92&lt;=0,0,(Risk_Compensation!O98/N92-Risk_Compensation!O$79/N$72-0.5*CV$167*(N137/N92-CV$135/N$72))*N92)</f>
        <v>0</v>
      </c>
      <c r="BS92" s="2139">
        <f>IF(O92&lt;=0,0,(Risk_Compensation!P98/O92-Risk_Compensation!P$79/O$72-0.5*CW$167*(O137/O92-CW$135/O$72))*O92)</f>
        <v>0</v>
      </c>
      <c r="BT92" s="2139">
        <f>IF(P92&lt;=0,0,(Risk_Compensation!Q98/P92-Risk_Compensation!Q$79/P$72-0.5*CX$167*(P137/P92-CX$135/P$72))*P92)</f>
        <v>0</v>
      </c>
      <c r="BU92" s="2139">
        <f>IF(Q92&lt;=0,0,(Risk_Compensation!R98/Q92-Risk_Compensation!R$79/Q$72-0.5*CY$167*(Q137/Q92-CY$135/Q$72))*Q92)</f>
        <v>0</v>
      </c>
      <c r="BV92" s="2139">
        <f>IF(R92&lt;=0,0,(Risk_Compensation!S98/R92-Risk_Compensation!S$79/R$72-0.5*CZ$167*(R137/R92-CZ$135/R$72))*R92)</f>
        <v>0</v>
      </c>
      <c r="BW92" s="2139">
        <f>IF(S92&lt;=0,0,(Risk_Compensation!T98/S92-Risk_Compensation!T$79/S$72-0.5*DA$167*(S137/S92-DA$135/S$72))*S92)</f>
        <v>0</v>
      </c>
      <c r="BX92" s="2139">
        <f>IF(T92&lt;=0,0,(Risk_Compensation!U98/T92-Risk_Compensation!U$79/T$72-0.5*DB$167*(T137/T92-DB$135/T$72))*T92)</f>
        <v>0</v>
      </c>
      <c r="BY92" s="2139">
        <f>IF(U92&lt;=0,0,(Risk_Compensation!V98/U92-Risk_Compensation!V$79/U$72-0.5*DC$167*(U137/U92-DC$135/U$72))*U92)</f>
        <v>0</v>
      </c>
      <c r="BZ92" s="2139">
        <f>IF(V92&lt;=0,0,(Risk_Compensation!W98/V92-Risk_Compensation!W$79/V$72-0.5*DD$167*(V137/V92-DD$135/V$72))*V92)</f>
        <v>0</v>
      </c>
      <c r="CA92" s="2139">
        <f>IF(W92&lt;=0,0,(Risk_Compensation!X98/W92-Risk_Compensation!X$79/W$72-0.5*DE$167*(W137/W92-DE$135/W$72))*W92)</f>
        <v>0</v>
      </c>
      <c r="CB92" s="2139">
        <f>IF(X92&lt;=0,0,(Risk_Compensation!Y98/X92-Risk_Compensation!Y$79/X$72-0.5*DF$167*(X137/X92-DF$135/X$72))*X92)</f>
        <v>0</v>
      </c>
      <c r="CC92" s="2139">
        <f>IF(Y92&lt;=0,0,(Risk_Compensation!Z98/Y92-Risk_Compensation!Z$79/Y$72-0.5*DG$167*(Y137/Y92-DG$135/Y$72))*Y92)</f>
        <v>0</v>
      </c>
      <c r="CD92" s="2139">
        <f>IF(Z92&lt;=0,0,(Risk_Compensation!AA98/Z92-Risk_Compensation!AA$79/Z$72-0.5*DH$167*(Z137/Z92-DH$135/Z$72))*Z92)</f>
        <v>0</v>
      </c>
      <c r="CE92" s="2139">
        <f>IF(AA92&lt;=0,0,(Risk_Compensation!AB98/AA92-Risk_Compensation!AB$79/AA$72-0.5*DI$167*(AA137/AA92-DI$135/AA$72))*AA92)</f>
        <v>0</v>
      </c>
      <c r="CF92" s="2139">
        <f>IF(AB92&lt;=0,0,(Risk_Compensation!AC98/AB92-Risk_Compensation!AC$79/AB$72-0.5*DJ$167*(AB137/AB92-DJ$135/AB$72))*AB92)</f>
        <v>0</v>
      </c>
      <c r="CG92" s="2139">
        <f>IF(AC92&lt;=0,0,(Risk_Compensation!AD98/AC92-Risk_Compensation!AD$79/AC$72-0.5*DK$167*(AC137/AC92-DK$135/AC$72))*AC92)</f>
        <v>0</v>
      </c>
      <c r="CH92" s="2139">
        <f>IF(AD92&lt;=0,0,(Risk_Compensation!AE98/AD92-Risk_Compensation!AE$79/AD$72-0.5*DL$167*(AD137/AD92-DL$135/AD$72))*AD92)</f>
        <v>0</v>
      </c>
      <c r="CI92" s="2139">
        <f>IF(AE92&lt;=0,0,(Risk_Compensation!AF98/AE92-Risk_Compensation!AF$79/AE$72-0.5*DM$167*(AE137/AE92-DM$135/AE$72))*AE92)</f>
        <v>0</v>
      </c>
      <c r="CJ92" s="2140">
        <f>IF(AF92&lt;=0,0,(Risk_Compensation!AG98/AF92-Risk_Compensation!AG$79/AF$72-0.5*DN$167*(AF137/AF92-DN$135/AF$72))*AF92)</f>
        <v>0</v>
      </c>
      <c r="CL92" s="2144"/>
      <c r="CN92" s="2078">
        <f>IF(G92&gt;0,$DP92^2*(BK92*Risk_Compensation!$AK98*12/1000000)^2/G92,0)</f>
        <v>0</v>
      </c>
      <c r="CO92" s="2079">
        <f>IF(H92&gt;0,$DP92^2*(BL92*Risk_Compensation!$AK98*12/1000000)^2/H92,0)</f>
        <v>0</v>
      </c>
      <c r="CP92" s="2079">
        <f>IF(I92&gt;0,$DP92^2*(BM92*Risk_Compensation!$AK98*12/1000000)^2/I92,0)</f>
        <v>0</v>
      </c>
      <c r="CQ92" s="2079">
        <f>IF(J92&gt;0,$DP92^2*(BN92*Risk_Compensation!$AK98*12/1000000)^2/J92,0)</f>
        <v>0</v>
      </c>
      <c r="CR92" s="2079">
        <f>IF(K92&gt;0,$DP92^2*(BO92*Risk_Compensation!$AK98*12/1000000)^2/K92,0)</f>
        <v>0</v>
      </c>
      <c r="CS92" s="2079">
        <f>IF(L92&gt;0,$DP92^2*(BP92*Risk_Compensation!$AK98*12/1000000)^2/L92,0)</f>
        <v>0</v>
      </c>
      <c r="CT92" s="2079">
        <f>IF(M92&gt;0,$DP92^2*(BQ92*Risk_Compensation!$AK98*12/1000000)^2/M92,0)</f>
        <v>0</v>
      </c>
      <c r="CU92" s="2079">
        <f>IF(N92&gt;0,$DP92^2*(BR92*Risk_Compensation!$AK98*12/1000000)^2/N92,0)</f>
        <v>0</v>
      </c>
      <c r="CV92" s="2079">
        <f>IF(O92&gt;0,$DP92^2*(BS92*Risk_Compensation!$AK98*12/1000000)^2/O92,0)</f>
        <v>0</v>
      </c>
      <c r="CW92" s="2079">
        <f>IF(P92&gt;0,$DP92^2*(BT92*Risk_Compensation!$AK98*12/1000000)^2/P92,0)</f>
        <v>0</v>
      </c>
      <c r="CX92" s="2079">
        <f>IF(Q92&gt;0,$DP92^2*(BU92*Risk_Compensation!$AK98*12/1000000)^2/Q92,0)</f>
        <v>0</v>
      </c>
      <c r="CY92" s="2079">
        <f>IF(R92&gt;0,$DP92^2*(BV92*Risk_Compensation!$AK98*12/1000000)^2/R92,0)</f>
        <v>0</v>
      </c>
      <c r="CZ92" s="2079">
        <f>IF(S92&gt;0,$DP92^2*(BW92*Risk_Compensation!$AK98*12/1000000)^2/S92,0)</f>
        <v>0</v>
      </c>
      <c r="DA92" s="2079">
        <f>IF(T92&gt;0,$DP92^2*(BX92*Risk_Compensation!$AK98*12/1000000)^2/T92,0)</f>
        <v>0</v>
      </c>
      <c r="DB92" s="2079">
        <f>IF(U92&gt;0,$DP92^2*(BY92*Risk_Compensation!$AK98*12/1000000)^2/U92,0)</f>
        <v>0</v>
      </c>
      <c r="DC92" s="2079">
        <f>IF(V92&gt;0,$DP92^2*(BZ92*Risk_Compensation!$AK98*12/1000000)^2/V92,0)</f>
        <v>0</v>
      </c>
      <c r="DD92" s="2079">
        <f>IF(W92&gt;0,$DP92^2*(CA92*Risk_Compensation!$AK98*12/1000000)^2/W92,0)</f>
        <v>0</v>
      </c>
      <c r="DE92" s="2079">
        <f>IF(X92&gt;0,$DP92^2*(CB92*Risk_Compensation!$AK98*12/1000000)^2/X92,0)</f>
        <v>0</v>
      </c>
      <c r="DF92" s="2079">
        <f>IF(Y92&gt;0,$DP92^2*(CC92*Risk_Compensation!$AK98*12/1000000)^2/Y92,0)</f>
        <v>0</v>
      </c>
      <c r="DG92" s="2079">
        <f>IF(Z92&gt;0,$DP92^2*(CD92*Risk_Compensation!$AK98*12/1000000)^2/Z92,0)</f>
        <v>0</v>
      </c>
      <c r="DH92" s="2079">
        <f>IF(AA92&gt;0,$DP92^2*(CE92*Risk_Compensation!$AK98*12/1000000)^2/AA92,0)</f>
        <v>0</v>
      </c>
      <c r="DI92" s="2079">
        <f>IF(AB92&gt;0,$DP92^2*(CF92*Risk_Compensation!$AK98*12/1000000)^2/AB92,0)</f>
        <v>0</v>
      </c>
      <c r="DJ92" s="2079">
        <f>IF(AC92&gt;0,$DP92^2*(CG92*Risk_Compensation!$AK98*12/1000000)^2/AC92,0)</f>
        <v>0</v>
      </c>
      <c r="DK92" s="2079">
        <f>IF(AD92&gt;0,$DP92^2*(CH92*Risk_Compensation!$AK98*12/1000000)^2/AD92,0)</f>
        <v>0</v>
      </c>
      <c r="DL92" s="2079">
        <f>IF(AE92&gt;0,$DP92^2*(CI92*Risk_Compensation!$AK98*12/1000000)^2/AE92,0)</f>
        <v>0</v>
      </c>
      <c r="DM92" s="2080">
        <f>IF(AF92&gt;0,$DP92^2*(CJ92*Risk_Compensation!$AK98*12/1000000)^2/AF92,0)</f>
        <v>0</v>
      </c>
      <c r="DO92" s="1823"/>
      <c r="DP92" s="2219">
        <v>1.3811055087306301</v>
      </c>
      <c r="DR92" s="1428" t="s">
        <v>2366</v>
      </c>
      <c r="DS92" s="1426" t="str">
        <f>Translation!B$595</f>
        <v>Epilepsie</v>
      </c>
      <c r="DU92" s="2159"/>
      <c r="DV92" s="1428"/>
      <c r="DW92" s="2159"/>
      <c r="DX92" s="2159"/>
      <c r="DY92" s="2217"/>
      <c r="DZ92" s="2159"/>
      <c r="EA92" s="2159"/>
      <c r="EB92" s="2159"/>
      <c r="EC92" s="2159"/>
      <c r="ED92" s="2159"/>
      <c r="EE92" s="2159"/>
      <c r="EF92" s="2159"/>
      <c r="EG92" s="2159"/>
      <c r="EH92" s="2159"/>
      <c r="EI92" s="2159"/>
      <c r="EJ92" s="2159"/>
    </row>
    <row r="93" spans="3:140" x14ac:dyDescent="0.2">
      <c r="C93" s="1428" t="s">
        <v>2368</v>
      </c>
      <c r="D93" s="1426" t="str">
        <f>Translation!B$596</f>
        <v>Glaukom</v>
      </c>
      <c r="F93" s="1437"/>
      <c r="G93" s="2211">
        <v>9740.2800000000007</v>
      </c>
      <c r="H93" s="2212">
        <v>140.261666666667</v>
      </c>
      <c r="I93" s="2212">
        <v>650.85166666666703</v>
      </c>
      <c r="J93" s="2212">
        <v>15860.8258333333</v>
      </c>
      <c r="K93" s="2212">
        <v>5238.01</v>
      </c>
      <c r="L93" s="2212">
        <v>2997.96333333333</v>
      </c>
      <c r="M93" s="2212">
        <v>3277.0066666666698</v>
      </c>
      <c r="N93" s="2212">
        <v>6630.43166666667</v>
      </c>
      <c r="O93" s="2212">
        <v>457.435</v>
      </c>
      <c r="P93" s="2212">
        <v>2973.5758333333301</v>
      </c>
      <c r="Q93" s="2212">
        <v>1220.5983333333299</v>
      </c>
      <c r="R93" s="2212">
        <v>4751.5675000000001</v>
      </c>
      <c r="S93" s="2212">
        <v>2197.6875</v>
      </c>
      <c r="T93" s="2212">
        <v>657.738333333333</v>
      </c>
      <c r="U93" s="2212">
        <v>490.67333333333301</v>
      </c>
      <c r="V93" s="2212">
        <v>7276.5649999999996</v>
      </c>
      <c r="W93" s="2212">
        <v>1197.8216666666699</v>
      </c>
      <c r="X93" s="2212">
        <v>3981.875</v>
      </c>
      <c r="Y93" s="2212">
        <v>2507.4616666666702</v>
      </c>
      <c r="Z93" s="2212">
        <v>3135.1525000000001</v>
      </c>
      <c r="AA93" s="2212">
        <v>5768.09</v>
      </c>
      <c r="AB93" s="2212">
        <v>428.81166666666701</v>
      </c>
      <c r="AC93" s="2212">
        <v>11258.336666666701</v>
      </c>
      <c r="AD93" s="2212">
        <v>5330.0174999999999</v>
      </c>
      <c r="AE93" s="2212">
        <v>2045.99416666667</v>
      </c>
      <c r="AF93" s="2213">
        <v>25486.445833333299</v>
      </c>
      <c r="AI93" s="2078">
        <f>Risk_Compensation!H99*Risk_Compensation!$AK99*12/1000000</f>
        <v>0</v>
      </c>
      <c r="AJ93" s="2079">
        <f>Risk_Compensation!I99*Risk_Compensation!$AK99*12/1000000</f>
        <v>0</v>
      </c>
      <c r="AK93" s="2079">
        <f>Risk_Compensation!J99*Risk_Compensation!$AK99*12/1000000</f>
        <v>0</v>
      </c>
      <c r="AL93" s="2079">
        <f>Risk_Compensation!K99*Risk_Compensation!$AK99*12/1000000</f>
        <v>0</v>
      </c>
      <c r="AM93" s="2079">
        <f>Risk_Compensation!L99*Risk_Compensation!$AK99*12/1000000</f>
        <v>0</v>
      </c>
      <c r="AN93" s="2079">
        <f>Risk_Compensation!M99*Risk_Compensation!$AK99*12/1000000</f>
        <v>0</v>
      </c>
      <c r="AO93" s="2079">
        <f>Risk_Compensation!N99*Risk_Compensation!$AK99*12/1000000</f>
        <v>0</v>
      </c>
      <c r="AP93" s="2079">
        <f>Risk_Compensation!O99*Risk_Compensation!$AK99*12/1000000</f>
        <v>0</v>
      </c>
      <c r="AQ93" s="2079">
        <f>Risk_Compensation!P99*Risk_Compensation!$AK99*12/1000000</f>
        <v>0</v>
      </c>
      <c r="AR93" s="2079">
        <f>Risk_Compensation!Q99*Risk_Compensation!$AK99*12/1000000</f>
        <v>0</v>
      </c>
      <c r="AS93" s="2079">
        <f>Risk_Compensation!R99*Risk_Compensation!$AK99*12/1000000</f>
        <v>0</v>
      </c>
      <c r="AT93" s="2079">
        <f>Risk_Compensation!S99*Risk_Compensation!$AK99*12/1000000</f>
        <v>0</v>
      </c>
      <c r="AU93" s="2079">
        <f>Risk_Compensation!T99*Risk_Compensation!$AK99*12/1000000</f>
        <v>0</v>
      </c>
      <c r="AV93" s="2079">
        <f>Risk_Compensation!U99*Risk_Compensation!$AK99*12/1000000</f>
        <v>0</v>
      </c>
      <c r="AW93" s="2079">
        <f>Risk_Compensation!V99*Risk_Compensation!$AK99*12/1000000</f>
        <v>0</v>
      </c>
      <c r="AX93" s="2079">
        <f>Risk_Compensation!W99*Risk_Compensation!$AK99*12/1000000</f>
        <v>0</v>
      </c>
      <c r="AY93" s="2079">
        <f>Risk_Compensation!X99*Risk_Compensation!$AK99*12/1000000</f>
        <v>0</v>
      </c>
      <c r="AZ93" s="2079">
        <f>Risk_Compensation!Y99*Risk_Compensation!$AK99*12/1000000</f>
        <v>0</v>
      </c>
      <c r="BA93" s="2079">
        <f>Risk_Compensation!Z99*Risk_Compensation!$AK99*12/1000000</f>
        <v>0</v>
      </c>
      <c r="BB93" s="2079">
        <f>Risk_Compensation!AA99*Risk_Compensation!$AK99*12/1000000</f>
        <v>0</v>
      </c>
      <c r="BC93" s="2079">
        <f>Risk_Compensation!AB99*Risk_Compensation!$AK99*12/1000000</f>
        <v>0</v>
      </c>
      <c r="BD93" s="2079">
        <f>Risk_Compensation!AC99*Risk_Compensation!$AK99*12/1000000</f>
        <v>0</v>
      </c>
      <c r="BE93" s="2079">
        <f>Risk_Compensation!AD99*Risk_Compensation!$AK99*12/1000000</f>
        <v>0</v>
      </c>
      <c r="BF93" s="2079">
        <f>Risk_Compensation!AE99*Risk_Compensation!$AK99*12/1000000</f>
        <v>0</v>
      </c>
      <c r="BG93" s="2079">
        <f>Risk_Compensation!AF99*Risk_Compensation!$AK99*12/1000000</f>
        <v>0</v>
      </c>
      <c r="BH93" s="2080">
        <f>Risk_Compensation!AG99*Risk_Compensation!$AK99*12/1000000</f>
        <v>0</v>
      </c>
      <c r="BK93" s="2138">
        <f>IF(G93&lt;=0,0,(Risk_Compensation!H99/G93-Risk_Compensation!H$79/G$72-0.5*CO$167*(G138/G93-CO$135/G$72))*G93)</f>
        <v>0</v>
      </c>
      <c r="BL93" s="2139">
        <f>IF(H93&lt;=0,0,(Risk_Compensation!I99/H93-Risk_Compensation!I$79/H$72-0.5*CP$167*(H138/H93-CP$135/H$72))*H93)</f>
        <v>0</v>
      </c>
      <c r="BM93" s="2139">
        <f>IF(I93&lt;=0,0,(Risk_Compensation!J99/I93-Risk_Compensation!J$79/I$72-0.5*CQ$167*(I138/I93-CQ$135/I$72))*I93)</f>
        <v>0</v>
      </c>
      <c r="BN93" s="2139">
        <f>IF(J93&lt;=0,0,(Risk_Compensation!K99/J93-Risk_Compensation!K$79/J$72-0.5*CR$167*(J138/J93-CR$135/J$72))*J93)</f>
        <v>0</v>
      </c>
      <c r="BO93" s="2139">
        <f>IF(K93&lt;=0,0,(Risk_Compensation!L99/K93-Risk_Compensation!L$79/K$72-0.5*CS$167*(K138/K93-CS$135/K$72))*K93)</f>
        <v>0</v>
      </c>
      <c r="BP93" s="2139">
        <f>IF(L93&lt;=0,0,(Risk_Compensation!M99/L93-Risk_Compensation!M$79/L$72-0.5*CT$167*(L138/L93-CT$135/L$72))*L93)</f>
        <v>0</v>
      </c>
      <c r="BQ93" s="2139">
        <f>IF(M93&lt;=0,0,(Risk_Compensation!N99/M93-Risk_Compensation!N$79/M$72-0.5*CU$167*(M138/M93-CU$135/M$72))*M93)</f>
        <v>0</v>
      </c>
      <c r="BR93" s="2139">
        <f>IF(N93&lt;=0,0,(Risk_Compensation!O99/N93-Risk_Compensation!O$79/N$72-0.5*CV$167*(N138/N93-CV$135/N$72))*N93)</f>
        <v>0</v>
      </c>
      <c r="BS93" s="2139">
        <f>IF(O93&lt;=0,0,(Risk_Compensation!P99/O93-Risk_Compensation!P$79/O$72-0.5*CW$167*(O138/O93-CW$135/O$72))*O93)</f>
        <v>0</v>
      </c>
      <c r="BT93" s="2139">
        <f>IF(P93&lt;=0,0,(Risk_Compensation!Q99/P93-Risk_Compensation!Q$79/P$72-0.5*CX$167*(P138/P93-CX$135/P$72))*P93)</f>
        <v>0</v>
      </c>
      <c r="BU93" s="2139">
        <f>IF(Q93&lt;=0,0,(Risk_Compensation!R99/Q93-Risk_Compensation!R$79/Q$72-0.5*CY$167*(Q138/Q93-CY$135/Q$72))*Q93)</f>
        <v>0</v>
      </c>
      <c r="BV93" s="2139">
        <f>IF(R93&lt;=0,0,(Risk_Compensation!S99/R93-Risk_Compensation!S$79/R$72-0.5*CZ$167*(R138/R93-CZ$135/R$72))*R93)</f>
        <v>0</v>
      </c>
      <c r="BW93" s="2139">
        <f>IF(S93&lt;=0,0,(Risk_Compensation!T99/S93-Risk_Compensation!T$79/S$72-0.5*DA$167*(S138/S93-DA$135/S$72))*S93)</f>
        <v>0</v>
      </c>
      <c r="BX93" s="2139">
        <f>IF(T93&lt;=0,0,(Risk_Compensation!U99/T93-Risk_Compensation!U$79/T$72-0.5*DB$167*(T138/T93-DB$135/T$72))*T93)</f>
        <v>0</v>
      </c>
      <c r="BY93" s="2139">
        <f>IF(U93&lt;=0,0,(Risk_Compensation!V99/U93-Risk_Compensation!V$79/U$72-0.5*DC$167*(U138/U93-DC$135/U$72))*U93)</f>
        <v>0</v>
      </c>
      <c r="BZ93" s="2139">
        <f>IF(V93&lt;=0,0,(Risk_Compensation!W99/V93-Risk_Compensation!W$79/V$72-0.5*DD$167*(V138/V93-DD$135/V$72))*V93)</f>
        <v>0</v>
      </c>
      <c r="CA93" s="2139">
        <f>IF(W93&lt;=0,0,(Risk_Compensation!X99/W93-Risk_Compensation!X$79/W$72-0.5*DE$167*(W138/W93-DE$135/W$72))*W93)</f>
        <v>0</v>
      </c>
      <c r="CB93" s="2139">
        <f>IF(X93&lt;=0,0,(Risk_Compensation!Y99/X93-Risk_Compensation!Y$79/X$72-0.5*DF$167*(X138/X93-DF$135/X$72))*X93)</f>
        <v>0</v>
      </c>
      <c r="CC93" s="2139">
        <f>IF(Y93&lt;=0,0,(Risk_Compensation!Z99/Y93-Risk_Compensation!Z$79/Y$72-0.5*DG$167*(Y138/Y93-DG$135/Y$72))*Y93)</f>
        <v>0</v>
      </c>
      <c r="CD93" s="2139">
        <f>IF(Z93&lt;=0,0,(Risk_Compensation!AA99/Z93-Risk_Compensation!AA$79/Z$72-0.5*DH$167*(Z138/Z93-DH$135/Z$72))*Z93)</f>
        <v>0</v>
      </c>
      <c r="CE93" s="2139">
        <f>IF(AA93&lt;=0,0,(Risk_Compensation!AB99/AA93-Risk_Compensation!AB$79/AA$72-0.5*DI$167*(AA138/AA93-DI$135/AA$72))*AA93)</f>
        <v>0</v>
      </c>
      <c r="CF93" s="2139">
        <f>IF(AB93&lt;=0,0,(Risk_Compensation!AC99/AB93-Risk_Compensation!AC$79/AB$72-0.5*DJ$167*(AB138/AB93-DJ$135/AB$72))*AB93)</f>
        <v>0</v>
      </c>
      <c r="CG93" s="2139">
        <f>IF(AC93&lt;=0,0,(Risk_Compensation!AD99/AC93-Risk_Compensation!AD$79/AC$72-0.5*DK$167*(AC138/AC93-DK$135/AC$72))*AC93)</f>
        <v>0</v>
      </c>
      <c r="CH93" s="2139">
        <f>IF(AD93&lt;=0,0,(Risk_Compensation!AE99/AD93-Risk_Compensation!AE$79/AD$72-0.5*DL$167*(AD138/AD93-DL$135/AD$72))*AD93)</f>
        <v>0</v>
      </c>
      <c r="CI93" s="2139">
        <f>IF(AE93&lt;=0,0,(Risk_Compensation!AF99/AE93-Risk_Compensation!AF$79/AE$72-0.5*DM$167*(AE138/AE93-DM$135/AE$72))*AE93)</f>
        <v>0</v>
      </c>
      <c r="CJ93" s="2140">
        <f>IF(AF93&lt;=0,0,(Risk_Compensation!AG99/AF93-Risk_Compensation!AG$79/AF$72-0.5*DN$167*(AF138/AF93-DN$135/AF$72))*AF93)</f>
        <v>0</v>
      </c>
      <c r="CL93" s="2144"/>
      <c r="CN93" s="2078">
        <f>IF(G93&gt;0,$DP93^2*(BK93*Risk_Compensation!$AK99*12/1000000)^2/G93,0)</f>
        <v>0</v>
      </c>
      <c r="CO93" s="2079">
        <f>IF(H93&gt;0,$DP93^2*(BL93*Risk_Compensation!$AK99*12/1000000)^2/H93,0)</f>
        <v>0</v>
      </c>
      <c r="CP93" s="2079">
        <f>IF(I93&gt;0,$DP93^2*(BM93*Risk_Compensation!$AK99*12/1000000)^2/I93,0)</f>
        <v>0</v>
      </c>
      <c r="CQ93" s="2079">
        <f>IF(J93&gt;0,$DP93^2*(BN93*Risk_Compensation!$AK99*12/1000000)^2/J93,0)</f>
        <v>0</v>
      </c>
      <c r="CR93" s="2079">
        <f>IF(K93&gt;0,$DP93^2*(BO93*Risk_Compensation!$AK99*12/1000000)^2/K93,0)</f>
        <v>0</v>
      </c>
      <c r="CS93" s="2079">
        <f>IF(L93&gt;0,$DP93^2*(BP93*Risk_Compensation!$AK99*12/1000000)^2/L93,0)</f>
        <v>0</v>
      </c>
      <c r="CT93" s="2079">
        <f>IF(M93&gt;0,$DP93^2*(BQ93*Risk_Compensation!$AK99*12/1000000)^2/M93,0)</f>
        <v>0</v>
      </c>
      <c r="CU93" s="2079">
        <f>IF(N93&gt;0,$DP93^2*(BR93*Risk_Compensation!$AK99*12/1000000)^2/N93,0)</f>
        <v>0</v>
      </c>
      <c r="CV93" s="2079">
        <f>IF(O93&gt;0,$DP93^2*(BS93*Risk_Compensation!$AK99*12/1000000)^2/O93,0)</f>
        <v>0</v>
      </c>
      <c r="CW93" s="2079">
        <f>IF(P93&gt;0,$DP93^2*(BT93*Risk_Compensation!$AK99*12/1000000)^2/P93,0)</f>
        <v>0</v>
      </c>
      <c r="CX93" s="2079">
        <f>IF(Q93&gt;0,$DP93^2*(BU93*Risk_Compensation!$AK99*12/1000000)^2/Q93,0)</f>
        <v>0</v>
      </c>
      <c r="CY93" s="2079">
        <f>IF(R93&gt;0,$DP93^2*(BV93*Risk_Compensation!$AK99*12/1000000)^2/R93,0)</f>
        <v>0</v>
      </c>
      <c r="CZ93" s="2079">
        <f>IF(S93&gt;0,$DP93^2*(BW93*Risk_Compensation!$AK99*12/1000000)^2/S93,0)</f>
        <v>0</v>
      </c>
      <c r="DA93" s="2079">
        <f>IF(T93&gt;0,$DP93^2*(BX93*Risk_Compensation!$AK99*12/1000000)^2/T93,0)</f>
        <v>0</v>
      </c>
      <c r="DB93" s="2079">
        <f>IF(U93&gt;0,$DP93^2*(BY93*Risk_Compensation!$AK99*12/1000000)^2/U93,0)</f>
        <v>0</v>
      </c>
      <c r="DC93" s="2079">
        <f>IF(V93&gt;0,$DP93^2*(BZ93*Risk_Compensation!$AK99*12/1000000)^2/V93,0)</f>
        <v>0</v>
      </c>
      <c r="DD93" s="2079">
        <f>IF(W93&gt;0,$DP93^2*(CA93*Risk_Compensation!$AK99*12/1000000)^2/W93,0)</f>
        <v>0</v>
      </c>
      <c r="DE93" s="2079">
        <f>IF(X93&gt;0,$DP93^2*(CB93*Risk_Compensation!$AK99*12/1000000)^2/X93,0)</f>
        <v>0</v>
      </c>
      <c r="DF93" s="2079">
        <f>IF(Y93&gt;0,$DP93^2*(CC93*Risk_Compensation!$AK99*12/1000000)^2/Y93,0)</f>
        <v>0</v>
      </c>
      <c r="DG93" s="2079">
        <f>IF(Z93&gt;0,$DP93^2*(CD93*Risk_Compensation!$AK99*12/1000000)^2/Z93,0)</f>
        <v>0</v>
      </c>
      <c r="DH93" s="2079">
        <f>IF(AA93&gt;0,$DP93^2*(CE93*Risk_Compensation!$AK99*12/1000000)^2/AA93,0)</f>
        <v>0</v>
      </c>
      <c r="DI93" s="2079">
        <f>IF(AB93&gt;0,$DP93^2*(CF93*Risk_Compensation!$AK99*12/1000000)^2/AB93,0)</f>
        <v>0</v>
      </c>
      <c r="DJ93" s="2079">
        <f>IF(AC93&gt;0,$DP93^2*(CG93*Risk_Compensation!$AK99*12/1000000)^2/AC93,0)</f>
        <v>0</v>
      </c>
      <c r="DK93" s="2079">
        <f>IF(AD93&gt;0,$DP93^2*(CH93*Risk_Compensation!$AK99*12/1000000)^2/AD93,0)</f>
        <v>0</v>
      </c>
      <c r="DL93" s="2079">
        <f>IF(AE93&gt;0,$DP93^2*(CI93*Risk_Compensation!$AK99*12/1000000)^2/AE93,0)</f>
        <v>0</v>
      </c>
      <c r="DM93" s="2080">
        <f>IF(AF93&gt;0,$DP93^2*(CJ93*Risk_Compensation!$AK99*12/1000000)^2/AF93,0)</f>
        <v>0</v>
      </c>
      <c r="DO93" s="1823"/>
      <c r="DP93" s="2219">
        <v>1.5179246872229699</v>
      </c>
      <c r="DR93" s="1428" t="s">
        <v>2368</v>
      </c>
      <c r="DS93" s="1426" t="str">
        <f>Translation!B$596</f>
        <v>Glaukom</v>
      </c>
      <c r="DU93" s="2159"/>
      <c r="DV93" s="1428"/>
      <c r="DW93" s="2159"/>
      <c r="DX93" s="2159"/>
      <c r="DY93" s="2217"/>
      <c r="DZ93" s="2159"/>
      <c r="EA93" s="2159"/>
      <c r="EB93" s="2159"/>
      <c r="EC93" s="2159"/>
      <c r="ED93" s="2159"/>
      <c r="EE93" s="2159"/>
      <c r="EF93" s="2159"/>
      <c r="EG93" s="2159"/>
      <c r="EH93" s="2159"/>
      <c r="EI93" s="2159"/>
      <c r="EJ93" s="2159"/>
    </row>
    <row r="94" spans="3:140" x14ac:dyDescent="0.2">
      <c r="C94" s="1428" t="s">
        <v>2370</v>
      </c>
      <c r="D94" s="1426" t="str">
        <f>Translation!B$597</f>
        <v>Hohes Cholesterin</v>
      </c>
      <c r="F94" s="1437"/>
      <c r="G94" s="2211">
        <v>45792.269166666701</v>
      </c>
      <c r="H94" s="2212">
        <v>913.38083333333304</v>
      </c>
      <c r="I94" s="2212">
        <v>3269.0383333333298</v>
      </c>
      <c r="J94" s="2212">
        <v>71123.563333333295</v>
      </c>
      <c r="K94" s="2212">
        <v>21232.612499999999</v>
      </c>
      <c r="L94" s="2212">
        <v>11592.6733333333</v>
      </c>
      <c r="M94" s="2212">
        <v>18323.544166666699</v>
      </c>
      <c r="N94" s="2212">
        <v>24662.3491666667</v>
      </c>
      <c r="O94" s="2212">
        <v>2663.3049999999998</v>
      </c>
      <c r="P94" s="2212">
        <v>13375.2558333333</v>
      </c>
      <c r="Q94" s="2212">
        <v>5111.8658333333296</v>
      </c>
      <c r="R94" s="2212">
        <v>26925.144166666701</v>
      </c>
      <c r="S94" s="2212">
        <v>11087.3825</v>
      </c>
      <c r="T94" s="2212">
        <v>3038.5641666666702</v>
      </c>
      <c r="U94" s="2212">
        <v>2460.9016666666698</v>
      </c>
      <c r="V94" s="2212">
        <v>31825.342499999999</v>
      </c>
      <c r="W94" s="2212">
        <v>5611.86333333333</v>
      </c>
      <c r="X94" s="2212">
        <v>21449.044166666699</v>
      </c>
      <c r="Y94" s="2212">
        <v>10462.1933333333</v>
      </c>
      <c r="Z94" s="2212">
        <v>16946.8733333333</v>
      </c>
      <c r="AA94" s="2212">
        <v>29346.2633333333</v>
      </c>
      <c r="AB94" s="2212">
        <v>2187.96333333333</v>
      </c>
      <c r="AC94" s="2212">
        <v>41863.158333333296</v>
      </c>
      <c r="AD94" s="2212">
        <v>23546.919166666699</v>
      </c>
      <c r="AE94" s="2212">
        <v>7113.3333333333303</v>
      </c>
      <c r="AF94" s="2213">
        <v>82652.863333333298</v>
      </c>
      <c r="AI94" s="2078">
        <f>Risk_Compensation!H100*Risk_Compensation!$AK100*12/1000000</f>
        <v>0</v>
      </c>
      <c r="AJ94" s="2079">
        <f>Risk_Compensation!I100*Risk_Compensation!$AK100*12/1000000</f>
        <v>0</v>
      </c>
      <c r="AK94" s="2079">
        <f>Risk_Compensation!J100*Risk_Compensation!$AK100*12/1000000</f>
        <v>0</v>
      </c>
      <c r="AL94" s="2079">
        <f>Risk_Compensation!K100*Risk_Compensation!$AK100*12/1000000</f>
        <v>0</v>
      </c>
      <c r="AM94" s="2079">
        <f>Risk_Compensation!L100*Risk_Compensation!$AK100*12/1000000</f>
        <v>0</v>
      </c>
      <c r="AN94" s="2079">
        <f>Risk_Compensation!M100*Risk_Compensation!$AK100*12/1000000</f>
        <v>0</v>
      </c>
      <c r="AO94" s="2079">
        <f>Risk_Compensation!N100*Risk_Compensation!$AK100*12/1000000</f>
        <v>0</v>
      </c>
      <c r="AP94" s="2079">
        <f>Risk_Compensation!O100*Risk_Compensation!$AK100*12/1000000</f>
        <v>0</v>
      </c>
      <c r="AQ94" s="2079">
        <f>Risk_Compensation!P100*Risk_Compensation!$AK100*12/1000000</f>
        <v>0</v>
      </c>
      <c r="AR94" s="2079">
        <f>Risk_Compensation!Q100*Risk_Compensation!$AK100*12/1000000</f>
        <v>0</v>
      </c>
      <c r="AS94" s="2079">
        <f>Risk_Compensation!R100*Risk_Compensation!$AK100*12/1000000</f>
        <v>0</v>
      </c>
      <c r="AT94" s="2079">
        <f>Risk_Compensation!S100*Risk_Compensation!$AK100*12/1000000</f>
        <v>0</v>
      </c>
      <c r="AU94" s="2079">
        <f>Risk_Compensation!T100*Risk_Compensation!$AK100*12/1000000</f>
        <v>0</v>
      </c>
      <c r="AV94" s="2079">
        <f>Risk_Compensation!U100*Risk_Compensation!$AK100*12/1000000</f>
        <v>0</v>
      </c>
      <c r="AW94" s="2079">
        <f>Risk_Compensation!V100*Risk_Compensation!$AK100*12/1000000</f>
        <v>0</v>
      </c>
      <c r="AX94" s="2079">
        <f>Risk_Compensation!W100*Risk_Compensation!$AK100*12/1000000</f>
        <v>0</v>
      </c>
      <c r="AY94" s="2079">
        <f>Risk_Compensation!X100*Risk_Compensation!$AK100*12/1000000</f>
        <v>0</v>
      </c>
      <c r="AZ94" s="2079">
        <f>Risk_Compensation!Y100*Risk_Compensation!$AK100*12/1000000</f>
        <v>0</v>
      </c>
      <c r="BA94" s="2079">
        <f>Risk_Compensation!Z100*Risk_Compensation!$AK100*12/1000000</f>
        <v>0</v>
      </c>
      <c r="BB94" s="2079">
        <f>Risk_Compensation!AA100*Risk_Compensation!$AK100*12/1000000</f>
        <v>0</v>
      </c>
      <c r="BC94" s="2079">
        <f>Risk_Compensation!AB100*Risk_Compensation!$AK100*12/1000000</f>
        <v>0</v>
      </c>
      <c r="BD94" s="2079">
        <f>Risk_Compensation!AC100*Risk_Compensation!$AK100*12/1000000</f>
        <v>0</v>
      </c>
      <c r="BE94" s="2079">
        <f>Risk_Compensation!AD100*Risk_Compensation!$AK100*12/1000000</f>
        <v>0</v>
      </c>
      <c r="BF94" s="2079">
        <f>Risk_Compensation!AE100*Risk_Compensation!$AK100*12/1000000</f>
        <v>0</v>
      </c>
      <c r="BG94" s="2079">
        <f>Risk_Compensation!AF100*Risk_Compensation!$AK100*12/1000000</f>
        <v>0</v>
      </c>
      <c r="BH94" s="2080">
        <f>Risk_Compensation!AG100*Risk_Compensation!$AK100*12/1000000</f>
        <v>0</v>
      </c>
      <c r="BK94" s="2138">
        <f>IF(G94&lt;=0,0,(Risk_Compensation!H100/G94-Risk_Compensation!H$79/G$72-0.5*CO$167*(G139/G94-CO$135/G$72))*G94)</f>
        <v>0</v>
      </c>
      <c r="BL94" s="2139">
        <f>IF(H94&lt;=0,0,(Risk_Compensation!I100/H94-Risk_Compensation!I$79/H$72-0.5*CP$167*(H139/H94-CP$135/H$72))*H94)</f>
        <v>0</v>
      </c>
      <c r="BM94" s="2139">
        <f>IF(I94&lt;=0,0,(Risk_Compensation!J100/I94-Risk_Compensation!J$79/I$72-0.5*CQ$167*(I139/I94-CQ$135/I$72))*I94)</f>
        <v>0</v>
      </c>
      <c r="BN94" s="2139">
        <f>IF(J94&lt;=0,0,(Risk_Compensation!K100/J94-Risk_Compensation!K$79/J$72-0.5*CR$167*(J139/J94-CR$135/J$72))*J94)</f>
        <v>0</v>
      </c>
      <c r="BO94" s="2139">
        <f>IF(K94&lt;=0,0,(Risk_Compensation!L100/K94-Risk_Compensation!L$79/K$72-0.5*CS$167*(K139/K94-CS$135/K$72))*K94)</f>
        <v>0</v>
      </c>
      <c r="BP94" s="2139">
        <f>IF(L94&lt;=0,0,(Risk_Compensation!M100/L94-Risk_Compensation!M$79/L$72-0.5*CT$167*(L139/L94-CT$135/L$72))*L94)</f>
        <v>0</v>
      </c>
      <c r="BQ94" s="2139">
        <f>IF(M94&lt;=0,0,(Risk_Compensation!N100/M94-Risk_Compensation!N$79/M$72-0.5*CU$167*(M139/M94-CU$135/M$72))*M94)</f>
        <v>0</v>
      </c>
      <c r="BR94" s="2139">
        <f>IF(N94&lt;=0,0,(Risk_Compensation!O100/N94-Risk_Compensation!O$79/N$72-0.5*CV$167*(N139/N94-CV$135/N$72))*N94)</f>
        <v>0</v>
      </c>
      <c r="BS94" s="2139">
        <f>IF(O94&lt;=0,0,(Risk_Compensation!P100/O94-Risk_Compensation!P$79/O$72-0.5*CW$167*(O139/O94-CW$135/O$72))*O94)</f>
        <v>0</v>
      </c>
      <c r="BT94" s="2139">
        <f>IF(P94&lt;=0,0,(Risk_Compensation!Q100/P94-Risk_Compensation!Q$79/P$72-0.5*CX$167*(P139/P94-CX$135/P$72))*P94)</f>
        <v>0</v>
      </c>
      <c r="BU94" s="2139">
        <f>IF(Q94&lt;=0,0,(Risk_Compensation!R100/Q94-Risk_Compensation!R$79/Q$72-0.5*CY$167*(Q139/Q94-CY$135/Q$72))*Q94)</f>
        <v>0</v>
      </c>
      <c r="BV94" s="2139">
        <f>IF(R94&lt;=0,0,(Risk_Compensation!S100/R94-Risk_Compensation!S$79/R$72-0.5*CZ$167*(R139/R94-CZ$135/R$72))*R94)</f>
        <v>0</v>
      </c>
      <c r="BW94" s="2139">
        <f>IF(S94&lt;=0,0,(Risk_Compensation!T100/S94-Risk_Compensation!T$79/S$72-0.5*DA$167*(S139/S94-DA$135/S$72))*S94)</f>
        <v>0</v>
      </c>
      <c r="BX94" s="2139">
        <f>IF(T94&lt;=0,0,(Risk_Compensation!U100/T94-Risk_Compensation!U$79/T$72-0.5*DB$167*(T139/T94-DB$135/T$72))*T94)</f>
        <v>0</v>
      </c>
      <c r="BY94" s="2139">
        <f>IF(U94&lt;=0,0,(Risk_Compensation!V100/U94-Risk_Compensation!V$79/U$72-0.5*DC$167*(U139/U94-DC$135/U$72))*U94)</f>
        <v>0</v>
      </c>
      <c r="BZ94" s="2139">
        <f>IF(V94&lt;=0,0,(Risk_Compensation!W100/V94-Risk_Compensation!W$79/V$72-0.5*DD$167*(V139/V94-DD$135/V$72))*V94)</f>
        <v>0</v>
      </c>
      <c r="CA94" s="2139">
        <f>IF(W94&lt;=0,0,(Risk_Compensation!X100/W94-Risk_Compensation!X$79/W$72-0.5*DE$167*(W139/W94-DE$135/W$72))*W94)</f>
        <v>0</v>
      </c>
      <c r="CB94" s="2139">
        <f>IF(X94&lt;=0,0,(Risk_Compensation!Y100/X94-Risk_Compensation!Y$79/X$72-0.5*DF$167*(X139/X94-DF$135/X$72))*X94)</f>
        <v>0</v>
      </c>
      <c r="CC94" s="2139">
        <f>IF(Y94&lt;=0,0,(Risk_Compensation!Z100/Y94-Risk_Compensation!Z$79/Y$72-0.5*DG$167*(Y139/Y94-DG$135/Y$72))*Y94)</f>
        <v>0</v>
      </c>
      <c r="CD94" s="2139">
        <f>IF(Z94&lt;=0,0,(Risk_Compensation!AA100/Z94-Risk_Compensation!AA$79/Z$72-0.5*DH$167*(Z139/Z94-DH$135/Z$72))*Z94)</f>
        <v>0</v>
      </c>
      <c r="CE94" s="2139">
        <f>IF(AA94&lt;=0,0,(Risk_Compensation!AB100/AA94-Risk_Compensation!AB$79/AA$72-0.5*DI$167*(AA139/AA94-DI$135/AA$72))*AA94)</f>
        <v>0</v>
      </c>
      <c r="CF94" s="2139">
        <f>IF(AB94&lt;=0,0,(Risk_Compensation!AC100/AB94-Risk_Compensation!AC$79/AB$72-0.5*DJ$167*(AB139/AB94-DJ$135/AB$72))*AB94)</f>
        <v>0</v>
      </c>
      <c r="CG94" s="2139">
        <f>IF(AC94&lt;=0,0,(Risk_Compensation!AD100/AC94-Risk_Compensation!AD$79/AC$72-0.5*DK$167*(AC139/AC94-DK$135/AC$72))*AC94)</f>
        <v>0</v>
      </c>
      <c r="CH94" s="2139">
        <f>IF(AD94&lt;=0,0,(Risk_Compensation!AE100/AD94-Risk_Compensation!AE$79/AD$72-0.5*DL$167*(AD139/AD94-DL$135/AD$72))*AD94)</f>
        <v>0</v>
      </c>
      <c r="CI94" s="2139">
        <f>IF(AE94&lt;=0,0,(Risk_Compensation!AF100/AE94-Risk_Compensation!AF$79/AE$72-0.5*DM$167*(AE139/AE94-DM$135/AE$72))*AE94)</f>
        <v>0</v>
      </c>
      <c r="CJ94" s="2140">
        <f>IF(AF94&lt;=0,0,(Risk_Compensation!AG100/AF94-Risk_Compensation!AG$79/AF$72-0.5*DN$167*(AF139/AF94-DN$135/AF$72))*AF94)</f>
        <v>0</v>
      </c>
      <c r="CL94" s="2144"/>
      <c r="CN94" s="2078">
        <f>IF(G94&gt;0,$DP94^2*(BK94*Risk_Compensation!$AK100*12/1000000)^2/G94,0)</f>
        <v>0</v>
      </c>
      <c r="CO94" s="2079">
        <f>IF(H94&gt;0,$DP94^2*(BL94*Risk_Compensation!$AK100*12/1000000)^2/H94,0)</f>
        <v>0</v>
      </c>
      <c r="CP94" s="2079">
        <f>IF(I94&gt;0,$DP94^2*(BM94*Risk_Compensation!$AK100*12/1000000)^2/I94,0)</f>
        <v>0</v>
      </c>
      <c r="CQ94" s="2079">
        <f>IF(J94&gt;0,$DP94^2*(BN94*Risk_Compensation!$AK100*12/1000000)^2/J94,0)</f>
        <v>0</v>
      </c>
      <c r="CR94" s="2079">
        <f>IF(K94&gt;0,$DP94^2*(BO94*Risk_Compensation!$AK100*12/1000000)^2/K94,0)</f>
        <v>0</v>
      </c>
      <c r="CS94" s="2079">
        <f>IF(L94&gt;0,$DP94^2*(BP94*Risk_Compensation!$AK100*12/1000000)^2/L94,0)</f>
        <v>0</v>
      </c>
      <c r="CT94" s="2079">
        <f>IF(M94&gt;0,$DP94^2*(BQ94*Risk_Compensation!$AK100*12/1000000)^2/M94,0)</f>
        <v>0</v>
      </c>
      <c r="CU94" s="2079">
        <f>IF(N94&gt;0,$DP94^2*(BR94*Risk_Compensation!$AK100*12/1000000)^2/N94,0)</f>
        <v>0</v>
      </c>
      <c r="CV94" s="2079">
        <f>IF(O94&gt;0,$DP94^2*(BS94*Risk_Compensation!$AK100*12/1000000)^2/O94,0)</f>
        <v>0</v>
      </c>
      <c r="CW94" s="2079">
        <f>IF(P94&gt;0,$DP94^2*(BT94*Risk_Compensation!$AK100*12/1000000)^2/P94,0)</f>
        <v>0</v>
      </c>
      <c r="CX94" s="2079">
        <f>IF(Q94&gt;0,$DP94^2*(BU94*Risk_Compensation!$AK100*12/1000000)^2/Q94,0)</f>
        <v>0</v>
      </c>
      <c r="CY94" s="2079">
        <f>IF(R94&gt;0,$DP94^2*(BV94*Risk_Compensation!$AK100*12/1000000)^2/R94,0)</f>
        <v>0</v>
      </c>
      <c r="CZ94" s="2079">
        <f>IF(S94&gt;0,$DP94^2*(BW94*Risk_Compensation!$AK100*12/1000000)^2/S94,0)</f>
        <v>0</v>
      </c>
      <c r="DA94" s="2079">
        <f>IF(T94&gt;0,$DP94^2*(BX94*Risk_Compensation!$AK100*12/1000000)^2/T94,0)</f>
        <v>0</v>
      </c>
      <c r="DB94" s="2079">
        <f>IF(U94&gt;0,$DP94^2*(BY94*Risk_Compensation!$AK100*12/1000000)^2/U94,0)</f>
        <v>0</v>
      </c>
      <c r="DC94" s="2079">
        <f>IF(V94&gt;0,$DP94^2*(BZ94*Risk_Compensation!$AK100*12/1000000)^2/V94,0)</f>
        <v>0</v>
      </c>
      <c r="DD94" s="2079">
        <f>IF(W94&gt;0,$DP94^2*(CA94*Risk_Compensation!$AK100*12/1000000)^2/W94,0)</f>
        <v>0</v>
      </c>
      <c r="DE94" s="2079">
        <f>IF(X94&gt;0,$DP94^2*(CB94*Risk_Compensation!$AK100*12/1000000)^2/X94,0)</f>
        <v>0</v>
      </c>
      <c r="DF94" s="2079">
        <f>IF(Y94&gt;0,$DP94^2*(CC94*Risk_Compensation!$AK100*12/1000000)^2/Y94,0)</f>
        <v>0</v>
      </c>
      <c r="DG94" s="2079">
        <f>IF(Z94&gt;0,$DP94^2*(CD94*Risk_Compensation!$AK100*12/1000000)^2/Z94,0)</f>
        <v>0</v>
      </c>
      <c r="DH94" s="2079">
        <f>IF(AA94&gt;0,$DP94^2*(CE94*Risk_Compensation!$AK100*12/1000000)^2/AA94,0)</f>
        <v>0</v>
      </c>
      <c r="DI94" s="2079">
        <f>IF(AB94&gt;0,$DP94^2*(CF94*Risk_Compensation!$AK100*12/1000000)^2/AB94,0)</f>
        <v>0</v>
      </c>
      <c r="DJ94" s="2079">
        <f>IF(AC94&gt;0,$DP94^2*(CG94*Risk_Compensation!$AK100*12/1000000)^2/AC94,0)</f>
        <v>0</v>
      </c>
      <c r="DK94" s="2079">
        <f>IF(AD94&gt;0,$DP94^2*(CH94*Risk_Compensation!$AK100*12/1000000)^2/AD94,0)</f>
        <v>0</v>
      </c>
      <c r="DL94" s="2079">
        <f>IF(AE94&gt;0,$DP94^2*(CI94*Risk_Compensation!$AK100*12/1000000)^2/AE94,0)</f>
        <v>0</v>
      </c>
      <c r="DM94" s="2080">
        <f>IF(AF94&gt;0,$DP94^2*(CJ94*Risk_Compensation!$AK100*12/1000000)^2/AF94,0)</f>
        <v>0</v>
      </c>
      <c r="DO94" s="1823"/>
      <c r="DP94" s="2219">
        <v>1.7534030566390599</v>
      </c>
      <c r="DR94" s="1428" t="s">
        <v>2370</v>
      </c>
      <c r="DS94" s="1426" t="str">
        <f>Translation!B$597</f>
        <v>Hohes Cholesterin</v>
      </c>
      <c r="DU94" s="2159"/>
      <c r="DV94" s="1428"/>
      <c r="DW94" s="2159"/>
      <c r="DX94" s="2159"/>
      <c r="DY94" s="2217"/>
      <c r="DZ94" s="2159"/>
      <c r="EA94" s="2159"/>
      <c r="EB94" s="2159"/>
      <c r="EC94" s="2159"/>
      <c r="ED94" s="2159"/>
      <c r="EE94" s="2159"/>
      <c r="EF94" s="2159"/>
      <c r="EG94" s="2159"/>
      <c r="EH94" s="2159"/>
      <c r="EI94" s="2159"/>
      <c r="EJ94" s="2159"/>
    </row>
    <row r="95" spans="3:140" x14ac:dyDescent="0.2">
      <c r="C95" s="1428" t="s">
        <v>2372</v>
      </c>
      <c r="D95" s="1426" t="str">
        <f>Translation!B$598</f>
        <v>HIV / AIDS</v>
      </c>
      <c r="F95" s="1437"/>
      <c r="G95" s="2211">
        <v>771.04083333333301</v>
      </c>
      <c r="H95" s="2212">
        <v>7.75</v>
      </c>
      <c r="I95" s="2212">
        <v>43.4166666666667</v>
      </c>
      <c r="J95" s="2212">
        <v>1376.30833333333</v>
      </c>
      <c r="K95" s="2212">
        <v>369.84416666666698</v>
      </c>
      <c r="L95" s="2212">
        <v>524.40250000000003</v>
      </c>
      <c r="M95" s="2212">
        <v>427.51416666666699</v>
      </c>
      <c r="N95" s="2212">
        <v>1533.9783333333301</v>
      </c>
      <c r="O95" s="2212">
        <v>56.706666666666699</v>
      </c>
      <c r="P95" s="2212">
        <v>179.19749999999999</v>
      </c>
      <c r="Q95" s="2212">
        <v>100.5</v>
      </c>
      <c r="R95" s="2212">
        <v>415.425833333333</v>
      </c>
      <c r="S95" s="2212">
        <v>268.08666666666699</v>
      </c>
      <c r="T95" s="2212">
        <v>43.6666666666667</v>
      </c>
      <c r="U95" s="2212">
        <v>32.4166666666667</v>
      </c>
      <c r="V95" s="2212">
        <v>477.86666666666702</v>
      </c>
      <c r="W95" s="2212">
        <v>110.98</v>
      </c>
      <c r="X95" s="2212">
        <v>351.78333333333302</v>
      </c>
      <c r="Y95" s="2212">
        <v>176.75</v>
      </c>
      <c r="Z95" s="2212">
        <v>245.08</v>
      </c>
      <c r="AA95" s="2212">
        <v>612.10166666666703</v>
      </c>
      <c r="AB95" s="2212">
        <v>33.050833333333301</v>
      </c>
      <c r="AC95" s="2212">
        <v>1907.1258333333301</v>
      </c>
      <c r="AD95" s="2212">
        <v>432.23583333333301</v>
      </c>
      <c r="AE95" s="2212">
        <v>148.67083333333301</v>
      </c>
      <c r="AF95" s="2213">
        <v>3986.7925</v>
      </c>
      <c r="AI95" s="2078">
        <f>Risk_Compensation!H101*Risk_Compensation!$AK101*12/1000000</f>
        <v>0</v>
      </c>
      <c r="AJ95" s="2079">
        <f>Risk_Compensation!I101*Risk_Compensation!$AK101*12/1000000</f>
        <v>0</v>
      </c>
      <c r="AK95" s="2079">
        <f>Risk_Compensation!J101*Risk_Compensation!$AK101*12/1000000</f>
        <v>0</v>
      </c>
      <c r="AL95" s="2079">
        <f>Risk_Compensation!K101*Risk_Compensation!$AK101*12/1000000</f>
        <v>0</v>
      </c>
      <c r="AM95" s="2079">
        <f>Risk_Compensation!L101*Risk_Compensation!$AK101*12/1000000</f>
        <v>0</v>
      </c>
      <c r="AN95" s="2079">
        <f>Risk_Compensation!M101*Risk_Compensation!$AK101*12/1000000</f>
        <v>0</v>
      </c>
      <c r="AO95" s="2079">
        <f>Risk_Compensation!N101*Risk_Compensation!$AK101*12/1000000</f>
        <v>0</v>
      </c>
      <c r="AP95" s="2079">
        <f>Risk_Compensation!O101*Risk_Compensation!$AK101*12/1000000</f>
        <v>0</v>
      </c>
      <c r="AQ95" s="2079">
        <f>Risk_Compensation!P101*Risk_Compensation!$AK101*12/1000000</f>
        <v>0</v>
      </c>
      <c r="AR95" s="2079">
        <f>Risk_Compensation!Q101*Risk_Compensation!$AK101*12/1000000</f>
        <v>0</v>
      </c>
      <c r="AS95" s="2079">
        <f>Risk_Compensation!R101*Risk_Compensation!$AK101*12/1000000</f>
        <v>0</v>
      </c>
      <c r="AT95" s="2079">
        <f>Risk_Compensation!S101*Risk_Compensation!$AK101*12/1000000</f>
        <v>0</v>
      </c>
      <c r="AU95" s="2079">
        <f>Risk_Compensation!T101*Risk_Compensation!$AK101*12/1000000</f>
        <v>0</v>
      </c>
      <c r="AV95" s="2079">
        <f>Risk_Compensation!U101*Risk_Compensation!$AK101*12/1000000</f>
        <v>0</v>
      </c>
      <c r="AW95" s="2079">
        <f>Risk_Compensation!V101*Risk_Compensation!$AK101*12/1000000</f>
        <v>0</v>
      </c>
      <c r="AX95" s="2079">
        <f>Risk_Compensation!W101*Risk_Compensation!$AK101*12/1000000</f>
        <v>0</v>
      </c>
      <c r="AY95" s="2079">
        <f>Risk_Compensation!X101*Risk_Compensation!$AK101*12/1000000</f>
        <v>0</v>
      </c>
      <c r="AZ95" s="2079">
        <f>Risk_Compensation!Y101*Risk_Compensation!$AK101*12/1000000</f>
        <v>0</v>
      </c>
      <c r="BA95" s="2079">
        <f>Risk_Compensation!Z101*Risk_Compensation!$AK101*12/1000000</f>
        <v>0</v>
      </c>
      <c r="BB95" s="2079">
        <f>Risk_Compensation!AA101*Risk_Compensation!$AK101*12/1000000</f>
        <v>0</v>
      </c>
      <c r="BC95" s="2079">
        <f>Risk_Compensation!AB101*Risk_Compensation!$AK101*12/1000000</f>
        <v>0</v>
      </c>
      <c r="BD95" s="2079">
        <f>Risk_Compensation!AC101*Risk_Compensation!$AK101*12/1000000</f>
        <v>0</v>
      </c>
      <c r="BE95" s="2079">
        <f>Risk_Compensation!AD101*Risk_Compensation!$AK101*12/1000000</f>
        <v>0</v>
      </c>
      <c r="BF95" s="2079">
        <f>Risk_Compensation!AE101*Risk_Compensation!$AK101*12/1000000</f>
        <v>0</v>
      </c>
      <c r="BG95" s="2079">
        <f>Risk_Compensation!AF101*Risk_Compensation!$AK101*12/1000000</f>
        <v>0</v>
      </c>
      <c r="BH95" s="2080">
        <f>Risk_Compensation!AG101*Risk_Compensation!$AK101*12/1000000</f>
        <v>0</v>
      </c>
      <c r="BK95" s="2138">
        <f>IF(G95&lt;=0,0,(Risk_Compensation!H101/G95-Risk_Compensation!H$79/G$72-0.5*CO$167*(G140/G95-CO$135/G$72))*G95)</f>
        <v>0</v>
      </c>
      <c r="BL95" s="2139">
        <f>IF(H95&lt;=0,0,(Risk_Compensation!I101/H95-Risk_Compensation!I$79/H$72-0.5*CP$167*(H140/H95-CP$135/H$72))*H95)</f>
        <v>0</v>
      </c>
      <c r="BM95" s="2139">
        <f>IF(I95&lt;=0,0,(Risk_Compensation!J101/I95-Risk_Compensation!J$79/I$72-0.5*CQ$167*(I140/I95-CQ$135/I$72))*I95)</f>
        <v>0</v>
      </c>
      <c r="BN95" s="2139">
        <f>IF(J95&lt;=0,0,(Risk_Compensation!K101/J95-Risk_Compensation!K$79/J$72-0.5*CR$167*(J140/J95-CR$135/J$72))*J95)</f>
        <v>0</v>
      </c>
      <c r="BO95" s="2139">
        <f>IF(K95&lt;=0,0,(Risk_Compensation!L101/K95-Risk_Compensation!L$79/K$72-0.5*CS$167*(K140/K95-CS$135/K$72))*K95)</f>
        <v>0</v>
      </c>
      <c r="BP95" s="2139">
        <f>IF(L95&lt;=0,0,(Risk_Compensation!M101/L95-Risk_Compensation!M$79/L$72-0.5*CT$167*(L140/L95-CT$135/L$72))*L95)</f>
        <v>0</v>
      </c>
      <c r="BQ95" s="2139">
        <f>IF(M95&lt;=0,0,(Risk_Compensation!N101/M95-Risk_Compensation!N$79/M$72-0.5*CU$167*(M140/M95-CU$135/M$72))*M95)</f>
        <v>0</v>
      </c>
      <c r="BR95" s="2139">
        <f>IF(N95&lt;=0,0,(Risk_Compensation!O101/N95-Risk_Compensation!O$79/N$72-0.5*CV$167*(N140/N95-CV$135/N$72))*N95)</f>
        <v>0</v>
      </c>
      <c r="BS95" s="2139">
        <f>IF(O95&lt;=0,0,(Risk_Compensation!P101/O95-Risk_Compensation!P$79/O$72-0.5*CW$167*(O140/O95-CW$135/O$72))*O95)</f>
        <v>0</v>
      </c>
      <c r="BT95" s="2139">
        <f>IF(P95&lt;=0,0,(Risk_Compensation!Q101/P95-Risk_Compensation!Q$79/P$72-0.5*CX$167*(P140/P95-CX$135/P$72))*P95)</f>
        <v>0</v>
      </c>
      <c r="BU95" s="2139">
        <f>IF(Q95&lt;=0,0,(Risk_Compensation!R101/Q95-Risk_Compensation!R$79/Q$72-0.5*CY$167*(Q140/Q95-CY$135/Q$72))*Q95)</f>
        <v>0</v>
      </c>
      <c r="BV95" s="2139">
        <f>IF(R95&lt;=0,0,(Risk_Compensation!S101/R95-Risk_Compensation!S$79/R$72-0.5*CZ$167*(R140/R95-CZ$135/R$72))*R95)</f>
        <v>0</v>
      </c>
      <c r="BW95" s="2139">
        <f>IF(S95&lt;=0,0,(Risk_Compensation!T101/S95-Risk_Compensation!T$79/S$72-0.5*DA$167*(S140/S95-DA$135/S$72))*S95)</f>
        <v>0</v>
      </c>
      <c r="BX95" s="2139">
        <f>IF(T95&lt;=0,0,(Risk_Compensation!U101/T95-Risk_Compensation!U$79/T$72-0.5*DB$167*(T140/T95-DB$135/T$72))*T95)</f>
        <v>0</v>
      </c>
      <c r="BY95" s="2139">
        <f>IF(U95&lt;=0,0,(Risk_Compensation!V101/U95-Risk_Compensation!V$79/U$72-0.5*DC$167*(U140/U95-DC$135/U$72))*U95)</f>
        <v>0</v>
      </c>
      <c r="BZ95" s="2139">
        <f>IF(V95&lt;=0,0,(Risk_Compensation!W101/V95-Risk_Compensation!W$79/V$72-0.5*DD$167*(V140/V95-DD$135/V$72))*V95)</f>
        <v>0</v>
      </c>
      <c r="CA95" s="2139">
        <f>IF(W95&lt;=0,0,(Risk_Compensation!X101/W95-Risk_Compensation!X$79/W$72-0.5*DE$167*(W140/W95-DE$135/W$72))*W95)</f>
        <v>0</v>
      </c>
      <c r="CB95" s="2139">
        <f>IF(X95&lt;=0,0,(Risk_Compensation!Y101/X95-Risk_Compensation!Y$79/X$72-0.5*DF$167*(X140/X95-DF$135/X$72))*X95)</f>
        <v>0</v>
      </c>
      <c r="CC95" s="2139">
        <f>IF(Y95&lt;=0,0,(Risk_Compensation!Z101/Y95-Risk_Compensation!Z$79/Y$72-0.5*DG$167*(Y140/Y95-DG$135/Y$72))*Y95)</f>
        <v>0</v>
      </c>
      <c r="CD95" s="2139">
        <f>IF(Z95&lt;=0,0,(Risk_Compensation!AA101/Z95-Risk_Compensation!AA$79/Z$72-0.5*DH$167*(Z140/Z95-DH$135/Z$72))*Z95)</f>
        <v>0</v>
      </c>
      <c r="CE95" s="2139">
        <f>IF(AA95&lt;=0,0,(Risk_Compensation!AB101/AA95-Risk_Compensation!AB$79/AA$72-0.5*DI$167*(AA140/AA95-DI$135/AA$72))*AA95)</f>
        <v>0</v>
      </c>
      <c r="CF95" s="2139">
        <f>IF(AB95&lt;=0,0,(Risk_Compensation!AC101/AB95-Risk_Compensation!AC$79/AB$72-0.5*DJ$167*(AB140/AB95-DJ$135/AB$72))*AB95)</f>
        <v>0</v>
      </c>
      <c r="CG95" s="2139">
        <f>IF(AC95&lt;=0,0,(Risk_Compensation!AD101/AC95-Risk_Compensation!AD$79/AC$72-0.5*DK$167*(AC140/AC95-DK$135/AC$72))*AC95)</f>
        <v>0</v>
      </c>
      <c r="CH95" s="2139">
        <f>IF(AD95&lt;=0,0,(Risk_Compensation!AE101/AD95-Risk_Compensation!AE$79/AD$72-0.5*DL$167*(AD140/AD95-DL$135/AD$72))*AD95)</f>
        <v>0</v>
      </c>
      <c r="CI95" s="2139">
        <f>IF(AE95&lt;=0,0,(Risk_Compensation!AF101/AE95-Risk_Compensation!AF$79/AE$72-0.5*DM$167*(AE140/AE95-DM$135/AE$72))*AE95)</f>
        <v>0</v>
      </c>
      <c r="CJ95" s="2140">
        <f>IF(AF95&lt;=0,0,(Risk_Compensation!AG101/AF95-Risk_Compensation!AG$79/AF$72-0.5*DN$167*(AF140/AF95-DN$135/AF$72))*AF95)</f>
        <v>0</v>
      </c>
      <c r="CL95" s="2144"/>
      <c r="CN95" s="2078">
        <f>IF(G95&gt;0,$DP95^2*(BK95*Risk_Compensation!$AK101*12/1000000)^2/G95,0)</f>
        <v>0</v>
      </c>
      <c r="CO95" s="2079">
        <f>IF(H95&gt;0,$DP95^2*(BL95*Risk_Compensation!$AK101*12/1000000)^2/H95,0)</f>
        <v>0</v>
      </c>
      <c r="CP95" s="2079">
        <f>IF(I95&gt;0,$DP95^2*(BM95*Risk_Compensation!$AK101*12/1000000)^2/I95,0)</f>
        <v>0</v>
      </c>
      <c r="CQ95" s="2079">
        <f>IF(J95&gt;0,$DP95^2*(BN95*Risk_Compensation!$AK101*12/1000000)^2/J95,0)</f>
        <v>0</v>
      </c>
      <c r="CR95" s="2079">
        <f>IF(K95&gt;0,$DP95^2*(BO95*Risk_Compensation!$AK101*12/1000000)^2/K95,0)</f>
        <v>0</v>
      </c>
      <c r="CS95" s="2079">
        <f>IF(L95&gt;0,$DP95^2*(BP95*Risk_Compensation!$AK101*12/1000000)^2/L95,0)</f>
        <v>0</v>
      </c>
      <c r="CT95" s="2079">
        <f>IF(M95&gt;0,$DP95^2*(BQ95*Risk_Compensation!$AK101*12/1000000)^2/M95,0)</f>
        <v>0</v>
      </c>
      <c r="CU95" s="2079">
        <f>IF(N95&gt;0,$DP95^2*(BR95*Risk_Compensation!$AK101*12/1000000)^2/N95,0)</f>
        <v>0</v>
      </c>
      <c r="CV95" s="2079">
        <f>IF(O95&gt;0,$DP95^2*(BS95*Risk_Compensation!$AK101*12/1000000)^2/O95,0)</f>
        <v>0</v>
      </c>
      <c r="CW95" s="2079">
        <f>IF(P95&gt;0,$DP95^2*(BT95*Risk_Compensation!$AK101*12/1000000)^2/P95,0)</f>
        <v>0</v>
      </c>
      <c r="CX95" s="2079">
        <f>IF(Q95&gt;0,$DP95^2*(BU95*Risk_Compensation!$AK101*12/1000000)^2/Q95,0)</f>
        <v>0</v>
      </c>
      <c r="CY95" s="2079">
        <f>IF(R95&gt;0,$DP95^2*(BV95*Risk_Compensation!$AK101*12/1000000)^2/R95,0)</f>
        <v>0</v>
      </c>
      <c r="CZ95" s="2079">
        <f>IF(S95&gt;0,$DP95^2*(BW95*Risk_Compensation!$AK101*12/1000000)^2/S95,0)</f>
        <v>0</v>
      </c>
      <c r="DA95" s="2079">
        <f>IF(T95&gt;0,$DP95^2*(BX95*Risk_Compensation!$AK101*12/1000000)^2/T95,0)</f>
        <v>0</v>
      </c>
      <c r="DB95" s="2079">
        <f>IF(U95&gt;0,$DP95^2*(BY95*Risk_Compensation!$AK101*12/1000000)^2/U95,0)</f>
        <v>0</v>
      </c>
      <c r="DC95" s="2079">
        <f>IF(V95&gt;0,$DP95^2*(BZ95*Risk_Compensation!$AK101*12/1000000)^2/V95,0)</f>
        <v>0</v>
      </c>
      <c r="DD95" s="2079">
        <f>IF(W95&gt;0,$DP95^2*(CA95*Risk_Compensation!$AK101*12/1000000)^2/W95,0)</f>
        <v>0</v>
      </c>
      <c r="DE95" s="2079">
        <f>IF(X95&gt;0,$DP95^2*(CB95*Risk_Compensation!$AK101*12/1000000)^2/X95,0)</f>
        <v>0</v>
      </c>
      <c r="DF95" s="2079">
        <f>IF(Y95&gt;0,$DP95^2*(CC95*Risk_Compensation!$AK101*12/1000000)^2/Y95,0)</f>
        <v>0</v>
      </c>
      <c r="DG95" s="2079">
        <f>IF(Z95&gt;0,$DP95^2*(CD95*Risk_Compensation!$AK101*12/1000000)^2/Z95,0)</f>
        <v>0</v>
      </c>
      <c r="DH95" s="2079">
        <f>IF(AA95&gt;0,$DP95^2*(CE95*Risk_Compensation!$AK101*12/1000000)^2/AA95,0)</f>
        <v>0</v>
      </c>
      <c r="DI95" s="2079">
        <f>IF(AB95&gt;0,$DP95^2*(CF95*Risk_Compensation!$AK101*12/1000000)^2/AB95,0)</f>
        <v>0</v>
      </c>
      <c r="DJ95" s="2079">
        <f>IF(AC95&gt;0,$DP95^2*(CG95*Risk_Compensation!$AK101*12/1000000)^2/AC95,0)</f>
        <v>0</v>
      </c>
      <c r="DK95" s="2079">
        <f>IF(AD95&gt;0,$DP95^2*(CH95*Risk_Compensation!$AK101*12/1000000)^2/AD95,0)</f>
        <v>0</v>
      </c>
      <c r="DL95" s="2079">
        <f>IF(AE95&gt;0,$DP95^2*(CI95*Risk_Compensation!$AK101*12/1000000)^2/AE95,0)</f>
        <v>0</v>
      </c>
      <c r="DM95" s="2080">
        <f>IF(AF95&gt;0,$DP95^2*(CJ95*Risk_Compensation!$AK101*12/1000000)^2/AF95,0)</f>
        <v>0</v>
      </c>
      <c r="DO95" s="1823"/>
      <c r="DP95" s="2219">
        <v>0.93894420912120302</v>
      </c>
      <c r="DR95" s="1428" t="s">
        <v>2372</v>
      </c>
      <c r="DS95" s="1426" t="str">
        <f>Translation!B$598</f>
        <v>HIV / AIDS</v>
      </c>
      <c r="DU95" s="2159"/>
      <c r="DV95" s="1428"/>
      <c r="DW95" s="2159"/>
      <c r="DX95" s="2159"/>
      <c r="DY95" s="2217"/>
      <c r="DZ95" s="2159"/>
      <c r="EA95" s="2159"/>
      <c r="EB95" s="2159"/>
      <c r="EC95" s="2159"/>
      <c r="ED95" s="2159"/>
      <c r="EE95" s="2159"/>
      <c r="EF95" s="2159"/>
      <c r="EG95" s="2159"/>
      <c r="EH95" s="2159"/>
      <c r="EI95" s="2159"/>
      <c r="EJ95" s="2159"/>
    </row>
    <row r="96" spans="3:140" x14ac:dyDescent="0.2">
      <c r="C96" s="1428" t="s">
        <v>2374</v>
      </c>
      <c r="D96" s="1426" t="str">
        <f>Translation!B$599</f>
        <v>Hormonsensitive Tumore</v>
      </c>
      <c r="F96" s="1437"/>
      <c r="G96" s="2211">
        <v>2293.4508333333301</v>
      </c>
      <c r="H96" s="2212">
        <v>58.008333333333297</v>
      </c>
      <c r="I96" s="2212">
        <v>164.89</v>
      </c>
      <c r="J96" s="2212">
        <v>3990.81833333333</v>
      </c>
      <c r="K96" s="2212">
        <v>1312.86666666667</v>
      </c>
      <c r="L96" s="2212">
        <v>781.39333333333298</v>
      </c>
      <c r="M96" s="2212">
        <v>1006.865</v>
      </c>
      <c r="N96" s="2212">
        <v>1492.66916666667</v>
      </c>
      <c r="O96" s="2212">
        <v>171.77</v>
      </c>
      <c r="P96" s="2212">
        <v>784.81500000000005</v>
      </c>
      <c r="Q96" s="2212">
        <v>307.29750000000001</v>
      </c>
      <c r="R96" s="2212">
        <v>1481.8316666666699</v>
      </c>
      <c r="S96" s="2212">
        <v>700.1875</v>
      </c>
      <c r="T96" s="2212">
        <v>154.9</v>
      </c>
      <c r="U96" s="2212">
        <v>126.12333333333299</v>
      </c>
      <c r="V96" s="2212">
        <v>1591.1824999999999</v>
      </c>
      <c r="W96" s="2212">
        <v>297.90249999999997</v>
      </c>
      <c r="X96" s="2212">
        <v>969.21749999999997</v>
      </c>
      <c r="Y96" s="2212">
        <v>617.24416666666696</v>
      </c>
      <c r="Z96" s="2212">
        <v>928.6925</v>
      </c>
      <c r="AA96" s="2212">
        <v>1722.4383333333301</v>
      </c>
      <c r="AB96" s="2212">
        <v>151.42500000000001</v>
      </c>
      <c r="AC96" s="2212">
        <v>2773.98583333333</v>
      </c>
      <c r="AD96" s="2212">
        <v>1410.9241666666701</v>
      </c>
      <c r="AE96" s="2212">
        <v>417.90583333333302</v>
      </c>
      <c r="AF96" s="2213">
        <v>5019.8774999999996</v>
      </c>
      <c r="AI96" s="2078">
        <f>Risk_Compensation!H102*Risk_Compensation!$AK102*12/1000000</f>
        <v>0</v>
      </c>
      <c r="AJ96" s="2079">
        <f>Risk_Compensation!I102*Risk_Compensation!$AK102*12/1000000</f>
        <v>0</v>
      </c>
      <c r="AK96" s="2079">
        <f>Risk_Compensation!J102*Risk_Compensation!$AK102*12/1000000</f>
        <v>0</v>
      </c>
      <c r="AL96" s="2079">
        <f>Risk_Compensation!K102*Risk_Compensation!$AK102*12/1000000</f>
        <v>0</v>
      </c>
      <c r="AM96" s="2079">
        <f>Risk_Compensation!L102*Risk_Compensation!$AK102*12/1000000</f>
        <v>0</v>
      </c>
      <c r="AN96" s="2079">
        <f>Risk_Compensation!M102*Risk_Compensation!$AK102*12/1000000</f>
        <v>0</v>
      </c>
      <c r="AO96" s="2079">
        <f>Risk_Compensation!N102*Risk_Compensation!$AK102*12/1000000</f>
        <v>0</v>
      </c>
      <c r="AP96" s="2079">
        <f>Risk_Compensation!O102*Risk_Compensation!$AK102*12/1000000</f>
        <v>0</v>
      </c>
      <c r="AQ96" s="2079">
        <f>Risk_Compensation!P102*Risk_Compensation!$AK102*12/1000000</f>
        <v>0</v>
      </c>
      <c r="AR96" s="2079">
        <f>Risk_Compensation!Q102*Risk_Compensation!$AK102*12/1000000</f>
        <v>0</v>
      </c>
      <c r="AS96" s="2079">
        <f>Risk_Compensation!R102*Risk_Compensation!$AK102*12/1000000</f>
        <v>0</v>
      </c>
      <c r="AT96" s="2079">
        <f>Risk_Compensation!S102*Risk_Compensation!$AK102*12/1000000</f>
        <v>0</v>
      </c>
      <c r="AU96" s="2079">
        <f>Risk_Compensation!T102*Risk_Compensation!$AK102*12/1000000</f>
        <v>0</v>
      </c>
      <c r="AV96" s="2079">
        <f>Risk_Compensation!U102*Risk_Compensation!$AK102*12/1000000</f>
        <v>0</v>
      </c>
      <c r="AW96" s="2079">
        <f>Risk_Compensation!V102*Risk_Compensation!$AK102*12/1000000</f>
        <v>0</v>
      </c>
      <c r="AX96" s="2079">
        <f>Risk_Compensation!W102*Risk_Compensation!$AK102*12/1000000</f>
        <v>0</v>
      </c>
      <c r="AY96" s="2079">
        <f>Risk_Compensation!X102*Risk_Compensation!$AK102*12/1000000</f>
        <v>0</v>
      </c>
      <c r="AZ96" s="2079">
        <f>Risk_Compensation!Y102*Risk_Compensation!$AK102*12/1000000</f>
        <v>0</v>
      </c>
      <c r="BA96" s="2079">
        <f>Risk_Compensation!Z102*Risk_Compensation!$AK102*12/1000000</f>
        <v>0</v>
      </c>
      <c r="BB96" s="2079">
        <f>Risk_Compensation!AA102*Risk_Compensation!$AK102*12/1000000</f>
        <v>0</v>
      </c>
      <c r="BC96" s="2079">
        <f>Risk_Compensation!AB102*Risk_Compensation!$AK102*12/1000000</f>
        <v>0</v>
      </c>
      <c r="BD96" s="2079">
        <f>Risk_Compensation!AC102*Risk_Compensation!$AK102*12/1000000</f>
        <v>0</v>
      </c>
      <c r="BE96" s="2079">
        <f>Risk_Compensation!AD102*Risk_Compensation!$AK102*12/1000000</f>
        <v>0</v>
      </c>
      <c r="BF96" s="2079">
        <f>Risk_Compensation!AE102*Risk_Compensation!$AK102*12/1000000</f>
        <v>0</v>
      </c>
      <c r="BG96" s="2079">
        <f>Risk_Compensation!AF102*Risk_Compensation!$AK102*12/1000000</f>
        <v>0</v>
      </c>
      <c r="BH96" s="2080">
        <f>Risk_Compensation!AG102*Risk_Compensation!$AK102*12/1000000</f>
        <v>0</v>
      </c>
      <c r="BK96" s="2138">
        <f>IF(G96&lt;=0,0,(Risk_Compensation!H102/G96-Risk_Compensation!H$79/G$72-0.5*CO$167*(G141/G96-CO$135/G$72))*G96)</f>
        <v>0</v>
      </c>
      <c r="BL96" s="2139">
        <f>IF(H96&lt;=0,0,(Risk_Compensation!I102/H96-Risk_Compensation!I$79/H$72-0.5*CP$167*(H141/H96-CP$135/H$72))*H96)</f>
        <v>0</v>
      </c>
      <c r="BM96" s="2139">
        <f>IF(I96&lt;=0,0,(Risk_Compensation!J102/I96-Risk_Compensation!J$79/I$72-0.5*CQ$167*(I141/I96-CQ$135/I$72))*I96)</f>
        <v>0</v>
      </c>
      <c r="BN96" s="2139">
        <f>IF(J96&lt;=0,0,(Risk_Compensation!K102/J96-Risk_Compensation!K$79/J$72-0.5*CR$167*(J141/J96-CR$135/J$72))*J96)</f>
        <v>0</v>
      </c>
      <c r="BO96" s="2139">
        <f>IF(K96&lt;=0,0,(Risk_Compensation!L102/K96-Risk_Compensation!L$79/K$72-0.5*CS$167*(K141/K96-CS$135/K$72))*K96)</f>
        <v>0</v>
      </c>
      <c r="BP96" s="2139">
        <f>IF(L96&lt;=0,0,(Risk_Compensation!M102/L96-Risk_Compensation!M$79/L$72-0.5*CT$167*(L141/L96-CT$135/L$72))*L96)</f>
        <v>0</v>
      </c>
      <c r="BQ96" s="2139">
        <f>IF(M96&lt;=0,0,(Risk_Compensation!N102/M96-Risk_Compensation!N$79/M$72-0.5*CU$167*(M141/M96-CU$135/M$72))*M96)</f>
        <v>0</v>
      </c>
      <c r="BR96" s="2139">
        <f>IF(N96&lt;=0,0,(Risk_Compensation!O102/N96-Risk_Compensation!O$79/N$72-0.5*CV$167*(N141/N96-CV$135/N$72))*N96)</f>
        <v>0</v>
      </c>
      <c r="BS96" s="2139">
        <f>IF(O96&lt;=0,0,(Risk_Compensation!P102/O96-Risk_Compensation!P$79/O$72-0.5*CW$167*(O141/O96-CW$135/O$72))*O96)</f>
        <v>0</v>
      </c>
      <c r="BT96" s="2139">
        <f>IF(P96&lt;=0,0,(Risk_Compensation!Q102/P96-Risk_Compensation!Q$79/P$72-0.5*CX$167*(P141/P96-CX$135/P$72))*P96)</f>
        <v>0</v>
      </c>
      <c r="BU96" s="2139">
        <f>IF(Q96&lt;=0,0,(Risk_Compensation!R102/Q96-Risk_Compensation!R$79/Q$72-0.5*CY$167*(Q141/Q96-CY$135/Q$72))*Q96)</f>
        <v>0</v>
      </c>
      <c r="BV96" s="2139">
        <f>IF(R96&lt;=0,0,(Risk_Compensation!S102/R96-Risk_Compensation!S$79/R$72-0.5*CZ$167*(R141/R96-CZ$135/R$72))*R96)</f>
        <v>0</v>
      </c>
      <c r="BW96" s="2139">
        <f>IF(S96&lt;=0,0,(Risk_Compensation!T102/S96-Risk_Compensation!T$79/S$72-0.5*DA$167*(S141/S96-DA$135/S$72))*S96)</f>
        <v>0</v>
      </c>
      <c r="BX96" s="2139">
        <f>IF(T96&lt;=0,0,(Risk_Compensation!U102/T96-Risk_Compensation!U$79/T$72-0.5*DB$167*(T141/T96-DB$135/T$72))*T96)</f>
        <v>0</v>
      </c>
      <c r="BY96" s="2139">
        <f>IF(U96&lt;=0,0,(Risk_Compensation!V102/U96-Risk_Compensation!V$79/U$72-0.5*DC$167*(U141/U96-DC$135/U$72))*U96)</f>
        <v>0</v>
      </c>
      <c r="BZ96" s="2139">
        <f>IF(V96&lt;=0,0,(Risk_Compensation!W102/V96-Risk_Compensation!W$79/V$72-0.5*DD$167*(V141/V96-DD$135/V$72))*V96)</f>
        <v>0</v>
      </c>
      <c r="CA96" s="2139">
        <f>IF(W96&lt;=0,0,(Risk_Compensation!X102/W96-Risk_Compensation!X$79/W$72-0.5*DE$167*(W141/W96-DE$135/W$72))*W96)</f>
        <v>0</v>
      </c>
      <c r="CB96" s="2139">
        <f>IF(X96&lt;=0,0,(Risk_Compensation!Y102/X96-Risk_Compensation!Y$79/X$72-0.5*DF$167*(X141/X96-DF$135/X$72))*X96)</f>
        <v>0</v>
      </c>
      <c r="CC96" s="2139">
        <f>IF(Y96&lt;=0,0,(Risk_Compensation!Z102/Y96-Risk_Compensation!Z$79/Y$72-0.5*DG$167*(Y141/Y96-DG$135/Y$72))*Y96)</f>
        <v>0</v>
      </c>
      <c r="CD96" s="2139">
        <f>IF(Z96&lt;=0,0,(Risk_Compensation!AA102/Z96-Risk_Compensation!AA$79/Z$72-0.5*DH$167*(Z141/Z96-DH$135/Z$72))*Z96)</f>
        <v>0</v>
      </c>
      <c r="CE96" s="2139">
        <f>IF(AA96&lt;=0,0,(Risk_Compensation!AB102/AA96-Risk_Compensation!AB$79/AA$72-0.5*DI$167*(AA141/AA96-DI$135/AA$72))*AA96)</f>
        <v>0</v>
      </c>
      <c r="CF96" s="2139">
        <f>IF(AB96&lt;=0,0,(Risk_Compensation!AC102/AB96-Risk_Compensation!AC$79/AB$72-0.5*DJ$167*(AB141/AB96-DJ$135/AB$72))*AB96)</f>
        <v>0</v>
      </c>
      <c r="CG96" s="2139">
        <f>IF(AC96&lt;=0,0,(Risk_Compensation!AD102/AC96-Risk_Compensation!AD$79/AC$72-0.5*DK$167*(AC141/AC96-DK$135/AC$72))*AC96)</f>
        <v>0</v>
      </c>
      <c r="CH96" s="2139">
        <f>IF(AD96&lt;=0,0,(Risk_Compensation!AE102/AD96-Risk_Compensation!AE$79/AD$72-0.5*DL$167*(AD141/AD96-DL$135/AD$72))*AD96)</f>
        <v>0</v>
      </c>
      <c r="CI96" s="2139">
        <f>IF(AE96&lt;=0,0,(Risk_Compensation!AF102/AE96-Risk_Compensation!AF$79/AE$72-0.5*DM$167*(AE141/AE96-DM$135/AE$72))*AE96)</f>
        <v>0</v>
      </c>
      <c r="CJ96" s="2140">
        <f>IF(AF96&lt;=0,0,(Risk_Compensation!AG102/AF96-Risk_Compensation!AG$79/AF$72-0.5*DN$167*(AF141/AF96-DN$135/AF$72))*AF96)</f>
        <v>0</v>
      </c>
      <c r="CL96" s="2144"/>
      <c r="CN96" s="2078">
        <f>IF(G96&gt;0,$DP96^2*(BK96*Risk_Compensation!$AK102*12/1000000)^2/G96,0)</f>
        <v>0</v>
      </c>
      <c r="CO96" s="2079">
        <f>IF(H96&gt;0,$DP96^2*(BL96*Risk_Compensation!$AK102*12/1000000)^2/H96,0)</f>
        <v>0</v>
      </c>
      <c r="CP96" s="2079">
        <f>IF(I96&gt;0,$DP96^2*(BM96*Risk_Compensation!$AK102*12/1000000)^2/I96,0)</f>
        <v>0</v>
      </c>
      <c r="CQ96" s="2079">
        <f>IF(J96&gt;0,$DP96^2*(BN96*Risk_Compensation!$AK102*12/1000000)^2/J96,0)</f>
        <v>0</v>
      </c>
      <c r="CR96" s="2079">
        <f>IF(K96&gt;0,$DP96^2*(BO96*Risk_Compensation!$AK102*12/1000000)^2/K96,0)</f>
        <v>0</v>
      </c>
      <c r="CS96" s="2079">
        <f>IF(L96&gt;0,$DP96^2*(BP96*Risk_Compensation!$AK102*12/1000000)^2/L96,0)</f>
        <v>0</v>
      </c>
      <c r="CT96" s="2079">
        <f>IF(M96&gt;0,$DP96^2*(BQ96*Risk_Compensation!$AK102*12/1000000)^2/M96,0)</f>
        <v>0</v>
      </c>
      <c r="CU96" s="2079">
        <f>IF(N96&gt;0,$DP96^2*(BR96*Risk_Compensation!$AK102*12/1000000)^2/N96,0)</f>
        <v>0</v>
      </c>
      <c r="CV96" s="2079">
        <f>IF(O96&gt;0,$DP96^2*(BS96*Risk_Compensation!$AK102*12/1000000)^2/O96,0)</f>
        <v>0</v>
      </c>
      <c r="CW96" s="2079">
        <f>IF(P96&gt;0,$DP96^2*(BT96*Risk_Compensation!$AK102*12/1000000)^2/P96,0)</f>
        <v>0</v>
      </c>
      <c r="CX96" s="2079">
        <f>IF(Q96&gt;0,$DP96^2*(BU96*Risk_Compensation!$AK102*12/1000000)^2/Q96,0)</f>
        <v>0</v>
      </c>
      <c r="CY96" s="2079">
        <f>IF(R96&gt;0,$DP96^2*(BV96*Risk_Compensation!$AK102*12/1000000)^2/R96,0)</f>
        <v>0</v>
      </c>
      <c r="CZ96" s="2079">
        <f>IF(S96&gt;0,$DP96^2*(BW96*Risk_Compensation!$AK102*12/1000000)^2/S96,0)</f>
        <v>0</v>
      </c>
      <c r="DA96" s="2079">
        <f>IF(T96&gt;0,$DP96^2*(BX96*Risk_Compensation!$AK102*12/1000000)^2/T96,0)</f>
        <v>0</v>
      </c>
      <c r="DB96" s="2079">
        <f>IF(U96&gt;0,$DP96^2*(BY96*Risk_Compensation!$AK102*12/1000000)^2/U96,0)</f>
        <v>0</v>
      </c>
      <c r="DC96" s="2079">
        <f>IF(V96&gt;0,$DP96^2*(BZ96*Risk_Compensation!$AK102*12/1000000)^2/V96,0)</f>
        <v>0</v>
      </c>
      <c r="DD96" s="2079">
        <f>IF(W96&gt;0,$DP96^2*(CA96*Risk_Compensation!$AK102*12/1000000)^2/W96,0)</f>
        <v>0</v>
      </c>
      <c r="DE96" s="2079">
        <f>IF(X96&gt;0,$DP96^2*(CB96*Risk_Compensation!$AK102*12/1000000)^2/X96,0)</f>
        <v>0</v>
      </c>
      <c r="DF96" s="2079">
        <f>IF(Y96&gt;0,$DP96^2*(CC96*Risk_Compensation!$AK102*12/1000000)^2/Y96,0)</f>
        <v>0</v>
      </c>
      <c r="DG96" s="2079">
        <f>IF(Z96&gt;0,$DP96^2*(CD96*Risk_Compensation!$AK102*12/1000000)^2/Z96,0)</f>
        <v>0</v>
      </c>
      <c r="DH96" s="2079">
        <f>IF(AA96&gt;0,$DP96^2*(CE96*Risk_Compensation!$AK102*12/1000000)^2/AA96,0)</f>
        <v>0</v>
      </c>
      <c r="DI96" s="2079">
        <f>IF(AB96&gt;0,$DP96^2*(CF96*Risk_Compensation!$AK102*12/1000000)^2/AB96,0)</f>
        <v>0</v>
      </c>
      <c r="DJ96" s="2079">
        <f>IF(AC96&gt;0,$DP96^2*(CG96*Risk_Compensation!$AK102*12/1000000)^2/AC96,0)</f>
        <v>0</v>
      </c>
      <c r="DK96" s="2079">
        <f>IF(AD96&gt;0,$DP96^2*(CH96*Risk_Compensation!$AK102*12/1000000)^2/AD96,0)</f>
        <v>0</v>
      </c>
      <c r="DL96" s="2079">
        <f>IF(AE96&gt;0,$DP96^2*(CI96*Risk_Compensation!$AK102*12/1000000)^2/AE96,0)</f>
        <v>0</v>
      </c>
      <c r="DM96" s="2080">
        <f>IF(AF96&gt;0,$DP96^2*(CJ96*Risk_Compensation!$AK102*12/1000000)^2/AF96,0)</f>
        <v>0</v>
      </c>
      <c r="DO96" s="1823"/>
      <c r="DP96" s="2219">
        <v>1.35350423745551</v>
      </c>
      <c r="DR96" s="1428" t="s">
        <v>2374</v>
      </c>
      <c r="DS96" s="1426" t="str">
        <f>Translation!B$599</f>
        <v>Hormonsensitive Tumore</v>
      </c>
      <c r="DU96" s="2159"/>
      <c r="DV96" s="1428"/>
      <c r="DW96" s="2159"/>
      <c r="DX96" s="2159"/>
      <c r="DY96" s="2217"/>
      <c r="DZ96" s="2159"/>
      <c r="EA96" s="2159"/>
      <c r="EB96" s="2159"/>
      <c r="EC96" s="2159"/>
      <c r="ED96" s="2159"/>
      <c r="EE96" s="2159"/>
      <c r="EF96" s="2159"/>
      <c r="EG96" s="2159"/>
      <c r="EH96" s="2159"/>
      <c r="EI96" s="2159"/>
      <c r="EJ96" s="2159"/>
    </row>
    <row r="97" spans="3:140" x14ac:dyDescent="0.2">
      <c r="C97" s="1428" t="s">
        <v>2376</v>
      </c>
      <c r="D97" s="1426" t="str">
        <f>Translation!B$600</f>
        <v>Krebs</v>
      </c>
      <c r="F97" s="1437"/>
      <c r="G97" s="2211">
        <v>44.347499999999997</v>
      </c>
      <c r="H97" s="2212">
        <v>0</v>
      </c>
      <c r="I97" s="2212">
        <v>4</v>
      </c>
      <c r="J97" s="2212">
        <v>111.935</v>
      </c>
      <c r="K97" s="2212">
        <v>15.4475</v>
      </c>
      <c r="L97" s="2212">
        <v>11</v>
      </c>
      <c r="M97" s="2212">
        <v>15.734166666666701</v>
      </c>
      <c r="N97" s="2212">
        <v>30.567499999999999</v>
      </c>
      <c r="O97" s="2212">
        <v>3</v>
      </c>
      <c r="P97" s="2212">
        <v>9.2591666666666708</v>
      </c>
      <c r="Q97" s="2212">
        <v>5</v>
      </c>
      <c r="R97" s="2212">
        <v>15.5108333333333</v>
      </c>
      <c r="S97" s="2212">
        <v>25.342500000000001</v>
      </c>
      <c r="T97" s="2212">
        <v>0</v>
      </c>
      <c r="U97" s="2212">
        <v>3.2858333333333301</v>
      </c>
      <c r="V97" s="2212">
        <v>45.968333333333298</v>
      </c>
      <c r="W97" s="2212">
        <v>9</v>
      </c>
      <c r="X97" s="2212">
        <v>20.535833333333301</v>
      </c>
      <c r="Y97" s="2212">
        <v>14.734166666666701</v>
      </c>
      <c r="Z97" s="2212">
        <v>25.4166666666667</v>
      </c>
      <c r="AA97" s="2212">
        <v>17.9091666666667</v>
      </c>
      <c r="AB97" s="2212">
        <v>5.3250000000000002</v>
      </c>
      <c r="AC97" s="2212">
        <v>41.2291666666667</v>
      </c>
      <c r="AD97" s="2212">
        <v>12.3341666666667</v>
      </c>
      <c r="AE97" s="2212">
        <v>11.672499999999999</v>
      </c>
      <c r="AF97" s="2213">
        <v>151.29833333333301</v>
      </c>
      <c r="AI97" s="2078">
        <f>Risk_Compensation!H103*Risk_Compensation!$AK103*12/1000000</f>
        <v>0</v>
      </c>
      <c r="AJ97" s="2079">
        <f>Risk_Compensation!I103*Risk_Compensation!$AK103*12/1000000</f>
        <v>0</v>
      </c>
      <c r="AK97" s="2079">
        <f>Risk_Compensation!J103*Risk_Compensation!$AK103*12/1000000</f>
        <v>0</v>
      </c>
      <c r="AL97" s="2079">
        <f>Risk_Compensation!K103*Risk_Compensation!$AK103*12/1000000</f>
        <v>0</v>
      </c>
      <c r="AM97" s="2079">
        <f>Risk_Compensation!L103*Risk_Compensation!$AK103*12/1000000</f>
        <v>0</v>
      </c>
      <c r="AN97" s="2079">
        <f>Risk_Compensation!M103*Risk_Compensation!$AK103*12/1000000</f>
        <v>0</v>
      </c>
      <c r="AO97" s="2079">
        <f>Risk_Compensation!N103*Risk_Compensation!$AK103*12/1000000</f>
        <v>0</v>
      </c>
      <c r="AP97" s="2079">
        <f>Risk_Compensation!O103*Risk_Compensation!$AK103*12/1000000</f>
        <v>0</v>
      </c>
      <c r="AQ97" s="2079">
        <f>Risk_Compensation!P103*Risk_Compensation!$AK103*12/1000000</f>
        <v>0</v>
      </c>
      <c r="AR97" s="2079">
        <f>Risk_Compensation!Q103*Risk_Compensation!$AK103*12/1000000</f>
        <v>0</v>
      </c>
      <c r="AS97" s="2079">
        <f>Risk_Compensation!R103*Risk_Compensation!$AK103*12/1000000</f>
        <v>0</v>
      </c>
      <c r="AT97" s="2079">
        <f>Risk_Compensation!S103*Risk_Compensation!$AK103*12/1000000</f>
        <v>0</v>
      </c>
      <c r="AU97" s="2079">
        <f>Risk_Compensation!T103*Risk_Compensation!$AK103*12/1000000</f>
        <v>0</v>
      </c>
      <c r="AV97" s="2079">
        <f>Risk_Compensation!U103*Risk_Compensation!$AK103*12/1000000</f>
        <v>0</v>
      </c>
      <c r="AW97" s="2079">
        <f>Risk_Compensation!V103*Risk_Compensation!$AK103*12/1000000</f>
        <v>0</v>
      </c>
      <c r="AX97" s="2079">
        <f>Risk_Compensation!W103*Risk_Compensation!$AK103*12/1000000</f>
        <v>0</v>
      </c>
      <c r="AY97" s="2079">
        <f>Risk_Compensation!X103*Risk_Compensation!$AK103*12/1000000</f>
        <v>0</v>
      </c>
      <c r="AZ97" s="2079">
        <f>Risk_Compensation!Y103*Risk_Compensation!$AK103*12/1000000</f>
        <v>0</v>
      </c>
      <c r="BA97" s="2079">
        <f>Risk_Compensation!Z103*Risk_Compensation!$AK103*12/1000000</f>
        <v>0</v>
      </c>
      <c r="BB97" s="2079">
        <f>Risk_Compensation!AA103*Risk_Compensation!$AK103*12/1000000</f>
        <v>0</v>
      </c>
      <c r="BC97" s="2079">
        <f>Risk_Compensation!AB103*Risk_Compensation!$AK103*12/1000000</f>
        <v>0</v>
      </c>
      <c r="BD97" s="2079">
        <f>Risk_Compensation!AC103*Risk_Compensation!$AK103*12/1000000</f>
        <v>0</v>
      </c>
      <c r="BE97" s="2079">
        <f>Risk_Compensation!AD103*Risk_Compensation!$AK103*12/1000000</f>
        <v>0</v>
      </c>
      <c r="BF97" s="2079">
        <f>Risk_Compensation!AE103*Risk_Compensation!$AK103*12/1000000</f>
        <v>0</v>
      </c>
      <c r="BG97" s="2079">
        <f>Risk_Compensation!AF103*Risk_Compensation!$AK103*12/1000000</f>
        <v>0</v>
      </c>
      <c r="BH97" s="2080">
        <f>Risk_Compensation!AG103*Risk_Compensation!$AK103*12/1000000</f>
        <v>0</v>
      </c>
      <c r="BK97" s="2138">
        <f>IF(G97&lt;=0,0,(Risk_Compensation!H103/G97-Risk_Compensation!H$79/G$72-0.5*CO$167*(G142/G97-CO$135/G$72))*G97)</f>
        <v>0</v>
      </c>
      <c r="BL97" s="2139">
        <f>IF(H97&lt;=0,0,(Risk_Compensation!I103/H97-Risk_Compensation!I$79/H$72-0.5*CP$167*(H142/H97-CP$135/H$72))*H97)</f>
        <v>0</v>
      </c>
      <c r="BM97" s="2139">
        <f>IF(I97&lt;=0,0,(Risk_Compensation!J103/I97-Risk_Compensation!J$79/I$72-0.5*CQ$167*(I142/I97-CQ$135/I$72))*I97)</f>
        <v>0</v>
      </c>
      <c r="BN97" s="2139">
        <f>IF(J97&lt;=0,0,(Risk_Compensation!K103/J97-Risk_Compensation!K$79/J$72-0.5*CR$167*(J142/J97-CR$135/J$72))*J97)</f>
        <v>0</v>
      </c>
      <c r="BO97" s="2139">
        <f>IF(K97&lt;=0,0,(Risk_Compensation!L103/K97-Risk_Compensation!L$79/K$72-0.5*CS$167*(K142/K97-CS$135/K$72))*K97)</f>
        <v>0</v>
      </c>
      <c r="BP97" s="2139">
        <f>IF(L97&lt;=0,0,(Risk_Compensation!M103/L97-Risk_Compensation!M$79/L$72-0.5*CT$167*(L142/L97-CT$135/L$72))*L97)</f>
        <v>0</v>
      </c>
      <c r="BQ97" s="2139">
        <f>IF(M97&lt;=0,0,(Risk_Compensation!N103/M97-Risk_Compensation!N$79/M$72-0.5*CU$167*(M142/M97-CU$135/M$72))*M97)</f>
        <v>0</v>
      </c>
      <c r="BR97" s="2139">
        <f>IF(N97&lt;=0,0,(Risk_Compensation!O103/N97-Risk_Compensation!O$79/N$72-0.5*CV$167*(N142/N97-CV$135/N$72))*N97)</f>
        <v>0</v>
      </c>
      <c r="BS97" s="2139">
        <f>IF(O97&lt;=0,0,(Risk_Compensation!P103/O97-Risk_Compensation!P$79/O$72-0.5*CW$167*(O142/O97-CW$135/O$72))*O97)</f>
        <v>0</v>
      </c>
      <c r="BT97" s="2139">
        <f>IF(P97&lt;=0,0,(Risk_Compensation!Q103/P97-Risk_Compensation!Q$79/P$72-0.5*CX$167*(P142/P97-CX$135/P$72))*P97)</f>
        <v>0</v>
      </c>
      <c r="BU97" s="2139">
        <f>IF(Q97&lt;=0,0,(Risk_Compensation!R103/Q97-Risk_Compensation!R$79/Q$72-0.5*CY$167*(Q142/Q97-CY$135/Q$72))*Q97)</f>
        <v>0</v>
      </c>
      <c r="BV97" s="2139">
        <f>IF(R97&lt;=0,0,(Risk_Compensation!S103/R97-Risk_Compensation!S$79/R$72-0.5*CZ$167*(R142/R97-CZ$135/R$72))*R97)</f>
        <v>0</v>
      </c>
      <c r="BW97" s="2139">
        <f>IF(S97&lt;=0,0,(Risk_Compensation!T103/S97-Risk_Compensation!T$79/S$72-0.5*DA$167*(S142/S97-DA$135/S$72))*S97)</f>
        <v>0</v>
      </c>
      <c r="BX97" s="2139">
        <f>IF(T97&lt;=0,0,(Risk_Compensation!U103/T97-Risk_Compensation!U$79/T$72-0.5*DB$167*(T142/T97-DB$135/T$72))*T97)</f>
        <v>0</v>
      </c>
      <c r="BY97" s="2139">
        <f>IF(U97&lt;=0,0,(Risk_Compensation!V103/U97-Risk_Compensation!V$79/U$72-0.5*DC$167*(U142/U97-DC$135/U$72))*U97)</f>
        <v>0</v>
      </c>
      <c r="BZ97" s="2139">
        <f>IF(V97&lt;=0,0,(Risk_Compensation!W103/V97-Risk_Compensation!W$79/V$72-0.5*DD$167*(V142/V97-DD$135/V$72))*V97)</f>
        <v>0</v>
      </c>
      <c r="CA97" s="2139">
        <f>IF(W97&lt;=0,0,(Risk_Compensation!X103/W97-Risk_Compensation!X$79/W$72-0.5*DE$167*(W142/W97-DE$135/W$72))*W97)</f>
        <v>0</v>
      </c>
      <c r="CB97" s="2139">
        <f>IF(X97&lt;=0,0,(Risk_Compensation!Y103/X97-Risk_Compensation!Y$79/X$72-0.5*DF$167*(X142/X97-DF$135/X$72))*X97)</f>
        <v>0</v>
      </c>
      <c r="CC97" s="2139">
        <f>IF(Y97&lt;=0,0,(Risk_Compensation!Z103/Y97-Risk_Compensation!Z$79/Y$72-0.5*DG$167*(Y142/Y97-DG$135/Y$72))*Y97)</f>
        <v>0</v>
      </c>
      <c r="CD97" s="2139">
        <f>IF(Z97&lt;=0,0,(Risk_Compensation!AA103/Z97-Risk_Compensation!AA$79/Z$72-0.5*DH$167*(Z142/Z97-DH$135/Z$72))*Z97)</f>
        <v>0</v>
      </c>
      <c r="CE97" s="2139">
        <f>IF(AA97&lt;=0,0,(Risk_Compensation!AB103/AA97-Risk_Compensation!AB$79/AA$72-0.5*DI$167*(AA142/AA97-DI$135/AA$72))*AA97)</f>
        <v>0</v>
      </c>
      <c r="CF97" s="2139">
        <f>IF(AB97&lt;=0,0,(Risk_Compensation!AC103/AB97-Risk_Compensation!AC$79/AB$72-0.5*DJ$167*(AB142/AB97-DJ$135/AB$72))*AB97)</f>
        <v>0</v>
      </c>
      <c r="CG97" s="2139">
        <f>IF(AC97&lt;=0,0,(Risk_Compensation!AD103/AC97-Risk_Compensation!AD$79/AC$72-0.5*DK$167*(AC142/AC97-DK$135/AC$72))*AC97)</f>
        <v>0</v>
      </c>
      <c r="CH97" s="2139">
        <f>IF(AD97&lt;=0,0,(Risk_Compensation!AE103/AD97-Risk_Compensation!AE$79/AD$72-0.5*DL$167*(AD142/AD97-DL$135/AD$72))*AD97)</f>
        <v>0</v>
      </c>
      <c r="CI97" s="2139">
        <f>IF(AE97&lt;=0,0,(Risk_Compensation!AF103/AE97-Risk_Compensation!AF$79/AE$72-0.5*DM$167*(AE142/AE97-DM$135/AE$72))*AE97)</f>
        <v>0</v>
      </c>
      <c r="CJ97" s="2140">
        <f>IF(AF97&lt;=0,0,(Risk_Compensation!AG103/AF97-Risk_Compensation!AG$79/AF$72-0.5*DN$167*(AF142/AF97-DN$135/AF$72))*AF97)</f>
        <v>0</v>
      </c>
      <c r="CL97" s="2144"/>
      <c r="CN97" s="2078">
        <f>IF(G97&gt;0,$DP97^2*(BK97*Risk_Compensation!$AK103*12/1000000)^2/G97,0)</f>
        <v>0</v>
      </c>
      <c r="CO97" s="2079">
        <f>IF(H97&gt;0,$DP97^2*(BL97*Risk_Compensation!$AK103*12/1000000)^2/H97,0)</f>
        <v>0</v>
      </c>
      <c r="CP97" s="2079">
        <f>IF(I97&gt;0,$DP97^2*(BM97*Risk_Compensation!$AK103*12/1000000)^2/I97,0)</f>
        <v>0</v>
      </c>
      <c r="CQ97" s="2079">
        <f>IF(J97&gt;0,$DP97^2*(BN97*Risk_Compensation!$AK103*12/1000000)^2/J97,0)</f>
        <v>0</v>
      </c>
      <c r="CR97" s="2079">
        <f>IF(K97&gt;0,$DP97^2*(BO97*Risk_Compensation!$AK103*12/1000000)^2/K97,0)</f>
        <v>0</v>
      </c>
      <c r="CS97" s="2079">
        <f>IF(L97&gt;0,$DP97^2*(BP97*Risk_Compensation!$AK103*12/1000000)^2/L97,0)</f>
        <v>0</v>
      </c>
      <c r="CT97" s="2079">
        <f>IF(M97&gt;0,$DP97^2*(BQ97*Risk_Compensation!$AK103*12/1000000)^2/M97,0)</f>
        <v>0</v>
      </c>
      <c r="CU97" s="2079">
        <f>IF(N97&gt;0,$DP97^2*(BR97*Risk_Compensation!$AK103*12/1000000)^2/N97,0)</f>
        <v>0</v>
      </c>
      <c r="CV97" s="2079">
        <f>IF(O97&gt;0,$DP97^2*(BS97*Risk_Compensation!$AK103*12/1000000)^2/O97,0)</f>
        <v>0</v>
      </c>
      <c r="CW97" s="2079">
        <f>IF(P97&gt;0,$DP97^2*(BT97*Risk_Compensation!$AK103*12/1000000)^2/P97,0)</f>
        <v>0</v>
      </c>
      <c r="CX97" s="2079">
        <f>IF(Q97&gt;0,$DP97^2*(BU97*Risk_Compensation!$AK103*12/1000000)^2/Q97,0)</f>
        <v>0</v>
      </c>
      <c r="CY97" s="2079">
        <f>IF(R97&gt;0,$DP97^2*(BV97*Risk_Compensation!$AK103*12/1000000)^2/R97,0)</f>
        <v>0</v>
      </c>
      <c r="CZ97" s="2079">
        <f>IF(S97&gt;0,$DP97^2*(BW97*Risk_Compensation!$AK103*12/1000000)^2/S97,0)</f>
        <v>0</v>
      </c>
      <c r="DA97" s="2079">
        <f>IF(T97&gt;0,$DP97^2*(BX97*Risk_Compensation!$AK103*12/1000000)^2/T97,0)</f>
        <v>0</v>
      </c>
      <c r="DB97" s="2079">
        <f>IF(U97&gt;0,$DP97^2*(BY97*Risk_Compensation!$AK103*12/1000000)^2/U97,0)</f>
        <v>0</v>
      </c>
      <c r="DC97" s="2079">
        <f>IF(V97&gt;0,$DP97^2*(BZ97*Risk_Compensation!$AK103*12/1000000)^2/V97,0)</f>
        <v>0</v>
      </c>
      <c r="DD97" s="2079">
        <f>IF(W97&gt;0,$DP97^2*(CA97*Risk_Compensation!$AK103*12/1000000)^2/W97,0)</f>
        <v>0</v>
      </c>
      <c r="DE97" s="2079">
        <f>IF(X97&gt;0,$DP97^2*(CB97*Risk_Compensation!$AK103*12/1000000)^2/X97,0)</f>
        <v>0</v>
      </c>
      <c r="DF97" s="2079">
        <f>IF(Y97&gt;0,$DP97^2*(CC97*Risk_Compensation!$AK103*12/1000000)^2/Y97,0)</f>
        <v>0</v>
      </c>
      <c r="DG97" s="2079">
        <f>IF(Z97&gt;0,$DP97^2*(CD97*Risk_Compensation!$AK103*12/1000000)^2/Z97,0)</f>
        <v>0</v>
      </c>
      <c r="DH97" s="2079">
        <f>IF(AA97&gt;0,$DP97^2*(CE97*Risk_Compensation!$AK103*12/1000000)^2/AA97,0)</f>
        <v>0</v>
      </c>
      <c r="DI97" s="2079">
        <f>IF(AB97&gt;0,$DP97^2*(CF97*Risk_Compensation!$AK103*12/1000000)^2/AB97,0)</f>
        <v>0</v>
      </c>
      <c r="DJ97" s="2079">
        <f>IF(AC97&gt;0,$DP97^2*(CG97*Risk_Compensation!$AK103*12/1000000)^2/AC97,0)</f>
        <v>0</v>
      </c>
      <c r="DK97" s="2079">
        <f>IF(AD97&gt;0,$DP97^2*(CH97*Risk_Compensation!$AK103*12/1000000)^2/AD97,0)</f>
        <v>0</v>
      </c>
      <c r="DL97" s="2079">
        <f>IF(AE97&gt;0,$DP97^2*(CI97*Risk_Compensation!$AK103*12/1000000)^2/AE97,0)</f>
        <v>0</v>
      </c>
      <c r="DM97" s="2080">
        <f>IF(AF97&gt;0,$DP97^2*(CJ97*Risk_Compensation!$AK103*12/1000000)^2/AF97,0)</f>
        <v>0</v>
      </c>
      <c r="DO97" s="1823"/>
      <c r="DP97" s="2219">
        <v>1.47414159530264</v>
      </c>
      <c r="DR97" s="1428" t="s">
        <v>2376</v>
      </c>
      <c r="DS97" s="1426" t="str">
        <f>Translation!B$600</f>
        <v>Krebs</v>
      </c>
      <c r="DU97" s="2159"/>
      <c r="DV97" s="1428"/>
      <c r="DW97" s="2159"/>
      <c r="DX97" s="2159"/>
      <c r="DY97" s="2217"/>
      <c r="DZ97" s="2159"/>
      <c r="EA97" s="2159"/>
      <c r="EB97" s="2159"/>
      <c r="EC97" s="2159"/>
      <c r="ED97" s="2159"/>
      <c r="EE97" s="2159"/>
      <c r="EF97" s="2159"/>
      <c r="EG97" s="2159"/>
      <c r="EH97" s="2159"/>
      <c r="EI97" s="2159"/>
      <c r="EJ97" s="2159"/>
    </row>
    <row r="98" spans="3:140" x14ac:dyDescent="0.2">
      <c r="C98" s="1428" t="s">
        <v>2378</v>
      </c>
      <c r="D98" s="1426" t="str">
        <f>Translation!B$601</f>
        <v>Krebs komplex</v>
      </c>
      <c r="F98" s="1437"/>
      <c r="G98" s="2211">
        <v>2950.7350000000001</v>
      </c>
      <c r="H98" s="2212">
        <v>59.679166666666703</v>
      </c>
      <c r="I98" s="2212">
        <v>254.72333333333299</v>
      </c>
      <c r="J98" s="2212">
        <v>5276.02833333333</v>
      </c>
      <c r="K98" s="2212">
        <v>1421.2283333333301</v>
      </c>
      <c r="L98" s="2212">
        <v>853.86749999999995</v>
      </c>
      <c r="M98" s="2212">
        <v>1486.575</v>
      </c>
      <c r="N98" s="2212">
        <v>2045.85916666667</v>
      </c>
      <c r="O98" s="2212">
        <v>182.04333333333301</v>
      </c>
      <c r="P98" s="2212">
        <v>919.12583333333305</v>
      </c>
      <c r="Q98" s="2212">
        <v>361.00083333333299</v>
      </c>
      <c r="R98" s="2212">
        <v>1732.1316666666701</v>
      </c>
      <c r="S98" s="2212">
        <v>976.86</v>
      </c>
      <c r="T98" s="2212">
        <v>172.10583333333301</v>
      </c>
      <c r="U98" s="2212">
        <v>153.62333333333299</v>
      </c>
      <c r="V98" s="2212">
        <v>2309.2066666666701</v>
      </c>
      <c r="W98" s="2212">
        <v>384.368333333333</v>
      </c>
      <c r="X98" s="2212">
        <v>1270.2525000000001</v>
      </c>
      <c r="Y98" s="2212">
        <v>703.79416666666702</v>
      </c>
      <c r="Z98" s="2212">
        <v>1240.845</v>
      </c>
      <c r="AA98" s="2212">
        <v>1958.9974999999999</v>
      </c>
      <c r="AB98" s="2212">
        <v>152.11666666666699</v>
      </c>
      <c r="AC98" s="2212">
        <v>4092.8991666666702</v>
      </c>
      <c r="AD98" s="2212">
        <v>1692.9466666666699</v>
      </c>
      <c r="AE98" s="2212">
        <v>535.73083333333295</v>
      </c>
      <c r="AF98" s="2213">
        <v>6142.9375</v>
      </c>
      <c r="AI98" s="2078">
        <f>Risk_Compensation!H104*Risk_Compensation!$AK104*12/1000000</f>
        <v>0</v>
      </c>
      <c r="AJ98" s="2079">
        <f>Risk_Compensation!I104*Risk_Compensation!$AK104*12/1000000</f>
        <v>0</v>
      </c>
      <c r="AK98" s="2079">
        <f>Risk_Compensation!J104*Risk_Compensation!$AK104*12/1000000</f>
        <v>0</v>
      </c>
      <c r="AL98" s="2079">
        <f>Risk_Compensation!K104*Risk_Compensation!$AK104*12/1000000</f>
        <v>0</v>
      </c>
      <c r="AM98" s="2079">
        <f>Risk_Compensation!L104*Risk_Compensation!$AK104*12/1000000</f>
        <v>0</v>
      </c>
      <c r="AN98" s="2079">
        <f>Risk_Compensation!M104*Risk_Compensation!$AK104*12/1000000</f>
        <v>0</v>
      </c>
      <c r="AO98" s="2079">
        <f>Risk_Compensation!N104*Risk_Compensation!$AK104*12/1000000</f>
        <v>0</v>
      </c>
      <c r="AP98" s="2079">
        <f>Risk_Compensation!O104*Risk_Compensation!$AK104*12/1000000</f>
        <v>0</v>
      </c>
      <c r="AQ98" s="2079">
        <f>Risk_Compensation!P104*Risk_Compensation!$AK104*12/1000000</f>
        <v>0</v>
      </c>
      <c r="AR98" s="2079">
        <f>Risk_Compensation!Q104*Risk_Compensation!$AK104*12/1000000</f>
        <v>0</v>
      </c>
      <c r="AS98" s="2079">
        <f>Risk_Compensation!R104*Risk_Compensation!$AK104*12/1000000</f>
        <v>0</v>
      </c>
      <c r="AT98" s="2079">
        <f>Risk_Compensation!S104*Risk_Compensation!$AK104*12/1000000</f>
        <v>0</v>
      </c>
      <c r="AU98" s="2079">
        <f>Risk_Compensation!T104*Risk_Compensation!$AK104*12/1000000</f>
        <v>0</v>
      </c>
      <c r="AV98" s="2079">
        <f>Risk_Compensation!U104*Risk_Compensation!$AK104*12/1000000</f>
        <v>0</v>
      </c>
      <c r="AW98" s="2079">
        <f>Risk_Compensation!V104*Risk_Compensation!$AK104*12/1000000</f>
        <v>0</v>
      </c>
      <c r="AX98" s="2079">
        <f>Risk_Compensation!W104*Risk_Compensation!$AK104*12/1000000</f>
        <v>0</v>
      </c>
      <c r="AY98" s="2079">
        <f>Risk_Compensation!X104*Risk_Compensation!$AK104*12/1000000</f>
        <v>0</v>
      </c>
      <c r="AZ98" s="2079">
        <f>Risk_Compensation!Y104*Risk_Compensation!$AK104*12/1000000</f>
        <v>0</v>
      </c>
      <c r="BA98" s="2079">
        <f>Risk_Compensation!Z104*Risk_Compensation!$AK104*12/1000000</f>
        <v>0</v>
      </c>
      <c r="BB98" s="2079">
        <f>Risk_Compensation!AA104*Risk_Compensation!$AK104*12/1000000</f>
        <v>0</v>
      </c>
      <c r="BC98" s="2079">
        <f>Risk_Compensation!AB104*Risk_Compensation!$AK104*12/1000000</f>
        <v>0</v>
      </c>
      <c r="BD98" s="2079">
        <f>Risk_Compensation!AC104*Risk_Compensation!$AK104*12/1000000</f>
        <v>0</v>
      </c>
      <c r="BE98" s="2079">
        <f>Risk_Compensation!AD104*Risk_Compensation!$AK104*12/1000000</f>
        <v>0</v>
      </c>
      <c r="BF98" s="2079">
        <f>Risk_Compensation!AE104*Risk_Compensation!$AK104*12/1000000</f>
        <v>0</v>
      </c>
      <c r="BG98" s="2079">
        <f>Risk_Compensation!AF104*Risk_Compensation!$AK104*12/1000000</f>
        <v>0</v>
      </c>
      <c r="BH98" s="2080">
        <f>Risk_Compensation!AG104*Risk_Compensation!$AK104*12/1000000</f>
        <v>0</v>
      </c>
      <c r="BK98" s="2138">
        <f>IF(G98&lt;=0,0,(Risk_Compensation!H104/G98-Risk_Compensation!H$79/G$72-0.5*CO$167*(G143/G98-CO$135/G$72))*G98)</f>
        <v>0</v>
      </c>
      <c r="BL98" s="2139">
        <f>IF(H98&lt;=0,0,(Risk_Compensation!I104/H98-Risk_Compensation!I$79/H$72-0.5*CP$167*(H143/H98-CP$135/H$72))*H98)</f>
        <v>0</v>
      </c>
      <c r="BM98" s="2139">
        <f>IF(I98&lt;=0,0,(Risk_Compensation!J104/I98-Risk_Compensation!J$79/I$72-0.5*CQ$167*(I143/I98-CQ$135/I$72))*I98)</f>
        <v>0</v>
      </c>
      <c r="BN98" s="2139">
        <f>IF(J98&lt;=0,0,(Risk_Compensation!K104/J98-Risk_Compensation!K$79/J$72-0.5*CR$167*(J143/J98-CR$135/J$72))*J98)</f>
        <v>0</v>
      </c>
      <c r="BO98" s="2139">
        <f>IF(K98&lt;=0,0,(Risk_Compensation!L104/K98-Risk_Compensation!L$79/K$72-0.5*CS$167*(K143/K98-CS$135/K$72))*K98)</f>
        <v>0</v>
      </c>
      <c r="BP98" s="2139">
        <f>IF(L98&lt;=0,0,(Risk_Compensation!M104/L98-Risk_Compensation!M$79/L$72-0.5*CT$167*(L143/L98-CT$135/L$72))*L98)</f>
        <v>0</v>
      </c>
      <c r="BQ98" s="2139">
        <f>IF(M98&lt;=0,0,(Risk_Compensation!N104/M98-Risk_Compensation!N$79/M$72-0.5*CU$167*(M143/M98-CU$135/M$72))*M98)</f>
        <v>0</v>
      </c>
      <c r="BR98" s="2139">
        <f>IF(N98&lt;=0,0,(Risk_Compensation!O104/N98-Risk_Compensation!O$79/N$72-0.5*CV$167*(N143/N98-CV$135/N$72))*N98)</f>
        <v>0</v>
      </c>
      <c r="BS98" s="2139">
        <f>IF(O98&lt;=0,0,(Risk_Compensation!P104/O98-Risk_Compensation!P$79/O$72-0.5*CW$167*(O143/O98-CW$135/O$72))*O98)</f>
        <v>0</v>
      </c>
      <c r="BT98" s="2139">
        <f>IF(P98&lt;=0,0,(Risk_Compensation!Q104/P98-Risk_Compensation!Q$79/P$72-0.5*CX$167*(P143/P98-CX$135/P$72))*P98)</f>
        <v>0</v>
      </c>
      <c r="BU98" s="2139">
        <f>IF(Q98&lt;=0,0,(Risk_Compensation!R104/Q98-Risk_Compensation!R$79/Q$72-0.5*CY$167*(Q143/Q98-CY$135/Q$72))*Q98)</f>
        <v>0</v>
      </c>
      <c r="BV98" s="2139">
        <f>IF(R98&lt;=0,0,(Risk_Compensation!S104/R98-Risk_Compensation!S$79/R$72-0.5*CZ$167*(R143/R98-CZ$135/R$72))*R98)</f>
        <v>0</v>
      </c>
      <c r="BW98" s="2139">
        <f>IF(S98&lt;=0,0,(Risk_Compensation!T104/S98-Risk_Compensation!T$79/S$72-0.5*DA$167*(S143/S98-DA$135/S$72))*S98)</f>
        <v>0</v>
      </c>
      <c r="BX98" s="2139">
        <f>IF(T98&lt;=0,0,(Risk_Compensation!U104/T98-Risk_Compensation!U$79/T$72-0.5*DB$167*(T143/T98-DB$135/T$72))*T98)</f>
        <v>0</v>
      </c>
      <c r="BY98" s="2139">
        <f>IF(U98&lt;=0,0,(Risk_Compensation!V104/U98-Risk_Compensation!V$79/U$72-0.5*DC$167*(U143/U98-DC$135/U$72))*U98)</f>
        <v>0</v>
      </c>
      <c r="BZ98" s="2139">
        <f>IF(V98&lt;=0,0,(Risk_Compensation!W104/V98-Risk_Compensation!W$79/V$72-0.5*DD$167*(V143/V98-DD$135/V$72))*V98)</f>
        <v>0</v>
      </c>
      <c r="CA98" s="2139">
        <f>IF(W98&lt;=0,0,(Risk_Compensation!X104/W98-Risk_Compensation!X$79/W$72-0.5*DE$167*(W143/W98-DE$135/W$72))*W98)</f>
        <v>0</v>
      </c>
      <c r="CB98" s="2139">
        <f>IF(X98&lt;=0,0,(Risk_Compensation!Y104/X98-Risk_Compensation!Y$79/X$72-0.5*DF$167*(X143/X98-DF$135/X$72))*X98)</f>
        <v>0</v>
      </c>
      <c r="CC98" s="2139">
        <f>IF(Y98&lt;=0,0,(Risk_Compensation!Z104/Y98-Risk_Compensation!Z$79/Y$72-0.5*DG$167*(Y143/Y98-DG$135/Y$72))*Y98)</f>
        <v>0</v>
      </c>
      <c r="CD98" s="2139">
        <f>IF(Z98&lt;=0,0,(Risk_Compensation!AA104/Z98-Risk_Compensation!AA$79/Z$72-0.5*DH$167*(Z143/Z98-DH$135/Z$72))*Z98)</f>
        <v>0</v>
      </c>
      <c r="CE98" s="2139">
        <f>IF(AA98&lt;=0,0,(Risk_Compensation!AB104/AA98-Risk_Compensation!AB$79/AA$72-0.5*DI$167*(AA143/AA98-DI$135/AA$72))*AA98)</f>
        <v>0</v>
      </c>
      <c r="CF98" s="2139">
        <f>IF(AB98&lt;=0,0,(Risk_Compensation!AC104/AB98-Risk_Compensation!AC$79/AB$72-0.5*DJ$167*(AB143/AB98-DJ$135/AB$72))*AB98)</f>
        <v>0</v>
      </c>
      <c r="CG98" s="2139">
        <f>IF(AC98&lt;=0,0,(Risk_Compensation!AD104/AC98-Risk_Compensation!AD$79/AC$72-0.5*DK$167*(AC143/AC98-DK$135/AC$72))*AC98)</f>
        <v>0</v>
      </c>
      <c r="CH98" s="2139">
        <f>IF(AD98&lt;=0,0,(Risk_Compensation!AE104/AD98-Risk_Compensation!AE$79/AD$72-0.5*DL$167*(AD143/AD98-DL$135/AD$72))*AD98)</f>
        <v>0</v>
      </c>
      <c r="CI98" s="2139">
        <f>IF(AE98&lt;=0,0,(Risk_Compensation!AF104/AE98-Risk_Compensation!AF$79/AE$72-0.5*DM$167*(AE143/AE98-DM$135/AE$72))*AE98)</f>
        <v>0</v>
      </c>
      <c r="CJ98" s="2140">
        <f>IF(AF98&lt;=0,0,(Risk_Compensation!AG104/AF98-Risk_Compensation!AG$79/AF$72-0.5*DN$167*(AF143/AF98-DN$135/AF$72))*AF98)</f>
        <v>0</v>
      </c>
      <c r="CL98" s="2144"/>
      <c r="CN98" s="2078">
        <f>IF(G98&gt;0,$DP98^2*(BK98*Risk_Compensation!$AK104*12/1000000)^2/G98,0)</f>
        <v>0</v>
      </c>
      <c r="CO98" s="2079">
        <f>IF(H98&gt;0,$DP98^2*(BL98*Risk_Compensation!$AK104*12/1000000)^2/H98,0)</f>
        <v>0</v>
      </c>
      <c r="CP98" s="2079">
        <f>IF(I98&gt;0,$DP98^2*(BM98*Risk_Compensation!$AK104*12/1000000)^2/I98,0)</f>
        <v>0</v>
      </c>
      <c r="CQ98" s="2079">
        <f>IF(J98&gt;0,$DP98^2*(BN98*Risk_Compensation!$AK104*12/1000000)^2/J98,0)</f>
        <v>0</v>
      </c>
      <c r="CR98" s="2079">
        <f>IF(K98&gt;0,$DP98^2*(BO98*Risk_Compensation!$AK104*12/1000000)^2/K98,0)</f>
        <v>0</v>
      </c>
      <c r="CS98" s="2079">
        <f>IF(L98&gt;0,$DP98^2*(BP98*Risk_Compensation!$AK104*12/1000000)^2/L98,0)</f>
        <v>0</v>
      </c>
      <c r="CT98" s="2079">
        <f>IF(M98&gt;0,$DP98^2*(BQ98*Risk_Compensation!$AK104*12/1000000)^2/M98,0)</f>
        <v>0</v>
      </c>
      <c r="CU98" s="2079">
        <f>IF(N98&gt;0,$DP98^2*(BR98*Risk_Compensation!$AK104*12/1000000)^2/N98,0)</f>
        <v>0</v>
      </c>
      <c r="CV98" s="2079">
        <f>IF(O98&gt;0,$DP98^2*(BS98*Risk_Compensation!$AK104*12/1000000)^2/O98,0)</f>
        <v>0</v>
      </c>
      <c r="CW98" s="2079">
        <f>IF(P98&gt;0,$DP98^2*(BT98*Risk_Compensation!$AK104*12/1000000)^2/P98,0)</f>
        <v>0</v>
      </c>
      <c r="CX98" s="2079">
        <f>IF(Q98&gt;0,$DP98^2*(BU98*Risk_Compensation!$AK104*12/1000000)^2/Q98,0)</f>
        <v>0</v>
      </c>
      <c r="CY98" s="2079">
        <f>IF(R98&gt;0,$DP98^2*(BV98*Risk_Compensation!$AK104*12/1000000)^2/R98,0)</f>
        <v>0</v>
      </c>
      <c r="CZ98" s="2079">
        <f>IF(S98&gt;0,$DP98^2*(BW98*Risk_Compensation!$AK104*12/1000000)^2/S98,0)</f>
        <v>0</v>
      </c>
      <c r="DA98" s="2079">
        <f>IF(T98&gt;0,$DP98^2*(BX98*Risk_Compensation!$AK104*12/1000000)^2/T98,0)</f>
        <v>0</v>
      </c>
      <c r="DB98" s="2079">
        <f>IF(U98&gt;0,$DP98^2*(BY98*Risk_Compensation!$AK104*12/1000000)^2/U98,0)</f>
        <v>0</v>
      </c>
      <c r="DC98" s="2079">
        <f>IF(V98&gt;0,$DP98^2*(BZ98*Risk_Compensation!$AK104*12/1000000)^2/V98,0)</f>
        <v>0</v>
      </c>
      <c r="DD98" s="2079">
        <f>IF(W98&gt;0,$DP98^2*(CA98*Risk_Compensation!$AK104*12/1000000)^2/W98,0)</f>
        <v>0</v>
      </c>
      <c r="DE98" s="2079">
        <f>IF(X98&gt;0,$DP98^2*(CB98*Risk_Compensation!$AK104*12/1000000)^2/X98,0)</f>
        <v>0</v>
      </c>
      <c r="DF98" s="2079">
        <f>IF(Y98&gt;0,$DP98^2*(CC98*Risk_Compensation!$AK104*12/1000000)^2/Y98,0)</f>
        <v>0</v>
      </c>
      <c r="DG98" s="2079">
        <f>IF(Z98&gt;0,$DP98^2*(CD98*Risk_Compensation!$AK104*12/1000000)^2/Z98,0)</f>
        <v>0</v>
      </c>
      <c r="DH98" s="2079">
        <f>IF(AA98&gt;0,$DP98^2*(CE98*Risk_Compensation!$AK104*12/1000000)^2/AA98,0)</f>
        <v>0</v>
      </c>
      <c r="DI98" s="2079">
        <f>IF(AB98&gt;0,$DP98^2*(CF98*Risk_Compensation!$AK104*12/1000000)^2/AB98,0)</f>
        <v>0</v>
      </c>
      <c r="DJ98" s="2079">
        <f>IF(AC98&gt;0,$DP98^2*(CG98*Risk_Compensation!$AK104*12/1000000)^2/AC98,0)</f>
        <v>0</v>
      </c>
      <c r="DK98" s="2079">
        <f>IF(AD98&gt;0,$DP98^2*(CH98*Risk_Compensation!$AK104*12/1000000)^2/AD98,0)</f>
        <v>0</v>
      </c>
      <c r="DL98" s="2079">
        <f>IF(AE98&gt;0,$DP98^2*(CI98*Risk_Compensation!$AK104*12/1000000)^2/AE98,0)</f>
        <v>0</v>
      </c>
      <c r="DM98" s="2080">
        <f>IF(AF98&gt;0,$DP98^2*(CJ98*Risk_Compensation!$AK104*12/1000000)^2/AF98,0)</f>
        <v>0</v>
      </c>
      <c r="DO98" s="1823"/>
      <c r="DP98" s="2219">
        <v>0.91390817325605</v>
      </c>
      <c r="DR98" s="1428" t="s">
        <v>2378</v>
      </c>
      <c r="DS98" s="1426" t="str">
        <f>Translation!B$601</f>
        <v>Krebs komplex</v>
      </c>
      <c r="DU98" s="2159"/>
      <c r="DV98" s="1428"/>
      <c r="DW98" s="2159"/>
      <c r="DX98" s="2159"/>
      <c r="DY98" s="2217"/>
      <c r="DZ98" s="2159"/>
      <c r="EA98" s="2159"/>
      <c r="EB98" s="2159"/>
      <c r="EC98" s="2159"/>
      <c r="ED98" s="2159"/>
      <c r="EE98" s="2159"/>
      <c r="EF98" s="2159"/>
      <c r="EG98" s="2159"/>
      <c r="EH98" s="2159"/>
      <c r="EI98" s="2159"/>
      <c r="EJ98" s="2159"/>
    </row>
    <row r="99" spans="3:140" x14ac:dyDescent="0.2">
      <c r="C99" s="1428" t="s">
        <v>2380</v>
      </c>
      <c r="D99" s="1426" t="str">
        <f>Translation!B$602</f>
        <v>Morbus Crohn / Colitis ulcerosa</v>
      </c>
      <c r="F99" s="1437"/>
      <c r="G99" s="2211">
        <v>1113.06833333333</v>
      </c>
      <c r="H99" s="2212">
        <v>23.4166666666667</v>
      </c>
      <c r="I99" s="2212">
        <v>92.309166666666698</v>
      </c>
      <c r="J99" s="2212">
        <v>1558.59</v>
      </c>
      <c r="K99" s="2212">
        <v>499.79833333333301</v>
      </c>
      <c r="L99" s="2212">
        <v>257.756666666667</v>
      </c>
      <c r="M99" s="2212">
        <v>362.47416666666697</v>
      </c>
      <c r="N99" s="2212">
        <v>559.10666666666702</v>
      </c>
      <c r="O99" s="2212">
        <v>60.3958333333333</v>
      </c>
      <c r="P99" s="2212">
        <v>353.71</v>
      </c>
      <c r="Q99" s="2212">
        <v>114.190833333333</v>
      </c>
      <c r="R99" s="2212">
        <v>602.02166666666699</v>
      </c>
      <c r="S99" s="2212">
        <v>214.14250000000001</v>
      </c>
      <c r="T99" s="2212">
        <v>41.6666666666667</v>
      </c>
      <c r="U99" s="2212">
        <v>40.822499999999998</v>
      </c>
      <c r="V99" s="2212">
        <v>772.52333333333399</v>
      </c>
      <c r="W99" s="2212">
        <v>131.435</v>
      </c>
      <c r="X99" s="2212">
        <v>483.19583333333298</v>
      </c>
      <c r="Y99" s="2212">
        <v>199.15916666666701</v>
      </c>
      <c r="Z99" s="2212">
        <v>364.18833333333299</v>
      </c>
      <c r="AA99" s="2212">
        <v>523.125</v>
      </c>
      <c r="AB99" s="2212">
        <v>40.744999999999997</v>
      </c>
      <c r="AC99" s="2212">
        <v>973.33083333333298</v>
      </c>
      <c r="AD99" s="2212">
        <v>494.76583333333298</v>
      </c>
      <c r="AE99" s="2212">
        <v>144.1</v>
      </c>
      <c r="AF99" s="2213">
        <v>2353.5166666666701</v>
      </c>
      <c r="AI99" s="2078">
        <f>Risk_Compensation!H105*Risk_Compensation!$AK105*12/1000000</f>
        <v>0</v>
      </c>
      <c r="AJ99" s="2079">
        <f>Risk_Compensation!I105*Risk_Compensation!$AK105*12/1000000</f>
        <v>0</v>
      </c>
      <c r="AK99" s="2079">
        <f>Risk_Compensation!J105*Risk_Compensation!$AK105*12/1000000</f>
        <v>0</v>
      </c>
      <c r="AL99" s="2079">
        <f>Risk_Compensation!K105*Risk_Compensation!$AK105*12/1000000</f>
        <v>0</v>
      </c>
      <c r="AM99" s="2079">
        <f>Risk_Compensation!L105*Risk_Compensation!$AK105*12/1000000</f>
        <v>0</v>
      </c>
      <c r="AN99" s="2079">
        <f>Risk_Compensation!M105*Risk_Compensation!$AK105*12/1000000</f>
        <v>0</v>
      </c>
      <c r="AO99" s="2079">
        <f>Risk_Compensation!N105*Risk_Compensation!$AK105*12/1000000</f>
        <v>0</v>
      </c>
      <c r="AP99" s="2079">
        <f>Risk_Compensation!O105*Risk_Compensation!$AK105*12/1000000</f>
        <v>0</v>
      </c>
      <c r="AQ99" s="2079">
        <f>Risk_Compensation!P105*Risk_Compensation!$AK105*12/1000000</f>
        <v>0</v>
      </c>
      <c r="AR99" s="2079">
        <f>Risk_Compensation!Q105*Risk_Compensation!$AK105*12/1000000</f>
        <v>0</v>
      </c>
      <c r="AS99" s="2079">
        <f>Risk_Compensation!R105*Risk_Compensation!$AK105*12/1000000</f>
        <v>0</v>
      </c>
      <c r="AT99" s="2079">
        <f>Risk_Compensation!S105*Risk_Compensation!$AK105*12/1000000</f>
        <v>0</v>
      </c>
      <c r="AU99" s="2079">
        <f>Risk_Compensation!T105*Risk_Compensation!$AK105*12/1000000</f>
        <v>0</v>
      </c>
      <c r="AV99" s="2079">
        <f>Risk_Compensation!U105*Risk_Compensation!$AK105*12/1000000</f>
        <v>0</v>
      </c>
      <c r="AW99" s="2079">
        <f>Risk_Compensation!V105*Risk_Compensation!$AK105*12/1000000</f>
        <v>0</v>
      </c>
      <c r="AX99" s="2079">
        <f>Risk_Compensation!W105*Risk_Compensation!$AK105*12/1000000</f>
        <v>0</v>
      </c>
      <c r="AY99" s="2079">
        <f>Risk_Compensation!X105*Risk_Compensation!$AK105*12/1000000</f>
        <v>0</v>
      </c>
      <c r="AZ99" s="2079">
        <f>Risk_Compensation!Y105*Risk_Compensation!$AK105*12/1000000</f>
        <v>0</v>
      </c>
      <c r="BA99" s="2079">
        <f>Risk_Compensation!Z105*Risk_Compensation!$AK105*12/1000000</f>
        <v>0</v>
      </c>
      <c r="BB99" s="2079">
        <f>Risk_Compensation!AA105*Risk_Compensation!$AK105*12/1000000</f>
        <v>0</v>
      </c>
      <c r="BC99" s="2079">
        <f>Risk_Compensation!AB105*Risk_Compensation!$AK105*12/1000000</f>
        <v>0</v>
      </c>
      <c r="BD99" s="2079">
        <f>Risk_Compensation!AC105*Risk_Compensation!$AK105*12/1000000</f>
        <v>0</v>
      </c>
      <c r="BE99" s="2079">
        <f>Risk_Compensation!AD105*Risk_Compensation!$AK105*12/1000000</f>
        <v>0</v>
      </c>
      <c r="BF99" s="2079">
        <f>Risk_Compensation!AE105*Risk_Compensation!$AK105*12/1000000</f>
        <v>0</v>
      </c>
      <c r="BG99" s="2079">
        <f>Risk_Compensation!AF105*Risk_Compensation!$AK105*12/1000000</f>
        <v>0</v>
      </c>
      <c r="BH99" s="2080">
        <f>Risk_Compensation!AG105*Risk_Compensation!$AK105*12/1000000</f>
        <v>0</v>
      </c>
      <c r="BK99" s="2138">
        <f>IF(G99&lt;=0,0,(Risk_Compensation!H105/G99-Risk_Compensation!H$79/G$72-0.5*CO$167*(G144/G99-CO$135/G$72))*G99)</f>
        <v>0</v>
      </c>
      <c r="BL99" s="2139">
        <f>IF(H99&lt;=0,0,(Risk_Compensation!I105/H99-Risk_Compensation!I$79/H$72-0.5*CP$167*(H144/H99-CP$135/H$72))*H99)</f>
        <v>0</v>
      </c>
      <c r="BM99" s="2139">
        <f>IF(I99&lt;=0,0,(Risk_Compensation!J105/I99-Risk_Compensation!J$79/I$72-0.5*CQ$167*(I144/I99-CQ$135/I$72))*I99)</f>
        <v>0</v>
      </c>
      <c r="BN99" s="2139">
        <f>IF(J99&lt;=0,0,(Risk_Compensation!K105/J99-Risk_Compensation!K$79/J$72-0.5*CR$167*(J144/J99-CR$135/J$72))*J99)</f>
        <v>0</v>
      </c>
      <c r="BO99" s="2139">
        <f>IF(K99&lt;=0,0,(Risk_Compensation!L105/K99-Risk_Compensation!L$79/K$72-0.5*CS$167*(K144/K99-CS$135/K$72))*K99)</f>
        <v>0</v>
      </c>
      <c r="BP99" s="2139">
        <f>IF(L99&lt;=0,0,(Risk_Compensation!M105/L99-Risk_Compensation!M$79/L$72-0.5*CT$167*(L144/L99-CT$135/L$72))*L99)</f>
        <v>0</v>
      </c>
      <c r="BQ99" s="2139">
        <f>IF(M99&lt;=0,0,(Risk_Compensation!N105/M99-Risk_Compensation!N$79/M$72-0.5*CU$167*(M144/M99-CU$135/M$72))*M99)</f>
        <v>0</v>
      </c>
      <c r="BR99" s="2139">
        <f>IF(N99&lt;=0,0,(Risk_Compensation!O105/N99-Risk_Compensation!O$79/N$72-0.5*CV$167*(N144/N99-CV$135/N$72))*N99)</f>
        <v>0</v>
      </c>
      <c r="BS99" s="2139">
        <f>IF(O99&lt;=0,0,(Risk_Compensation!P105/O99-Risk_Compensation!P$79/O$72-0.5*CW$167*(O144/O99-CW$135/O$72))*O99)</f>
        <v>0</v>
      </c>
      <c r="BT99" s="2139">
        <f>IF(P99&lt;=0,0,(Risk_Compensation!Q105/P99-Risk_Compensation!Q$79/P$72-0.5*CX$167*(P144/P99-CX$135/P$72))*P99)</f>
        <v>0</v>
      </c>
      <c r="BU99" s="2139">
        <f>IF(Q99&lt;=0,0,(Risk_Compensation!R105/Q99-Risk_Compensation!R$79/Q$72-0.5*CY$167*(Q144/Q99-CY$135/Q$72))*Q99)</f>
        <v>0</v>
      </c>
      <c r="BV99" s="2139">
        <f>IF(R99&lt;=0,0,(Risk_Compensation!S105/R99-Risk_Compensation!S$79/R$72-0.5*CZ$167*(R144/R99-CZ$135/R$72))*R99)</f>
        <v>0</v>
      </c>
      <c r="BW99" s="2139">
        <f>IF(S99&lt;=0,0,(Risk_Compensation!T105/S99-Risk_Compensation!T$79/S$72-0.5*DA$167*(S144/S99-DA$135/S$72))*S99)</f>
        <v>0</v>
      </c>
      <c r="BX99" s="2139">
        <f>IF(T99&lt;=0,0,(Risk_Compensation!U105/T99-Risk_Compensation!U$79/T$72-0.5*DB$167*(T144/T99-DB$135/T$72))*T99)</f>
        <v>0</v>
      </c>
      <c r="BY99" s="2139">
        <f>IF(U99&lt;=0,0,(Risk_Compensation!V105/U99-Risk_Compensation!V$79/U$72-0.5*DC$167*(U144/U99-DC$135/U$72))*U99)</f>
        <v>0</v>
      </c>
      <c r="BZ99" s="2139">
        <f>IF(V99&lt;=0,0,(Risk_Compensation!W105/V99-Risk_Compensation!W$79/V$72-0.5*DD$167*(V144/V99-DD$135/V$72))*V99)</f>
        <v>0</v>
      </c>
      <c r="CA99" s="2139">
        <f>IF(W99&lt;=0,0,(Risk_Compensation!X105/W99-Risk_Compensation!X$79/W$72-0.5*DE$167*(W144/W99-DE$135/W$72))*W99)</f>
        <v>0</v>
      </c>
      <c r="CB99" s="2139">
        <f>IF(X99&lt;=0,0,(Risk_Compensation!Y105/X99-Risk_Compensation!Y$79/X$72-0.5*DF$167*(X144/X99-DF$135/X$72))*X99)</f>
        <v>0</v>
      </c>
      <c r="CC99" s="2139">
        <f>IF(Y99&lt;=0,0,(Risk_Compensation!Z105/Y99-Risk_Compensation!Z$79/Y$72-0.5*DG$167*(Y144/Y99-DG$135/Y$72))*Y99)</f>
        <v>0</v>
      </c>
      <c r="CD99" s="2139">
        <f>IF(Z99&lt;=0,0,(Risk_Compensation!AA105/Z99-Risk_Compensation!AA$79/Z$72-0.5*DH$167*(Z144/Z99-DH$135/Z$72))*Z99)</f>
        <v>0</v>
      </c>
      <c r="CE99" s="2139">
        <f>IF(AA99&lt;=0,0,(Risk_Compensation!AB105/AA99-Risk_Compensation!AB$79/AA$72-0.5*DI$167*(AA144/AA99-DI$135/AA$72))*AA99)</f>
        <v>0</v>
      </c>
      <c r="CF99" s="2139">
        <f>IF(AB99&lt;=0,0,(Risk_Compensation!AC105/AB99-Risk_Compensation!AC$79/AB$72-0.5*DJ$167*(AB144/AB99-DJ$135/AB$72))*AB99)</f>
        <v>0</v>
      </c>
      <c r="CG99" s="2139">
        <f>IF(AC99&lt;=0,0,(Risk_Compensation!AD105/AC99-Risk_Compensation!AD$79/AC$72-0.5*DK$167*(AC144/AC99-DK$135/AC$72))*AC99)</f>
        <v>0</v>
      </c>
      <c r="CH99" s="2139">
        <f>IF(AD99&lt;=0,0,(Risk_Compensation!AE105/AD99-Risk_Compensation!AE$79/AD$72-0.5*DL$167*(AD144/AD99-DL$135/AD$72))*AD99)</f>
        <v>0</v>
      </c>
      <c r="CI99" s="2139">
        <f>IF(AE99&lt;=0,0,(Risk_Compensation!AF105/AE99-Risk_Compensation!AF$79/AE$72-0.5*DM$167*(AE144/AE99-DM$135/AE$72))*AE99)</f>
        <v>0</v>
      </c>
      <c r="CJ99" s="2140">
        <f>IF(AF99&lt;=0,0,(Risk_Compensation!AG105/AF99-Risk_Compensation!AG$79/AF$72-0.5*DN$167*(AF144/AF99-DN$135/AF$72))*AF99)</f>
        <v>0</v>
      </c>
      <c r="CL99" s="2144"/>
      <c r="CN99" s="2078">
        <f>IF(G99&gt;0,$DP99^2*(BK99*Risk_Compensation!$AK105*12/1000000)^2/G99,0)</f>
        <v>0</v>
      </c>
      <c r="CO99" s="2079">
        <f>IF(H99&gt;0,$DP99^2*(BL99*Risk_Compensation!$AK105*12/1000000)^2/H99,0)</f>
        <v>0</v>
      </c>
      <c r="CP99" s="2079">
        <f>IF(I99&gt;0,$DP99^2*(BM99*Risk_Compensation!$AK105*12/1000000)^2/I99,0)</f>
        <v>0</v>
      </c>
      <c r="CQ99" s="2079">
        <f>IF(J99&gt;0,$DP99^2*(BN99*Risk_Compensation!$AK105*12/1000000)^2/J99,0)</f>
        <v>0</v>
      </c>
      <c r="CR99" s="2079">
        <f>IF(K99&gt;0,$DP99^2*(BO99*Risk_Compensation!$AK105*12/1000000)^2/K99,0)</f>
        <v>0</v>
      </c>
      <c r="CS99" s="2079">
        <f>IF(L99&gt;0,$DP99^2*(BP99*Risk_Compensation!$AK105*12/1000000)^2/L99,0)</f>
        <v>0</v>
      </c>
      <c r="CT99" s="2079">
        <f>IF(M99&gt;0,$DP99^2*(BQ99*Risk_Compensation!$AK105*12/1000000)^2/M99,0)</f>
        <v>0</v>
      </c>
      <c r="CU99" s="2079">
        <f>IF(N99&gt;0,$DP99^2*(BR99*Risk_Compensation!$AK105*12/1000000)^2/N99,0)</f>
        <v>0</v>
      </c>
      <c r="CV99" s="2079">
        <f>IF(O99&gt;0,$DP99^2*(BS99*Risk_Compensation!$AK105*12/1000000)^2/O99,0)</f>
        <v>0</v>
      </c>
      <c r="CW99" s="2079">
        <f>IF(P99&gt;0,$DP99^2*(BT99*Risk_Compensation!$AK105*12/1000000)^2/P99,0)</f>
        <v>0</v>
      </c>
      <c r="CX99" s="2079">
        <f>IF(Q99&gt;0,$DP99^2*(BU99*Risk_Compensation!$AK105*12/1000000)^2/Q99,0)</f>
        <v>0</v>
      </c>
      <c r="CY99" s="2079">
        <f>IF(R99&gt;0,$DP99^2*(BV99*Risk_Compensation!$AK105*12/1000000)^2/R99,0)</f>
        <v>0</v>
      </c>
      <c r="CZ99" s="2079">
        <f>IF(S99&gt;0,$DP99^2*(BW99*Risk_Compensation!$AK105*12/1000000)^2/S99,0)</f>
        <v>0</v>
      </c>
      <c r="DA99" s="2079">
        <f>IF(T99&gt;0,$DP99^2*(BX99*Risk_Compensation!$AK105*12/1000000)^2/T99,0)</f>
        <v>0</v>
      </c>
      <c r="DB99" s="2079">
        <f>IF(U99&gt;0,$DP99^2*(BY99*Risk_Compensation!$AK105*12/1000000)^2/U99,0)</f>
        <v>0</v>
      </c>
      <c r="DC99" s="2079">
        <f>IF(V99&gt;0,$DP99^2*(BZ99*Risk_Compensation!$AK105*12/1000000)^2/V99,0)</f>
        <v>0</v>
      </c>
      <c r="DD99" s="2079">
        <f>IF(W99&gt;0,$DP99^2*(CA99*Risk_Compensation!$AK105*12/1000000)^2/W99,0)</f>
        <v>0</v>
      </c>
      <c r="DE99" s="2079">
        <f>IF(X99&gt;0,$DP99^2*(CB99*Risk_Compensation!$AK105*12/1000000)^2/X99,0)</f>
        <v>0</v>
      </c>
      <c r="DF99" s="2079">
        <f>IF(Y99&gt;0,$DP99^2*(CC99*Risk_Compensation!$AK105*12/1000000)^2/Y99,0)</f>
        <v>0</v>
      </c>
      <c r="DG99" s="2079">
        <f>IF(Z99&gt;0,$DP99^2*(CD99*Risk_Compensation!$AK105*12/1000000)^2/Z99,0)</f>
        <v>0</v>
      </c>
      <c r="DH99" s="2079">
        <f>IF(AA99&gt;0,$DP99^2*(CE99*Risk_Compensation!$AK105*12/1000000)^2/AA99,0)</f>
        <v>0</v>
      </c>
      <c r="DI99" s="2079">
        <f>IF(AB99&gt;0,$DP99^2*(CF99*Risk_Compensation!$AK105*12/1000000)^2/AB99,0)</f>
        <v>0</v>
      </c>
      <c r="DJ99" s="2079">
        <f>IF(AC99&gt;0,$DP99^2*(CG99*Risk_Compensation!$AK105*12/1000000)^2/AC99,0)</f>
        <v>0</v>
      </c>
      <c r="DK99" s="2079">
        <f>IF(AD99&gt;0,$DP99^2*(CH99*Risk_Compensation!$AK105*12/1000000)^2/AD99,0)</f>
        <v>0</v>
      </c>
      <c r="DL99" s="2079">
        <f>IF(AE99&gt;0,$DP99^2*(CI99*Risk_Compensation!$AK105*12/1000000)^2/AE99,0)</f>
        <v>0</v>
      </c>
      <c r="DM99" s="2080">
        <f>IF(AF99&gt;0,$DP99^2*(CJ99*Risk_Compensation!$AK105*12/1000000)^2/AF99,0)</f>
        <v>0</v>
      </c>
      <c r="DO99" s="1823"/>
      <c r="DP99" s="2219">
        <v>1.6634831827907799</v>
      </c>
      <c r="DR99" s="1428" t="s">
        <v>2380</v>
      </c>
      <c r="DS99" s="1426" t="str">
        <f>Translation!B$602</f>
        <v>Morbus Crohn / Colitis ulcerosa</v>
      </c>
      <c r="DU99" s="2159"/>
      <c r="DV99" s="1428"/>
      <c r="DW99" s="2159"/>
      <c r="DX99" s="2159"/>
      <c r="DY99" s="2217"/>
      <c r="DZ99" s="2159"/>
      <c r="EA99" s="2159"/>
      <c r="EB99" s="2159"/>
      <c r="EC99" s="2159"/>
      <c r="ED99" s="2159"/>
      <c r="EE99" s="2159"/>
      <c r="EF99" s="2159"/>
      <c r="EG99" s="2159"/>
      <c r="EH99" s="2159"/>
      <c r="EI99" s="2159"/>
      <c r="EJ99" s="2159"/>
    </row>
    <row r="100" spans="3:140" x14ac:dyDescent="0.2">
      <c r="C100" s="1428" t="s">
        <v>2382</v>
      </c>
      <c r="D100" s="1426" t="str">
        <f>Translation!B$603</f>
        <v>Multiple Sklerose</v>
      </c>
      <c r="F100" s="1437"/>
      <c r="G100" s="2211">
        <v>1315.0025000000001</v>
      </c>
      <c r="H100" s="2212">
        <v>21.0833333333333</v>
      </c>
      <c r="I100" s="2212">
        <v>84</v>
      </c>
      <c r="J100" s="2212">
        <v>1867.57666666667</v>
      </c>
      <c r="K100" s="2212">
        <v>531.83000000000004</v>
      </c>
      <c r="L100" s="2212">
        <v>326.1875</v>
      </c>
      <c r="M100" s="2212">
        <v>451.08583333333303</v>
      </c>
      <c r="N100" s="2212">
        <v>629.625</v>
      </c>
      <c r="O100" s="2212">
        <v>50.9166666666667</v>
      </c>
      <c r="P100" s="2212">
        <v>278.125</v>
      </c>
      <c r="Q100" s="2212">
        <v>117.48416666666699</v>
      </c>
      <c r="R100" s="2212">
        <v>653.80166666666696</v>
      </c>
      <c r="S100" s="2212">
        <v>283.07083333333298</v>
      </c>
      <c r="T100" s="2212">
        <v>68.75</v>
      </c>
      <c r="U100" s="2212">
        <v>59.5</v>
      </c>
      <c r="V100" s="2212">
        <v>751.81166666666695</v>
      </c>
      <c r="W100" s="2212">
        <v>127.583333333333</v>
      </c>
      <c r="X100" s="2212">
        <v>566.136666666667</v>
      </c>
      <c r="Y100" s="2212">
        <v>243.83250000000001</v>
      </c>
      <c r="Z100" s="2212">
        <v>410.75</v>
      </c>
      <c r="AA100" s="2212">
        <v>503.16583333333301</v>
      </c>
      <c r="AB100" s="2212">
        <v>49.9166666666667</v>
      </c>
      <c r="AC100" s="2212">
        <v>1003.48416666667</v>
      </c>
      <c r="AD100" s="2212">
        <v>434.83583333333303</v>
      </c>
      <c r="AE100" s="2212">
        <v>183.48666666666699</v>
      </c>
      <c r="AF100" s="2213">
        <v>2322.8591666666698</v>
      </c>
      <c r="AI100" s="2078">
        <f>Risk_Compensation!H106*Risk_Compensation!$AK106*12/1000000</f>
        <v>0</v>
      </c>
      <c r="AJ100" s="2079">
        <f>Risk_Compensation!I106*Risk_Compensation!$AK106*12/1000000</f>
        <v>0</v>
      </c>
      <c r="AK100" s="2079">
        <f>Risk_Compensation!J106*Risk_Compensation!$AK106*12/1000000</f>
        <v>0</v>
      </c>
      <c r="AL100" s="2079">
        <f>Risk_Compensation!K106*Risk_Compensation!$AK106*12/1000000</f>
        <v>0</v>
      </c>
      <c r="AM100" s="2079">
        <f>Risk_Compensation!L106*Risk_Compensation!$AK106*12/1000000</f>
        <v>0</v>
      </c>
      <c r="AN100" s="2079">
        <f>Risk_Compensation!M106*Risk_Compensation!$AK106*12/1000000</f>
        <v>0</v>
      </c>
      <c r="AO100" s="2079">
        <f>Risk_Compensation!N106*Risk_Compensation!$AK106*12/1000000</f>
        <v>0</v>
      </c>
      <c r="AP100" s="2079">
        <f>Risk_Compensation!O106*Risk_Compensation!$AK106*12/1000000</f>
        <v>0</v>
      </c>
      <c r="AQ100" s="2079">
        <f>Risk_Compensation!P106*Risk_Compensation!$AK106*12/1000000</f>
        <v>0</v>
      </c>
      <c r="AR100" s="2079">
        <f>Risk_Compensation!Q106*Risk_Compensation!$AK106*12/1000000</f>
        <v>0</v>
      </c>
      <c r="AS100" s="2079">
        <f>Risk_Compensation!R106*Risk_Compensation!$AK106*12/1000000</f>
        <v>0</v>
      </c>
      <c r="AT100" s="2079">
        <f>Risk_Compensation!S106*Risk_Compensation!$AK106*12/1000000</f>
        <v>0</v>
      </c>
      <c r="AU100" s="2079">
        <f>Risk_Compensation!T106*Risk_Compensation!$AK106*12/1000000</f>
        <v>0</v>
      </c>
      <c r="AV100" s="2079">
        <f>Risk_Compensation!U106*Risk_Compensation!$AK106*12/1000000</f>
        <v>0</v>
      </c>
      <c r="AW100" s="2079">
        <f>Risk_Compensation!V106*Risk_Compensation!$AK106*12/1000000</f>
        <v>0</v>
      </c>
      <c r="AX100" s="2079">
        <f>Risk_Compensation!W106*Risk_Compensation!$AK106*12/1000000</f>
        <v>0</v>
      </c>
      <c r="AY100" s="2079">
        <f>Risk_Compensation!X106*Risk_Compensation!$AK106*12/1000000</f>
        <v>0</v>
      </c>
      <c r="AZ100" s="2079">
        <f>Risk_Compensation!Y106*Risk_Compensation!$AK106*12/1000000</f>
        <v>0</v>
      </c>
      <c r="BA100" s="2079">
        <f>Risk_Compensation!Z106*Risk_Compensation!$AK106*12/1000000</f>
        <v>0</v>
      </c>
      <c r="BB100" s="2079">
        <f>Risk_Compensation!AA106*Risk_Compensation!$AK106*12/1000000</f>
        <v>0</v>
      </c>
      <c r="BC100" s="2079">
        <f>Risk_Compensation!AB106*Risk_Compensation!$AK106*12/1000000</f>
        <v>0</v>
      </c>
      <c r="BD100" s="2079">
        <f>Risk_Compensation!AC106*Risk_Compensation!$AK106*12/1000000</f>
        <v>0</v>
      </c>
      <c r="BE100" s="2079">
        <f>Risk_Compensation!AD106*Risk_Compensation!$AK106*12/1000000</f>
        <v>0</v>
      </c>
      <c r="BF100" s="2079">
        <f>Risk_Compensation!AE106*Risk_Compensation!$AK106*12/1000000</f>
        <v>0</v>
      </c>
      <c r="BG100" s="2079">
        <f>Risk_Compensation!AF106*Risk_Compensation!$AK106*12/1000000</f>
        <v>0</v>
      </c>
      <c r="BH100" s="2080">
        <f>Risk_Compensation!AG106*Risk_Compensation!$AK106*12/1000000</f>
        <v>0</v>
      </c>
      <c r="BK100" s="2138">
        <f>IF(G100&lt;=0,0,(Risk_Compensation!H106/G100-Risk_Compensation!H$79/G$72-0.5*CO$167*(G145/G100-CO$135/G$72))*G100)</f>
        <v>0</v>
      </c>
      <c r="BL100" s="2139">
        <f>IF(H100&lt;=0,0,(Risk_Compensation!I106/H100-Risk_Compensation!I$79/H$72-0.5*CP$167*(H145/H100-CP$135/H$72))*H100)</f>
        <v>0</v>
      </c>
      <c r="BM100" s="2139">
        <f>IF(I100&lt;=0,0,(Risk_Compensation!J106/I100-Risk_Compensation!J$79/I$72-0.5*CQ$167*(I145/I100-CQ$135/I$72))*I100)</f>
        <v>0</v>
      </c>
      <c r="BN100" s="2139">
        <f>IF(J100&lt;=0,0,(Risk_Compensation!K106/J100-Risk_Compensation!K$79/J$72-0.5*CR$167*(J145/J100-CR$135/J$72))*J100)</f>
        <v>0</v>
      </c>
      <c r="BO100" s="2139">
        <f>IF(K100&lt;=0,0,(Risk_Compensation!L106/K100-Risk_Compensation!L$79/K$72-0.5*CS$167*(K145/K100-CS$135/K$72))*K100)</f>
        <v>0</v>
      </c>
      <c r="BP100" s="2139">
        <f>IF(L100&lt;=0,0,(Risk_Compensation!M106/L100-Risk_Compensation!M$79/L$72-0.5*CT$167*(L145/L100-CT$135/L$72))*L100)</f>
        <v>0</v>
      </c>
      <c r="BQ100" s="2139">
        <f>IF(M100&lt;=0,0,(Risk_Compensation!N106/M100-Risk_Compensation!N$79/M$72-0.5*CU$167*(M145/M100-CU$135/M$72))*M100)</f>
        <v>0</v>
      </c>
      <c r="BR100" s="2139">
        <f>IF(N100&lt;=0,0,(Risk_Compensation!O106/N100-Risk_Compensation!O$79/N$72-0.5*CV$167*(N145/N100-CV$135/N$72))*N100)</f>
        <v>0</v>
      </c>
      <c r="BS100" s="2139">
        <f>IF(O100&lt;=0,0,(Risk_Compensation!P106/O100-Risk_Compensation!P$79/O$72-0.5*CW$167*(O145/O100-CW$135/O$72))*O100)</f>
        <v>0</v>
      </c>
      <c r="BT100" s="2139">
        <f>IF(P100&lt;=0,0,(Risk_Compensation!Q106/P100-Risk_Compensation!Q$79/P$72-0.5*CX$167*(P145/P100-CX$135/P$72))*P100)</f>
        <v>0</v>
      </c>
      <c r="BU100" s="2139">
        <f>IF(Q100&lt;=0,0,(Risk_Compensation!R106/Q100-Risk_Compensation!R$79/Q$72-0.5*CY$167*(Q145/Q100-CY$135/Q$72))*Q100)</f>
        <v>0</v>
      </c>
      <c r="BV100" s="2139">
        <f>IF(R100&lt;=0,0,(Risk_Compensation!S106/R100-Risk_Compensation!S$79/R$72-0.5*CZ$167*(R145/R100-CZ$135/R$72))*R100)</f>
        <v>0</v>
      </c>
      <c r="BW100" s="2139">
        <f>IF(S100&lt;=0,0,(Risk_Compensation!T106/S100-Risk_Compensation!T$79/S$72-0.5*DA$167*(S145/S100-DA$135/S$72))*S100)</f>
        <v>0</v>
      </c>
      <c r="BX100" s="2139">
        <f>IF(T100&lt;=0,0,(Risk_Compensation!U106/T100-Risk_Compensation!U$79/T$72-0.5*DB$167*(T145/T100-DB$135/T$72))*T100)</f>
        <v>0</v>
      </c>
      <c r="BY100" s="2139">
        <f>IF(U100&lt;=0,0,(Risk_Compensation!V106/U100-Risk_Compensation!V$79/U$72-0.5*DC$167*(U145/U100-DC$135/U$72))*U100)</f>
        <v>0</v>
      </c>
      <c r="BZ100" s="2139">
        <f>IF(V100&lt;=0,0,(Risk_Compensation!W106/V100-Risk_Compensation!W$79/V$72-0.5*DD$167*(V145/V100-DD$135/V$72))*V100)</f>
        <v>0</v>
      </c>
      <c r="CA100" s="2139">
        <f>IF(W100&lt;=0,0,(Risk_Compensation!X106/W100-Risk_Compensation!X$79/W$72-0.5*DE$167*(W145/W100-DE$135/W$72))*W100)</f>
        <v>0</v>
      </c>
      <c r="CB100" s="2139">
        <f>IF(X100&lt;=0,0,(Risk_Compensation!Y106/X100-Risk_Compensation!Y$79/X$72-0.5*DF$167*(X145/X100-DF$135/X$72))*X100)</f>
        <v>0</v>
      </c>
      <c r="CC100" s="2139">
        <f>IF(Y100&lt;=0,0,(Risk_Compensation!Z106/Y100-Risk_Compensation!Z$79/Y$72-0.5*DG$167*(Y145/Y100-DG$135/Y$72))*Y100)</f>
        <v>0</v>
      </c>
      <c r="CD100" s="2139">
        <f>IF(Z100&lt;=0,0,(Risk_Compensation!AA106/Z100-Risk_Compensation!AA$79/Z$72-0.5*DH$167*(Z145/Z100-DH$135/Z$72))*Z100)</f>
        <v>0</v>
      </c>
      <c r="CE100" s="2139">
        <f>IF(AA100&lt;=0,0,(Risk_Compensation!AB106/AA100-Risk_Compensation!AB$79/AA$72-0.5*DI$167*(AA145/AA100-DI$135/AA$72))*AA100)</f>
        <v>0</v>
      </c>
      <c r="CF100" s="2139">
        <f>IF(AB100&lt;=0,0,(Risk_Compensation!AC106/AB100-Risk_Compensation!AC$79/AB$72-0.5*DJ$167*(AB145/AB100-DJ$135/AB$72))*AB100)</f>
        <v>0</v>
      </c>
      <c r="CG100" s="2139">
        <f>IF(AC100&lt;=0,0,(Risk_Compensation!AD106/AC100-Risk_Compensation!AD$79/AC$72-0.5*DK$167*(AC145/AC100-DK$135/AC$72))*AC100)</f>
        <v>0</v>
      </c>
      <c r="CH100" s="2139">
        <f>IF(AD100&lt;=0,0,(Risk_Compensation!AE106/AD100-Risk_Compensation!AE$79/AD$72-0.5*DL$167*(AD145/AD100-DL$135/AD$72))*AD100)</f>
        <v>0</v>
      </c>
      <c r="CI100" s="2139">
        <f>IF(AE100&lt;=0,0,(Risk_Compensation!AF106/AE100-Risk_Compensation!AF$79/AE$72-0.5*DM$167*(AE145/AE100-DM$135/AE$72))*AE100)</f>
        <v>0</v>
      </c>
      <c r="CJ100" s="2140">
        <f>IF(AF100&lt;=0,0,(Risk_Compensation!AG106/AF100-Risk_Compensation!AG$79/AF$72-0.5*DN$167*(AF145/AF100-DN$135/AF$72))*AF100)</f>
        <v>0</v>
      </c>
      <c r="CL100" s="2144"/>
      <c r="CN100" s="2078">
        <f>IF(G100&gt;0,$DP100^2*(BK100*Risk_Compensation!$AK106*12/1000000)^2/G100,0)</f>
        <v>0</v>
      </c>
      <c r="CO100" s="2079">
        <f>IF(H100&gt;0,$DP100^2*(BL100*Risk_Compensation!$AK106*12/1000000)^2/H100,0)</f>
        <v>0</v>
      </c>
      <c r="CP100" s="2079">
        <f>IF(I100&gt;0,$DP100^2*(BM100*Risk_Compensation!$AK106*12/1000000)^2/I100,0)</f>
        <v>0</v>
      </c>
      <c r="CQ100" s="2079">
        <f>IF(J100&gt;0,$DP100^2*(BN100*Risk_Compensation!$AK106*12/1000000)^2/J100,0)</f>
        <v>0</v>
      </c>
      <c r="CR100" s="2079">
        <f>IF(K100&gt;0,$DP100^2*(BO100*Risk_Compensation!$AK106*12/1000000)^2/K100,0)</f>
        <v>0</v>
      </c>
      <c r="CS100" s="2079">
        <f>IF(L100&gt;0,$DP100^2*(BP100*Risk_Compensation!$AK106*12/1000000)^2/L100,0)</f>
        <v>0</v>
      </c>
      <c r="CT100" s="2079">
        <f>IF(M100&gt;0,$DP100^2*(BQ100*Risk_Compensation!$AK106*12/1000000)^2/M100,0)</f>
        <v>0</v>
      </c>
      <c r="CU100" s="2079">
        <f>IF(N100&gt;0,$DP100^2*(BR100*Risk_Compensation!$AK106*12/1000000)^2/N100,0)</f>
        <v>0</v>
      </c>
      <c r="CV100" s="2079">
        <f>IF(O100&gt;0,$DP100^2*(BS100*Risk_Compensation!$AK106*12/1000000)^2/O100,0)</f>
        <v>0</v>
      </c>
      <c r="CW100" s="2079">
        <f>IF(P100&gt;0,$DP100^2*(BT100*Risk_Compensation!$AK106*12/1000000)^2/P100,0)</f>
        <v>0</v>
      </c>
      <c r="CX100" s="2079">
        <f>IF(Q100&gt;0,$DP100^2*(BU100*Risk_Compensation!$AK106*12/1000000)^2/Q100,0)</f>
        <v>0</v>
      </c>
      <c r="CY100" s="2079">
        <f>IF(R100&gt;0,$DP100^2*(BV100*Risk_Compensation!$AK106*12/1000000)^2/R100,0)</f>
        <v>0</v>
      </c>
      <c r="CZ100" s="2079">
        <f>IF(S100&gt;0,$DP100^2*(BW100*Risk_Compensation!$AK106*12/1000000)^2/S100,0)</f>
        <v>0</v>
      </c>
      <c r="DA100" s="2079">
        <f>IF(T100&gt;0,$DP100^2*(BX100*Risk_Compensation!$AK106*12/1000000)^2/T100,0)</f>
        <v>0</v>
      </c>
      <c r="DB100" s="2079">
        <f>IF(U100&gt;0,$DP100^2*(BY100*Risk_Compensation!$AK106*12/1000000)^2/U100,0)</f>
        <v>0</v>
      </c>
      <c r="DC100" s="2079">
        <f>IF(V100&gt;0,$DP100^2*(BZ100*Risk_Compensation!$AK106*12/1000000)^2/V100,0)</f>
        <v>0</v>
      </c>
      <c r="DD100" s="2079">
        <f>IF(W100&gt;0,$DP100^2*(CA100*Risk_Compensation!$AK106*12/1000000)^2/W100,0)</f>
        <v>0</v>
      </c>
      <c r="DE100" s="2079">
        <f>IF(X100&gt;0,$DP100^2*(CB100*Risk_Compensation!$AK106*12/1000000)^2/X100,0)</f>
        <v>0</v>
      </c>
      <c r="DF100" s="2079">
        <f>IF(Y100&gt;0,$DP100^2*(CC100*Risk_Compensation!$AK106*12/1000000)^2/Y100,0)</f>
        <v>0</v>
      </c>
      <c r="DG100" s="2079">
        <f>IF(Z100&gt;0,$DP100^2*(CD100*Risk_Compensation!$AK106*12/1000000)^2/Z100,0)</f>
        <v>0</v>
      </c>
      <c r="DH100" s="2079">
        <f>IF(AA100&gt;0,$DP100^2*(CE100*Risk_Compensation!$AK106*12/1000000)^2/AA100,0)</f>
        <v>0</v>
      </c>
      <c r="DI100" s="2079">
        <f>IF(AB100&gt;0,$DP100^2*(CF100*Risk_Compensation!$AK106*12/1000000)^2/AB100,0)</f>
        <v>0</v>
      </c>
      <c r="DJ100" s="2079">
        <f>IF(AC100&gt;0,$DP100^2*(CG100*Risk_Compensation!$AK106*12/1000000)^2/AC100,0)</f>
        <v>0</v>
      </c>
      <c r="DK100" s="2079">
        <f>IF(AD100&gt;0,$DP100^2*(CH100*Risk_Compensation!$AK106*12/1000000)^2/AD100,0)</f>
        <v>0</v>
      </c>
      <c r="DL100" s="2079">
        <f>IF(AE100&gt;0,$DP100^2*(CI100*Risk_Compensation!$AK106*12/1000000)^2/AE100,0)</f>
        <v>0</v>
      </c>
      <c r="DM100" s="2080">
        <f>IF(AF100&gt;0,$DP100^2*(CJ100*Risk_Compensation!$AK106*12/1000000)^2/AF100,0)</f>
        <v>0</v>
      </c>
      <c r="DO100" s="1823"/>
      <c r="DP100" s="2219">
        <v>0.61149601734936998</v>
      </c>
      <c r="DR100" s="1428" t="s">
        <v>2382</v>
      </c>
      <c r="DS100" s="1426" t="str">
        <f>Translation!B$603</f>
        <v>Multiple Sklerose</v>
      </c>
      <c r="DU100" s="2159"/>
      <c r="DV100" s="1428"/>
      <c r="DW100" s="2159"/>
      <c r="DX100" s="2159"/>
      <c r="DY100" s="2217"/>
      <c r="DZ100" s="2159"/>
      <c r="EA100" s="2159"/>
      <c r="EB100" s="2159"/>
      <c r="EC100" s="2159"/>
      <c r="ED100" s="2159"/>
      <c r="EE100" s="2159"/>
      <c r="EF100" s="2159"/>
      <c r="EG100" s="2159"/>
      <c r="EH100" s="2159"/>
      <c r="EI100" s="2159"/>
      <c r="EJ100" s="2159"/>
    </row>
    <row r="101" spans="3:140" x14ac:dyDescent="0.2">
      <c r="C101" s="1428" t="s">
        <v>2384</v>
      </c>
      <c r="D101" s="1426" t="str">
        <f>Translation!B$604</f>
        <v>Nierenerkrankung</v>
      </c>
      <c r="F101" s="1437"/>
      <c r="G101" s="2211">
        <v>327.94083333333299</v>
      </c>
      <c r="H101" s="2212">
        <v>8.5441666666666691</v>
      </c>
      <c r="I101" s="2212">
        <v>18.7016666666667</v>
      </c>
      <c r="J101" s="2212">
        <v>637</v>
      </c>
      <c r="K101" s="2212">
        <v>136.87833333333299</v>
      </c>
      <c r="L101" s="2212">
        <v>61.015833333333298</v>
      </c>
      <c r="M101" s="2212">
        <v>153.07083333333301</v>
      </c>
      <c r="N101" s="2212">
        <v>351.89833333333303</v>
      </c>
      <c r="O101" s="2212">
        <v>18.945</v>
      </c>
      <c r="P101" s="2212">
        <v>83.454999999999998</v>
      </c>
      <c r="Q101" s="2212">
        <v>53.223333333333301</v>
      </c>
      <c r="R101" s="2212">
        <v>237.27500000000001</v>
      </c>
      <c r="S101" s="2212">
        <v>199.308333333333</v>
      </c>
      <c r="T101" s="2212">
        <v>24.308333333333302</v>
      </c>
      <c r="U101" s="2212">
        <v>22.991666666666699</v>
      </c>
      <c r="V101" s="2212">
        <v>251.875</v>
      </c>
      <c r="W101" s="2212">
        <v>68.713333333333296</v>
      </c>
      <c r="X101" s="2212">
        <v>148.416666666667</v>
      </c>
      <c r="Y101" s="2212">
        <v>92.0566666666667</v>
      </c>
      <c r="Z101" s="2212">
        <v>128.54750000000001</v>
      </c>
      <c r="AA101" s="2212">
        <v>309.97750000000002</v>
      </c>
      <c r="AB101" s="2212">
        <v>19.670000000000002</v>
      </c>
      <c r="AC101" s="2212">
        <v>556.52</v>
      </c>
      <c r="AD101" s="2212">
        <v>161.995</v>
      </c>
      <c r="AE101" s="2212">
        <v>50.978333333333303</v>
      </c>
      <c r="AF101" s="2213">
        <v>835.43833333333396</v>
      </c>
      <c r="AI101" s="2078">
        <f>Risk_Compensation!H107*Risk_Compensation!$AK107*12/1000000</f>
        <v>0</v>
      </c>
      <c r="AJ101" s="2079">
        <f>Risk_Compensation!I107*Risk_Compensation!$AK107*12/1000000</f>
        <v>0</v>
      </c>
      <c r="AK101" s="2079">
        <f>Risk_Compensation!J107*Risk_Compensation!$AK107*12/1000000</f>
        <v>0</v>
      </c>
      <c r="AL101" s="2079">
        <f>Risk_Compensation!K107*Risk_Compensation!$AK107*12/1000000</f>
        <v>0</v>
      </c>
      <c r="AM101" s="2079">
        <f>Risk_Compensation!L107*Risk_Compensation!$AK107*12/1000000</f>
        <v>0</v>
      </c>
      <c r="AN101" s="2079">
        <f>Risk_Compensation!M107*Risk_Compensation!$AK107*12/1000000</f>
        <v>0</v>
      </c>
      <c r="AO101" s="2079">
        <f>Risk_Compensation!N107*Risk_Compensation!$AK107*12/1000000</f>
        <v>0</v>
      </c>
      <c r="AP101" s="2079">
        <f>Risk_Compensation!O107*Risk_Compensation!$AK107*12/1000000</f>
        <v>0</v>
      </c>
      <c r="AQ101" s="2079">
        <f>Risk_Compensation!P107*Risk_Compensation!$AK107*12/1000000</f>
        <v>0</v>
      </c>
      <c r="AR101" s="2079">
        <f>Risk_Compensation!Q107*Risk_Compensation!$AK107*12/1000000</f>
        <v>0</v>
      </c>
      <c r="AS101" s="2079">
        <f>Risk_Compensation!R107*Risk_Compensation!$AK107*12/1000000</f>
        <v>0</v>
      </c>
      <c r="AT101" s="2079">
        <f>Risk_Compensation!S107*Risk_Compensation!$AK107*12/1000000</f>
        <v>0</v>
      </c>
      <c r="AU101" s="2079">
        <f>Risk_Compensation!T107*Risk_Compensation!$AK107*12/1000000</f>
        <v>0</v>
      </c>
      <c r="AV101" s="2079">
        <f>Risk_Compensation!U107*Risk_Compensation!$AK107*12/1000000</f>
        <v>0</v>
      </c>
      <c r="AW101" s="2079">
        <f>Risk_Compensation!V107*Risk_Compensation!$AK107*12/1000000</f>
        <v>0</v>
      </c>
      <c r="AX101" s="2079">
        <f>Risk_Compensation!W107*Risk_Compensation!$AK107*12/1000000</f>
        <v>0</v>
      </c>
      <c r="AY101" s="2079">
        <f>Risk_Compensation!X107*Risk_Compensation!$AK107*12/1000000</f>
        <v>0</v>
      </c>
      <c r="AZ101" s="2079">
        <f>Risk_Compensation!Y107*Risk_Compensation!$AK107*12/1000000</f>
        <v>0</v>
      </c>
      <c r="BA101" s="2079">
        <f>Risk_Compensation!Z107*Risk_Compensation!$AK107*12/1000000</f>
        <v>0</v>
      </c>
      <c r="BB101" s="2079">
        <f>Risk_Compensation!AA107*Risk_Compensation!$AK107*12/1000000</f>
        <v>0</v>
      </c>
      <c r="BC101" s="2079">
        <f>Risk_Compensation!AB107*Risk_Compensation!$AK107*12/1000000</f>
        <v>0</v>
      </c>
      <c r="BD101" s="2079">
        <f>Risk_Compensation!AC107*Risk_Compensation!$AK107*12/1000000</f>
        <v>0</v>
      </c>
      <c r="BE101" s="2079">
        <f>Risk_Compensation!AD107*Risk_Compensation!$AK107*12/1000000</f>
        <v>0</v>
      </c>
      <c r="BF101" s="2079">
        <f>Risk_Compensation!AE107*Risk_Compensation!$AK107*12/1000000</f>
        <v>0</v>
      </c>
      <c r="BG101" s="2079">
        <f>Risk_Compensation!AF107*Risk_Compensation!$AK107*12/1000000</f>
        <v>0</v>
      </c>
      <c r="BH101" s="2080">
        <f>Risk_Compensation!AG107*Risk_Compensation!$AK107*12/1000000</f>
        <v>0</v>
      </c>
      <c r="BK101" s="2138">
        <f>IF(G101&lt;=0,0,(Risk_Compensation!H107/G101-Risk_Compensation!H$79/G$72-0.5*CO$167*(G146/G101-CO$135/G$72))*G101)</f>
        <v>0</v>
      </c>
      <c r="BL101" s="2139">
        <f>IF(H101&lt;=0,0,(Risk_Compensation!I107/H101-Risk_Compensation!I$79/H$72-0.5*CP$167*(H146/H101-CP$135/H$72))*H101)</f>
        <v>0</v>
      </c>
      <c r="BM101" s="2139">
        <f>IF(I101&lt;=0,0,(Risk_Compensation!J107/I101-Risk_Compensation!J$79/I$72-0.5*CQ$167*(I146/I101-CQ$135/I$72))*I101)</f>
        <v>0</v>
      </c>
      <c r="BN101" s="2139">
        <f>IF(J101&lt;=0,0,(Risk_Compensation!K107/J101-Risk_Compensation!K$79/J$72-0.5*CR$167*(J146/J101-CR$135/J$72))*J101)</f>
        <v>0</v>
      </c>
      <c r="BO101" s="2139">
        <f>IF(K101&lt;=0,0,(Risk_Compensation!L107/K101-Risk_Compensation!L$79/K$72-0.5*CS$167*(K146/K101-CS$135/K$72))*K101)</f>
        <v>0</v>
      </c>
      <c r="BP101" s="2139">
        <f>IF(L101&lt;=0,0,(Risk_Compensation!M107/L101-Risk_Compensation!M$79/L$72-0.5*CT$167*(L146/L101-CT$135/L$72))*L101)</f>
        <v>0</v>
      </c>
      <c r="BQ101" s="2139">
        <f>IF(M101&lt;=0,0,(Risk_Compensation!N107/M101-Risk_Compensation!N$79/M$72-0.5*CU$167*(M146/M101-CU$135/M$72))*M101)</f>
        <v>0</v>
      </c>
      <c r="BR101" s="2139">
        <f>IF(N101&lt;=0,0,(Risk_Compensation!O107/N101-Risk_Compensation!O$79/N$72-0.5*CV$167*(N146/N101-CV$135/N$72))*N101)</f>
        <v>0</v>
      </c>
      <c r="BS101" s="2139">
        <f>IF(O101&lt;=0,0,(Risk_Compensation!P107/O101-Risk_Compensation!P$79/O$72-0.5*CW$167*(O146/O101-CW$135/O$72))*O101)</f>
        <v>0</v>
      </c>
      <c r="BT101" s="2139">
        <f>IF(P101&lt;=0,0,(Risk_Compensation!Q107/P101-Risk_Compensation!Q$79/P$72-0.5*CX$167*(P146/P101-CX$135/P$72))*P101)</f>
        <v>0</v>
      </c>
      <c r="BU101" s="2139">
        <f>IF(Q101&lt;=0,0,(Risk_Compensation!R107/Q101-Risk_Compensation!R$79/Q$72-0.5*CY$167*(Q146/Q101-CY$135/Q$72))*Q101)</f>
        <v>0</v>
      </c>
      <c r="BV101" s="2139">
        <f>IF(R101&lt;=0,0,(Risk_Compensation!S107/R101-Risk_Compensation!S$79/R$72-0.5*CZ$167*(R146/R101-CZ$135/R$72))*R101)</f>
        <v>0</v>
      </c>
      <c r="BW101" s="2139">
        <f>IF(S101&lt;=0,0,(Risk_Compensation!T107/S101-Risk_Compensation!T$79/S$72-0.5*DA$167*(S146/S101-DA$135/S$72))*S101)</f>
        <v>0</v>
      </c>
      <c r="BX101" s="2139">
        <f>IF(T101&lt;=0,0,(Risk_Compensation!U107/T101-Risk_Compensation!U$79/T$72-0.5*DB$167*(T146/T101-DB$135/T$72))*T101)</f>
        <v>0</v>
      </c>
      <c r="BY101" s="2139">
        <f>IF(U101&lt;=0,0,(Risk_Compensation!V107/U101-Risk_Compensation!V$79/U$72-0.5*DC$167*(U146/U101-DC$135/U$72))*U101)</f>
        <v>0</v>
      </c>
      <c r="BZ101" s="2139">
        <f>IF(V101&lt;=0,0,(Risk_Compensation!W107/V101-Risk_Compensation!W$79/V$72-0.5*DD$167*(V146/V101-DD$135/V$72))*V101)</f>
        <v>0</v>
      </c>
      <c r="CA101" s="2139">
        <f>IF(W101&lt;=0,0,(Risk_Compensation!X107/W101-Risk_Compensation!X$79/W$72-0.5*DE$167*(W146/W101-DE$135/W$72))*W101)</f>
        <v>0</v>
      </c>
      <c r="CB101" s="2139">
        <f>IF(X101&lt;=0,0,(Risk_Compensation!Y107/X101-Risk_Compensation!Y$79/X$72-0.5*DF$167*(X146/X101-DF$135/X$72))*X101)</f>
        <v>0</v>
      </c>
      <c r="CC101" s="2139">
        <f>IF(Y101&lt;=0,0,(Risk_Compensation!Z107/Y101-Risk_Compensation!Z$79/Y$72-0.5*DG$167*(Y146/Y101-DG$135/Y$72))*Y101)</f>
        <v>0</v>
      </c>
      <c r="CD101" s="2139">
        <f>IF(Z101&lt;=0,0,(Risk_Compensation!AA107/Z101-Risk_Compensation!AA$79/Z$72-0.5*DH$167*(Z146/Z101-DH$135/Z$72))*Z101)</f>
        <v>0</v>
      </c>
      <c r="CE101" s="2139">
        <f>IF(AA101&lt;=0,0,(Risk_Compensation!AB107/AA101-Risk_Compensation!AB$79/AA$72-0.5*DI$167*(AA146/AA101-DI$135/AA$72))*AA101)</f>
        <v>0</v>
      </c>
      <c r="CF101" s="2139">
        <f>IF(AB101&lt;=0,0,(Risk_Compensation!AC107/AB101-Risk_Compensation!AC$79/AB$72-0.5*DJ$167*(AB146/AB101-DJ$135/AB$72))*AB101)</f>
        <v>0</v>
      </c>
      <c r="CG101" s="2139">
        <f>IF(AC101&lt;=0,0,(Risk_Compensation!AD107/AC101-Risk_Compensation!AD$79/AC$72-0.5*DK$167*(AC146/AC101-DK$135/AC$72))*AC101)</f>
        <v>0</v>
      </c>
      <c r="CH101" s="2139">
        <f>IF(AD101&lt;=0,0,(Risk_Compensation!AE107/AD101-Risk_Compensation!AE$79/AD$72-0.5*DL$167*(AD146/AD101-DL$135/AD$72))*AD101)</f>
        <v>0</v>
      </c>
      <c r="CI101" s="2139">
        <f>IF(AE101&lt;=0,0,(Risk_Compensation!AF107/AE101-Risk_Compensation!AF$79/AE$72-0.5*DM$167*(AE146/AE101-DM$135/AE$72))*AE101)</f>
        <v>0</v>
      </c>
      <c r="CJ101" s="2140">
        <f>IF(AF101&lt;=0,0,(Risk_Compensation!AG107/AF101-Risk_Compensation!AG$79/AF$72-0.5*DN$167*(AF146/AF101-DN$135/AF$72))*AF101)</f>
        <v>0</v>
      </c>
      <c r="CL101" s="2144"/>
      <c r="CN101" s="2078">
        <f>IF(G101&gt;0,$DP101^2*(BK101*Risk_Compensation!$AK107*12/1000000)^2/G101,0)</f>
        <v>0</v>
      </c>
      <c r="CO101" s="2079">
        <f>IF(H101&gt;0,$DP101^2*(BL101*Risk_Compensation!$AK107*12/1000000)^2/H101,0)</f>
        <v>0</v>
      </c>
      <c r="CP101" s="2079">
        <f>IF(I101&gt;0,$DP101^2*(BM101*Risk_Compensation!$AK107*12/1000000)^2/I101,0)</f>
        <v>0</v>
      </c>
      <c r="CQ101" s="2079">
        <f>IF(J101&gt;0,$DP101^2*(BN101*Risk_Compensation!$AK107*12/1000000)^2/J101,0)</f>
        <v>0</v>
      </c>
      <c r="CR101" s="2079">
        <f>IF(K101&gt;0,$DP101^2*(BO101*Risk_Compensation!$AK107*12/1000000)^2/K101,0)</f>
        <v>0</v>
      </c>
      <c r="CS101" s="2079">
        <f>IF(L101&gt;0,$DP101^2*(BP101*Risk_Compensation!$AK107*12/1000000)^2/L101,0)</f>
        <v>0</v>
      </c>
      <c r="CT101" s="2079">
        <f>IF(M101&gt;0,$DP101^2*(BQ101*Risk_Compensation!$AK107*12/1000000)^2/M101,0)</f>
        <v>0</v>
      </c>
      <c r="CU101" s="2079">
        <f>IF(N101&gt;0,$DP101^2*(BR101*Risk_Compensation!$AK107*12/1000000)^2/N101,0)</f>
        <v>0</v>
      </c>
      <c r="CV101" s="2079">
        <f>IF(O101&gt;0,$DP101^2*(BS101*Risk_Compensation!$AK107*12/1000000)^2/O101,0)</f>
        <v>0</v>
      </c>
      <c r="CW101" s="2079">
        <f>IF(P101&gt;0,$DP101^2*(BT101*Risk_Compensation!$AK107*12/1000000)^2/P101,0)</f>
        <v>0</v>
      </c>
      <c r="CX101" s="2079">
        <f>IF(Q101&gt;0,$DP101^2*(BU101*Risk_Compensation!$AK107*12/1000000)^2/Q101,0)</f>
        <v>0</v>
      </c>
      <c r="CY101" s="2079">
        <f>IF(R101&gt;0,$DP101^2*(BV101*Risk_Compensation!$AK107*12/1000000)^2/R101,0)</f>
        <v>0</v>
      </c>
      <c r="CZ101" s="2079">
        <f>IF(S101&gt;0,$DP101^2*(BW101*Risk_Compensation!$AK107*12/1000000)^2/S101,0)</f>
        <v>0</v>
      </c>
      <c r="DA101" s="2079">
        <f>IF(T101&gt;0,$DP101^2*(BX101*Risk_Compensation!$AK107*12/1000000)^2/T101,0)</f>
        <v>0</v>
      </c>
      <c r="DB101" s="2079">
        <f>IF(U101&gt;0,$DP101^2*(BY101*Risk_Compensation!$AK107*12/1000000)^2/U101,0)</f>
        <v>0</v>
      </c>
      <c r="DC101" s="2079">
        <f>IF(V101&gt;0,$DP101^2*(BZ101*Risk_Compensation!$AK107*12/1000000)^2/V101,0)</f>
        <v>0</v>
      </c>
      <c r="DD101" s="2079">
        <f>IF(W101&gt;0,$DP101^2*(CA101*Risk_Compensation!$AK107*12/1000000)^2/W101,0)</f>
        <v>0</v>
      </c>
      <c r="DE101" s="2079">
        <f>IF(X101&gt;0,$DP101^2*(CB101*Risk_Compensation!$AK107*12/1000000)^2/X101,0)</f>
        <v>0</v>
      </c>
      <c r="DF101" s="2079">
        <f>IF(Y101&gt;0,$DP101^2*(CC101*Risk_Compensation!$AK107*12/1000000)^2/Y101,0)</f>
        <v>0</v>
      </c>
      <c r="DG101" s="2079">
        <f>IF(Z101&gt;0,$DP101^2*(CD101*Risk_Compensation!$AK107*12/1000000)^2/Z101,0)</f>
        <v>0</v>
      </c>
      <c r="DH101" s="2079">
        <f>IF(AA101&gt;0,$DP101^2*(CE101*Risk_Compensation!$AK107*12/1000000)^2/AA101,0)</f>
        <v>0</v>
      </c>
      <c r="DI101" s="2079">
        <f>IF(AB101&gt;0,$DP101^2*(CF101*Risk_Compensation!$AK107*12/1000000)^2/AB101,0)</f>
        <v>0</v>
      </c>
      <c r="DJ101" s="2079">
        <f>IF(AC101&gt;0,$DP101^2*(CG101*Risk_Compensation!$AK107*12/1000000)^2/AC101,0)</f>
        <v>0</v>
      </c>
      <c r="DK101" s="2079">
        <f>IF(AD101&gt;0,$DP101^2*(CH101*Risk_Compensation!$AK107*12/1000000)^2/AD101,0)</f>
        <v>0</v>
      </c>
      <c r="DL101" s="2079">
        <f>IF(AE101&gt;0,$DP101^2*(CI101*Risk_Compensation!$AK107*12/1000000)^2/AE101,0)</f>
        <v>0</v>
      </c>
      <c r="DM101" s="2080">
        <f>IF(AF101&gt;0,$DP101^2*(CJ101*Risk_Compensation!$AK107*12/1000000)^2/AF101,0)</f>
        <v>0</v>
      </c>
      <c r="DO101" s="1823"/>
      <c r="DP101" s="2219">
        <v>0.63078437473393001</v>
      </c>
      <c r="DR101" s="1428" t="s">
        <v>2384</v>
      </c>
      <c r="DS101" s="1426" t="str">
        <f>Translation!B$604</f>
        <v>Nierenerkrankung</v>
      </c>
      <c r="DU101" s="2159"/>
      <c r="DV101" s="1428"/>
      <c r="DW101" s="2159"/>
      <c r="DX101" s="2159"/>
      <c r="DY101" s="2217"/>
      <c r="DZ101" s="2159"/>
      <c r="EA101" s="2159"/>
      <c r="EB101" s="2159"/>
      <c r="EC101" s="2159"/>
      <c r="ED101" s="2159"/>
      <c r="EE101" s="2159"/>
      <c r="EF101" s="2159"/>
      <c r="EG101" s="2159"/>
      <c r="EH101" s="2159"/>
      <c r="EI101" s="2159"/>
      <c r="EJ101" s="2159"/>
    </row>
    <row r="102" spans="3:140" x14ac:dyDescent="0.2">
      <c r="C102" s="1428" t="s">
        <v>2386</v>
      </c>
      <c r="D102" s="1426" t="str">
        <f>Translation!B$605</f>
        <v>Pulmonale (arterielle) Hypertonie</v>
      </c>
      <c r="F102" s="1437"/>
      <c r="G102" s="2211">
        <v>102.86499999999999</v>
      </c>
      <c r="H102" s="2212">
        <v>0</v>
      </c>
      <c r="I102" s="2212">
        <v>2.2450000000000001</v>
      </c>
      <c r="J102" s="2212">
        <v>132.69333333333299</v>
      </c>
      <c r="K102" s="2212">
        <v>49.305833333333297</v>
      </c>
      <c r="L102" s="2212">
        <v>20.1108333333333</v>
      </c>
      <c r="M102" s="2212">
        <v>36.397500000000001</v>
      </c>
      <c r="N102" s="2212">
        <v>42.246666666666698</v>
      </c>
      <c r="O102" s="2212">
        <v>9</v>
      </c>
      <c r="P102" s="2212">
        <v>28.386666666666699</v>
      </c>
      <c r="Q102" s="2212">
        <v>9.6316666666666695</v>
      </c>
      <c r="R102" s="2212">
        <v>39.339166666666699</v>
      </c>
      <c r="S102" s="2212">
        <v>32.515833333333298</v>
      </c>
      <c r="T102" s="2212">
        <v>6.25</v>
      </c>
      <c r="U102" s="2212">
        <v>2.9649999999999999</v>
      </c>
      <c r="V102" s="2212">
        <v>35.0683333333333</v>
      </c>
      <c r="W102" s="2212">
        <v>13</v>
      </c>
      <c r="X102" s="2212">
        <v>35.274166666666702</v>
      </c>
      <c r="Y102" s="2212">
        <v>19.366666666666699</v>
      </c>
      <c r="Z102" s="2212">
        <v>34.663333333333298</v>
      </c>
      <c r="AA102" s="2212">
        <v>40.811666666666703</v>
      </c>
      <c r="AB102" s="2212">
        <v>3</v>
      </c>
      <c r="AC102" s="2212">
        <v>102.9175</v>
      </c>
      <c r="AD102" s="2212">
        <v>45.3333333333333</v>
      </c>
      <c r="AE102" s="2212">
        <v>10.047499999999999</v>
      </c>
      <c r="AF102" s="2213">
        <v>177.99</v>
      </c>
      <c r="AI102" s="2078">
        <f>Risk_Compensation!H108*Risk_Compensation!$AK108*12/1000000</f>
        <v>0</v>
      </c>
      <c r="AJ102" s="2079">
        <f>Risk_Compensation!I108*Risk_Compensation!$AK108*12/1000000</f>
        <v>0</v>
      </c>
      <c r="AK102" s="2079">
        <f>Risk_Compensation!J108*Risk_Compensation!$AK108*12/1000000</f>
        <v>0</v>
      </c>
      <c r="AL102" s="2079">
        <f>Risk_Compensation!K108*Risk_Compensation!$AK108*12/1000000</f>
        <v>0</v>
      </c>
      <c r="AM102" s="2079">
        <f>Risk_Compensation!L108*Risk_Compensation!$AK108*12/1000000</f>
        <v>0</v>
      </c>
      <c r="AN102" s="2079">
        <f>Risk_Compensation!M108*Risk_Compensation!$AK108*12/1000000</f>
        <v>0</v>
      </c>
      <c r="AO102" s="2079">
        <f>Risk_Compensation!N108*Risk_Compensation!$AK108*12/1000000</f>
        <v>0</v>
      </c>
      <c r="AP102" s="2079">
        <f>Risk_Compensation!O108*Risk_Compensation!$AK108*12/1000000</f>
        <v>0</v>
      </c>
      <c r="AQ102" s="2079">
        <f>Risk_Compensation!P108*Risk_Compensation!$AK108*12/1000000</f>
        <v>0</v>
      </c>
      <c r="AR102" s="2079">
        <f>Risk_Compensation!Q108*Risk_Compensation!$AK108*12/1000000</f>
        <v>0</v>
      </c>
      <c r="AS102" s="2079">
        <f>Risk_Compensation!R108*Risk_Compensation!$AK108*12/1000000</f>
        <v>0</v>
      </c>
      <c r="AT102" s="2079">
        <f>Risk_Compensation!S108*Risk_Compensation!$AK108*12/1000000</f>
        <v>0</v>
      </c>
      <c r="AU102" s="2079">
        <f>Risk_Compensation!T108*Risk_Compensation!$AK108*12/1000000</f>
        <v>0</v>
      </c>
      <c r="AV102" s="2079">
        <f>Risk_Compensation!U108*Risk_Compensation!$AK108*12/1000000</f>
        <v>0</v>
      </c>
      <c r="AW102" s="2079">
        <f>Risk_Compensation!V108*Risk_Compensation!$AK108*12/1000000</f>
        <v>0</v>
      </c>
      <c r="AX102" s="2079">
        <f>Risk_Compensation!W108*Risk_Compensation!$AK108*12/1000000</f>
        <v>0</v>
      </c>
      <c r="AY102" s="2079">
        <f>Risk_Compensation!X108*Risk_Compensation!$AK108*12/1000000</f>
        <v>0</v>
      </c>
      <c r="AZ102" s="2079">
        <f>Risk_Compensation!Y108*Risk_Compensation!$AK108*12/1000000</f>
        <v>0</v>
      </c>
      <c r="BA102" s="2079">
        <f>Risk_Compensation!Z108*Risk_Compensation!$AK108*12/1000000</f>
        <v>0</v>
      </c>
      <c r="BB102" s="2079">
        <f>Risk_Compensation!AA108*Risk_Compensation!$AK108*12/1000000</f>
        <v>0</v>
      </c>
      <c r="BC102" s="2079">
        <f>Risk_Compensation!AB108*Risk_Compensation!$AK108*12/1000000</f>
        <v>0</v>
      </c>
      <c r="BD102" s="2079">
        <f>Risk_Compensation!AC108*Risk_Compensation!$AK108*12/1000000</f>
        <v>0</v>
      </c>
      <c r="BE102" s="2079">
        <f>Risk_Compensation!AD108*Risk_Compensation!$AK108*12/1000000</f>
        <v>0</v>
      </c>
      <c r="BF102" s="2079">
        <f>Risk_Compensation!AE108*Risk_Compensation!$AK108*12/1000000</f>
        <v>0</v>
      </c>
      <c r="BG102" s="2079">
        <f>Risk_Compensation!AF108*Risk_Compensation!$AK108*12/1000000</f>
        <v>0</v>
      </c>
      <c r="BH102" s="2080">
        <f>Risk_Compensation!AG108*Risk_Compensation!$AK108*12/1000000</f>
        <v>0</v>
      </c>
      <c r="BK102" s="2138">
        <f>IF(G102&lt;=0,0,(Risk_Compensation!H108/G102-Risk_Compensation!H$79/G$72-0.5*CO$167*(G147/G102-CO$135/G$72))*G102)</f>
        <v>0</v>
      </c>
      <c r="BL102" s="2139">
        <f>IF(H102&lt;=0,0,(Risk_Compensation!I108/H102-Risk_Compensation!I$79/H$72-0.5*CP$167*(H147/H102-CP$135/H$72))*H102)</f>
        <v>0</v>
      </c>
      <c r="BM102" s="2139">
        <f>IF(I102&lt;=0,0,(Risk_Compensation!J108/I102-Risk_Compensation!J$79/I$72-0.5*CQ$167*(I147/I102-CQ$135/I$72))*I102)</f>
        <v>0</v>
      </c>
      <c r="BN102" s="2139">
        <f>IF(J102&lt;=0,0,(Risk_Compensation!K108/J102-Risk_Compensation!K$79/J$72-0.5*CR$167*(J147/J102-CR$135/J$72))*J102)</f>
        <v>0</v>
      </c>
      <c r="BO102" s="2139">
        <f>IF(K102&lt;=0,0,(Risk_Compensation!L108/K102-Risk_Compensation!L$79/K$72-0.5*CS$167*(K147/K102-CS$135/K$72))*K102)</f>
        <v>0</v>
      </c>
      <c r="BP102" s="2139">
        <f>IF(L102&lt;=0,0,(Risk_Compensation!M108/L102-Risk_Compensation!M$79/L$72-0.5*CT$167*(L147/L102-CT$135/L$72))*L102)</f>
        <v>0</v>
      </c>
      <c r="BQ102" s="2139">
        <f>IF(M102&lt;=0,0,(Risk_Compensation!N108/M102-Risk_Compensation!N$79/M$72-0.5*CU$167*(M147/M102-CU$135/M$72))*M102)</f>
        <v>0</v>
      </c>
      <c r="BR102" s="2139">
        <f>IF(N102&lt;=0,0,(Risk_Compensation!O108/N102-Risk_Compensation!O$79/N$72-0.5*CV$167*(N147/N102-CV$135/N$72))*N102)</f>
        <v>0</v>
      </c>
      <c r="BS102" s="2139">
        <f>IF(O102&lt;=0,0,(Risk_Compensation!P108/O102-Risk_Compensation!P$79/O$72-0.5*CW$167*(O147/O102-CW$135/O$72))*O102)</f>
        <v>0</v>
      </c>
      <c r="BT102" s="2139">
        <f>IF(P102&lt;=0,0,(Risk_Compensation!Q108/P102-Risk_Compensation!Q$79/P$72-0.5*CX$167*(P147/P102-CX$135/P$72))*P102)</f>
        <v>0</v>
      </c>
      <c r="BU102" s="2139">
        <f>IF(Q102&lt;=0,0,(Risk_Compensation!R108/Q102-Risk_Compensation!R$79/Q$72-0.5*CY$167*(Q147/Q102-CY$135/Q$72))*Q102)</f>
        <v>0</v>
      </c>
      <c r="BV102" s="2139">
        <f>IF(R102&lt;=0,0,(Risk_Compensation!S108/R102-Risk_Compensation!S$79/R$72-0.5*CZ$167*(R147/R102-CZ$135/R$72))*R102)</f>
        <v>0</v>
      </c>
      <c r="BW102" s="2139">
        <f>IF(S102&lt;=0,0,(Risk_Compensation!T108/S102-Risk_Compensation!T$79/S$72-0.5*DA$167*(S147/S102-DA$135/S$72))*S102)</f>
        <v>0</v>
      </c>
      <c r="BX102" s="2139">
        <f>IF(T102&lt;=0,0,(Risk_Compensation!U108/T102-Risk_Compensation!U$79/T$72-0.5*DB$167*(T147/T102-DB$135/T$72))*T102)</f>
        <v>0</v>
      </c>
      <c r="BY102" s="2139">
        <f>IF(U102&lt;=0,0,(Risk_Compensation!V108/U102-Risk_Compensation!V$79/U$72-0.5*DC$167*(U147/U102-DC$135/U$72))*U102)</f>
        <v>0</v>
      </c>
      <c r="BZ102" s="2139">
        <f>IF(V102&lt;=0,0,(Risk_Compensation!W108/V102-Risk_Compensation!W$79/V$72-0.5*DD$167*(V147/V102-DD$135/V$72))*V102)</f>
        <v>0</v>
      </c>
      <c r="CA102" s="2139">
        <f>IF(W102&lt;=0,0,(Risk_Compensation!X108/W102-Risk_Compensation!X$79/W$72-0.5*DE$167*(W147/W102-DE$135/W$72))*W102)</f>
        <v>0</v>
      </c>
      <c r="CB102" s="2139">
        <f>IF(X102&lt;=0,0,(Risk_Compensation!Y108/X102-Risk_Compensation!Y$79/X$72-0.5*DF$167*(X147/X102-DF$135/X$72))*X102)</f>
        <v>0</v>
      </c>
      <c r="CC102" s="2139">
        <f>IF(Y102&lt;=0,0,(Risk_Compensation!Z108/Y102-Risk_Compensation!Z$79/Y$72-0.5*DG$167*(Y147/Y102-DG$135/Y$72))*Y102)</f>
        <v>0</v>
      </c>
      <c r="CD102" s="2139">
        <f>IF(Z102&lt;=0,0,(Risk_Compensation!AA108/Z102-Risk_Compensation!AA$79/Z$72-0.5*DH$167*(Z147/Z102-DH$135/Z$72))*Z102)</f>
        <v>0</v>
      </c>
      <c r="CE102" s="2139">
        <f>IF(AA102&lt;=0,0,(Risk_Compensation!AB108/AA102-Risk_Compensation!AB$79/AA$72-0.5*DI$167*(AA147/AA102-DI$135/AA$72))*AA102)</f>
        <v>0</v>
      </c>
      <c r="CF102" s="2139">
        <f>IF(AB102&lt;=0,0,(Risk_Compensation!AC108/AB102-Risk_Compensation!AC$79/AB$72-0.5*DJ$167*(AB147/AB102-DJ$135/AB$72))*AB102)</f>
        <v>0</v>
      </c>
      <c r="CG102" s="2139">
        <f>IF(AC102&lt;=0,0,(Risk_Compensation!AD108/AC102-Risk_Compensation!AD$79/AC$72-0.5*DK$167*(AC147/AC102-DK$135/AC$72))*AC102)</f>
        <v>0</v>
      </c>
      <c r="CH102" s="2139">
        <f>IF(AD102&lt;=0,0,(Risk_Compensation!AE108/AD102-Risk_Compensation!AE$79/AD$72-0.5*DL$167*(AD147/AD102-DL$135/AD$72))*AD102)</f>
        <v>0</v>
      </c>
      <c r="CI102" s="2139">
        <f>IF(AE102&lt;=0,0,(Risk_Compensation!AF108/AE102-Risk_Compensation!AF$79/AE$72-0.5*DM$167*(AE147/AE102-DM$135/AE$72))*AE102)</f>
        <v>0</v>
      </c>
      <c r="CJ102" s="2140">
        <f>IF(AF102&lt;=0,0,(Risk_Compensation!AG108/AF102-Risk_Compensation!AG$79/AF$72-0.5*DN$167*(AF147/AF102-DN$135/AF$72))*AF102)</f>
        <v>0</v>
      </c>
      <c r="CL102" s="2144"/>
      <c r="CN102" s="2078">
        <f>IF(G102&gt;0,$DP102^2*(BK102*Risk_Compensation!$AK108*12/1000000)^2/G102,0)</f>
        <v>0</v>
      </c>
      <c r="CO102" s="2079">
        <f>IF(H102&gt;0,$DP102^2*(BL102*Risk_Compensation!$AK108*12/1000000)^2/H102,0)</f>
        <v>0</v>
      </c>
      <c r="CP102" s="2079">
        <f>IF(I102&gt;0,$DP102^2*(BM102*Risk_Compensation!$AK108*12/1000000)^2/I102,0)</f>
        <v>0</v>
      </c>
      <c r="CQ102" s="2079">
        <f>IF(J102&gt;0,$DP102^2*(BN102*Risk_Compensation!$AK108*12/1000000)^2/J102,0)</f>
        <v>0</v>
      </c>
      <c r="CR102" s="2079">
        <f>IF(K102&gt;0,$DP102^2*(BO102*Risk_Compensation!$AK108*12/1000000)^2/K102,0)</f>
        <v>0</v>
      </c>
      <c r="CS102" s="2079">
        <f>IF(L102&gt;0,$DP102^2*(BP102*Risk_Compensation!$AK108*12/1000000)^2/L102,0)</f>
        <v>0</v>
      </c>
      <c r="CT102" s="2079">
        <f>IF(M102&gt;0,$DP102^2*(BQ102*Risk_Compensation!$AK108*12/1000000)^2/M102,0)</f>
        <v>0</v>
      </c>
      <c r="CU102" s="2079">
        <f>IF(N102&gt;0,$DP102^2*(BR102*Risk_Compensation!$AK108*12/1000000)^2/N102,0)</f>
        <v>0</v>
      </c>
      <c r="CV102" s="2079">
        <f>IF(O102&gt;0,$DP102^2*(BS102*Risk_Compensation!$AK108*12/1000000)^2/O102,0)</f>
        <v>0</v>
      </c>
      <c r="CW102" s="2079">
        <f>IF(P102&gt;0,$DP102^2*(BT102*Risk_Compensation!$AK108*12/1000000)^2/P102,0)</f>
        <v>0</v>
      </c>
      <c r="CX102" s="2079">
        <f>IF(Q102&gt;0,$DP102^2*(BU102*Risk_Compensation!$AK108*12/1000000)^2/Q102,0)</f>
        <v>0</v>
      </c>
      <c r="CY102" s="2079">
        <f>IF(R102&gt;0,$DP102^2*(BV102*Risk_Compensation!$AK108*12/1000000)^2/R102,0)</f>
        <v>0</v>
      </c>
      <c r="CZ102" s="2079">
        <f>IF(S102&gt;0,$DP102^2*(BW102*Risk_Compensation!$AK108*12/1000000)^2/S102,0)</f>
        <v>0</v>
      </c>
      <c r="DA102" s="2079">
        <f>IF(T102&gt;0,$DP102^2*(BX102*Risk_Compensation!$AK108*12/1000000)^2/T102,0)</f>
        <v>0</v>
      </c>
      <c r="DB102" s="2079">
        <f>IF(U102&gt;0,$DP102^2*(BY102*Risk_Compensation!$AK108*12/1000000)^2/U102,0)</f>
        <v>0</v>
      </c>
      <c r="DC102" s="2079">
        <f>IF(V102&gt;0,$DP102^2*(BZ102*Risk_Compensation!$AK108*12/1000000)^2/V102,0)</f>
        <v>0</v>
      </c>
      <c r="DD102" s="2079">
        <f>IF(W102&gt;0,$DP102^2*(CA102*Risk_Compensation!$AK108*12/1000000)^2/W102,0)</f>
        <v>0</v>
      </c>
      <c r="DE102" s="2079">
        <f>IF(X102&gt;0,$DP102^2*(CB102*Risk_Compensation!$AK108*12/1000000)^2/X102,0)</f>
        <v>0</v>
      </c>
      <c r="DF102" s="2079">
        <f>IF(Y102&gt;0,$DP102^2*(CC102*Risk_Compensation!$AK108*12/1000000)^2/Y102,0)</f>
        <v>0</v>
      </c>
      <c r="DG102" s="2079">
        <f>IF(Z102&gt;0,$DP102^2*(CD102*Risk_Compensation!$AK108*12/1000000)^2/Z102,0)</f>
        <v>0</v>
      </c>
      <c r="DH102" s="2079">
        <f>IF(AA102&gt;0,$DP102^2*(CE102*Risk_Compensation!$AK108*12/1000000)^2/AA102,0)</f>
        <v>0</v>
      </c>
      <c r="DI102" s="2079">
        <f>IF(AB102&gt;0,$DP102^2*(CF102*Risk_Compensation!$AK108*12/1000000)^2/AB102,0)</f>
        <v>0</v>
      </c>
      <c r="DJ102" s="2079">
        <f>IF(AC102&gt;0,$DP102^2*(CG102*Risk_Compensation!$AK108*12/1000000)^2/AC102,0)</f>
        <v>0</v>
      </c>
      <c r="DK102" s="2079">
        <f>IF(AD102&gt;0,$DP102^2*(CH102*Risk_Compensation!$AK108*12/1000000)^2/AD102,0)</f>
        <v>0</v>
      </c>
      <c r="DL102" s="2079">
        <f>IF(AE102&gt;0,$DP102^2*(CI102*Risk_Compensation!$AK108*12/1000000)^2/AE102,0)</f>
        <v>0</v>
      </c>
      <c r="DM102" s="2080">
        <f>IF(AF102&gt;0,$DP102^2*(CJ102*Risk_Compensation!$AK108*12/1000000)^2/AF102,0)</f>
        <v>0</v>
      </c>
      <c r="DO102" s="1823"/>
      <c r="DP102" s="2219">
        <v>0.94168525200199404</v>
      </c>
      <c r="DR102" s="1428" t="s">
        <v>2386</v>
      </c>
      <c r="DS102" s="1426" t="str">
        <f>Translation!B$605</f>
        <v>Pulmonale (arterielle) Hypertonie</v>
      </c>
      <c r="DU102" s="2159"/>
      <c r="DV102" s="1428"/>
      <c r="DW102" s="2159"/>
      <c r="DX102" s="2159"/>
      <c r="DY102" s="2217"/>
      <c r="DZ102" s="2159"/>
      <c r="EA102" s="2159"/>
      <c r="EB102" s="2159"/>
      <c r="EC102" s="2159"/>
      <c r="ED102" s="2159"/>
      <c r="EE102" s="2159"/>
      <c r="EF102" s="2159"/>
      <c r="EG102" s="2159"/>
      <c r="EH102" s="2159"/>
      <c r="EI102" s="2159"/>
      <c r="EJ102" s="2159"/>
    </row>
    <row r="103" spans="3:140" x14ac:dyDescent="0.2">
      <c r="C103" s="1428" t="s">
        <v>2388</v>
      </c>
      <c r="D103" s="1426" t="str">
        <f>Translation!B$606</f>
        <v>Morbus Parkinson</v>
      </c>
      <c r="F103" s="1437"/>
      <c r="G103" s="2211">
        <v>1381.8391666666701</v>
      </c>
      <c r="H103" s="2212">
        <v>24.546666666666699</v>
      </c>
      <c r="I103" s="2212">
        <v>109.50749999999999</v>
      </c>
      <c r="J103" s="2212">
        <v>2262.5608333333298</v>
      </c>
      <c r="K103" s="2212">
        <v>734.44833333333304</v>
      </c>
      <c r="L103" s="2212">
        <v>416.41</v>
      </c>
      <c r="M103" s="2212">
        <v>537.66583333333301</v>
      </c>
      <c r="N103" s="2212">
        <v>832.83166666666705</v>
      </c>
      <c r="O103" s="2212">
        <v>71.871666666666698</v>
      </c>
      <c r="P103" s="2212">
        <v>432.9425</v>
      </c>
      <c r="Q103" s="2212">
        <v>164.319166666667</v>
      </c>
      <c r="R103" s="2212">
        <v>941.18333333333305</v>
      </c>
      <c r="S103" s="2212">
        <v>320.91333333333301</v>
      </c>
      <c r="T103" s="2212">
        <v>79.914166666666702</v>
      </c>
      <c r="U103" s="2212">
        <v>93.384166666666701</v>
      </c>
      <c r="V103" s="2212">
        <v>996.85833333333301</v>
      </c>
      <c r="W103" s="2212">
        <v>196.22166666666701</v>
      </c>
      <c r="X103" s="2212">
        <v>616.88333333333298</v>
      </c>
      <c r="Y103" s="2212">
        <v>276.84666666666698</v>
      </c>
      <c r="Z103" s="2212">
        <v>536.54833333333295</v>
      </c>
      <c r="AA103" s="2212">
        <v>801.36</v>
      </c>
      <c r="AB103" s="2212">
        <v>68.956666666666706</v>
      </c>
      <c r="AC103" s="2212">
        <v>1246.2858333333299</v>
      </c>
      <c r="AD103" s="2212">
        <v>629.65916666666703</v>
      </c>
      <c r="AE103" s="2212">
        <v>230.45666666666699</v>
      </c>
      <c r="AF103" s="2213">
        <v>2642.1408333333302</v>
      </c>
      <c r="AI103" s="2078">
        <f>Risk_Compensation!H109*Risk_Compensation!$AK109*12/1000000</f>
        <v>0</v>
      </c>
      <c r="AJ103" s="2079">
        <f>Risk_Compensation!I109*Risk_Compensation!$AK109*12/1000000</f>
        <v>0</v>
      </c>
      <c r="AK103" s="2079">
        <f>Risk_Compensation!J109*Risk_Compensation!$AK109*12/1000000</f>
        <v>0</v>
      </c>
      <c r="AL103" s="2079">
        <f>Risk_Compensation!K109*Risk_Compensation!$AK109*12/1000000</f>
        <v>0</v>
      </c>
      <c r="AM103" s="2079">
        <f>Risk_Compensation!L109*Risk_Compensation!$AK109*12/1000000</f>
        <v>0</v>
      </c>
      <c r="AN103" s="2079">
        <f>Risk_Compensation!M109*Risk_Compensation!$AK109*12/1000000</f>
        <v>0</v>
      </c>
      <c r="AO103" s="2079">
        <f>Risk_Compensation!N109*Risk_Compensation!$AK109*12/1000000</f>
        <v>0</v>
      </c>
      <c r="AP103" s="2079">
        <f>Risk_Compensation!O109*Risk_Compensation!$AK109*12/1000000</f>
        <v>0</v>
      </c>
      <c r="AQ103" s="2079">
        <f>Risk_Compensation!P109*Risk_Compensation!$AK109*12/1000000</f>
        <v>0</v>
      </c>
      <c r="AR103" s="2079">
        <f>Risk_Compensation!Q109*Risk_Compensation!$AK109*12/1000000</f>
        <v>0</v>
      </c>
      <c r="AS103" s="2079">
        <f>Risk_Compensation!R109*Risk_Compensation!$AK109*12/1000000</f>
        <v>0</v>
      </c>
      <c r="AT103" s="2079">
        <f>Risk_Compensation!S109*Risk_Compensation!$AK109*12/1000000</f>
        <v>0</v>
      </c>
      <c r="AU103" s="2079">
        <f>Risk_Compensation!T109*Risk_Compensation!$AK109*12/1000000</f>
        <v>0</v>
      </c>
      <c r="AV103" s="2079">
        <f>Risk_Compensation!U109*Risk_Compensation!$AK109*12/1000000</f>
        <v>0</v>
      </c>
      <c r="AW103" s="2079">
        <f>Risk_Compensation!V109*Risk_Compensation!$AK109*12/1000000</f>
        <v>0</v>
      </c>
      <c r="AX103" s="2079">
        <f>Risk_Compensation!W109*Risk_Compensation!$AK109*12/1000000</f>
        <v>0</v>
      </c>
      <c r="AY103" s="2079">
        <f>Risk_Compensation!X109*Risk_Compensation!$AK109*12/1000000</f>
        <v>0</v>
      </c>
      <c r="AZ103" s="2079">
        <f>Risk_Compensation!Y109*Risk_Compensation!$AK109*12/1000000</f>
        <v>0</v>
      </c>
      <c r="BA103" s="2079">
        <f>Risk_Compensation!Z109*Risk_Compensation!$AK109*12/1000000</f>
        <v>0</v>
      </c>
      <c r="BB103" s="2079">
        <f>Risk_Compensation!AA109*Risk_Compensation!$AK109*12/1000000</f>
        <v>0</v>
      </c>
      <c r="BC103" s="2079">
        <f>Risk_Compensation!AB109*Risk_Compensation!$AK109*12/1000000</f>
        <v>0</v>
      </c>
      <c r="BD103" s="2079">
        <f>Risk_Compensation!AC109*Risk_Compensation!$AK109*12/1000000</f>
        <v>0</v>
      </c>
      <c r="BE103" s="2079">
        <f>Risk_Compensation!AD109*Risk_Compensation!$AK109*12/1000000</f>
        <v>0</v>
      </c>
      <c r="BF103" s="2079">
        <f>Risk_Compensation!AE109*Risk_Compensation!$AK109*12/1000000</f>
        <v>0</v>
      </c>
      <c r="BG103" s="2079">
        <f>Risk_Compensation!AF109*Risk_Compensation!$AK109*12/1000000</f>
        <v>0</v>
      </c>
      <c r="BH103" s="2080">
        <f>Risk_Compensation!AG109*Risk_Compensation!$AK109*12/1000000</f>
        <v>0</v>
      </c>
      <c r="BK103" s="2138">
        <f>IF(G103&lt;=0,0,(Risk_Compensation!H109/G103-Risk_Compensation!H$79/G$72-0.5*CO$167*(G148/G103-CO$135/G$72))*G103)</f>
        <v>0</v>
      </c>
      <c r="BL103" s="2139">
        <f>IF(H103&lt;=0,0,(Risk_Compensation!I109/H103-Risk_Compensation!I$79/H$72-0.5*CP$167*(H148/H103-CP$135/H$72))*H103)</f>
        <v>0</v>
      </c>
      <c r="BM103" s="2139">
        <f>IF(I103&lt;=0,0,(Risk_Compensation!J109/I103-Risk_Compensation!J$79/I$72-0.5*CQ$167*(I148/I103-CQ$135/I$72))*I103)</f>
        <v>0</v>
      </c>
      <c r="BN103" s="2139">
        <f>IF(J103&lt;=0,0,(Risk_Compensation!K109/J103-Risk_Compensation!K$79/J$72-0.5*CR$167*(J148/J103-CR$135/J$72))*J103)</f>
        <v>0</v>
      </c>
      <c r="BO103" s="2139">
        <f>IF(K103&lt;=0,0,(Risk_Compensation!L109/K103-Risk_Compensation!L$79/K$72-0.5*CS$167*(K148/K103-CS$135/K$72))*K103)</f>
        <v>0</v>
      </c>
      <c r="BP103" s="2139">
        <f>IF(L103&lt;=0,0,(Risk_Compensation!M109/L103-Risk_Compensation!M$79/L$72-0.5*CT$167*(L148/L103-CT$135/L$72))*L103)</f>
        <v>0</v>
      </c>
      <c r="BQ103" s="2139">
        <f>IF(M103&lt;=0,0,(Risk_Compensation!N109/M103-Risk_Compensation!N$79/M$72-0.5*CU$167*(M148/M103-CU$135/M$72))*M103)</f>
        <v>0</v>
      </c>
      <c r="BR103" s="2139">
        <f>IF(N103&lt;=0,0,(Risk_Compensation!O109/N103-Risk_Compensation!O$79/N$72-0.5*CV$167*(N148/N103-CV$135/N$72))*N103)</f>
        <v>0</v>
      </c>
      <c r="BS103" s="2139">
        <f>IF(O103&lt;=0,0,(Risk_Compensation!P109/O103-Risk_Compensation!P$79/O$72-0.5*CW$167*(O148/O103-CW$135/O$72))*O103)</f>
        <v>0</v>
      </c>
      <c r="BT103" s="2139">
        <f>IF(P103&lt;=0,0,(Risk_Compensation!Q109/P103-Risk_Compensation!Q$79/P$72-0.5*CX$167*(P148/P103-CX$135/P$72))*P103)</f>
        <v>0</v>
      </c>
      <c r="BU103" s="2139">
        <f>IF(Q103&lt;=0,0,(Risk_Compensation!R109/Q103-Risk_Compensation!R$79/Q$72-0.5*CY$167*(Q148/Q103-CY$135/Q$72))*Q103)</f>
        <v>0</v>
      </c>
      <c r="BV103" s="2139">
        <f>IF(R103&lt;=0,0,(Risk_Compensation!S109/R103-Risk_Compensation!S$79/R$72-0.5*CZ$167*(R148/R103-CZ$135/R$72))*R103)</f>
        <v>0</v>
      </c>
      <c r="BW103" s="2139">
        <f>IF(S103&lt;=0,0,(Risk_Compensation!T109/S103-Risk_Compensation!T$79/S$72-0.5*DA$167*(S148/S103-DA$135/S$72))*S103)</f>
        <v>0</v>
      </c>
      <c r="BX103" s="2139">
        <f>IF(T103&lt;=0,0,(Risk_Compensation!U109/T103-Risk_Compensation!U$79/T$72-0.5*DB$167*(T148/T103-DB$135/T$72))*T103)</f>
        <v>0</v>
      </c>
      <c r="BY103" s="2139">
        <f>IF(U103&lt;=0,0,(Risk_Compensation!V109/U103-Risk_Compensation!V$79/U$72-0.5*DC$167*(U148/U103-DC$135/U$72))*U103)</f>
        <v>0</v>
      </c>
      <c r="BZ103" s="2139">
        <f>IF(V103&lt;=0,0,(Risk_Compensation!W109/V103-Risk_Compensation!W$79/V$72-0.5*DD$167*(V148/V103-DD$135/V$72))*V103)</f>
        <v>0</v>
      </c>
      <c r="CA103" s="2139">
        <f>IF(W103&lt;=0,0,(Risk_Compensation!X109/W103-Risk_Compensation!X$79/W$72-0.5*DE$167*(W148/W103-DE$135/W$72))*W103)</f>
        <v>0</v>
      </c>
      <c r="CB103" s="2139">
        <f>IF(X103&lt;=0,0,(Risk_Compensation!Y109/X103-Risk_Compensation!Y$79/X$72-0.5*DF$167*(X148/X103-DF$135/X$72))*X103)</f>
        <v>0</v>
      </c>
      <c r="CC103" s="2139">
        <f>IF(Y103&lt;=0,0,(Risk_Compensation!Z109/Y103-Risk_Compensation!Z$79/Y$72-0.5*DG$167*(Y148/Y103-DG$135/Y$72))*Y103)</f>
        <v>0</v>
      </c>
      <c r="CD103" s="2139">
        <f>IF(Z103&lt;=0,0,(Risk_Compensation!AA109/Z103-Risk_Compensation!AA$79/Z$72-0.5*DH$167*(Z148/Z103-DH$135/Z$72))*Z103)</f>
        <v>0</v>
      </c>
      <c r="CE103" s="2139">
        <f>IF(AA103&lt;=0,0,(Risk_Compensation!AB109/AA103-Risk_Compensation!AB$79/AA$72-0.5*DI$167*(AA148/AA103-DI$135/AA$72))*AA103)</f>
        <v>0</v>
      </c>
      <c r="CF103" s="2139">
        <f>IF(AB103&lt;=0,0,(Risk_Compensation!AC109/AB103-Risk_Compensation!AC$79/AB$72-0.5*DJ$167*(AB148/AB103-DJ$135/AB$72))*AB103)</f>
        <v>0</v>
      </c>
      <c r="CG103" s="2139">
        <f>IF(AC103&lt;=0,0,(Risk_Compensation!AD109/AC103-Risk_Compensation!AD$79/AC$72-0.5*DK$167*(AC148/AC103-DK$135/AC$72))*AC103)</f>
        <v>0</v>
      </c>
      <c r="CH103" s="2139">
        <f>IF(AD103&lt;=0,0,(Risk_Compensation!AE109/AD103-Risk_Compensation!AE$79/AD$72-0.5*DL$167*(AD148/AD103-DL$135/AD$72))*AD103)</f>
        <v>0</v>
      </c>
      <c r="CI103" s="2139">
        <f>IF(AE103&lt;=0,0,(Risk_Compensation!AF109/AE103-Risk_Compensation!AF$79/AE$72-0.5*DM$167*(AE148/AE103-DM$135/AE$72))*AE103)</f>
        <v>0</v>
      </c>
      <c r="CJ103" s="2140">
        <f>IF(AF103&lt;=0,0,(Risk_Compensation!AG109/AF103-Risk_Compensation!AG$79/AF$72-0.5*DN$167*(AF148/AF103-DN$135/AF$72))*AF103)</f>
        <v>0</v>
      </c>
      <c r="CL103" s="2144"/>
      <c r="CN103" s="2078">
        <f>IF(G103&gt;0,$DP103^2*(BK103*Risk_Compensation!$AK109*12/1000000)^2/G103,0)</f>
        <v>0</v>
      </c>
      <c r="CO103" s="2079">
        <f>IF(H103&gt;0,$DP103^2*(BL103*Risk_Compensation!$AK109*12/1000000)^2/H103,0)</f>
        <v>0</v>
      </c>
      <c r="CP103" s="2079">
        <f>IF(I103&gt;0,$DP103^2*(BM103*Risk_Compensation!$AK109*12/1000000)^2/I103,0)</f>
        <v>0</v>
      </c>
      <c r="CQ103" s="2079">
        <f>IF(J103&gt;0,$DP103^2*(BN103*Risk_Compensation!$AK109*12/1000000)^2/J103,0)</f>
        <v>0</v>
      </c>
      <c r="CR103" s="2079">
        <f>IF(K103&gt;0,$DP103^2*(BO103*Risk_Compensation!$AK109*12/1000000)^2/K103,0)</f>
        <v>0</v>
      </c>
      <c r="CS103" s="2079">
        <f>IF(L103&gt;0,$DP103^2*(BP103*Risk_Compensation!$AK109*12/1000000)^2/L103,0)</f>
        <v>0</v>
      </c>
      <c r="CT103" s="2079">
        <f>IF(M103&gt;0,$DP103^2*(BQ103*Risk_Compensation!$AK109*12/1000000)^2/M103,0)</f>
        <v>0</v>
      </c>
      <c r="CU103" s="2079">
        <f>IF(N103&gt;0,$DP103^2*(BR103*Risk_Compensation!$AK109*12/1000000)^2/N103,0)</f>
        <v>0</v>
      </c>
      <c r="CV103" s="2079">
        <f>IF(O103&gt;0,$DP103^2*(BS103*Risk_Compensation!$AK109*12/1000000)^2/O103,0)</f>
        <v>0</v>
      </c>
      <c r="CW103" s="2079">
        <f>IF(P103&gt;0,$DP103^2*(BT103*Risk_Compensation!$AK109*12/1000000)^2/P103,0)</f>
        <v>0</v>
      </c>
      <c r="CX103" s="2079">
        <f>IF(Q103&gt;0,$DP103^2*(BU103*Risk_Compensation!$AK109*12/1000000)^2/Q103,0)</f>
        <v>0</v>
      </c>
      <c r="CY103" s="2079">
        <f>IF(R103&gt;0,$DP103^2*(BV103*Risk_Compensation!$AK109*12/1000000)^2/R103,0)</f>
        <v>0</v>
      </c>
      <c r="CZ103" s="2079">
        <f>IF(S103&gt;0,$DP103^2*(BW103*Risk_Compensation!$AK109*12/1000000)^2/S103,0)</f>
        <v>0</v>
      </c>
      <c r="DA103" s="2079">
        <f>IF(T103&gt;0,$DP103^2*(BX103*Risk_Compensation!$AK109*12/1000000)^2/T103,0)</f>
        <v>0</v>
      </c>
      <c r="DB103" s="2079">
        <f>IF(U103&gt;0,$DP103^2*(BY103*Risk_Compensation!$AK109*12/1000000)^2/U103,0)</f>
        <v>0</v>
      </c>
      <c r="DC103" s="2079">
        <f>IF(V103&gt;0,$DP103^2*(BZ103*Risk_Compensation!$AK109*12/1000000)^2/V103,0)</f>
        <v>0</v>
      </c>
      <c r="DD103" s="2079">
        <f>IF(W103&gt;0,$DP103^2*(CA103*Risk_Compensation!$AK109*12/1000000)^2/W103,0)</f>
        <v>0</v>
      </c>
      <c r="DE103" s="2079">
        <f>IF(X103&gt;0,$DP103^2*(CB103*Risk_Compensation!$AK109*12/1000000)^2/X103,0)</f>
        <v>0</v>
      </c>
      <c r="DF103" s="2079">
        <f>IF(Y103&gt;0,$DP103^2*(CC103*Risk_Compensation!$AK109*12/1000000)^2/Y103,0)</f>
        <v>0</v>
      </c>
      <c r="DG103" s="2079">
        <f>IF(Z103&gt;0,$DP103^2*(CD103*Risk_Compensation!$AK109*12/1000000)^2/Z103,0)</f>
        <v>0</v>
      </c>
      <c r="DH103" s="2079">
        <f>IF(AA103&gt;0,$DP103^2*(CE103*Risk_Compensation!$AK109*12/1000000)^2/AA103,0)</f>
        <v>0</v>
      </c>
      <c r="DI103" s="2079">
        <f>IF(AB103&gt;0,$DP103^2*(CF103*Risk_Compensation!$AK109*12/1000000)^2/AB103,0)</f>
        <v>0</v>
      </c>
      <c r="DJ103" s="2079">
        <f>IF(AC103&gt;0,$DP103^2*(CG103*Risk_Compensation!$AK109*12/1000000)^2/AC103,0)</f>
        <v>0</v>
      </c>
      <c r="DK103" s="2079">
        <f>IF(AD103&gt;0,$DP103^2*(CH103*Risk_Compensation!$AK109*12/1000000)^2/AD103,0)</f>
        <v>0</v>
      </c>
      <c r="DL103" s="2079">
        <f>IF(AE103&gt;0,$DP103^2*(CI103*Risk_Compensation!$AK109*12/1000000)^2/AE103,0)</f>
        <v>0</v>
      </c>
      <c r="DM103" s="2080">
        <f>IF(AF103&gt;0,$DP103^2*(CJ103*Risk_Compensation!$AK109*12/1000000)^2/AF103,0)</f>
        <v>0</v>
      </c>
      <c r="DO103" s="1823"/>
      <c r="DP103" s="2219">
        <v>0.96394845191379996</v>
      </c>
      <c r="DR103" s="1428" t="s">
        <v>2388</v>
      </c>
      <c r="DS103" s="1426" t="str">
        <f>Translation!B$606</f>
        <v>Morbus Parkinson</v>
      </c>
      <c r="DU103" s="2159"/>
      <c r="DV103" s="1428"/>
      <c r="DW103" s="2159"/>
      <c r="DX103" s="2159"/>
      <c r="DY103" s="2217"/>
      <c r="DZ103" s="2159"/>
      <c r="EA103" s="2159"/>
      <c r="EB103" s="2159"/>
      <c r="EC103" s="2159"/>
      <c r="ED103" s="2159"/>
      <c r="EE103" s="2159"/>
      <c r="EF103" s="2159"/>
      <c r="EG103" s="2159"/>
      <c r="EH103" s="2159"/>
      <c r="EI103" s="2159"/>
      <c r="EJ103" s="2159"/>
    </row>
    <row r="104" spans="3:140" x14ac:dyDescent="0.2">
      <c r="C104" s="1428" t="s">
        <v>2390</v>
      </c>
      <c r="D104" s="1426" t="str">
        <f>Translation!B$607</f>
        <v>Psoriasis</v>
      </c>
      <c r="F104" s="1437"/>
      <c r="G104" s="2211">
        <v>534.44583333333298</v>
      </c>
      <c r="H104" s="2212">
        <v>10.039999999999999</v>
      </c>
      <c r="I104" s="2212">
        <v>51.830833333333302</v>
      </c>
      <c r="J104" s="2212">
        <v>772.76333333333298</v>
      </c>
      <c r="K104" s="2212">
        <v>181.77500000000001</v>
      </c>
      <c r="L104" s="2212">
        <v>240.53166666666701</v>
      </c>
      <c r="M104" s="2212">
        <v>287.39416666666699</v>
      </c>
      <c r="N104" s="2212">
        <v>552.19833333333304</v>
      </c>
      <c r="O104" s="2212">
        <v>16.3333333333333</v>
      </c>
      <c r="P104" s="2212">
        <v>147.60749999999999</v>
      </c>
      <c r="Q104" s="2212">
        <v>61.292499999999997</v>
      </c>
      <c r="R104" s="2212">
        <v>346.22333333333302</v>
      </c>
      <c r="S104" s="2212">
        <v>137.49</v>
      </c>
      <c r="T104" s="2212">
        <v>37.25</v>
      </c>
      <c r="U104" s="2212">
        <v>28.7633333333333</v>
      </c>
      <c r="V104" s="2212">
        <v>404.21083333333303</v>
      </c>
      <c r="W104" s="2212">
        <v>93.614166666666705</v>
      </c>
      <c r="X104" s="2212">
        <v>192.96666666666701</v>
      </c>
      <c r="Y104" s="2212">
        <v>123.804166666667</v>
      </c>
      <c r="Z104" s="2212">
        <v>238.041666666667</v>
      </c>
      <c r="AA104" s="2212">
        <v>386.28916666666697</v>
      </c>
      <c r="AB104" s="2212">
        <v>25.7716666666667</v>
      </c>
      <c r="AC104" s="2212">
        <v>705.79499999999996</v>
      </c>
      <c r="AD104" s="2212">
        <v>365.02666666666698</v>
      </c>
      <c r="AE104" s="2212">
        <v>130.196666666667</v>
      </c>
      <c r="AF104" s="2213">
        <v>1341.66166666667</v>
      </c>
      <c r="AI104" s="2078">
        <f>Risk_Compensation!H110*Risk_Compensation!$AK110*12/1000000</f>
        <v>0</v>
      </c>
      <c r="AJ104" s="2079">
        <f>Risk_Compensation!I110*Risk_Compensation!$AK110*12/1000000</f>
        <v>0</v>
      </c>
      <c r="AK104" s="2079">
        <f>Risk_Compensation!J110*Risk_Compensation!$AK110*12/1000000</f>
        <v>0</v>
      </c>
      <c r="AL104" s="2079">
        <f>Risk_Compensation!K110*Risk_Compensation!$AK110*12/1000000</f>
        <v>0</v>
      </c>
      <c r="AM104" s="2079">
        <f>Risk_Compensation!L110*Risk_Compensation!$AK110*12/1000000</f>
        <v>0</v>
      </c>
      <c r="AN104" s="2079">
        <f>Risk_Compensation!M110*Risk_Compensation!$AK110*12/1000000</f>
        <v>0</v>
      </c>
      <c r="AO104" s="2079">
        <f>Risk_Compensation!N110*Risk_Compensation!$AK110*12/1000000</f>
        <v>0</v>
      </c>
      <c r="AP104" s="2079">
        <f>Risk_Compensation!O110*Risk_Compensation!$AK110*12/1000000</f>
        <v>0</v>
      </c>
      <c r="AQ104" s="2079">
        <f>Risk_Compensation!P110*Risk_Compensation!$AK110*12/1000000</f>
        <v>0</v>
      </c>
      <c r="AR104" s="2079">
        <f>Risk_Compensation!Q110*Risk_Compensation!$AK110*12/1000000</f>
        <v>0</v>
      </c>
      <c r="AS104" s="2079">
        <f>Risk_Compensation!R110*Risk_Compensation!$AK110*12/1000000</f>
        <v>0</v>
      </c>
      <c r="AT104" s="2079">
        <f>Risk_Compensation!S110*Risk_Compensation!$AK110*12/1000000</f>
        <v>0</v>
      </c>
      <c r="AU104" s="2079">
        <f>Risk_Compensation!T110*Risk_Compensation!$AK110*12/1000000</f>
        <v>0</v>
      </c>
      <c r="AV104" s="2079">
        <f>Risk_Compensation!U110*Risk_Compensation!$AK110*12/1000000</f>
        <v>0</v>
      </c>
      <c r="AW104" s="2079">
        <f>Risk_Compensation!V110*Risk_Compensation!$AK110*12/1000000</f>
        <v>0</v>
      </c>
      <c r="AX104" s="2079">
        <f>Risk_Compensation!W110*Risk_Compensation!$AK110*12/1000000</f>
        <v>0</v>
      </c>
      <c r="AY104" s="2079">
        <f>Risk_Compensation!X110*Risk_Compensation!$AK110*12/1000000</f>
        <v>0</v>
      </c>
      <c r="AZ104" s="2079">
        <f>Risk_Compensation!Y110*Risk_Compensation!$AK110*12/1000000</f>
        <v>0</v>
      </c>
      <c r="BA104" s="2079">
        <f>Risk_Compensation!Z110*Risk_Compensation!$AK110*12/1000000</f>
        <v>0</v>
      </c>
      <c r="BB104" s="2079">
        <f>Risk_Compensation!AA110*Risk_Compensation!$AK110*12/1000000</f>
        <v>0</v>
      </c>
      <c r="BC104" s="2079">
        <f>Risk_Compensation!AB110*Risk_Compensation!$AK110*12/1000000</f>
        <v>0</v>
      </c>
      <c r="BD104" s="2079">
        <f>Risk_Compensation!AC110*Risk_Compensation!$AK110*12/1000000</f>
        <v>0</v>
      </c>
      <c r="BE104" s="2079">
        <f>Risk_Compensation!AD110*Risk_Compensation!$AK110*12/1000000</f>
        <v>0</v>
      </c>
      <c r="BF104" s="2079">
        <f>Risk_Compensation!AE110*Risk_Compensation!$AK110*12/1000000</f>
        <v>0</v>
      </c>
      <c r="BG104" s="2079">
        <f>Risk_Compensation!AF110*Risk_Compensation!$AK110*12/1000000</f>
        <v>0</v>
      </c>
      <c r="BH104" s="2080">
        <f>Risk_Compensation!AG110*Risk_Compensation!$AK110*12/1000000</f>
        <v>0</v>
      </c>
      <c r="BK104" s="2138">
        <f>IF(G104&lt;=0,0,(Risk_Compensation!H110/G104-Risk_Compensation!H$79/G$72-0.5*CO$167*(G149/G104-CO$135/G$72))*G104)</f>
        <v>0</v>
      </c>
      <c r="BL104" s="2139">
        <f>IF(H104&lt;=0,0,(Risk_Compensation!I110/H104-Risk_Compensation!I$79/H$72-0.5*CP$167*(H149/H104-CP$135/H$72))*H104)</f>
        <v>0</v>
      </c>
      <c r="BM104" s="2139">
        <f>IF(I104&lt;=0,0,(Risk_Compensation!J110/I104-Risk_Compensation!J$79/I$72-0.5*CQ$167*(I149/I104-CQ$135/I$72))*I104)</f>
        <v>0</v>
      </c>
      <c r="BN104" s="2139">
        <f>IF(J104&lt;=0,0,(Risk_Compensation!K110/J104-Risk_Compensation!K$79/J$72-0.5*CR$167*(J149/J104-CR$135/J$72))*J104)</f>
        <v>0</v>
      </c>
      <c r="BO104" s="2139">
        <f>IF(K104&lt;=0,0,(Risk_Compensation!L110/K104-Risk_Compensation!L$79/K$72-0.5*CS$167*(K149/K104-CS$135/K$72))*K104)</f>
        <v>0</v>
      </c>
      <c r="BP104" s="2139">
        <f>IF(L104&lt;=0,0,(Risk_Compensation!M110/L104-Risk_Compensation!M$79/L$72-0.5*CT$167*(L149/L104-CT$135/L$72))*L104)</f>
        <v>0</v>
      </c>
      <c r="BQ104" s="2139">
        <f>IF(M104&lt;=0,0,(Risk_Compensation!N110/M104-Risk_Compensation!N$79/M$72-0.5*CU$167*(M149/M104-CU$135/M$72))*M104)</f>
        <v>0</v>
      </c>
      <c r="BR104" s="2139">
        <f>IF(N104&lt;=0,0,(Risk_Compensation!O110/N104-Risk_Compensation!O$79/N$72-0.5*CV$167*(N149/N104-CV$135/N$72))*N104)</f>
        <v>0</v>
      </c>
      <c r="BS104" s="2139">
        <f>IF(O104&lt;=0,0,(Risk_Compensation!P110/O104-Risk_Compensation!P$79/O$72-0.5*CW$167*(O149/O104-CW$135/O$72))*O104)</f>
        <v>0</v>
      </c>
      <c r="BT104" s="2139">
        <f>IF(P104&lt;=0,0,(Risk_Compensation!Q110/P104-Risk_Compensation!Q$79/P$72-0.5*CX$167*(P149/P104-CX$135/P$72))*P104)</f>
        <v>0</v>
      </c>
      <c r="BU104" s="2139">
        <f>IF(Q104&lt;=0,0,(Risk_Compensation!R110/Q104-Risk_Compensation!R$79/Q$72-0.5*CY$167*(Q149/Q104-CY$135/Q$72))*Q104)</f>
        <v>0</v>
      </c>
      <c r="BV104" s="2139">
        <f>IF(R104&lt;=0,0,(Risk_Compensation!S110/R104-Risk_Compensation!S$79/R$72-0.5*CZ$167*(R149/R104-CZ$135/R$72))*R104)</f>
        <v>0</v>
      </c>
      <c r="BW104" s="2139">
        <f>IF(S104&lt;=0,0,(Risk_Compensation!T110/S104-Risk_Compensation!T$79/S$72-0.5*DA$167*(S149/S104-DA$135/S$72))*S104)</f>
        <v>0</v>
      </c>
      <c r="BX104" s="2139">
        <f>IF(T104&lt;=0,0,(Risk_Compensation!U110/T104-Risk_Compensation!U$79/T$72-0.5*DB$167*(T149/T104-DB$135/T$72))*T104)</f>
        <v>0</v>
      </c>
      <c r="BY104" s="2139">
        <f>IF(U104&lt;=0,0,(Risk_Compensation!V110/U104-Risk_Compensation!V$79/U$72-0.5*DC$167*(U149/U104-DC$135/U$72))*U104)</f>
        <v>0</v>
      </c>
      <c r="BZ104" s="2139">
        <f>IF(V104&lt;=0,0,(Risk_Compensation!W110/V104-Risk_Compensation!W$79/V$72-0.5*DD$167*(V149/V104-DD$135/V$72))*V104)</f>
        <v>0</v>
      </c>
      <c r="CA104" s="2139">
        <f>IF(W104&lt;=0,0,(Risk_Compensation!X110/W104-Risk_Compensation!X$79/W$72-0.5*DE$167*(W149/W104-DE$135/W$72))*W104)</f>
        <v>0</v>
      </c>
      <c r="CB104" s="2139">
        <f>IF(X104&lt;=0,0,(Risk_Compensation!Y110/X104-Risk_Compensation!Y$79/X$72-0.5*DF$167*(X149/X104-DF$135/X$72))*X104)</f>
        <v>0</v>
      </c>
      <c r="CC104" s="2139">
        <f>IF(Y104&lt;=0,0,(Risk_Compensation!Z110/Y104-Risk_Compensation!Z$79/Y$72-0.5*DG$167*(Y149/Y104-DG$135/Y$72))*Y104)</f>
        <v>0</v>
      </c>
      <c r="CD104" s="2139">
        <f>IF(Z104&lt;=0,0,(Risk_Compensation!AA110/Z104-Risk_Compensation!AA$79/Z$72-0.5*DH$167*(Z149/Z104-DH$135/Z$72))*Z104)</f>
        <v>0</v>
      </c>
      <c r="CE104" s="2139">
        <f>IF(AA104&lt;=0,0,(Risk_Compensation!AB110/AA104-Risk_Compensation!AB$79/AA$72-0.5*DI$167*(AA149/AA104-DI$135/AA$72))*AA104)</f>
        <v>0</v>
      </c>
      <c r="CF104" s="2139">
        <f>IF(AB104&lt;=0,0,(Risk_Compensation!AC110/AB104-Risk_Compensation!AC$79/AB$72-0.5*DJ$167*(AB149/AB104-DJ$135/AB$72))*AB104)</f>
        <v>0</v>
      </c>
      <c r="CG104" s="2139">
        <f>IF(AC104&lt;=0,0,(Risk_Compensation!AD110/AC104-Risk_Compensation!AD$79/AC$72-0.5*DK$167*(AC149/AC104-DK$135/AC$72))*AC104)</f>
        <v>0</v>
      </c>
      <c r="CH104" s="2139">
        <f>IF(AD104&lt;=0,0,(Risk_Compensation!AE110/AD104-Risk_Compensation!AE$79/AD$72-0.5*DL$167*(AD149/AD104-DL$135/AD$72))*AD104)</f>
        <v>0</v>
      </c>
      <c r="CI104" s="2139">
        <f>IF(AE104&lt;=0,0,(Risk_Compensation!AF110/AE104-Risk_Compensation!AF$79/AE$72-0.5*DM$167*(AE149/AE104-DM$135/AE$72))*AE104)</f>
        <v>0</v>
      </c>
      <c r="CJ104" s="2140">
        <f>IF(AF104&lt;=0,0,(Risk_Compensation!AG110/AF104-Risk_Compensation!AG$79/AF$72-0.5*DN$167*(AF149/AF104-DN$135/AF$72))*AF104)</f>
        <v>0</v>
      </c>
      <c r="CL104" s="2144"/>
      <c r="CN104" s="2078">
        <f>IF(G104&gt;0,$DP104^2*(BK104*Risk_Compensation!$AK110*12/1000000)^2/G104,0)</f>
        <v>0</v>
      </c>
      <c r="CO104" s="2079">
        <f>IF(H104&gt;0,$DP104^2*(BL104*Risk_Compensation!$AK110*12/1000000)^2/H104,0)</f>
        <v>0</v>
      </c>
      <c r="CP104" s="2079">
        <f>IF(I104&gt;0,$DP104^2*(BM104*Risk_Compensation!$AK110*12/1000000)^2/I104,0)</f>
        <v>0</v>
      </c>
      <c r="CQ104" s="2079">
        <f>IF(J104&gt;0,$DP104^2*(BN104*Risk_Compensation!$AK110*12/1000000)^2/J104,0)</f>
        <v>0</v>
      </c>
      <c r="CR104" s="2079">
        <f>IF(K104&gt;0,$DP104^2*(BO104*Risk_Compensation!$AK110*12/1000000)^2/K104,0)</f>
        <v>0</v>
      </c>
      <c r="CS104" s="2079">
        <f>IF(L104&gt;0,$DP104^2*(BP104*Risk_Compensation!$AK110*12/1000000)^2/L104,0)</f>
        <v>0</v>
      </c>
      <c r="CT104" s="2079">
        <f>IF(M104&gt;0,$DP104^2*(BQ104*Risk_Compensation!$AK110*12/1000000)^2/M104,0)</f>
        <v>0</v>
      </c>
      <c r="CU104" s="2079">
        <f>IF(N104&gt;0,$DP104^2*(BR104*Risk_Compensation!$AK110*12/1000000)^2/N104,0)</f>
        <v>0</v>
      </c>
      <c r="CV104" s="2079">
        <f>IF(O104&gt;0,$DP104^2*(BS104*Risk_Compensation!$AK110*12/1000000)^2/O104,0)</f>
        <v>0</v>
      </c>
      <c r="CW104" s="2079">
        <f>IF(P104&gt;0,$DP104^2*(BT104*Risk_Compensation!$AK110*12/1000000)^2/P104,0)</f>
        <v>0</v>
      </c>
      <c r="CX104" s="2079">
        <f>IF(Q104&gt;0,$DP104^2*(BU104*Risk_Compensation!$AK110*12/1000000)^2/Q104,0)</f>
        <v>0</v>
      </c>
      <c r="CY104" s="2079">
        <f>IF(R104&gt;0,$DP104^2*(BV104*Risk_Compensation!$AK110*12/1000000)^2/R104,0)</f>
        <v>0</v>
      </c>
      <c r="CZ104" s="2079">
        <f>IF(S104&gt;0,$DP104^2*(BW104*Risk_Compensation!$AK110*12/1000000)^2/S104,0)</f>
        <v>0</v>
      </c>
      <c r="DA104" s="2079">
        <f>IF(T104&gt;0,$DP104^2*(BX104*Risk_Compensation!$AK110*12/1000000)^2/T104,0)</f>
        <v>0</v>
      </c>
      <c r="DB104" s="2079">
        <f>IF(U104&gt;0,$DP104^2*(BY104*Risk_Compensation!$AK110*12/1000000)^2/U104,0)</f>
        <v>0</v>
      </c>
      <c r="DC104" s="2079">
        <f>IF(V104&gt;0,$DP104^2*(BZ104*Risk_Compensation!$AK110*12/1000000)^2/V104,0)</f>
        <v>0</v>
      </c>
      <c r="DD104" s="2079">
        <f>IF(W104&gt;0,$DP104^2*(CA104*Risk_Compensation!$AK110*12/1000000)^2/W104,0)</f>
        <v>0</v>
      </c>
      <c r="DE104" s="2079">
        <f>IF(X104&gt;0,$DP104^2*(CB104*Risk_Compensation!$AK110*12/1000000)^2/X104,0)</f>
        <v>0</v>
      </c>
      <c r="DF104" s="2079">
        <f>IF(Y104&gt;0,$DP104^2*(CC104*Risk_Compensation!$AK110*12/1000000)^2/Y104,0)</f>
        <v>0</v>
      </c>
      <c r="DG104" s="2079">
        <f>IF(Z104&gt;0,$DP104^2*(CD104*Risk_Compensation!$AK110*12/1000000)^2/Z104,0)</f>
        <v>0</v>
      </c>
      <c r="DH104" s="2079">
        <f>IF(AA104&gt;0,$DP104^2*(CE104*Risk_Compensation!$AK110*12/1000000)^2/AA104,0)</f>
        <v>0</v>
      </c>
      <c r="DI104" s="2079">
        <f>IF(AB104&gt;0,$DP104^2*(CF104*Risk_Compensation!$AK110*12/1000000)^2/AB104,0)</f>
        <v>0</v>
      </c>
      <c r="DJ104" s="2079">
        <f>IF(AC104&gt;0,$DP104^2*(CG104*Risk_Compensation!$AK110*12/1000000)^2/AC104,0)</f>
        <v>0</v>
      </c>
      <c r="DK104" s="2079">
        <f>IF(AD104&gt;0,$DP104^2*(CH104*Risk_Compensation!$AK110*12/1000000)^2/AD104,0)</f>
        <v>0</v>
      </c>
      <c r="DL104" s="2079">
        <f>IF(AE104&gt;0,$DP104^2*(CI104*Risk_Compensation!$AK110*12/1000000)^2/AE104,0)</f>
        <v>0</v>
      </c>
      <c r="DM104" s="2080">
        <f>IF(AF104&gt;0,$DP104^2*(CJ104*Risk_Compensation!$AK110*12/1000000)^2/AF104,0)</f>
        <v>0</v>
      </c>
      <c r="DO104" s="1823"/>
      <c r="DP104" s="2219">
        <v>1.6592057903884501</v>
      </c>
      <c r="DR104" s="1428" t="s">
        <v>2390</v>
      </c>
      <c r="DS104" s="1426" t="str">
        <f>Translation!B$607</f>
        <v>Psoriasis</v>
      </c>
      <c r="DU104" s="2159"/>
      <c r="DV104" s="1428"/>
      <c r="DW104" s="2159"/>
      <c r="DX104" s="2159"/>
      <c r="DY104" s="2217"/>
      <c r="DZ104" s="2159"/>
      <c r="EA104" s="2159"/>
      <c r="EB104" s="2159"/>
      <c r="EC104" s="2159"/>
      <c r="ED104" s="2159"/>
      <c r="EE104" s="2159"/>
      <c r="EF104" s="2159"/>
      <c r="EG104" s="2159"/>
      <c r="EH104" s="2159"/>
      <c r="EI104" s="2159"/>
      <c r="EJ104" s="2159"/>
    </row>
    <row r="105" spans="3:140" x14ac:dyDescent="0.2">
      <c r="C105" s="1428" t="s">
        <v>2392</v>
      </c>
      <c r="D105" s="1426" t="str">
        <f>Translation!B$608</f>
        <v>Psychose</v>
      </c>
      <c r="F105" s="1437"/>
      <c r="G105" s="2211">
        <v>3133.7</v>
      </c>
      <c r="H105" s="2212">
        <v>51.356666666666698</v>
      </c>
      <c r="I105" s="2212">
        <v>351.8725</v>
      </c>
      <c r="J105" s="2212">
        <v>5911.5524999999998</v>
      </c>
      <c r="K105" s="2212">
        <v>1462.7266666666701</v>
      </c>
      <c r="L105" s="2212">
        <v>1591.7708333333301</v>
      </c>
      <c r="M105" s="2212">
        <v>1701.2566666666701</v>
      </c>
      <c r="N105" s="2212">
        <v>2662.24166666667</v>
      </c>
      <c r="O105" s="2212">
        <v>197.83750000000001</v>
      </c>
      <c r="P105" s="2212">
        <v>1043.38333333333</v>
      </c>
      <c r="Q105" s="2212">
        <v>447.02416666666699</v>
      </c>
      <c r="R105" s="2212">
        <v>1773.65333333333</v>
      </c>
      <c r="S105" s="2212">
        <v>1172.8783333333299</v>
      </c>
      <c r="T105" s="2212">
        <v>131.83666666666701</v>
      </c>
      <c r="U105" s="2212">
        <v>116.448333333333</v>
      </c>
      <c r="V105" s="2212">
        <v>2862.5233333333299</v>
      </c>
      <c r="W105" s="2212">
        <v>569.37</v>
      </c>
      <c r="X105" s="2212">
        <v>1585.38083333333</v>
      </c>
      <c r="Y105" s="2212">
        <v>573.1925</v>
      </c>
      <c r="Z105" s="2212">
        <v>1438.8741666666699</v>
      </c>
      <c r="AA105" s="2212">
        <v>2927.88666666667</v>
      </c>
      <c r="AB105" s="2212">
        <v>134.09166666666701</v>
      </c>
      <c r="AC105" s="2212">
        <v>4984.7466666666696</v>
      </c>
      <c r="AD105" s="2212">
        <v>1988.13083333333</v>
      </c>
      <c r="AE105" s="2212">
        <v>460.54500000000002</v>
      </c>
      <c r="AF105" s="2213">
        <v>7737.0450000000001</v>
      </c>
      <c r="AI105" s="2078">
        <f>Risk_Compensation!H111*Risk_Compensation!$AK111*12/1000000</f>
        <v>0</v>
      </c>
      <c r="AJ105" s="2079">
        <f>Risk_Compensation!I111*Risk_Compensation!$AK111*12/1000000</f>
        <v>0</v>
      </c>
      <c r="AK105" s="2079">
        <f>Risk_Compensation!J111*Risk_Compensation!$AK111*12/1000000</f>
        <v>0</v>
      </c>
      <c r="AL105" s="2079">
        <f>Risk_Compensation!K111*Risk_Compensation!$AK111*12/1000000</f>
        <v>0</v>
      </c>
      <c r="AM105" s="2079">
        <f>Risk_Compensation!L111*Risk_Compensation!$AK111*12/1000000</f>
        <v>0</v>
      </c>
      <c r="AN105" s="2079">
        <f>Risk_Compensation!M111*Risk_Compensation!$AK111*12/1000000</f>
        <v>0</v>
      </c>
      <c r="AO105" s="2079">
        <f>Risk_Compensation!N111*Risk_Compensation!$AK111*12/1000000</f>
        <v>0</v>
      </c>
      <c r="AP105" s="2079">
        <f>Risk_Compensation!O111*Risk_Compensation!$AK111*12/1000000</f>
        <v>0</v>
      </c>
      <c r="AQ105" s="2079">
        <f>Risk_Compensation!P111*Risk_Compensation!$AK111*12/1000000</f>
        <v>0</v>
      </c>
      <c r="AR105" s="2079">
        <f>Risk_Compensation!Q111*Risk_Compensation!$AK111*12/1000000</f>
        <v>0</v>
      </c>
      <c r="AS105" s="2079">
        <f>Risk_Compensation!R111*Risk_Compensation!$AK111*12/1000000</f>
        <v>0</v>
      </c>
      <c r="AT105" s="2079">
        <f>Risk_Compensation!S111*Risk_Compensation!$AK111*12/1000000</f>
        <v>0</v>
      </c>
      <c r="AU105" s="2079">
        <f>Risk_Compensation!T111*Risk_Compensation!$AK111*12/1000000</f>
        <v>0</v>
      </c>
      <c r="AV105" s="2079">
        <f>Risk_Compensation!U111*Risk_Compensation!$AK111*12/1000000</f>
        <v>0</v>
      </c>
      <c r="AW105" s="2079">
        <f>Risk_Compensation!V111*Risk_Compensation!$AK111*12/1000000</f>
        <v>0</v>
      </c>
      <c r="AX105" s="2079">
        <f>Risk_Compensation!W111*Risk_Compensation!$AK111*12/1000000</f>
        <v>0</v>
      </c>
      <c r="AY105" s="2079">
        <f>Risk_Compensation!X111*Risk_Compensation!$AK111*12/1000000</f>
        <v>0</v>
      </c>
      <c r="AZ105" s="2079">
        <f>Risk_Compensation!Y111*Risk_Compensation!$AK111*12/1000000</f>
        <v>0</v>
      </c>
      <c r="BA105" s="2079">
        <f>Risk_Compensation!Z111*Risk_Compensation!$AK111*12/1000000</f>
        <v>0</v>
      </c>
      <c r="BB105" s="2079">
        <f>Risk_Compensation!AA111*Risk_Compensation!$AK111*12/1000000</f>
        <v>0</v>
      </c>
      <c r="BC105" s="2079">
        <f>Risk_Compensation!AB111*Risk_Compensation!$AK111*12/1000000</f>
        <v>0</v>
      </c>
      <c r="BD105" s="2079">
        <f>Risk_Compensation!AC111*Risk_Compensation!$AK111*12/1000000</f>
        <v>0</v>
      </c>
      <c r="BE105" s="2079">
        <f>Risk_Compensation!AD111*Risk_Compensation!$AK111*12/1000000</f>
        <v>0</v>
      </c>
      <c r="BF105" s="2079">
        <f>Risk_Compensation!AE111*Risk_Compensation!$AK111*12/1000000</f>
        <v>0</v>
      </c>
      <c r="BG105" s="2079">
        <f>Risk_Compensation!AF111*Risk_Compensation!$AK111*12/1000000</f>
        <v>0</v>
      </c>
      <c r="BH105" s="2080">
        <f>Risk_Compensation!AG111*Risk_Compensation!$AK111*12/1000000</f>
        <v>0</v>
      </c>
      <c r="BK105" s="2138">
        <f>IF(G105&lt;=0,0,(Risk_Compensation!H111/G105-Risk_Compensation!H$79/G$72-0.5*CO$167*(G150/G105-CO$135/G$72))*G105)</f>
        <v>0</v>
      </c>
      <c r="BL105" s="2139">
        <f>IF(H105&lt;=0,0,(Risk_Compensation!I111/H105-Risk_Compensation!I$79/H$72-0.5*CP$167*(H150/H105-CP$135/H$72))*H105)</f>
        <v>0</v>
      </c>
      <c r="BM105" s="2139">
        <f>IF(I105&lt;=0,0,(Risk_Compensation!J111/I105-Risk_Compensation!J$79/I$72-0.5*CQ$167*(I150/I105-CQ$135/I$72))*I105)</f>
        <v>0</v>
      </c>
      <c r="BN105" s="2139">
        <f>IF(J105&lt;=0,0,(Risk_Compensation!K111/J105-Risk_Compensation!K$79/J$72-0.5*CR$167*(J150/J105-CR$135/J$72))*J105)</f>
        <v>0</v>
      </c>
      <c r="BO105" s="2139">
        <f>IF(K105&lt;=0,0,(Risk_Compensation!L111/K105-Risk_Compensation!L$79/K$72-0.5*CS$167*(K150/K105-CS$135/K$72))*K105)</f>
        <v>0</v>
      </c>
      <c r="BP105" s="2139">
        <f>IF(L105&lt;=0,0,(Risk_Compensation!M111/L105-Risk_Compensation!M$79/L$72-0.5*CT$167*(L150/L105-CT$135/L$72))*L105)</f>
        <v>0</v>
      </c>
      <c r="BQ105" s="2139">
        <f>IF(M105&lt;=0,0,(Risk_Compensation!N111/M105-Risk_Compensation!N$79/M$72-0.5*CU$167*(M150/M105-CU$135/M$72))*M105)</f>
        <v>0</v>
      </c>
      <c r="BR105" s="2139">
        <f>IF(N105&lt;=0,0,(Risk_Compensation!O111/N105-Risk_Compensation!O$79/N$72-0.5*CV$167*(N150/N105-CV$135/N$72))*N105)</f>
        <v>0</v>
      </c>
      <c r="BS105" s="2139">
        <f>IF(O105&lt;=0,0,(Risk_Compensation!P111/O105-Risk_Compensation!P$79/O$72-0.5*CW$167*(O150/O105-CW$135/O$72))*O105)</f>
        <v>0</v>
      </c>
      <c r="BT105" s="2139">
        <f>IF(P105&lt;=0,0,(Risk_Compensation!Q111/P105-Risk_Compensation!Q$79/P$72-0.5*CX$167*(P150/P105-CX$135/P$72))*P105)</f>
        <v>0</v>
      </c>
      <c r="BU105" s="2139">
        <f>IF(Q105&lt;=0,0,(Risk_Compensation!R111/Q105-Risk_Compensation!R$79/Q$72-0.5*CY$167*(Q150/Q105-CY$135/Q$72))*Q105)</f>
        <v>0</v>
      </c>
      <c r="BV105" s="2139">
        <f>IF(R105&lt;=0,0,(Risk_Compensation!S111/R105-Risk_Compensation!S$79/R$72-0.5*CZ$167*(R150/R105-CZ$135/R$72))*R105)</f>
        <v>0</v>
      </c>
      <c r="BW105" s="2139">
        <f>IF(S105&lt;=0,0,(Risk_Compensation!T111/S105-Risk_Compensation!T$79/S$72-0.5*DA$167*(S150/S105-DA$135/S$72))*S105)</f>
        <v>0</v>
      </c>
      <c r="BX105" s="2139">
        <f>IF(T105&lt;=0,0,(Risk_Compensation!U111/T105-Risk_Compensation!U$79/T$72-0.5*DB$167*(T150/T105-DB$135/T$72))*T105)</f>
        <v>0</v>
      </c>
      <c r="BY105" s="2139">
        <f>IF(U105&lt;=0,0,(Risk_Compensation!V111/U105-Risk_Compensation!V$79/U$72-0.5*DC$167*(U150/U105-DC$135/U$72))*U105)</f>
        <v>0</v>
      </c>
      <c r="BZ105" s="2139">
        <f>IF(V105&lt;=0,0,(Risk_Compensation!W111/V105-Risk_Compensation!W$79/V$72-0.5*DD$167*(V150/V105-DD$135/V$72))*V105)</f>
        <v>0</v>
      </c>
      <c r="CA105" s="2139">
        <f>IF(W105&lt;=0,0,(Risk_Compensation!X111/W105-Risk_Compensation!X$79/W$72-0.5*DE$167*(W150/W105-DE$135/W$72))*W105)</f>
        <v>0</v>
      </c>
      <c r="CB105" s="2139">
        <f>IF(X105&lt;=0,0,(Risk_Compensation!Y111/X105-Risk_Compensation!Y$79/X$72-0.5*DF$167*(X150/X105-DF$135/X$72))*X105)</f>
        <v>0</v>
      </c>
      <c r="CC105" s="2139">
        <f>IF(Y105&lt;=0,0,(Risk_Compensation!Z111/Y105-Risk_Compensation!Z$79/Y$72-0.5*DG$167*(Y150/Y105-DG$135/Y$72))*Y105)</f>
        <v>0</v>
      </c>
      <c r="CD105" s="2139">
        <f>IF(Z105&lt;=0,0,(Risk_Compensation!AA111/Z105-Risk_Compensation!AA$79/Z$72-0.5*DH$167*(Z150/Z105-DH$135/Z$72))*Z105)</f>
        <v>0</v>
      </c>
      <c r="CE105" s="2139">
        <f>IF(AA105&lt;=0,0,(Risk_Compensation!AB111/AA105-Risk_Compensation!AB$79/AA$72-0.5*DI$167*(AA150/AA105-DI$135/AA$72))*AA105)</f>
        <v>0</v>
      </c>
      <c r="CF105" s="2139">
        <f>IF(AB105&lt;=0,0,(Risk_Compensation!AC111/AB105-Risk_Compensation!AC$79/AB$72-0.5*DJ$167*(AB150/AB105-DJ$135/AB$72))*AB105)</f>
        <v>0</v>
      </c>
      <c r="CG105" s="2139">
        <f>IF(AC105&lt;=0,0,(Risk_Compensation!AD111/AC105-Risk_Compensation!AD$79/AC$72-0.5*DK$167*(AC150/AC105-DK$135/AC$72))*AC105)</f>
        <v>0</v>
      </c>
      <c r="CH105" s="2139">
        <f>IF(AD105&lt;=0,0,(Risk_Compensation!AE111/AD105-Risk_Compensation!AE$79/AD$72-0.5*DL$167*(AD150/AD105-DL$135/AD$72))*AD105)</f>
        <v>0</v>
      </c>
      <c r="CI105" s="2139">
        <f>IF(AE105&lt;=0,0,(Risk_Compensation!AF111/AE105-Risk_Compensation!AF$79/AE$72-0.5*DM$167*(AE150/AE105-DM$135/AE$72))*AE105)</f>
        <v>0</v>
      </c>
      <c r="CJ105" s="2140">
        <f>IF(AF105&lt;=0,0,(Risk_Compensation!AG111/AF105-Risk_Compensation!AG$79/AF$72-0.5*DN$167*(AF150/AF105-DN$135/AF$72))*AF105)</f>
        <v>0</v>
      </c>
      <c r="CL105" s="2144"/>
      <c r="CN105" s="2078">
        <f>IF(G105&gt;0,$DP105^2*(BK105*Risk_Compensation!$AK111*12/1000000)^2/G105,0)</f>
        <v>0</v>
      </c>
      <c r="CO105" s="2079">
        <f>IF(H105&gt;0,$DP105^2*(BL105*Risk_Compensation!$AK111*12/1000000)^2/H105,0)</f>
        <v>0</v>
      </c>
      <c r="CP105" s="2079">
        <f>IF(I105&gt;0,$DP105^2*(BM105*Risk_Compensation!$AK111*12/1000000)^2/I105,0)</f>
        <v>0</v>
      </c>
      <c r="CQ105" s="2079">
        <f>IF(J105&gt;0,$DP105^2*(BN105*Risk_Compensation!$AK111*12/1000000)^2/J105,0)</f>
        <v>0</v>
      </c>
      <c r="CR105" s="2079">
        <f>IF(K105&gt;0,$DP105^2*(BO105*Risk_Compensation!$AK111*12/1000000)^2/K105,0)</f>
        <v>0</v>
      </c>
      <c r="CS105" s="2079">
        <f>IF(L105&gt;0,$DP105^2*(BP105*Risk_Compensation!$AK111*12/1000000)^2/L105,0)</f>
        <v>0</v>
      </c>
      <c r="CT105" s="2079">
        <f>IF(M105&gt;0,$DP105^2*(BQ105*Risk_Compensation!$AK111*12/1000000)^2/M105,0)</f>
        <v>0</v>
      </c>
      <c r="CU105" s="2079">
        <f>IF(N105&gt;0,$DP105^2*(BR105*Risk_Compensation!$AK111*12/1000000)^2/N105,0)</f>
        <v>0</v>
      </c>
      <c r="CV105" s="2079">
        <f>IF(O105&gt;0,$DP105^2*(BS105*Risk_Compensation!$AK111*12/1000000)^2/O105,0)</f>
        <v>0</v>
      </c>
      <c r="CW105" s="2079">
        <f>IF(P105&gt;0,$DP105^2*(BT105*Risk_Compensation!$AK111*12/1000000)^2/P105,0)</f>
        <v>0</v>
      </c>
      <c r="CX105" s="2079">
        <f>IF(Q105&gt;0,$DP105^2*(BU105*Risk_Compensation!$AK111*12/1000000)^2/Q105,0)</f>
        <v>0</v>
      </c>
      <c r="CY105" s="2079">
        <f>IF(R105&gt;0,$DP105^2*(BV105*Risk_Compensation!$AK111*12/1000000)^2/R105,0)</f>
        <v>0</v>
      </c>
      <c r="CZ105" s="2079">
        <f>IF(S105&gt;0,$DP105^2*(BW105*Risk_Compensation!$AK111*12/1000000)^2/S105,0)</f>
        <v>0</v>
      </c>
      <c r="DA105" s="2079">
        <f>IF(T105&gt;0,$DP105^2*(BX105*Risk_Compensation!$AK111*12/1000000)^2/T105,0)</f>
        <v>0</v>
      </c>
      <c r="DB105" s="2079">
        <f>IF(U105&gt;0,$DP105^2*(BY105*Risk_Compensation!$AK111*12/1000000)^2/U105,0)</f>
        <v>0</v>
      </c>
      <c r="DC105" s="2079">
        <f>IF(V105&gt;0,$DP105^2*(BZ105*Risk_Compensation!$AK111*12/1000000)^2/V105,0)</f>
        <v>0</v>
      </c>
      <c r="DD105" s="2079">
        <f>IF(W105&gt;0,$DP105^2*(CA105*Risk_Compensation!$AK111*12/1000000)^2/W105,0)</f>
        <v>0</v>
      </c>
      <c r="DE105" s="2079">
        <f>IF(X105&gt;0,$DP105^2*(CB105*Risk_Compensation!$AK111*12/1000000)^2/X105,0)</f>
        <v>0</v>
      </c>
      <c r="DF105" s="2079">
        <f>IF(Y105&gt;0,$DP105^2*(CC105*Risk_Compensation!$AK111*12/1000000)^2/Y105,0)</f>
        <v>0</v>
      </c>
      <c r="DG105" s="2079">
        <f>IF(Z105&gt;0,$DP105^2*(CD105*Risk_Compensation!$AK111*12/1000000)^2/Z105,0)</f>
        <v>0</v>
      </c>
      <c r="DH105" s="2079">
        <f>IF(AA105&gt;0,$DP105^2*(CE105*Risk_Compensation!$AK111*12/1000000)^2/AA105,0)</f>
        <v>0</v>
      </c>
      <c r="DI105" s="2079">
        <f>IF(AB105&gt;0,$DP105^2*(CF105*Risk_Compensation!$AK111*12/1000000)^2/AB105,0)</f>
        <v>0</v>
      </c>
      <c r="DJ105" s="2079">
        <f>IF(AC105&gt;0,$DP105^2*(CG105*Risk_Compensation!$AK111*12/1000000)^2/AC105,0)</f>
        <v>0</v>
      </c>
      <c r="DK105" s="2079">
        <f>IF(AD105&gt;0,$DP105^2*(CH105*Risk_Compensation!$AK111*12/1000000)^2/AD105,0)</f>
        <v>0</v>
      </c>
      <c r="DL105" s="2079">
        <f>IF(AE105&gt;0,$DP105^2*(CI105*Risk_Compensation!$AK111*12/1000000)^2/AE105,0)</f>
        <v>0</v>
      </c>
      <c r="DM105" s="2080">
        <f>IF(AF105&gt;0,$DP105^2*(CJ105*Risk_Compensation!$AK111*12/1000000)^2/AF105,0)</f>
        <v>0</v>
      </c>
      <c r="DO105" s="1823"/>
      <c r="DP105" s="2219">
        <v>1.1384880788121901</v>
      </c>
      <c r="DR105" s="1428" t="s">
        <v>2392</v>
      </c>
      <c r="DS105" s="1426" t="str">
        <f>Translation!B$608</f>
        <v>Psychose</v>
      </c>
      <c r="DU105" s="2159"/>
      <c r="DV105" s="1428"/>
      <c r="DW105" s="2159"/>
      <c r="DX105" s="2159"/>
      <c r="DY105" s="2217"/>
      <c r="DZ105" s="2159"/>
      <c r="EA105" s="2159"/>
      <c r="EB105" s="2159"/>
      <c r="EC105" s="2159"/>
      <c r="ED105" s="2159"/>
      <c r="EE105" s="2159"/>
      <c r="EF105" s="2159"/>
      <c r="EG105" s="2159"/>
      <c r="EH105" s="2159"/>
      <c r="EI105" s="2159"/>
      <c r="EJ105" s="2159"/>
    </row>
    <row r="106" spans="3:140" x14ac:dyDescent="0.2">
      <c r="C106" s="1428" t="s">
        <v>2394</v>
      </c>
      <c r="D106" s="1426" t="str">
        <f>Translation!B$609</f>
        <v>Rheuma</v>
      </c>
      <c r="F106" s="1437"/>
      <c r="G106" s="2211">
        <v>1496.1058333333301</v>
      </c>
      <c r="H106" s="2212">
        <v>37.1666666666667</v>
      </c>
      <c r="I106" s="2212">
        <v>164.62666666666701</v>
      </c>
      <c r="J106" s="2212">
        <v>2956.9250000000002</v>
      </c>
      <c r="K106" s="2212">
        <v>698.75583333333304</v>
      </c>
      <c r="L106" s="2212">
        <v>305.0575</v>
      </c>
      <c r="M106" s="2212">
        <v>883.88583333333304</v>
      </c>
      <c r="N106" s="2212">
        <v>718.51583333333303</v>
      </c>
      <c r="O106" s="2212">
        <v>102.35250000000001</v>
      </c>
      <c r="P106" s="2212">
        <v>552.16166666666697</v>
      </c>
      <c r="Q106" s="2212">
        <v>168.2</v>
      </c>
      <c r="R106" s="2212">
        <v>1131.0233333333299</v>
      </c>
      <c r="S106" s="2212">
        <v>380.191666666667</v>
      </c>
      <c r="T106" s="2212">
        <v>93.073333333333295</v>
      </c>
      <c r="U106" s="2212">
        <v>141.435</v>
      </c>
      <c r="V106" s="2212">
        <v>1264.8558333333301</v>
      </c>
      <c r="W106" s="2212">
        <v>172.18416666666701</v>
      </c>
      <c r="X106" s="2212">
        <v>646.78250000000003</v>
      </c>
      <c r="Y106" s="2212">
        <v>391.04500000000002</v>
      </c>
      <c r="Z106" s="2212">
        <v>561.613333333333</v>
      </c>
      <c r="AA106" s="2212">
        <v>739.17</v>
      </c>
      <c r="AB106" s="2212">
        <v>104.05</v>
      </c>
      <c r="AC106" s="2212">
        <v>1374.76416666667</v>
      </c>
      <c r="AD106" s="2212">
        <v>647.26250000000005</v>
      </c>
      <c r="AE106" s="2212">
        <v>184.178333333333</v>
      </c>
      <c r="AF106" s="2213">
        <v>2745.00833333333</v>
      </c>
      <c r="AI106" s="2078">
        <f>Risk_Compensation!H112*Risk_Compensation!$AK112*12/1000000</f>
        <v>0</v>
      </c>
      <c r="AJ106" s="2079">
        <f>Risk_Compensation!I112*Risk_Compensation!$AK112*12/1000000</f>
        <v>0</v>
      </c>
      <c r="AK106" s="2079">
        <f>Risk_Compensation!J112*Risk_Compensation!$AK112*12/1000000</f>
        <v>0</v>
      </c>
      <c r="AL106" s="2079">
        <f>Risk_Compensation!K112*Risk_Compensation!$AK112*12/1000000</f>
        <v>0</v>
      </c>
      <c r="AM106" s="2079">
        <f>Risk_Compensation!L112*Risk_Compensation!$AK112*12/1000000</f>
        <v>0</v>
      </c>
      <c r="AN106" s="2079">
        <f>Risk_Compensation!M112*Risk_Compensation!$AK112*12/1000000</f>
        <v>0</v>
      </c>
      <c r="AO106" s="2079">
        <f>Risk_Compensation!N112*Risk_Compensation!$AK112*12/1000000</f>
        <v>0</v>
      </c>
      <c r="AP106" s="2079">
        <f>Risk_Compensation!O112*Risk_Compensation!$AK112*12/1000000</f>
        <v>0</v>
      </c>
      <c r="AQ106" s="2079">
        <f>Risk_Compensation!P112*Risk_Compensation!$AK112*12/1000000</f>
        <v>0</v>
      </c>
      <c r="AR106" s="2079">
        <f>Risk_Compensation!Q112*Risk_Compensation!$AK112*12/1000000</f>
        <v>0</v>
      </c>
      <c r="AS106" s="2079">
        <f>Risk_Compensation!R112*Risk_Compensation!$AK112*12/1000000</f>
        <v>0</v>
      </c>
      <c r="AT106" s="2079">
        <f>Risk_Compensation!S112*Risk_Compensation!$AK112*12/1000000</f>
        <v>0</v>
      </c>
      <c r="AU106" s="2079">
        <f>Risk_Compensation!T112*Risk_Compensation!$AK112*12/1000000</f>
        <v>0</v>
      </c>
      <c r="AV106" s="2079">
        <f>Risk_Compensation!U112*Risk_Compensation!$AK112*12/1000000</f>
        <v>0</v>
      </c>
      <c r="AW106" s="2079">
        <f>Risk_Compensation!V112*Risk_Compensation!$AK112*12/1000000</f>
        <v>0</v>
      </c>
      <c r="AX106" s="2079">
        <f>Risk_Compensation!W112*Risk_Compensation!$AK112*12/1000000</f>
        <v>0</v>
      </c>
      <c r="AY106" s="2079">
        <f>Risk_Compensation!X112*Risk_Compensation!$AK112*12/1000000</f>
        <v>0</v>
      </c>
      <c r="AZ106" s="2079">
        <f>Risk_Compensation!Y112*Risk_Compensation!$AK112*12/1000000</f>
        <v>0</v>
      </c>
      <c r="BA106" s="2079">
        <f>Risk_Compensation!Z112*Risk_Compensation!$AK112*12/1000000</f>
        <v>0</v>
      </c>
      <c r="BB106" s="2079">
        <f>Risk_Compensation!AA112*Risk_Compensation!$AK112*12/1000000</f>
        <v>0</v>
      </c>
      <c r="BC106" s="2079">
        <f>Risk_Compensation!AB112*Risk_Compensation!$AK112*12/1000000</f>
        <v>0</v>
      </c>
      <c r="BD106" s="2079">
        <f>Risk_Compensation!AC112*Risk_Compensation!$AK112*12/1000000</f>
        <v>0</v>
      </c>
      <c r="BE106" s="2079">
        <f>Risk_Compensation!AD112*Risk_Compensation!$AK112*12/1000000</f>
        <v>0</v>
      </c>
      <c r="BF106" s="2079">
        <f>Risk_Compensation!AE112*Risk_Compensation!$AK112*12/1000000</f>
        <v>0</v>
      </c>
      <c r="BG106" s="2079">
        <f>Risk_Compensation!AF112*Risk_Compensation!$AK112*12/1000000</f>
        <v>0</v>
      </c>
      <c r="BH106" s="2080">
        <f>Risk_Compensation!AG112*Risk_Compensation!$AK112*12/1000000</f>
        <v>0</v>
      </c>
      <c r="BK106" s="2138">
        <f>IF(G106&lt;=0,0,(Risk_Compensation!H112/G106-Risk_Compensation!H$79/G$72-0.5*CO$167*(G151/G106-CO$135/G$72))*G106)</f>
        <v>0</v>
      </c>
      <c r="BL106" s="2139">
        <f>IF(H106&lt;=0,0,(Risk_Compensation!I112/H106-Risk_Compensation!I$79/H$72-0.5*CP$167*(H151/H106-CP$135/H$72))*H106)</f>
        <v>0</v>
      </c>
      <c r="BM106" s="2139">
        <f>IF(I106&lt;=0,0,(Risk_Compensation!J112/I106-Risk_Compensation!J$79/I$72-0.5*CQ$167*(I151/I106-CQ$135/I$72))*I106)</f>
        <v>0</v>
      </c>
      <c r="BN106" s="2139">
        <f>IF(J106&lt;=0,0,(Risk_Compensation!K112/J106-Risk_Compensation!K$79/J$72-0.5*CR$167*(J151/J106-CR$135/J$72))*J106)</f>
        <v>0</v>
      </c>
      <c r="BO106" s="2139">
        <f>IF(K106&lt;=0,0,(Risk_Compensation!L112/K106-Risk_Compensation!L$79/K$72-0.5*CS$167*(K151/K106-CS$135/K$72))*K106)</f>
        <v>0</v>
      </c>
      <c r="BP106" s="2139">
        <f>IF(L106&lt;=0,0,(Risk_Compensation!M112/L106-Risk_Compensation!M$79/L$72-0.5*CT$167*(L151/L106-CT$135/L$72))*L106)</f>
        <v>0</v>
      </c>
      <c r="BQ106" s="2139">
        <f>IF(M106&lt;=0,0,(Risk_Compensation!N112/M106-Risk_Compensation!N$79/M$72-0.5*CU$167*(M151/M106-CU$135/M$72))*M106)</f>
        <v>0</v>
      </c>
      <c r="BR106" s="2139">
        <f>IF(N106&lt;=0,0,(Risk_Compensation!O112/N106-Risk_Compensation!O$79/N$72-0.5*CV$167*(N151/N106-CV$135/N$72))*N106)</f>
        <v>0</v>
      </c>
      <c r="BS106" s="2139">
        <f>IF(O106&lt;=0,0,(Risk_Compensation!P112/O106-Risk_Compensation!P$79/O$72-0.5*CW$167*(O151/O106-CW$135/O$72))*O106)</f>
        <v>0</v>
      </c>
      <c r="BT106" s="2139">
        <f>IF(P106&lt;=0,0,(Risk_Compensation!Q112/P106-Risk_Compensation!Q$79/P$72-0.5*CX$167*(P151/P106-CX$135/P$72))*P106)</f>
        <v>0</v>
      </c>
      <c r="BU106" s="2139">
        <f>IF(Q106&lt;=0,0,(Risk_Compensation!R112/Q106-Risk_Compensation!R$79/Q$72-0.5*CY$167*(Q151/Q106-CY$135/Q$72))*Q106)</f>
        <v>0</v>
      </c>
      <c r="BV106" s="2139">
        <f>IF(R106&lt;=0,0,(Risk_Compensation!S112/R106-Risk_Compensation!S$79/R$72-0.5*CZ$167*(R151/R106-CZ$135/R$72))*R106)</f>
        <v>0</v>
      </c>
      <c r="BW106" s="2139">
        <f>IF(S106&lt;=0,0,(Risk_Compensation!T112/S106-Risk_Compensation!T$79/S$72-0.5*DA$167*(S151/S106-DA$135/S$72))*S106)</f>
        <v>0</v>
      </c>
      <c r="BX106" s="2139">
        <f>IF(T106&lt;=0,0,(Risk_Compensation!U112/T106-Risk_Compensation!U$79/T$72-0.5*DB$167*(T151/T106-DB$135/T$72))*T106)</f>
        <v>0</v>
      </c>
      <c r="BY106" s="2139">
        <f>IF(U106&lt;=0,0,(Risk_Compensation!V112/U106-Risk_Compensation!V$79/U$72-0.5*DC$167*(U151/U106-DC$135/U$72))*U106)</f>
        <v>0</v>
      </c>
      <c r="BZ106" s="2139">
        <f>IF(V106&lt;=0,0,(Risk_Compensation!W112/V106-Risk_Compensation!W$79/V$72-0.5*DD$167*(V151/V106-DD$135/V$72))*V106)</f>
        <v>0</v>
      </c>
      <c r="CA106" s="2139">
        <f>IF(W106&lt;=0,0,(Risk_Compensation!X112/W106-Risk_Compensation!X$79/W$72-0.5*DE$167*(W151/W106-DE$135/W$72))*W106)</f>
        <v>0</v>
      </c>
      <c r="CB106" s="2139">
        <f>IF(X106&lt;=0,0,(Risk_Compensation!Y112/X106-Risk_Compensation!Y$79/X$72-0.5*DF$167*(X151/X106-DF$135/X$72))*X106)</f>
        <v>0</v>
      </c>
      <c r="CC106" s="2139">
        <f>IF(Y106&lt;=0,0,(Risk_Compensation!Z112/Y106-Risk_Compensation!Z$79/Y$72-0.5*DG$167*(Y151/Y106-DG$135/Y$72))*Y106)</f>
        <v>0</v>
      </c>
      <c r="CD106" s="2139">
        <f>IF(Z106&lt;=0,0,(Risk_Compensation!AA112/Z106-Risk_Compensation!AA$79/Z$72-0.5*DH$167*(Z151/Z106-DH$135/Z$72))*Z106)</f>
        <v>0</v>
      </c>
      <c r="CE106" s="2139">
        <f>IF(AA106&lt;=0,0,(Risk_Compensation!AB112/AA106-Risk_Compensation!AB$79/AA$72-0.5*DI$167*(AA151/AA106-DI$135/AA$72))*AA106)</f>
        <v>0</v>
      </c>
      <c r="CF106" s="2139">
        <f>IF(AB106&lt;=0,0,(Risk_Compensation!AC112/AB106-Risk_Compensation!AC$79/AB$72-0.5*DJ$167*(AB151/AB106-DJ$135/AB$72))*AB106)</f>
        <v>0</v>
      </c>
      <c r="CG106" s="2139">
        <f>IF(AC106&lt;=0,0,(Risk_Compensation!AD112/AC106-Risk_Compensation!AD$79/AC$72-0.5*DK$167*(AC151/AC106-DK$135/AC$72))*AC106)</f>
        <v>0</v>
      </c>
      <c r="CH106" s="2139">
        <f>IF(AD106&lt;=0,0,(Risk_Compensation!AE112/AD106-Risk_Compensation!AE$79/AD$72-0.5*DL$167*(AD151/AD106-DL$135/AD$72))*AD106)</f>
        <v>0</v>
      </c>
      <c r="CI106" s="2139">
        <f>IF(AE106&lt;=0,0,(Risk_Compensation!AF112/AE106-Risk_Compensation!AF$79/AE$72-0.5*DM$167*(AE151/AE106-DM$135/AE$72))*AE106)</f>
        <v>0</v>
      </c>
      <c r="CJ106" s="2140">
        <f>IF(AF106&lt;=0,0,(Risk_Compensation!AG112/AF106-Risk_Compensation!AG$79/AF$72-0.5*DN$167*(AF151/AF106-DN$135/AF$72))*AF106)</f>
        <v>0</v>
      </c>
      <c r="CL106" s="2144"/>
      <c r="CN106" s="2078">
        <f>IF(G106&gt;0,$DP106^2*(BK106*Risk_Compensation!$AK112*12/1000000)^2/G106,0)</f>
        <v>0</v>
      </c>
      <c r="CO106" s="2079">
        <f>IF(H106&gt;0,$DP106^2*(BL106*Risk_Compensation!$AK112*12/1000000)^2/H106,0)</f>
        <v>0</v>
      </c>
      <c r="CP106" s="2079">
        <f>IF(I106&gt;0,$DP106^2*(BM106*Risk_Compensation!$AK112*12/1000000)^2/I106,0)</f>
        <v>0</v>
      </c>
      <c r="CQ106" s="2079">
        <f>IF(J106&gt;0,$DP106^2*(BN106*Risk_Compensation!$AK112*12/1000000)^2/J106,0)</f>
        <v>0</v>
      </c>
      <c r="CR106" s="2079">
        <f>IF(K106&gt;0,$DP106^2*(BO106*Risk_Compensation!$AK112*12/1000000)^2/K106,0)</f>
        <v>0</v>
      </c>
      <c r="CS106" s="2079">
        <f>IF(L106&gt;0,$DP106^2*(BP106*Risk_Compensation!$AK112*12/1000000)^2/L106,0)</f>
        <v>0</v>
      </c>
      <c r="CT106" s="2079">
        <f>IF(M106&gt;0,$DP106^2*(BQ106*Risk_Compensation!$AK112*12/1000000)^2/M106,0)</f>
        <v>0</v>
      </c>
      <c r="CU106" s="2079">
        <f>IF(N106&gt;0,$DP106^2*(BR106*Risk_Compensation!$AK112*12/1000000)^2/N106,0)</f>
        <v>0</v>
      </c>
      <c r="CV106" s="2079">
        <f>IF(O106&gt;0,$DP106^2*(BS106*Risk_Compensation!$AK112*12/1000000)^2/O106,0)</f>
        <v>0</v>
      </c>
      <c r="CW106" s="2079">
        <f>IF(P106&gt;0,$DP106^2*(BT106*Risk_Compensation!$AK112*12/1000000)^2/P106,0)</f>
        <v>0</v>
      </c>
      <c r="CX106" s="2079">
        <f>IF(Q106&gt;0,$DP106^2*(BU106*Risk_Compensation!$AK112*12/1000000)^2/Q106,0)</f>
        <v>0</v>
      </c>
      <c r="CY106" s="2079">
        <f>IF(R106&gt;0,$DP106^2*(BV106*Risk_Compensation!$AK112*12/1000000)^2/R106,0)</f>
        <v>0</v>
      </c>
      <c r="CZ106" s="2079">
        <f>IF(S106&gt;0,$DP106^2*(BW106*Risk_Compensation!$AK112*12/1000000)^2/S106,0)</f>
        <v>0</v>
      </c>
      <c r="DA106" s="2079">
        <f>IF(T106&gt;0,$DP106^2*(BX106*Risk_Compensation!$AK112*12/1000000)^2/T106,0)</f>
        <v>0</v>
      </c>
      <c r="DB106" s="2079">
        <f>IF(U106&gt;0,$DP106^2*(BY106*Risk_Compensation!$AK112*12/1000000)^2/U106,0)</f>
        <v>0</v>
      </c>
      <c r="DC106" s="2079">
        <f>IF(V106&gt;0,$DP106^2*(BZ106*Risk_Compensation!$AK112*12/1000000)^2/V106,0)</f>
        <v>0</v>
      </c>
      <c r="DD106" s="2079">
        <f>IF(W106&gt;0,$DP106^2*(CA106*Risk_Compensation!$AK112*12/1000000)^2/W106,0)</f>
        <v>0</v>
      </c>
      <c r="DE106" s="2079">
        <f>IF(X106&gt;0,$DP106^2*(CB106*Risk_Compensation!$AK112*12/1000000)^2/X106,0)</f>
        <v>0</v>
      </c>
      <c r="DF106" s="2079">
        <f>IF(Y106&gt;0,$DP106^2*(CC106*Risk_Compensation!$AK112*12/1000000)^2/Y106,0)</f>
        <v>0</v>
      </c>
      <c r="DG106" s="2079">
        <f>IF(Z106&gt;0,$DP106^2*(CD106*Risk_Compensation!$AK112*12/1000000)^2/Z106,0)</f>
        <v>0</v>
      </c>
      <c r="DH106" s="2079">
        <f>IF(AA106&gt;0,$DP106^2*(CE106*Risk_Compensation!$AK112*12/1000000)^2/AA106,0)</f>
        <v>0</v>
      </c>
      <c r="DI106" s="2079">
        <f>IF(AB106&gt;0,$DP106^2*(CF106*Risk_Compensation!$AK112*12/1000000)^2/AB106,0)</f>
        <v>0</v>
      </c>
      <c r="DJ106" s="2079">
        <f>IF(AC106&gt;0,$DP106^2*(CG106*Risk_Compensation!$AK112*12/1000000)^2/AC106,0)</f>
        <v>0</v>
      </c>
      <c r="DK106" s="2079">
        <f>IF(AD106&gt;0,$DP106^2*(CH106*Risk_Compensation!$AK112*12/1000000)^2/AD106,0)</f>
        <v>0</v>
      </c>
      <c r="DL106" s="2079">
        <f>IF(AE106&gt;0,$DP106^2*(CI106*Risk_Compensation!$AK112*12/1000000)^2/AE106,0)</f>
        <v>0</v>
      </c>
      <c r="DM106" s="2080">
        <f>IF(AF106&gt;0,$DP106^2*(CJ106*Risk_Compensation!$AK112*12/1000000)^2/AF106,0)</f>
        <v>0</v>
      </c>
      <c r="DO106" s="1823"/>
      <c r="DP106" s="2219">
        <v>1.37235274301443</v>
      </c>
      <c r="DR106" s="1428" t="s">
        <v>2394</v>
      </c>
      <c r="DS106" s="1426" t="str">
        <f>Translation!B$609</f>
        <v>Rheuma</v>
      </c>
      <c r="DU106" s="2159"/>
      <c r="DV106" s="1428"/>
      <c r="DW106" s="2159"/>
      <c r="DX106" s="2159"/>
      <c r="DY106" s="2217"/>
      <c r="DZ106" s="2159"/>
      <c r="EA106" s="2159"/>
      <c r="EB106" s="2159"/>
      <c r="EC106" s="2159"/>
      <c r="ED106" s="2159"/>
      <c r="EE106" s="2159"/>
      <c r="EF106" s="2159"/>
      <c r="EG106" s="2159"/>
      <c r="EH106" s="2159"/>
      <c r="EI106" s="2159"/>
      <c r="EJ106" s="2159"/>
    </row>
    <row r="107" spans="3:140" x14ac:dyDescent="0.2">
      <c r="C107" s="1428" t="s">
        <v>2396</v>
      </c>
      <c r="D107" s="1426" t="str">
        <f>Translation!B$610</f>
        <v>Chronische Schmerzen ohne Opioide</v>
      </c>
      <c r="F107" s="1437"/>
      <c r="G107" s="2211">
        <v>9451.0408333333307</v>
      </c>
      <c r="H107" s="2212">
        <v>129.2175</v>
      </c>
      <c r="I107" s="2212">
        <v>505.57666666666699</v>
      </c>
      <c r="J107" s="2212">
        <v>13102.948333333299</v>
      </c>
      <c r="K107" s="2212">
        <v>3434.9758333333298</v>
      </c>
      <c r="L107" s="2212">
        <v>2424.2258333333298</v>
      </c>
      <c r="M107" s="2212">
        <v>3897.1750000000002</v>
      </c>
      <c r="N107" s="2212">
        <v>4147.5716666666704</v>
      </c>
      <c r="O107" s="2212">
        <v>524.26833333333298</v>
      </c>
      <c r="P107" s="2212">
        <v>2516.9408333333299</v>
      </c>
      <c r="Q107" s="2212">
        <v>823.37333333333299</v>
      </c>
      <c r="R107" s="2212">
        <v>4001.5291666666699</v>
      </c>
      <c r="S107" s="2212">
        <v>1834.92916666667</v>
      </c>
      <c r="T107" s="2212">
        <v>399.29750000000001</v>
      </c>
      <c r="U107" s="2212">
        <v>307.07833333333298</v>
      </c>
      <c r="V107" s="2212">
        <v>5353.96</v>
      </c>
      <c r="W107" s="2212">
        <v>1321.3375000000001</v>
      </c>
      <c r="X107" s="2212">
        <v>4536.8533333333298</v>
      </c>
      <c r="Y107" s="2212">
        <v>1629.26166666667</v>
      </c>
      <c r="Z107" s="2212">
        <v>2936.875</v>
      </c>
      <c r="AA107" s="2212">
        <v>3211.8166666666698</v>
      </c>
      <c r="AB107" s="2212">
        <v>358.24166666666702</v>
      </c>
      <c r="AC107" s="2212">
        <v>7324.8383333333304</v>
      </c>
      <c r="AD107" s="2212">
        <v>4503.0766666666696</v>
      </c>
      <c r="AE107" s="2212">
        <v>880.73166666666702</v>
      </c>
      <c r="AF107" s="2213">
        <v>13861.264999999999</v>
      </c>
      <c r="AI107" s="2078">
        <f>Risk_Compensation!H113*Risk_Compensation!$AK113*12/1000000</f>
        <v>0</v>
      </c>
      <c r="AJ107" s="2079">
        <f>Risk_Compensation!I113*Risk_Compensation!$AK113*12/1000000</f>
        <v>0</v>
      </c>
      <c r="AK107" s="2079">
        <f>Risk_Compensation!J113*Risk_Compensation!$AK113*12/1000000</f>
        <v>0</v>
      </c>
      <c r="AL107" s="2079">
        <f>Risk_Compensation!K113*Risk_Compensation!$AK113*12/1000000</f>
        <v>0</v>
      </c>
      <c r="AM107" s="2079">
        <f>Risk_Compensation!L113*Risk_Compensation!$AK113*12/1000000</f>
        <v>0</v>
      </c>
      <c r="AN107" s="2079">
        <f>Risk_Compensation!M113*Risk_Compensation!$AK113*12/1000000</f>
        <v>0</v>
      </c>
      <c r="AO107" s="2079">
        <f>Risk_Compensation!N113*Risk_Compensation!$AK113*12/1000000</f>
        <v>0</v>
      </c>
      <c r="AP107" s="2079">
        <f>Risk_Compensation!O113*Risk_Compensation!$AK113*12/1000000</f>
        <v>0</v>
      </c>
      <c r="AQ107" s="2079">
        <f>Risk_Compensation!P113*Risk_Compensation!$AK113*12/1000000</f>
        <v>0</v>
      </c>
      <c r="AR107" s="2079">
        <f>Risk_Compensation!Q113*Risk_Compensation!$AK113*12/1000000</f>
        <v>0</v>
      </c>
      <c r="AS107" s="2079">
        <f>Risk_Compensation!R113*Risk_Compensation!$AK113*12/1000000</f>
        <v>0</v>
      </c>
      <c r="AT107" s="2079">
        <f>Risk_Compensation!S113*Risk_Compensation!$AK113*12/1000000</f>
        <v>0</v>
      </c>
      <c r="AU107" s="2079">
        <f>Risk_Compensation!T113*Risk_Compensation!$AK113*12/1000000</f>
        <v>0</v>
      </c>
      <c r="AV107" s="2079">
        <f>Risk_Compensation!U113*Risk_Compensation!$AK113*12/1000000</f>
        <v>0</v>
      </c>
      <c r="AW107" s="2079">
        <f>Risk_Compensation!V113*Risk_Compensation!$AK113*12/1000000</f>
        <v>0</v>
      </c>
      <c r="AX107" s="2079">
        <f>Risk_Compensation!W113*Risk_Compensation!$AK113*12/1000000</f>
        <v>0</v>
      </c>
      <c r="AY107" s="2079">
        <f>Risk_Compensation!X113*Risk_Compensation!$AK113*12/1000000</f>
        <v>0</v>
      </c>
      <c r="AZ107" s="2079">
        <f>Risk_Compensation!Y113*Risk_Compensation!$AK113*12/1000000</f>
        <v>0</v>
      </c>
      <c r="BA107" s="2079">
        <f>Risk_Compensation!Z113*Risk_Compensation!$AK113*12/1000000</f>
        <v>0</v>
      </c>
      <c r="BB107" s="2079">
        <f>Risk_Compensation!AA113*Risk_Compensation!$AK113*12/1000000</f>
        <v>0</v>
      </c>
      <c r="BC107" s="2079">
        <f>Risk_Compensation!AB113*Risk_Compensation!$AK113*12/1000000</f>
        <v>0</v>
      </c>
      <c r="BD107" s="2079">
        <f>Risk_Compensation!AC113*Risk_Compensation!$AK113*12/1000000</f>
        <v>0</v>
      </c>
      <c r="BE107" s="2079">
        <f>Risk_Compensation!AD113*Risk_Compensation!$AK113*12/1000000</f>
        <v>0</v>
      </c>
      <c r="BF107" s="2079">
        <f>Risk_Compensation!AE113*Risk_Compensation!$AK113*12/1000000</f>
        <v>0</v>
      </c>
      <c r="BG107" s="2079">
        <f>Risk_Compensation!AF113*Risk_Compensation!$AK113*12/1000000</f>
        <v>0</v>
      </c>
      <c r="BH107" s="2080">
        <f>Risk_Compensation!AG113*Risk_Compensation!$AK113*12/1000000</f>
        <v>0</v>
      </c>
      <c r="BK107" s="2138">
        <f>IF(G107&lt;=0,0,(Risk_Compensation!H113/G107-Risk_Compensation!H$79/G$72-0.5*CO$167*(G152/G107-CO$135/G$72))*G107)</f>
        <v>0</v>
      </c>
      <c r="BL107" s="2139">
        <f>IF(H107&lt;=0,0,(Risk_Compensation!I113/H107-Risk_Compensation!I$79/H$72-0.5*CP$167*(H152/H107-CP$135/H$72))*H107)</f>
        <v>0</v>
      </c>
      <c r="BM107" s="2139">
        <f>IF(I107&lt;=0,0,(Risk_Compensation!J113/I107-Risk_Compensation!J$79/I$72-0.5*CQ$167*(I152/I107-CQ$135/I$72))*I107)</f>
        <v>0</v>
      </c>
      <c r="BN107" s="2139">
        <f>IF(J107&lt;=0,0,(Risk_Compensation!K113/J107-Risk_Compensation!K$79/J$72-0.5*CR$167*(J152/J107-CR$135/J$72))*J107)</f>
        <v>0</v>
      </c>
      <c r="BO107" s="2139">
        <f>IF(K107&lt;=0,0,(Risk_Compensation!L113/K107-Risk_Compensation!L$79/K$72-0.5*CS$167*(K152/K107-CS$135/K$72))*K107)</f>
        <v>0</v>
      </c>
      <c r="BP107" s="2139">
        <f>IF(L107&lt;=0,0,(Risk_Compensation!M113/L107-Risk_Compensation!M$79/L$72-0.5*CT$167*(L152/L107-CT$135/L$72))*L107)</f>
        <v>0</v>
      </c>
      <c r="BQ107" s="2139">
        <f>IF(M107&lt;=0,0,(Risk_Compensation!N113/M107-Risk_Compensation!N$79/M$72-0.5*CU$167*(M152/M107-CU$135/M$72))*M107)</f>
        <v>0</v>
      </c>
      <c r="BR107" s="2139">
        <f>IF(N107&lt;=0,0,(Risk_Compensation!O113/N107-Risk_Compensation!O$79/N$72-0.5*CV$167*(N152/N107-CV$135/N$72))*N107)</f>
        <v>0</v>
      </c>
      <c r="BS107" s="2139">
        <f>IF(O107&lt;=0,0,(Risk_Compensation!P113/O107-Risk_Compensation!P$79/O$72-0.5*CW$167*(O152/O107-CW$135/O$72))*O107)</f>
        <v>0</v>
      </c>
      <c r="BT107" s="2139">
        <f>IF(P107&lt;=0,0,(Risk_Compensation!Q113/P107-Risk_Compensation!Q$79/P$72-0.5*CX$167*(P152/P107-CX$135/P$72))*P107)</f>
        <v>0</v>
      </c>
      <c r="BU107" s="2139">
        <f>IF(Q107&lt;=0,0,(Risk_Compensation!R113/Q107-Risk_Compensation!R$79/Q$72-0.5*CY$167*(Q152/Q107-CY$135/Q$72))*Q107)</f>
        <v>0</v>
      </c>
      <c r="BV107" s="2139">
        <f>IF(R107&lt;=0,0,(Risk_Compensation!S113/R107-Risk_Compensation!S$79/R$72-0.5*CZ$167*(R152/R107-CZ$135/R$72))*R107)</f>
        <v>0</v>
      </c>
      <c r="BW107" s="2139">
        <f>IF(S107&lt;=0,0,(Risk_Compensation!T113/S107-Risk_Compensation!T$79/S$72-0.5*DA$167*(S152/S107-DA$135/S$72))*S107)</f>
        <v>0</v>
      </c>
      <c r="BX107" s="2139">
        <f>IF(T107&lt;=0,0,(Risk_Compensation!U113/T107-Risk_Compensation!U$79/T$72-0.5*DB$167*(T152/T107-DB$135/T$72))*T107)</f>
        <v>0</v>
      </c>
      <c r="BY107" s="2139">
        <f>IF(U107&lt;=0,0,(Risk_Compensation!V113/U107-Risk_Compensation!V$79/U$72-0.5*DC$167*(U152/U107-DC$135/U$72))*U107)</f>
        <v>0</v>
      </c>
      <c r="BZ107" s="2139">
        <f>IF(V107&lt;=0,0,(Risk_Compensation!W113/V107-Risk_Compensation!W$79/V$72-0.5*DD$167*(V152/V107-DD$135/V$72))*V107)</f>
        <v>0</v>
      </c>
      <c r="CA107" s="2139">
        <f>IF(W107&lt;=0,0,(Risk_Compensation!X113/W107-Risk_Compensation!X$79/W$72-0.5*DE$167*(W152/W107-DE$135/W$72))*W107)</f>
        <v>0</v>
      </c>
      <c r="CB107" s="2139">
        <f>IF(X107&lt;=0,0,(Risk_Compensation!Y113/X107-Risk_Compensation!Y$79/X$72-0.5*DF$167*(X152/X107-DF$135/X$72))*X107)</f>
        <v>0</v>
      </c>
      <c r="CC107" s="2139">
        <f>IF(Y107&lt;=0,0,(Risk_Compensation!Z113/Y107-Risk_Compensation!Z$79/Y$72-0.5*DG$167*(Y152/Y107-DG$135/Y$72))*Y107)</f>
        <v>0</v>
      </c>
      <c r="CD107" s="2139">
        <f>IF(Z107&lt;=0,0,(Risk_Compensation!AA113/Z107-Risk_Compensation!AA$79/Z$72-0.5*DH$167*(Z152/Z107-DH$135/Z$72))*Z107)</f>
        <v>0</v>
      </c>
      <c r="CE107" s="2139">
        <f>IF(AA107&lt;=0,0,(Risk_Compensation!AB113/AA107-Risk_Compensation!AB$79/AA$72-0.5*DI$167*(AA152/AA107-DI$135/AA$72))*AA107)</f>
        <v>0</v>
      </c>
      <c r="CF107" s="2139">
        <f>IF(AB107&lt;=0,0,(Risk_Compensation!AC113/AB107-Risk_Compensation!AC$79/AB$72-0.5*DJ$167*(AB152/AB107-DJ$135/AB$72))*AB107)</f>
        <v>0</v>
      </c>
      <c r="CG107" s="2139">
        <f>IF(AC107&lt;=0,0,(Risk_Compensation!AD113/AC107-Risk_Compensation!AD$79/AC$72-0.5*DK$167*(AC152/AC107-DK$135/AC$72))*AC107)</f>
        <v>0</v>
      </c>
      <c r="CH107" s="2139">
        <f>IF(AD107&lt;=0,0,(Risk_Compensation!AE113/AD107-Risk_Compensation!AE$79/AD$72-0.5*DL$167*(AD152/AD107-DL$135/AD$72))*AD107)</f>
        <v>0</v>
      </c>
      <c r="CI107" s="2139">
        <f>IF(AE107&lt;=0,0,(Risk_Compensation!AF113/AE107-Risk_Compensation!AF$79/AE$72-0.5*DM$167*(AE152/AE107-DM$135/AE$72))*AE107)</f>
        <v>0</v>
      </c>
      <c r="CJ107" s="2140">
        <f>IF(AF107&lt;=0,0,(Risk_Compensation!AG113/AF107-Risk_Compensation!AG$79/AF$72-0.5*DN$167*(AF152/AF107-DN$135/AF$72))*AF107)</f>
        <v>0</v>
      </c>
      <c r="CL107" s="2144"/>
      <c r="CN107" s="2078">
        <f>IF(G107&gt;0,$DP107^2*(BK107*Risk_Compensation!$AK113*12/1000000)^2/G107,0)</f>
        <v>0</v>
      </c>
      <c r="CO107" s="2079">
        <f>IF(H107&gt;0,$DP107^2*(BL107*Risk_Compensation!$AK113*12/1000000)^2/H107,0)</f>
        <v>0</v>
      </c>
      <c r="CP107" s="2079">
        <f>IF(I107&gt;0,$DP107^2*(BM107*Risk_Compensation!$AK113*12/1000000)^2/I107,0)</f>
        <v>0</v>
      </c>
      <c r="CQ107" s="2079">
        <f>IF(J107&gt;0,$DP107^2*(BN107*Risk_Compensation!$AK113*12/1000000)^2/J107,0)</f>
        <v>0</v>
      </c>
      <c r="CR107" s="2079">
        <f>IF(K107&gt;0,$DP107^2*(BO107*Risk_Compensation!$AK113*12/1000000)^2/K107,0)</f>
        <v>0</v>
      </c>
      <c r="CS107" s="2079">
        <f>IF(L107&gt;0,$DP107^2*(BP107*Risk_Compensation!$AK113*12/1000000)^2/L107,0)</f>
        <v>0</v>
      </c>
      <c r="CT107" s="2079">
        <f>IF(M107&gt;0,$DP107^2*(BQ107*Risk_Compensation!$AK113*12/1000000)^2/M107,0)</f>
        <v>0</v>
      </c>
      <c r="CU107" s="2079">
        <f>IF(N107&gt;0,$DP107^2*(BR107*Risk_Compensation!$AK113*12/1000000)^2/N107,0)</f>
        <v>0</v>
      </c>
      <c r="CV107" s="2079">
        <f>IF(O107&gt;0,$DP107^2*(BS107*Risk_Compensation!$AK113*12/1000000)^2/O107,0)</f>
        <v>0</v>
      </c>
      <c r="CW107" s="2079">
        <f>IF(P107&gt;0,$DP107^2*(BT107*Risk_Compensation!$AK113*12/1000000)^2/P107,0)</f>
        <v>0</v>
      </c>
      <c r="CX107" s="2079">
        <f>IF(Q107&gt;0,$DP107^2*(BU107*Risk_Compensation!$AK113*12/1000000)^2/Q107,0)</f>
        <v>0</v>
      </c>
      <c r="CY107" s="2079">
        <f>IF(R107&gt;0,$DP107^2*(BV107*Risk_Compensation!$AK113*12/1000000)^2/R107,0)</f>
        <v>0</v>
      </c>
      <c r="CZ107" s="2079">
        <f>IF(S107&gt;0,$DP107^2*(BW107*Risk_Compensation!$AK113*12/1000000)^2/S107,0)</f>
        <v>0</v>
      </c>
      <c r="DA107" s="2079">
        <f>IF(T107&gt;0,$DP107^2*(BX107*Risk_Compensation!$AK113*12/1000000)^2/T107,0)</f>
        <v>0</v>
      </c>
      <c r="DB107" s="2079">
        <f>IF(U107&gt;0,$DP107^2*(BY107*Risk_Compensation!$AK113*12/1000000)^2/U107,0)</f>
        <v>0</v>
      </c>
      <c r="DC107" s="2079">
        <f>IF(V107&gt;0,$DP107^2*(BZ107*Risk_Compensation!$AK113*12/1000000)^2/V107,0)</f>
        <v>0</v>
      </c>
      <c r="DD107" s="2079">
        <f>IF(W107&gt;0,$DP107^2*(CA107*Risk_Compensation!$AK113*12/1000000)^2/W107,0)</f>
        <v>0</v>
      </c>
      <c r="DE107" s="2079">
        <f>IF(X107&gt;0,$DP107^2*(CB107*Risk_Compensation!$AK113*12/1000000)^2/X107,0)</f>
        <v>0</v>
      </c>
      <c r="DF107" s="2079">
        <f>IF(Y107&gt;0,$DP107^2*(CC107*Risk_Compensation!$AK113*12/1000000)^2/Y107,0)</f>
        <v>0</v>
      </c>
      <c r="DG107" s="2079">
        <f>IF(Z107&gt;0,$DP107^2*(CD107*Risk_Compensation!$AK113*12/1000000)^2/Z107,0)</f>
        <v>0</v>
      </c>
      <c r="DH107" s="2079">
        <f>IF(AA107&gt;0,$DP107^2*(CE107*Risk_Compensation!$AK113*12/1000000)^2/AA107,0)</f>
        <v>0</v>
      </c>
      <c r="DI107" s="2079">
        <f>IF(AB107&gt;0,$DP107^2*(CF107*Risk_Compensation!$AK113*12/1000000)^2/AB107,0)</f>
        <v>0</v>
      </c>
      <c r="DJ107" s="2079">
        <f>IF(AC107&gt;0,$DP107^2*(CG107*Risk_Compensation!$AK113*12/1000000)^2/AC107,0)</f>
        <v>0</v>
      </c>
      <c r="DK107" s="2079">
        <f>IF(AD107&gt;0,$DP107^2*(CH107*Risk_Compensation!$AK113*12/1000000)^2/AD107,0)</f>
        <v>0</v>
      </c>
      <c r="DL107" s="2079">
        <f>IF(AE107&gt;0,$DP107^2*(CI107*Risk_Compensation!$AK113*12/1000000)^2/AE107,0)</f>
        <v>0</v>
      </c>
      <c r="DM107" s="2080">
        <f>IF(AF107&gt;0,$DP107^2*(CJ107*Risk_Compensation!$AK113*12/1000000)^2/AF107,0)</f>
        <v>0</v>
      </c>
      <c r="DO107" s="1823"/>
      <c r="DP107" s="2219">
        <v>1.37689570103169</v>
      </c>
      <c r="DR107" s="1428" t="s">
        <v>2396</v>
      </c>
      <c r="DS107" s="1426" t="str">
        <f>Translation!B$610</f>
        <v>Chronische Schmerzen ohne Opioide</v>
      </c>
      <c r="DU107" s="2159"/>
      <c r="DV107" s="1428"/>
      <c r="DW107" s="2159"/>
      <c r="DX107" s="2159"/>
      <c r="DY107" s="2217"/>
      <c r="DZ107" s="2159"/>
      <c r="EA107" s="2159"/>
      <c r="EB107" s="2159"/>
      <c r="EC107" s="2159"/>
      <c r="ED107" s="2159"/>
      <c r="EE107" s="2159"/>
      <c r="EF107" s="2159"/>
      <c r="EG107" s="2159"/>
      <c r="EH107" s="2159"/>
      <c r="EI107" s="2159"/>
      <c r="EJ107" s="2159"/>
    </row>
    <row r="108" spans="3:140" x14ac:dyDescent="0.2">
      <c r="C108" s="1428" t="s">
        <v>2398</v>
      </c>
      <c r="D108" s="1426" t="str">
        <f>Translation!B$611</f>
        <v>Neuropathischer Schmerz</v>
      </c>
      <c r="F108" s="1437"/>
      <c r="G108" s="2211">
        <v>1640.41166666667</v>
      </c>
      <c r="H108" s="2212">
        <v>29.900833333333299</v>
      </c>
      <c r="I108" s="2212">
        <v>111.67</v>
      </c>
      <c r="J108" s="2212">
        <v>2895.7666666666701</v>
      </c>
      <c r="K108" s="2212">
        <v>756.03083333333302</v>
      </c>
      <c r="L108" s="2212">
        <v>667.84333333333302</v>
      </c>
      <c r="M108" s="2212">
        <v>945.01083333333304</v>
      </c>
      <c r="N108" s="2212">
        <v>1450.2433333333299</v>
      </c>
      <c r="O108" s="2212">
        <v>105.01416666666699</v>
      </c>
      <c r="P108" s="2212">
        <v>538.55416666666702</v>
      </c>
      <c r="Q108" s="2212">
        <v>269.35916666666702</v>
      </c>
      <c r="R108" s="2212">
        <v>924.86416666666696</v>
      </c>
      <c r="S108" s="2212">
        <v>877.07583333333298</v>
      </c>
      <c r="T108" s="2212">
        <v>67.1666666666667</v>
      </c>
      <c r="U108" s="2212">
        <v>76.717500000000001</v>
      </c>
      <c r="V108" s="2212">
        <v>1257.7574999999999</v>
      </c>
      <c r="W108" s="2212">
        <v>181.34166666666701</v>
      </c>
      <c r="X108" s="2212">
        <v>978.72500000000002</v>
      </c>
      <c r="Y108" s="2212">
        <v>317.52499999999998</v>
      </c>
      <c r="Z108" s="2212">
        <v>557.81166666666695</v>
      </c>
      <c r="AA108" s="2212">
        <v>1085.5316666666699</v>
      </c>
      <c r="AB108" s="2212">
        <v>76.673333333333304</v>
      </c>
      <c r="AC108" s="2212">
        <v>2207.0041666666698</v>
      </c>
      <c r="AD108" s="2212">
        <v>973.43333333333305</v>
      </c>
      <c r="AE108" s="2212">
        <v>229.849166666667</v>
      </c>
      <c r="AF108" s="2213">
        <v>3294.7033333333302</v>
      </c>
      <c r="AI108" s="2078">
        <f>Risk_Compensation!H114*Risk_Compensation!$AK114*12/1000000</f>
        <v>0</v>
      </c>
      <c r="AJ108" s="2079">
        <f>Risk_Compensation!I114*Risk_Compensation!$AK114*12/1000000</f>
        <v>0</v>
      </c>
      <c r="AK108" s="2079">
        <f>Risk_Compensation!J114*Risk_Compensation!$AK114*12/1000000</f>
        <v>0</v>
      </c>
      <c r="AL108" s="2079">
        <f>Risk_Compensation!K114*Risk_Compensation!$AK114*12/1000000</f>
        <v>0</v>
      </c>
      <c r="AM108" s="2079">
        <f>Risk_Compensation!L114*Risk_Compensation!$AK114*12/1000000</f>
        <v>0</v>
      </c>
      <c r="AN108" s="2079">
        <f>Risk_Compensation!M114*Risk_Compensation!$AK114*12/1000000</f>
        <v>0</v>
      </c>
      <c r="AO108" s="2079">
        <f>Risk_Compensation!N114*Risk_Compensation!$AK114*12/1000000</f>
        <v>0</v>
      </c>
      <c r="AP108" s="2079">
        <f>Risk_Compensation!O114*Risk_Compensation!$AK114*12/1000000</f>
        <v>0</v>
      </c>
      <c r="AQ108" s="2079">
        <f>Risk_Compensation!P114*Risk_Compensation!$AK114*12/1000000</f>
        <v>0</v>
      </c>
      <c r="AR108" s="2079">
        <f>Risk_Compensation!Q114*Risk_Compensation!$AK114*12/1000000</f>
        <v>0</v>
      </c>
      <c r="AS108" s="2079">
        <f>Risk_Compensation!R114*Risk_Compensation!$AK114*12/1000000</f>
        <v>0</v>
      </c>
      <c r="AT108" s="2079">
        <f>Risk_Compensation!S114*Risk_Compensation!$AK114*12/1000000</f>
        <v>0</v>
      </c>
      <c r="AU108" s="2079">
        <f>Risk_Compensation!T114*Risk_Compensation!$AK114*12/1000000</f>
        <v>0</v>
      </c>
      <c r="AV108" s="2079">
        <f>Risk_Compensation!U114*Risk_Compensation!$AK114*12/1000000</f>
        <v>0</v>
      </c>
      <c r="AW108" s="2079">
        <f>Risk_Compensation!V114*Risk_Compensation!$AK114*12/1000000</f>
        <v>0</v>
      </c>
      <c r="AX108" s="2079">
        <f>Risk_Compensation!W114*Risk_Compensation!$AK114*12/1000000</f>
        <v>0</v>
      </c>
      <c r="AY108" s="2079">
        <f>Risk_Compensation!X114*Risk_Compensation!$AK114*12/1000000</f>
        <v>0</v>
      </c>
      <c r="AZ108" s="2079">
        <f>Risk_Compensation!Y114*Risk_Compensation!$AK114*12/1000000</f>
        <v>0</v>
      </c>
      <c r="BA108" s="2079">
        <f>Risk_Compensation!Z114*Risk_Compensation!$AK114*12/1000000</f>
        <v>0</v>
      </c>
      <c r="BB108" s="2079">
        <f>Risk_Compensation!AA114*Risk_Compensation!$AK114*12/1000000</f>
        <v>0</v>
      </c>
      <c r="BC108" s="2079">
        <f>Risk_Compensation!AB114*Risk_Compensation!$AK114*12/1000000</f>
        <v>0</v>
      </c>
      <c r="BD108" s="2079">
        <f>Risk_Compensation!AC114*Risk_Compensation!$AK114*12/1000000</f>
        <v>0</v>
      </c>
      <c r="BE108" s="2079">
        <f>Risk_Compensation!AD114*Risk_Compensation!$AK114*12/1000000</f>
        <v>0</v>
      </c>
      <c r="BF108" s="2079">
        <f>Risk_Compensation!AE114*Risk_Compensation!$AK114*12/1000000</f>
        <v>0</v>
      </c>
      <c r="BG108" s="2079">
        <f>Risk_Compensation!AF114*Risk_Compensation!$AK114*12/1000000</f>
        <v>0</v>
      </c>
      <c r="BH108" s="2080">
        <f>Risk_Compensation!AG114*Risk_Compensation!$AK114*12/1000000</f>
        <v>0</v>
      </c>
      <c r="BK108" s="2138">
        <f>IF(G108&lt;=0,0,(Risk_Compensation!H114/G108-Risk_Compensation!H$79/G$72-0.5*CO$167*(G153/G108-CO$135/G$72))*G108)</f>
        <v>0</v>
      </c>
      <c r="BL108" s="2139">
        <f>IF(H108&lt;=0,0,(Risk_Compensation!I114/H108-Risk_Compensation!I$79/H$72-0.5*CP$167*(H153/H108-CP$135/H$72))*H108)</f>
        <v>0</v>
      </c>
      <c r="BM108" s="2139">
        <f>IF(I108&lt;=0,0,(Risk_Compensation!J114/I108-Risk_Compensation!J$79/I$72-0.5*CQ$167*(I153/I108-CQ$135/I$72))*I108)</f>
        <v>0</v>
      </c>
      <c r="BN108" s="2139">
        <f>IF(J108&lt;=0,0,(Risk_Compensation!K114/J108-Risk_Compensation!K$79/J$72-0.5*CR$167*(J153/J108-CR$135/J$72))*J108)</f>
        <v>0</v>
      </c>
      <c r="BO108" s="2139">
        <f>IF(K108&lt;=0,0,(Risk_Compensation!L114/K108-Risk_Compensation!L$79/K$72-0.5*CS$167*(K153/K108-CS$135/K$72))*K108)</f>
        <v>0</v>
      </c>
      <c r="BP108" s="2139">
        <f>IF(L108&lt;=0,0,(Risk_Compensation!M114/L108-Risk_Compensation!M$79/L$72-0.5*CT$167*(L153/L108-CT$135/L$72))*L108)</f>
        <v>0</v>
      </c>
      <c r="BQ108" s="2139">
        <f>IF(M108&lt;=0,0,(Risk_Compensation!N114/M108-Risk_Compensation!N$79/M$72-0.5*CU$167*(M153/M108-CU$135/M$72))*M108)</f>
        <v>0</v>
      </c>
      <c r="BR108" s="2139">
        <f>IF(N108&lt;=0,0,(Risk_Compensation!O114/N108-Risk_Compensation!O$79/N$72-0.5*CV$167*(N153/N108-CV$135/N$72))*N108)</f>
        <v>0</v>
      </c>
      <c r="BS108" s="2139">
        <f>IF(O108&lt;=0,0,(Risk_Compensation!P114/O108-Risk_Compensation!P$79/O$72-0.5*CW$167*(O153/O108-CW$135/O$72))*O108)</f>
        <v>0</v>
      </c>
      <c r="BT108" s="2139">
        <f>IF(P108&lt;=0,0,(Risk_Compensation!Q114/P108-Risk_Compensation!Q$79/P$72-0.5*CX$167*(P153/P108-CX$135/P$72))*P108)</f>
        <v>0</v>
      </c>
      <c r="BU108" s="2139">
        <f>IF(Q108&lt;=0,0,(Risk_Compensation!R114/Q108-Risk_Compensation!R$79/Q$72-0.5*CY$167*(Q153/Q108-CY$135/Q$72))*Q108)</f>
        <v>0</v>
      </c>
      <c r="BV108" s="2139">
        <f>IF(R108&lt;=0,0,(Risk_Compensation!S114/R108-Risk_Compensation!S$79/R$72-0.5*CZ$167*(R153/R108-CZ$135/R$72))*R108)</f>
        <v>0</v>
      </c>
      <c r="BW108" s="2139">
        <f>IF(S108&lt;=0,0,(Risk_Compensation!T114/S108-Risk_Compensation!T$79/S$72-0.5*DA$167*(S153/S108-DA$135/S$72))*S108)</f>
        <v>0</v>
      </c>
      <c r="BX108" s="2139">
        <f>IF(T108&lt;=0,0,(Risk_Compensation!U114/T108-Risk_Compensation!U$79/T$72-0.5*DB$167*(T153/T108-DB$135/T$72))*T108)</f>
        <v>0</v>
      </c>
      <c r="BY108" s="2139">
        <f>IF(U108&lt;=0,0,(Risk_Compensation!V114/U108-Risk_Compensation!V$79/U$72-0.5*DC$167*(U153/U108-DC$135/U$72))*U108)</f>
        <v>0</v>
      </c>
      <c r="BZ108" s="2139">
        <f>IF(V108&lt;=0,0,(Risk_Compensation!W114/V108-Risk_Compensation!W$79/V$72-0.5*DD$167*(V153/V108-DD$135/V$72))*V108)</f>
        <v>0</v>
      </c>
      <c r="CA108" s="2139">
        <f>IF(W108&lt;=0,0,(Risk_Compensation!X114/W108-Risk_Compensation!X$79/W$72-0.5*DE$167*(W153/W108-DE$135/W$72))*W108)</f>
        <v>0</v>
      </c>
      <c r="CB108" s="2139">
        <f>IF(X108&lt;=0,0,(Risk_Compensation!Y114/X108-Risk_Compensation!Y$79/X$72-0.5*DF$167*(X153/X108-DF$135/X$72))*X108)</f>
        <v>0</v>
      </c>
      <c r="CC108" s="2139">
        <f>IF(Y108&lt;=0,0,(Risk_Compensation!Z114/Y108-Risk_Compensation!Z$79/Y$72-0.5*DG$167*(Y153/Y108-DG$135/Y$72))*Y108)</f>
        <v>0</v>
      </c>
      <c r="CD108" s="2139">
        <f>IF(Z108&lt;=0,0,(Risk_Compensation!AA114/Z108-Risk_Compensation!AA$79/Z$72-0.5*DH$167*(Z153/Z108-DH$135/Z$72))*Z108)</f>
        <v>0</v>
      </c>
      <c r="CE108" s="2139">
        <f>IF(AA108&lt;=0,0,(Risk_Compensation!AB114/AA108-Risk_Compensation!AB$79/AA$72-0.5*DI$167*(AA153/AA108-DI$135/AA$72))*AA108)</f>
        <v>0</v>
      </c>
      <c r="CF108" s="2139">
        <f>IF(AB108&lt;=0,0,(Risk_Compensation!AC114/AB108-Risk_Compensation!AC$79/AB$72-0.5*DJ$167*(AB153/AB108-DJ$135/AB$72))*AB108)</f>
        <v>0</v>
      </c>
      <c r="CG108" s="2139">
        <f>IF(AC108&lt;=0,0,(Risk_Compensation!AD114/AC108-Risk_Compensation!AD$79/AC$72-0.5*DK$167*(AC153/AC108-DK$135/AC$72))*AC108)</f>
        <v>0</v>
      </c>
      <c r="CH108" s="2139">
        <f>IF(AD108&lt;=0,0,(Risk_Compensation!AE114/AD108-Risk_Compensation!AE$79/AD$72-0.5*DL$167*(AD153/AD108-DL$135/AD$72))*AD108)</f>
        <v>0</v>
      </c>
      <c r="CI108" s="2139">
        <f>IF(AE108&lt;=0,0,(Risk_Compensation!AF114/AE108-Risk_Compensation!AF$79/AE$72-0.5*DM$167*(AE153/AE108-DM$135/AE$72))*AE108)</f>
        <v>0</v>
      </c>
      <c r="CJ108" s="2140">
        <f>IF(AF108&lt;=0,0,(Risk_Compensation!AG114/AF108-Risk_Compensation!AG$79/AF$72-0.5*DN$167*(AF153/AF108-DN$135/AF$72))*AF108)</f>
        <v>0</v>
      </c>
      <c r="CL108" s="2144"/>
      <c r="CN108" s="2078">
        <f>IF(G108&gt;0,$DP108^2*(BK108*Risk_Compensation!$AK114*12/1000000)^2/G108,0)</f>
        <v>0</v>
      </c>
      <c r="CO108" s="2079">
        <f>IF(H108&gt;0,$DP108^2*(BL108*Risk_Compensation!$AK114*12/1000000)^2/H108,0)</f>
        <v>0</v>
      </c>
      <c r="CP108" s="2079">
        <f>IF(I108&gt;0,$DP108^2*(BM108*Risk_Compensation!$AK114*12/1000000)^2/I108,0)</f>
        <v>0</v>
      </c>
      <c r="CQ108" s="2079">
        <f>IF(J108&gt;0,$DP108^2*(BN108*Risk_Compensation!$AK114*12/1000000)^2/J108,0)</f>
        <v>0</v>
      </c>
      <c r="CR108" s="2079">
        <f>IF(K108&gt;0,$DP108^2*(BO108*Risk_Compensation!$AK114*12/1000000)^2/K108,0)</f>
        <v>0</v>
      </c>
      <c r="CS108" s="2079">
        <f>IF(L108&gt;0,$DP108^2*(BP108*Risk_Compensation!$AK114*12/1000000)^2/L108,0)</f>
        <v>0</v>
      </c>
      <c r="CT108" s="2079">
        <f>IF(M108&gt;0,$DP108^2*(BQ108*Risk_Compensation!$AK114*12/1000000)^2/M108,0)</f>
        <v>0</v>
      </c>
      <c r="CU108" s="2079">
        <f>IF(N108&gt;0,$DP108^2*(BR108*Risk_Compensation!$AK114*12/1000000)^2/N108,0)</f>
        <v>0</v>
      </c>
      <c r="CV108" s="2079">
        <f>IF(O108&gt;0,$DP108^2*(BS108*Risk_Compensation!$AK114*12/1000000)^2/O108,0)</f>
        <v>0</v>
      </c>
      <c r="CW108" s="2079">
        <f>IF(P108&gt;0,$DP108^2*(BT108*Risk_Compensation!$AK114*12/1000000)^2/P108,0)</f>
        <v>0</v>
      </c>
      <c r="CX108" s="2079">
        <f>IF(Q108&gt;0,$DP108^2*(BU108*Risk_Compensation!$AK114*12/1000000)^2/Q108,0)</f>
        <v>0</v>
      </c>
      <c r="CY108" s="2079">
        <f>IF(R108&gt;0,$DP108^2*(BV108*Risk_Compensation!$AK114*12/1000000)^2/R108,0)</f>
        <v>0</v>
      </c>
      <c r="CZ108" s="2079">
        <f>IF(S108&gt;0,$DP108^2*(BW108*Risk_Compensation!$AK114*12/1000000)^2/S108,0)</f>
        <v>0</v>
      </c>
      <c r="DA108" s="2079">
        <f>IF(T108&gt;0,$DP108^2*(BX108*Risk_Compensation!$AK114*12/1000000)^2/T108,0)</f>
        <v>0</v>
      </c>
      <c r="DB108" s="2079">
        <f>IF(U108&gt;0,$DP108^2*(BY108*Risk_Compensation!$AK114*12/1000000)^2/U108,0)</f>
        <v>0</v>
      </c>
      <c r="DC108" s="2079">
        <f>IF(V108&gt;0,$DP108^2*(BZ108*Risk_Compensation!$AK114*12/1000000)^2/V108,0)</f>
        <v>0</v>
      </c>
      <c r="DD108" s="2079">
        <f>IF(W108&gt;0,$DP108^2*(CA108*Risk_Compensation!$AK114*12/1000000)^2/W108,0)</f>
        <v>0</v>
      </c>
      <c r="DE108" s="2079">
        <f>IF(X108&gt;0,$DP108^2*(CB108*Risk_Compensation!$AK114*12/1000000)^2/X108,0)</f>
        <v>0</v>
      </c>
      <c r="DF108" s="2079">
        <f>IF(Y108&gt;0,$DP108^2*(CC108*Risk_Compensation!$AK114*12/1000000)^2/Y108,0)</f>
        <v>0</v>
      </c>
      <c r="DG108" s="2079">
        <f>IF(Z108&gt;0,$DP108^2*(CD108*Risk_Compensation!$AK114*12/1000000)^2/Z108,0)</f>
        <v>0</v>
      </c>
      <c r="DH108" s="2079">
        <f>IF(AA108&gt;0,$DP108^2*(CE108*Risk_Compensation!$AK114*12/1000000)^2/AA108,0)</f>
        <v>0</v>
      </c>
      <c r="DI108" s="2079">
        <f>IF(AB108&gt;0,$DP108^2*(CF108*Risk_Compensation!$AK114*12/1000000)^2/AB108,0)</f>
        <v>0</v>
      </c>
      <c r="DJ108" s="2079">
        <f>IF(AC108&gt;0,$DP108^2*(CG108*Risk_Compensation!$AK114*12/1000000)^2/AC108,0)</f>
        <v>0</v>
      </c>
      <c r="DK108" s="2079">
        <f>IF(AD108&gt;0,$DP108^2*(CH108*Risk_Compensation!$AK114*12/1000000)^2/AD108,0)</f>
        <v>0</v>
      </c>
      <c r="DL108" s="2079">
        <f>IF(AE108&gt;0,$DP108^2*(CI108*Risk_Compensation!$AK114*12/1000000)^2/AE108,0)</f>
        <v>0</v>
      </c>
      <c r="DM108" s="2080">
        <f>IF(AF108&gt;0,$DP108^2*(CJ108*Risk_Compensation!$AK114*12/1000000)^2/AF108,0)</f>
        <v>0</v>
      </c>
      <c r="DO108" s="1823"/>
      <c r="DP108" s="2219">
        <v>1.2496302795802801</v>
      </c>
      <c r="DR108" s="1428" t="s">
        <v>2398</v>
      </c>
      <c r="DS108" s="1426" t="str">
        <f>Translation!B$611</f>
        <v>Neuropathischer Schmerz</v>
      </c>
      <c r="DU108" s="2159"/>
      <c r="DV108" s="1428"/>
      <c r="DW108" s="2159"/>
      <c r="DX108" s="2159"/>
      <c r="DY108" s="2217"/>
      <c r="DZ108" s="2159"/>
      <c r="EA108" s="2159"/>
      <c r="EB108" s="2159"/>
      <c r="EC108" s="2159"/>
      <c r="ED108" s="2159"/>
      <c r="EE108" s="2159"/>
      <c r="EF108" s="2159"/>
      <c r="EG108" s="2159"/>
      <c r="EH108" s="2159"/>
      <c r="EI108" s="2159"/>
      <c r="EJ108" s="2159"/>
    </row>
    <row r="109" spans="3:140" x14ac:dyDescent="0.2">
      <c r="C109" s="1428" t="s">
        <v>2400</v>
      </c>
      <c r="D109" s="1426" t="str">
        <f>Translation!B$612</f>
        <v>Schilddrüsenerkrankungen</v>
      </c>
      <c r="F109" s="1437"/>
      <c r="G109" s="2211">
        <v>12628.9416666667</v>
      </c>
      <c r="H109" s="2212">
        <v>158.655</v>
      </c>
      <c r="I109" s="2212">
        <v>711.44</v>
      </c>
      <c r="J109" s="2212">
        <v>21682.718333333301</v>
      </c>
      <c r="K109" s="2212">
        <v>5970.7591666666704</v>
      </c>
      <c r="L109" s="2212">
        <v>3840.5324999999998</v>
      </c>
      <c r="M109" s="2212">
        <v>5852.3225000000002</v>
      </c>
      <c r="N109" s="2212">
        <v>7622.2458333333298</v>
      </c>
      <c r="O109" s="2212">
        <v>656.19666666666706</v>
      </c>
      <c r="P109" s="2212">
        <v>3324.80083333333</v>
      </c>
      <c r="Q109" s="2212">
        <v>1351.25583333333</v>
      </c>
      <c r="R109" s="2212">
        <v>7135.5641666666697</v>
      </c>
      <c r="S109" s="2212">
        <v>3133.9566666666701</v>
      </c>
      <c r="T109" s="2212">
        <v>767.20416666666699</v>
      </c>
      <c r="U109" s="2212">
        <v>632.74166666666702</v>
      </c>
      <c r="V109" s="2212">
        <v>7576.23</v>
      </c>
      <c r="W109" s="2212">
        <v>1606.38333333333</v>
      </c>
      <c r="X109" s="2212">
        <v>5607.5974999999999</v>
      </c>
      <c r="Y109" s="2212">
        <v>2574.50583333333</v>
      </c>
      <c r="Z109" s="2212">
        <v>4689.3616666666703</v>
      </c>
      <c r="AA109" s="2212">
        <v>6102.6383333333297</v>
      </c>
      <c r="AB109" s="2212">
        <v>559.96249999999998</v>
      </c>
      <c r="AC109" s="2212">
        <v>12831.887500000001</v>
      </c>
      <c r="AD109" s="2212">
        <v>6332.8050000000003</v>
      </c>
      <c r="AE109" s="2212">
        <v>1916.6841666666701</v>
      </c>
      <c r="AF109" s="2213">
        <v>26847.038333333301</v>
      </c>
      <c r="AI109" s="2078">
        <f>Risk_Compensation!H115*Risk_Compensation!$AK115*12/1000000</f>
        <v>0</v>
      </c>
      <c r="AJ109" s="2079">
        <f>Risk_Compensation!I115*Risk_Compensation!$AK115*12/1000000</f>
        <v>0</v>
      </c>
      <c r="AK109" s="2079">
        <f>Risk_Compensation!J115*Risk_Compensation!$AK115*12/1000000</f>
        <v>0</v>
      </c>
      <c r="AL109" s="2079">
        <f>Risk_Compensation!K115*Risk_Compensation!$AK115*12/1000000</f>
        <v>0</v>
      </c>
      <c r="AM109" s="2079">
        <f>Risk_Compensation!L115*Risk_Compensation!$AK115*12/1000000</f>
        <v>0</v>
      </c>
      <c r="AN109" s="2079">
        <f>Risk_Compensation!M115*Risk_Compensation!$AK115*12/1000000</f>
        <v>0</v>
      </c>
      <c r="AO109" s="2079">
        <f>Risk_Compensation!N115*Risk_Compensation!$AK115*12/1000000</f>
        <v>0</v>
      </c>
      <c r="AP109" s="2079">
        <f>Risk_Compensation!O115*Risk_Compensation!$AK115*12/1000000</f>
        <v>0</v>
      </c>
      <c r="AQ109" s="2079">
        <f>Risk_Compensation!P115*Risk_Compensation!$AK115*12/1000000</f>
        <v>0</v>
      </c>
      <c r="AR109" s="2079">
        <f>Risk_Compensation!Q115*Risk_Compensation!$AK115*12/1000000</f>
        <v>0</v>
      </c>
      <c r="AS109" s="2079">
        <f>Risk_Compensation!R115*Risk_Compensation!$AK115*12/1000000</f>
        <v>0</v>
      </c>
      <c r="AT109" s="2079">
        <f>Risk_Compensation!S115*Risk_Compensation!$AK115*12/1000000</f>
        <v>0</v>
      </c>
      <c r="AU109" s="2079">
        <f>Risk_Compensation!T115*Risk_Compensation!$AK115*12/1000000</f>
        <v>0</v>
      </c>
      <c r="AV109" s="2079">
        <f>Risk_Compensation!U115*Risk_Compensation!$AK115*12/1000000</f>
        <v>0</v>
      </c>
      <c r="AW109" s="2079">
        <f>Risk_Compensation!V115*Risk_Compensation!$AK115*12/1000000</f>
        <v>0</v>
      </c>
      <c r="AX109" s="2079">
        <f>Risk_Compensation!W115*Risk_Compensation!$AK115*12/1000000</f>
        <v>0</v>
      </c>
      <c r="AY109" s="2079">
        <f>Risk_Compensation!X115*Risk_Compensation!$AK115*12/1000000</f>
        <v>0</v>
      </c>
      <c r="AZ109" s="2079">
        <f>Risk_Compensation!Y115*Risk_Compensation!$AK115*12/1000000</f>
        <v>0</v>
      </c>
      <c r="BA109" s="2079">
        <f>Risk_Compensation!Z115*Risk_Compensation!$AK115*12/1000000</f>
        <v>0</v>
      </c>
      <c r="BB109" s="2079">
        <f>Risk_Compensation!AA115*Risk_Compensation!$AK115*12/1000000</f>
        <v>0</v>
      </c>
      <c r="BC109" s="2079">
        <f>Risk_Compensation!AB115*Risk_Compensation!$AK115*12/1000000</f>
        <v>0</v>
      </c>
      <c r="BD109" s="2079">
        <f>Risk_Compensation!AC115*Risk_Compensation!$AK115*12/1000000</f>
        <v>0</v>
      </c>
      <c r="BE109" s="2079">
        <f>Risk_Compensation!AD115*Risk_Compensation!$AK115*12/1000000</f>
        <v>0</v>
      </c>
      <c r="BF109" s="2079">
        <f>Risk_Compensation!AE115*Risk_Compensation!$AK115*12/1000000</f>
        <v>0</v>
      </c>
      <c r="BG109" s="2079">
        <f>Risk_Compensation!AF115*Risk_Compensation!$AK115*12/1000000</f>
        <v>0</v>
      </c>
      <c r="BH109" s="2080">
        <f>Risk_Compensation!AG115*Risk_Compensation!$AK115*12/1000000</f>
        <v>0</v>
      </c>
      <c r="BK109" s="2138">
        <f>IF(G109&lt;=0,0,(Risk_Compensation!H115/G109-Risk_Compensation!H$79/G$72-0.5*CO$167*(G154/G109-CO$135/G$72))*G109)</f>
        <v>0</v>
      </c>
      <c r="BL109" s="2139">
        <f>IF(H109&lt;=0,0,(Risk_Compensation!I115/H109-Risk_Compensation!I$79/H$72-0.5*CP$167*(H154/H109-CP$135/H$72))*H109)</f>
        <v>0</v>
      </c>
      <c r="BM109" s="2139">
        <f>IF(I109&lt;=0,0,(Risk_Compensation!J115/I109-Risk_Compensation!J$79/I$72-0.5*CQ$167*(I154/I109-CQ$135/I$72))*I109)</f>
        <v>0</v>
      </c>
      <c r="BN109" s="2139">
        <f>IF(J109&lt;=0,0,(Risk_Compensation!K115/J109-Risk_Compensation!K$79/J$72-0.5*CR$167*(J154/J109-CR$135/J$72))*J109)</f>
        <v>0</v>
      </c>
      <c r="BO109" s="2139">
        <f>IF(K109&lt;=0,0,(Risk_Compensation!L115/K109-Risk_Compensation!L$79/K$72-0.5*CS$167*(K154/K109-CS$135/K$72))*K109)</f>
        <v>0</v>
      </c>
      <c r="BP109" s="2139">
        <f>IF(L109&lt;=0,0,(Risk_Compensation!M115/L109-Risk_Compensation!M$79/L$72-0.5*CT$167*(L154/L109-CT$135/L$72))*L109)</f>
        <v>0</v>
      </c>
      <c r="BQ109" s="2139">
        <f>IF(M109&lt;=0,0,(Risk_Compensation!N115/M109-Risk_Compensation!N$79/M$72-0.5*CU$167*(M154/M109-CU$135/M$72))*M109)</f>
        <v>0</v>
      </c>
      <c r="BR109" s="2139">
        <f>IF(N109&lt;=0,0,(Risk_Compensation!O115/N109-Risk_Compensation!O$79/N$72-0.5*CV$167*(N154/N109-CV$135/N$72))*N109)</f>
        <v>0</v>
      </c>
      <c r="BS109" s="2139">
        <f>IF(O109&lt;=0,0,(Risk_Compensation!P115/O109-Risk_Compensation!P$79/O$72-0.5*CW$167*(O154/O109-CW$135/O$72))*O109)</f>
        <v>0</v>
      </c>
      <c r="BT109" s="2139">
        <f>IF(P109&lt;=0,0,(Risk_Compensation!Q115/P109-Risk_Compensation!Q$79/P$72-0.5*CX$167*(P154/P109-CX$135/P$72))*P109)</f>
        <v>0</v>
      </c>
      <c r="BU109" s="2139">
        <f>IF(Q109&lt;=0,0,(Risk_Compensation!R115/Q109-Risk_Compensation!R$79/Q$72-0.5*CY$167*(Q154/Q109-CY$135/Q$72))*Q109)</f>
        <v>0</v>
      </c>
      <c r="BV109" s="2139">
        <f>IF(R109&lt;=0,0,(Risk_Compensation!S115/R109-Risk_Compensation!S$79/R$72-0.5*CZ$167*(R154/R109-CZ$135/R$72))*R109)</f>
        <v>0</v>
      </c>
      <c r="BW109" s="2139">
        <f>IF(S109&lt;=0,0,(Risk_Compensation!T115/S109-Risk_Compensation!T$79/S$72-0.5*DA$167*(S154/S109-DA$135/S$72))*S109)</f>
        <v>0</v>
      </c>
      <c r="BX109" s="2139">
        <f>IF(T109&lt;=0,0,(Risk_Compensation!U115/T109-Risk_Compensation!U$79/T$72-0.5*DB$167*(T154/T109-DB$135/T$72))*T109)</f>
        <v>0</v>
      </c>
      <c r="BY109" s="2139">
        <f>IF(U109&lt;=0,0,(Risk_Compensation!V115/U109-Risk_Compensation!V$79/U$72-0.5*DC$167*(U154/U109-DC$135/U$72))*U109)</f>
        <v>0</v>
      </c>
      <c r="BZ109" s="2139">
        <f>IF(V109&lt;=0,0,(Risk_Compensation!W115/V109-Risk_Compensation!W$79/V$72-0.5*DD$167*(V154/V109-DD$135/V$72))*V109)</f>
        <v>0</v>
      </c>
      <c r="CA109" s="2139">
        <f>IF(W109&lt;=0,0,(Risk_Compensation!X115/W109-Risk_Compensation!X$79/W$72-0.5*DE$167*(W154/W109-DE$135/W$72))*W109)</f>
        <v>0</v>
      </c>
      <c r="CB109" s="2139">
        <f>IF(X109&lt;=0,0,(Risk_Compensation!Y115/X109-Risk_Compensation!Y$79/X$72-0.5*DF$167*(X154/X109-DF$135/X$72))*X109)</f>
        <v>0</v>
      </c>
      <c r="CC109" s="2139">
        <f>IF(Y109&lt;=0,0,(Risk_Compensation!Z115/Y109-Risk_Compensation!Z$79/Y$72-0.5*DG$167*(Y154/Y109-DG$135/Y$72))*Y109)</f>
        <v>0</v>
      </c>
      <c r="CD109" s="2139">
        <f>IF(Z109&lt;=0,0,(Risk_Compensation!AA115/Z109-Risk_Compensation!AA$79/Z$72-0.5*DH$167*(Z154/Z109-DH$135/Z$72))*Z109)</f>
        <v>0</v>
      </c>
      <c r="CE109" s="2139">
        <f>IF(AA109&lt;=0,0,(Risk_Compensation!AB115/AA109-Risk_Compensation!AB$79/AA$72-0.5*DI$167*(AA154/AA109-DI$135/AA$72))*AA109)</f>
        <v>0</v>
      </c>
      <c r="CF109" s="2139">
        <f>IF(AB109&lt;=0,0,(Risk_Compensation!AC115/AB109-Risk_Compensation!AC$79/AB$72-0.5*DJ$167*(AB154/AB109-DJ$135/AB$72))*AB109)</f>
        <v>0</v>
      </c>
      <c r="CG109" s="2139">
        <f>IF(AC109&lt;=0,0,(Risk_Compensation!AD115/AC109-Risk_Compensation!AD$79/AC$72-0.5*DK$167*(AC154/AC109-DK$135/AC$72))*AC109)</f>
        <v>0</v>
      </c>
      <c r="CH109" s="2139">
        <f>IF(AD109&lt;=0,0,(Risk_Compensation!AE115/AD109-Risk_Compensation!AE$79/AD$72-0.5*DL$167*(AD154/AD109-DL$135/AD$72))*AD109)</f>
        <v>0</v>
      </c>
      <c r="CI109" s="2139">
        <f>IF(AE109&lt;=0,0,(Risk_Compensation!AF115/AE109-Risk_Compensation!AF$79/AE$72-0.5*DM$167*(AE154/AE109-DM$135/AE$72))*AE109)</f>
        <v>0</v>
      </c>
      <c r="CJ109" s="2140">
        <f>IF(AF109&lt;=0,0,(Risk_Compensation!AG115/AF109-Risk_Compensation!AG$79/AF$72-0.5*DN$167*(AF154/AF109-DN$135/AF$72))*AF109)</f>
        <v>0</v>
      </c>
      <c r="CL109" s="2144"/>
      <c r="CN109" s="2078">
        <f>IF(G109&gt;0,$DP109^2*(BK109*Risk_Compensation!$AK115*12/1000000)^2/G109,0)</f>
        <v>0</v>
      </c>
      <c r="CO109" s="2079">
        <f>IF(H109&gt;0,$DP109^2*(BL109*Risk_Compensation!$AK115*12/1000000)^2/H109,0)</f>
        <v>0</v>
      </c>
      <c r="CP109" s="2079">
        <f>IF(I109&gt;0,$DP109^2*(BM109*Risk_Compensation!$AK115*12/1000000)^2/I109,0)</f>
        <v>0</v>
      </c>
      <c r="CQ109" s="2079">
        <f>IF(J109&gt;0,$DP109^2*(BN109*Risk_Compensation!$AK115*12/1000000)^2/J109,0)</f>
        <v>0</v>
      </c>
      <c r="CR109" s="2079">
        <f>IF(K109&gt;0,$DP109^2*(BO109*Risk_Compensation!$AK115*12/1000000)^2/K109,0)</f>
        <v>0</v>
      </c>
      <c r="CS109" s="2079">
        <f>IF(L109&gt;0,$DP109^2*(BP109*Risk_Compensation!$AK115*12/1000000)^2/L109,0)</f>
        <v>0</v>
      </c>
      <c r="CT109" s="2079">
        <f>IF(M109&gt;0,$DP109^2*(BQ109*Risk_Compensation!$AK115*12/1000000)^2/M109,0)</f>
        <v>0</v>
      </c>
      <c r="CU109" s="2079">
        <f>IF(N109&gt;0,$DP109^2*(BR109*Risk_Compensation!$AK115*12/1000000)^2/N109,0)</f>
        <v>0</v>
      </c>
      <c r="CV109" s="2079">
        <f>IF(O109&gt;0,$DP109^2*(BS109*Risk_Compensation!$AK115*12/1000000)^2/O109,0)</f>
        <v>0</v>
      </c>
      <c r="CW109" s="2079">
        <f>IF(P109&gt;0,$DP109^2*(BT109*Risk_Compensation!$AK115*12/1000000)^2/P109,0)</f>
        <v>0</v>
      </c>
      <c r="CX109" s="2079">
        <f>IF(Q109&gt;0,$DP109^2*(BU109*Risk_Compensation!$AK115*12/1000000)^2/Q109,0)</f>
        <v>0</v>
      </c>
      <c r="CY109" s="2079">
        <f>IF(R109&gt;0,$DP109^2*(BV109*Risk_Compensation!$AK115*12/1000000)^2/R109,0)</f>
        <v>0</v>
      </c>
      <c r="CZ109" s="2079">
        <f>IF(S109&gt;0,$DP109^2*(BW109*Risk_Compensation!$AK115*12/1000000)^2/S109,0)</f>
        <v>0</v>
      </c>
      <c r="DA109" s="2079">
        <f>IF(T109&gt;0,$DP109^2*(BX109*Risk_Compensation!$AK115*12/1000000)^2/T109,0)</f>
        <v>0</v>
      </c>
      <c r="DB109" s="2079">
        <f>IF(U109&gt;0,$DP109^2*(BY109*Risk_Compensation!$AK115*12/1000000)^2/U109,0)</f>
        <v>0</v>
      </c>
      <c r="DC109" s="2079">
        <f>IF(V109&gt;0,$DP109^2*(BZ109*Risk_Compensation!$AK115*12/1000000)^2/V109,0)</f>
        <v>0</v>
      </c>
      <c r="DD109" s="2079">
        <f>IF(W109&gt;0,$DP109^2*(CA109*Risk_Compensation!$AK115*12/1000000)^2/W109,0)</f>
        <v>0</v>
      </c>
      <c r="DE109" s="2079">
        <f>IF(X109&gt;0,$DP109^2*(CB109*Risk_Compensation!$AK115*12/1000000)^2/X109,0)</f>
        <v>0</v>
      </c>
      <c r="DF109" s="2079">
        <f>IF(Y109&gt;0,$DP109^2*(CC109*Risk_Compensation!$AK115*12/1000000)^2/Y109,0)</f>
        <v>0</v>
      </c>
      <c r="DG109" s="2079">
        <f>IF(Z109&gt;0,$DP109^2*(CD109*Risk_Compensation!$AK115*12/1000000)^2/Z109,0)</f>
        <v>0</v>
      </c>
      <c r="DH109" s="2079">
        <f>IF(AA109&gt;0,$DP109^2*(CE109*Risk_Compensation!$AK115*12/1000000)^2/AA109,0)</f>
        <v>0</v>
      </c>
      <c r="DI109" s="2079">
        <f>IF(AB109&gt;0,$DP109^2*(CF109*Risk_Compensation!$AK115*12/1000000)^2/AB109,0)</f>
        <v>0</v>
      </c>
      <c r="DJ109" s="2079">
        <f>IF(AC109&gt;0,$DP109^2*(CG109*Risk_Compensation!$AK115*12/1000000)^2/AC109,0)</f>
        <v>0</v>
      </c>
      <c r="DK109" s="2079">
        <f>IF(AD109&gt;0,$DP109^2*(CH109*Risk_Compensation!$AK115*12/1000000)^2/AD109,0)</f>
        <v>0</v>
      </c>
      <c r="DL109" s="2079">
        <f>IF(AE109&gt;0,$DP109^2*(CI109*Risk_Compensation!$AK115*12/1000000)^2/AE109,0)</f>
        <v>0</v>
      </c>
      <c r="DM109" s="2080">
        <f>IF(AF109&gt;0,$DP109^2*(CJ109*Risk_Compensation!$AK115*12/1000000)^2/AF109,0)</f>
        <v>0</v>
      </c>
      <c r="DO109" s="1823"/>
      <c r="DP109" s="2219">
        <v>1.78936283077172</v>
      </c>
      <c r="DR109" s="1428" t="s">
        <v>2400</v>
      </c>
      <c r="DS109" s="1426" t="str">
        <f>Translation!B$612</f>
        <v>Schilddrüsenerkrankungen</v>
      </c>
      <c r="DU109" s="2159"/>
      <c r="DV109" s="1428"/>
      <c r="DW109" s="2159"/>
      <c r="DX109" s="2159"/>
      <c r="DY109" s="2217"/>
      <c r="DZ109" s="2159"/>
      <c r="EA109" s="2159"/>
      <c r="EB109" s="2159"/>
      <c r="EC109" s="2159"/>
      <c r="ED109" s="2159"/>
      <c r="EE109" s="2159"/>
      <c r="EF109" s="2159"/>
      <c r="EG109" s="2159"/>
      <c r="EH109" s="2159"/>
      <c r="EI109" s="2159"/>
      <c r="EJ109" s="2159"/>
    </row>
    <row r="110" spans="3:140" x14ac:dyDescent="0.2">
      <c r="C110" s="1428" t="s">
        <v>2402</v>
      </c>
      <c r="D110" s="1426" t="str">
        <f>Translation!B$613</f>
        <v>Transplantationen</v>
      </c>
      <c r="F110" s="1437"/>
      <c r="G110" s="2211">
        <v>573.03083333333302</v>
      </c>
      <c r="H110" s="2212">
        <v>11</v>
      </c>
      <c r="I110" s="2212">
        <v>33.3333333333333</v>
      </c>
      <c r="J110" s="2212">
        <v>971.14499999999998</v>
      </c>
      <c r="K110" s="2212">
        <v>261.33999999999997</v>
      </c>
      <c r="L110" s="2212">
        <v>179.48333333333301</v>
      </c>
      <c r="M110" s="2212">
        <v>285.66000000000003</v>
      </c>
      <c r="N110" s="2212">
        <v>566.97249999999997</v>
      </c>
      <c r="O110" s="2212">
        <v>32.5</v>
      </c>
      <c r="P110" s="2212">
        <v>152.16833333333301</v>
      </c>
      <c r="Q110" s="2212">
        <v>86.45</v>
      </c>
      <c r="R110" s="2212">
        <v>309.54333333333301</v>
      </c>
      <c r="S110" s="2212">
        <v>177.303333333333</v>
      </c>
      <c r="T110" s="2212">
        <v>34.482500000000002</v>
      </c>
      <c r="U110" s="2212">
        <v>31.25</v>
      </c>
      <c r="V110" s="2212">
        <v>422.65249999999997</v>
      </c>
      <c r="W110" s="2212">
        <v>71.091666666666697</v>
      </c>
      <c r="X110" s="2212">
        <v>230.85333333333301</v>
      </c>
      <c r="Y110" s="2212">
        <v>115.61166666666701</v>
      </c>
      <c r="Z110" s="2212">
        <v>232.72499999999999</v>
      </c>
      <c r="AA110" s="2212">
        <v>363.92416666666702</v>
      </c>
      <c r="AB110" s="2212">
        <v>18.247499999999999</v>
      </c>
      <c r="AC110" s="2212">
        <v>828.24416666666696</v>
      </c>
      <c r="AD110" s="2212">
        <v>433.52833333333302</v>
      </c>
      <c r="AE110" s="2212">
        <v>95.125833333333304</v>
      </c>
      <c r="AF110" s="2213">
        <v>1133.8175000000001</v>
      </c>
      <c r="AI110" s="2078">
        <f>Risk_Compensation!H116*Risk_Compensation!$AK116*12/1000000</f>
        <v>0</v>
      </c>
      <c r="AJ110" s="2079">
        <f>Risk_Compensation!I116*Risk_Compensation!$AK116*12/1000000</f>
        <v>0</v>
      </c>
      <c r="AK110" s="2079">
        <f>Risk_Compensation!J116*Risk_Compensation!$AK116*12/1000000</f>
        <v>0</v>
      </c>
      <c r="AL110" s="2079">
        <f>Risk_Compensation!K116*Risk_Compensation!$AK116*12/1000000</f>
        <v>0</v>
      </c>
      <c r="AM110" s="2079">
        <f>Risk_Compensation!L116*Risk_Compensation!$AK116*12/1000000</f>
        <v>0</v>
      </c>
      <c r="AN110" s="2079">
        <f>Risk_Compensation!M116*Risk_Compensation!$AK116*12/1000000</f>
        <v>0</v>
      </c>
      <c r="AO110" s="2079">
        <f>Risk_Compensation!N116*Risk_Compensation!$AK116*12/1000000</f>
        <v>0</v>
      </c>
      <c r="AP110" s="2079">
        <f>Risk_Compensation!O116*Risk_Compensation!$AK116*12/1000000</f>
        <v>0</v>
      </c>
      <c r="AQ110" s="2079">
        <f>Risk_Compensation!P116*Risk_Compensation!$AK116*12/1000000</f>
        <v>0</v>
      </c>
      <c r="AR110" s="2079">
        <f>Risk_Compensation!Q116*Risk_Compensation!$AK116*12/1000000</f>
        <v>0</v>
      </c>
      <c r="AS110" s="2079">
        <f>Risk_Compensation!R116*Risk_Compensation!$AK116*12/1000000</f>
        <v>0</v>
      </c>
      <c r="AT110" s="2079">
        <f>Risk_Compensation!S116*Risk_Compensation!$AK116*12/1000000</f>
        <v>0</v>
      </c>
      <c r="AU110" s="2079">
        <f>Risk_Compensation!T116*Risk_Compensation!$AK116*12/1000000</f>
        <v>0</v>
      </c>
      <c r="AV110" s="2079">
        <f>Risk_Compensation!U116*Risk_Compensation!$AK116*12/1000000</f>
        <v>0</v>
      </c>
      <c r="AW110" s="2079">
        <f>Risk_Compensation!V116*Risk_Compensation!$AK116*12/1000000</f>
        <v>0</v>
      </c>
      <c r="AX110" s="2079">
        <f>Risk_Compensation!W116*Risk_Compensation!$AK116*12/1000000</f>
        <v>0</v>
      </c>
      <c r="AY110" s="2079">
        <f>Risk_Compensation!X116*Risk_Compensation!$AK116*12/1000000</f>
        <v>0</v>
      </c>
      <c r="AZ110" s="2079">
        <f>Risk_Compensation!Y116*Risk_Compensation!$AK116*12/1000000</f>
        <v>0</v>
      </c>
      <c r="BA110" s="2079">
        <f>Risk_Compensation!Z116*Risk_Compensation!$AK116*12/1000000</f>
        <v>0</v>
      </c>
      <c r="BB110" s="2079">
        <f>Risk_Compensation!AA116*Risk_Compensation!$AK116*12/1000000</f>
        <v>0</v>
      </c>
      <c r="BC110" s="2079">
        <f>Risk_Compensation!AB116*Risk_Compensation!$AK116*12/1000000</f>
        <v>0</v>
      </c>
      <c r="BD110" s="2079">
        <f>Risk_Compensation!AC116*Risk_Compensation!$AK116*12/1000000</f>
        <v>0</v>
      </c>
      <c r="BE110" s="2079">
        <f>Risk_Compensation!AD116*Risk_Compensation!$AK116*12/1000000</f>
        <v>0</v>
      </c>
      <c r="BF110" s="2079">
        <f>Risk_Compensation!AE116*Risk_Compensation!$AK116*12/1000000</f>
        <v>0</v>
      </c>
      <c r="BG110" s="2079">
        <f>Risk_Compensation!AF116*Risk_Compensation!$AK116*12/1000000</f>
        <v>0</v>
      </c>
      <c r="BH110" s="2080">
        <f>Risk_Compensation!AG116*Risk_Compensation!$AK116*12/1000000</f>
        <v>0</v>
      </c>
      <c r="BK110" s="2138">
        <f>IF(G110&lt;=0,0,(Risk_Compensation!H116/G110-Risk_Compensation!H$79/G$72-0.5*CO$167*(G155/G110-CO$135/G$72))*G110)</f>
        <v>0</v>
      </c>
      <c r="BL110" s="2139">
        <f>IF(H110&lt;=0,0,(Risk_Compensation!I116/H110-Risk_Compensation!I$79/H$72-0.5*CP$167*(H155/H110-CP$135/H$72))*H110)</f>
        <v>0</v>
      </c>
      <c r="BM110" s="2139">
        <f>IF(I110&lt;=0,0,(Risk_Compensation!J116/I110-Risk_Compensation!J$79/I$72-0.5*CQ$167*(I155/I110-CQ$135/I$72))*I110)</f>
        <v>0</v>
      </c>
      <c r="BN110" s="2139">
        <f>IF(J110&lt;=0,0,(Risk_Compensation!K116/J110-Risk_Compensation!K$79/J$72-0.5*CR$167*(J155/J110-CR$135/J$72))*J110)</f>
        <v>0</v>
      </c>
      <c r="BO110" s="2139">
        <f>IF(K110&lt;=0,0,(Risk_Compensation!L116/K110-Risk_Compensation!L$79/K$72-0.5*CS$167*(K155/K110-CS$135/K$72))*K110)</f>
        <v>0</v>
      </c>
      <c r="BP110" s="2139">
        <f>IF(L110&lt;=0,0,(Risk_Compensation!M116/L110-Risk_Compensation!M$79/L$72-0.5*CT$167*(L155/L110-CT$135/L$72))*L110)</f>
        <v>0</v>
      </c>
      <c r="BQ110" s="2139">
        <f>IF(M110&lt;=0,0,(Risk_Compensation!N116/M110-Risk_Compensation!N$79/M$72-0.5*CU$167*(M155/M110-CU$135/M$72))*M110)</f>
        <v>0</v>
      </c>
      <c r="BR110" s="2139">
        <f>IF(N110&lt;=0,0,(Risk_Compensation!O116/N110-Risk_Compensation!O$79/N$72-0.5*CV$167*(N155/N110-CV$135/N$72))*N110)</f>
        <v>0</v>
      </c>
      <c r="BS110" s="2139">
        <f>IF(O110&lt;=0,0,(Risk_Compensation!P116/O110-Risk_Compensation!P$79/O$72-0.5*CW$167*(O155/O110-CW$135/O$72))*O110)</f>
        <v>0</v>
      </c>
      <c r="BT110" s="2139">
        <f>IF(P110&lt;=0,0,(Risk_Compensation!Q116/P110-Risk_Compensation!Q$79/P$72-0.5*CX$167*(P155/P110-CX$135/P$72))*P110)</f>
        <v>0</v>
      </c>
      <c r="BU110" s="2139">
        <f>IF(Q110&lt;=0,0,(Risk_Compensation!R116/Q110-Risk_Compensation!R$79/Q$72-0.5*CY$167*(Q155/Q110-CY$135/Q$72))*Q110)</f>
        <v>0</v>
      </c>
      <c r="BV110" s="2139">
        <f>IF(R110&lt;=0,0,(Risk_Compensation!S116/R110-Risk_Compensation!S$79/R$72-0.5*CZ$167*(R155/R110-CZ$135/R$72))*R110)</f>
        <v>0</v>
      </c>
      <c r="BW110" s="2139">
        <f>IF(S110&lt;=0,0,(Risk_Compensation!T116/S110-Risk_Compensation!T$79/S$72-0.5*DA$167*(S155/S110-DA$135/S$72))*S110)</f>
        <v>0</v>
      </c>
      <c r="BX110" s="2139">
        <f>IF(T110&lt;=0,0,(Risk_Compensation!U116/T110-Risk_Compensation!U$79/T$72-0.5*DB$167*(T155/T110-DB$135/T$72))*T110)</f>
        <v>0</v>
      </c>
      <c r="BY110" s="2139">
        <f>IF(U110&lt;=0,0,(Risk_Compensation!V116/U110-Risk_Compensation!V$79/U$72-0.5*DC$167*(U155/U110-DC$135/U$72))*U110)</f>
        <v>0</v>
      </c>
      <c r="BZ110" s="2139">
        <f>IF(V110&lt;=0,0,(Risk_Compensation!W116/V110-Risk_Compensation!W$79/V$72-0.5*DD$167*(V155/V110-DD$135/V$72))*V110)</f>
        <v>0</v>
      </c>
      <c r="CA110" s="2139">
        <f>IF(W110&lt;=0,0,(Risk_Compensation!X116/W110-Risk_Compensation!X$79/W$72-0.5*DE$167*(W155/W110-DE$135/W$72))*W110)</f>
        <v>0</v>
      </c>
      <c r="CB110" s="2139">
        <f>IF(X110&lt;=0,0,(Risk_Compensation!Y116/X110-Risk_Compensation!Y$79/X$72-0.5*DF$167*(X155/X110-DF$135/X$72))*X110)</f>
        <v>0</v>
      </c>
      <c r="CC110" s="2139">
        <f>IF(Y110&lt;=0,0,(Risk_Compensation!Z116/Y110-Risk_Compensation!Z$79/Y$72-0.5*DG$167*(Y155/Y110-DG$135/Y$72))*Y110)</f>
        <v>0</v>
      </c>
      <c r="CD110" s="2139">
        <f>IF(Z110&lt;=0,0,(Risk_Compensation!AA116/Z110-Risk_Compensation!AA$79/Z$72-0.5*DH$167*(Z155/Z110-DH$135/Z$72))*Z110)</f>
        <v>0</v>
      </c>
      <c r="CE110" s="2139">
        <f>IF(AA110&lt;=0,0,(Risk_Compensation!AB116/AA110-Risk_Compensation!AB$79/AA$72-0.5*DI$167*(AA155/AA110-DI$135/AA$72))*AA110)</f>
        <v>0</v>
      </c>
      <c r="CF110" s="2139">
        <f>IF(AB110&lt;=0,0,(Risk_Compensation!AC116/AB110-Risk_Compensation!AC$79/AB$72-0.5*DJ$167*(AB155/AB110-DJ$135/AB$72))*AB110)</f>
        <v>0</v>
      </c>
      <c r="CG110" s="2139">
        <f>IF(AC110&lt;=0,0,(Risk_Compensation!AD116/AC110-Risk_Compensation!AD$79/AC$72-0.5*DK$167*(AC155/AC110-DK$135/AC$72))*AC110)</f>
        <v>0</v>
      </c>
      <c r="CH110" s="2139">
        <f>IF(AD110&lt;=0,0,(Risk_Compensation!AE116/AD110-Risk_Compensation!AE$79/AD$72-0.5*DL$167*(AD155/AD110-DL$135/AD$72))*AD110)</f>
        <v>0</v>
      </c>
      <c r="CI110" s="2139">
        <f>IF(AE110&lt;=0,0,(Risk_Compensation!AF116/AE110-Risk_Compensation!AF$79/AE$72-0.5*DM$167*(AE155/AE110-DM$135/AE$72))*AE110)</f>
        <v>0</v>
      </c>
      <c r="CJ110" s="2140">
        <f>IF(AF110&lt;=0,0,(Risk_Compensation!AG116/AF110-Risk_Compensation!AG$79/AF$72-0.5*DN$167*(AF155/AF110-DN$135/AF$72))*AF110)</f>
        <v>0</v>
      </c>
      <c r="CL110" s="2144"/>
      <c r="CN110" s="2078">
        <f>IF(G110&gt;0,$DP110^2*(BK110*Risk_Compensation!$AK116*12/1000000)^2/G110,0)</f>
        <v>0</v>
      </c>
      <c r="CO110" s="2079">
        <f>IF(H110&gt;0,$DP110^2*(BL110*Risk_Compensation!$AK116*12/1000000)^2/H110,0)</f>
        <v>0</v>
      </c>
      <c r="CP110" s="2079">
        <f>IF(I110&gt;0,$DP110^2*(BM110*Risk_Compensation!$AK116*12/1000000)^2/I110,0)</f>
        <v>0</v>
      </c>
      <c r="CQ110" s="2079">
        <f>IF(J110&gt;0,$DP110^2*(BN110*Risk_Compensation!$AK116*12/1000000)^2/J110,0)</f>
        <v>0</v>
      </c>
      <c r="CR110" s="2079">
        <f>IF(K110&gt;0,$DP110^2*(BO110*Risk_Compensation!$AK116*12/1000000)^2/K110,0)</f>
        <v>0</v>
      </c>
      <c r="CS110" s="2079">
        <f>IF(L110&gt;0,$DP110^2*(BP110*Risk_Compensation!$AK116*12/1000000)^2/L110,0)</f>
        <v>0</v>
      </c>
      <c r="CT110" s="2079">
        <f>IF(M110&gt;0,$DP110^2*(BQ110*Risk_Compensation!$AK116*12/1000000)^2/M110,0)</f>
        <v>0</v>
      </c>
      <c r="CU110" s="2079">
        <f>IF(N110&gt;0,$DP110^2*(BR110*Risk_Compensation!$AK116*12/1000000)^2/N110,0)</f>
        <v>0</v>
      </c>
      <c r="CV110" s="2079">
        <f>IF(O110&gt;0,$DP110^2*(BS110*Risk_Compensation!$AK116*12/1000000)^2/O110,0)</f>
        <v>0</v>
      </c>
      <c r="CW110" s="2079">
        <f>IF(P110&gt;0,$DP110^2*(BT110*Risk_Compensation!$AK116*12/1000000)^2/P110,0)</f>
        <v>0</v>
      </c>
      <c r="CX110" s="2079">
        <f>IF(Q110&gt;0,$DP110^2*(BU110*Risk_Compensation!$AK116*12/1000000)^2/Q110,0)</f>
        <v>0</v>
      </c>
      <c r="CY110" s="2079">
        <f>IF(R110&gt;0,$DP110^2*(BV110*Risk_Compensation!$AK116*12/1000000)^2/R110,0)</f>
        <v>0</v>
      </c>
      <c r="CZ110" s="2079">
        <f>IF(S110&gt;0,$DP110^2*(BW110*Risk_Compensation!$AK116*12/1000000)^2/S110,0)</f>
        <v>0</v>
      </c>
      <c r="DA110" s="2079">
        <f>IF(T110&gt;0,$DP110^2*(BX110*Risk_Compensation!$AK116*12/1000000)^2/T110,0)</f>
        <v>0</v>
      </c>
      <c r="DB110" s="2079">
        <f>IF(U110&gt;0,$DP110^2*(BY110*Risk_Compensation!$AK116*12/1000000)^2/U110,0)</f>
        <v>0</v>
      </c>
      <c r="DC110" s="2079">
        <f>IF(V110&gt;0,$DP110^2*(BZ110*Risk_Compensation!$AK116*12/1000000)^2/V110,0)</f>
        <v>0</v>
      </c>
      <c r="DD110" s="2079">
        <f>IF(W110&gt;0,$DP110^2*(CA110*Risk_Compensation!$AK116*12/1000000)^2/W110,0)</f>
        <v>0</v>
      </c>
      <c r="DE110" s="2079">
        <f>IF(X110&gt;0,$DP110^2*(CB110*Risk_Compensation!$AK116*12/1000000)^2/X110,0)</f>
        <v>0</v>
      </c>
      <c r="DF110" s="2079">
        <f>IF(Y110&gt;0,$DP110^2*(CC110*Risk_Compensation!$AK116*12/1000000)^2/Y110,0)</f>
        <v>0</v>
      </c>
      <c r="DG110" s="2079">
        <f>IF(Z110&gt;0,$DP110^2*(CD110*Risk_Compensation!$AK116*12/1000000)^2/Z110,0)</f>
        <v>0</v>
      </c>
      <c r="DH110" s="2079">
        <f>IF(AA110&gt;0,$DP110^2*(CE110*Risk_Compensation!$AK116*12/1000000)^2/AA110,0)</f>
        <v>0</v>
      </c>
      <c r="DI110" s="2079">
        <f>IF(AB110&gt;0,$DP110^2*(CF110*Risk_Compensation!$AK116*12/1000000)^2/AB110,0)</f>
        <v>0</v>
      </c>
      <c r="DJ110" s="2079">
        <f>IF(AC110&gt;0,$DP110^2*(CG110*Risk_Compensation!$AK116*12/1000000)^2/AC110,0)</f>
        <v>0</v>
      </c>
      <c r="DK110" s="2079">
        <f>IF(AD110&gt;0,$DP110^2*(CH110*Risk_Compensation!$AK116*12/1000000)^2/AD110,0)</f>
        <v>0</v>
      </c>
      <c r="DL110" s="2079">
        <f>IF(AE110&gt;0,$DP110^2*(CI110*Risk_Compensation!$AK116*12/1000000)^2/AE110,0)</f>
        <v>0</v>
      </c>
      <c r="DM110" s="2080">
        <f>IF(AF110&gt;0,$DP110^2*(CJ110*Risk_Compensation!$AK116*12/1000000)^2/AF110,0)</f>
        <v>0</v>
      </c>
      <c r="DO110" s="1823"/>
      <c r="DP110" s="2219">
        <v>1.2452034548617901</v>
      </c>
      <c r="DR110" s="1428" t="s">
        <v>2402</v>
      </c>
      <c r="DS110" s="1426" t="str">
        <f>Translation!B$613</f>
        <v>Transplantationen</v>
      </c>
      <c r="DU110" s="2159"/>
      <c r="DV110" s="1428"/>
      <c r="DW110" s="2159"/>
      <c r="DX110" s="2159"/>
      <c r="DY110" s="2217"/>
      <c r="DZ110" s="2159"/>
      <c r="EA110" s="2159"/>
      <c r="EB110" s="2159"/>
      <c r="EC110" s="2159"/>
      <c r="ED110" s="2159"/>
      <c r="EE110" s="2159"/>
      <c r="EF110" s="2159"/>
      <c r="EG110" s="2159"/>
      <c r="EH110" s="2159"/>
      <c r="EI110" s="2159"/>
      <c r="EJ110" s="2159"/>
    </row>
    <row r="111" spans="3:140" x14ac:dyDescent="0.2">
      <c r="C111" s="1428" t="s">
        <v>2404</v>
      </c>
      <c r="D111" s="1426" t="str">
        <f>Translation!B$614</f>
        <v>Wachstumsstörung</v>
      </c>
      <c r="F111" s="1437"/>
      <c r="G111" s="2211">
        <v>17.75</v>
      </c>
      <c r="H111" s="2212">
        <v>0</v>
      </c>
      <c r="I111" s="2212">
        <v>1</v>
      </c>
      <c r="J111" s="2212">
        <v>19.0833333333333</v>
      </c>
      <c r="K111" s="2212">
        <v>7</v>
      </c>
      <c r="L111" s="2212">
        <v>4.0833333333333304</v>
      </c>
      <c r="M111" s="2212">
        <v>5</v>
      </c>
      <c r="N111" s="2212">
        <v>11</v>
      </c>
      <c r="O111" s="2212">
        <v>2</v>
      </c>
      <c r="P111" s="2212">
        <v>4</v>
      </c>
      <c r="Q111" s="2212">
        <v>1</v>
      </c>
      <c r="R111" s="2212">
        <v>3.8416666666666699</v>
      </c>
      <c r="S111" s="2212">
        <v>7</v>
      </c>
      <c r="T111" s="2212">
        <v>0</v>
      </c>
      <c r="U111" s="2212">
        <v>2</v>
      </c>
      <c r="V111" s="2212">
        <v>5</v>
      </c>
      <c r="W111" s="2212">
        <v>2</v>
      </c>
      <c r="X111" s="2212">
        <v>1</v>
      </c>
      <c r="Y111" s="2212">
        <v>2</v>
      </c>
      <c r="Z111" s="2212">
        <v>3</v>
      </c>
      <c r="AA111" s="2212">
        <v>11</v>
      </c>
      <c r="AB111" s="2212">
        <v>0</v>
      </c>
      <c r="AC111" s="2212">
        <v>16.9166666666667</v>
      </c>
      <c r="AD111" s="2212">
        <v>9.4808333333333294</v>
      </c>
      <c r="AE111" s="2212">
        <v>5</v>
      </c>
      <c r="AF111" s="2213">
        <v>25.035</v>
      </c>
      <c r="AI111" s="2078">
        <f>Risk_Compensation!H117*Risk_Compensation!$AK117*12/1000000</f>
        <v>0</v>
      </c>
      <c r="AJ111" s="2079">
        <f>Risk_Compensation!I117*Risk_Compensation!$AK117*12/1000000</f>
        <v>0</v>
      </c>
      <c r="AK111" s="2079">
        <f>Risk_Compensation!J117*Risk_Compensation!$AK117*12/1000000</f>
        <v>0</v>
      </c>
      <c r="AL111" s="2079">
        <f>Risk_Compensation!K117*Risk_Compensation!$AK117*12/1000000</f>
        <v>0</v>
      </c>
      <c r="AM111" s="2079">
        <f>Risk_Compensation!L117*Risk_Compensation!$AK117*12/1000000</f>
        <v>0</v>
      </c>
      <c r="AN111" s="2079">
        <f>Risk_Compensation!M117*Risk_Compensation!$AK117*12/1000000</f>
        <v>0</v>
      </c>
      <c r="AO111" s="2079">
        <f>Risk_Compensation!N117*Risk_Compensation!$AK117*12/1000000</f>
        <v>0</v>
      </c>
      <c r="AP111" s="2079">
        <f>Risk_Compensation!O117*Risk_Compensation!$AK117*12/1000000</f>
        <v>0</v>
      </c>
      <c r="AQ111" s="2079">
        <f>Risk_Compensation!P117*Risk_Compensation!$AK117*12/1000000</f>
        <v>0</v>
      </c>
      <c r="AR111" s="2079">
        <f>Risk_Compensation!Q117*Risk_Compensation!$AK117*12/1000000</f>
        <v>0</v>
      </c>
      <c r="AS111" s="2079">
        <f>Risk_Compensation!R117*Risk_Compensation!$AK117*12/1000000</f>
        <v>0</v>
      </c>
      <c r="AT111" s="2079">
        <f>Risk_Compensation!S117*Risk_Compensation!$AK117*12/1000000</f>
        <v>0</v>
      </c>
      <c r="AU111" s="2079">
        <f>Risk_Compensation!T117*Risk_Compensation!$AK117*12/1000000</f>
        <v>0</v>
      </c>
      <c r="AV111" s="2079">
        <f>Risk_Compensation!U117*Risk_Compensation!$AK117*12/1000000</f>
        <v>0</v>
      </c>
      <c r="AW111" s="2079">
        <f>Risk_Compensation!V117*Risk_Compensation!$AK117*12/1000000</f>
        <v>0</v>
      </c>
      <c r="AX111" s="2079">
        <f>Risk_Compensation!W117*Risk_Compensation!$AK117*12/1000000</f>
        <v>0</v>
      </c>
      <c r="AY111" s="2079">
        <f>Risk_Compensation!X117*Risk_Compensation!$AK117*12/1000000</f>
        <v>0</v>
      </c>
      <c r="AZ111" s="2079">
        <f>Risk_Compensation!Y117*Risk_Compensation!$AK117*12/1000000</f>
        <v>0</v>
      </c>
      <c r="BA111" s="2079">
        <f>Risk_Compensation!Z117*Risk_Compensation!$AK117*12/1000000</f>
        <v>0</v>
      </c>
      <c r="BB111" s="2079">
        <f>Risk_Compensation!AA117*Risk_Compensation!$AK117*12/1000000</f>
        <v>0</v>
      </c>
      <c r="BC111" s="2079">
        <f>Risk_Compensation!AB117*Risk_Compensation!$AK117*12/1000000</f>
        <v>0</v>
      </c>
      <c r="BD111" s="2079">
        <f>Risk_Compensation!AC117*Risk_Compensation!$AK117*12/1000000</f>
        <v>0</v>
      </c>
      <c r="BE111" s="2079">
        <f>Risk_Compensation!AD117*Risk_Compensation!$AK117*12/1000000</f>
        <v>0</v>
      </c>
      <c r="BF111" s="2079">
        <f>Risk_Compensation!AE117*Risk_Compensation!$AK117*12/1000000</f>
        <v>0</v>
      </c>
      <c r="BG111" s="2079">
        <f>Risk_Compensation!AF117*Risk_Compensation!$AK117*12/1000000</f>
        <v>0</v>
      </c>
      <c r="BH111" s="2080">
        <f>Risk_Compensation!AG117*Risk_Compensation!$AK117*12/1000000</f>
        <v>0</v>
      </c>
      <c r="BK111" s="2138">
        <f>IF(G111&lt;=0,0,(Risk_Compensation!H117/G111-Risk_Compensation!H$79/G$72-0.5*CO$167*(G156/G111-CO$135/G$72))*G111)</f>
        <v>0</v>
      </c>
      <c r="BL111" s="2139">
        <f>IF(H111&lt;=0,0,(Risk_Compensation!I117/H111-Risk_Compensation!I$79/H$72-0.5*CP$167*(H156/H111-CP$135/H$72))*H111)</f>
        <v>0</v>
      </c>
      <c r="BM111" s="2139">
        <f>IF(I111&lt;=0,0,(Risk_Compensation!J117/I111-Risk_Compensation!J$79/I$72-0.5*CQ$167*(I156/I111-CQ$135/I$72))*I111)</f>
        <v>0</v>
      </c>
      <c r="BN111" s="2139">
        <f>IF(J111&lt;=0,0,(Risk_Compensation!K117/J111-Risk_Compensation!K$79/J$72-0.5*CR$167*(J156/J111-CR$135/J$72))*J111)</f>
        <v>0</v>
      </c>
      <c r="BO111" s="2139">
        <f>IF(K111&lt;=0,0,(Risk_Compensation!L117/K111-Risk_Compensation!L$79/K$72-0.5*CS$167*(K156/K111-CS$135/K$72))*K111)</f>
        <v>0</v>
      </c>
      <c r="BP111" s="2139">
        <f>IF(L111&lt;=0,0,(Risk_Compensation!M117/L111-Risk_Compensation!M$79/L$72-0.5*CT$167*(L156/L111-CT$135/L$72))*L111)</f>
        <v>0</v>
      </c>
      <c r="BQ111" s="2139">
        <f>IF(M111&lt;=0,0,(Risk_Compensation!N117/M111-Risk_Compensation!N$79/M$72-0.5*CU$167*(M156/M111-CU$135/M$72))*M111)</f>
        <v>0</v>
      </c>
      <c r="BR111" s="2139">
        <f>IF(N111&lt;=0,0,(Risk_Compensation!O117/N111-Risk_Compensation!O$79/N$72-0.5*CV$167*(N156/N111-CV$135/N$72))*N111)</f>
        <v>0</v>
      </c>
      <c r="BS111" s="2139">
        <f>IF(O111&lt;=0,0,(Risk_Compensation!P117/O111-Risk_Compensation!P$79/O$72-0.5*CW$167*(O156/O111-CW$135/O$72))*O111)</f>
        <v>0</v>
      </c>
      <c r="BT111" s="2139">
        <f>IF(P111&lt;=0,0,(Risk_Compensation!Q117/P111-Risk_Compensation!Q$79/P$72-0.5*CX$167*(P156/P111-CX$135/P$72))*P111)</f>
        <v>0</v>
      </c>
      <c r="BU111" s="2139">
        <f>IF(Q111&lt;=0,0,(Risk_Compensation!R117/Q111-Risk_Compensation!R$79/Q$72-0.5*CY$167*(Q156/Q111-CY$135/Q$72))*Q111)</f>
        <v>0</v>
      </c>
      <c r="BV111" s="2139">
        <f>IF(R111&lt;=0,0,(Risk_Compensation!S117/R111-Risk_Compensation!S$79/R$72-0.5*CZ$167*(R156/R111-CZ$135/R$72))*R111)</f>
        <v>0</v>
      </c>
      <c r="BW111" s="2139">
        <f>IF(S111&lt;=0,0,(Risk_Compensation!T117/S111-Risk_Compensation!T$79/S$72-0.5*DA$167*(S156/S111-DA$135/S$72))*S111)</f>
        <v>0</v>
      </c>
      <c r="BX111" s="2139">
        <f>IF(T111&lt;=0,0,(Risk_Compensation!U117/T111-Risk_Compensation!U$79/T$72-0.5*DB$167*(T156/T111-DB$135/T$72))*T111)</f>
        <v>0</v>
      </c>
      <c r="BY111" s="2139">
        <f>IF(U111&lt;=0,0,(Risk_Compensation!V117/U111-Risk_Compensation!V$79/U$72-0.5*DC$167*(U156/U111-DC$135/U$72))*U111)</f>
        <v>0</v>
      </c>
      <c r="BZ111" s="2139">
        <f>IF(V111&lt;=0,0,(Risk_Compensation!W117/V111-Risk_Compensation!W$79/V$72-0.5*DD$167*(V156/V111-DD$135/V$72))*V111)</f>
        <v>0</v>
      </c>
      <c r="CA111" s="2139">
        <f>IF(W111&lt;=0,0,(Risk_Compensation!X117/W111-Risk_Compensation!X$79/W$72-0.5*DE$167*(W156/W111-DE$135/W$72))*W111)</f>
        <v>0</v>
      </c>
      <c r="CB111" s="2139">
        <f>IF(X111&lt;=0,0,(Risk_Compensation!Y117/X111-Risk_Compensation!Y$79/X$72-0.5*DF$167*(X156/X111-DF$135/X$72))*X111)</f>
        <v>0</v>
      </c>
      <c r="CC111" s="2139">
        <f>IF(Y111&lt;=0,0,(Risk_Compensation!Z117/Y111-Risk_Compensation!Z$79/Y$72-0.5*DG$167*(Y156/Y111-DG$135/Y$72))*Y111)</f>
        <v>0</v>
      </c>
      <c r="CD111" s="2139">
        <f>IF(Z111&lt;=0,0,(Risk_Compensation!AA117/Z111-Risk_Compensation!AA$79/Z$72-0.5*DH$167*(Z156/Z111-DH$135/Z$72))*Z111)</f>
        <v>0</v>
      </c>
      <c r="CE111" s="2139">
        <f>IF(AA111&lt;=0,0,(Risk_Compensation!AB117/AA111-Risk_Compensation!AB$79/AA$72-0.5*DI$167*(AA156/AA111-DI$135/AA$72))*AA111)</f>
        <v>0</v>
      </c>
      <c r="CF111" s="2139">
        <f>IF(AB111&lt;=0,0,(Risk_Compensation!AC117/AB111-Risk_Compensation!AC$79/AB$72-0.5*DJ$167*(AB156/AB111-DJ$135/AB$72))*AB111)</f>
        <v>0</v>
      </c>
      <c r="CG111" s="2139">
        <f>IF(AC111&lt;=0,0,(Risk_Compensation!AD117/AC111-Risk_Compensation!AD$79/AC$72-0.5*DK$167*(AC156/AC111-DK$135/AC$72))*AC111)</f>
        <v>0</v>
      </c>
      <c r="CH111" s="2139">
        <f>IF(AD111&lt;=0,0,(Risk_Compensation!AE117/AD111-Risk_Compensation!AE$79/AD$72-0.5*DL$167*(AD156/AD111-DL$135/AD$72))*AD111)</f>
        <v>0</v>
      </c>
      <c r="CI111" s="2139">
        <f>IF(AE111&lt;=0,0,(Risk_Compensation!AF117/AE111-Risk_Compensation!AF$79/AE$72-0.5*DM$167*(AE156/AE111-DM$135/AE$72))*AE111)</f>
        <v>0</v>
      </c>
      <c r="CJ111" s="2140">
        <f>IF(AF111&lt;=0,0,(Risk_Compensation!AG117/AF111-Risk_Compensation!AG$79/AF$72-0.5*DN$167*(AF156/AF111-DN$135/AF$72))*AF111)</f>
        <v>0</v>
      </c>
      <c r="CL111" s="2144"/>
      <c r="CN111" s="2078">
        <f>IF(G111&gt;0,$DP111^2*(BK111*Risk_Compensation!$AK117*12/1000000)^2/G111,0)</f>
        <v>0</v>
      </c>
      <c r="CO111" s="2079">
        <f>IF(H111&gt;0,$DP111^2*(BL111*Risk_Compensation!$AK117*12/1000000)^2/H111,0)</f>
        <v>0</v>
      </c>
      <c r="CP111" s="2079">
        <f>IF(I111&gt;0,$DP111^2*(BM111*Risk_Compensation!$AK117*12/1000000)^2/I111,0)</f>
        <v>0</v>
      </c>
      <c r="CQ111" s="2079">
        <f>IF(J111&gt;0,$DP111^2*(BN111*Risk_Compensation!$AK117*12/1000000)^2/J111,0)</f>
        <v>0</v>
      </c>
      <c r="CR111" s="2079">
        <f>IF(K111&gt;0,$DP111^2*(BO111*Risk_Compensation!$AK117*12/1000000)^2/K111,0)</f>
        <v>0</v>
      </c>
      <c r="CS111" s="2079">
        <f>IF(L111&gt;0,$DP111^2*(BP111*Risk_Compensation!$AK117*12/1000000)^2/L111,0)</f>
        <v>0</v>
      </c>
      <c r="CT111" s="2079">
        <f>IF(M111&gt;0,$DP111^2*(BQ111*Risk_Compensation!$AK117*12/1000000)^2/M111,0)</f>
        <v>0</v>
      </c>
      <c r="CU111" s="2079">
        <f>IF(N111&gt;0,$DP111^2*(BR111*Risk_Compensation!$AK117*12/1000000)^2/N111,0)</f>
        <v>0</v>
      </c>
      <c r="CV111" s="2079">
        <f>IF(O111&gt;0,$DP111^2*(BS111*Risk_Compensation!$AK117*12/1000000)^2/O111,0)</f>
        <v>0</v>
      </c>
      <c r="CW111" s="2079">
        <f>IF(P111&gt;0,$DP111^2*(BT111*Risk_Compensation!$AK117*12/1000000)^2/P111,0)</f>
        <v>0</v>
      </c>
      <c r="CX111" s="2079">
        <f>IF(Q111&gt;0,$DP111^2*(BU111*Risk_Compensation!$AK117*12/1000000)^2/Q111,0)</f>
        <v>0</v>
      </c>
      <c r="CY111" s="2079">
        <f>IF(R111&gt;0,$DP111^2*(BV111*Risk_Compensation!$AK117*12/1000000)^2/R111,0)</f>
        <v>0</v>
      </c>
      <c r="CZ111" s="2079">
        <f>IF(S111&gt;0,$DP111^2*(BW111*Risk_Compensation!$AK117*12/1000000)^2/S111,0)</f>
        <v>0</v>
      </c>
      <c r="DA111" s="2079">
        <f>IF(T111&gt;0,$DP111^2*(BX111*Risk_Compensation!$AK117*12/1000000)^2/T111,0)</f>
        <v>0</v>
      </c>
      <c r="DB111" s="2079">
        <f>IF(U111&gt;0,$DP111^2*(BY111*Risk_Compensation!$AK117*12/1000000)^2/U111,0)</f>
        <v>0</v>
      </c>
      <c r="DC111" s="2079">
        <f>IF(V111&gt;0,$DP111^2*(BZ111*Risk_Compensation!$AK117*12/1000000)^2/V111,0)</f>
        <v>0</v>
      </c>
      <c r="DD111" s="2079">
        <f>IF(W111&gt;0,$DP111^2*(CA111*Risk_Compensation!$AK117*12/1000000)^2/W111,0)</f>
        <v>0</v>
      </c>
      <c r="DE111" s="2079">
        <f>IF(X111&gt;0,$DP111^2*(CB111*Risk_Compensation!$AK117*12/1000000)^2/X111,0)</f>
        <v>0</v>
      </c>
      <c r="DF111" s="2079">
        <f>IF(Y111&gt;0,$DP111^2*(CC111*Risk_Compensation!$AK117*12/1000000)^2/Y111,0)</f>
        <v>0</v>
      </c>
      <c r="DG111" s="2079">
        <f>IF(Z111&gt;0,$DP111^2*(CD111*Risk_Compensation!$AK117*12/1000000)^2/Z111,0)</f>
        <v>0</v>
      </c>
      <c r="DH111" s="2079">
        <f>IF(AA111&gt;0,$DP111^2*(CE111*Risk_Compensation!$AK117*12/1000000)^2/AA111,0)</f>
        <v>0</v>
      </c>
      <c r="DI111" s="2079">
        <f>IF(AB111&gt;0,$DP111^2*(CF111*Risk_Compensation!$AK117*12/1000000)^2/AB111,0)</f>
        <v>0</v>
      </c>
      <c r="DJ111" s="2079">
        <f>IF(AC111&gt;0,$DP111^2*(CG111*Risk_Compensation!$AK117*12/1000000)^2/AC111,0)</f>
        <v>0</v>
      </c>
      <c r="DK111" s="2079">
        <f>IF(AD111&gt;0,$DP111^2*(CH111*Risk_Compensation!$AK117*12/1000000)^2/AD111,0)</f>
        <v>0</v>
      </c>
      <c r="DL111" s="2079">
        <f>IF(AE111&gt;0,$DP111^2*(CI111*Risk_Compensation!$AK117*12/1000000)^2/AE111,0)</f>
        <v>0</v>
      </c>
      <c r="DM111" s="2080">
        <f>IF(AF111&gt;0,$DP111^2*(CJ111*Risk_Compensation!$AK117*12/1000000)^2/AF111,0)</f>
        <v>0</v>
      </c>
      <c r="DO111" s="1823"/>
      <c r="DP111" s="2219">
        <v>1.0095565141613501</v>
      </c>
      <c r="DR111" s="1428" t="s">
        <v>2404</v>
      </c>
      <c r="DS111" s="1426" t="str">
        <f>Translation!B$614</f>
        <v>Wachstumsstörung</v>
      </c>
      <c r="DU111" s="2159"/>
      <c r="DV111" s="1428"/>
      <c r="DW111" s="2159"/>
      <c r="DX111" s="2159"/>
      <c r="DY111" s="2217"/>
      <c r="DZ111" s="2159"/>
      <c r="EA111" s="2159"/>
      <c r="EB111" s="2159"/>
      <c r="EC111" s="2159"/>
      <c r="ED111" s="2159"/>
      <c r="EE111" s="2159"/>
      <c r="EF111" s="2159"/>
      <c r="EG111" s="2159"/>
      <c r="EH111" s="2159"/>
      <c r="EI111" s="2159"/>
      <c r="EJ111" s="2159"/>
    </row>
    <row r="112" spans="3:140" x14ac:dyDescent="0.2">
      <c r="C112" s="1428" t="s">
        <v>2406</v>
      </c>
      <c r="D112" s="1426" t="str">
        <f>Translation!B$615</f>
        <v>Zystische Fibrose / Pankreasenzyme</v>
      </c>
      <c r="F112" s="1437"/>
      <c r="G112" s="2211">
        <v>388.71</v>
      </c>
      <c r="H112" s="2212">
        <v>12.75</v>
      </c>
      <c r="I112" s="2212">
        <v>48.879166666666698</v>
      </c>
      <c r="J112" s="2212">
        <v>1099.24583333333</v>
      </c>
      <c r="K112" s="2212">
        <v>242.35</v>
      </c>
      <c r="L112" s="2212">
        <v>159.98500000000001</v>
      </c>
      <c r="M112" s="2212">
        <v>260.78500000000003</v>
      </c>
      <c r="N112" s="2212">
        <v>286.41416666666697</v>
      </c>
      <c r="O112" s="2212">
        <v>21.5966666666667</v>
      </c>
      <c r="P112" s="2212">
        <v>160.13499999999999</v>
      </c>
      <c r="Q112" s="2212">
        <v>57.155833333333298</v>
      </c>
      <c r="R112" s="2212">
        <v>216.04916666666699</v>
      </c>
      <c r="S112" s="2212">
        <v>127.575</v>
      </c>
      <c r="T112" s="2212">
        <v>24.2425</v>
      </c>
      <c r="U112" s="2212">
        <v>27.4725</v>
      </c>
      <c r="V112" s="2212">
        <v>447.67083333333301</v>
      </c>
      <c r="W112" s="2212">
        <v>70.697500000000005</v>
      </c>
      <c r="X112" s="2212">
        <v>239.49416666666701</v>
      </c>
      <c r="Y112" s="2212">
        <v>98.390833333333305</v>
      </c>
      <c r="Z112" s="2212">
        <v>178.32083333333301</v>
      </c>
      <c r="AA112" s="2212">
        <v>274.35750000000002</v>
      </c>
      <c r="AB112" s="2212">
        <v>19.926666666666701</v>
      </c>
      <c r="AC112" s="2212">
        <v>675.21916666666698</v>
      </c>
      <c r="AD112" s="2212">
        <v>291.86750000000001</v>
      </c>
      <c r="AE112" s="2212">
        <v>75.177499999999995</v>
      </c>
      <c r="AF112" s="2213">
        <v>1002.705</v>
      </c>
      <c r="AI112" s="2078">
        <f>Risk_Compensation!H118*Risk_Compensation!$AK118*12/1000000</f>
        <v>0</v>
      </c>
      <c r="AJ112" s="2079">
        <f>Risk_Compensation!I118*Risk_Compensation!$AK118*12/1000000</f>
        <v>0</v>
      </c>
      <c r="AK112" s="2079">
        <f>Risk_Compensation!J118*Risk_Compensation!$AK118*12/1000000</f>
        <v>0</v>
      </c>
      <c r="AL112" s="2079">
        <f>Risk_Compensation!K118*Risk_Compensation!$AK118*12/1000000</f>
        <v>0</v>
      </c>
      <c r="AM112" s="2079">
        <f>Risk_Compensation!L118*Risk_Compensation!$AK118*12/1000000</f>
        <v>0</v>
      </c>
      <c r="AN112" s="2079">
        <f>Risk_Compensation!M118*Risk_Compensation!$AK118*12/1000000</f>
        <v>0</v>
      </c>
      <c r="AO112" s="2079">
        <f>Risk_Compensation!N118*Risk_Compensation!$AK118*12/1000000</f>
        <v>0</v>
      </c>
      <c r="AP112" s="2079">
        <f>Risk_Compensation!O118*Risk_Compensation!$AK118*12/1000000</f>
        <v>0</v>
      </c>
      <c r="AQ112" s="2079">
        <f>Risk_Compensation!P118*Risk_Compensation!$AK118*12/1000000</f>
        <v>0</v>
      </c>
      <c r="AR112" s="2079">
        <f>Risk_Compensation!Q118*Risk_Compensation!$AK118*12/1000000</f>
        <v>0</v>
      </c>
      <c r="AS112" s="2079">
        <f>Risk_Compensation!R118*Risk_Compensation!$AK118*12/1000000</f>
        <v>0</v>
      </c>
      <c r="AT112" s="2079">
        <f>Risk_Compensation!S118*Risk_Compensation!$AK118*12/1000000</f>
        <v>0</v>
      </c>
      <c r="AU112" s="2079">
        <f>Risk_Compensation!T118*Risk_Compensation!$AK118*12/1000000</f>
        <v>0</v>
      </c>
      <c r="AV112" s="2079">
        <f>Risk_Compensation!U118*Risk_Compensation!$AK118*12/1000000</f>
        <v>0</v>
      </c>
      <c r="AW112" s="2079">
        <f>Risk_Compensation!V118*Risk_Compensation!$AK118*12/1000000</f>
        <v>0</v>
      </c>
      <c r="AX112" s="2079">
        <f>Risk_Compensation!W118*Risk_Compensation!$AK118*12/1000000</f>
        <v>0</v>
      </c>
      <c r="AY112" s="2079">
        <f>Risk_Compensation!X118*Risk_Compensation!$AK118*12/1000000</f>
        <v>0</v>
      </c>
      <c r="AZ112" s="2079">
        <f>Risk_Compensation!Y118*Risk_Compensation!$AK118*12/1000000</f>
        <v>0</v>
      </c>
      <c r="BA112" s="2079">
        <f>Risk_Compensation!Z118*Risk_Compensation!$AK118*12/1000000</f>
        <v>0</v>
      </c>
      <c r="BB112" s="2079">
        <f>Risk_Compensation!AA118*Risk_Compensation!$AK118*12/1000000</f>
        <v>0</v>
      </c>
      <c r="BC112" s="2079">
        <f>Risk_Compensation!AB118*Risk_Compensation!$AK118*12/1000000</f>
        <v>0</v>
      </c>
      <c r="BD112" s="2079">
        <f>Risk_Compensation!AC118*Risk_Compensation!$AK118*12/1000000</f>
        <v>0</v>
      </c>
      <c r="BE112" s="2079">
        <f>Risk_Compensation!AD118*Risk_Compensation!$AK118*12/1000000</f>
        <v>0</v>
      </c>
      <c r="BF112" s="2079">
        <f>Risk_Compensation!AE118*Risk_Compensation!$AK118*12/1000000</f>
        <v>0</v>
      </c>
      <c r="BG112" s="2079">
        <f>Risk_Compensation!AF118*Risk_Compensation!$AK118*12/1000000</f>
        <v>0</v>
      </c>
      <c r="BH112" s="2080">
        <f>Risk_Compensation!AG118*Risk_Compensation!$AK118*12/1000000</f>
        <v>0</v>
      </c>
      <c r="BK112" s="2138">
        <f>IF(G112&lt;=0,0,(Risk_Compensation!H118/G112-Risk_Compensation!H$79/G$72-0.5*CO$167*(G157/G112-CO$135/G$72))*G112)</f>
        <v>0</v>
      </c>
      <c r="BL112" s="2139">
        <f>IF(H112&lt;=0,0,(Risk_Compensation!I118/H112-Risk_Compensation!I$79/H$72-0.5*CP$167*(H157/H112-CP$135/H$72))*H112)</f>
        <v>0</v>
      </c>
      <c r="BM112" s="2139">
        <f>IF(I112&lt;=0,0,(Risk_Compensation!J118/I112-Risk_Compensation!J$79/I$72-0.5*CQ$167*(I157/I112-CQ$135/I$72))*I112)</f>
        <v>0</v>
      </c>
      <c r="BN112" s="2139">
        <f>IF(J112&lt;=0,0,(Risk_Compensation!K118/J112-Risk_Compensation!K$79/J$72-0.5*CR$167*(J157/J112-CR$135/J$72))*J112)</f>
        <v>0</v>
      </c>
      <c r="BO112" s="2139">
        <f>IF(K112&lt;=0,0,(Risk_Compensation!L118/K112-Risk_Compensation!L$79/K$72-0.5*CS$167*(K157/K112-CS$135/K$72))*K112)</f>
        <v>0</v>
      </c>
      <c r="BP112" s="2139">
        <f>IF(L112&lt;=0,0,(Risk_Compensation!M118/L112-Risk_Compensation!M$79/L$72-0.5*CT$167*(L157/L112-CT$135/L$72))*L112)</f>
        <v>0</v>
      </c>
      <c r="BQ112" s="2139">
        <f>IF(M112&lt;=0,0,(Risk_Compensation!N118/M112-Risk_Compensation!N$79/M$72-0.5*CU$167*(M157/M112-CU$135/M$72))*M112)</f>
        <v>0</v>
      </c>
      <c r="BR112" s="2139">
        <f>IF(N112&lt;=0,0,(Risk_Compensation!O118/N112-Risk_Compensation!O$79/N$72-0.5*CV$167*(N157/N112-CV$135/N$72))*N112)</f>
        <v>0</v>
      </c>
      <c r="BS112" s="2139">
        <f>IF(O112&lt;=0,0,(Risk_Compensation!P118/O112-Risk_Compensation!P$79/O$72-0.5*CW$167*(O157/O112-CW$135/O$72))*O112)</f>
        <v>0</v>
      </c>
      <c r="BT112" s="2139">
        <f>IF(P112&lt;=0,0,(Risk_Compensation!Q118/P112-Risk_Compensation!Q$79/P$72-0.5*CX$167*(P157/P112-CX$135/P$72))*P112)</f>
        <v>0</v>
      </c>
      <c r="BU112" s="2139">
        <f>IF(Q112&lt;=0,0,(Risk_Compensation!R118/Q112-Risk_Compensation!R$79/Q$72-0.5*CY$167*(Q157/Q112-CY$135/Q$72))*Q112)</f>
        <v>0</v>
      </c>
      <c r="BV112" s="2139">
        <f>IF(R112&lt;=0,0,(Risk_Compensation!S118/R112-Risk_Compensation!S$79/R$72-0.5*CZ$167*(R157/R112-CZ$135/R$72))*R112)</f>
        <v>0</v>
      </c>
      <c r="BW112" s="2139">
        <f>IF(S112&lt;=0,0,(Risk_Compensation!T118/S112-Risk_Compensation!T$79/S$72-0.5*DA$167*(S157/S112-DA$135/S$72))*S112)</f>
        <v>0</v>
      </c>
      <c r="BX112" s="2139">
        <f>IF(T112&lt;=0,0,(Risk_Compensation!U118/T112-Risk_Compensation!U$79/T$72-0.5*DB$167*(T157/T112-DB$135/T$72))*T112)</f>
        <v>0</v>
      </c>
      <c r="BY112" s="2139">
        <f>IF(U112&lt;=0,0,(Risk_Compensation!V118/U112-Risk_Compensation!V$79/U$72-0.5*DC$167*(U157/U112-DC$135/U$72))*U112)</f>
        <v>0</v>
      </c>
      <c r="BZ112" s="2139">
        <f>IF(V112&lt;=0,0,(Risk_Compensation!W118/V112-Risk_Compensation!W$79/V$72-0.5*DD$167*(V157/V112-DD$135/V$72))*V112)</f>
        <v>0</v>
      </c>
      <c r="CA112" s="2139">
        <f>IF(W112&lt;=0,0,(Risk_Compensation!X118/W112-Risk_Compensation!X$79/W$72-0.5*DE$167*(W157/W112-DE$135/W$72))*W112)</f>
        <v>0</v>
      </c>
      <c r="CB112" s="2139">
        <f>IF(X112&lt;=0,0,(Risk_Compensation!Y118/X112-Risk_Compensation!Y$79/X$72-0.5*DF$167*(X157/X112-DF$135/X$72))*X112)</f>
        <v>0</v>
      </c>
      <c r="CC112" s="2139">
        <f>IF(Y112&lt;=0,0,(Risk_Compensation!Z118/Y112-Risk_Compensation!Z$79/Y$72-0.5*DG$167*(Y157/Y112-DG$135/Y$72))*Y112)</f>
        <v>0</v>
      </c>
      <c r="CD112" s="2139">
        <f>IF(Z112&lt;=0,0,(Risk_Compensation!AA118/Z112-Risk_Compensation!AA$79/Z$72-0.5*DH$167*(Z157/Z112-DH$135/Z$72))*Z112)</f>
        <v>0</v>
      </c>
      <c r="CE112" s="2139">
        <f>IF(AA112&lt;=0,0,(Risk_Compensation!AB118/AA112-Risk_Compensation!AB$79/AA$72-0.5*DI$167*(AA157/AA112-DI$135/AA$72))*AA112)</f>
        <v>0</v>
      </c>
      <c r="CF112" s="2139">
        <f>IF(AB112&lt;=0,0,(Risk_Compensation!AC118/AB112-Risk_Compensation!AC$79/AB$72-0.5*DJ$167*(AB157/AB112-DJ$135/AB$72))*AB112)</f>
        <v>0</v>
      </c>
      <c r="CG112" s="2139">
        <f>IF(AC112&lt;=0,0,(Risk_Compensation!AD118/AC112-Risk_Compensation!AD$79/AC$72-0.5*DK$167*(AC157/AC112-DK$135/AC$72))*AC112)</f>
        <v>0</v>
      </c>
      <c r="CH112" s="2139">
        <f>IF(AD112&lt;=0,0,(Risk_Compensation!AE118/AD112-Risk_Compensation!AE$79/AD$72-0.5*DL$167*(AD157/AD112-DL$135/AD$72))*AD112)</f>
        <v>0</v>
      </c>
      <c r="CI112" s="2139">
        <f>IF(AE112&lt;=0,0,(Risk_Compensation!AF118/AE112-Risk_Compensation!AF$79/AE$72-0.5*DM$167*(AE157/AE112-DM$135/AE$72))*AE112)</f>
        <v>0</v>
      </c>
      <c r="CJ112" s="2140">
        <f>IF(AF112&lt;=0,0,(Risk_Compensation!AG118/AF112-Risk_Compensation!AG$79/AF$72-0.5*DN$167*(AF157/AF112-DN$135/AF$72))*AF112)</f>
        <v>0</v>
      </c>
      <c r="CL112" s="2144"/>
      <c r="CN112" s="2078">
        <f>IF(G112&gt;0,$DP112^2*(BK112*Risk_Compensation!$AK118*12/1000000)^2/G112,0)</f>
        <v>0</v>
      </c>
      <c r="CO112" s="2079">
        <f>IF(H112&gt;0,$DP112^2*(BL112*Risk_Compensation!$AK118*12/1000000)^2/H112,0)</f>
        <v>0</v>
      </c>
      <c r="CP112" s="2079">
        <f>IF(I112&gt;0,$DP112^2*(BM112*Risk_Compensation!$AK118*12/1000000)^2/I112,0)</f>
        <v>0</v>
      </c>
      <c r="CQ112" s="2079">
        <f>IF(J112&gt;0,$DP112^2*(BN112*Risk_Compensation!$AK118*12/1000000)^2/J112,0)</f>
        <v>0</v>
      </c>
      <c r="CR112" s="2079">
        <f>IF(K112&gt;0,$DP112^2*(BO112*Risk_Compensation!$AK118*12/1000000)^2/K112,0)</f>
        <v>0</v>
      </c>
      <c r="CS112" s="2079">
        <f>IF(L112&gt;0,$DP112^2*(BP112*Risk_Compensation!$AK118*12/1000000)^2/L112,0)</f>
        <v>0</v>
      </c>
      <c r="CT112" s="2079">
        <f>IF(M112&gt;0,$DP112^2*(BQ112*Risk_Compensation!$AK118*12/1000000)^2/M112,0)</f>
        <v>0</v>
      </c>
      <c r="CU112" s="2079">
        <f>IF(N112&gt;0,$DP112^2*(BR112*Risk_Compensation!$AK118*12/1000000)^2/N112,0)</f>
        <v>0</v>
      </c>
      <c r="CV112" s="2079">
        <f>IF(O112&gt;0,$DP112^2*(BS112*Risk_Compensation!$AK118*12/1000000)^2/O112,0)</f>
        <v>0</v>
      </c>
      <c r="CW112" s="2079">
        <f>IF(P112&gt;0,$DP112^2*(BT112*Risk_Compensation!$AK118*12/1000000)^2/P112,0)</f>
        <v>0</v>
      </c>
      <c r="CX112" s="2079">
        <f>IF(Q112&gt;0,$DP112^2*(BU112*Risk_Compensation!$AK118*12/1000000)^2/Q112,0)</f>
        <v>0</v>
      </c>
      <c r="CY112" s="2079">
        <f>IF(R112&gt;0,$DP112^2*(BV112*Risk_Compensation!$AK118*12/1000000)^2/R112,0)</f>
        <v>0</v>
      </c>
      <c r="CZ112" s="2079">
        <f>IF(S112&gt;0,$DP112^2*(BW112*Risk_Compensation!$AK118*12/1000000)^2/S112,0)</f>
        <v>0</v>
      </c>
      <c r="DA112" s="2079">
        <f>IF(T112&gt;0,$DP112^2*(BX112*Risk_Compensation!$AK118*12/1000000)^2/T112,0)</f>
        <v>0</v>
      </c>
      <c r="DB112" s="2079">
        <f>IF(U112&gt;0,$DP112^2*(BY112*Risk_Compensation!$AK118*12/1000000)^2/U112,0)</f>
        <v>0</v>
      </c>
      <c r="DC112" s="2079">
        <f>IF(V112&gt;0,$DP112^2*(BZ112*Risk_Compensation!$AK118*12/1000000)^2/V112,0)</f>
        <v>0</v>
      </c>
      <c r="DD112" s="2079">
        <f>IF(W112&gt;0,$DP112^2*(CA112*Risk_Compensation!$AK118*12/1000000)^2/W112,0)</f>
        <v>0</v>
      </c>
      <c r="DE112" s="2079">
        <f>IF(X112&gt;0,$DP112^2*(CB112*Risk_Compensation!$AK118*12/1000000)^2/X112,0)</f>
        <v>0</v>
      </c>
      <c r="DF112" s="2079">
        <f>IF(Y112&gt;0,$DP112^2*(CC112*Risk_Compensation!$AK118*12/1000000)^2/Y112,0)</f>
        <v>0</v>
      </c>
      <c r="DG112" s="2079">
        <f>IF(Z112&gt;0,$DP112^2*(CD112*Risk_Compensation!$AK118*12/1000000)^2/Z112,0)</f>
        <v>0</v>
      </c>
      <c r="DH112" s="2079">
        <f>IF(AA112&gt;0,$DP112^2*(CE112*Risk_Compensation!$AK118*12/1000000)^2/AA112,0)</f>
        <v>0</v>
      </c>
      <c r="DI112" s="2079">
        <f>IF(AB112&gt;0,$DP112^2*(CF112*Risk_Compensation!$AK118*12/1000000)^2/AB112,0)</f>
        <v>0</v>
      </c>
      <c r="DJ112" s="2079">
        <f>IF(AC112&gt;0,$DP112^2*(CG112*Risk_Compensation!$AK118*12/1000000)^2/AC112,0)</f>
        <v>0</v>
      </c>
      <c r="DK112" s="2079">
        <f>IF(AD112&gt;0,$DP112^2*(CH112*Risk_Compensation!$AK118*12/1000000)^2/AD112,0)</f>
        <v>0</v>
      </c>
      <c r="DL112" s="2079">
        <f>IF(AE112&gt;0,$DP112^2*(CI112*Risk_Compensation!$AK118*12/1000000)^2/AE112,0)</f>
        <v>0</v>
      </c>
      <c r="DM112" s="2080">
        <f>IF(AF112&gt;0,$DP112^2*(CJ112*Risk_Compensation!$AK118*12/1000000)^2/AF112,0)</f>
        <v>0</v>
      </c>
      <c r="DO112" s="1823"/>
      <c r="DP112" s="2219">
        <v>1.45107439049906</v>
      </c>
      <c r="DR112" s="1428" t="s">
        <v>2406</v>
      </c>
      <c r="DS112" s="1426" t="str">
        <f>Translation!B$615</f>
        <v>Zystische Fibrose / Pankreasenzyme</v>
      </c>
      <c r="DU112" s="2159"/>
      <c r="DV112" s="1428"/>
      <c r="DW112" s="2159"/>
      <c r="DX112" s="2159"/>
      <c r="DY112" s="2217"/>
      <c r="DZ112" s="2159"/>
      <c r="EA112" s="2159"/>
      <c r="EB112" s="2159"/>
      <c r="EC112" s="2159"/>
      <c r="ED112" s="2159"/>
      <c r="EE112" s="2159"/>
      <c r="EF112" s="2159"/>
      <c r="EG112" s="2159"/>
      <c r="EH112" s="2159"/>
      <c r="EI112" s="2159"/>
      <c r="EJ112" s="2159"/>
    </row>
    <row r="113" spans="3:140" x14ac:dyDescent="0.2">
      <c r="C113" s="1428" t="s">
        <v>2408</v>
      </c>
      <c r="D113" s="1426" t="str">
        <f>Translation!B$616</f>
        <v>Krankheiten des ZN ohne Multiple Sklerose</v>
      </c>
      <c r="F113" s="1437"/>
      <c r="G113" s="2211">
        <v>642.90916666666703</v>
      </c>
      <c r="H113" s="2212">
        <v>9.5191666666666706</v>
      </c>
      <c r="I113" s="2212">
        <v>52.341666666666697</v>
      </c>
      <c r="J113" s="2212">
        <v>1115.885</v>
      </c>
      <c r="K113" s="2212">
        <v>299.27249999999998</v>
      </c>
      <c r="L113" s="2212">
        <v>263.34249999999997</v>
      </c>
      <c r="M113" s="2212">
        <v>387.49416666666701</v>
      </c>
      <c r="N113" s="2212">
        <v>587.03666666666697</v>
      </c>
      <c r="O113" s="2212">
        <v>44.6666666666667</v>
      </c>
      <c r="P113" s="2212">
        <v>196.35</v>
      </c>
      <c r="Q113" s="2212">
        <v>111.713333333333</v>
      </c>
      <c r="R113" s="2212">
        <v>332.43</v>
      </c>
      <c r="S113" s="2212">
        <v>313.75333333333299</v>
      </c>
      <c r="T113" s="2212">
        <v>26.76</v>
      </c>
      <c r="U113" s="2212">
        <v>26.668333333333301</v>
      </c>
      <c r="V113" s="2212">
        <v>439.08249999999998</v>
      </c>
      <c r="W113" s="2212">
        <v>77.279166666666697</v>
      </c>
      <c r="X113" s="2212">
        <v>281.88083333333299</v>
      </c>
      <c r="Y113" s="2212">
        <v>103.805833333333</v>
      </c>
      <c r="Z113" s="2212">
        <v>236.75083333333299</v>
      </c>
      <c r="AA113" s="2212">
        <v>449.95249999999999</v>
      </c>
      <c r="AB113" s="2212">
        <v>17.954999999999998</v>
      </c>
      <c r="AC113" s="2212">
        <v>933.66833333333295</v>
      </c>
      <c r="AD113" s="2212">
        <v>452.48666666666702</v>
      </c>
      <c r="AE113" s="2212">
        <v>77.079166666666694</v>
      </c>
      <c r="AF113" s="2213">
        <v>1275.04416666667</v>
      </c>
      <c r="AI113" s="2078">
        <f>Risk_Compensation!H119*Risk_Compensation!$AK119*12/1000000</f>
        <v>0</v>
      </c>
      <c r="AJ113" s="2079">
        <f>Risk_Compensation!I119*Risk_Compensation!$AK119*12/1000000</f>
        <v>0</v>
      </c>
      <c r="AK113" s="2079">
        <f>Risk_Compensation!J119*Risk_Compensation!$AK119*12/1000000</f>
        <v>0</v>
      </c>
      <c r="AL113" s="2079">
        <f>Risk_Compensation!K119*Risk_Compensation!$AK119*12/1000000</f>
        <v>0</v>
      </c>
      <c r="AM113" s="2079">
        <f>Risk_Compensation!L119*Risk_Compensation!$AK119*12/1000000</f>
        <v>0</v>
      </c>
      <c r="AN113" s="2079">
        <f>Risk_Compensation!M119*Risk_Compensation!$AK119*12/1000000</f>
        <v>0</v>
      </c>
      <c r="AO113" s="2079">
        <f>Risk_Compensation!N119*Risk_Compensation!$AK119*12/1000000</f>
        <v>0</v>
      </c>
      <c r="AP113" s="2079">
        <f>Risk_Compensation!O119*Risk_Compensation!$AK119*12/1000000</f>
        <v>0</v>
      </c>
      <c r="AQ113" s="2079">
        <f>Risk_Compensation!P119*Risk_Compensation!$AK119*12/1000000</f>
        <v>0</v>
      </c>
      <c r="AR113" s="2079">
        <f>Risk_Compensation!Q119*Risk_Compensation!$AK119*12/1000000</f>
        <v>0</v>
      </c>
      <c r="AS113" s="2079">
        <f>Risk_Compensation!R119*Risk_Compensation!$AK119*12/1000000</f>
        <v>0</v>
      </c>
      <c r="AT113" s="2079">
        <f>Risk_Compensation!S119*Risk_Compensation!$AK119*12/1000000</f>
        <v>0</v>
      </c>
      <c r="AU113" s="2079">
        <f>Risk_Compensation!T119*Risk_Compensation!$AK119*12/1000000</f>
        <v>0</v>
      </c>
      <c r="AV113" s="2079">
        <f>Risk_Compensation!U119*Risk_Compensation!$AK119*12/1000000</f>
        <v>0</v>
      </c>
      <c r="AW113" s="2079">
        <f>Risk_Compensation!V119*Risk_Compensation!$AK119*12/1000000</f>
        <v>0</v>
      </c>
      <c r="AX113" s="2079">
        <f>Risk_Compensation!W119*Risk_Compensation!$AK119*12/1000000</f>
        <v>0</v>
      </c>
      <c r="AY113" s="2079">
        <f>Risk_Compensation!X119*Risk_Compensation!$AK119*12/1000000</f>
        <v>0</v>
      </c>
      <c r="AZ113" s="2079">
        <f>Risk_Compensation!Y119*Risk_Compensation!$AK119*12/1000000</f>
        <v>0</v>
      </c>
      <c r="BA113" s="2079">
        <f>Risk_Compensation!Z119*Risk_Compensation!$AK119*12/1000000</f>
        <v>0</v>
      </c>
      <c r="BB113" s="2079">
        <f>Risk_Compensation!AA119*Risk_Compensation!$AK119*12/1000000</f>
        <v>0</v>
      </c>
      <c r="BC113" s="2079">
        <f>Risk_Compensation!AB119*Risk_Compensation!$AK119*12/1000000</f>
        <v>0</v>
      </c>
      <c r="BD113" s="2079">
        <f>Risk_Compensation!AC119*Risk_Compensation!$AK119*12/1000000</f>
        <v>0</v>
      </c>
      <c r="BE113" s="2079">
        <f>Risk_Compensation!AD119*Risk_Compensation!$AK119*12/1000000</f>
        <v>0</v>
      </c>
      <c r="BF113" s="2079">
        <f>Risk_Compensation!AE119*Risk_Compensation!$AK119*12/1000000</f>
        <v>0</v>
      </c>
      <c r="BG113" s="2079">
        <f>Risk_Compensation!AF119*Risk_Compensation!$AK119*12/1000000</f>
        <v>0</v>
      </c>
      <c r="BH113" s="2080">
        <f>Risk_Compensation!AG119*Risk_Compensation!$AK119*12/1000000</f>
        <v>0</v>
      </c>
      <c r="BK113" s="2138">
        <f>IF(G113&lt;=0,0,(Risk_Compensation!H119/G113-Risk_Compensation!H$79/G$72-0.5*CO$167*(G158/G113-CO$135/G$72))*G113)</f>
        <v>0</v>
      </c>
      <c r="BL113" s="2139">
        <f>IF(H113&lt;=0,0,(Risk_Compensation!I119/H113-Risk_Compensation!I$79/H$72-0.5*CP$167*(H158/H113-CP$135/H$72))*H113)</f>
        <v>0</v>
      </c>
      <c r="BM113" s="2139">
        <f>IF(I113&lt;=0,0,(Risk_Compensation!J119/I113-Risk_Compensation!J$79/I$72-0.5*CQ$167*(I158/I113-CQ$135/I$72))*I113)</f>
        <v>0</v>
      </c>
      <c r="BN113" s="2139">
        <f>IF(J113&lt;=0,0,(Risk_Compensation!K119/J113-Risk_Compensation!K$79/J$72-0.5*CR$167*(J158/J113-CR$135/J$72))*J113)</f>
        <v>0</v>
      </c>
      <c r="BO113" s="2139">
        <f>IF(K113&lt;=0,0,(Risk_Compensation!L119/K113-Risk_Compensation!L$79/K$72-0.5*CS$167*(K158/K113-CS$135/K$72))*K113)</f>
        <v>0</v>
      </c>
      <c r="BP113" s="2139">
        <f>IF(L113&lt;=0,0,(Risk_Compensation!M119/L113-Risk_Compensation!M$79/L$72-0.5*CT$167*(L158/L113-CT$135/L$72))*L113)</f>
        <v>0</v>
      </c>
      <c r="BQ113" s="2139">
        <f>IF(M113&lt;=0,0,(Risk_Compensation!N119/M113-Risk_Compensation!N$79/M$72-0.5*CU$167*(M158/M113-CU$135/M$72))*M113)</f>
        <v>0</v>
      </c>
      <c r="BR113" s="2139">
        <f>IF(N113&lt;=0,0,(Risk_Compensation!O119/N113-Risk_Compensation!O$79/N$72-0.5*CV$167*(N158/N113-CV$135/N$72))*N113)</f>
        <v>0</v>
      </c>
      <c r="BS113" s="2139">
        <f>IF(O113&lt;=0,0,(Risk_Compensation!P119/O113-Risk_Compensation!P$79/O$72-0.5*CW$167*(O158/O113-CW$135/O$72))*O113)</f>
        <v>0</v>
      </c>
      <c r="BT113" s="2139">
        <f>IF(P113&lt;=0,0,(Risk_Compensation!Q119/P113-Risk_Compensation!Q$79/P$72-0.5*CX$167*(P158/P113-CX$135/P$72))*P113)</f>
        <v>0</v>
      </c>
      <c r="BU113" s="2139">
        <f>IF(Q113&lt;=0,0,(Risk_Compensation!R119/Q113-Risk_Compensation!R$79/Q$72-0.5*CY$167*(Q158/Q113-CY$135/Q$72))*Q113)</f>
        <v>0</v>
      </c>
      <c r="BV113" s="2139">
        <f>IF(R113&lt;=0,0,(Risk_Compensation!S119/R113-Risk_Compensation!S$79/R$72-0.5*CZ$167*(R158/R113-CZ$135/R$72))*R113)</f>
        <v>0</v>
      </c>
      <c r="BW113" s="2139">
        <f>IF(S113&lt;=0,0,(Risk_Compensation!T119/S113-Risk_Compensation!T$79/S$72-0.5*DA$167*(S158/S113-DA$135/S$72))*S113)</f>
        <v>0</v>
      </c>
      <c r="BX113" s="2139">
        <f>IF(T113&lt;=0,0,(Risk_Compensation!U119/T113-Risk_Compensation!U$79/T$72-0.5*DB$167*(T158/T113-DB$135/T$72))*T113)</f>
        <v>0</v>
      </c>
      <c r="BY113" s="2139">
        <f>IF(U113&lt;=0,0,(Risk_Compensation!V119/U113-Risk_Compensation!V$79/U$72-0.5*DC$167*(U158/U113-DC$135/U$72))*U113)</f>
        <v>0</v>
      </c>
      <c r="BZ113" s="2139">
        <f>IF(V113&lt;=0,0,(Risk_Compensation!W119/V113-Risk_Compensation!W$79/V$72-0.5*DD$167*(V158/V113-DD$135/V$72))*V113)</f>
        <v>0</v>
      </c>
      <c r="CA113" s="2139">
        <f>IF(W113&lt;=0,0,(Risk_Compensation!X119/W113-Risk_Compensation!X$79/W$72-0.5*DE$167*(W158/W113-DE$135/W$72))*W113)</f>
        <v>0</v>
      </c>
      <c r="CB113" s="2139">
        <f>IF(X113&lt;=0,0,(Risk_Compensation!Y119/X113-Risk_Compensation!Y$79/X$72-0.5*DF$167*(X158/X113-DF$135/X$72))*X113)</f>
        <v>0</v>
      </c>
      <c r="CC113" s="2139">
        <f>IF(Y113&lt;=0,0,(Risk_Compensation!Z119/Y113-Risk_Compensation!Z$79/Y$72-0.5*DG$167*(Y158/Y113-DG$135/Y$72))*Y113)</f>
        <v>0</v>
      </c>
      <c r="CD113" s="2139">
        <f>IF(Z113&lt;=0,0,(Risk_Compensation!AA119/Z113-Risk_Compensation!AA$79/Z$72-0.5*DH$167*(Z158/Z113-DH$135/Z$72))*Z113)</f>
        <v>0</v>
      </c>
      <c r="CE113" s="2139">
        <f>IF(AA113&lt;=0,0,(Risk_Compensation!AB119/AA113-Risk_Compensation!AB$79/AA$72-0.5*DI$167*(AA158/AA113-DI$135/AA$72))*AA113)</f>
        <v>0</v>
      </c>
      <c r="CF113" s="2139">
        <f>IF(AB113&lt;=0,0,(Risk_Compensation!AC119/AB113-Risk_Compensation!AC$79/AB$72-0.5*DJ$167*(AB158/AB113-DJ$135/AB$72))*AB113)</f>
        <v>0</v>
      </c>
      <c r="CG113" s="2139">
        <f>IF(AC113&lt;=0,0,(Risk_Compensation!AD119/AC113-Risk_Compensation!AD$79/AC$72-0.5*DK$167*(AC158/AC113-DK$135/AC$72))*AC113)</f>
        <v>0</v>
      </c>
      <c r="CH113" s="2139">
        <f>IF(AD113&lt;=0,0,(Risk_Compensation!AE119/AD113-Risk_Compensation!AE$79/AD$72-0.5*DL$167*(AD158/AD113-DL$135/AD$72))*AD113)</f>
        <v>0</v>
      </c>
      <c r="CI113" s="2139">
        <f>IF(AE113&lt;=0,0,(Risk_Compensation!AF119/AE113-Risk_Compensation!AF$79/AE$72-0.5*DM$167*(AE158/AE113-DM$135/AE$72))*AE113)</f>
        <v>0</v>
      </c>
      <c r="CJ113" s="2140">
        <f>IF(AF113&lt;=0,0,(Risk_Compensation!AG119/AF113-Risk_Compensation!AG$79/AF$72-0.5*DN$167*(AF158/AF113-DN$135/AF$72))*AF113)</f>
        <v>0</v>
      </c>
      <c r="CL113" s="2144"/>
      <c r="CN113" s="2078">
        <f>IF(G113&gt;0,$DP113^2*(BK113*Risk_Compensation!$AK119*12/1000000)^2/G113,0)</f>
        <v>0</v>
      </c>
      <c r="CO113" s="2079">
        <f>IF(H113&gt;0,$DP113^2*(BL113*Risk_Compensation!$AK119*12/1000000)^2/H113,0)</f>
        <v>0</v>
      </c>
      <c r="CP113" s="2079">
        <f>IF(I113&gt;0,$DP113^2*(BM113*Risk_Compensation!$AK119*12/1000000)^2/I113,0)</f>
        <v>0</v>
      </c>
      <c r="CQ113" s="2079">
        <f>IF(J113&gt;0,$DP113^2*(BN113*Risk_Compensation!$AK119*12/1000000)^2/J113,0)</f>
        <v>0</v>
      </c>
      <c r="CR113" s="2079">
        <f>IF(K113&gt;0,$DP113^2*(BO113*Risk_Compensation!$AK119*12/1000000)^2/K113,0)</f>
        <v>0</v>
      </c>
      <c r="CS113" s="2079">
        <f>IF(L113&gt;0,$DP113^2*(BP113*Risk_Compensation!$AK119*12/1000000)^2/L113,0)</f>
        <v>0</v>
      </c>
      <c r="CT113" s="2079">
        <f>IF(M113&gt;0,$DP113^2*(BQ113*Risk_Compensation!$AK119*12/1000000)^2/M113,0)</f>
        <v>0</v>
      </c>
      <c r="CU113" s="2079">
        <f>IF(N113&gt;0,$DP113^2*(BR113*Risk_Compensation!$AK119*12/1000000)^2/N113,0)</f>
        <v>0</v>
      </c>
      <c r="CV113" s="2079">
        <f>IF(O113&gt;0,$DP113^2*(BS113*Risk_Compensation!$AK119*12/1000000)^2/O113,0)</f>
        <v>0</v>
      </c>
      <c r="CW113" s="2079">
        <f>IF(P113&gt;0,$DP113^2*(BT113*Risk_Compensation!$AK119*12/1000000)^2/P113,0)</f>
        <v>0</v>
      </c>
      <c r="CX113" s="2079">
        <f>IF(Q113&gt;0,$DP113^2*(BU113*Risk_Compensation!$AK119*12/1000000)^2/Q113,0)</f>
        <v>0</v>
      </c>
      <c r="CY113" s="2079">
        <f>IF(R113&gt;0,$DP113^2*(BV113*Risk_Compensation!$AK119*12/1000000)^2/R113,0)</f>
        <v>0</v>
      </c>
      <c r="CZ113" s="2079">
        <f>IF(S113&gt;0,$DP113^2*(BW113*Risk_Compensation!$AK119*12/1000000)^2/S113,0)</f>
        <v>0</v>
      </c>
      <c r="DA113" s="2079">
        <f>IF(T113&gt;0,$DP113^2*(BX113*Risk_Compensation!$AK119*12/1000000)^2/T113,0)</f>
        <v>0</v>
      </c>
      <c r="DB113" s="2079">
        <f>IF(U113&gt;0,$DP113^2*(BY113*Risk_Compensation!$AK119*12/1000000)^2/U113,0)</f>
        <v>0</v>
      </c>
      <c r="DC113" s="2079">
        <f>IF(V113&gt;0,$DP113^2*(BZ113*Risk_Compensation!$AK119*12/1000000)^2/V113,0)</f>
        <v>0</v>
      </c>
      <c r="DD113" s="2079">
        <f>IF(W113&gt;0,$DP113^2*(CA113*Risk_Compensation!$AK119*12/1000000)^2/W113,0)</f>
        <v>0</v>
      </c>
      <c r="DE113" s="2079">
        <f>IF(X113&gt;0,$DP113^2*(CB113*Risk_Compensation!$AK119*12/1000000)^2/X113,0)</f>
        <v>0</v>
      </c>
      <c r="DF113" s="2079">
        <f>IF(Y113&gt;0,$DP113^2*(CC113*Risk_Compensation!$AK119*12/1000000)^2/Y113,0)</f>
        <v>0</v>
      </c>
      <c r="DG113" s="2079">
        <f>IF(Z113&gt;0,$DP113^2*(CD113*Risk_Compensation!$AK119*12/1000000)^2/Z113,0)</f>
        <v>0</v>
      </c>
      <c r="DH113" s="2079">
        <f>IF(AA113&gt;0,$DP113^2*(CE113*Risk_Compensation!$AK119*12/1000000)^2/AA113,0)</f>
        <v>0</v>
      </c>
      <c r="DI113" s="2079">
        <f>IF(AB113&gt;0,$DP113^2*(CF113*Risk_Compensation!$AK119*12/1000000)^2/AB113,0)</f>
        <v>0</v>
      </c>
      <c r="DJ113" s="2079">
        <f>IF(AC113&gt;0,$DP113^2*(CG113*Risk_Compensation!$AK119*12/1000000)^2/AC113,0)</f>
        <v>0</v>
      </c>
      <c r="DK113" s="2079">
        <f>IF(AD113&gt;0,$DP113^2*(CH113*Risk_Compensation!$AK119*12/1000000)^2/AD113,0)</f>
        <v>0</v>
      </c>
      <c r="DL113" s="2079">
        <f>IF(AE113&gt;0,$DP113^2*(CI113*Risk_Compensation!$AK119*12/1000000)^2/AE113,0)</f>
        <v>0</v>
      </c>
      <c r="DM113" s="2080">
        <f>IF(AF113&gt;0,$DP113^2*(CJ113*Risk_Compensation!$AK119*12/1000000)^2/AF113,0)</f>
        <v>0</v>
      </c>
      <c r="DO113" s="1823"/>
      <c r="DP113" s="2219">
        <v>1.15887560641571</v>
      </c>
      <c r="DR113" s="1428" t="s">
        <v>2408</v>
      </c>
      <c r="DS113" s="1426" t="str">
        <f>Translation!B$616</f>
        <v>Krankheiten des ZN ohne Multiple Sklerose</v>
      </c>
      <c r="DU113" s="2159"/>
      <c r="DV113" s="1428"/>
      <c r="DW113" s="2159"/>
      <c r="DX113" s="2159"/>
      <c r="DY113" s="2217"/>
      <c r="DZ113" s="2159"/>
      <c r="EA113" s="2159"/>
      <c r="EB113" s="2159"/>
      <c r="EC113" s="2159"/>
      <c r="ED113" s="2159"/>
      <c r="EE113" s="2159"/>
      <c r="EF113" s="2159"/>
      <c r="EG113" s="2159"/>
      <c r="EH113" s="2159"/>
      <c r="EI113" s="2159"/>
      <c r="EJ113" s="2159"/>
    </row>
    <row r="114" spans="3:140" x14ac:dyDescent="0.2">
      <c r="C114" s="1428" t="s">
        <v>2410</v>
      </c>
      <c r="D114" s="1426" t="str">
        <f>Translation!B$617</f>
        <v>Diabetes Typ-2 mit Bluthochdruck</v>
      </c>
      <c r="F114" s="1437"/>
      <c r="G114" s="2214">
        <v>12260.2191666667</v>
      </c>
      <c r="H114" s="2215">
        <v>179.01333333333301</v>
      </c>
      <c r="I114" s="2215">
        <v>749.03</v>
      </c>
      <c r="J114" s="2215">
        <v>18545.830000000002</v>
      </c>
      <c r="K114" s="2215">
        <v>5609.1166666666704</v>
      </c>
      <c r="L114" s="2215">
        <v>3748.2941666666702</v>
      </c>
      <c r="M114" s="2215">
        <v>5165.2775000000001</v>
      </c>
      <c r="N114" s="2215">
        <v>8016.2541666666702</v>
      </c>
      <c r="O114" s="2215">
        <v>671.66666666666697</v>
      </c>
      <c r="P114" s="2215">
        <v>2841.33</v>
      </c>
      <c r="Q114" s="2215">
        <v>1316.7333333333299</v>
      </c>
      <c r="R114" s="2215">
        <v>5716.2449999999999</v>
      </c>
      <c r="S114" s="2215">
        <v>2983.8516666666701</v>
      </c>
      <c r="T114" s="2215">
        <v>543.94083333333299</v>
      </c>
      <c r="U114" s="2215">
        <v>513.51333333333298</v>
      </c>
      <c r="V114" s="2215">
        <v>8193.2758333333295</v>
      </c>
      <c r="W114" s="2215">
        <v>1571.5675000000001</v>
      </c>
      <c r="X114" s="2215">
        <v>5822.8416666666699</v>
      </c>
      <c r="Y114" s="2215">
        <v>2339.4650000000001</v>
      </c>
      <c r="Z114" s="2215">
        <v>4764.8166666666702</v>
      </c>
      <c r="AA114" s="2215">
        <v>6733.9375</v>
      </c>
      <c r="AB114" s="2215">
        <v>586.81833333333304</v>
      </c>
      <c r="AC114" s="2215">
        <v>12028.6175</v>
      </c>
      <c r="AD114" s="2215">
        <v>5404.2875000000004</v>
      </c>
      <c r="AE114" s="2215">
        <v>1409.53</v>
      </c>
      <c r="AF114" s="2216">
        <v>21357.273333333302</v>
      </c>
      <c r="AI114" s="2072">
        <f>Risk_Compensation!H120*Risk_Compensation!$AK120*12/1000000</f>
        <v>0</v>
      </c>
      <c r="AJ114" s="2066">
        <f>Risk_Compensation!I120*Risk_Compensation!$AK120*12/1000000</f>
        <v>0</v>
      </c>
      <c r="AK114" s="2066">
        <f>Risk_Compensation!J120*Risk_Compensation!$AK120*12/1000000</f>
        <v>0</v>
      </c>
      <c r="AL114" s="2066">
        <f>Risk_Compensation!K120*Risk_Compensation!$AK120*12/1000000</f>
        <v>0</v>
      </c>
      <c r="AM114" s="2066">
        <f>Risk_Compensation!L120*Risk_Compensation!$AK120*12/1000000</f>
        <v>0</v>
      </c>
      <c r="AN114" s="2066">
        <f>Risk_Compensation!M120*Risk_Compensation!$AK120*12/1000000</f>
        <v>0</v>
      </c>
      <c r="AO114" s="2066">
        <f>Risk_Compensation!N120*Risk_Compensation!$AK120*12/1000000</f>
        <v>0</v>
      </c>
      <c r="AP114" s="2066">
        <f>Risk_Compensation!O120*Risk_Compensation!$AK120*12/1000000</f>
        <v>0</v>
      </c>
      <c r="AQ114" s="2066">
        <f>Risk_Compensation!P120*Risk_Compensation!$AK120*12/1000000</f>
        <v>0</v>
      </c>
      <c r="AR114" s="2066">
        <f>Risk_Compensation!Q120*Risk_Compensation!$AK120*12/1000000</f>
        <v>0</v>
      </c>
      <c r="AS114" s="2066">
        <f>Risk_Compensation!R120*Risk_Compensation!$AK120*12/1000000</f>
        <v>0</v>
      </c>
      <c r="AT114" s="2066">
        <f>Risk_Compensation!S120*Risk_Compensation!$AK120*12/1000000</f>
        <v>0</v>
      </c>
      <c r="AU114" s="2066">
        <f>Risk_Compensation!T120*Risk_Compensation!$AK120*12/1000000</f>
        <v>0</v>
      </c>
      <c r="AV114" s="2066">
        <f>Risk_Compensation!U120*Risk_Compensation!$AK120*12/1000000</f>
        <v>0</v>
      </c>
      <c r="AW114" s="2066">
        <f>Risk_Compensation!V120*Risk_Compensation!$AK120*12/1000000</f>
        <v>0</v>
      </c>
      <c r="AX114" s="2066">
        <f>Risk_Compensation!W120*Risk_Compensation!$AK120*12/1000000</f>
        <v>0</v>
      </c>
      <c r="AY114" s="2066">
        <f>Risk_Compensation!X120*Risk_Compensation!$AK120*12/1000000</f>
        <v>0</v>
      </c>
      <c r="AZ114" s="2066">
        <f>Risk_Compensation!Y120*Risk_Compensation!$AK120*12/1000000</f>
        <v>0</v>
      </c>
      <c r="BA114" s="2066">
        <f>Risk_Compensation!Z120*Risk_Compensation!$AK120*12/1000000</f>
        <v>0</v>
      </c>
      <c r="BB114" s="2066">
        <f>Risk_Compensation!AA120*Risk_Compensation!$AK120*12/1000000</f>
        <v>0</v>
      </c>
      <c r="BC114" s="2066">
        <f>Risk_Compensation!AB120*Risk_Compensation!$AK120*12/1000000</f>
        <v>0</v>
      </c>
      <c r="BD114" s="2066">
        <f>Risk_Compensation!AC120*Risk_Compensation!$AK120*12/1000000</f>
        <v>0</v>
      </c>
      <c r="BE114" s="2066">
        <f>Risk_Compensation!AD120*Risk_Compensation!$AK120*12/1000000</f>
        <v>0</v>
      </c>
      <c r="BF114" s="2066">
        <f>Risk_Compensation!AE120*Risk_Compensation!$AK120*12/1000000</f>
        <v>0</v>
      </c>
      <c r="BG114" s="2066">
        <f>Risk_Compensation!AF120*Risk_Compensation!$AK120*12/1000000</f>
        <v>0</v>
      </c>
      <c r="BH114" s="2067">
        <f>Risk_Compensation!AG120*Risk_Compensation!$AK120*12/1000000</f>
        <v>0</v>
      </c>
      <c r="BK114" s="2141">
        <f>IF(G114&lt;=0,0,(Risk_Compensation!H120/G114-Risk_Compensation!H$79/G$72-0.5*CO$167*(G159/G114-CO$135/G$72))*G114)</f>
        <v>0</v>
      </c>
      <c r="BL114" s="2142">
        <f>IF(H114&lt;=0,0,(Risk_Compensation!I120/H114-Risk_Compensation!I$79/H$72-0.5*CP$167*(H159/H114-CP$135/H$72))*H114)</f>
        <v>0</v>
      </c>
      <c r="BM114" s="2142">
        <f>IF(I114&lt;=0,0,(Risk_Compensation!J120/I114-Risk_Compensation!J$79/I$72-0.5*CQ$167*(I159/I114-CQ$135/I$72))*I114)</f>
        <v>0</v>
      </c>
      <c r="BN114" s="2142">
        <f>IF(J114&lt;=0,0,(Risk_Compensation!K120/J114-Risk_Compensation!K$79/J$72-0.5*CR$167*(J159/J114-CR$135/J$72))*J114)</f>
        <v>0</v>
      </c>
      <c r="BO114" s="2142">
        <f>IF(K114&lt;=0,0,(Risk_Compensation!L120/K114-Risk_Compensation!L$79/K$72-0.5*CS$167*(K159/K114-CS$135/K$72))*K114)</f>
        <v>0</v>
      </c>
      <c r="BP114" s="2142">
        <f>IF(L114&lt;=0,0,(Risk_Compensation!M120/L114-Risk_Compensation!M$79/L$72-0.5*CT$167*(L159/L114-CT$135/L$72))*L114)</f>
        <v>0</v>
      </c>
      <c r="BQ114" s="2142">
        <f>IF(M114&lt;=0,0,(Risk_Compensation!N120/M114-Risk_Compensation!N$79/M$72-0.5*CU$167*(M159/M114-CU$135/M$72))*M114)</f>
        <v>0</v>
      </c>
      <c r="BR114" s="2142">
        <f>IF(N114&lt;=0,0,(Risk_Compensation!O120/N114-Risk_Compensation!O$79/N$72-0.5*CV$167*(N159/N114-CV$135/N$72))*N114)</f>
        <v>0</v>
      </c>
      <c r="BS114" s="2142">
        <f>IF(O114&lt;=0,0,(Risk_Compensation!P120/O114-Risk_Compensation!P$79/O$72-0.5*CW$167*(O159/O114-CW$135/O$72))*O114)</f>
        <v>0</v>
      </c>
      <c r="BT114" s="2142">
        <f>IF(P114&lt;=0,0,(Risk_Compensation!Q120/P114-Risk_Compensation!Q$79/P$72-0.5*CX$167*(P159/P114-CX$135/P$72))*P114)</f>
        <v>0</v>
      </c>
      <c r="BU114" s="2142">
        <f>IF(Q114&lt;=0,0,(Risk_Compensation!R120/Q114-Risk_Compensation!R$79/Q$72-0.5*CY$167*(Q159/Q114-CY$135/Q$72))*Q114)</f>
        <v>0</v>
      </c>
      <c r="BV114" s="2142">
        <f>IF(R114&lt;=0,0,(Risk_Compensation!S120/R114-Risk_Compensation!S$79/R$72-0.5*CZ$167*(R159/R114-CZ$135/R$72))*R114)</f>
        <v>0</v>
      </c>
      <c r="BW114" s="2142">
        <f>IF(S114&lt;=0,0,(Risk_Compensation!T120/S114-Risk_Compensation!T$79/S$72-0.5*DA$167*(S159/S114-DA$135/S$72))*S114)</f>
        <v>0</v>
      </c>
      <c r="BX114" s="2142">
        <f>IF(T114&lt;=0,0,(Risk_Compensation!U120/T114-Risk_Compensation!U$79/T$72-0.5*DB$167*(T159/T114-DB$135/T$72))*T114)</f>
        <v>0</v>
      </c>
      <c r="BY114" s="2142">
        <f>IF(U114&lt;=0,0,(Risk_Compensation!V120/U114-Risk_Compensation!V$79/U$72-0.5*DC$167*(U159/U114-DC$135/U$72))*U114)</f>
        <v>0</v>
      </c>
      <c r="BZ114" s="2142">
        <f>IF(V114&lt;=0,0,(Risk_Compensation!W120/V114-Risk_Compensation!W$79/V$72-0.5*DD$167*(V159/V114-DD$135/V$72))*V114)</f>
        <v>0</v>
      </c>
      <c r="CA114" s="2142">
        <f>IF(W114&lt;=0,0,(Risk_Compensation!X120/W114-Risk_Compensation!X$79/W$72-0.5*DE$167*(W159/W114-DE$135/W$72))*W114)</f>
        <v>0</v>
      </c>
      <c r="CB114" s="2142">
        <f>IF(X114&lt;=0,0,(Risk_Compensation!Y120/X114-Risk_Compensation!Y$79/X$72-0.5*DF$167*(X159/X114-DF$135/X$72))*X114)</f>
        <v>0</v>
      </c>
      <c r="CC114" s="2142">
        <f>IF(Y114&lt;=0,0,(Risk_Compensation!Z120/Y114-Risk_Compensation!Z$79/Y$72-0.5*DG$167*(Y159/Y114-DG$135/Y$72))*Y114)</f>
        <v>0</v>
      </c>
      <c r="CD114" s="2142">
        <f>IF(Z114&lt;=0,0,(Risk_Compensation!AA120/Z114-Risk_Compensation!AA$79/Z$72-0.5*DH$167*(Z159/Z114-DH$135/Z$72))*Z114)</f>
        <v>0</v>
      </c>
      <c r="CE114" s="2142">
        <f>IF(AA114&lt;=0,0,(Risk_Compensation!AB120/AA114-Risk_Compensation!AB$79/AA$72-0.5*DI$167*(AA159/AA114-DI$135/AA$72))*AA114)</f>
        <v>0</v>
      </c>
      <c r="CF114" s="2142">
        <f>IF(AB114&lt;=0,0,(Risk_Compensation!AC120/AB114-Risk_Compensation!AC$79/AB$72-0.5*DJ$167*(AB159/AB114-DJ$135/AB$72))*AB114)</f>
        <v>0</v>
      </c>
      <c r="CG114" s="2142">
        <f>IF(AC114&lt;=0,0,(Risk_Compensation!AD120/AC114-Risk_Compensation!AD$79/AC$72-0.5*DK$167*(AC159/AC114-DK$135/AC$72))*AC114)</f>
        <v>0</v>
      </c>
      <c r="CH114" s="2142">
        <f>IF(AD114&lt;=0,0,(Risk_Compensation!AE120/AD114-Risk_Compensation!AE$79/AD$72-0.5*DL$167*(AD159/AD114-DL$135/AD$72))*AD114)</f>
        <v>0</v>
      </c>
      <c r="CI114" s="2142">
        <f>IF(AE114&lt;=0,0,(Risk_Compensation!AF120/AE114-Risk_Compensation!AF$79/AE$72-0.5*DM$167*(AE159/AE114-DM$135/AE$72))*AE114)</f>
        <v>0</v>
      </c>
      <c r="CJ114" s="2143">
        <f>IF(AF114&lt;=0,0,(Risk_Compensation!AG120/AF114-Risk_Compensation!AG$79/AF$72-0.5*DN$167*(AF159/AF114-DN$135/AF$72))*AF114)</f>
        <v>0</v>
      </c>
      <c r="CL114" s="2144"/>
      <c r="CN114" s="2072">
        <f>IF(G114&gt;0,$DP114^2*(BK114*Risk_Compensation!$AK120*12/1000000)^2/G114,0)</f>
        <v>0</v>
      </c>
      <c r="CO114" s="2066">
        <f>IF(H114&gt;0,$DP114^2*(BL114*Risk_Compensation!$AK120*12/1000000)^2/H114,0)</f>
        <v>0</v>
      </c>
      <c r="CP114" s="2066">
        <f>IF(I114&gt;0,$DP114^2*(BM114*Risk_Compensation!$AK120*12/1000000)^2/I114,0)</f>
        <v>0</v>
      </c>
      <c r="CQ114" s="2066">
        <f>IF(J114&gt;0,$DP114^2*(BN114*Risk_Compensation!$AK120*12/1000000)^2/J114,0)</f>
        <v>0</v>
      </c>
      <c r="CR114" s="2066">
        <f>IF(K114&gt;0,$DP114^2*(BO114*Risk_Compensation!$AK120*12/1000000)^2/K114,0)</f>
        <v>0</v>
      </c>
      <c r="CS114" s="2066">
        <f>IF(L114&gt;0,$DP114^2*(BP114*Risk_Compensation!$AK120*12/1000000)^2/L114,0)</f>
        <v>0</v>
      </c>
      <c r="CT114" s="2066">
        <f>IF(M114&gt;0,$DP114^2*(BQ114*Risk_Compensation!$AK120*12/1000000)^2/M114,0)</f>
        <v>0</v>
      </c>
      <c r="CU114" s="2066">
        <f>IF(N114&gt;0,$DP114^2*(BR114*Risk_Compensation!$AK120*12/1000000)^2/N114,0)</f>
        <v>0</v>
      </c>
      <c r="CV114" s="2066">
        <f>IF(O114&gt;0,$DP114^2*(BS114*Risk_Compensation!$AK120*12/1000000)^2/O114,0)</f>
        <v>0</v>
      </c>
      <c r="CW114" s="2066">
        <f>IF(P114&gt;0,$DP114^2*(BT114*Risk_Compensation!$AK120*12/1000000)^2/P114,0)</f>
        <v>0</v>
      </c>
      <c r="CX114" s="2066">
        <f>IF(Q114&gt;0,$DP114^2*(BU114*Risk_Compensation!$AK120*12/1000000)^2/Q114,0)</f>
        <v>0</v>
      </c>
      <c r="CY114" s="2066">
        <f>IF(R114&gt;0,$DP114^2*(BV114*Risk_Compensation!$AK120*12/1000000)^2/R114,0)</f>
        <v>0</v>
      </c>
      <c r="CZ114" s="2066">
        <f>IF(S114&gt;0,$DP114^2*(BW114*Risk_Compensation!$AK120*12/1000000)^2/S114,0)</f>
        <v>0</v>
      </c>
      <c r="DA114" s="2066">
        <f>IF(T114&gt;0,$DP114^2*(BX114*Risk_Compensation!$AK120*12/1000000)^2/T114,0)</f>
        <v>0</v>
      </c>
      <c r="DB114" s="2066">
        <f>IF(U114&gt;0,$DP114^2*(BY114*Risk_Compensation!$AK120*12/1000000)^2/U114,0)</f>
        <v>0</v>
      </c>
      <c r="DC114" s="2066">
        <f>IF(V114&gt;0,$DP114^2*(BZ114*Risk_Compensation!$AK120*12/1000000)^2/V114,0)</f>
        <v>0</v>
      </c>
      <c r="DD114" s="2066">
        <f>IF(W114&gt;0,$DP114^2*(CA114*Risk_Compensation!$AK120*12/1000000)^2/W114,0)</f>
        <v>0</v>
      </c>
      <c r="DE114" s="2066">
        <f>IF(X114&gt;0,$DP114^2*(CB114*Risk_Compensation!$AK120*12/1000000)^2/X114,0)</f>
        <v>0</v>
      </c>
      <c r="DF114" s="2066">
        <f>IF(Y114&gt;0,$DP114^2*(CC114*Risk_Compensation!$AK120*12/1000000)^2/Y114,0)</f>
        <v>0</v>
      </c>
      <c r="DG114" s="2066">
        <f>IF(Z114&gt;0,$DP114^2*(CD114*Risk_Compensation!$AK120*12/1000000)^2/Z114,0)</f>
        <v>0</v>
      </c>
      <c r="DH114" s="2066">
        <f>IF(AA114&gt;0,$DP114^2*(CE114*Risk_Compensation!$AK120*12/1000000)^2/AA114,0)</f>
        <v>0</v>
      </c>
      <c r="DI114" s="2066">
        <f>IF(AB114&gt;0,$DP114^2*(CF114*Risk_Compensation!$AK120*12/1000000)^2/AB114,0)</f>
        <v>0</v>
      </c>
      <c r="DJ114" s="2066">
        <f>IF(AC114&gt;0,$DP114^2*(CG114*Risk_Compensation!$AK120*12/1000000)^2/AC114,0)</f>
        <v>0</v>
      </c>
      <c r="DK114" s="2066">
        <f>IF(AD114&gt;0,$DP114^2*(CH114*Risk_Compensation!$AK120*12/1000000)^2/AD114,0)</f>
        <v>0</v>
      </c>
      <c r="DL114" s="2066">
        <f>IF(AE114&gt;0,$DP114^2*(CI114*Risk_Compensation!$AK120*12/1000000)^2/AE114,0)</f>
        <v>0</v>
      </c>
      <c r="DM114" s="2067">
        <f>IF(AF114&gt;0,$DP114^2*(CJ114*Risk_Compensation!$AK120*12/1000000)^2/AF114,0)</f>
        <v>0</v>
      </c>
      <c r="DO114" s="1824"/>
      <c r="DP114" s="2220">
        <v>1.46834245535465</v>
      </c>
      <c r="DR114" s="1428" t="s">
        <v>2410</v>
      </c>
      <c r="DS114" s="1426" t="str">
        <f>Translation!B$617</f>
        <v>Diabetes Typ-2 mit Bluthochdruck</v>
      </c>
      <c r="DU114" s="2159"/>
      <c r="DV114" s="1428"/>
      <c r="DW114" s="2159"/>
      <c r="DX114" s="2159"/>
      <c r="DY114" s="2217"/>
      <c r="DZ114" s="2159"/>
      <c r="EA114" s="2159"/>
      <c r="EB114" s="2159"/>
      <c r="EC114" s="2159"/>
      <c r="ED114" s="2159"/>
      <c r="EE114" s="2159"/>
      <c r="EF114" s="2159"/>
      <c r="EG114" s="2159"/>
      <c r="EH114" s="2159"/>
      <c r="EI114" s="2159"/>
      <c r="EJ114" s="2159"/>
    </row>
    <row r="115" spans="3:140" ht="12.75" x14ac:dyDescent="0.2">
      <c r="D115" s="644"/>
      <c r="E115" s="644"/>
      <c r="F115" s="1820"/>
      <c r="G115" s="644"/>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c r="AE115" s="644"/>
      <c r="AF115" s="644"/>
      <c r="AI115" s="644"/>
      <c r="AJ115" s="644"/>
      <c r="AK115" s="644"/>
      <c r="AL115" s="644"/>
      <c r="AM115" s="644"/>
      <c r="AN115" s="644"/>
      <c r="AO115" s="644"/>
      <c r="AP115" s="644"/>
      <c r="AQ115" s="644"/>
      <c r="AR115" s="644"/>
      <c r="AS115" s="644"/>
      <c r="AT115" s="644"/>
      <c r="AU115" s="644"/>
      <c r="AV115" s="644"/>
      <c r="AW115" s="644"/>
      <c r="AX115" s="644"/>
      <c r="AY115" s="644"/>
      <c r="AZ115" s="644"/>
      <c r="BA115" s="644"/>
      <c r="BB115" s="644"/>
      <c r="BC115" s="644"/>
      <c r="BD115" s="644"/>
      <c r="BE115" s="644"/>
      <c r="BF115" s="644"/>
      <c r="BG115" s="644"/>
      <c r="BH115" s="644"/>
      <c r="CN115" s="644"/>
      <c r="CO115" s="644"/>
      <c r="CP115" s="644"/>
      <c r="CQ115" s="644"/>
      <c r="CR115" s="644"/>
      <c r="CS115" s="644"/>
      <c r="CT115" s="644"/>
      <c r="CU115" s="644"/>
      <c r="CV115" s="644"/>
      <c r="CW115" s="644"/>
      <c r="CX115" s="644"/>
      <c r="CY115" s="644"/>
      <c r="CZ115" s="644"/>
      <c r="DA115" s="644"/>
      <c r="DB115" s="644"/>
      <c r="DC115" s="644"/>
      <c r="DD115" s="644"/>
      <c r="DE115" s="644"/>
      <c r="DF115" s="644"/>
      <c r="DG115" s="644"/>
      <c r="DH115" s="644"/>
      <c r="DI115" s="644"/>
      <c r="DJ115" s="644"/>
      <c r="DK115" s="644"/>
      <c r="DL115" s="644"/>
      <c r="DM115" s="644"/>
      <c r="DZ115" s="1428"/>
      <c r="EA115" s="2159"/>
      <c r="EB115" s="1428"/>
      <c r="EC115" s="2159"/>
      <c r="ED115" s="1428"/>
    </row>
    <row r="116" spans="3:140" ht="12.75" x14ac:dyDescent="0.2">
      <c r="D116" s="644"/>
      <c r="E116" s="2088"/>
      <c r="F116" s="1438" t="str">
        <f>Translation!B$582</f>
        <v>Summe</v>
      </c>
      <c r="G116" s="1822">
        <f t="shared" ref="G116:AF116" si="55">SUM(G81:G114)</f>
        <v>175364.60833333348</v>
      </c>
      <c r="H116" s="1624">
        <f t="shared" si="55"/>
        <v>3100.8141666666661</v>
      </c>
      <c r="I116" s="1624">
        <f t="shared" si="55"/>
        <v>12115.001666666665</v>
      </c>
      <c r="J116" s="1624">
        <f t="shared" si="55"/>
        <v>288897.30416666652</v>
      </c>
      <c r="K116" s="1624">
        <f t="shared" si="55"/>
        <v>81224.154166666718</v>
      </c>
      <c r="L116" s="1624">
        <f t="shared" si="55"/>
        <v>54067.691666666622</v>
      </c>
      <c r="M116" s="1624">
        <f t="shared" si="55"/>
        <v>78503.736666666737</v>
      </c>
      <c r="N116" s="1624">
        <f t="shared" si="55"/>
        <v>115616.39750000012</v>
      </c>
      <c r="O116" s="1624">
        <f t="shared" si="55"/>
        <v>10071.839166666661</v>
      </c>
      <c r="P116" s="1624">
        <f t="shared" si="55"/>
        <v>50325.87666666662</v>
      </c>
      <c r="Q116" s="1624">
        <f t="shared" si="55"/>
        <v>20554.324999999983</v>
      </c>
      <c r="R116" s="1624">
        <f t="shared" si="55"/>
        <v>96394.81583333337</v>
      </c>
      <c r="S116" s="1624">
        <f t="shared" si="55"/>
        <v>48594.425833333327</v>
      </c>
      <c r="T116" s="1624">
        <f t="shared" si="55"/>
        <v>10128.284166666674</v>
      </c>
      <c r="U116" s="1624">
        <f t="shared" si="55"/>
        <v>8452.8241666666654</v>
      </c>
      <c r="V116" s="1624">
        <f t="shared" si="55"/>
        <v>120115.20666666669</v>
      </c>
      <c r="W116" s="1624">
        <f t="shared" si="55"/>
        <v>22114.78666666666</v>
      </c>
      <c r="X116" s="1624">
        <f t="shared" si="55"/>
        <v>81243.739166666739</v>
      </c>
      <c r="Y116" s="1624">
        <f t="shared" si="55"/>
        <v>36969.912499999962</v>
      </c>
      <c r="Z116" s="1624">
        <f t="shared" si="55"/>
        <v>63769.144166666665</v>
      </c>
      <c r="AA116" s="1624">
        <f t="shared" si="55"/>
        <v>104348.81749999999</v>
      </c>
      <c r="AB116" s="1624">
        <f t="shared" si="55"/>
        <v>8118.1333333333323</v>
      </c>
      <c r="AC116" s="1624">
        <f t="shared" si="55"/>
        <v>189328.80749999997</v>
      </c>
      <c r="AD116" s="1624">
        <f t="shared" si="55"/>
        <v>89935.930000000008</v>
      </c>
      <c r="AE116" s="1624">
        <f t="shared" si="55"/>
        <v>26234.287499999999</v>
      </c>
      <c r="AF116" s="1817">
        <f t="shared" si="55"/>
        <v>348736.66249999974</v>
      </c>
      <c r="AH116" s="1438" t="str">
        <f>Translation!B$582</f>
        <v>Summe</v>
      </c>
      <c r="AI116" s="2083">
        <f t="shared" ref="AI116:BH116" si="56">SUM(AI81:AI114)</f>
        <v>0</v>
      </c>
      <c r="AJ116" s="2083">
        <f t="shared" si="56"/>
        <v>0</v>
      </c>
      <c r="AK116" s="2083">
        <f t="shared" si="56"/>
        <v>0</v>
      </c>
      <c r="AL116" s="2083">
        <f t="shared" si="56"/>
        <v>0</v>
      </c>
      <c r="AM116" s="2083">
        <f t="shared" si="56"/>
        <v>0</v>
      </c>
      <c r="AN116" s="2083">
        <f t="shared" si="56"/>
        <v>0</v>
      </c>
      <c r="AO116" s="2083">
        <f t="shared" si="56"/>
        <v>0</v>
      </c>
      <c r="AP116" s="2083">
        <f t="shared" si="56"/>
        <v>0</v>
      </c>
      <c r="AQ116" s="2083">
        <f t="shared" si="56"/>
        <v>0</v>
      </c>
      <c r="AR116" s="2083">
        <f t="shared" si="56"/>
        <v>0</v>
      </c>
      <c r="AS116" s="2083">
        <f t="shared" si="56"/>
        <v>0</v>
      </c>
      <c r="AT116" s="2083">
        <f t="shared" si="56"/>
        <v>0</v>
      </c>
      <c r="AU116" s="2083">
        <f t="shared" si="56"/>
        <v>0</v>
      </c>
      <c r="AV116" s="2083">
        <f t="shared" si="56"/>
        <v>0</v>
      </c>
      <c r="AW116" s="2083">
        <f t="shared" si="56"/>
        <v>0</v>
      </c>
      <c r="AX116" s="2083">
        <f t="shared" si="56"/>
        <v>0</v>
      </c>
      <c r="AY116" s="2083">
        <f t="shared" si="56"/>
        <v>0</v>
      </c>
      <c r="AZ116" s="2083">
        <f t="shared" si="56"/>
        <v>0</v>
      </c>
      <c r="BA116" s="2083">
        <f t="shared" si="56"/>
        <v>0</v>
      </c>
      <c r="BB116" s="2083">
        <f t="shared" si="56"/>
        <v>0</v>
      </c>
      <c r="BC116" s="2083">
        <f t="shared" si="56"/>
        <v>0</v>
      </c>
      <c r="BD116" s="2083">
        <f t="shared" si="56"/>
        <v>0</v>
      </c>
      <c r="BE116" s="2083">
        <f t="shared" si="56"/>
        <v>0</v>
      </c>
      <c r="BF116" s="2083">
        <f t="shared" si="56"/>
        <v>0</v>
      </c>
      <c r="BG116" s="2083">
        <f t="shared" si="56"/>
        <v>0</v>
      </c>
      <c r="BH116" s="2084">
        <f t="shared" si="56"/>
        <v>0</v>
      </c>
      <c r="CM116" s="1845" t="str">
        <f>Translation!B$582</f>
        <v>Summe</v>
      </c>
      <c r="CN116" s="2083">
        <f t="shared" ref="CN116:DM116" si="57">SUM(CN81:CN114)</f>
        <v>0</v>
      </c>
      <c r="CO116" s="2083">
        <f t="shared" si="57"/>
        <v>0</v>
      </c>
      <c r="CP116" s="2083">
        <f t="shared" si="57"/>
        <v>0</v>
      </c>
      <c r="CQ116" s="2083">
        <f t="shared" si="57"/>
        <v>0</v>
      </c>
      <c r="CR116" s="2083">
        <f t="shared" si="57"/>
        <v>0</v>
      </c>
      <c r="CS116" s="2083">
        <f t="shared" si="57"/>
        <v>0</v>
      </c>
      <c r="CT116" s="2083">
        <f t="shared" si="57"/>
        <v>0</v>
      </c>
      <c r="CU116" s="2083">
        <f t="shared" si="57"/>
        <v>0</v>
      </c>
      <c r="CV116" s="2083">
        <f t="shared" si="57"/>
        <v>0</v>
      </c>
      <c r="CW116" s="2083">
        <f t="shared" si="57"/>
        <v>0</v>
      </c>
      <c r="CX116" s="2083">
        <f t="shared" si="57"/>
        <v>0</v>
      </c>
      <c r="CY116" s="2083">
        <f t="shared" si="57"/>
        <v>0</v>
      </c>
      <c r="CZ116" s="2083">
        <f t="shared" si="57"/>
        <v>0</v>
      </c>
      <c r="DA116" s="2083">
        <f t="shared" si="57"/>
        <v>0</v>
      </c>
      <c r="DB116" s="2083">
        <f t="shared" si="57"/>
        <v>0</v>
      </c>
      <c r="DC116" s="2083">
        <f t="shared" si="57"/>
        <v>0</v>
      </c>
      <c r="DD116" s="2083">
        <f t="shared" si="57"/>
        <v>0</v>
      </c>
      <c r="DE116" s="2083">
        <f t="shared" si="57"/>
        <v>0</v>
      </c>
      <c r="DF116" s="2083">
        <f t="shared" si="57"/>
        <v>0</v>
      </c>
      <c r="DG116" s="2083">
        <f t="shared" si="57"/>
        <v>0</v>
      </c>
      <c r="DH116" s="2083">
        <f t="shared" si="57"/>
        <v>0</v>
      </c>
      <c r="DI116" s="2083">
        <f t="shared" si="57"/>
        <v>0</v>
      </c>
      <c r="DJ116" s="2083">
        <f t="shared" si="57"/>
        <v>0</v>
      </c>
      <c r="DK116" s="2083">
        <f t="shared" si="57"/>
        <v>0</v>
      </c>
      <c r="DL116" s="2083">
        <f t="shared" si="57"/>
        <v>0</v>
      </c>
      <c r="DM116" s="2084">
        <f t="shared" si="57"/>
        <v>0</v>
      </c>
    </row>
    <row r="117" spans="3:140" ht="12.75" x14ac:dyDescent="0.2">
      <c r="D117" s="644"/>
      <c r="E117" s="644"/>
      <c r="F117" s="1820"/>
      <c r="G117" s="644"/>
      <c r="H117" s="644"/>
      <c r="I117" s="644"/>
      <c r="J117" s="644"/>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row>
    <row r="118" spans="3:140" ht="12.75" x14ac:dyDescent="0.2">
      <c r="D118" s="644"/>
      <c r="E118" s="644"/>
      <c r="F118" s="1820"/>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644"/>
      <c r="AL118" s="644"/>
      <c r="AM118" s="644"/>
      <c r="AN118" s="644"/>
      <c r="AO118" s="644"/>
      <c r="AP118" s="644"/>
      <c r="AQ118" s="644"/>
      <c r="AR118" s="644"/>
      <c r="AS118" s="644"/>
      <c r="AT118" s="644"/>
      <c r="AU118" s="644"/>
      <c r="AV118" s="644"/>
      <c r="AW118" s="644"/>
      <c r="AX118" s="644"/>
      <c r="AY118" s="644"/>
      <c r="AZ118" s="644"/>
      <c r="BA118" s="644"/>
      <c r="BB118" s="644"/>
      <c r="BC118" s="644"/>
      <c r="BD118" s="644"/>
      <c r="BE118" s="644"/>
      <c r="BF118" s="644"/>
      <c r="BG118" s="644"/>
      <c r="BH118" s="644"/>
    </row>
    <row r="119" spans="3:140" ht="12.75" x14ac:dyDescent="0.2">
      <c r="D119" s="644"/>
      <c r="E119" s="644"/>
      <c r="F119" s="644"/>
      <c r="G119" s="644"/>
      <c r="H119" s="644"/>
      <c r="I119" s="644"/>
      <c r="J119" s="644"/>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644"/>
      <c r="AL119" s="644"/>
      <c r="AM119" s="644"/>
      <c r="AN119" s="644"/>
      <c r="AO119" s="644"/>
      <c r="AP119" s="644"/>
      <c r="AQ119" s="644"/>
      <c r="AR119" s="644"/>
      <c r="AS119" s="644"/>
      <c r="AT119" s="644"/>
      <c r="AU119" s="644"/>
      <c r="AV119" s="644"/>
      <c r="AW119" s="644"/>
      <c r="AX119" s="644"/>
      <c r="AY119" s="644"/>
      <c r="AZ119" s="644"/>
      <c r="BA119" s="644"/>
      <c r="BB119" s="644"/>
      <c r="BC119" s="644"/>
      <c r="BD119" s="644"/>
      <c r="BE119" s="644"/>
      <c r="BF119" s="644"/>
      <c r="BG119" s="644"/>
      <c r="BH119" s="644"/>
      <c r="CN119" s="2158"/>
    </row>
    <row r="120" spans="3:140" ht="12.75" x14ac:dyDescent="0.2">
      <c r="D120" s="644"/>
      <c r="E120" s="644"/>
      <c r="F120" s="644"/>
      <c r="G120" s="644"/>
      <c r="H120" s="644"/>
      <c r="I120" s="644"/>
      <c r="J120" s="644"/>
      <c r="K120" s="644"/>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644"/>
      <c r="AL120" s="644"/>
      <c r="AM120" s="644"/>
      <c r="AN120" s="644"/>
      <c r="AO120" s="644"/>
      <c r="AP120" s="644"/>
      <c r="AQ120" s="644"/>
      <c r="AR120" s="644"/>
      <c r="AS120" s="644"/>
      <c r="AT120" s="644"/>
      <c r="AU120" s="644"/>
      <c r="AV120" s="644"/>
      <c r="AW120" s="644"/>
      <c r="AX120" s="644"/>
      <c r="AY120" s="644"/>
      <c r="AZ120" s="644"/>
      <c r="BA120" s="644"/>
      <c r="BB120" s="644"/>
      <c r="BC120" s="644"/>
      <c r="BD120" s="644"/>
      <c r="BE120" s="644"/>
      <c r="BF120" s="644"/>
      <c r="BG120" s="644"/>
      <c r="BH120" s="644"/>
    </row>
    <row r="121" spans="3:140" ht="12.75" x14ac:dyDescent="0.2">
      <c r="D121" s="644"/>
      <c r="E121" s="644"/>
      <c r="F121" s="644"/>
      <c r="G121" s="644"/>
      <c r="H121" s="644"/>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644"/>
      <c r="AY121" s="644"/>
      <c r="AZ121" s="644"/>
      <c r="BA121" s="644"/>
      <c r="BB121" s="644"/>
      <c r="BC121" s="644"/>
      <c r="BD121" s="644"/>
      <c r="BE121" s="644"/>
      <c r="BF121" s="644"/>
      <c r="BG121" s="644"/>
      <c r="BH121" s="644"/>
      <c r="CM121" s="1427" t="str">
        <f>Translation!B$632</f>
        <v>Entlastung der jungen Erwachsenen</v>
      </c>
    </row>
    <row r="122" spans="3:140" ht="12.75" x14ac:dyDescent="0.2">
      <c r="D122" s="644"/>
      <c r="E122" s="2082"/>
      <c r="F122" s="644"/>
      <c r="G122" s="2157" t="str">
        <f>Translation!B$620</f>
        <v>Geschätzter Durchschnittsbestand der jungen Erwachsenen der Gesamtbranche pro PCG für das Jahr 2025</v>
      </c>
      <c r="H122" s="644"/>
      <c r="I122" s="644"/>
      <c r="J122" s="644"/>
      <c r="K122" s="644"/>
      <c r="L122" s="644"/>
      <c r="M122" s="644"/>
      <c r="N122" s="2157"/>
      <c r="O122" s="2079"/>
      <c r="P122" s="2079"/>
      <c r="Q122" s="2079"/>
      <c r="R122" s="2079"/>
      <c r="S122" s="2079"/>
      <c r="T122" s="2079"/>
      <c r="U122" s="2079"/>
      <c r="V122" s="2079"/>
      <c r="W122" s="2079"/>
      <c r="X122" s="2079"/>
      <c r="Y122" s="2079"/>
      <c r="Z122" s="2079"/>
      <c r="AA122" s="2079"/>
      <c r="AB122" s="2079"/>
      <c r="AC122" s="2079"/>
      <c r="AD122" s="2079"/>
      <c r="AE122" s="2079"/>
      <c r="AF122" s="2079"/>
      <c r="AG122" s="644"/>
      <c r="AH122" s="644"/>
      <c r="AI122" s="2158" t="str">
        <f>Translation!B$622</f>
        <v>Risikoausgleich der jungen Erwachsenen pro PCG in Mio. CHF</v>
      </c>
      <c r="AJ122" s="2158"/>
      <c r="AK122" s="2158"/>
      <c r="AL122" s="2158"/>
      <c r="CM122" s="1426" t="str">
        <f>Translation!B$625</f>
        <v>Zahlungen der jungen Erwachsenen der Gesamtbranche in den Risikoausgleich in Mio. CHF</v>
      </c>
      <c r="DA122" s="644"/>
      <c r="DB122" s="644"/>
      <c r="DC122" s="644"/>
      <c r="DD122" s="644"/>
      <c r="DE122" s="644"/>
      <c r="DF122" s="644"/>
      <c r="DG122" s="644"/>
      <c r="DH122" s="644"/>
      <c r="DI122" s="644"/>
      <c r="DJ122" s="644"/>
      <c r="DK122" s="644"/>
      <c r="DL122" s="644"/>
      <c r="DM122" s="644"/>
      <c r="DN122" s="644"/>
      <c r="DO122" s="644"/>
    </row>
    <row r="123" spans="3:140" ht="12.75" x14ac:dyDescent="0.2">
      <c r="D123" s="644"/>
      <c r="E123" s="644"/>
      <c r="F123" s="2563"/>
      <c r="G123" s="2564" t="str">
        <f>Translation!D$583</f>
        <v>Canton</v>
      </c>
      <c r="H123" s="2565"/>
      <c r="I123" s="2565"/>
      <c r="J123" s="2565"/>
      <c r="K123" s="2565"/>
      <c r="L123" s="2565"/>
      <c r="M123" s="2565"/>
      <c r="N123" s="2565"/>
      <c r="O123" s="2565"/>
      <c r="P123" s="2565"/>
      <c r="Q123" s="2565"/>
      <c r="R123" s="2565"/>
      <c r="S123" s="2565"/>
      <c r="T123" s="2565"/>
      <c r="U123" s="2565"/>
      <c r="V123" s="2565"/>
      <c r="W123" s="2565"/>
      <c r="X123" s="2565"/>
      <c r="Y123" s="2565"/>
      <c r="Z123" s="2565"/>
      <c r="AA123" s="2565"/>
      <c r="AB123" s="2565"/>
      <c r="AC123" s="2565"/>
      <c r="AD123" s="2565"/>
      <c r="AE123" s="2565"/>
      <c r="AF123" s="2566"/>
      <c r="AG123" s="644"/>
      <c r="AH123" s="644"/>
      <c r="AI123" s="2564" t="str">
        <f>Translation!B$583</f>
        <v xml:space="preserve">Kanton </v>
      </c>
      <c r="AJ123" s="2576"/>
      <c r="AK123" s="2576"/>
      <c r="AL123" s="2576"/>
      <c r="AM123" s="2576"/>
      <c r="AN123" s="2576"/>
      <c r="AO123" s="2576"/>
      <c r="AP123" s="2576"/>
      <c r="AQ123" s="2576"/>
      <c r="AR123" s="2576"/>
      <c r="AS123" s="2576"/>
      <c r="AT123" s="2576"/>
      <c r="AU123" s="2576"/>
      <c r="AV123" s="2576"/>
      <c r="AW123" s="2576"/>
      <c r="AX123" s="2576"/>
      <c r="AY123" s="2576"/>
      <c r="AZ123" s="2576"/>
      <c r="BA123" s="2576"/>
      <c r="BB123" s="2576"/>
      <c r="BC123" s="2576"/>
      <c r="BD123" s="2576"/>
      <c r="BE123" s="2576"/>
      <c r="BF123" s="2576"/>
      <c r="BG123" s="2576"/>
      <c r="BH123" s="2577"/>
      <c r="CM123" s="2586"/>
      <c r="CN123" s="2587"/>
      <c r="CO123" s="2564" t="str">
        <f>Translation!B$583</f>
        <v xml:space="preserve">Kanton </v>
      </c>
      <c r="CP123" s="2576"/>
      <c r="CQ123" s="2576"/>
      <c r="CR123" s="2576"/>
      <c r="CS123" s="2576"/>
      <c r="CT123" s="2576"/>
      <c r="CU123" s="2576"/>
      <c r="CV123" s="2576"/>
      <c r="CW123" s="2576"/>
      <c r="CX123" s="2576"/>
      <c r="CY123" s="2576"/>
      <c r="CZ123" s="2576"/>
      <c r="DA123" s="2576"/>
      <c r="DB123" s="2576"/>
      <c r="DC123" s="2576"/>
      <c r="DD123" s="2576"/>
      <c r="DE123" s="2576"/>
      <c r="DF123" s="2576"/>
      <c r="DG123" s="2576"/>
      <c r="DH123" s="2576"/>
      <c r="DI123" s="2576"/>
      <c r="DJ123" s="2576"/>
      <c r="DK123" s="2576"/>
      <c r="DL123" s="2576"/>
      <c r="DM123" s="2576"/>
      <c r="DN123" s="2577"/>
      <c r="DO123" s="2113"/>
    </row>
    <row r="124" spans="3:140" ht="12.75" x14ac:dyDescent="0.2">
      <c r="D124" s="644"/>
      <c r="E124" s="644"/>
      <c r="F124" s="2563"/>
      <c r="G124" s="1434">
        <v>1</v>
      </c>
      <c r="H124" s="1434">
        <v>2</v>
      </c>
      <c r="I124" s="1434">
        <v>3</v>
      </c>
      <c r="J124" s="1434">
        <v>4</v>
      </c>
      <c r="K124" s="1434">
        <v>5</v>
      </c>
      <c r="L124" s="1434">
        <v>6</v>
      </c>
      <c r="M124" s="1434">
        <v>7</v>
      </c>
      <c r="N124" s="1434">
        <v>8</v>
      </c>
      <c r="O124" s="1434">
        <v>9</v>
      </c>
      <c r="P124" s="1434">
        <v>10</v>
      </c>
      <c r="Q124" s="1434">
        <v>11</v>
      </c>
      <c r="R124" s="1434">
        <v>12</v>
      </c>
      <c r="S124" s="1434">
        <v>13</v>
      </c>
      <c r="T124" s="1434">
        <v>14</v>
      </c>
      <c r="U124" s="1434">
        <v>15</v>
      </c>
      <c r="V124" s="1434">
        <v>16</v>
      </c>
      <c r="W124" s="1434">
        <v>17</v>
      </c>
      <c r="X124" s="1434">
        <v>18</v>
      </c>
      <c r="Y124" s="1434">
        <v>19</v>
      </c>
      <c r="Z124" s="1434">
        <v>20</v>
      </c>
      <c r="AA124" s="1434">
        <v>21</v>
      </c>
      <c r="AB124" s="1434">
        <v>22</v>
      </c>
      <c r="AC124" s="1434">
        <v>23</v>
      </c>
      <c r="AD124" s="1434">
        <v>24</v>
      </c>
      <c r="AE124" s="1434">
        <v>25</v>
      </c>
      <c r="AF124" s="1435">
        <v>26</v>
      </c>
      <c r="AG124" s="644"/>
      <c r="AH124" s="644"/>
      <c r="AI124" s="1825">
        <v>1</v>
      </c>
      <c r="AJ124" s="1434">
        <v>2</v>
      </c>
      <c r="AK124" s="1434">
        <v>3</v>
      </c>
      <c r="AL124" s="1434">
        <v>4</v>
      </c>
      <c r="AM124" s="1434">
        <v>5</v>
      </c>
      <c r="AN124" s="1434">
        <v>6</v>
      </c>
      <c r="AO124" s="1434">
        <v>7</v>
      </c>
      <c r="AP124" s="1434">
        <v>8</v>
      </c>
      <c r="AQ124" s="1434">
        <v>9</v>
      </c>
      <c r="AR124" s="1434">
        <v>10</v>
      </c>
      <c r="AS124" s="1434">
        <v>11</v>
      </c>
      <c r="AT124" s="1434">
        <v>12</v>
      </c>
      <c r="AU124" s="1434">
        <v>13</v>
      </c>
      <c r="AV124" s="1434">
        <v>14</v>
      </c>
      <c r="AW124" s="1434">
        <v>15</v>
      </c>
      <c r="AX124" s="1434">
        <v>16</v>
      </c>
      <c r="AY124" s="1434">
        <v>17</v>
      </c>
      <c r="AZ124" s="1434">
        <v>18</v>
      </c>
      <c r="BA124" s="1434">
        <v>19</v>
      </c>
      <c r="BB124" s="1434">
        <v>20</v>
      </c>
      <c r="BC124" s="1434">
        <v>21</v>
      </c>
      <c r="BD124" s="1434">
        <v>22</v>
      </c>
      <c r="BE124" s="1434">
        <v>23</v>
      </c>
      <c r="BF124" s="1434">
        <v>24</v>
      </c>
      <c r="BG124" s="1434">
        <v>25</v>
      </c>
      <c r="BH124" s="1435">
        <v>26</v>
      </c>
      <c r="CM124" s="2588"/>
      <c r="CN124" s="2589"/>
      <c r="CO124" s="1434">
        <v>1</v>
      </c>
      <c r="CP124" s="1434">
        <v>2</v>
      </c>
      <c r="CQ124" s="1434">
        <v>3</v>
      </c>
      <c r="CR124" s="1434">
        <v>4</v>
      </c>
      <c r="CS124" s="1434">
        <v>5</v>
      </c>
      <c r="CT124" s="1434">
        <v>6</v>
      </c>
      <c r="CU124" s="1434">
        <v>7</v>
      </c>
      <c r="CV124" s="1434">
        <v>8</v>
      </c>
      <c r="CW124" s="1434">
        <v>9</v>
      </c>
      <c r="CX124" s="1434">
        <v>10</v>
      </c>
      <c r="CY124" s="1434">
        <v>11</v>
      </c>
      <c r="CZ124" s="1434">
        <v>12</v>
      </c>
      <c r="DA124" s="1434">
        <v>13</v>
      </c>
      <c r="DB124" s="1434">
        <v>14</v>
      </c>
      <c r="DC124" s="1434">
        <v>15</v>
      </c>
      <c r="DD124" s="1434">
        <v>16</v>
      </c>
      <c r="DE124" s="1434">
        <v>17</v>
      </c>
      <c r="DF124" s="1434">
        <v>18</v>
      </c>
      <c r="DG124" s="1434">
        <v>19</v>
      </c>
      <c r="DH124" s="1434">
        <v>20</v>
      </c>
      <c r="DI124" s="1434">
        <v>21</v>
      </c>
      <c r="DJ124" s="1434">
        <v>22</v>
      </c>
      <c r="DK124" s="1434">
        <v>23</v>
      </c>
      <c r="DL124" s="1434">
        <v>24</v>
      </c>
      <c r="DM124" s="1434">
        <v>25</v>
      </c>
      <c r="DN124" s="1435">
        <v>26</v>
      </c>
      <c r="DO124" s="2110"/>
    </row>
    <row r="125" spans="3:140" ht="12.75" x14ac:dyDescent="0.2">
      <c r="C125" s="2077" t="s">
        <v>2341</v>
      </c>
      <c r="D125" s="1436"/>
      <c r="F125" s="2563"/>
      <c r="G125" s="1437" t="s">
        <v>1877</v>
      </c>
      <c r="H125" s="1437" t="s">
        <v>1878</v>
      </c>
      <c r="I125" s="1437" t="s">
        <v>1879</v>
      </c>
      <c r="J125" s="1437" t="s">
        <v>1880</v>
      </c>
      <c r="K125" s="1437" t="s">
        <v>1881</v>
      </c>
      <c r="L125" s="1437" t="s">
        <v>1882</v>
      </c>
      <c r="M125" s="1437" t="s">
        <v>1883</v>
      </c>
      <c r="N125" s="1437" t="s">
        <v>1884</v>
      </c>
      <c r="O125" s="1437" t="s">
        <v>1885</v>
      </c>
      <c r="P125" s="1437" t="s">
        <v>1886</v>
      </c>
      <c r="Q125" s="1437" t="s">
        <v>1887</v>
      </c>
      <c r="R125" s="1437" t="s">
        <v>1888</v>
      </c>
      <c r="S125" s="1437" t="s">
        <v>1889</v>
      </c>
      <c r="T125" s="1437" t="s">
        <v>1890</v>
      </c>
      <c r="U125" s="1437" t="s">
        <v>1891</v>
      </c>
      <c r="V125" s="1437" t="s">
        <v>1892</v>
      </c>
      <c r="W125" s="1437" t="s">
        <v>1893</v>
      </c>
      <c r="X125" s="1437" t="s">
        <v>1894</v>
      </c>
      <c r="Y125" s="1437" t="s">
        <v>1895</v>
      </c>
      <c r="Z125" s="1437" t="s">
        <v>1896</v>
      </c>
      <c r="AA125" s="1437" t="s">
        <v>1897</v>
      </c>
      <c r="AB125" s="1437" t="s">
        <v>1898</v>
      </c>
      <c r="AC125" s="1437" t="s">
        <v>1899</v>
      </c>
      <c r="AD125" s="1437" t="s">
        <v>1900</v>
      </c>
      <c r="AE125" s="1437" t="s">
        <v>1901</v>
      </c>
      <c r="AF125" s="1438" t="s">
        <v>1902</v>
      </c>
      <c r="AG125" s="644"/>
      <c r="AH125" s="644"/>
      <c r="AI125" s="1829" t="s">
        <v>1877</v>
      </c>
      <c r="AJ125" s="1437" t="s">
        <v>1878</v>
      </c>
      <c r="AK125" s="1437" t="s">
        <v>1879</v>
      </c>
      <c r="AL125" s="1437" t="s">
        <v>1880</v>
      </c>
      <c r="AM125" s="1437" t="s">
        <v>1881</v>
      </c>
      <c r="AN125" s="1437" t="s">
        <v>1882</v>
      </c>
      <c r="AO125" s="1437" t="s">
        <v>1883</v>
      </c>
      <c r="AP125" s="1437" t="s">
        <v>1884</v>
      </c>
      <c r="AQ125" s="1437" t="s">
        <v>1885</v>
      </c>
      <c r="AR125" s="1437" t="s">
        <v>1886</v>
      </c>
      <c r="AS125" s="1437" t="s">
        <v>1887</v>
      </c>
      <c r="AT125" s="1437" t="s">
        <v>1888</v>
      </c>
      <c r="AU125" s="1437" t="s">
        <v>1889</v>
      </c>
      <c r="AV125" s="1437" t="s">
        <v>1890</v>
      </c>
      <c r="AW125" s="1437" t="s">
        <v>1891</v>
      </c>
      <c r="AX125" s="1437" t="s">
        <v>1892</v>
      </c>
      <c r="AY125" s="1437" t="s">
        <v>1893</v>
      </c>
      <c r="AZ125" s="1437" t="s">
        <v>1894</v>
      </c>
      <c r="BA125" s="1437" t="s">
        <v>1895</v>
      </c>
      <c r="BB125" s="1437" t="s">
        <v>1896</v>
      </c>
      <c r="BC125" s="1437" t="s">
        <v>1897</v>
      </c>
      <c r="BD125" s="1437" t="s">
        <v>1898</v>
      </c>
      <c r="BE125" s="1437" t="s">
        <v>1899</v>
      </c>
      <c r="BF125" s="1437" t="s">
        <v>1900</v>
      </c>
      <c r="BG125" s="1437" t="s">
        <v>1901</v>
      </c>
      <c r="BH125" s="1438" t="s">
        <v>1902</v>
      </c>
      <c r="CM125" s="2590"/>
      <c r="CN125" s="2591"/>
      <c r="CO125" s="1437" t="s">
        <v>1877</v>
      </c>
      <c r="CP125" s="1437" t="s">
        <v>1878</v>
      </c>
      <c r="CQ125" s="1437" t="s">
        <v>1879</v>
      </c>
      <c r="CR125" s="1437" t="s">
        <v>1880</v>
      </c>
      <c r="CS125" s="1437" t="s">
        <v>1881</v>
      </c>
      <c r="CT125" s="1437" t="s">
        <v>1882</v>
      </c>
      <c r="CU125" s="1437" t="s">
        <v>1883</v>
      </c>
      <c r="CV125" s="1437" t="s">
        <v>1884</v>
      </c>
      <c r="CW125" s="1437" t="s">
        <v>1885</v>
      </c>
      <c r="CX125" s="1437" t="s">
        <v>1886</v>
      </c>
      <c r="CY125" s="1437" t="s">
        <v>1887</v>
      </c>
      <c r="CZ125" s="1437" t="s">
        <v>1888</v>
      </c>
      <c r="DA125" s="1437" t="s">
        <v>1889</v>
      </c>
      <c r="DB125" s="1437" t="s">
        <v>1890</v>
      </c>
      <c r="DC125" s="1437" t="s">
        <v>1891</v>
      </c>
      <c r="DD125" s="1437" t="s">
        <v>1892</v>
      </c>
      <c r="DE125" s="1437" t="s">
        <v>1893</v>
      </c>
      <c r="DF125" s="1437" t="s">
        <v>1894</v>
      </c>
      <c r="DG125" s="1437" t="s">
        <v>1895</v>
      </c>
      <c r="DH125" s="1437" t="s">
        <v>1896</v>
      </c>
      <c r="DI125" s="1437" t="s">
        <v>1897</v>
      </c>
      <c r="DJ125" s="1437" t="s">
        <v>1898</v>
      </c>
      <c r="DK125" s="1437" t="s">
        <v>1899</v>
      </c>
      <c r="DL125" s="1437" t="s">
        <v>1900</v>
      </c>
      <c r="DM125" s="1437" t="s">
        <v>1901</v>
      </c>
      <c r="DN125" s="1438" t="s">
        <v>1902</v>
      </c>
      <c r="DO125" s="1623" t="s">
        <v>55</v>
      </c>
    </row>
    <row r="126" spans="3:140" ht="12.75" customHeight="1" x14ac:dyDescent="0.2">
      <c r="C126" s="1442" t="s">
        <v>2344</v>
      </c>
      <c r="D126" s="1426" t="str">
        <f>Translation!B584</f>
        <v>Sucht ohne Nikotin</v>
      </c>
      <c r="F126" s="1437"/>
      <c r="G126" s="2208">
        <v>2.8333333333333299</v>
      </c>
      <c r="H126" s="2209">
        <v>0</v>
      </c>
      <c r="I126" s="2209">
        <v>1</v>
      </c>
      <c r="J126" s="2209">
        <v>3</v>
      </c>
      <c r="K126" s="2209">
        <v>1.4166666666666701</v>
      </c>
      <c r="L126" s="2209">
        <v>2.1666666666666701</v>
      </c>
      <c r="M126" s="2209">
        <v>5</v>
      </c>
      <c r="N126" s="2209">
        <v>3</v>
      </c>
      <c r="O126" s="2209">
        <v>0</v>
      </c>
      <c r="P126" s="2209">
        <v>2</v>
      </c>
      <c r="Q126" s="2209">
        <v>0</v>
      </c>
      <c r="R126" s="2209">
        <v>1</v>
      </c>
      <c r="S126" s="2209">
        <v>0</v>
      </c>
      <c r="T126" s="2209">
        <v>0</v>
      </c>
      <c r="U126" s="2209">
        <v>1</v>
      </c>
      <c r="V126" s="2209">
        <v>0</v>
      </c>
      <c r="W126" s="2209">
        <v>0</v>
      </c>
      <c r="X126" s="2209">
        <v>2.4166666666666701</v>
      </c>
      <c r="Y126" s="2209">
        <v>0</v>
      </c>
      <c r="Z126" s="2209">
        <v>1</v>
      </c>
      <c r="AA126" s="2209">
        <v>0</v>
      </c>
      <c r="AB126" s="2209">
        <v>0</v>
      </c>
      <c r="AC126" s="2209">
        <v>4</v>
      </c>
      <c r="AD126" s="2209">
        <v>0</v>
      </c>
      <c r="AE126" s="2209">
        <v>0</v>
      </c>
      <c r="AF126" s="2210">
        <v>3.9325000000000001</v>
      </c>
      <c r="AG126" s="644"/>
      <c r="AH126" s="644"/>
      <c r="AI126" s="2071">
        <f>G126*Risk_Compensation!$AK87*12/1000000</f>
        <v>1.6276045288083581E-2</v>
      </c>
      <c r="AJ126" s="2064">
        <f>H126*Risk_Compensation!$AK87*12/1000000</f>
        <v>0</v>
      </c>
      <c r="AK126" s="2064">
        <f>I126*Risk_Compensation!$AK87*12/1000000</f>
        <v>5.7444865722647998E-3</v>
      </c>
      <c r="AL126" s="2064">
        <f>J126*Risk_Compensation!$AK87*12/1000000</f>
        <v>1.7233459716794401E-2</v>
      </c>
      <c r="AM126" s="2064">
        <f>K126*Risk_Compensation!$AK87*12/1000000</f>
        <v>8.1380226440418216E-3</v>
      </c>
      <c r="AN126" s="2064">
        <f>L126*Risk_Compensation!$AK87*12/1000000</f>
        <v>1.2446387573240422E-2</v>
      </c>
      <c r="AO126" s="2064">
        <f>M126*Risk_Compensation!$AK87*12/1000000</f>
        <v>2.8722432861324001E-2</v>
      </c>
      <c r="AP126" s="2064">
        <f>N126*Risk_Compensation!$AK87*12/1000000</f>
        <v>1.7233459716794401E-2</v>
      </c>
      <c r="AQ126" s="2064">
        <f>O126*Risk_Compensation!$AK87*12/1000000</f>
        <v>0</v>
      </c>
      <c r="AR126" s="2064">
        <f>P126*Risk_Compensation!$AK87*12/1000000</f>
        <v>1.14889731445296E-2</v>
      </c>
      <c r="AS126" s="2064">
        <f>Q126*Risk_Compensation!$AK87*12/1000000</f>
        <v>0</v>
      </c>
      <c r="AT126" s="2064">
        <f>R126*Risk_Compensation!$AK87*12/1000000</f>
        <v>5.7444865722647998E-3</v>
      </c>
      <c r="AU126" s="2064">
        <f>S126*Risk_Compensation!$AK87*12/1000000</f>
        <v>0</v>
      </c>
      <c r="AV126" s="2064">
        <f>T126*Risk_Compensation!$AK87*12/1000000</f>
        <v>0</v>
      </c>
      <c r="AW126" s="2064">
        <f>U126*Risk_Compensation!$AK87*12/1000000</f>
        <v>5.7444865722647998E-3</v>
      </c>
      <c r="AX126" s="2064">
        <f>V126*Risk_Compensation!$AK87*12/1000000</f>
        <v>0</v>
      </c>
      <c r="AY126" s="2064">
        <f>W126*Risk_Compensation!$AK87*12/1000000</f>
        <v>0</v>
      </c>
      <c r="AZ126" s="2064">
        <f>X126*Risk_Compensation!$AK87*12/1000000</f>
        <v>1.388250921630662E-2</v>
      </c>
      <c r="BA126" s="2064">
        <f>Y126*Risk_Compensation!$AK87*12/1000000</f>
        <v>0</v>
      </c>
      <c r="BB126" s="2064">
        <f>Z126*Risk_Compensation!$AK87*12/1000000</f>
        <v>5.7444865722647998E-3</v>
      </c>
      <c r="BC126" s="2064">
        <f>AA126*Risk_Compensation!$AK87*12/1000000</f>
        <v>0</v>
      </c>
      <c r="BD126" s="2064">
        <f>AB126*Risk_Compensation!$AK87*12/1000000</f>
        <v>0</v>
      </c>
      <c r="BE126" s="2064">
        <f>AC126*Risk_Compensation!$AK87*12/1000000</f>
        <v>2.2977946289059199E-2</v>
      </c>
      <c r="BF126" s="2064">
        <f>AD126*Risk_Compensation!$AK87*12/1000000</f>
        <v>0</v>
      </c>
      <c r="BG126" s="2064">
        <f>AE126*Risk_Compensation!$AK87*12/1000000</f>
        <v>0</v>
      </c>
      <c r="BH126" s="2065">
        <f>AF126*Risk_Compensation!$AK87*12/1000000</f>
        <v>2.2590193445431332E-2</v>
      </c>
      <c r="CM126" s="2592" t="str">
        <f>Translation!B$581</f>
        <v>Risiko-gruppe</v>
      </c>
      <c r="CN126" s="2593"/>
      <c r="CO126" s="2095">
        <f>(G11*Risk_Compensation!AK18+Risk_Compensation_calc!G12*Risk_Compensation!AK19+Risk_Compensation_calc!G41*Risk_Compensation!AK48+Risk_Compensation_calc!G42*Risk_Compensation!AK49)*12/1000000</f>
        <v>-148.53864517318567</v>
      </c>
      <c r="CP126" s="2096">
        <f>(H11*Risk_Compensation!AL18+Risk_Compensation_calc!H12*Risk_Compensation!AL19+Risk_Compensation_calc!H41*Risk_Compensation!AL48+Risk_Compensation_calc!H42*Risk_Compensation!AL49)*12/1000000</f>
        <v>-2.9212446788474704</v>
      </c>
      <c r="CQ126" s="2096">
        <f>(I11*Risk_Compensation!AM18+Risk_Compensation_calc!I12*Risk_Compensation!AM19+Risk_Compensation_calc!I41*Risk_Compensation!AM48+Risk_Compensation_calc!I42*Risk_Compensation!AM49)*12/1000000</f>
        <v>-10.3925488775559</v>
      </c>
      <c r="CR126" s="2096">
        <f>(J11*Risk_Compensation!AN18+Risk_Compensation_calc!J12*Risk_Compensation!AN19+Risk_Compensation_calc!J41*Risk_Compensation!AN48+Risk_Compensation_calc!J42*Risk_Compensation!AN49)*12/1000000</f>
        <v>-239.48811772651052</v>
      </c>
      <c r="CS126" s="2096">
        <f>(K11*Risk_Compensation!AO18+Risk_Compensation_calc!K12*Risk_Compensation!AO19+Risk_Compensation_calc!K41*Risk_Compensation!AO48+Risk_Compensation_calc!K42*Risk_Compensation!AO49)*12/1000000</f>
        <v>-72.258885474860847</v>
      </c>
      <c r="CT126" s="2096">
        <f>(L11*Risk_Compensation!AP18+Risk_Compensation_calc!L12*Risk_Compensation!AP19+Risk_Compensation_calc!L41*Risk_Compensation!AP48+Risk_Compensation_calc!L42*Risk_Compensation!AP49)*12/1000000</f>
        <v>-44.58035236564259</v>
      </c>
      <c r="CU126" s="2096">
        <f>(M11*Risk_Compensation!AQ18+Risk_Compensation_calc!M12*Risk_Compensation!AQ19+Risk_Compensation_calc!M41*Risk_Compensation!AQ48+Risk_Compensation_calc!M42*Risk_Compensation!AQ49)*12/1000000</f>
        <v>-82.76118148862956</v>
      </c>
      <c r="CV126" s="2096">
        <f>(N11*Risk_Compensation!AR18+Risk_Compensation_calc!N12*Risk_Compensation!AR19+Risk_Compensation_calc!N41*Risk_Compensation!AR48+Risk_Compensation_calc!N42*Risk_Compensation!AR49)*12/1000000</f>
        <v>-141.255321981045</v>
      </c>
      <c r="CW126" s="2096">
        <f>(O11*Risk_Compensation!AS18+Risk_Compensation_calc!O12*Risk_Compensation!AS19+Risk_Compensation_calc!O41*Risk_Compensation!AS48+Risk_Compensation_calc!O42*Risk_Compensation!AS49)*12/1000000</f>
        <v>-7.4748979182788711</v>
      </c>
      <c r="CX126" s="2096">
        <f>(P11*Risk_Compensation!AT18+Risk_Compensation_calc!P12*Risk_Compensation!AT19+Risk_Compensation_calc!P41*Risk_Compensation!AT48+Risk_Compensation_calc!P42*Risk_Compensation!AT49)*12/1000000</f>
        <v>-42.104855173444975</v>
      </c>
      <c r="CY126" s="2096">
        <f>(Q11*Risk_Compensation!AU18+Risk_Compensation_calc!Q12*Risk_Compensation!AU19+Risk_Compensation_calc!Q41*Risk_Compensation!AU48+Risk_Compensation_calc!Q42*Risk_Compensation!AU49)*12/1000000</f>
        <v>-22.152295277092644</v>
      </c>
      <c r="CZ126" s="2096">
        <f>(R11*Risk_Compensation!AV18+Risk_Compensation_calc!R12*Risk_Compensation!AV19+Risk_Compensation_calc!R41*Risk_Compensation!AV48+Risk_Compensation_calc!R42*Risk_Compensation!AV49)*12/1000000</f>
        <v>-85.18144366248319</v>
      </c>
      <c r="DA126" s="2096">
        <f>(S11*Risk_Compensation!AW18+Risk_Compensation_calc!S12*Risk_Compensation!AW19+Risk_Compensation_calc!S41*Risk_Compensation!AW48+Risk_Compensation_calc!S42*Risk_Compensation!AW49)*12/1000000</f>
        <v>-57.618072403449624</v>
      </c>
      <c r="DB126" s="2096">
        <f>(T11*Risk_Compensation!AX18+Risk_Compensation_calc!T12*Risk_Compensation!AX19+Risk_Compensation_calc!T41*Risk_Compensation!AX48+Risk_Compensation_calc!T42*Risk_Compensation!AX49)*12/1000000</f>
        <v>-7.8870342094522901</v>
      </c>
      <c r="DC126" s="2096">
        <f>(U11*Risk_Compensation!AY18+Risk_Compensation_calc!U12*Risk_Compensation!AY19+Risk_Compensation_calc!U41*Risk_Compensation!AY48+Risk_Compensation_calc!U42*Risk_Compensation!AY49)*12/1000000</f>
        <v>-7.080550977634636</v>
      </c>
      <c r="DD126" s="2096">
        <f>(V11*Risk_Compensation!AZ18+Risk_Compensation_calc!V12*Risk_Compensation!AZ19+Risk_Compensation_calc!V41*Risk_Compensation!AZ48+Risk_Compensation_calc!V42*Risk_Compensation!AZ49)*12/1000000</f>
        <v>-112.49849760705489</v>
      </c>
      <c r="DE126" s="2096">
        <f>(W11*Risk_Compensation!BA18+Risk_Compensation_calc!W12*Risk_Compensation!BA19+Risk_Compensation_calc!W41*Risk_Compensation!BA48+Risk_Compensation_calc!W42*Risk_Compensation!BA49)*12/1000000</f>
        <v>-18.474977722010888</v>
      </c>
      <c r="DF126" s="2096">
        <f>(X11*Risk_Compensation!BB18+Risk_Compensation_calc!X12*Risk_Compensation!BB19+Risk_Compensation_calc!X41*Risk_Compensation!BB48+Risk_Compensation_calc!X42*Risk_Compensation!BB49)*12/1000000</f>
        <v>-65.662088755308943</v>
      </c>
      <c r="DG126" s="2096">
        <f>(Y11*Risk_Compensation!BC18+Risk_Compensation_calc!Y12*Risk_Compensation!BC19+Risk_Compensation_calc!Y41*Risk_Compensation!BC48+Risk_Compensation_calc!Y42*Risk_Compensation!BC49)*12/1000000</f>
        <v>-30.910882109706833</v>
      </c>
      <c r="DH126" s="2096">
        <f>(Z11*Risk_Compensation!BD18+Risk_Compensation_calc!Z12*Risk_Compensation!BD19+Risk_Compensation_calc!Z41*Risk_Compensation!BD48+Risk_Compensation_calc!Z42*Risk_Compensation!BD49)*12/1000000</f>
        <v>-58.571232876994529</v>
      </c>
      <c r="DI126" s="2096">
        <f>(AA11*Risk_Compensation!BE18+Risk_Compensation_calc!AA12*Risk_Compensation!BE19+Risk_Compensation_calc!AA41*Risk_Compensation!BE48+Risk_Compensation_calc!AA42*Risk_Compensation!BE49)*12/1000000</f>
        <v>-100.45980970076832</v>
      </c>
      <c r="DJ126" s="2096">
        <f>(AB11*Risk_Compensation!BF18+Risk_Compensation_calc!AB12*Risk_Compensation!BF19+Risk_Compensation_calc!AB41*Risk_Compensation!BF48+Risk_Compensation_calc!AB42*Risk_Compensation!BF49)*12/1000000</f>
        <v>-7.6948572554511294</v>
      </c>
      <c r="DK126" s="2096">
        <f>(AC11*Risk_Compensation!BG18+Risk_Compensation_calc!AC12*Risk_Compensation!BG19+Risk_Compensation_calc!AC41*Risk_Compensation!BG48+Risk_Compensation_calc!AC42*Risk_Compensation!BG49)*12/1000000</f>
        <v>-227.63137333286949</v>
      </c>
      <c r="DL126" s="2096">
        <f>(AD11*Risk_Compensation!BH18+Risk_Compensation_calc!AD12*Risk_Compensation!BH19+Risk_Compensation_calc!AD41*Risk_Compensation!BH48+Risk_Compensation_calc!AD42*Risk_Compensation!BH49)*12/1000000</f>
        <v>-86.282537979256276</v>
      </c>
      <c r="DM126" s="2096">
        <f>(AE11*Risk_Compensation!BI18+Risk_Compensation_calc!AE12*Risk_Compensation!BI19+Risk_Compensation_calc!AE41*Risk_Compensation!BI48+Risk_Compensation_calc!AE42*Risk_Compensation!BI49)*12/1000000</f>
        <v>-21.277445688657604</v>
      </c>
      <c r="DN126" s="2097">
        <f>(AF11*Risk_Compensation!BJ18+Risk_Compensation_calc!AF12*Risk_Compensation!BJ19+Risk_Compensation_calc!AF41*Risk_Compensation!BJ48+Risk_Compensation_calc!AF42*Risk_Compensation!BJ49)*12/1000000</f>
        <v>-302.26282725304031</v>
      </c>
      <c r="DO126" s="2114">
        <f>SUM(CO126:DN126)</f>
        <v>-2003.4219776692328</v>
      </c>
    </row>
    <row r="127" spans="3:140" ht="12.75" x14ac:dyDescent="0.2">
      <c r="C127" s="1428" t="s">
        <v>2346</v>
      </c>
      <c r="D127" s="1426" t="str">
        <f>Translation!B585</f>
        <v>ADHS</v>
      </c>
      <c r="F127" s="1437"/>
      <c r="G127" s="2211">
        <v>530.73500000000001</v>
      </c>
      <c r="H127" s="2212">
        <v>5.9166666666666696</v>
      </c>
      <c r="I127" s="2212">
        <v>27.4166666666667</v>
      </c>
      <c r="J127" s="2212">
        <v>826.71166666666704</v>
      </c>
      <c r="K127" s="2212">
        <v>182.63916666666699</v>
      </c>
      <c r="L127" s="2212">
        <v>134.273333333333</v>
      </c>
      <c r="M127" s="2212">
        <v>190.099166666667</v>
      </c>
      <c r="N127" s="2212">
        <v>332.38499999999999</v>
      </c>
      <c r="O127" s="2212">
        <v>29.155833333333302</v>
      </c>
      <c r="P127" s="2212">
        <v>68.125</v>
      </c>
      <c r="Q127" s="2212">
        <v>26.3333333333333</v>
      </c>
      <c r="R127" s="2212">
        <v>267.86166666666702</v>
      </c>
      <c r="S127" s="2212">
        <v>119.29833333333301</v>
      </c>
      <c r="T127" s="2212">
        <v>32.5833333333333</v>
      </c>
      <c r="U127" s="2212">
        <v>27.913333333333298</v>
      </c>
      <c r="V127" s="2212">
        <v>246.52166666666699</v>
      </c>
      <c r="W127" s="2212">
        <v>40.878333333333302</v>
      </c>
      <c r="X127" s="2212">
        <v>144.5625</v>
      </c>
      <c r="Y127" s="2212">
        <v>102.58</v>
      </c>
      <c r="Z127" s="2212">
        <v>197.58416666666699</v>
      </c>
      <c r="AA127" s="2212">
        <v>42.0833333333333</v>
      </c>
      <c r="AB127" s="2212">
        <v>27</v>
      </c>
      <c r="AC127" s="2212">
        <v>383.88499999999999</v>
      </c>
      <c r="AD127" s="2212">
        <v>121.33</v>
      </c>
      <c r="AE127" s="2212">
        <v>113.16</v>
      </c>
      <c r="AF127" s="2213">
        <v>1292.05833333333</v>
      </c>
      <c r="AG127" s="644"/>
      <c r="AH127" s="644"/>
      <c r="AI127" s="2078">
        <f>G127*Risk_Compensation!$AK88*12/1000000</f>
        <v>1.8720672926692399</v>
      </c>
      <c r="AJ127" s="2079">
        <f>H127*Risk_Compensation!$AK88*12/1000000</f>
        <v>2.0869922180170912E-2</v>
      </c>
      <c r="AK127" s="2079">
        <f>I127*Risk_Compensation!$AK88*12/1000000</f>
        <v>9.6707104186989218E-2</v>
      </c>
      <c r="AL127" s="2079">
        <f>J127*Risk_Compensation!$AK88*12/1000000</f>
        <v>2.916068982891165</v>
      </c>
      <c r="AM127" s="2079">
        <f>K127*Risk_Compensation!$AK88*12/1000000</f>
        <v>0.64422510344528516</v>
      </c>
      <c r="AN127" s="2079">
        <f>L127*Risk_Compensation!$AK88*12/1000000</f>
        <v>0.47362377761219276</v>
      </c>
      <c r="AO127" s="2079">
        <f>M127*Risk_Compensation!$AK88*12/1000000</f>
        <v>0.67053884194625557</v>
      </c>
      <c r="AP127" s="2079">
        <f>N127*Risk_Compensation!$AK88*12/1000000</f>
        <v>1.1724251972714543</v>
      </c>
      <c r="AQ127" s="2079">
        <f>O127*Risk_Compensation!$AK88*12/1000000</f>
        <v>0.10284168553769558</v>
      </c>
      <c r="AR127" s="2079">
        <f>P127*Risk_Compensation!$AK88*12/1000000</f>
        <v>0.24029804763788329</v>
      </c>
      <c r="AS127" s="2079">
        <f>Q127*Risk_Compensation!$AK88*12/1000000</f>
        <v>9.2885850830056294E-2</v>
      </c>
      <c r="AT127" s="2079">
        <f>R127*Risk_Compensation!$AK88*12/1000000</f>
        <v>0.94483134733254392</v>
      </c>
      <c r="AU127" s="2079">
        <f>S127*Risk_Compensation!$AK88*12/1000000</f>
        <v>0.42080229851674616</v>
      </c>
      <c r="AV127" s="2079">
        <f>T127*Risk_Compensation!$AK88*12/1000000</f>
        <v>0.11493154327389879</v>
      </c>
      <c r="AW127" s="2079">
        <f>U127*Risk_Compensation!$AK88*12/1000000</f>
        <v>9.8459001879859662E-2</v>
      </c>
      <c r="AX127" s="2079">
        <f>V127*Risk_Compensation!$AK88*12/1000000</f>
        <v>0.86955853505228808</v>
      </c>
      <c r="AY127" s="2079">
        <f>W127*Risk_Compensation!$AK88*12/1000000</f>
        <v>0.14419058628536657</v>
      </c>
      <c r="AZ127" s="2079">
        <f>X127*Risk_Compensation!$AK88*12/1000000</f>
        <v>0.50991686622607713</v>
      </c>
      <c r="BA127" s="2079">
        <f>Y127*Risk_Compensation!$AK88*12/1000000</f>
        <v>0.36183154094229819</v>
      </c>
      <c r="BB127" s="2079">
        <f>Z127*Risk_Compensation!$AK88*12/1000000</f>
        <v>0.69694076321700127</v>
      </c>
      <c r="BC127" s="2079">
        <f>AA127*Risk_Compensation!$AK88*12/1000000</f>
        <v>0.14844099578853939</v>
      </c>
      <c r="BD127" s="2079">
        <f>AB127*Risk_Compensation!$AK88*12/1000000</f>
        <v>9.5237391357399614E-2</v>
      </c>
      <c r="BE127" s="2079">
        <f>AC127*Risk_Compensation!$AK88*12/1000000</f>
        <v>1.3540817030087164</v>
      </c>
      <c r="BF127" s="2079">
        <f>AD127*Risk_Compensation!$AK88*12/1000000</f>
        <v>0.42796861827382571</v>
      </c>
      <c r="BG127" s="2079">
        <f>AE127*Risk_Compensation!$AK88*12/1000000</f>
        <v>0.3991504891112348</v>
      </c>
      <c r="BH127" s="2080">
        <f>AF127*Risk_Compensation!$AK88*12/1000000</f>
        <v>4.5574913017872527</v>
      </c>
      <c r="CM127" s="2594" t="s">
        <v>2341</v>
      </c>
      <c r="CN127" s="2589" t="s">
        <v>2341</v>
      </c>
      <c r="CO127" s="2109">
        <f t="shared" ref="CO127:DN127" si="58">AI161</f>
        <v>15.696612096936446</v>
      </c>
      <c r="CP127" s="2101">
        <f t="shared" si="58"/>
        <v>0.18498082747618289</v>
      </c>
      <c r="CQ127" s="2101">
        <f t="shared" si="58"/>
        <v>1.0343274823018749</v>
      </c>
      <c r="CR127" s="2101">
        <f t="shared" si="58"/>
        <v>26.424325936127637</v>
      </c>
      <c r="CS127" s="2101">
        <f t="shared" si="58"/>
        <v>7.3339988113079944</v>
      </c>
      <c r="CT127" s="2101">
        <f t="shared" si="58"/>
        <v>4.4120202205255268</v>
      </c>
      <c r="CU127" s="2101">
        <f t="shared" si="58"/>
        <v>9.2320610543245643</v>
      </c>
      <c r="CV127" s="2101">
        <f t="shared" si="58"/>
        <v>13.208696514052585</v>
      </c>
      <c r="CW127" s="2101">
        <f t="shared" si="58"/>
        <v>0.75531166731866828</v>
      </c>
      <c r="CX127" s="2101">
        <f t="shared" si="58"/>
        <v>4.0546267913194178</v>
      </c>
      <c r="CY127" s="2101">
        <f t="shared" si="58"/>
        <v>1.6928939477290939</v>
      </c>
      <c r="CZ127" s="2101">
        <f t="shared" si="58"/>
        <v>8.8581509144071564</v>
      </c>
      <c r="DA127" s="2101">
        <f t="shared" si="58"/>
        <v>5.1426537307856695</v>
      </c>
      <c r="DB127" s="2101">
        <f t="shared" si="58"/>
        <v>0.84868062015679613</v>
      </c>
      <c r="DC127" s="2101">
        <f t="shared" si="58"/>
        <v>0.7653889840575604</v>
      </c>
      <c r="DD127" s="2101">
        <f t="shared" si="58"/>
        <v>11.458061931391843</v>
      </c>
      <c r="DE127" s="2101">
        <f t="shared" si="58"/>
        <v>1.8183635654597812</v>
      </c>
      <c r="DF127" s="2101">
        <f t="shared" si="58"/>
        <v>7.315987878674493</v>
      </c>
      <c r="DG127" s="2101">
        <f t="shared" si="58"/>
        <v>3.0672818027059212</v>
      </c>
      <c r="DH127" s="2101">
        <f t="shared" si="58"/>
        <v>5.7164125824733674</v>
      </c>
      <c r="DI127" s="2101">
        <f t="shared" si="58"/>
        <v>7.7802181907462096</v>
      </c>
      <c r="DJ127" s="2101">
        <f t="shared" si="58"/>
        <v>0.58422436257166699</v>
      </c>
      <c r="DK127" s="2101">
        <f t="shared" si="58"/>
        <v>22.189567635535607</v>
      </c>
      <c r="DL127" s="2101">
        <f t="shared" si="58"/>
        <v>7.8995589406556901</v>
      </c>
      <c r="DM127" s="2101">
        <f t="shared" si="58"/>
        <v>3.0144960862647454</v>
      </c>
      <c r="DN127" s="2102">
        <f t="shared" si="58"/>
        <v>35.539347229530435</v>
      </c>
      <c r="DO127" s="2115">
        <f t="shared" ref="DO127:DO128" si="59">SUM(CO127:DN127)</f>
        <v>206.02824980483695</v>
      </c>
    </row>
    <row r="128" spans="3:140" ht="12.75" x14ac:dyDescent="0.2">
      <c r="C128" s="1428" t="s">
        <v>2348</v>
      </c>
      <c r="D128" s="1426" t="str">
        <f>Translation!B586</f>
        <v>Autoimmunkrankheiten</v>
      </c>
      <c r="F128" s="1437"/>
      <c r="G128" s="2211">
        <v>152.07333333333301</v>
      </c>
      <c r="H128" s="2212">
        <v>0</v>
      </c>
      <c r="I128" s="2212">
        <v>8.5916666666666703</v>
      </c>
      <c r="J128" s="2212">
        <v>254.058333333333</v>
      </c>
      <c r="K128" s="2212">
        <v>82.477500000000006</v>
      </c>
      <c r="L128" s="2212">
        <v>41.491666666666703</v>
      </c>
      <c r="M128" s="2212">
        <v>74.1666666666667</v>
      </c>
      <c r="N128" s="2212">
        <v>102.81083333333299</v>
      </c>
      <c r="O128" s="2212">
        <v>8.3333333333333301E-2</v>
      </c>
      <c r="P128" s="2212">
        <v>25.3333333333333</v>
      </c>
      <c r="Q128" s="2212">
        <v>16.822500000000002</v>
      </c>
      <c r="R128" s="2212">
        <v>62.66</v>
      </c>
      <c r="S128" s="2212">
        <v>45.79</v>
      </c>
      <c r="T128" s="2212">
        <v>9</v>
      </c>
      <c r="U128" s="2212">
        <v>4</v>
      </c>
      <c r="V128" s="2212">
        <v>102.8275</v>
      </c>
      <c r="W128" s="2212">
        <v>17</v>
      </c>
      <c r="X128" s="2212">
        <v>74.75</v>
      </c>
      <c r="Y128" s="2212">
        <v>27.4166666666667</v>
      </c>
      <c r="Z128" s="2212">
        <v>47.8333333333333</v>
      </c>
      <c r="AA128" s="2212">
        <v>71.591666666666697</v>
      </c>
      <c r="AB128" s="2212">
        <v>3.25</v>
      </c>
      <c r="AC128" s="2212">
        <v>223.75</v>
      </c>
      <c r="AD128" s="2212">
        <v>67.5833333333333</v>
      </c>
      <c r="AE128" s="2212">
        <v>26.585833333333301</v>
      </c>
      <c r="AF128" s="2213">
        <v>290.065</v>
      </c>
      <c r="AG128" s="644"/>
      <c r="AH128" s="644"/>
      <c r="AI128" s="2078">
        <f>G128*Risk_Compensation!$AK89*12/1000000</f>
        <v>2.8255972334179171</v>
      </c>
      <c r="AJ128" s="2079">
        <f>H128*Risk_Compensation!$AK89*12/1000000</f>
        <v>0</v>
      </c>
      <c r="AK128" s="2079">
        <f>I128*Risk_Compensation!$AK89*12/1000000</f>
        <v>0.15963738698730215</v>
      </c>
      <c r="AL128" s="2079">
        <f>J128*Risk_Compensation!$AK89*12/1000000</f>
        <v>4.7205286295653472</v>
      </c>
      <c r="AM128" s="2079">
        <f>K128*Risk_Compensation!$AK89*12/1000000</f>
        <v>1.5324724638500731</v>
      </c>
      <c r="AN128" s="2079">
        <f>L128*Risk_Compensation!$AK89*12/1000000</f>
        <v>0.77093554782713658</v>
      </c>
      <c r="AO128" s="2079">
        <f>M128*Risk_Compensation!$AK89*12/1000000</f>
        <v>1.3780530981445096</v>
      </c>
      <c r="AP128" s="2079">
        <f>N128*Risk_Compensation!$AK89*12/1000000</f>
        <v>1.910275785139123</v>
      </c>
      <c r="AQ128" s="2079">
        <f>O128*Risk_Compensation!$AK89*12/1000000</f>
        <v>1.5483742675780996E-3</v>
      </c>
      <c r="AR128" s="2079">
        <f>P128*Risk_Compensation!$AK89*12/1000000</f>
        <v>0.4707057773437418</v>
      </c>
      <c r="AS128" s="2079">
        <f>Q128*Risk_Compensation!$AK89*12/1000000</f>
        <v>0.31257031339599106</v>
      </c>
      <c r="AT128" s="2079">
        <f>R128*Risk_Compensation!$AK89*12/1000000</f>
        <v>1.164253579277325</v>
      </c>
      <c r="AU128" s="2079">
        <f>S128*Risk_Compensation!$AK89*12/1000000</f>
        <v>0.85080069254881419</v>
      </c>
      <c r="AV128" s="2079">
        <f>T128*Risk_Compensation!$AK89*12/1000000</f>
        <v>0.16722442089843478</v>
      </c>
      <c r="AW128" s="2079">
        <f>U128*Risk_Compensation!$AK89*12/1000000</f>
        <v>7.4321964843748811E-2</v>
      </c>
      <c r="AX128" s="2079">
        <f>V128*Risk_Compensation!$AK89*12/1000000</f>
        <v>1.9105854599926451</v>
      </c>
      <c r="AY128" s="2079">
        <f>W128*Risk_Compensation!$AK89*12/1000000</f>
        <v>0.31586835058593238</v>
      </c>
      <c r="AZ128" s="2079">
        <f>X128*Risk_Compensation!$AK89*12/1000000</f>
        <v>1.3888917180175557</v>
      </c>
      <c r="BA128" s="2079">
        <f>Y128*Risk_Compensation!$AK89*12/1000000</f>
        <v>0.5094151340331956</v>
      </c>
      <c r="BB128" s="2079">
        <f>Z128*Risk_Compensation!$AK89*12/1000000</f>
        <v>0.88876682958982878</v>
      </c>
      <c r="BC128" s="2079">
        <f>AA128*Risk_Compensation!$AK89*12/1000000</f>
        <v>1.3302083332763464</v>
      </c>
      <c r="BD128" s="2079">
        <f>AB128*Risk_Compensation!$AK89*12/1000000</f>
        <v>6.0386596435545899E-2</v>
      </c>
      <c r="BE128" s="2079">
        <f>AC128*Risk_Compensation!$AK89*12/1000000</f>
        <v>4.1573849084471988</v>
      </c>
      <c r="BF128" s="2079">
        <f>AD128*Risk_Compensation!$AK89*12/1000000</f>
        <v>1.2557315310058383</v>
      </c>
      <c r="BG128" s="2079">
        <f>AE128*Risk_Compensation!$AK89*12/1000000</f>
        <v>0.49397784258544059</v>
      </c>
      <c r="BH128" s="2080">
        <f>AF128*Risk_Compensation!$AK89*12/1000000</f>
        <v>5.3895501831004982</v>
      </c>
      <c r="CM128" s="2595" t="s">
        <v>55</v>
      </c>
      <c r="CN128" s="2591" t="s">
        <v>55</v>
      </c>
      <c r="CO128" s="2098">
        <f>CO127+CO126</f>
        <v>-132.84203307624924</v>
      </c>
      <c r="CP128" s="2099">
        <f t="shared" ref="CP128:DN128" si="60">CP127+CP126</f>
        <v>-2.7362638513712874</v>
      </c>
      <c r="CQ128" s="2099">
        <f t="shared" si="60"/>
        <v>-9.3582213952540254</v>
      </c>
      <c r="CR128" s="2099">
        <f t="shared" si="60"/>
        <v>-213.06379179038288</v>
      </c>
      <c r="CS128" s="2099">
        <f t="shared" si="60"/>
        <v>-64.924886663552854</v>
      </c>
      <c r="CT128" s="2099">
        <f t="shared" si="60"/>
        <v>-40.168332145117063</v>
      </c>
      <c r="CU128" s="2099">
        <f t="shared" si="60"/>
        <v>-73.529120434305</v>
      </c>
      <c r="CV128" s="2099">
        <f t="shared" si="60"/>
        <v>-128.04662546699242</v>
      </c>
      <c r="CW128" s="2099">
        <f t="shared" si="60"/>
        <v>-6.7195862509602025</v>
      </c>
      <c r="CX128" s="2099">
        <f t="shared" si="60"/>
        <v>-38.050228382125553</v>
      </c>
      <c r="CY128" s="2099">
        <f t="shared" si="60"/>
        <v>-20.459401329363551</v>
      </c>
      <c r="CZ128" s="2099">
        <f t="shared" si="60"/>
        <v>-76.323292748076028</v>
      </c>
      <c r="DA128" s="2099">
        <f t="shared" si="60"/>
        <v>-52.475418672663956</v>
      </c>
      <c r="DB128" s="2099">
        <f t="shared" si="60"/>
        <v>-7.038353589295494</v>
      </c>
      <c r="DC128" s="2099">
        <f t="shared" si="60"/>
        <v>-6.3151619935770755</v>
      </c>
      <c r="DD128" s="2099">
        <f t="shared" si="60"/>
        <v>-101.04043567566305</v>
      </c>
      <c r="DE128" s="2099">
        <f t="shared" si="60"/>
        <v>-16.656614156551107</v>
      </c>
      <c r="DF128" s="2099">
        <f t="shared" si="60"/>
        <v>-58.346100876634452</v>
      </c>
      <c r="DG128" s="2099">
        <f t="shared" si="60"/>
        <v>-27.843600307000912</v>
      </c>
      <c r="DH128" s="2099">
        <f t="shared" si="60"/>
        <v>-52.854820294521161</v>
      </c>
      <c r="DI128" s="2099">
        <f t="shared" si="60"/>
        <v>-92.679591510022107</v>
      </c>
      <c r="DJ128" s="2099">
        <f t="shared" si="60"/>
        <v>-7.1106328928794627</v>
      </c>
      <c r="DK128" s="2099">
        <f t="shared" si="60"/>
        <v>-205.44180569733388</v>
      </c>
      <c r="DL128" s="2099">
        <f t="shared" si="60"/>
        <v>-78.382979038600581</v>
      </c>
      <c r="DM128" s="2099">
        <f t="shared" si="60"/>
        <v>-18.262949602392858</v>
      </c>
      <c r="DN128" s="2100">
        <f t="shared" si="60"/>
        <v>-266.72348002350986</v>
      </c>
      <c r="DO128" s="2116">
        <f t="shared" si="59"/>
        <v>-1797.3937278643962</v>
      </c>
    </row>
    <row r="129" spans="3:119" ht="12.75" x14ac:dyDescent="0.2">
      <c r="C129" s="1428" t="s">
        <v>2350</v>
      </c>
      <c r="D129" s="1426" t="str">
        <f>Translation!B587</f>
        <v>Alzheimer</v>
      </c>
      <c r="F129" s="1437"/>
      <c r="G129" s="2211">
        <v>0</v>
      </c>
      <c r="H129" s="2212">
        <v>0</v>
      </c>
      <c r="I129" s="2212">
        <v>0</v>
      </c>
      <c r="J129" s="2212">
        <v>0</v>
      </c>
      <c r="K129" s="2212">
        <v>0</v>
      </c>
      <c r="L129" s="2212">
        <v>0</v>
      </c>
      <c r="M129" s="2212">
        <v>0</v>
      </c>
      <c r="N129" s="2212">
        <v>1</v>
      </c>
      <c r="O129" s="2212">
        <v>0</v>
      </c>
      <c r="P129" s="2212">
        <v>0</v>
      </c>
      <c r="Q129" s="2212">
        <v>1</v>
      </c>
      <c r="R129" s="2212">
        <v>0</v>
      </c>
      <c r="S129" s="2212">
        <v>1</v>
      </c>
      <c r="T129" s="2212">
        <v>0</v>
      </c>
      <c r="U129" s="2212">
        <v>0</v>
      </c>
      <c r="V129" s="2212">
        <v>0</v>
      </c>
      <c r="W129" s="2212">
        <v>0</v>
      </c>
      <c r="X129" s="2212">
        <v>0</v>
      </c>
      <c r="Y129" s="2212">
        <v>0</v>
      </c>
      <c r="Z129" s="2212">
        <v>0</v>
      </c>
      <c r="AA129" s="2212">
        <v>0</v>
      </c>
      <c r="AB129" s="2212">
        <v>0</v>
      </c>
      <c r="AC129" s="2212">
        <v>0</v>
      </c>
      <c r="AD129" s="2212">
        <v>0</v>
      </c>
      <c r="AE129" s="2212">
        <v>0</v>
      </c>
      <c r="AF129" s="2213">
        <v>0</v>
      </c>
      <c r="AG129" s="644"/>
      <c r="AH129" s="644"/>
      <c r="AI129" s="2078">
        <f>G129*Risk_Compensation!$AK90*12/1000000</f>
        <v>0</v>
      </c>
      <c r="AJ129" s="2079">
        <f>H129*Risk_Compensation!$AK90*12/1000000</f>
        <v>0</v>
      </c>
      <c r="AK129" s="2079">
        <f>I129*Risk_Compensation!$AK90*12/1000000</f>
        <v>0</v>
      </c>
      <c r="AL129" s="2079">
        <f>J129*Risk_Compensation!$AK90*12/1000000</f>
        <v>0</v>
      </c>
      <c r="AM129" s="2079">
        <f>K129*Risk_Compensation!$AK90*12/1000000</f>
        <v>0</v>
      </c>
      <c r="AN129" s="2079">
        <f>L129*Risk_Compensation!$AK90*12/1000000</f>
        <v>0</v>
      </c>
      <c r="AO129" s="2079">
        <f>M129*Risk_Compensation!$AK90*12/1000000</f>
        <v>0</v>
      </c>
      <c r="AP129" s="2079">
        <f>N129*Risk_Compensation!$AK90*12/1000000</f>
        <v>7.4944152832019991E-3</v>
      </c>
      <c r="AQ129" s="2079">
        <f>O129*Risk_Compensation!$AK90*12/1000000</f>
        <v>0</v>
      </c>
      <c r="AR129" s="2079">
        <f>P129*Risk_Compensation!$AK90*12/1000000</f>
        <v>0</v>
      </c>
      <c r="AS129" s="2079">
        <f>Q129*Risk_Compensation!$AK90*12/1000000</f>
        <v>7.4944152832019991E-3</v>
      </c>
      <c r="AT129" s="2079">
        <f>R129*Risk_Compensation!$AK90*12/1000000</f>
        <v>0</v>
      </c>
      <c r="AU129" s="2079">
        <f>S129*Risk_Compensation!$AK90*12/1000000</f>
        <v>7.4944152832019991E-3</v>
      </c>
      <c r="AV129" s="2079">
        <f>T129*Risk_Compensation!$AK90*12/1000000</f>
        <v>0</v>
      </c>
      <c r="AW129" s="2079">
        <f>U129*Risk_Compensation!$AK90*12/1000000</f>
        <v>0</v>
      </c>
      <c r="AX129" s="2079">
        <f>V129*Risk_Compensation!$AK90*12/1000000</f>
        <v>0</v>
      </c>
      <c r="AY129" s="2079">
        <f>W129*Risk_Compensation!$AK90*12/1000000</f>
        <v>0</v>
      </c>
      <c r="AZ129" s="2079">
        <f>X129*Risk_Compensation!$AK90*12/1000000</f>
        <v>0</v>
      </c>
      <c r="BA129" s="2079">
        <f>Y129*Risk_Compensation!$AK90*12/1000000</f>
        <v>0</v>
      </c>
      <c r="BB129" s="2079">
        <f>Z129*Risk_Compensation!$AK90*12/1000000</f>
        <v>0</v>
      </c>
      <c r="BC129" s="2079">
        <f>AA129*Risk_Compensation!$AK90*12/1000000</f>
        <v>0</v>
      </c>
      <c r="BD129" s="2079">
        <f>AB129*Risk_Compensation!$AK90*12/1000000</f>
        <v>0</v>
      </c>
      <c r="BE129" s="2079">
        <f>AC129*Risk_Compensation!$AK90*12/1000000</f>
        <v>0</v>
      </c>
      <c r="BF129" s="2079">
        <f>AD129*Risk_Compensation!$AK90*12/1000000</f>
        <v>0</v>
      </c>
      <c r="BG129" s="2079">
        <f>AE129*Risk_Compensation!$AK90*12/1000000</f>
        <v>0</v>
      </c>
      <c r="BH129" s="2080">
        <f>AF129*Risk_Compensation!$AK90*12/1000000</f>
        <v>0</v>
      </c>
      <c r="CN129" s="654"/>
      <c r="CO129" s="644"/>
      <c r="CP129" s="644"/>
      <c r="CQ129" s="644"/>
      <c r="CR129" s="644"/>
      <c r="CS129" s="644"/>
      <c r="CT129" s="644"/>
      <c r="CU129" s="644"/>
      <c r="CV129" s="644"/>
      <c r="CW129" s="644"/>
      <c r="CX129" s="644"/>
      <c r="CY129" s="644"/>
      <c r="CZ129" s="644"/>
      <c r="DA129" s="644"/>
      <c r="DB129" s="644"/>
      <c r="DC129" s="644"/>
      <c r="DD129" s="644"/>
      <c r="DE129" s="644"/>
      <c r="DF129" s="644"/>
      <c r="DG129" s="644"/>
      <c r="DH129" s="644"/>
      <c r="DI129" s="644"/>
      <c r="DJ129" s="644"/>
      <c r="DK129" s="644"/>
      <c r="DL129" s="644"/>
      <c r="DM129" s="644"/>
      <c r="DN129" s="644"/>
      <c r="DO129" s="644"/>
    </row>
    <row r="130" spans="3:119" ht="12.75" x14ac:dyDescent="0.2">
      <c r="C130" s="1428" t="s">
        <v>2352</v>
      </c>
      <c r="D130" s="1426" t="str">
        <f>Translation!B588</f>
        <v>Asthma</v>
      </c>
      <c r="F130" s="1437"/>
      <c r="G130" s="2211">
        <v>235.75749999999999</v>
      </c>
      <c r="H130" s="2212">
        <v>3</v>
      </c>
      <c r="I130" s="2212">
        <v>16.9033333333333</v>
      </c>
      <c r="J130" s="2212">
        <v>455.803333333333</v>
      </c>
      <c r="K130" s="2212">
        <v>101.743333333333</v>
      </c>
      <c r="L130" s="2212">
        <v>50.98</v>
      </c>
      <c r="M130" s="2212">
        <v>156.155</v>
      </c>
      <c r="N130" s="2212">
        <v>183.71666666666701</v>
      </c>
      <c r="O130" s="2212">
        <v>14.1666666666667</v>
      </c>
      <c r="P130" s="2212">
        <v>58.9166666666667</v>
      </c>
      <c r="Q130" s="2212">
        <v>27.3333333333333</v>
      </c>
      <c r="R130" s="2212">
        <v>134.541666666667</v>
      </c>
      <c r="S130" s="2212">
        <v>76.599166666666704</v>
      </c>
      <c r="T130" s="2212">
        <v>19.4166666666667</v>
      </c>
      <c r="U130" s="2212">
        <v>19.5833333333333</v>
      </c>
      <c r="V130" s="2212">
        <v>179.476666666667</v>
      </c>
      <c r="W130" s="2212">
        <v>33.409999999999997</v>
      </c>
      <c r="X130" s="2212">
        <v>113.898333333333</v>
      </c>
      <c r="Y130" s="2212">
        <v>73.75</v>
      </c>
      <c r="Z130" s="2212">
        <v>61.079166666666701</v>
      </c>
      <c r="AA130" s="2212">
        <v>228.710833333333</v>
      </c>
      <c r="AB130" s="2212">
        <v>5</v>
      </c>
      <c r="AC130" s="2212">
        <v>330.54500000000002</v>
      </c>
      <c r="AD130" s="2212">
        <v>125.931666666667</v>
      </c>
      <c r="AE130" s="2212">
        <v>38.875</v>
      </c>
      <c r="AF130" s="2213">
        <v>549.47333333333302</v>
      </c>
      <c r="AG130" s="644"/>
      <c r="AH130" s="644"/>
      <c r="AI130" s="2078">
        <f>G130*Risk_Compensation!$AK91*12/1000000</f>
        <v>0.71071721580087621</v>
      </c>
      <c r="AJ130" s="2079">
        <f>H130*Risk_Compensation!$AK91*12/1000000</f>
        <v>9.0438338012688007E-3</v>
      </c>
      <c r="AK130" s="2079">
        <f>I130*Risk_Compensation!$AK91*12/1000000</f>
        <v>5.0956979118037767E-2</v>
      </c>
      <c r="AL130" s="2079">
        <f>J130*Risk_Compensation!$AK91*12/1000000</f>
        <v>1.3740698642436622</v>
      </c>
      <c r="AM130" s="2079">
        <f>K130*Risk_Compensation!$AK91*12/1000000</f>
        <v>0.30671659901791853</v>
      </c>
      <c r="AN130" s="2079">
        <f>L130*Risk_Compensation!$AK91*12/1000000</f>
        <v>0.1536848823962278</v>
      </c>
      <c r="AO130" s="2079">
        <f>M130*Risk_Compensation!$AK91*12/1000000</f>
        <v>0.47074662241237647</v>
      </c>
      <c r="AP130" s="2079">
        <f>N130*Risk_Compensation!$AK91*12/1000000</f>
        <v>0.5538343332854786</v>
      </c>
      <c r="AQ130" s="2079">
        <f>O130*Risk_Compensation!$AK91*12/1000000</f>
        <v>4.2706992950436097E-2</v>
      </c>
      <c r="AR130" s="2079">
        <f>P130*Risk_Compensation!$AK91*12/1000000</f>
        <v>0.17761084715269571</v>
      </c>
      <c r="AS130" s="2079">
        <f>Q130*Risk_Compensation!$AK91*12/1000000</f>
        <v>8.2399374633782302E-2</v>
      </c>
      <c r="AT130" s="2079">
        <f>R130*Risk_Compensation!$AK91*12/1000000</f>
        <v>0.40559082422634762</v>
      </c>
      <c r="AU130" s="2079">
        <f>S130*Risk_Compensation!$AK91*12/1000000</f>
        <v>0.23091671088300755</v>
      </c>
      <c r="AV130" s="2079">
        <f>T130*Risk_Compensation!$AK91*12/1000000</f>
        <v>5.8533702102656501E-2</v>
      </c>
      <c r="AW130" s="2079">
        <f>U130*Risk_Compensation!$AK91*12/1000000</f>
        <v>5.9036137313837896E-2</v>
      </c>
      <c r="AX130" s="2079">
        <f>V130*Risk_Compensation!$AK91*12/1000000</f>
        <v>0.54105238151301871</v>
      </c>
      <c r="AY130" s="2079">
        <f>W130*Risk_Compensation!$AK91*12/1000000</f>
        <v>0.10071816243346352</v>
      </c>
      <c r="AZ130" s="2079">
        <f>X130*Risk_Compensation!$AK91*12/1000000</f>
        <v>0.34335919896939265</v>
      </c>
      <c r="BA130" s="2079">
        <f>Y130*Risk_Compensation!$AK91*12/1000000</f>
        <v>0.22232758094785798</v>
      </c>
      <c r="BB130" s="2079">
        <f>Z130*Risk_Compensation!$AK91*12/1000000</f>
        <v>0.18412994401777696</v>
      </c>
      <c r="BC130" s="2079">
        <f>AA130*Risk_Compensation!$AK91*12/1000000</f>
        <v>0.68947425507211735</v>
      </c>
      <c r="BD130" s="2079">
        <f>AB130*Risk_Compensation!$AK91*12/1000000</f>
        <v>1.5073056335448001E-2</v>
      </c>
      <c r="BE130" s="2079">
        <f>AC130*Risk_Compensation!$AK91*12/1000000</f>
        <v>0.99646468128013188</v>
      </c>
      <c r="BF130" s="2079">
        <f>AD130*Risk_Compensation!$AK91*12/1000000</f>
        <v>0.37963502121670611</v>
      </c>
      <c r="BG130" s="2079">
        <f>AE130*Risk_Compensation!$AK91*12/1000000</f>
        <v>0.11719301300810821</v>
      </c>
      <c r="BH130" s="2080">
        <f>AF130*Risk_Compensation!$AK91*12/1000000</f>
        <v>1.656448501631945</v>
      </c>
      <c r="CN130" s="644"/>
      <c r="CO130" s="644"/>
      <c r="CP130" s="644"/>
      <c r="CQ130" s="644"/>
      <c r="CR130" s="644"/>
      <c r="CS130" s="644"/>
      <c r="CT130" s="644"/>
      <c r="CU130" s="644"/>
      <c r="CV130" s="644"/>
      <c r="CW130" s="644"/>
      <c r="CX130" s="644"/>
      <c r="CY130" s="644"/>
      <c r="CZ130" s="644"/>
      <c r="DA130" s="644"/>
      <c r="DB130" s="644"/>
      <c r="DC130" s="644"/>
      <c r="DD130" s="644"/>
      <c r="DE130" s="644"/>
      <c r="DF130" s="644"/>
      <c r="DG130" s="644"/>
      <c r="DH130" s="644"/>
      <c r="DI130" s="644"/>
      <c r="DJ130" s="644"/>
      <c r="DK130" s="644"/>
      <c r="DL130" s="644"/>
      <c r="DM130" s="644"/>
      <c r="DN130" s="644"/>
      <c r="DO130" s="644"/>
    </row>
    <row r="131" spans="3:119" ht="12.75" x14ac:dyDescent="0.2">
      <c r="C131" s="1428" t="s">
        <v>2354</v>
      </c>
      <c r="D131" s="1426" t="str">
        <f>Translation!B589</f>
        <v>Bipolare Störung regulär</v>
      </c>
      <c r="F131" s="1437"/>
      <c r="G131" s="2211">
        <v>15.5</v>
      </c>
      <c r="H131" s="2212">
        <v>1</v>
      </c>
      <c r="I131" s="2212">
        <v>3.3333333333333299</v>
      </c>
      <c r="J131" s="2212">
        <v>30</v>
      </c>
      <c r="K131" s="2212">
        <v>3.8333333333333299</v>
      </c>
      <c r="L131" s="2212">
        <v>3.1666666666666701</v>
      </c>
      <c r="M131" s="2212">
        <v>7</v>
      </c>
      <c r="N131" s="2212">
        <v>14.0833333333333</v>
      </c>
      <c r="O131" s="2212">
        <v>1</v>
      </c>
      <c r="P131" s="2212">
        <v>3</v>
      </c>
      <c r="Q131" s="2212">
        <v>1</v>
      </c>
      <c r="R131" s="2212">
        <v>1</v>
      </c>
      <c r="S131" s="2212">
        <v>7</v>
      </c>
      <c r="T131" s="2212">
        <v>0</v>
      </c>
      <c r="U131" s="2212">
        <v>2</v>
      </c>
      <c r="V131" s="2212">
        <v>7.8274999999999997</v>
      </c>
      <c r="W131" s="2212">
        <v>1</v>
      </c>
      <c r="X131" s="2212">
        <v>6.7558333333333298</v>
      </c>
      <c r="Y131" s="2212">
        <v>2.3333333333333299</v>
      </c>
      <c r="Z131" s="2212">
        <v>5</v>
      </c>
      <c r="AA131" s="2212">
        <v>11</v>
      </c>
      <c r="AB131" s="2212">
        <v>0</v>
      </c>
      <c r="AC131" s="2212">
        <v>29.137499999999999</v>
      </c>
      <c r="AD131" s="2212">
        <v>5</v>
      </c>
      <c r="AE131" s="2212">
        <v>1.6666666666666701</v>
      </c>
      <c r="AF131" s="2213">
        <v>26.25</v>
      </c>
      <c r="AG131" s="644"/>
      <c r="AH131" s="644"/>
      <c r="AI131" s="2078">
        <f>G131*Risk_Compensation!$AK92*12/1000000</f>
        <v>4.6489141296378003E-2</v>
      </c>
      <c r="AJ131" s="2079">
        <f>H131*Risk_Compensation!$AK92*12/1000000</f>
        <v>2.9992994384759998E-3</v>
      </c>
      <c r="AK131" s="2079">
        <f>I131*Risk_Compensation!$AK92*12/1000000</f>
        <v>9.9976647949199908E-3</v>
      </c>
      <c r="AL131" s="2079">
        <f>J131*Risk_Compensation!$AK92*12/1000000</f>
        <v>8.997898315427999E-2</v>
      </c>
      <c r="AM131" s="2079">
        <f>K131*Risk_Compensation!$AK92*12/1000000</f>
        <v>1.149731451415799E-2</v>
      </c>
      <c r="AN131" s="2079">
        <f>L131*Risk_Compensation!$AK92*12/1000000</f>
        <v>9.4977815551740095E-3</v>
      </c>
      <c r="AO131" s="2079">
        <f>M131*Risk_Compensation!$AK92*12/1000000</f>
        <v>2.0995096069332E-2</v>
      </c>
      <c r="AP131" s="2079">
        <f>N131*Risk_Compensation!$AK92*12/1000000</f>
        <v>4.2240133758536906E-2</v>
      </c>
      <c r="AQ131" s="2079">
        <f>O131*Risk_Compensation!$AK92*12/1000000</f>
        <v>2.9992994384759998E-3</v>
      </c>
      <c r="AR131" s="2079">
        <f>P131*Risk_Compensation!$AK92*12/1000000</f>
        <v>8.9978983154279987E-3</v>
      </c>
      <c r="AS131" s="2079">
        <f>Q131*Risk_Compensation!$AK92*12/1000000</f>
        <v>2.9992994384759998E-3</v>
      </c>
      <c r="AT131" s="2079">
        <f>R131*Risk_Compensation!$AK92*12/1000000</f>
        <v>2.9992994384759998E-3</v>
      </c>
      <c r="AU131" s="2079">
        <f>S131*Risk_Compensation!$AK92*12/1000000</f>
        <v>2.0995096069332E-2</v>
      </c>
      <c r="AV131" s="2079">
        <f>T131*Risk_Compensation!$AK92*12/1000000</f>
        <v>0</v>
      </c>
      <c r="AW131" s="2079">
        <f>U131*Risk_Compensation!$AK92*12/1000000</f>
        <v>5.9985988769519997E-3</v>
      </c>
      <c r="AX131" s="2079">
        <f>V131*Risk_Compensation!$AK92*12/1000000</f>
        <v>2.347701635467089E-2</v>
      </c>
      <c r="AY131" s="2079">
        <f>W131*Risk_Compensation!$AK92*12/1000000</f>
        <v>2.9992994384759998E-3</v>
      </c>
      <c r="AZ131" s="2079">
        <f>X131*Risk_Compensation!$AK92*12/1000000</f>
        <v>2.0262767123104101E-2</v>
      </c>
      <c r="BA131" s="2079">
        <f>Y131*Risk_Compensation!$AK92*12/1000000</f>
        <v>6.9983653564439901E-3</v>
      </c>
      <c r="BB131" s="2079">
        <f>Z131*Risk_Compensation!$AK92*12/1000000</f>
        <v>1.499649719238E-2</v>
      </c>
      <c r="BC131" s="2079">
        <f>AA131*Risk_Compensation!$AK92*12/1000000</f>
        <v>3.2992293823236006E-2</v>
      </c>
      <c r="BD131" s="2079">
        <f>AB131*Risk_Compensation!$AK92*12/1000000</f>
        <v>0</v>
      </c>
      <c r="BE131" s="2079">
        <f>AC131*Risk_Compensation!$AK92*12/1000000</f>
        <v>8.7392087388594442E-2</v>
      </c>
      <c r="BF131" s="2079">
        <f>AD131*Risk_Compensation!$AK92*12/1000000</f>
        <v>1.499649719238E-2</v>
      </c>
      <c r="BG131" s="2079">
        <f>AE131*Risk_Compensation!$AK92*12/1000000</f>
        <v>4.998832397460011E-3</v>
      </c>
      <c r="BH131" s="2080">
        <f>AF131*Risk_Compensation!$AK92*12/1000000</f>
        <v>7.8731610259994991E-2</v>
      </c>
      <c r="CM131" s="1426" t="str">
        <f>Translation!B$626</f>
        <v>Bestand der Gesamtbranche</v>
      </c>
      <c r="DA131" s="644"/>
      <c r="DB131" s="644"/>
      <c r="DC131" s="644"/>
      <c r="DD131" s="644"/>
      <c r="DE131" s="644"/>
      <c r="DF131" s="644"/>
      <c r="DG131" s="644"/>
      <c r="DH131" s="644"/>
      <c r="DI131" s="644"/>
      <c r="DJ131" s="644"/>
      <c r="DK131" s="644"/>
      <c r="DL131" s="644"/>
      <c r="DM131" s="644"/>
      <c r="DN131" s="644"/>
      <c r="DO131" s="644"/>
    </row>
    <row r="132" spans="3:119" ht="12.75" x14ac:dyDescent="0.2">
      <c r="C132" s="1428" t="s">
        <v>2356</v>
      </c>
      <c r="D132" s="1426" t="str">
        <f>Translation!B590</f>
        <v>Herzleiden</v>
      </c>
      <c r="F132" s="1437"/>
      <c r="G132" s="2211">
        <v>7.0833333333333304</v>
      </c>
      <c r="H132" s="2212">
        <v>0</v>
      </c>
      <c r="I132" s="2212">
        <v>0</v>
      </c>
      <c r="J132" s="2212">
        <v>3</v>
      </c>
      <c r="K132" s="2212">
        <v>1</v>
      </c>
      <c r="L132" s="2212">
        <v>1</v>
      </c>
      <c r="M132" s="2212">
        <v>2</v>
      </c>
      <c r="N132" s="2212">
        <v>4</v>
      </c>
      <c r="O132" s="2212">
        <v>0</v>
      </c>
      <c r="P132" s="2212">
        <v>0</v>
      </c>
      <c r="Q132" s="2212">
        <v>0</v>
      </c>
      <c r="R132" s="2212">
        <v>1</v>
      </c>
      <c r="S132" s="2212">
        <v>1</v>
      </c>
      <c r="T132" s="2212">
        <v>0</v>
      </c>
      <c r="U132" s="2212">
        <v>1</v>
      </c>
      <c r="V132" s="2212">
        <v>1</v>
      </c>
      <c r="W132" s="2212">
        <v>0</v>
      </c>
      <c r="X132" s="2212">
        <v>2</v>
      </c>
      <c r="Y132" s="2212">
        <v>0</v>
      </c>
      <c r="Z132" s="2212">
        <v>0</v>
      </c>
      <c r="AA132" s="2212">
        <v>3</v>
      </c>
      <c r="AB132" s="2212">
        <v>0</v>
      </c>
      <c r="AC132" s="2212">
        <v>0</v>
      </c>
      <c r="AD132" s="2212">
        <v>2</v>
      </c>
      <c r="AE132" s="2212">
        <v>0</v>
      </c>
      <c r="AF132" s="2213">
        <v>6.9166666666666696</v>
      </c>
      <c r="AG132" s="644"/>
      <c r="AH132" s="644"/>
      <c r="AI132" s="2078">
        <f>G132*Risk_Compensation!$AK93*12/1000000</f>
        <v>4.0050312347405984E-2</v>
      </c>
      <c r="AJ132" s="2079">
        <f>H132*Risk_Compensation!$AK93*12/1000000</f>
        <v>0</v>
      </c>
      <c r="AK132" s="2079">
        <f>I132*Risk_Compensation!$AK93*12/1000000</f>
        <v>0</v>
      </c>
      <c r="AL132" s="2079">
        <f>J132*Risk_Compensation!$AK93*12/1000000</f>
        <v>1.69624852294896E-2</v>
      </c>
      <c r="AM132" s="2079">
        <f>K132*Risk_Compensation!$AK93*12/1000000</f>
        <v>5.6541617431632007E-3</v>
      </c>
      <c r="AN132" s="2079">
        <f>L132*Risk_Compensation!$AK93*12/1000000</f>
        <v>5.6541617431632007E-3</v>
      </c>
      <c r="AO132" s="2079">
        <f>M132*Risk_Compensation!$AK93*12/1000000</f>
        <v>1.1308323486326401E-2</v>
      </c>
      <c r="AP132" s="2079">
        <f>N132*Risk_Compensation!$AK93*12/1000000</f>
        <v>2.2616646972652803E-2</v>
      </c>
      <c r="AQ132" s="2079">
        <f>O132*Risk_Compensation!$AK93*12/1000000</f>
        <v>0</v>
      </c>
      <c r="AR132" s="2079">
        <f>P132*Risk_Compensation!$AK93*12/1000000</f>
        <v>0</v>
      </c>
      <c r="AS132" s="2079">
        <f>Q132*Risk_Compensation!$AK93*12/1000000</f>
        <v>0</v>
      </c>
      <c r="AT132" s="2079">
        <f>R132*Risk_Compensation!$AK93*12/1000000</f>
        <v>5.6541617431632007E-3</v>
      </c>
      <c r="AU132" s="2079">
        <f>S132*Risk_Compensation!$AK93*12/1000000</f>
        <v>5.6541617431632007E-3</v>
      </c>
      <c r="AV132" s="2079">
        <f>T132*Risk_Compensation!$AK93*12/1000000</f>
        <v>0</v>
      </c>
      <c r="AW132" s="2079">
        <f>U132*Risk_Compensation!$AK93*12/1000000</f>
        <v>5.6541617431632007E-3</v>
      </c>
      <c r="AX132" s="2079">
        <f>V132*Risk_Compensation!$AK93*12/1000000</f>
        <v>5.6541617431632007E-3</v>
      </c>
      <c r="AY132" s="2079">
        <f>W132*Risk_Compensation!$AK93*12/1000000</f>
        <v>0</v>
      </c>
      <c r="AZ132" s="2079">
        <f>X132*Risk_Compensation!$AK93*12/1000000</f>
        <v>1.1308323486326401E-2</v>
      </c>
      <c r="BA132" s="2079">
        <f>Y132*Risk_Compensation!$AK93*12/1000000</f>
        <v>0</v>
      </c>
      <c r="BB132" s="2079">
        <f>Z132*Risk_Compensation!$AK93*12/1000000</f>
        <v>0</v>
      </c>
      <c r="BC132" s="2079">
        <f>AA132*Risk_Compensation!$AK93*12/1000000</f>
        <v>1.69624852294896E-2</v>
      </c>
      <c r="BD132" s="2079">
        <f>AB132*Risk_Compensation!$AK93*12/1000000</f>
        <v>0</v>
      </c>
      <c r="BE132" s="2079">
        <f>AC132*Risk_Compensation!$AK93*12/1000000</f>
        <v>0</v>
      </c>
      <c r="BF132" s="2079">
        <f>AD132*Risk_Compensation!$AK93*12/1000000</f>
        <v>1.1308323486326401E-2</v>
      </c>
      <c r="BG132" s="2079">
        <f>AE132*Risk_Compensation!$AK93*12/1000000</f>
        <v>0</v>
      </c>
      <c r="BH132" s="2080">
        <f>AF132*Risk_Compensation!$AK93*12/1000000</f>
        <v>3.9107952056878822E-2</v>
      </c>
      <c r="CM132" s="2586"/>
      <c r="CN132" s="2587"/>
      <c r="CO132" s="2564" t="str">
        <f>Translation!B$583</f>
        <v xml:space="preserve">Kanton </v>
      </c>
      <c r="CP132" s="2576"/>
      <c r="CQ132" s="2576"/>
      <c r="CR132" s="2576"/>
      <c r="CS132" s="2576"/>
      <c r="CT132" s="2576"/>
      <c r="CU132" s="2576"/>
      <c r="CV132" s="2576"/>
      <c r="CW132" s="2576"/>
      <c r="CX132" s="2576"/>
      <c r="CY132" s="2576"/>
      <c r="CZ132" s="2576"/>
      <c r="DA132" s="2576"/>
      <c r="DB132" s="2576"/>
      <c r="DC132" s="2576"/>
      <c r="DD132" s="2576"/>
      <c r="DE132" s="2576"/>
      <c r="DF132" s="2576"/>
      <c r="DG132" s="2576"/>
      <c r="DH132" s="2576"/>
      <c r="DI132" s="2576"/>
      <c r="DJ132" s="2576"/>
      <c r="DK132" s="2576"/>
      <c r="DL132" s="2576"/>
      <c r="DM132" s="2576"/>
      <c r="DN132" s="2576"/>
      <c r="DO132" s="2113"/>
    </row>
    <row r="133" spans="3:119" ht="12.75" x14ac:dyDescent="0.2">
      <c r="C133" s="1428" t="s">
        <v>2358</v>
      </c>
      <c r="D133" s="1426" t="str">
        <f>Translation!B591</f>
        <v>COPD / Schweres Asthma</v>
      </c>
      <c r="F133" s="1437"/>
      <c r="G133" s="2211">
        <v>17</v>
      </c>
      <c r="H133" s="2212">
        <v>0</v>
      </c>
      <c r="I133" s="2212">
        <v>0</v>
      </c>
      <c r="J133" s="2212">
        <v>53.217500000000001</v>
      </c>
      <c r="K133" s="2212">
        <v>8</v>
      </c>
      <c r="L133" s="2212">
        <v>3</v>
      </c>
      <c r="M133" s="2212">
        <v>11.25</v>
      </c>
      <c r="N133" s="2212">
        <v>6.6616666666666697</v>
      </c>
      <c r="O133" s="2212">
        <v>2</v>
      </c>
      <c r="P133" s="2212">
        <v>10.25</v>
      </c>
      <c r="Q133" s="2212">
        <v>1</v>
      </c>
      <c r="R133" s="2212">
        <v>13.9166666666667</v>
      </c>
      <c r="S133" s="2212">
        <v>4</v>
      </c>
      <c r="T133" s="2212">
        <v>1</v>
      </c>
      <c r="U133" s="2212">
        <v>0</v>
      </c>
      <c r="V133" s="2212">
        <v>15.897500000000001</v>
      </c>
      <c r="W133" s="2212">
        <v>0.5</v>
      </c>
      <c r="X133" s="2212">
        <v>10.0833333333333</v>
      </c>
      <c r="Y133" s="2212">
        <v>4.3333333333333304</v>
      </c>
      <c r="Z133" s="2212">
        <v>6</v>
      </c>
      <c r="AA133" s="2212">
        <v>13</v>
      </c>
      <c r="AB133" s="2212">
        <v>1</v>
      </c>
      <c r="AC133" s="2212">
        <v>25.4166666666667</v>
      </c>
      <c r="AD133" s="2212">
        <v>5.4166666666666696</v>
      </c>
      <c r="AE133" s="2212">
        <v>3</v>
      </c>
      <c r="AF133" s="2213">
        <v>51.9166666666667</v>
      </c>
      <c r="AG133" s="644"/>
      <c r="AH133" s="644"/>
      <c r="AI133" s="2078">
        <f>G133*Risk_Compensation!$AK94*12/1000000</f>
        <v>0.12981001611327359</v>
      </c>
      <c r="AJ133" s="2079">
        <f>H133*Risk_Compensation!$AK94*12/1000000</f>
        <v>0</v>
      </c>
      <c r="AK133" s="2079">
        <f>I133*Risk_Compensation!$AK94*12/1000000</f>
        <v>0</v>
      </c>
      <c r="AL133" s="2079">
        <f>J133*Risk_Compensation!$AK94*12/1000000</f>
        <v>0.40636261955930225</v>
      </c>
      <c r="AM133" s="2079">
        <f>K133*Risk_Compensation!$AK94*12/1000000</f>
        <v>6.10870664062464E-2</v>
      </c>
      <c r="AN133" s="2079">
        <f>L133*Risk_Compensation!$AK94*12/1000000</f>
        <v>2.2907649902342401E-2</v>
      </c>
      <c r="AO133" s="2079">
        <f>M133*Risk_Compensation!$AK94*12/1000000</f>
        <v>8.5903687133784004E-2</v>
      </c>
      <c r="AP133" s="2079">
        <f>N133*Risk_Compensation!$AK94*12/1000000</f>
        <v>5.086770925536812E-2</v>
      </c>
      <c r="AQ133" s="2079">
        <f>O133*Risk_Compensation!$AK94*12/1000000</f>
        <v>1.52717666015616E-2</v>
      </c>
      <c r="AR133" s="2079">
        <f>P133*Risk_Compensation!$AK94*12/1000000</f>
        <v>7.8267803833003205E-2</v>
      </c>
      <c r="AS133" s="2079">
        <f>Q133*Risk_Compensation!$AK94*12/1000000</f>
        <v>7.6358833007808E-3</v>
      </c>
      <c r="AT133" s="2079">
        <f>R133*Risk_Compensation!$AK94*12/1000000</f>
        <v>0.10626604260253306</v>
      </c>
      <c r="AU133" s="2079">
        <f>S133*Risk_Compensation!$AK94*12/1000000</f>
        <v>3.05435332031232E-2</v>
      </c>
      <c r="AV133" s="2079">
        <f>T133*Risk_Compensation!$AK94*12/1000000</f>
        <v>7.6358833007808E-3</v>
      </c>
      <c r="AW133" s="2079">
        <f>U133*Risk_Compensation!$AK94*12/1000000</f>
        <v>0</v>
      </c>
      <c r="AX133" s="2079">
        <f>V133*Risk_Compensation!$AK94*12/1000000</f>
        <v>0.12139145477416276</v>
      </c>
      <c r="AY133" s="2079">
        <f>W133*Risk_Compensation!$AK94*12/1000000</f>
        <v>3.8179416503904E-3</v>
      </c>
      <c r="AZ133" s="2079">
        <f>X133*Risk_Compensation!$AK94*12/1000000</f>
        <v>7.6995156616206137E-2</v>
      </c>
      <c r="BA133" s="2079">
        <f>Y133*Risk_Compensation!$AK94*12/1000000</f>
        <v>3.3088827636716778E-2</v>
      </c>
      <c r="BB133" s="2079">
        <f>Z133*Risk_Compensation!$AK94*12/1000000</f>
        <v>4.5815299804684802E-2</v>
      </c>
      <c r="BC133" s="2079">
        <f>AA133*Risk_Compensation!$AK94*12/1000000</f>
        <v>9.9266482910150403E-2</v>
      </c>
      <c r="BD133" s="2079">
        <f>AB133*Risk_Compensation!$AK94*12/1000000</f>
        <v>7.6358833007808E-3</v>
      </c>
      <c r="BE133" s="2079">
        <f>AC133*Risk_Compensation!$AK94*12/1000000</f>
        <v>0.19407870056151227</v>
      </c>
      <c r="BF133" s="2079">
        <f>AD133*Risk_Compensation!$AK94*12/1000000</f>
        <v>4.1361034545896021E-2</v>
      </c>
      <c r="BG133" s="2079">
        <f>AE133*Risk_Compensation!$AK94*12/1000000</f>
        <v>2.2907649902342401E-2</v>
      </c>
      <c r="BH133" s="2080">
        <f>AF133*Risk_Compensation!$AK94*12/1000000</f>
        <v>0.39642960803220351</v>
      </c>
      <c r="CM133" s="2588"/>
      <c r="CN133" s="2589"/>
      <c r="CO133" s="1434">
        <v>1</v>
      </c>
      <c r="CP133" s="1434">
        <v>2</v>
      </c>
      <c r="CQ133" s="1434">
        <v>3</v>
      </c>
      <c r="CR133" s="1434">
        <v>4</v>
      </c>
      <c r="CS133" s="1434">
        <v>5</v>
      </c>
      <c r="CT133" s="1434">
        <v>6</v>
      </c>
      <c r="CU133" s="1434">
        <v>7</v>
      </c>
      <c r="CV133" s="1434">
        <v>8</v>
      </c>
      <c r="CW133" s="1434">
        <v>9</v>
      </c>
      <c r="CX133" s="1434">
        <v>10</v>
      </c>
      <c r="CY133" s="1434">
        <v>11</v>
      </c>
      <c r="CZ133" s="1434">
        <v>12</v>
      </c>
      <c r="DA133" s="1434">
        <v>13</v>
      </c>
      <c r="DB133" s="1434">
        <v>14</v>
      </c>
      <c r="DC133" s="1434">
        <v>15</v>
      </c>
      <c r="DD133" s="1434">
        <v>16</v>
      </c>
      <c r="DE133" s="1434">
        <v>17</v>
      </c>
      <c r="DF133" s="1434">
        <v>18</v>
      </c>
      <c r="DG133" s="1434">
        <v>19</v>
      </c>
      <c r="DH133" s="1434">
        <v>20</v>
      </c>
      <c r="DI133" s="1434">
        <v>21</v>
      </c>
      <c r="DJ133" s="1434">
        <v>22</v>
      </c>
      <c r="DK133" s="1434">
        <v>23</v>
      </c>
      <c r="DL133" s="1434">
        <v>24</v>
      </c>
      <c r="DM133" s="1434">
        <v>25</v>
      </c>
      <c r="DN133" s="1434">
        <v>26</v>
      </c>
      <c r="DO133" s="2110"/>
    </row>
    <row r="134" spans="3:119" ht="11.25" customHeight="1" x14ac:dyDescent="0.2">
      <c r="C134" s="1428" t="s">
        <v>2360</v>
      </c>
      <c r="D134" s="1426" t="str">
        <f>Translation!B592</f>
        <v>Depression</v>
      </c>
      <c r="F134" s="1437"/>
      <c r="G134" s="2211">
        <v>1017.12916666667</v>
      </c>
      <c r="H134" s="2212">
        <v>18.400833333333299</v>
      </c>
      <c r="I134" s="2212">
        <v>66.922499999999999</v>
      </c>
      <c r="J134" s="2212">
        <v>1678.4041666666701</v>
      </c>
      <c r="K134" s="2212">
        <v>431.77666666666698</v>
      </c>
      <c r="L134" s="2212">
        <v>282.88083333333299</v>
      </c>
      <c r="M134" s="2212">
        <v>657.22083333333296</v>
      </c>
      <c r="N134" s="2212">
        <v>1002.57416666667</v>
      </c>
      <c r="O134" s="2212">
        <v>52.1666666666667</v>
      </c>
      <c r="P134" s="2212">
        <v>244.05916666666701</v>
      </c>
      <c r="Q134" s="2212">
        <v>102.944166666667</v>
      </c>
      <c r="R134" s="2212">
        <v>559.16916666666702</v>
      </c>
      <c r="S134" s="2212">
        <v>362.51083333333298</v>
      </c>
      <c r="T134" s="2212">
        <v>50.5966666666667</v>
      </c>
      <c r="U134" s="2212">
        <v>49.8333333333333</v>
      </c>
      <c r="V134" s="2212">
        <v>691.85</v>
      </c>
      <c r="W134" s="2212">
        <v>129.64500000000001</v>
      </c>
      <c r="X134" s="2212">
        <v>478.64083333333298</v>
      </c>
      <c r="Y134" s="2212">
        <v>208.381666666667</v>
      </c>
      <c r="Z134" s="2212">
        <v>390.2525</v>
      </c>
      <c r="AA134" s="2212">
        <v>468.90916666666698</v>
      </c>
      <c r="AB134" s="2212">
        <v>43</v>
      </c>
      <c r="AC134" s="2212">
        <v>1438.88333333333</v>
      </c>
      <c r="AD134" s="2212">
        <v>538.71416666666698</v>
      </c>
      <c r="AE134" s="2212">
        <v>206.41833333333301</v>
      </c>
      <c r="AF134" s="2213">
        <v>2508.7224999999999</v>
      </c>
      <c r="AG134" s="644"/>
      <c r="AH134" s="644"/>
      <c r="AI134" s="2078">
        <f>G134*Risk_Compensation!$AK95*12/1000000</f>
        <v>4.5419951360395583</v>
      </c>
      <c r="AJ134" s="2079">
        <f>H134*Risk_Compensation!$AK95*12/1000000</f>
        <v>8.2169008851619929E-2</v>
      </c>
      <c r="AK134" s="2079">
        <f>I134*Risk_Compensation!$AK95*12/1000000</f>
        <v>0.29884274235075647</v>
      </c>
      <c r="AL134" s="2079">
        <f>J134*Risk_Compensation!$AK95*12/1000000</f>
        <v>7.4949217966992236</v>
      </c>
      <c r="AM134" s="2079">
        <f>K134*Risk_Compensation!$AK95*12/1000000</f>
        <v>1.9281007605773128</v>
      </c>
      <c r="AN134" s="2079">
        <f>L134*Risk_Compensation!$AK95*12/1000000</f>
        <v>1.2632057079726626</v>
      </c>
      <c r="AO134" s="2079">
        <f>M134*Risk_Compensation!$AK95*12/1000000</f>
        <v>2.934822760108823</v>
      </c>
      <c r="AP134" s="2079">
        <f>N134*Risk_Compensation!$AK95*12/1000000</f>
        <v>4.4769997142469578</v>
      </c>
      <c r="AQ134" s="2079">
        <f>O134*Risk_Compensation!$AK95*12/1000000</f>
        <v>0.23295049835204115</v>
      </c>
      <c r="AR134" s="2079">
        <f>P134*Risk_Compensation!$AK95*12/1000000</f>
        <v>1.0898473706527267</v>
      </c>
      <c r="AS134" s="2079">
        <f>Q134*Risk_Compensation!$AK95*12/1000000</f>
        <v>0.45969766634061937</v>
      </c>
      <c r="AT134" s="2079">
        <f>R134*Risk_Compensation!$AK95*12/1000000</f>
        <v>2.4969725758101387</v>
      </c>
      <c r="AU134" s="2079">
        <f>S134*Risk_Compensation!$AK95*12/1000000</f>
        <v>1.618793852070548</v>
      </c>
      <c r="AV134" s="2079">
        <f>T134*Risk_Compensation!$AK95*12/1000000</f>
        <v>0.2259396558776762</v>
      </c>
      <c r="AW134" s="2079">
        <f>U134*Risk_Compensation!$AK95*12/1000000</f>
        <v>0.22253098724364287</v>
      </c>
      <c r="AX134" s="2079">
        <f>V134*Risk_Compensation!$AK95*12/1000000</f>
        <v>3.0894594687193528</v>
      </c>
      <c r="AY134" s="2079">
        <f>W134*Risk_Compensation!$AK95*12/1000000</f>
        <v>0.57893036470639658</v>
      </c>
      <c r="AZ134" s="2079">
        <f>X134*Risk_Compensation!$AK95*12/1000000</f>
        <v>2.1373729199355167</v>
      </c>
      <c r="BA134" s="2079">
        <f>Y134*Risk_Compensation!$AK95*12/1000000</f>
        <v>0.93052932455135406</v>
      </c>
      <c r="BB134" s="2079">
        <f>Z134*Risk_Compensation!$AK95*12/1000000</f>
        <v>1.7426743966414675</v>
      </c>
      <c r="BC134" s="2079">
        <f>AA134*Risk_Compensation!$AK95*12/1000000</f>
        <v>2.0939161161055653</v>
      </c>
      <c r="BD134" s="2079">
        <f>AB134*Risk_Compensation!$AK95*12/1000000</f>
        <v>0.19201670471190596</v>
      </c>
      <c r="BE134" s="2079">
        <f>AC134*Risk_Compensation!$AK95*12/1000000</f>
        <v>6.4253403751523033</v>
      </c>
      <c r="BF134" s="2079">
        <f>AD134*Risk_Compensation!$AK95*12/1000000</f>
        <v>2.4056306759291606</v>
      </c>
      <c r="BG134" s="2079">
        <f>AE134*Risk_Compensation!$AK95*12/1000000</f>
        <v>0.9217620502044277</v>
      </c>
      <c r="BH134" s="2080">
        <f>AF134*Risk_Compensation!$AK95*12/1000000</f>
        <v>11.202712267130572</v>
      </c>
      <c r="CM134" s="2590"/>
      <c r="CN134" s="2591"/>
      <c r="CO134" s="1437" t="s">
        <v>1877</v>
      </c>
      <c r="CP134" s="1437" t="s">
        <v>1878</v>
      </c>
      <c r="CQ134" s="1437" t="s">
        <v>1879</v>
      </c>
      <c r="CR134" s="1437" t="s">
        <v>1880</v>
      </c>
      <c r="CS134" s="1437" t="s">
        <v>1881</v>
      </c>
      <c r="CT134" s="1437" t="s">
        <v>1882</v>
      </c>
      <c r="CU134" s="1437" t="s">
        <v>1883</v>
      </c>
      <c r="CV134" s="1437" t="s">
        <v>1884</v>
      </c>
      <c r="CW134" s="1437" t="s">
        <v>1885</v>
      </c>
      <c r="CX134" s="1437" t="s">
        <v>1886</v>
      </c>
      <c r="CY134" s="1437" t="s">
        <v>1887</v>
      </c>
      <c r="CZ134" s="1437" t="s">
        <v>1888</v>
      </c>
      <c r="DA134" s="1437" t="s">
        <v>1889</v>
      </c>
      <c r="DB134" s="1437" t="s">
        <v>1890</v>
      </c>
      <c r="DC134" s="1437" t="s">
        <v>1891</v>
      </c>
      <c r="DD134" s="1437" t="s">
        <v>1892</v>
      </c>
      <c r="DE134" s="1437" t="s">
        <v>1893</v>
      </c>
      <c r="DF134" s="1437" t="s">
        <v>1894</v>
      </c>
      <c r="DG134" s="1437" t="s">
        <v>1895</v>
      </c>
      <c r="DH134" s="1437" t="s">
        <v>1896</v>
      </c>
      <c r="DI134" s="1437" t="s">
        <v>1897</v>
      </c>
      <c r="DJ134" s="1437" t="s">
        <v>1898</v>
      </c>
      <c r="DK134" s="1437" t="s">
        <v>1899</v>
      </c>
      <c r="DL134" s="1437" t="s">
        <v>1900</v>
      </c>
      <c r="DM134" s="1437" t="s">
        <v>1901</v>
      </c>
      <c r="DN134" s="1437" t="s">
        <v>1902</v>
      </c>
      <c r="DO134" s="1623" t="s">
        <v>55</v>
      </c>
    </row>
    <row r="135" spans="3:119" ht="11.25" customHeight="1" x14ac:dyDescent="0.2">
      <c r="C135" s="1428" t="s">
        <v>2362</v>
      </c>
      <c r="D135" s="1426" t="str">
        <f>Translation!B593</f>
        <v>Diabetes Typ-I</v>
      </c>
      <c r="F135" s="1437"/>
      <c r="G135" s="2211">
        <v>134.088333333333</v>
      </c>
      <c r="H135" s="2212">
        <v>3</v>
      </c>
      <c r="I135" s="2212">
        <v>11.5833333333333</v>
      </c>
      <c r="J135" s="2212">
        <v>209</v>
      </c>
      <c r="K135" s="2212">
        <v>68.6666666666667</v>
      </c>
      <c r="L135" s="2212">
        <v>37.4166666666667</v>
      </c>
      <c r="M135" s="2212">
        <v>72.984166666666695</v>
      </c>
      <c r="N135" s="2212">
        <v>96.502499999999998</v>
      </c>
      <c r="O135" s="2212">
        <v>12.3333333333333</v>
      </c>
      <c r="P135" s="2212">
        <v>53.008333333333297</v>
      </c>
      <c r="Q135" s="2212">
        <v>16.75</v>
      </c>
      <c r="R135" s="2212">
        <v>105.86750000000001</v>
      </c>
      <c r="S135" s="2212">
        <v>32.129166666666698</v>
      </c>
      <c r="T135" s="2212">
        <v>9</v>
      </c>
      <c r="U135" s="2212">
        <v>7</v>
      </c>
      <c r="V135" s="2212">
        <v>131.37583333333299</v>
      </c>
      <c r="W135" s="2212">
        <v>15.980833333333299</v>
      </c>
      <c r="X135" s="2212">
        <v>67.25</v>
      </c>
      <c r="Y135" s="2212">
        <v>25.9166666666667</v>
      </c>
      <c r="Z135" s="2212">
        <v>68.5833333333333</v>
      </c>
      <c r="AA135" s="2212">
        <v>59.631666666666703</v>
      </c>
      <c r="AB135" s="2212">
        <v>5.5</v>
      </c>
      <c r="AC135" s="2212">
        <v>182.70166666666699</v>
      </c>
      <c r="AD135" s="2212">
        <v>71.25</v>
      </c>
      <c r="AE135" s="2212">
        <v>25.75</v>
      </c>
      <c r="AF135" s="2213">
        <v>285.57749999999999</v>
      </c>
      <c r="AG135" s="644"/>
      <c r="AH135" s="644"/>
      <c r="AI135" s="2078">
        <f>G135*Risk_Compensation!$AK96*12/1000000</f>
        <v>1.1965605180871048</v>
      </c>
      <c r="AJ135" s="2079">
        <f>H135*Risk_Compensation!$AK96*12/1000000</f>
        <v>2.6771020751952E-2</v>
      </c>
      <c r="AK135" s="2079">
        <f>I135*Risk_Compensation!$AK96*12/1000000</f>
        <v>0.10336588568114768</v>
      </c>
      <c r="AL135" s="2079">
        <f>J135*Risk_Compensation!$AK96*12/1000000</f>
        <v>1.8650477790526556</v>
      </c>
      <c r="AM135" s="2079">
        <f>K135*Risk_Compensation!$AK96*12/1000000</f>
        <v>0.61275891943356831</v>
      </c>
      <c r="AN135" s="2079">
        <f>L135*Risk_Compensation!$AK96*12/1000000</f>
        <v>0.33389411993406831</v>
      </c>
      <c r="AO135" s="2079">
        <f>M135*Risk_Compensation!$AK96*12/1000000</f>
        <v>0.6512868801324192</v>
      </c>
      <c r="AP135" s="2079">
        <f>N135*Risk_Compensation!$AK96*12/1000000</f>
        <v>0.86115681003841593</v>
      </c>
      <c r="AQ135" s="2079">
        <f>O135*Risk_Compensation!$AK96*12/1000000</f>
        <v>0.11005864086913569</v>
      </c>
      <c r="AR135" s="2079">
        <f>P135*Risk_Compensation!$AK96*12/1000000</f>
        <v>0.47302906389768484</v>
      </c>
      <c r="AS135" s="2079">
        <f>Q135*Risk_Compensation!$AK96*12/1000000</f>
        <v>0.14947153253173198</v>
      </c>
      <c r="AT135" s="2079">
        <f>R135*Risk_Compensation!$AK96*12/1000000</f>
        <v>0.94472701315242613</v>
      </c>
      <c r="AU135" s="2079">
        <f>S135*Risk_Compensation!$AK96*12/1000000</f>
        <v>0.2867101958587529</v>
      </c>
      <c r="AV135" s="2079">
        <f>T135*Risk_Compensation!$AK96*12/1000000</f>
        <v>8.0313062255855994E-2</v>
      </c>
      <c r="AW135" s="2079">
        <f>U135*Risk_Compensation!$AK96*12/1000000</f>
        <v>6.2465715087887994E-2</v>
      </c>
      <c r="AX135" s="2079">
        <f>V135*Risk_Compensation!$AK96*12/1000000</f>
        <v>1.1723550534905482</v>
      </c>
      <c r="AY135" s="2079">
        <f>W135*Risk_Compensation!$AK96*12/1000000</f>
        <v>0.14260774026671733</v>
      </c>
      <c r="AZ135" s="2079">
        <f>X135*Risk_Compensation!$AK96*12/1000000</f>
        <v>0.60011704852292391</v>
      </c>
      <c r="BA135" s="2079">
        <f>Y135*Risk_Compensation!$AK96*12/1000000</f>
        <v>0.23127187371825228</v>
      </c>
      <c r="BB135" s="2079">
        <f>Z135*Risk_Compensation!$AK96*12/1000000</f>
        <v>0.61201527996823568</v>
      </c>
      <c r="BC135" s="2079">
        <f>AA135*Risk_Compensation!$AK96*12/1000000</f>
        <v>0.53213352860227292</v>
      </c>
      <c r="BD135" s="2079">
        <f>AB135*Risk_Compensation!$AK96*12/1000000</f>
        <v>4.9080204711911997E-2</v>
      </c>
      <c r="BE135" s="2079">
        <f>AC135*Risk_Compensation!$AK96*12/1000000</f>
        <v>1.6303700365831866</v>
      </c>
      <c r="BF135" s="2079">
        <f>AD135*Risk_Compensation!$AK96*12/1000000</f>
        <v>0.63581174285886</v>
      </c>
      <c r="BG135" s="2079">
        <f>AE135*Risk_Compensation!$AK96*12/1000000</f>
        <v>0.229784594787588</v>
      </c>
      <c r="BH135" s="2080">
        <f>AF135*Risk_Compensation!$AK96*12/1000000</f>
        <v>2.5484003929301906</v>
      </c>
      <c r="CM135" s="2162" t="str">
        <f>Translation!B$627</f>
        <v>Junge Erwachsene</v>
      </c>
      <c r="CN135" s="2163"/>
      <c r="CO135" s="2103">
        <f t="shared" ref="CO135:DN135" si="61">G11+G12+G41+G42</f>
        <v>49634.378333333327</v>
      </c>
      <c r="CP135" s="2103">
        <f t="shared" si="61"/>
        <v>1204.96</v>
      </c>
      <c r="CQ135" s="2103">
        <f t="shared" si="61"/>
        <v>3593.3750000000036</v>
      </c>
      <c r="CR135" s="2103">
        <f t="shared" si="61"/>
        <v>70096.770000000033</v>
      </c>
      <c r="CS135" s="2103">
        <f t="shared" si="61"/>
        <v>19674.249166666668</v>
      </c>
      <c r="CT135" s="2103">
        <f t="shared" si="61"/>
        <v>11755.150833333328</v>
      </c>
      <c r="CU135" s="2103">
        <f t="shared" si="61"/>
        <v>26598.569999999963</v>
      </c>
      <c r="CV135" s="2103">
        <f t="shared" si="61"/>
        <v>35973.07333333337</v>
      </c>
      <c r="CW135" s="2103">
        <f t="shared" si="61"/>
        <v>2882.7400000000034</v>
      </c>
      <c r="CX135" s="2103">
        <f t="shared" si="61"/>
        <v>14344.425833333335</v>
      </c>
      <c r="CY135" s="2103">
        <f t="shared" si="61"/>
        <v>5753.9266666666626</v>
      </c>
      <c r="CZ135" s="2103">
        <f t="shared" si="61"/>
        <v>30386.480833333368</v>
      </c>
      <c r="DA135" s="2103">
        <f t="shared" si="61"/>
        <v>14022.521666666666</v>
      </c>
      <c r="DB135" s="2103">
        <f t="shared" si="61"/>
        <v>2915.1558333333332</v>
      </c>
      <c r="DC135" s="2103">
        <f t="shared" si="61"/>
        <v>2713.6566666666631</v>
      </c>
      <c r="DD135" s="2103">
        <f t="shared" si="61"/>
        <v>39972.824166666665</v>
      </c>
      <c r="DE135" s="2103">
        <f t="shared" si="61"/>
        <v>5717.2441666666691</v>
      </c>
      <c r="DF135" s="2103">
        <f t="shared" si="61"/>
        <v>19698.579999999994</v>
      </c>
      <c r="DG135" s="2103">
        <f t="shared" si="61"/>
        <v>11157.036666666663</v>
      </c>
      <c r="DH135" s="2103">
        <f t="shared" si="61"/>
        <v>20526.254166666702</v>
      </c>
      <c r="DI135" s="2103">
        <f t="shared" si="61"/>
        <v>23843.664166666666</v>
      </c>
      <c r="DJ135" s="2103">
        <f t="shared" si="61"/>
        <v>2759.4433333333363</v>
      </c>
      <c r="DK135" s="2103">
        <f t="shared" si="61"/>
        <v>62304.337500000038</v>
      </c>
      <c r="DL135" s="2103">
        <f t="shared" si="61"/>
        <v>26655.379166666666</v>
      </c>
      <c r="DM135" s="2103">
        <f t="shared" si="61"/>
        <v>8184.6991666666672</v>
      </c>
      <c r="DN135" s="2103">
        <f t="shared" si="61"/>
        <v>102738.38916666669</v>
      </c>
      <c r="DO135" s="2111">
        <f>SUM(CO135:DN135)</f>
        <v>615107.2858333335</v>
      </c>
    </row>
    <row r="136" spans="3:119" ht="12.75" x14ac:dyDescent="0.2">
      <c r="C136" s="1428" t="s">
        <v>2364</v>
      </c>
      <c r="D136" s="1426" t="str">
        <f>Translation!B594</f>
        <v>Diabetes Typ-2</v>
      </c>
      <c r="F136" s="1437"/>
      <c r="G136" s="2211">
        <v>20.591666666666701</v>
      </c>
      <c r="H136" s="2212">
        <v>1</v>
      </c>
      <c r="I136" s="2212">
        <v>1</v>
      </c>
      <c r="J136" s="2212">
        <v>34.5833333333333</v>
      </c>
      <c r="K136" s="2212">
        <v>9.2283333333333299</v>
      </c>
      <c r="L136" s="2212">
        <v>10.5833333333333</v>
      </c>
      <c r="M136" s="2212">
        <v>15.25</v>
      </c>
      <c r="N136" s="2212">
        <v>35</v>
      </c>
      <c r="O136" s="2212">
        <v>1</v>
      </c>
      <c r="P136" s="2212">
        <v>6.1666666666666696</v>
      </c>
      <c r="Q136" s="2212">
        <v>0</v>
      </c>
      <c r="R136" s="2212">
        <v>8.5833333333333304</v>
      </c>
      <c r="S136" s="2212">
        <v>8.1666666666666696</v>
      </c>
      <c r="T136" s="2212">
        <v>2</v>
      </c>
      <c r="U136" s="2212">
        <v>1</v>
      </c>
      <c r="V136" s="2212">
        <v>13.0833333333333</v>
      </c>
      <c r="W136" s="2212">
        <v>2</v>
      </c>
      <c r="X136" s="2212">
        <v>12.4166666666667</v>
      </c>
      <c r="Y136" s="2212">
        <v>6</v>
      </c>
      <c r="Z136" s="2212">
        <v>10.432499999999999</v>
      </c>
      <c r="AA136" s="2212">
        <v>16</v>
      </c>
      <c r="AB136" s="2212">
        <v>0</v>
      </c>
      <c r="AC136" s="2212">
        <v>48.5833333333333</v>
      </c>
      <c r="AD136" s="2212">
        <v>7</v>
      </c>
      <c r="AE136" s="2212">
        <v>5</v>
      </c>
      <c r="AF136" s="2213">
        <v>75.0833333333333</v>
      </c>
      <c r="AG136" s="644"/>
      <c r="AH136" s="644"/>
      <c r="AI136" s="2078">
        <f>G136*Risk_Compensation!$AK97*12/1000000</f>
        <v>5.8668785290512004E-2</v>
      </c>
      <c r="AJ136" s="2079">
        <f>H136*Risk_Compensation!$AK97*12/1000000</f>
        <v>2.8491518554680001E-3</v>
      </c>
      <c r="AK136" s="2079">
        <f>I136*Risk_Compensation!$AK97*12/1000000</f>
        <v>2.8491518554680001E-3</v>
      </c>
      <c r="AL136" s="2079">
        <f>J136*Risk_Compensation!$AK97*12/1000000</f>
        <v>9.8533168334934917E-2</v>
      </c>
      <c r="AM136" s="2079">
        <f>K136*Risk_Compensation!$AK97*12/1000000</f>
        <v>2.629292303954385E-2</v>
      </c>
      <c r="AN136" s="2079">
        <f>L136*Risk_Compensation!$AK97*12/1000000</f>
        <v>3.0153523803702904E-2</v>
      </c>
      <c r="AO136" s="2079">
        <f>M136*Risk_Compensation!$AK97*12/1000000</f>
        <v>4.3449565795886998E-2</v>
      </c>
      <c r="AP136" s="2079">
        <f>N136*Risk_Compensation!$AK97*12/1000000</f>
        <v>9.9720314941379992E-2</v>
      </c>
      <c r="AQ136" s="2079">
        <f>O136*Risk_Compensation!$AK97*12/1000000</f>
        <v>2.8491518554680001E-3</v>
      </c>
      <c r="AR136" s="2079">
        <f>P136*Risk_Compensation!$AK97*12/1000000</f>
        <v>1.7569769775386008E-2</v>
      </c>
      <c r="AS136" s="2079">
        <f>Q136*Risk_Compensation!$AK97*12/1000000</f>
        <v>0</v>
      </c>
      <c r="AT136" s="2079">
        <f>R136*Risk_Compensation!$AK97*12/1000000</f>
        <v>2.4455220092766992E-2</v>
      </c>
      <c r="AU136" s="2079">
        <f>S136*Risk_Compensation!$AK97*12/1000000</f>
        <v>2.3268073486322011E-2</v>
      </c>
      <c r="AV136" s="2079">
        <f>T136*Risk_Compensation!$AK97*12/1000000</f>
        <v>5.6983037109360002E-3</v>
      </c>
      <c r="AW136" s="2079">
        <f>U136*Risk_Compensation!$AK97*12/1000000</f>
        <v>2.8491518554680001E-3</v>
      </c>
      <c r="AX136" s="2079">
        <f>V136*Risk_Compensation!$AK97*12/1000000</f>
        <v>3.7276403442372902E-2</v>
      </c>
      <c r="AY136" s="2079">
        <f>W136*Risk_Compensation!$AK97*12/1000000</f>
        <v>5.6983037109360002E-3</v>
      </c>
      <c r="AZ136" s="2079">
        <f>X136*Risk_Compensation!$AK97*12/1000000</f>
        <v>3.5376968872061092E-2</v>
      </c>
      <c r="BA136" s="2079">
        <f>Y136*Risk_Compensation!$AK97*12/1000000</f>
        <v>1.7094911132808002E-2</v>
      </c>
      <c r="BB136" s="2079">
        <f>Z136*Risk_Compensation!$AK97*12/1000000</f>
        <v>2.9723776732169905E-2</v>
      </c>
      <c r="BC136" s="2079">
        <f>AA136*Risk_Compensation!$AK97*12/1000000</f>
        <v>4.5586429687488002E-2</v>
      </c>
      <c r="BD136" s="2079">
        <f>AB136*Risk_Compensation!$AK97*12/1000000</f>
        <v>0</v>
      </c>
      <c r="BE136" s="2079">
        <f>AC136*Risk_Compensation!$AK97*12/1000000</f>
        <v>0.13842129431148692</v>
      </c>
      <c r="BF136" s="2079">
        <f>AD136*Risk_Compensation!$AK97*12/1000000</f>
        <v>1.9944062988276001E-2</v>
      </c>
      <c r="BG136" s="2079">
        <f>AE136*Risk_Compensation!$AK97*12/1000000</f>
        <v>1.4245759277340002E-2</v>
      </c>
      <c r="BH136" s="2080">
        <f>AF136*Risk_Compensation!$AK97*12/1000000</f>
        <v>0.21392381848138892</v>
      </c>
      <c r="CM136" s="1824" t="str">
        <f>Translation!B$628</f>
        <v>Ewachsene</v>
      </c>
      <c r="CN136" s="2164"/>
      <c r="CO136" s="2106">
        <f t="shared" ref="CO136:DN136" si="62">SUM(G13:G40)+SUM(G43:G70)</f>
        <v>531972.43666666653</v>
      </c>
      <c r="CP136" s="2106">
        <f t="shared" si="62"/>
        <v>12073.420000000002</v>
      </c>
      <c r="CQ136" s="2106">
        <f t="shared" si="62"/>
        <v>41660.20583333337</v>
      </c>
      <c r="CR136" s="2106">
        <f t="shared" si="62"/>
        <v>794284.26416666643</v>
      </c>
      <c r="CS136" s="2106">
        <f t="shared" si="62"/>
        <v>222017.23833333328</v>
      </c>
      <c r="CT136" s="2106">
        <f t="shared" si="62"/>
        <v>150024.255</v>
      </c>
      <c r="CU136" s="2106">
        <f t="shared" si="62"/>
        <v>241485.27666666679</v>
      </c>
      <c r="CV136" s="2106">
        <f t="shared" si="62"/>
        <v>339568.60166666692</v>
      </c>
      <c r="CW136" s="2106">
        <f t="shared" si="62"/>
        <v>31452.270833333321</v>
      </c>
      <c r="CX136" s="2106">
        <f t="shared" si="62"/>
        <v>159062.56666666668</v>
      </c>
      <c r="CY136" s="2106">
        <f t="shared" si="62"/>
        <v>53735.484166666647</v>
      </c>
      <c r="CZ136" s="2106">
        <f t="shared" si="62"/>
        <v>315253.68583333318</v>
      </c>
      <c r="DA136" s="2106">
        <f t="shared" si="62"/>
        <v>128849.78500000003</v>
      </c>
      <c r="DB136" s="2106">
        <f t="shared" si="62"/>
        <v>33900.41833333332</v>
      </c>
      <c r="DC136" s="2106">
        <f t="shared" si="62"/>
        <v>29140.451666666653</v>
      </c>
      <c r="DD136" s="2106">
        <f t="shared" si="62"/>
        <v>388160.18083333323</v>
      </c>
      <c r="DE136" s="2106">
        <f t="shared" si="62"/>
        <v>64005.791666666672</v>
      </c>
      <c r="DF136" s="2106">
        <f t="shared" si="62"/>
        <v>214360.05333333334</v>
      </c>
      <c r="DG136" s="2106">
        <f t="shared" si="62"/>
        <v>124781.19333333331</v>
      </c>
      <c r="DH136" s="2106">
        <f t="shared" si="62"/>
        <v>215911.84166666662</v>
      </c>
      <c r="DI136" s="2106">
        <f t="shared" si="62"/>
        <v>269146.21249999985</v>
      </c>
      <c r="DJ136" s="2106">
        <f t="shared" si="62"/>
        <v>27722.708333333328</v>
      </c>
      <c r="DK136" s="2106">
        <f t="shared" si="62"/>
        <v>591282.375</v>
      </c>
      <c r="DL136" s="2106">
        <f t="shared" si="62"/>
        <v>273236.3583333334</v>
      </c>
      <c r="DM136" s="2106">
        <f t="shared" si="62"/>
        <v>98082.099999999977</v>
      </c>
      <c r="DN136" s="2106">
        <f t="shared" si="62"/>
        <v>1178904.6741666666</v>
      </c>
      <c r="DO136" s="2112">
        <f>SUM(CO136:DN136)</f>
        <v>6530073.8499999996</v>
      </c>
    </row>
    <row r="137" spans="3:119" ht="12.75" x14ac:dyDescent="0.2">
      <c r="C137" s="1428" t="s">
        <v>2366</v>
      </c>
      <c r="D137" s="1426" t="str">
        <f>Translation!B595</f>
        <v>Epilepsie</v>
      </c>
      <c r="F137" s="1437"/>
      <c r="G137" s="2211">
        <v>147.71</v>
      </c>
      <c r="H137" s="2212">
        <v>4.4166666666666696</v>
      </c>
      <c r="I137" s="2212">
        <v>10.5058333333333</v>
      </c>
      <c r="J137" s="2212">
        <v>265.36666666666702</v>
      </c>
      <c r="K137" s="2212">
        <v>102.341666666667</v>
      </c>
      <c r="L137" s="2212">
        <v>64.75</v>
      </c>
      <c r="M137" s="2212">
        <v>105.526666666667</v>
      </c>
      <c r="N137" s="2212">
        <v>123.82250000000001</v>
      </c>
      <c r="O137" s="2212">
        <v>8.8333333333333304</v>
      </c>
      <c r="P137" s="2212">
        <v>58.8466666666667</v>
      </c>
      <c r="Q137" s="2212">
        <v>16.089166666666699</v>
      </c>
      <c r="R137" s="2212">
        <v>94.75</v>
      </c>
      <c r="S137" s="2212">
        <v>54.368333333333297</v>
      </c>
      <c r="T137" s="2212">
        <v>5</v>
      </c>
      <c r="U137" s="2212">
        <v>10</v>
      </c>
      <c r="V137" s="2212">
        <v>133.20500000000001</v>
      </c>
      <c r="W137" s="2212">
        <v>18.5</v>
      </c>
      <c r="X137" s="2212">
        <v>77.8333333333333</v>
      </c>
      <c r="Y137" s="2212">
        <v>27.5</v>
      </c>
      <c r="Z137" s="2212">
        <v>54.438333333333297</v>
      </c>
      <c r="AA137" s="2212">
        <v>81.908333333333303</v>
      </c>
      <c r="AB137" s="2212">
        <v>6</v>
      </c>
      <c r="AC137" s="2212">
        <v>195.583333333333</v>
      </c>
      <c r="AD137" s="2212">
        <v>72.800833333333301</v>
      </c>
      <c r="AE137" s="2212">
        <v>24.787500000000001</v>
      </c>
      <c r="AF137" s="2213">
        <v>314.36250000000001</v>
      </c>
      <c r="AG137" s="644"/>
      <c r="AH137" s="644"/>
      <c r="AI137" s="2078">
        <f>G137*Risk_Compensation!$AK98*12/1000000</f>
        <v>0.93179950508055531</v>
      </c>
      <c r="AJ137" s="2079">
        <f>H137*Risk_Compensation!$AK98*12/1000000</f>
        <v>2.7861673645019219E-2</v>
      </c>
      <c r="AK137" s="2079">
        <f>I137*Risk_Compensation!$AK98*12/1000000</f>
        <v>6.6273984838255848E-2</v>
      </c>
      <c r="AL137" s="2079">
        <f>J137*Risk_Compensation!$AK98*12/1000000</f>
        <v>1.6740134633056463</v>
      </c>
      <c r="AM137" s="2079">
        <f>K137*Risk_Compensation!$AK98*12/1000000</f>
        <v>0.64560229063109797</v>
      </c>
      <c r="AN137" s="2079">
        <f>L137*Risk_Compensation!$AK98*12/1000000</f>
        <v>0.40846264947509275</v>
      </c>
      <c r="AO137" s="2079">
        <f>M137*Risk_Compensation!$AK98*12/1000000</f>
        <v>0.6656942371728457</v>
      </c>
      <c r="AP137" s="2079">
        <f>N137*Risk_Compensation!$AK98*12/1000000</f>
        <v>0.78110990601744679</v>
      </c>
      <c r="AQ137" s="2079">
        <f>O137*Risk_Compensation!$AK98*12/1000000</f>
        <v>5.5723347290038389E-2</v>
      </c>
      <c r="AR137" s="2079">
        <f>P137*Risk_Compensation!$AK98*12/1000000</f>
        <v>0.37122263134276923</v>
      </c>
      <c r="AS137" s="2079">
        <f>Q137*Risk_Compensation!$AK98*12/1000000</f>
        <v>0.10149534586120504</v>
      </c>
      <c r="AT137" s="2079">
        <f>R137*Risk_Compensation!$AK98*12/1000000</f>
        <v>0.59771175347899685</v>
      </c>
      <c r="AU137" s="2079">
        <f>S137*Risk_Compensation!$AK98*12/1000000</f>
        <v>0.34297194565063044</v>
      </c>
      <c r="AV137" s="2079">
        <f>T137*Risk_Compensation!$AK98*12/1000000</f>
        <v>3.1541517333983998E-2</v>
      </c>
      <c r="AW137" s="2079">
        <f>U137*Risk_Compensation!$AK98*12/1000000</f>
        <v>6.3083034667967997E-2</v>
      </c>
      <c r="AX137" s="2079">
        <f>V137*Risk_Compensation!$AK98*12/1000000</f>
        <v>0.84029756329466776</v>
      </c>
      <c r="AY137" s="2079">
        <f>W137*Risk_Compensation!$AK98*12/1000000</f>
        <v>0.11670361413574079</v>
      </c>
      <c r="AZ137" s="2079">
        <f>X137*Risk_Compensation!$AK98*12/1000000</f>
        <v>0.49099628649901739</v>
      </c>
      <c r="BA137" s="2079">
        <f>Y137*Risk_Compensation!$AK98*12/1000000</f>
        <v>0.173478345336912</v>
      </c>
      <c r="BB137" s="2079">
        <f>Z137*Risk_Compensation!$AK98*12/1000000</f>
        <v>0.34341352689330623</v>
      </c>
      <c r="BC137" s="2079">
        <f>AA137*Risk_Compensation!$AK98*12/1000000</f>
        <v>0.5167026231262144</v>
      </c>
      <c r="BD137" s="2079">
        <f>AB137*Risk_Compensation!$AK98*12/1000000</f>
        <v>3.7849820800780802E-2</v>
      </c>
      <c r="BE137" s="2079">
        <f>AC137*Risk_Compensation!$AK98*12/1000000</f>
        <v>1.2337990197143387</v>
      </c>
      <c r="BF137" s="2079">
        <f>AD137*Risk_Compensation!$AK98*12/1000000</f>
        <v>0.45924974930236251</v>
      </c>
      <c r="BG137" s="2079">
        <f>AE137*Risk_Compensation!$AK98*12/1000000</f>
        <v>0.15636707218322571</v>
      </c>
      <c r="BH137" s="2080">
        <f>AF137*Risk_Compensation!$AK98*12/1000000</f>
        <v>1.9830940485809092</v>
      </c>
      <c r="CN137" s="2104"/>
      <c r="CO137" s="2101"/>
      <c r="CP137" s="2101"/>
      <c r="CQ137" s="2101"/>
      <c r="CR137" s="2101"/>
      <c r="CS137" s="2101"/>
      <c r="CT137" s="2101"/>
      <c r="CU137" s="2101"/>
      <c r="CV137" s="2101"/>
      <c r="CW137" s="2101"/>
      <c r="CX137" s="2101"/>
      <c r="CY137" s="2101"/>
      <c r="CZ137" s="2101"/>
      <c r="DA137" s="2101"/>
      <c r="DB137" s="2101"/>
      <c r="DC137" s="2101"/>
      <c r="DD137" s="2101"/>
      <c r="DE137" s="2101"/>
      <c r="DF137" s="2101"/>
      <c r="DG137" s="2101"/>
      <c r="DH137" s="2101"/>
      <c r="DI137" s="2101"/>
      <c r="DJ137" s="2101"/>
      <c r="DK137" s="2101"/>
      <c r="DL137" s="2101"/>
      <c r="DM137" s="2101"/>
      <c r="DN137" s="2101"/>
      <c r="DO137" s="644"/>
    </row>
    <row r="138" spans="3:119" ht="12.75" x14ac:dyDescent="0.2">
      <c r="C138" s="1428" t="s">
        <v>2368</v>
      </c>
      <c r="D138" s="1426" t="str">
        <f>Translation!B596</f>
        <v>Glaukom</v>
      </c>
      <c r="F138" s="1437"/>
      <c r="G138" s="2211">
        <v>13.873333333333299</v>
      </c>
      <c r="H138" s="2212">
        <v>1.98416666666667</v>
      </c>
      <c r="I138" s="2212">
        <v>1.75</v>
      </c>
      <c r="J138" s="2212">
        <v>23.0833333333333</v>
      </c>
      <c r="K138" s="2212">
        <v>5</v>
      </c>
      <c r="L138" s="2212">
        <v>4</v>
      </c>
      <c r="M138" s="2212">
        <v>4.5</v>
      </c>
      <c r="N138" s="2212">
        <v>12</v>
      </c>
      <c r="O138" s="2212">
        <v>1</v>
      </c>
      <c r="P138" s="2212">
        <v>3.9891666666666699</v>
      </c>
      <c r="Q138" s="2212">
        <v>0</v>
      </c>
      <c r="R138" s="2212">
        <v>7</v>
      </c>
      <c r="S138" s="2212">
        <v>3</v>
      </c>
      <c r="T138" s="2212">
        <v>1</v>
      </c>
      <c r="U138" s="2212">
        <v>0</v>
      </c>
      <c r="V138" s="2212">
        <v>15.8333333333333</v>
      </c>
      <c r="W138" s="2212">
        <v>5</v>
      </c>
      <c r="X138" s="2212">
        <v>2.3333333333333299</v>
      </c>
      <c r="Y138" s="2212">
        <v>1</v>
      </c>
      <c r="Z138" s="2212">
        <v>2</v>
      </c>
      <c r="AA138" s="2212">
        <v>9</v>
      </c>
      <c r="AB138" s="2212">
        <v>0</v>
      </c>
      <c r="AC138" s="2212">
        <v>20</v>
      </c>
      <c r="AD138" s="2212">
        <v>7.5</v>
      </c>
      <c r="AE138" s="2212">
        <v>2</v>
      </c>
      <c r="AF138" s="2213">
        <v>29.9166666666667</v>
      </c>
      <c r="AG138" s="644"/>
      <c r="AH138" s="644"/>
      <c r="AI138" s="2078">
        <f>G138*Risk_Compensation!$AK99*12/1000000</f>
        <v>1.7007668537597095E-2</v>
      </c>
      <c r="AJ138" s="2079">
        <f>H138*Risk_Compensation!$AK99*12/1000000</f>
        <v>2.4324398599242457E-3</v>
      </c>
      <c r="AK138" s="2079">
        <f>I138*Risk_Compensation!$AK99*12/1000000</f>
        <v>2.1453690490722001E-3</v>
      </c>
      <c r="AL138" s="2079">
        <f>J138*Risk_Compensation!$AK99*12/1000000</f>
        <v>2.8298439361571358E-2</v>
      </c>
      <c r="AM138" s="2079">
        <f>K138*Risk_Compensation!$AK99*12/1000000</f>
        <v>6.1296258544920003E-3</v>
      </c>
      <c r="AN138" s="2079">
        <f>L138*Risk_Compensation!$AK99*12/1000000</f>
        <v>4.9037006835935997E-3</v>
      </c>
      <c r="AO138" s="2079">
        <f>M138*Risk_Compensation!$AK99*12/1000000</f>
        <v>5.5166632690428E-3</v>
      </c>
      <c r="AP138" s="2079">
        <f>N138*Risk_Compensation!$AK99*12/1000000</f>
        <v>1.4711102050780798E-2</v>
      </c>
      <c r="AQ138" s="2079">
        <f>O138*Risk_Compensation!$AK99*12/1000000</f>
        <v>1.2259251708983999E-3</v>
      </c>
      <c r="AR138" s="2079">
        <f>P138*Risk_Compensation!$AK99*12/1000000</f>
        <v>4.8904198275755376E-3</v>
      </c>
      <c r="AS138" s="2079">
        <f>Q138*Risk_Compensation!$AK99*12/1000000</f>
        <v>0</v>
      </c>
      <c r="AT138" s="2079">
        <f>R138*Risk_Compensation!$AK99*12/1000000</f>
        <v>8.5814761962888005E-3</v>
      </c>
      <c r="AU138" s="2079">
        <f>S138*Risk_Compensation!$AK99*12/1000000</f>
        <v>3.6777755126951995E-3</v>
      </c>
      <c r="AV138" s="2079">
        <f>T138*Risk_Compensation!$AK99*12/1000000</f>
        <v>1.2259251708983999E-3</v>
      </c>
      <c r="AW138" s="2079">
        <f>U138*Risk_Compensation!$AK99*12/1000000</f>
        <v>0</v>
      </c>
      <c r="AX138" s="2079">
        <f>V138*Risk_Compensation!$AK99*12/1000000</f>
        <v>1.941048187255796E-2</v>
      </c>
      <c r="AY138" s="2079">
        <f>W138*Risk_Compensation!$AK99*12/1000000</f>
        <v>6.1296258544920003E-3</v>
      </c>
      <c r="AZ138" s="2079">
        <f>X138*Risk_Compensation!$AK99*12/1000000</f>
        <v>2.8604920654295958E-3</v>
      </c>
      <c r="BA138" s="2079">
        <f>Y138*Risk_Compensation!$AK99*12/1000000</f>
        <v>1.2259251708983999E-3</v>
      </c>
      <c r="BB138" s="2079">
        <f>Z138*Risk_Compensation!$AK99*12/1000000</f>
        <v>2.4518503417967998E-3</v>
      </c>
      <c r="BC138" s="2079">
        <f>AA138*Risk_Compensation!$AK99*12/1000000</f>
        <v>1.10333265380856E-2</v>
      </c>
      <c r="BD138" s="2079">
        <f>AB138*Risk_Compensation!$AK99*12/1000000</f>
        <v>0</v>
      </c>
      <c r="BE138" s="2079">
        <f>AC138*Risk_Compensation!$AK99*12/1000000</f>
        <v>2.4518503417968001E-2</v>
      </c>
      <c r="BF138" s="2079">
        <f>AD138*Risk_Compensation!$AK99*12/1000000</f>
        <v>9.1944387817380017E-3</v>
      </c>
      <c r="BG138" s="2079">
        <f>AE138*Risk_Compensation!$AK99*12/1000000</f>
        <v>2.4518503417967998E-3</v>
      </c>
      <c r="BH138" s="2080">
        <f>AF138*Risk_Compensation!$AK99*12/1000000</f>
        <v>3.6675594696043839E-2</v>
      </c>
      <c r="CN138" s="644"/>
      <c r="CO138" s="644"/>
      <c r="CP138" s="644"/>
      <c r="CQ138" s="644"/>
      <c r="CR138" s="644"/>
      <c r="CS138" s="644"/>
      <c r="CT138" s="644"/>
      <c r="CU138" s="644"/>
      <c r="CV138" s="644"/>
      <c r="CW138" s="644"/>
      <c r="CX138" s="644"/>
      <c r="CY138" s="644"/>
      <c r="CZ138" s="644"/>
      <c r="DA138" s="644"/>
      <c r="DB138" s="644"/>
      <c r="DC138" s="644"/>
      <c r="DD138" s="644"/>
      <c r="DE138" s="644"/>
      <c r="DF138" s="644"/>
      <c r="DG138" s="644"/>
      <c r="DH138" s="644"/>
      <c r="DI138" s="644"/>
      <c r="DJ138" s="644"/>
      <c r="DK138" s="644"/>
      <c r="DL138" s="644"/>
      <c r="DM138" s="644"/>
      <c r="DN138" s="644"/>
      <c r="DO138" s="644"/>
    </row>
    <row r="139" spans="3:119" ht="12.75" x14ac:dyDescent="0.2">
      <c r="C139" s="1428" t="s">
        <v>2370</v>
      </c>
      <c r="D139" s="1426" t="str">
        <f>Translation!B597</f>
        <v>Hohes Cholesterin</v>
      </c>
      <c r="F139" s="1437"/>
      <c r="G139" s="2211">
        <v>20.265000000000001</v>
      </c>
      <c r="H139" s="2212">
        <v>0</v>
      </c>
      <c r="I139" s="2212">
        <v>2</v>
      </c>
      <c r="J139" s="2212">
        <v>13.8333333333333</v>
      </c>
      <c r="K139" s="2212">
        <v>3.66916666666667</v>
      </c>
      <c r="L139" s="2212">
        <v>3</v>
      </c>
      <c r="M139" s="2212">
        <v>9</v>
      </c>
      <c r="N139" s="2212">
        <v>21</v>
      </c>
      <c r="O139" s="2212">
        <v>2</v>
      </c>
      <c r="P139" s="2212">
        <v>0</v>
      </c>
      <c r="Q139" s="2212">
        <v>4</v>
      </c>
      <c r="R139" s="2212">
        <v>4</v>
      </c>
      <c r="S139" s="2212">
        <v>7</v>
      </c>
      <c r="T139" s="2212">
        <v>0</v>
      </c>
      <c r="U139" s="2212">
        <v>1</v>
      </c>
      <c r="V139" s="2212">
        <v>11.9166666666667</v>
      </c>
      <c r="W139" s="2212">
        <v>4</v>
      </c>
      <c r="X139" s="2212">
        <v>10</v>
      </c>
      <c r="Y139" s="2212">
        <v>6</v>
      </c>
      <c r="Z139" s="2212">
        <v>7.7958333333333298</v>
      </c>
      <c r="AA139" s="2212">
        <v>10</v>
      </c>
      <c r="AB139" s="2212">
        <v>0</v>
      </c>
      <c r="AC139" s="2212">
        <v>32.060833333333299</v>
      </c>
      <c r="AD139" s="2212">
        <v>5</v>
      </c>
      <c r="AE139" s="2212">
        <v>4</v>
      </c>
      <c r="AF139" s="2213">
        <v>31.0833333333333</v>
      </c>
      <c r="AG139" s="644"/>
      <c r="AH139" s="644"/>
      <c r="AI139" s="2078">
        <f>G139*Risk_Compensation!$AK100*12/1000000</f>
        <v>2.7271585406779937E-2</v>
      </c>
      <c r="AJ139" s="2079">
        <f>H139*Risk_Compensation!$AK100*12/1000000</f>
        <v>0</v>
      </c>
      <c r="AK139" s="2079">
        <f>I139*Risk_Compensation!$AK100*12/1000000</f>
        <v>2.6914962158183999E-3</v>
      </c>
      <c r="AL139" s="2079">
        <f>J139*Risk_Compensation!$AK100*12/1000000</f>
        <v>1.8616182159410556E-2</v>
      </c>
      <c r="AM139" s="2079">
        <f>K139*Risk_Compensation!$AK100*12/1000000</f>
        <v>4.9377740992701761E-3</v>
      </c>
      <c r="AN139" s="2079">
        <f>L139*Risk_Compensation!$AK100*12/1000000</f>
        <v>4.0372443237276E-3</v>
      </c>
      <c r="AO139" s="2079">
        <f>M139*Risk_Compensation!$AK100*12/1000000</f>
        <v>1.2111732971182799E-2</v>
      </c>
      <c r="AP139" s="2079">
        <f>N139*Risk_Compensation!$AK100*12/1000000</f>
        <v>2.8260710266093201E-2</v>
      </c>
      <c r="AQ139" s="2079">
        <f>O139*Risk_Compensation!$AK100*12/1000000</f>
        <v>2.6914962158183999E-3</v>
      </c>
      <c r="AR139" s="2079">
        <f>P139*Risk_Compensation!$AK100*12/1000000</f>
        <v>0</v>
      </c>
      <c r="AS139" s="2079">
        <f>Q139*Risk_Compensation!$AK100*12/1000000</f>
        <v>5.3829924316367997E-3</v>
      </c>
      <c r="AT139" s="2079">
        <f>R139*Risk_Compensation!$AK100*12/1000000</f>
        <v>5.3829924316367997E-3</v>
      </c>
      <c r="AU139" s="2079">
        <f>S139*Risk_Compensation!$AK100*12/1000000</f>
        <v>9.4202367553643997E-3</v>
      </c>
      <c r="AV139" s="2079">
        <f>T139*Risk_Compensation!$AK100*12/1000000</f>
        <v>0</v>
      </c>
      <c r="AW139" s="2079">
        <f>U139*Risk_Compensation!$AK100*12/1000000</f>
        <v>1.3457481079091999E-3</v>
      </c>
      <c r="AX139" s="2079">
        <f>V139*Risk_Compensation!$AK100*12/1000000</f>
        <v>1.6036831619251346E-2</v>
      </c>
      <c r="AY139" s="2079">
        <f>W139*Risk_Compensation!$AK100*12/1000000</f>
        <v>5.3829924316367997E-3</v>
      </c>
      <c r="AZ139" s="2079">
        <f>X139*Risk_Compensation!$AK100*12/1000000</f>
        <v>1.3457481079091999E-2</v>
      </c>
      <c r="BA139" s="2079">
        <f>Y139*Risk_Compensation!$AK100*12/1000000</f>
        <v>8.0744886474552E-3</v>
      </c>
      <c r="BB139" s="2079">
        <f>Z139*Risk_Compensation!$AK100*12/1000000</f>
        <v>1.04912279579088E-2</v>
      </c>
      <c r="BC139" s="2079">
        <f>AA139*Risk_Compensation!$AK100*12/1000000</f>
        <v>1.3457481079091999E-2</v>
      </c>
      <c r="BD139" s="2079">
        <f>AB139*Risk_Compensation!$AK100*12/1000000</f>
        <v>0</v>
      </c>
      <c r="BE139" s="2079">
        <f>AC139*Risk_Compensation!$AK100*12/1000000</f>
        <v>4.3145805796325487E-2</v>
      </c>
      <c r="BF139" s="2079">
        <f>AD139*Risk_Compensation!$AK100*12/1000000</f>
        <v>6.7287405395459994E-3</v>
      </c>
      <c r="BG139" s="2079">
        <f>AE139*Risk_Compensation!$AK100*12/1000000</f>
        <v>5.3829924316367997E-3</v>
      </c>
      <c r="BH139" s="2080">
        <f>AF139*Risk_Compensation!$AK100*12/1000000</f>
        <v>4.1830337020844252E-2</v>
      </c>
      <c r="CM139" s="2161" t="str">
        <f>Translation!B$629</f>
        <v>Entlastung der jungen Erwachsenen bzw. Zusatzbelastung der Erwachsenen in CHF pro Monat</v>
      </c>
      <c r="CN139" s="2158"/>
      <c r="CO139" s="9"/>
      <c r="CP139" s="9"/>
      <c r="CQ139" s="9"/>
      <c r="CR139" s="9"/>
      <c r="CS139" s="9"/>
      <c r="CT139" s="9"/>
      <c r="CU139" s="9"/>
      <c r="CV139" s="644"/>
      <c r="CW139" s="644"/>
      <c r="CX139" s="644"/>
      <c r="CY139" s="644"/>
      <c r="CZ139" s="644"/>
      <c r="DA139" s="644"/>
      <c r="DB139" s="644"/>
      <c r="DC139" s="644"/>
      <c r="DD139" s="644"/>
      <c r="DE139" s="644"/>
      <c r="DF139" s="644"/>
      <c r="DG139" s="644"/>
      <c r="DH139" s="644"/>
      <c r="DI139" s="644"/>
      <c r="DJ139" s="644"/>
      <c r="DK139" s="644"/>
      <c r="DL139" s="644"/>
      <c r="DM139" s="644"/>
      <c r="DN139" s="644"/>
      <c r="DO139" s="644"/>
    </row>
    <row r="140" spans="3:119" ht="12.75" x14ac:dyDescent="0.2">
      <c r="C140" s="1428" t="s">
        <v>2372</v>
      </c>
      <c r="D140" s="1426" t="str">
        <f>Translation!B598</f>
        <v>HIV / AIDS</v>
      </c>
      <c r="F140" s="1437"/>
      <c r="G140" s="2211">
        <v>2.25</v>
      </c>
      <c r="H140" s="2212">
        <v>0</v>
      </c>
      <c r="I140" s="2212">
        <v>0</v>
      </c>
      <c r="J140" s="2212">
        <v>8</v>
      </c>
      <c r="K140" s="2212">
        <v>4</v>
      </c>
      <c r="L140" s="2212">
        <v>1</v>
      </c>
      <c r="M140" s="2212">
        <v>3.1666666666666701</v>
      </c>
      <c r="N140" s="2212">
        <v>12.4166666666667</v>
      </c>
      <c r="O140" s="2212">
        <v>0</v>
      </c>
      <c r="P140" s="2212">
        <v>1.5</v>
      </c>
      <c r="Q140" s="2212">
        <v>0</v>
      </c>
      <c r="R140" s="2212">
        <v>4</v>
      </c>
      <c r="S140" s="2212">
        <v>2</v>
      </c>
      <c r="T140" s="2212">
        <v>0</v>
      </c>
      <c r="U140" s="2212">
        <v>0</v>
      </c>
      <c r="V140" s="2212">
        <v>2</v>
      </c>
      <c r="W140" s="2212">
        <v>0</v>
      </c>
      <c r="X140" s="2212">
        <v>1</v>
      </c>
      <c r="Y140" s="2212">
        <v>0</v>
      </c>
      <c r="Z140" s="2212">
        <v>3.1666666666666701</v>
      </c>
      <c r="AA140" s="2212">
        <v>2</v>
      </c>
      <c r="AB140" s="2212">
        <v>0</v>
      </c>
      <c r="AC140" s="2212">
        <v>13.8333333333333</v>
      </c>
      <c r="AD140" s="2212">
        <v>3</v>
      </c>
      <c r="AE140" s="2212">
        <v>0</v>
      </c>
      <c r="AF140" s="2213">
        <v>18.821666666666701</v>
      </c>
      <c r="AG140" s="644"/>
      <c r="AH140" s="644"/>
      <c r="AI140" s="2078">
        <f>G140*Risk_Compensation!$AK101*12/1000000</f>
        <v>3.76812982177731E-2</v>
      </c>
      <c r="AJ140" s="2079">
        <f>H140*Risk_Compensation!$AK101*12/1000000</f>
        <v>0</v>
      </c>
      <c r="AK140" s="2079">
        <f>I140*Risk_Compensation!$AK101*12/1000000</f>
        <v>0</v>
      </c>
      <c r="AL140" s="2079">
        <f>J140*Risk_Compensation!$AK101*12/1000000</f>
        <v>0.13397794921874881</v>
      </c>
      <c r="AM140" s="2079">
        <f>K140*Risk_Compensation!$AK101*12/1000000</f>
        <v>6.6988974609374405E-2</v>
      </c>
      <c r="AN140" s="2079">
        <f>L140*Risk_Compensation!$AK101*12/1000000</f>
        <v>1.6747243652343601E-2</v>
      </c>
      <c r="AO140" s="2079">
        <f>M140*Risk_Compensation!$AK101*12/1000000</f>
        <v>5.3032938232421452E-2</v>
      </c>
      <c r="AP140" s="2079">
        <f>N140*Risk_Compensation!$AK101*12/1000000</f>
        <v>0.20794494201660021</v>
      </c>
      <c r="AQ140" s="2079">
        <f>O140*Risk_Compensation!$AK101*12/1000000</f>
        <v>0</v>
      </c>
      <c r="AR140" s="2079">
        <f>P140*Risk_Compensation!$AK101*12/1000000</f>
        <v>2.51208654785154E-2</v>
      </c>
      <c r="AS140" s="2079">
        <f>Q140*Risk_Compensation!$AK101*12/1000000</f>
        <v>0</v>
      </c>
      <c r="AT140" s="2079">
        <f>R140*Risk_Compensation!$AK101*12/1000000</f>
        <v>6.6988974609374405E-2</v>
      </c>
      <c r="AU140" s="2079">
        <f>S140*Risk_Compensation!$AK101*12/1000000</f>
        <v>3.3494487304687202E-2</v>
      </c>
      <c r="AV140" s="2079">
        <f>T140*Risk_Compensation!$AK101*12/1000000</f>
        <v>0</v>
      </c>
      <c r="AW140" s="2079">
        <f>U140*Risk_Compensation!$AK101*12/1000000</f>
        <v>0</v>
      </c>
      <c r="AX140" s="2079">
        <f>V140*Risk_Compensation!$AK101*12/1000000</f>
        <v>3.3494487304687202E-2</v>
      </c>
      <c r="AY140" s="2079">
        <f>W140*Risk_Compensation!$AK101*12/1000000</f>
        <v>0</v>
      </c>
      <c r="AZ140" s="2079">
        <f>X140*Risk_Compensation!$AK101*12/1000000</f>
        <v>1.6747243652343601E-2</v>
      </c>
      <c r="BA140" s="2079">
        <f>Y140*Risk_Compensation!$AK101*12/1000000</f>
        <v>0</v>
      </c>
      <c r="BB140" s="2079">
        <f>Z140*Risk_Compensation!$AK101*12/1000000</f>
        <v>5.3032938232421452E-2</v>
      </c>
      <c r="BC140" s="2079">
        <f>AA140*Risk_Compensation!$AK101*12/1000000</f>
        <v>3.3494487304687202E-2</v>
      </c>
      <c r="BD140" s="2079">
        <f>AB140*Risk_Compensation!$AK101*12/1000000</f>
        <v>0</v>
      </c>
      <c r="BE140" s="2079">
        <f>AC140*Risk_Compensation!$AK101*12/1000000</f>
        <v>0.23167020385741924</v>
      </c>
      <c r="BF140" s="2079">
        <f>AD140*Risk_Compensation!$AK101*12/1000000</f>
        <v>5.02417309570308E-2</v>
      </c>
      <c r="BG140" s="2079">
        <f>AE140*Risk_Compensation!$AK101*12/1000000</f>
        <v>0</v>
      </c>
      <c r="BH140" s="2080">
        <f>AF140*Risk_Compensation!$AK101*12/1000000</f>
        <v>0.31521103760986102</v>
      </c>
      <c r="CM140" s="2586"/>
      <c r="CN140" s="2587"/>
      <c r="CO140" s="2564" t="str">
        <f>Translation!B$583</f>
        <v xml:space="preserve">Kanton </v>
      </c>
      <c r="CP140" s="2576"/>
      <c r="CQ140" s="2576"/>
      <c r="CR140" s="2576"/>
      <c r="CS140" s="2576"/>
      <c r="CT140" s="2576"/>
      <c r="CU140" s="2576"/>
      <c r="CV140" s="2576"/>
      <c r="CW140" s="2576"/>
      <c r="CX140" s="2576"/>
      <c r="CY140" s="2576"/>
      <c r="CZ140" s="2576"/>
      <c r="DA140" s="2576"/>
      <c r="DB140" s="2576"/>
      <c r="DC140" s="2576"/>
      <c r="DD140" s="2576"/>
      <c r="DE140" s="2576"/>
      <c r="DF140" s="2576"/>
      <c r="DG140" s="2576"/>
      <c r="DH140" s="2576"/>
      <c r="DI140" s="2576"/>
      <c r="DJ140" s="2576"/>
      <c r="DK140" s="2576"/>
      <c r="DL140" s="2576"/>
      <c r="DM140" s="2576"/>
      <c r="DN140" s="2577"/>
      <c r="DO140" s="644"/>
    </row>
    <row r="141" spans="3:119" ht="12.75" x14ac:dyDescent="0.2">
      <c r="C141" s="1428" t="s">
        <v>2374</v>
      </c>
      <c r="D141" s="1426" t="str">
        <f>Translation!B599</f>
        <v>Hormonsensitive Tumore</v>
      </c>
      <c r="F141" s="1437"/>
      <c r="G141" s="2211">
        <v>3</v>
      </c>
      <c r="H141" s="2212">
        <v>0</v>
      </c>
      <c r="I141" s="2212">
        <v>0</v>
      </c>
      <c r="J141" s="2212">
        <v>20</v>
      </c>
      <c r="K141" s="2212">
        <v>8.25</v>
      </c>
      <c r="L141" s="2212">
        <v>6.75</v>
      </c>
      <c r="M141" s="2212">
        <v>8</v>
      </c>
      <c r="N141" s="2212">
        <v>6.5033333333333303</v>
      </c>
      <c r="O141" s="2212">
        <v>1</v>
      </c>
      <c r="P141" s="2212">
        <v>1</v>
      </c>
      <c r="Q141" s="2212">
        <v>0</v>
      </c>
      <c r="R141" s="2212">
        <v>5</v>
      </c>
      <c r="S141" s="2212">
        <v>5.0833333333333304</v>
      </c>
      <c r="T141" s="2212">
        <v>0</v>
      </c>
      <c r="U141" s="2212">
        <v>0</v>
      </c>
      <c r="V141" s="2212">
        <v>3</v>
      </c>
      <c r="W141" s="2212">
        <v>0</v>
      </c>
      <c r="X141" s="2212">
        <v>3</v>
      </c>
      <c r="Y141" s="2212">
        <v>1</v>
      </c>
      <c r="Z141" s="2212">
        <v>0</v>
      </c>
      <c r="AA141" s="2212">
        <v>0</v>
      </c>
      <c r="AB141" s="2212">
        <v>0</v>
      </c>
      <c r="AC141" s="2212">
        <v>29.9166666666667</v>
      </c>
      <c r="AD141" s="2212">
        <v>8</v>
      </c>
      <c r="AE141" s="2212">
        <v>1</v>
      </c>
      <c r="AF141" s="2213">
        <v>8</v>
      </c>
      <c r="AG141" s="644"/>
      <c r="AH141" s="644"/>
      <c r="AI141" s="2078">
        <f>G141*Risk_Compensation!$AK102*12/1000000</f>
        <v>1.36835529785136E-2</v>
      </c>
      <c r="AJ141" s="2079">
        <f>H141*Risk_Compensation!$AK102*12/1000000</f>
        <v>0</v>
      </c>
      <c r="AK141" s="2079">
        <f>I141*Risk_Compensation!$AK102*12/1000000</f>
        <v>0</v>
      </c>
      <c r="AL141" s="2079">
        <f>J141*Risk_Compensation!$AK102*12/1000000</f>
        <v>9.1223686523423997E-2</v>
      </c>
      <c r="AM141" s="2079">
        <f>K141*Risk_Compensation!$AK102*12/1000000</f>
        <v>3.7629770690912397E-2</v>
      </c>
      <c r="AN141" s="2079">
        <f>L141*Risk_Compensation!$AK102*12/1000000</f>
        <v>3.0787994201655601E-2</v>
      </c>
      <c r="AO141" s="2079">
        <f>M141*Risk_Compensation!$AK102*12/1000000</f>
        <v>3.6489474609369604E-2</v>
      </c>
      <c r="AP141" s="2079">
        <f>N141*Risk_Compensation!$AK102*12/1000000</f>
        <v>2.9662902067866686E-2</v>
      </c>
      <c r="AQ141" s="2079">
        <f>O141*Risk_Compensation!$AK102*12/1000000</f>
        <v>4.5611843261712005E-3</v>
      </c>
      <c r="AR141" s="2079">
        <f>P141*Risk_Compensation!$AK102*12/1000000</f>
        <v>4.5611843261712005E-3</v>
      </c>
      <c r="AS141" s="2079">
        <f>Q141*Risk_Compensation!$AK102*12/1000000</f>
        <v>0</v>
      </c>
      <c r="AT141" s="2079">
        <f>R141*Risk_Compensation!$AK102*12/1000000</f>
        <v>2.2805921630855999E-2</v>
      </c>
      <c r="AU141" s="2079">
        <f>S141*Risk_Compensation!$AK102*12/1000000</f>
        <v>2.3186020324703585E-2</v>
      </c>
      <c r="AV141" s="2079">
        <f>T141*Risk_Compensation!$AK102*12/1000000</f>
        <v>0</v>
      </c>
      <c r="AW141" s="2079">
        <f>U141*Risk_Compensation!$AK102*12/1000000</f>
        <v>0</v>
      </c>
      <c r="AX141" s="2079">
        <f>V141*Risk_Compensation!$AK102*12/1000000</f>
        <v>1.36835529785136E-2</v>
      </c>
      <c r="AY141" s="2079">
        <f>W141*Risk_Compensation!$AK102*12/1000000</f>
        <v>0</v>
      </c>
      <c r="AZ141" s="2079">
        <f>X141*Risk_Compensation!$AK102*12/1000000</f>
        <v>1.36835529785136E-2</v>
      </c>
      <c r="BA141" s="2079">
        <f>Y141*Risk_Compensation!$AK102*12/1000000</f>
        <v>4.5611843261712005E-3</v>
      </c>
      <c r="BB141" s="2079">
        <f>Z141*Risk_Compensation!$AK102*12/1000000</f>
        <v>0</v>
      </c>
      <c r="BC141" s="2079">
        <f>AA141*Risk_Compensation!$AK102*12/1000000</f>
        <v>0</v>
      </c>
      <c r="BD141" s="2079">
        <f>AB141*Risk_Compensation!$AK102*12/1000000</f>
        <v>0</v>
      </c>
      <c r="BE141" s="2079">
        <f>AC141*Risk_Compensation!$AK102*12/1000000</f>
        <v>0.13645543109128855</v>
      </c>
      <c r="BF141" s="2079">
        <f>AD141*Risk_Compensation!$AK102*12/1000000</f>
        <v>3.6489474609369604E-2</v>
      </c>
      <c r="BG141" s="2079">
        <f>AE141*Risk_Compensation!$AK102*12/1000000</f>
        <v>4.5611843261712005E-3</v>
      </c>
      <c r="BH141" s="2080">
        <f>AF141*Risk_Compensation!$AK102*12/1000000</f>
        <v>3.6489474609369604E-2</v>
      </c>
      <c r="CM141" s="2588"/>
      <c r="CN141" s="2589"/>
      <c r="CO141" s="1434">
        <v>1</v>
      </c>
      <c r="CP141" s="1434">
        <v>2</v>
      </c>
      <c r="CQ141" s="1434">
        <v>3</v>
      </c>
      <c r="CR141" s="1434">
        <v>4</v>
      </c>
      <c r="CS141" s="1434">
        <v>5</v>
      </c>
      <c r="CT141" s="1434">
        <v>6</v>
      </c>
      <c r="CU141" s="1434">
        <v>7</v>
      </c>
      <c r="CV141" s="1434">
        <v>8</v>
      </c>
      <c r="CW141" s="1434">
        <v>9</v>
      </c>
      <c r="CX141" s="1434">
        <v>10</v>
      </c>
      <c r="CY141" s="1434">
        <v>11</v>
      </c>
      <c r="CZ141" s="1434">
        <v>12</v>
      </c>
      <c r="DA141" s="1434">
        <v>13</v>
      </c>
      <c r="DB141" s="1434">
        <v>14</v>
      </c>
      <c r="DC141" s="1434">
        <v>15</v>
      </c>
      <c r="DD141" s="1434">
        <v>16</v>
      </c>
      <c r="DE141" s="1434">
        <v>17</v>
      </c>
      <c r="DF141" s="1434">
        <v>18</v>
      </c>
      <c r="DG141" s="1434">
        <v>19</v>
      </c>
      <c r="DH141" s="1434">
        <v>20</v>
      </c>
      <c r="DI141" s="1434">
        <v>21</v>
      </c>
      <c r="DJ141" s="1434">
        <v>22</v>
      </c>
      <c r="DK141" s="1434">
        <v>23</v>
      </c>
      <c r="DL141" s="1434">
        <v>24</v>
      </c>
      <c r="DM141" s="1434">
        <v>25</v>
      </c>
      <c r="DN141" s="1435">
        <v>26</v>
      </c>
      <c r="DO141" s="644"/>
    </row>
    <row r="142" spans="3:119" ht="12.75" x14ac:dyDescent="0.2">
      <c r="C142" s="1428" t="s">
        <v>2376</v>
      </c>
      <c r="D142" s="1426" t="str">
        <f>Translation!B600</f>
        <v>Krebs</v>
      </c>
      <c r="F142" s="1437"/>
      <c r="G142" s="2211">
        <v>2</v>
      </c>
      <c r="H142" s="2212">
        <v>0</v>
      </c>
      <c r="I142" s="2212">
        <v>0</v>
      </c>
      <c r="J142" s="2212">
        <v>1.5049999999999999</v>
      </c>
      <c r="K142" s="2212">
        <v>2</v>
      </c>
      <c r="L142" s="2212">
        <v>0</v>
      </c>
      <c r="M142" s="2212">
        <v>0</v>
      </c>
      <c r="N142" s="2212">
        <v>3</v>
      </c>
      <c r="O142" s="2212">
        <v>0</v>
      </c>
      <c r="P142" s="2212">
        <v>2</v>
      </c>
      <c r="Q142" s="2212">
        <v>0</v>
      </c>
      <c r="R142" s="2212">
        <v>2</v>
      </c>
      <c r="S142" s="2212">
        <v>0</v>
      </c>
      <c r="T142" s="2212">
        <v>0</v>
      </c>
      <c r="U142" s="2212">
        <v>0</v>
      </c>
      <c r="V142" s="2212">
        <v>2</v>
      </c>
      <c r="W142" s="2212">
        <v>0</v>
      </c>
      <c r="X142" s="2212">
        <v>0</v>
      </c>
      <c r="Y142" s="2212">
        <v>0</v>
      </c>
      <c r="Z142" s="2212">
        <v>2</v>
      </c>
      <c r="AA142" s="2212">
        <v>1</v>
      </c>
      <c r="AB142" s="2212">
        <v>0</v>
      </c>
      <c r="AC142" s="2212">
        <v>0</v>
      </c>
      <c r="AD142" s="2212">
        <v>0</v>
      </c>
      <c r="AE142" s="2212">
        <v>0</v>
      </c>
      <c r="AF142" s="2213">
        <v>7</v>
      </c>
      <c r="AG142" s="644"/>
      <c r="AH142" s="644"/>
      <c r="AI142" s="2078">
        <f>G142*Risk_Compensation!$AK103*12/1000000</f>
        <v>1.5859415039061599E-2</v>
      </c>
      <c r="AJ142" s="2079">
        <f>H142*Risk_Compensation!$AK103*12/1000000</f>
        <v>0</v>
      </c>
      <c r="AK142" s="2079">
        <f>I142*Risk_Compensation!$AK103*12/1000000</f>
        <v>0</v>
      </c>
      <c r="AL142" s="2079">
        <f>J142*Risk_Compensation!$AK103*12/1000000</f>
        <v>1.1934209816893852E-2</v>
      </c>
      <c r="AM142" s="2079">
        <f>K142*Risk_Compensation!$AK103*12/1000000</f>
        <v>1.5859415039061599E-2</v>
      </c>
      <c r="AN142" s="2079">
        <f>L142*Risk_Compensation!$AK103*12/1000000</f>
        <v>0</v>
      </c>
      <c r="AO142" s="2079">
        <f>M142*Risk_Compensation!$AK103*12/1000000</f>
        <v>0</v>
      </c>
      <c r="AP142" s="2079">
        <f>N142*Risk_Compensation!$AK103*12/1000000</f>
        <v>2.3789122558592401E-2</v>
      </c>
      <c r="AQ142" s="2079">
        <f>O142*Risk_Compensation!$AK103*12/1000000</f>
        <v>0</v>
      </c>
      <c r="AR142" s="2079">
        <f>P142*Risk_Compensation!$AK103*12/1000000</f>
        <v>1.5859415039061599E-2</v>
      </c>
      <c r="AS142" s="2079">
        <f>Q142*Risk_Compensation!$AK103*12/1000000</f>
        <v>0</v>
      </c>
      <c r="AT142" s="2079">
        <f>R142*Risk_Compensation!$AK103*12/1000000</f>
        <v>1.5859415039061599E-2</v>
      </c>
      <c r="AU142" s="2079">
        <f>S142*Risk_Compensation!$AK103*12/1000000</f>
        <v>0</v>
      </c>
      <c r="AV142" s="2079">
        <f>T142*Risk_Compensation!$AK103*12/1000000</f>
        <v>0</v>
      </c>
      <c r="AW142" s="2079">
        <f>U142*Risk_Compensation!$AK103*12/1000000</f>
        <v>0</v>
      </c>
      <c r="AX142" s="2079">
        <f>V142*Risk_Compensation!$AK103*12/1000000</f>
        <v>1.5859415039061599E-2</v>
      </c>
      <c r="AY142" s="2079">
        <f>W142*Risk_Compensation!$AK103*12/1000000</f>
        <v>0</v>
      </c>
      <c r="AZ142" s="2079">
        <f>X142*Risk_Compensation!$AK103*12/1000000</f>
        <v>0</v>
      </c>
      <c r="BA142" s="2079">
        <f>Y142*Risk_Compensation!$AK103*12/1000000</f>
        <v>0</v>
      </c>
      <c r="BB142" s="2079">
        <f>Z142*Risk_Compensation!$AK103*12/1000000</f>
        <v>1.5859415039061599E-2</v>
      </c>
      <c r="BC142" s="2079">
        <f>AA142*Risk_Compensation!$AK103*12/1000000</f>
        <v>7.9297075195307997E-3</v>
      </c>
      <c r="BD142" s="2079">
        <f>AB142*Risk_Compensation!$AK103*12/1000000</f>
        <v>0</v>
      </c>
      <c r="BE142" s="2079">
        <f>AC142*Risk_Compensation!$AK103*12/1000000</f>
        <v>0</v>
      </c>
      <c r="BF142" s="2079">
        <f>AD142*Risk_Compensation!$AK103*12/1000000</f>
        <v>0</v>
      </c>
      <c r="BG142" s="2079">
        <f>AE142*Risk_Compensation!$AK103*12/1000000</f>
        <v>0</v>
      </c>
      <c r="BH142" s="2080">
        <f>AF142*Risk_Compensation!$AK103*12/1000000</f>
        <v>5.5507952636715589E-2</v>
      </c>
      <c r="CM142" s="2590"/>
      <c r="CN142" s="2591"/>
      <c r="CO142" s="1437" t="s">
        <v>1877</v>
      </c>
      <c r="CP142" s="1437" t="s">
        <v>1878</v>
      </c>
      <c r="CQ142" s="1437" t="s">
        <v>1879</v>
      </c>
      <c r="CR142" s="1437" t="s">
        <v>1880</v>
      </c>
      <c r="CS142" s="1437" t="s">
        <v>1881</v>
      </c>
      <c r="CT142" s="1437" t="s">
        <v>1882</v>
      </c>
      <c r="CU142" s="1437" t="s">
        <v>1883</v>
      </c>
      <c r="CV142" s="1437" t="s">
        <v>1884</v>
      </c>
      <c r="CW142" s="1437" t="s">
        <v>1885</v>
      </c>
      <c r="CX142" s="1437" t="s">
        <v>1886</v>
      </c>
      <c r="CY142" s="1437" t="s">
        <v>1887</v>
      </c>
      <c r="CZ142" s="1437" t="s">
        <v>1888</v>
      </c>
      <c r="DA142" s="1437" t="s">
        <v>1889</v>
      </c>
      <c r="DB142" s="1437" t="s">
        <v>1890</v>
      </c>
      <c r="DC142" s="1437" t="s">
        <v>1891</v>
      </c>
      <c r="DD142" s="1437" t="s">
        <v>1892</v>
      </c>
      <c r="DE142" s="1437" t="s">
        <v>1893</v>
      </c>
      <c r="DF142" s="1437" t="s">
        <v>1894</v>
      </c>
      <c r="DG142" s="1437" t="s">
        <v>1895</v>
      </c>
      <c r="DH142" s="1437" t="s">
        <v>1896</v>
      </c>
      <c r="DI142" s="1437" t="s">
        <v>1897</v>
      </c>
      <c r="DJ142" s="1437" t="s">
        <v>1898</v>
      </c>
      <c r="DK142" s="1437" t="s">
        <v>1899</v>
      </c>
      <c r="DL142" s="1437" t="s">
        <v>1900</v>
      </c>
      <c r="DM142" s="1437" t="s">
        <v>1901</v>
      </c>
      <c r="DN142" s="1438" t="s">
        <v>1902</v>
      </c>
      <c r="DO142" s="644"/>
    </row>
    <row r="143" spans="3:119" ht="12.75" x14ac:dyDescent="0.2">
      <c r="C143" s="1428" t="s">
        <v>2378</v>
      </c>
      <c r="D143" s="1426" t="str">
        <f>Translation!B601</f>
        <v>Krebs komplex</v>
      </c>
      <c r="F143" s="1437"/>
      <c r="G143" s="2211">
        <v>7</v>
      </c>
      <c r="H143" s="2212">
        <v>0</v>
      </c>
      <c r="I143" s="2212">
        <v>0</v>
      </c>
      <c r="J143" s="2212">
        <v>19.497499999999999</v>
      </c>
      <c r="K143" s="2212">
        <v>4.9275000000000002</v>
      </c>
      <c r="L143" s="2212">
        <v>4</v>
      </c>
      <c r="M143" s="2212">
        <v>8</v>
      </c>
      <c r="N143" s="2212">
        <v>10</v>
      </c>
      <c r="O143" s="2212">
        <v>1.3333333333333299</v>
      </c>
      <c r="P143" s="2212">
        <v>3</v>
      </c>
      <c r="Q143" s="2212">
        <v>2</v>
      </c>
      <c r="R143" s="2212">
        <v>6.4166666666666696</v>
      </c>
      <c r="S143" s="2212">
        <v>6</v>
      </c>
      <c r="T143" s="2212">
        <v>1</v>
      </c>
      <c r="U143" s="2212">
        <v>0</v>
      </c>
      <c r="V143" s="2212">
        <v>12.362500000000001</v>
      </c>
      <c r="W143" s="2212">
        <v>0</v>
      </c>
      <c r="X143" s="2212">
        <v>3.5833333333333299</v>
      </c>
      <c r="Y143" s="2212">
        <v>2</v>
      </c>
      <c r="Z143" s="2212">
        <v>4</v>
      </c>
      <c r="AA143" s="2212">
        <v>7</v>
      </c>
      <c r="AB143" s="2212">
        <v>0</v>
      </c>
      <c r="AC143" s="2212">
        <v>27.839166666666699</v>
      </c>
      <c r="AD143" s="2212">
        <v>6</v>
      </c>
      <c r="AE143" s="2212">
        <v>1</v>
      </c>
      <c r="AF143" s="2213">
        <v>25.394166666666699</v>
      </c>
      <c r="AG143" s="644"/>
      <c r="AH143" s="644"/>
      <c r="AI143" s="2078">
        <f>G143*Risk_Compensation!$AK104*12/1000000</f>
        <v>0.29296901074218124</v>
      </c>
      <c r="AJ143" s="2079">
        <f>H143*Risk_Compensation!$AK104*12/1000000</f>
        <v>0</v>
      </c>
      <c r="AK143" s="2079">
        <f>I143*Risk_Compensation!$AK104*12/1000000</f>
        <v>0</v>
      </c>
      <c r="AL143" s="2079">
        <f>J143*Risk_Compensation!$AK104*12/1000000</f>
        <v>0.81602332670652544</v>
      </c>
      <c r="AM143" s="2079">
        <f>K143*Risk_Compensation!$AK104*12/1000000</f>
        <v>0.20622925720458543</v>
      </c>
      <c r="AN143" s="2079">
        <f>L143*Risk_Compensation!$AK104*12/1000000</f>
        <v>0.16741086328124638</v>
      </c>
      <c r="AO143" s="2079">
        <f>M143*Risk_Compensation!$AK104*12/1000000</f>
        <v>0.33482172656249276</v>
      </c>
      <c r="AP143" s="2079">
        <f>N143*Risk_Compensation!$AK104*12/1000000</f>
        <v>0.41852715820311603</v>
      </c>
      <c r="AQ143" s="2079">
        <f>O143*Risk_Compensation!$AK104*12/1000000</f>
        <v>5.5803621093748659E-2</v>
      </c>
      <c r="AR143" s="2079">
        <f>P143*Risk_Compensation!$AK104*12/1000000</f>
        <v>0.1255581474609348</v>
      </c>
      <c r="AS143" s="2079">
        <f>Q143*Risk_Compensation!$AK104*12/1000000</f>
        <v>8.370543164062319E-2</v>
      </c>
      <c r="AT143" s="2079">
        <f>R143*Risk_Compensation!$AK104*12/1000000</f>
        <v>0.26855492651366619</v>
      </c>
      <c r="AU143" s="2079">
        <f>S143*Risk_Compensation!$AK104*12/1000000</f>
        <v>0.2511162949218696</v>
      </c>
      <c r="AV143" s="2079">
        <f>T143*Risk_Compensation!$AK104*12/1000000</f>
        <v>4.1852715820311595E-2</v>
      </c>
      <c r="AW143" s="2079">
        <f>U143*Risk_Compensation!$AK104*12/1000000</f>
        <v>0</v>
      </c>
      <c r="AX143" s="2079">
        <f>V143*Risk_Compensation!$AK104*12/1000000</f>
        <v>0.51740419932860215</v>
      </c>
      <c r="AY143" s="2079">
        <f>W143*Risk_Compensation!$AK104*12/1000000</f>
        <v>0</v>
      </c>
      <c r="AZ143" s="2079">
        <f>X143*Risk_Compensation!$AK104*12/1000000</f>
        <v>0.14997223168944976</v>
      </c>
      <c r="BA143" s="2079">
        <f>Y143*Risk_Compensation!$AK104*12/1000000</f>
        <v>8.370543164062319E-2</v>
      </c>
      <c r="BB143" s="2079">
        <f>Z143*Risk_Compensation!$AK104*12/1000000</f>
        <v>0.16741086328124638</v>
      </c>
      <c r="BC143" s="2079">
        <f>AA143*Risk_Compensation!$AK104*12/1000000</f>
        <v>0.29296901074218124</v>
      </c>
      <c r="BD143" s="2079">
        <f>AB143*Risk_Compensation!$AK104*12/1000000</f>
        <v>0</v>
      </c>
      <c r="BE143" s="2079">
        <f>AC143*Risk_Compensation!$AK104*12/1000000</f>
        <v>1.1651447311742928</v>
      </c>
      <c r="BF143" s="2079">
        <f>AD143*Risk_Compensation!$AK104*12/1000000</f>
        <v>0.2511162949218696</v>
      </c>
      <c r="BG143" s="2079">
        <f>AE143*Risk_Compensation!$AK104*12/1000000</f>
        <v>4.1852715820311595E-2</v>
      </c>
      <c r="BH143" s="2080">
        <f>AF143*Risk_Compensation!$AK104*12/1000000</f>
        <v>1.0628148409936307</v>
      </c>
      <c r="CM143" s="2162" t="str">
        <f>Translation!B$627</f>
        <v>Junge Erwachsene</v>
      </c>
      <c r="CN143" s="2162"/>
      <c r="CO143" s="2095">
        <f>-0.5*CO128/CO135*1000000/12</f>
        <v>111.51715599897314</v>
      </c>
      <c r="CP143" s="2096">
        <f t="shared" ref="CP143:DN143" si="63">-0.5*CP128/CP135*1000000/12</f>
        <v>94.618073468942512</v>
      </c>
      <c r="CQ143" s="2096">
        <f t="shared" si="63"/>
        <v>108.51244066342014</v>
      </c>
      <c r="CR143" s="2096">
        <f t="shared" si="63"/>
        <v>126.64860294227465</v>
      </c>
      <c r="CS143" s="2096">
        <f t="shared" si="63"/>
        <v>137.49971285128851</v>
      </c>
      <c r="CT143" s="2096">
        <f t="shared" si="63"/>
        <v>142.37847984907143</v>
      </c>
      <c r="CU143" s="2096">
        <f t="shared" si="63"/>
        <v>115.18338585229878</v>
      </c>
      <c r="CV143" s="2096">
        <f t="shared" si="63"/>
        <v>148.31304547395763</v>
      </c>
      <c r="CW143" s="2096">
        <f t="shared" si="63"/>
        <v>97.123833733418465</v>
      </c>
      <c r="CX143" s="2096">
        <f t="shared" si="63"/>
        <v>110.525593774857</v>
      </c>
      <c r="CY143" s="2096">
        <f t="shared" si="63"/>
        <v>148.15535629410439</v>
      </c>
      <c r="CZ143" s="2096">
        <f t="shared" si="63"/>
        <v>104.65631789608074</v>
      </c>
      <c r="DA143" s="2096">
        <f t="shared" si="63"/>
        <v>155.92600460908528</v>
      </c>
      <c r="DB143" s="2096">
        <f t="shared" si="63"/>
        <v>100.60001922846739</v>
      </c>
      <c r="DC143" s="2096">
        <f t="shared" si="63"/>
        <v>96.965748454684828</v>
      </c>
      <c r="DD143" s="2096">
        <f t="shared" si="63"/>
        <v>105.32200916299932</v>
      </c>
      <c r="DE143" s="2096">
        <f t="shared" si="63"/>
        <v>121.39163023728871</v>
      </c>
      <c r="DF143" s="2096">
        <f t="shared" si="63"/>
        <v>123.41435456395517</v>
      </c>
      <c r="DG143" s="2096">
        <f t="shared" si="63"/>
        <v>103.98370530212817</v>
      </c>
      <c r="DH143" s="2096">
        <f t="shared" si="63"/>
        <v>107.29108979439354</v>
      </c>
      <c r="DI143" s="2096">
        <f t="shared" si="63"/>
        <v>161.95705573011256</v>
      </c>
      <c r="DJ143" s="2096">
        <f t="shared" si="63"/>
        <v>107.36816623762665</v>
      </c>
      <c r="DK143" s="2096">
        <f t="shared" si="63"/>
        <v>137.39132106795785</v>
      </c>
      <c r="DL143" s="2096">
        <f t="shared" si="63"/>
        <v>122.52526739615344</v>
      </c>
      <c r="DM143" s="2096">
        <f t="shared" si="63"/>
        <v>92.973024168333097</v>
      </c>
      <c r="DN143" s="2097">
        <f t="shared" si="63"/>
        <v>108.17259667449275</v>
      </c>
      <c r="DO143" s="644"/>
    </row>
    <row r="144" spans="3:119" ht="12.75" x14ac:dyDescent="0.2">
      <c r="C144" s="1428" t="s">
        <v>2380</v>
      </c>
      <c r="D144" s="1426" t="str">
        <f>Translation!B602</f>
        <v>Morbus Crohn / Colitis ulcerosa</v>
      </c>
      <c r="F144" s="1437"/>
      <c r="G144" s="2211">
        <v>30.75</v>
      </c>
      <c r="H144" s="2212">
        <v>0</v>
      </c>
      <c r="I144" s="2212">
        <v>1.3333333333333299</v>
      </c>
      <c r="J144" s="2212">
        <v>37.171666666666702</v>
      </c>
      <c r="K144" s="2212">
        <v>19.6666666666667</v>
      </c>
      <c r="L144" s="2212">
        <v>8.75</v>
      </c>
      <c r="M144" s="2212">
        <v>9.8333333333333304</v>
      </c>
      <c r="N144" s="2212">
        <v>18.9166666666667</v>
      </c>
      <c r="O144" s="2212">
        <v>0.83333333333333304</v>
      </c>
      <c r="P144" s="2212">
        <v>13</v>
      </c>
      <c r="Q144" s="2212">
        <v>2.1666666666666701</v>
      </c>
      <c r="R144" s="2212">
        <v>19.1875</v>
      </c>
      <c r="S144" s="2212">
        <v>6.8333333333333304</v>
      </c>
      <c r="T144" s="2212">
        <v>2</v>
      </c>
      <c r="U144" s="2212">
        <v>0</v>
      </c>
      <c r="V144" s="2212">
        <v>26.6666666666667</v>
      </c>
      <c r="W144" s="2212">
        <v>6</v>
      </c>
      <c r="X144" s="2212">
        <v>11.5833333333333</v>
      </c>
      <c r="Y144" s="2212">
        <v>5</v>
      </c>
      <c r="Z144" s="2212">
        <v>8</v>
      </c>
      <c r="AA144" s="2212">
        <v>10.615833333333301</v>
      </c>
      <c r="AB144" s="2212">
        <v>3</v>
      </c>
      <c r="AC144" s="2212">
        <v>31.6666666666667</v>
      </c>
      <c r="AD144" s="2212">
        <v>17.835833333333301</v>
      </c>
      <c r="AE144" s="2212">
        <v>5</v>
      </c>
      <c r="AF144" s="2213">
        <v>61.5</v>
      </c>
      <c r="AG144" s="644"/>
      <c r="AH144" s="644"/>
      <c r="AI144" s="2078">
        <f>G144*Risk_Compensation!$AK105*12/1000000</f>
        <v>0.12397201831051922</v>
      </c>
      <c r="AJ144" s="2079">
        <f>H144*Risk_Compensation!$AK105*12/1000000</f>
        <v>0</v>
      </c>
      <c r="AK144" s="2079">
        <f>I144*Risk_Compensation!$AK105*12/1000000</f>
        <v>5.3754804687487865E-3</v>
      </c>
      <c r="AL144" s="2079">
        <f>J144*Risk_Compensation!$AK105*12/1000000</f>
        <v>0.14986167611813075</v>
      </c>
      <c r="AM144" s="2079">
        <f>K144*Risk_Compensation!$AK105*12/1000000</f>
        <v>7.9288336914044938E-2</v>
      </c>
      <c r="AN144" s="2079">
        <f>L144*Risk_Compensation!$AK105*12/1000000</f>
        <v>3.5276590576164002E-2</v>
      </c>
      <c r="AO144" s="2079">
        <f>M144*Risk_Compensation!$AK105*12/1000000</f>
        <v>3.9644168457022386E-2</v>
      </c>
      <c r="AP144" s="2079">
        <f>N144*Risk_Compensation!$AK105*12/1000000</f>
        <v>7.6264629150373742E-2</v>
      </c>
      <c r="AQ144" s="2079">
        <f>O144*Risk_Compensation!$AK105*12/1000000</f>
        <v>3.3596752929679992E-3</v>
      </c>
      <c r="AR144" s="2079">
        <f>P144*Risk_Compensation!$AK105*12/1000000</f>
        <v>5.2410934570300799E-2</v>
      </c>
      <c r="AS144" s="2079">
        <f>Q144*Risk_Compensation!$AK105*12/1000000</f>
        <v>8.7351557617168143E-3</v>
      </c>
      <c r="AT144" s="2079">
        <f>R144*Risk_Compensation!$AK105*12/1000000</f>
        <v>7.7356523620588216E-2</v>
      </c>
      <c r="AU144" s="2079">
        <f>S144*Risk_Compensation!$AK105*12/1000000</f>
        <v>2.7549337402337587E-2</v>
      </c>
      <c r="AV144" s="2079">
        <f>T144*Risk_Compensation!$AK105*12/1000000</f>
        <v>8.0632207031232014E-3</v>
      </c>
      <c r="AW144" s="2079">
        <f>U144*Risk_Compensation!$AK105*12/1000000</f>
        <v>0</v>
      </c>
      <c r="AX144" s="2079">
        <f>V144*Risk_Compensation!$AK105*12/1000000</f>
        <v>0.10750960937497615</v>
      </c>
      <c r="AY144" s="2079">
        <f>W144*Risk_Compensation!$AK105*12/1000000</f>
        <v>2.4189662109369601E-2</v>
      </c>
      <c r="AZ144" s="2079">
        <f>X144*Risk_Compensation!$AK105*12/1000000</f>
        <v>4.6699486572255068E-2</v>
      </c>
      <c r="BA144" s="2079">
        <f>Y144*Risk_Compensation!$AK105*12/1000000</f>
        <v>2.0158051757808E-2</v>
      </c>
      <c r="BB144" s="2079">
        <f>Z144*Risk_Compensation!$AK105*12/1000000</f>
        <v>3.2252882812492806E-2</v>
      </c>
      <c r="BC144" s="2079">
        <f>AA144*Risk_Compensation!$AK105*12/1000000</f>
        <v>4.2798903557119225E-2</v>
      </c>
      <c r="BD144" s="2079">
        <f>AB144*Risk_Compensation!$AK105*12/1000000</f>
        <v>1.20948310546848E-2</v>
      </c>
      <c r="BE144" s="2079">
        <f>AC144*Risk_Compensation!$AK105*12/1000000</f>
        <v>0.12766766113278416</v>
      </c>
      <c r="BF144" s="2079">
        <f>AD144*Risk_Compensation!$AK105*12/1000000</f>
        <v>7.1907130295393973E-2</v>
      </c>
      <c r="BG144" s="2079">
        <f>AE144*Risk_Compensation!$AK105*12/1000000</f>
        <v>2.0158051757808E-2</v>
      </c>
      <c r="BH144" s="2080">
        <f>AF144*Risk_Compensation!$AK105*12/1000000</f>
        <v>0.24794403662103845</v>
      </c>
      <c r="CM144" s="1824" t="str">
        <f>Translation!B$628</f>
        <v>Ewachsene</v>
      </c>
      <c r="CN144" s="1824"/>
      <c r="CO144" s="2098">
        <f>0.5*CO128/CO136*1000000/12</f>
        <v>-10.404833653023765</v>
      </c>
      <c r="CP144" s="2099">
        <f t="shared" ref="CP144:DN144" si="64">0.5*CP128/CP136*1000000/12</f>
        <v>-9.4431398731375982</v>
      </c>
      <c r="CQ144" s="2099">
        <f t="shared" si="64"/>
        <v>-9.3596727061038258</v>
      </c>
      <c r="CR144" s="2099">
        <f t="shared" si="64"/>
        <v>-11.176927948560158</v>
      </c>
      <c r="CS144" s="2099">
        <f t="shared" si="64"/>
        <v>-12.18465571092195</v>
      </c>
      <c r="CT144" s="2099">
        <f t="shared" si="64"/>
        <v>-11.156066104421209</v>
      </c>
      <c r="CU144" s="2099">
        <f t="shared" si="64"/>
        <v>-12.686957125168171</v>
      </c>
      <c r="CV144" s="2099">
        <f t="shared" si="64"/>
        <v>-15.711923996912967</v>
      </c>
      <c r="CW144" s="2099">
        <f t="shared" si="64"/>
        <v>-8.9018297578675156</v>
      </c>
      <c r="CX144" s="2099">
        <f t="shared" si="64"/>
        <v>-9.9673117051543745</v>
      </c>
      <c r="CY144" s="2099">
        <f t="shared" si="64"/>
        <v>-15.864285371396313</v>
      </c>
      <c r="CZ144" s="2099">
        <f t="shared" si="64"/>
        <v>-10.087549617160578</v>
      </c>
      <c r="DA144" s="2099">
        <f t="shared" si="64"/>
        <v>-16.969184527763584</v>
      </c>
      <c r="DB144" s="2099">
        <f t="shared" si="64"/>
        <v>-8.6507703239447462</v>
      </c>
      <c r="DC144" s="2099">
        <f t="shared" si="64"/>
        <v>-9.0297759534513613</v>
      </c>
      <c r="DD144" s="2099">
        <f t="shared" si="64"/>
        <v>-10.846084583210528</v>
      </c>
      <c r="DE144" s="2099">
        <f t="shared" si="64"/>
        <v>-10.843168591221955</v>
      </c>
      <c r="DF144" s="2099">
        <f t="shared" si="64"/>
        <v>-11.341140752311977</v>
      </c>
      <c r="DG144" s="2099">
        <f t="shared" si="64"/>
        <v>-9.2974748982608819</v>
      </c>
      <c r="DH144" s="2099">
        <f t="shared" si="64"/>
        <v>-10.199923088694488</v>
      </c>
      <c r="DI144" s="2099">
        <f t="shared" si="64"/>
        <v>-14.347776290000452</v>
      </c>
      <c r="DJ144" s="2099">
        <f t="shared" si="64"/>
        <v>-10.687136587604121</v>
      </c>
      <c r="DK144" s="2099">
        <f t="shared" si="64"/>
        <v>-14.477135797238859</v>
      </c>
      <c r="DL144" s="2099">
        <f t="shared" si="64"/>
        <v>-11.952865569806058</v>
      </c>
      <c r="DM144" s="2099">
        <f t="shared" si="64"/>
        <v>-7.7583599192211006</v>
      </c>
      <c r="DN144" s="2100">
        <f t="shared" si="64"/>
        <v>-9.4269524736329551</v>
      </c>
      <c r="DO144" s="644"/>
    </row>
    <row r="145" spans="3:119" ht="12.75" x14ac:dyDescent="0.2">
      <c r="C145" s="1428" t="s">
        <v>2382</v>
      </c>
      <c r="D145" s="1426" t="str">
        <f>Translation!B603</f>
        <v>Multiple Sklerose</v>
      </c>
      <c r="F145" s="1437"/>
      <c r="G145" s="2211">
        <v>32.478333333333303</v>
      </c>
      <c r="H145" s="2212">
        <v>0</v>
      </c>
      <c r="I145" s="2212">
        <v>2</v>
      </c>
      <c r="J145" s="2212">
        <v>38.8333333333333</v>
      </c>
      <c r="K145" s="2212">
        <v>15.8333333333333</v>
      </c>
      <c r="L145" s="2212">
        <v>9.6691666666666691</v>
      </c>
      <c r="M145" s="2212">
        <v>18.9166666666667</v>
      </c>
      <c r="N145" s="2212">
        <v>17</v>
      </c>
      <c r="O145" s="2212">
        <v>1</v>
      </c>
      <c r="P145" s="2212">
        <v>7</v>
      </c>
      <c r="Q145" s="2212">
        <v>4</v>
      </c>
      <c r="R145" s="2212">
        <v>15.9166666666667</v>
      </c>
      <c r="S145" s="2212">
        <v>10</v>
      </c>
      <c r="T145" s="2212">
        <v>1</v>
      </c>
      <c r="U145" s="2212">
        <v>1</v>
      </c>
      <c r="V145" s="2212">
        <v>29.4166666666667</v>
      </c>
      <c r="W145" s="2212">
        <v>5</v>
      </c>
      <c r="X145" s="2212">
        <v>19.3333333333333</v>
      </c>
      <c r="Y145" s="2212">
        <v>7</v>
      </c>
      <c r="Z145" s="2212">
        <v>9</v>
      </c>
      <c r="AA145" s="2212">
        <v>11.75</v>
      </c>
      <c r="AB145" s="2212">
        <v>2</v>
      </c>
      <c r="AC145" s="2212">
        <v>25.8333333333333</v>
      </c>
      <c r="AD145" s="2212">
        <v>15</v>
      </c>
      <c r="AE145" s="2212">
        <v>6.8449999999999998</v>
      </c>
      <c r="AF145" s="2213">
        <v>54.915833333333303</v>
      </c>
      <c r="AG145" s="644"/>
      <c r="AH145" s="644"/>
      <c r="AI145" s="2078">
        <f>G145*Risk_Compensation!$AK106*12/1000000</f>
        <v>0.69782585424802679</v>
      </c>
      <c r="AJ145" s="2079">
        <f>H145*Risk_Compensation!$AK106*12/1000000</f>
        <v>0</v>
      </c>
      <c r="AK145" s="2079">
        <f>I145*Risk_Compensation!$AK106*12/1000000</f>
        <v>4.2971777343748803E-2</v>
      </c>
      <c r="AL145" s="2079">
        <f>J145*Risk_Compensation!$AK106*12/1000000</f>
        <v>0.83436867675778847</v>
      </c>
      <c r="AM145" s="2079">
        <f>K145*Risk_Compensation!$AK106*12/1000000</f>
        <v>0.34019323730467732</v>
      </c>
      <c r="AN145" s="2079">
        <f>L145*Risk_Compensation!$AK106*12/1000000</f>
        <v>0.20775063854979894</v>
      </c>
      <c r="AO145" s="2079">
        <f>M145*Risk_Compensation!$AK106*12/1000000</f>
        <v>0.40644139404295815</v>
      </c>
      <c r="AP145" s="2079">
        <f>N145*Risk_Compensation!$AK106*12/1000000</f>
        <v>0.36526010742186477</v>
      </c>
      <c r="AQ145" s="2079">
        <f>O145*Risk_Compensation!$AK106*12/1000000</f>
        <v>2.1485888671874401E-2</v>
      </c>
      <c r="AR145" s="2079">
        <f>P145*Risk_Compensation!$AK106*12/1000000</f>
        <v>0.15040122070312081</v>
      </c>
      <c r="AS145" s="2079">
        <f>Q145*Risk_Compensation!$AK106*12/1000000</f>
        <v>8.5943554687497606E-2</v>
      </c>
      <c r="AT145" s="2079">
        <f>R145*Risk_Compensation!$AK106*12/1000000</f>
        <v>0.3419837280273349</v>
      </c>
      <c r="AU145" s="2079">
        <f>S145*Risk_Compensation!$AK106*12/1000000</f>
        <v>0.21485888671874398</v>
      </c>
      <c r="AV145" s="2079">
        <f>T145*Risk_Compensation!$AK106*12/1000000</f>
        <v>2.1485888671874401E-2</v>
      </c>
      <c r="AW145" s="2079">
        <f>U145*Risk_Compensation!$AK106*12/1000000</f>
        <v>2.1485888671874401E-2</v>
      </c>
      <c r="AX145" s="2079">
        <f>V145*Risk_Compensation!$AK106*12/1000000</f>
        <v>0.63204322509763933</v>
      </c>
      <c r="AY145" s="2079">
        <f>W145*Risk_Compensation!$AK106*12/1000000</f>
        <v>0.10742944335937199</v>
      </c>
      <c r="AZ145" s="2079">
        <f>X145*Risk_Compensation!$AK106*12/1000000</f>
        <v>0.41539384765623766</v>
      </c>
      <c r="BA145" s="2079">
        <f>Y145*Risk_Compensation!$AK106*12/1000000</f>
        <v>0.15040122070312081</v>
      </c>
      <c r="BB145" s="2079">
        <f>Z145*Risk_Compensation!$AK106*12/1000000</f>
        <v>0.19337299804686958</v>
      </c>
      <c r="BC145" s="2079">
        <f>AA145*Risk_Compensation!$AK106*12/1000000</f>
        <v>0.2524591918945242</v>
      </c>
      <c r="BD145" s="2079">
        <f>AB145*Risk_Compensation!$AK106*12/1000000</f>
        <v>4.2971777343748803E-2</v>
      </c>
      <c r="BE145" s="2079">
        <f>AC145*Risk_Compensation!$AK106*12/1000000</f>
        <v>0.5550521240234213</v>
      </c>
      <c r="BF145" s="2079">
        <f>AD145*Risk_Compensation!$AK106*12/1000000</f>
        <v>0.32228833007811603</v>
      </c>
      <c r="BG145" s="2079">
        <f>AE145*Risk_Compensation!$AK106*12/1000000</f>
        <v>0.14707090795898028</v>
      </c>
      <c r="BH145" s="2080">
        <f>AF145*Risk_Compensation!$AK106*12/1000000</f>
        <v>1.1799154813232087</v>
      </c>
      <c r="CN145" s="644"/>
      <c r="CO145" s="644"/>
      <c r="CP145" s="644"/>
      <c r="CQ145" s="644"/>
      <c r="CR145" s="644"/>
      <c r="CS145" s="644"/>
      <c r="CT145" s="644"/>
      <c r="CU145" s="644"/>
      <c r="CV145" s="644"/>
      <c r="CW145" s="644"/>
      <c r="CX145" s="644"/>
      <c r="CY145" s="644"/>
      <c r="CZ145" s="644"/>
      <c r="DA145" s="644"/>
      <c r="DB145" s="644"/>
      <c r="DC145" s="644"/>
      <c r="DD145" s="644"/>
      <c r="DE145" s="644"/>
      <c r="DF145" s="644"/>
      <c r="DG145" s="644"/>
      <c r="DH145" s="644"/>
      <c r="DI145" s="644"/>
      <c r="DJ145" s="644"/>
      <c r="DK145" s="644"/>
      <c r="DL145" s="644"/>
      <c r="DM145" s="644"/>
      <c r="DN145" s="644"/>
      <c r="DO145" s="644"/>
    </row>
    <row r="146" spans="3:119" ht="12.75" x14ac:dyDescent="0.2">
      <c r="C146" s="1428" t="s">
        <v>2384</v>
      </c>
      <c r="D146" s="1426" t="str">
        <f>Translation!B604</f>
        <v>Nierenerkrankung</v>
      </c>
      <c r="F146" s="1437"/>
      <c r="G146" s="2211">
        <v>0.33333333333333298</v>
      </c>
      <c r="H146" s="2212">
        <v>0</v>
      </c>
      <c r="I146" s="2212">
        <v>0</v>
      </c>
      <c r="J146" s="2212">
        <v>1</v>
      </c>
      <c r="K146" s="2212">
        <v>0</v>
      </c>
      <c r="L146" s="2212">
        <v>0</v>
      </c>
      <c r="M146" s="2212">
        <v>0</v>
      </c>
      <c r="N146" s="2212">
        <v>1</v>
      </c>
      <c r="O146" s="2212">
        <v>0</v>
      </c>
      <c r="P146" s="2212">
        <v>0</v>
      </c>
      <c r="Q146" s="2212">
        <v>0</v>
      </c>
      <c r="R146" s="2212">
        <v>2.6666666666666701</v>
      </c>
      <c r="S146" s="2212">
        <v>0</v>
      </c>
      <c r="T146" s="2212">
        <v>0</v>
      </c>
      <c r="U146" s="2212">
        <v>0</v>
      </c>
      <c r="V146" s="2212">
        <v>1</v>
      </c>
      <c r="W146" s="2212">
        <v>0</v>
      </c>
      <c r="X146" s="2212">
        <v>1</v>
      </c>
      <c r="Y146" s="2212">
        <v>0</v>
      </c>
      <c r="Z146" s="2212">
        <v>0</v>
      </c>
      <c r="AA146" s="2212">
        <v>0</v>
      </c>
      <c r="AB146" s="2212">
        <v>0</v>
      </c>
      <c r="AC146" s="2212">
        <v>3</v>
      </c>
      <c r="AD146" s="2212">
        <v>1</v>
      </c>
      <c r="AE146" s="2212">
        <v>1</v>
      </c>
      <c r="AF146" s="2213">
        <v>3</v>
      </c>
      <c r="AG146" s="644"/>
      <c r="AH146" s="644"/>
      <c r="AI146" s="2078">
        <f>G146*Risk_Compensation!$AK107*12/1000000</f>
        <v>2.2808615234374777E-2</v>
      </c>
      <c r="AJ146" s="2079">
        <f>H146*Risk_Compensation!$AK107*12/1000000</f>
        <v>0</v>
      </c>
      <c r="AK146" s="2079">
        <f>I146*Risk_Compensation!$AK107*12/1000000</f>
        <v>0</v>
      </c>
      <c r="AL146" s="2079">
        <f>J146*Risk_Compensation!$AK107*12/1000000</f>
        <v>6.8425845703124405E-2</v>
      </c>
      <c r="AM146" s="2079">
        <f>K146*Risk_Compensation!$AK107*12/1000000</f>
        <v>0</v>
      </c>
      <c r="AN146" s="2079">
        <f>L146*Risk_Compensation!$AK107*12/1000000</f>
        <v>0</v>
      </c>
      <c r="AO146" s="2079">
        <f>M146*Risk_Compensation!$AK107*12/1000000</f>
        <v>0</v>
      </c>
      <c r="AP146" s="2079">
        <f>N146*Risk_Compensation!$AK107*12/1000000</f>
        <v>6.8425845703124405E-2</v>
      </c>
      <c r="AQ146" s="2079">
        <f>O146*Risk_Compensation!$AK107*12/1000000</f>
        <v>0</v>
      </c>
      <c r="AR146" s="2079">
        <f>P146*Risk_Compensation!$AK107*12/1000000</f>
        <v>0</v>
      </c>
      <c r="AS146" s="2079">
        <f>Q146*Risk_Compensation!$AK107*12/1000000</f>
        <v>0</v>
      </c>
      <c r="AT146" s="2079">
        <f>R146*Risk_Compensation!$AK107*12/1000000</f>
        <v>0.18246892187499864</v>
      </c>
      <c r="AU146" s="2079">
        <f>S146*Risk_Compensation!$AK107*12/1000000</f>
        <v>0</v>
      </c>
      <c r="AV146" s="2079">
        <f>T146*Risk_Compensation!$AK107*12/1000000</f>
        <v>0</v>
      </c>
      <c r="AW146" s="2079">
        <f>U146*Risk_Compensation!$AK107*12/1000000</f>
        <v>0</v>
      </c>
      <c r="AX146" s="2079">
        <f>V146*Risk_Compensation!$AK107*12/1000000</f>
        <v>6.8425845703124405E-2</v>
      </c>
      <c r="AY146" s="2079">
        <f>W146*Risk_Compensation!$AK107*12/1000000</f>
        <v>0</v>
      </c>
      <c r="AZ146" s="2079">
        <f>X146*Risk_Compensation!$AK107*12/1000000</f>
        <v>6.8425845703124405E-2</v>
      </c>
      <c r="BA146" s="2079">
        <f>Y146*Risk_Compensation!$AK107*12/1000000</f>
        <v>0</v>
      </c>
      <c r="BB146" s="2079">
        <f>Z146*Risk_Compensation!$AK107*12/1000000</f>
        <v>0</v>
      </c>
      <c r="BC146" s="2079">
        <f>AA146*Risk_Compensation!$AK107*12/1000000</f>
        <v>0</v>
      </c>
      <c r="BD146" s="2079">
        <f>AB146*Risk_Compensation!$AK107*12/1000000</f>
        <v>0</v>
      </c>
      <c r="BE146" s="2079">
        <f>AC146*Risk_Compensation!$AK107*12/1000000</f>
        <v>0.20527753710937319</v>
      </c>
      <c r="BF146" s="2079">
        <f>AD146*Risk_Compensation!$AK107*12/1000000</f>
        <v>6.8425845703124405E-2</v>
      </c>
      <c r="BG146" s="2079">
        <f>AE146*Risk_Compensation!$AK107*12/1000000</f>
        <v>6.8425845703124405E-2</v>
      </c>
      <c r="BH146" s="2080">
        <f>AF146*Risk_Compensation!$AK107*12/1000000</f>
        <v>0.20527753710937319</v>
      </c>
      <c r="CN146" s="644"/>
      <c r="CO146" s="2089"/>
      <c r="CP146" s="2089"/>
      <c r="CQ146" s="2089"/>
      <c r="CR146" s="2089"/>
      <c r="CS146" s="2089"/>
      <c r="CT146" s="644"/>
      <c r="CU146" s="2089"/>
      <c r="CV146" s="2089"/>
      <c r="CW146" s="2089"/>
      <c r="CX146" s="2089"/>
      <c r="CY146" s="2089"/>
      <c r="CZ146" s="2089"/>
      <c r="DA146" s="2089"/>
      <c r="DB146" s="2089"/>
      <c r="DC146" s="2089"/>
      <c r="DD146" s="2089"/>
      <c r="DE146" s="2089"/>
      <c r="DF146" s="2089"/>
      <c r="DG146" s="2089"/>
      <c r="DH146" s="2089"/>
      <c r="DI146" s="2089"/>
      <c r="DJ146" s="2089"/>
      <c r="DK146" s="2089"/>
      <c r="DL146" s="2089"/>
      <c r="DM146" s="2089"/>
      <c r="DN146" s="2089"/>
      <c r="DO146" s="644"/>
    </row>
    <row r="147" spans="3:119" ht="12.75" x14ac:dyDescent="0.2">
      <c r="C147" s="1428" t="s">
        <v>2386</v>
      </c>
      <c r="D147" s="1426" t="str">
        <f>Translation!B605</f>
        <v>Pulmonale (arterielle) Hypertonie</v>
      </c>
      <c r="F147" s="1437"/>
      <c r="G147" s="2211">
        <v>0</v>
      </c>
      <c r="H147" s="2212">
        <v>0</v>
      </c>
      <c r="I147" s="2212">
        <v>0</v>
      </c>
      <c r="J147" s="2212">
        <v>2</v>
      </c>
      <c r="K147" s="2212">
        <v>0</v>
      </c>
      <c r="L147" s="2212">
        <v>0</v>
      </c>
      <c r="M147" s="2212">
        <v>1</v>
      </c>
      <c r="N147" s="2212">
        <v>1</v>
      </c>
      <c r="O147" s="2212">
        <v>0</v>
      </c>
      <c r="P147" s="2212">
        <v>2</v>
      </c>
      <c r="Q147" s="2212">
        <v>0</v>
      </c>
      <c r="R147" s="2212">
        <v>0</v>
      </c>
      <c r="S147" s="2212">
        <v>1</v>
      </c>
      <c r="T147" s="2212">
        <v>0</v>
      </c>
      <c r="U147" s="2212">
        <v>0</v>
      </c>
      <c r="V147" s="2212">
        <v>2</v>
      </c>
      <c r="W147" s="2212">
        <v>0</v>
      </c>
      <c r="X147" s="2212">
        <v>0</v>
      </c>
      <c r="Y147" s="2212">
        <v>0</v>
      </c>
      <c r="Z147" s="2212">
        <v>0</v>
      </c>
      <c r="AA147" s="2212">
        <v>1</v>
      </c>
      <c r="AB147" s="2212">
        <v>0</v>
      </c>
      <c r="AC147" s="2212">
        <v>3</v>
      </c>
      <c r="AD147" s="2212">
        <v>2</v>
      </c>
      <c r="AE147" s="2212">
        <v>0</v>
      </c>
      <c r="AF147" s="2213">
        <v>2</v>
      </c>
      <c r="AG147" s="644"/>
      <c r="AH147" s="644"/>
      <c r="AI147" s="2078">
        <f>G147*Risk_Compensation!$AK108*12/1000000</f>
        <v>0</v>
      </c>
      <c r="AJ147" s="2079">
        <f>H147*Risk_Compensation!$AK108*12/1000000</f>
        <v>0</v>
      </c>
      <c r="AK147" s="2079">
        <f>I147*Risk_Compensation!$AK108*12/1000000</f>
        <v>0</v>
      </c>
      <c r="AL147" s="2079">
        <f>J147*Risk_Compensation!$AK108*12/1000000</f>
        <v>0.109843640625</v>
      </c>
      <c r="AM147" s="2079">
        <f>K147*Risk_Compensation!$AK108*12/1000000</f>
        <v>0</v>
      </c>
      <c r="AN147" s="2079">
        <f>L147*Risk_Compensation!$AK108*12/1000000</f>
        <v>0</v>
      </c>
      <c r="AO147" s="2079">
        <f>M147*Risk_Compensation!$AK108*12/1000000</f>
        <v>5.4921820312500001E-2</v>
      </c>
      <c r="AP147" s="2079">
        <f>N147*Risk_Compensation!$AK108*12/1000000</f>
        <v>5.4921820312500001E-2</v>
      </c>
      <c r="AQ147" s="2079">
        <f>O147*Risk_Compensation!$AK108*12/1000000</f>
        <v>0</v>
      </c>
      <c r="AR147" s="2079">
        <f>P147*Risk_Compensation!$AK108*12/1000000</f>
        <v>0.109843640625</v>
      </c>
      <c r="AS147" s="2079">
        <f>Q147*Risk_Compensation!$AK108*12/1000000</f>
        <v>0</v>
      </c>
      <c r="AT147" s="2079">
        <f>R147*Risk_Compensation!$AK108*12/1000000</f>
        <v>0</v>
      </c>
      <c r="AU147" s="2079">
        <f>S147*Risk_Compensation!$AK108*12/1000000</f>
        <v>5.4921820312500001E-2</v>
      </c>
      <c r="AV147" s="2079">
        <f>T147*Risk_Compensation!$AK108*12/1000000</f>
        <v>0</v>
      </c>
      <c r="AW147" s="2079">
        <f>U147*Risk_Compensation!$AK108*12/1000000</f>
        <v>0</v>
      </c>
      <c r="AX147" s="2079">
        <f>V147*Risk_Compensation!$AK108*12/1000000</f>
        <v>0.109843640625</v>
      </c>
      <c r="AY147" s="2079">
        <f>W147*Risk_Compensation!$AK108*12/1000000</f>
        <v>0</v>
      </c>
      <c r="AZ147" s="2079">
        <f>X147*Risk_Compensation!$AK108*12/1000000</f>
        <v>0</v>
      </c>
      <c r="BA147" s="2079">
        <f>Y147*Risk_Compensation!$AK108*12/1000000</f>
        <v>0</v>
      </c>
      <c r="BB147" s="2079">
        <f>Z147*Risk_Compensation!$AK108*12/1000000</f>
        <v>0</v>
      </c>
      <c r="BC147" s="2079">
        <f>AA147*Risk_Compensation!$AK108*12/1000000</f>
        <v>5.4921820312500001E-2</v>
      </c>
      <c r="BD147" s="2079">
        <f>AB147*Risk_Compensation!$AK108*12/1000000</f>
        <v>0</v>
      </c>
      <c r="BE147" s="2079">
        <f>AC147*Risk_Compensation!$AK108*12/1000000</f>
        <v>0.1647654609375</v>
      </c>
      <c r="BF147" s="2079">
        <f>AD147*Risk_Compensation!$AK108*12/1000000</f>
        <v>0.109843640625</v>
      </c>
      <c r="BG147" s="2079">
        <f>AE147*Risk_Compensation!$AK108*12/1000000</f>
        <v>0</v>
      </c>
      <c r="BH147" s="2080">
        <f>AF147*Risk_Compensation!$AK108*12/1000000</f>
        <v>0.109843640625</v>
      </c>
      <c r="CN147" s="644"/>
      <c r="CO147" s="2089"/>
      <c r="CP147" s="2089"/>
      <c r="CQ147" s="2089"/>
      <c r="CR147" s="2089"/>
      <c r="CS147" s="2089"/>
      <c r="CT147" s="2089"/>
      <c r="CU147" s="2089"/>
      <c r="CV147" s="2089"/>
      <c r="CW147" s="2089"/>
      <c r="CX147" s="2089"/>
      <c r="CY147" s="2089"/>
      <c r="CZ147" s="2089"/>
      <c r="DA147" s="2089"/>
      <c r="DB147" s="2089"/>
      <c r="DC147" s="2089"/>
      <c r="DD147" s="2089"/>
      <c r="DE147" s="2089"/>
      <c r="DF147" s="2089"/>
      <c r="DG147" s="2089"/>
      <c r="DH147" s="2089"/>
      <c r="DI147" s="2089"/>
      <c r="DJ147" s="2089"/>
      <c r="DK147" s="2089"/>
      <c r="DL147" s="2089"/>
      <c r="DM147" s="2089"/>
      <c r="DN147" s="2089"/>
      <c r="DO147" s="644"/>
    </row>
    <row r="148" spans="3:119" ht="12.75" x14ac:dyDescent="0.2">
      <c r="C148" s="1428" t="s">
        <v>2388</v>
      </c>
      <c r="D148" s="1426" t="str">
        <f>Translation!B606</f>
        <v>Morbus Parkinson</v>
      </c>
      <c r="F148" s="1437"/>
      <c r="G148" s="2211">
        <v>1</v>
      </c>
      <c r="H148" s="2212">
        <v>0</v>
      </c>
      <c r="I148" s="2212">
        <v>0</v>
      </c>
      <c r="J148" s="2212">
        <v>0</v>
      </c>
      <c r="K148" s="2212">
        <v>0</v>
      </c>
      <c r="L148" s="2212">
        <v>0</v>
      </c>
      <c r="M148" s="2212">
        <v>0</v>
      </c>
      <c r="N148" s="2212">
        <v>0</v>
      </c>
      <c r="O148" s="2212">
        <v>0</v>
      </c>
      <c r="P148" s="2212">
        <v>0</v>
      </c>
      <c r="Q148" s="2212">
        <v>1</v>
      </c>
      <c r="R148" s="2212">
        <v>0</v>
      </c>
      <c r="S148" s="2212">
        <v>0</v>
      </c>
      <c r="T148" s="2212">
        <v>0</v>
      </c>
      <c r="U148" s="2212">
        <v>0</v>
      </c>
      <c r="V148" s="2212">
        <v>0</v>
      </c>
      <c r="W148" s="2212">
        <v>0</v>
      </c>
      <c r="X148" s="2212">
        <v>0</v>
      </c>
      <c r="Y148" s="2212">
        <v>0</v>
      </c>
      <c r="Z148" s="2212">
        <v>0</v>
      </c>
      <c r="AA148" s="2212">
        <v>1</v>
      </c>
      <c r="AB148" s="2212">
        <v>0</v>
      </c>
      <c r="AC148" s="2212">
        <v>0</v>
      </c>
      <c r="AD148" s="2212">
        <v>0</v>
      </c>
      <c r="AE148" s="2212">
        <v>0</v>
      </c>
      <c r="AF148" s="2213">
        <v>1</v>
      </c>
      <c r="AG148" s="644"/>
      <c r="AH148" s="644"/>
      <c r="AI148" s="2078">
        <f>G148*Risk_Compensation!$AK109*12/1000000</f>
        <v>1.1295951416014799E-2</v>
      </c>
      <c r="AJ148" s="2079">
        <f>H148*Risk_Compensation!$AK109*12/1000000</f>
        <v>0</v>
      </c>
      <c r="AK148" s="2079">
        <f>I148*Risk_Compensation!$AK109*12/1000000</f>
        <v>0</v>
      </c>
      <c r="AL148" s="2079">
        <f>J148*Risk_Compensation!$AK109*12/1000000</f>
        <v>0</v>
      </c>
      <c r="AM148" s="2079">
        <f>K148*Risk_Compensation!$AK109*12/1000000</f>
        <v>0</v>
      </c>
      <c r="AN148" s="2079">
        <f>L148*Risk_Compensation!$AK109*12/1000000</f>
        <v>0</v>
      </c>
      <c r="AO148" s="2079">
        <f>M148*Risk_Compensation!$AK109*12/1000000</f>
        <v>0</v>
      </c>
      <c r="AP148" s="2079">
        <f>N148*Risk_Compensation!$AK109*12/1000000</f>
        <v>0</v>
      </c>
      <c r="AQ148" s="2079">
        <f>O148*Risk_Compensation!$AK109*12/1000000</f>
        <v>0</v>
      </c>
      <c r="AR148" s="2079">
        <f>P148*Risk_Compensation!$AK109*12/1000000</f>
        <v>0</v>
      </c>
      <c r="AS148" s="2079">
        <f>Q148*Risk_Compensation!$AK109*12/1000000</f>
        <v>1.1295951416014799E-2</v>
      </c>
      <c r="AT148" s="2079">
        <f>R148*Risk_Compensation!$AK109*12/1000000</f>
        <v>0</v>
      </c>
      <c r="AU148" s="2079">
        <f>S148*Risk_Compensation!$AK109*12/1000000</f>
        <v>0</v>
      </c>
      <c r="AV148" s="2079">
        <f>T148*Risk_Compensation!$AK109*12/1000000</f>
        <v>0</v>
      </c>
      <c r="AW148" s="2079">
        <f>U148*Risk_Compensation!$AK109*12/1000000</f>
        <v>0</v>
      </c>
      <c r="AX148" s="2079">
        <f>V148*Risk_Compensation!$AK109*12/1000000</f>
        <v>0</v>
      </c>
      <c r="AY148" s="2079">
        <f>W148*Risk_Compensation!$AK109*12/1000000</f>
        <v>0</v>
      </c>
      <c r="AZ148" s="2079">
        <f>X148*Risk_Compensation!$AK109*12/1000000</f>
        <v>0</v>
      </c>
      <c r="BA148" s="2079">
        <f>Y148*Risk_Compensation!$AK109*12/1000000</f>
        <v>0</v>
      </c>
      <c r="BB148" s="2079">
        <f>Z148*Risk_Compensation!$AK109*12/1000000</f>
        <v>0</v>
      </c>
      <c r="BC148" s="2079">
        <f>AA148*Risk_Compensation!$AK109*12/1000000</f>
        <v>1.1295951416014799E-2</v>
      </c>
      <c r="BD148" s="2079">
        <f>AB148*Risk_Compensation!$AK109*12/1000000</f>
        <v>0</v>
      </c>
      <c r="BE148" s="2079">
        <f>AC148*Risk_Compensation!$AK109*12/1000000</f>
        <v>0</v>
      </c>
      <c r="BF148" s="2079">
        <f>AD148*Risk_Compensation!$AK109*12/1000000</f>
        <v>0</v>
      </c>
      <c r="BG148" s="2079">
        <f>AE148*Risk_Compensation!$AK109*12/1000000</f>
        <v>0</v>
      </c>
      <c r="BH148" s="2080">
        <f>AF148*Risk_Compensation!$AK109*12/1000000</f>
        <v>1.1295951416014799E-2</v>
      </c>
      <c r="CM148" s="2166" t="str">
        <f>Translation!B$630</f>
        <v>Bestände des Versicherers</v>
      </c>
      <c r="CN148" s="644"/>
      <c r="CO148" s="644"/>
      <c r="CP148" s="644"/>
      <c r="CQ148" s="644"/>
      <c r="CR148" s="644"/>
      <c r="CS148" s="644"/>
      <c r="CT148" s="644"/>
      <c r="CU148" s="644"/>
      <c r="CV148" s="644"/>
      <c r="CW148" s="644"/>
      <c r="CX148" s="644"/>
      <c r="CY148" s="9"/>
      <c r="CZ148" s="644"/>
      <c r="DA148" s="644"/>
      <c r="DB148" s="644"/>
      <c r="DC148" s="644"/>
      <c r="DD148" s="644"/>
      <c r="DE148" s="644"/>
      <c r="DF148" s="644"/>
      <c r="DG148" s="644"/>
      <c r="DH148" s="644"/>
      <c r="DI148" s="644"/>
      <c r="DJ148" s="644"/>
      <c r="DK148" s="644"/>
      <c r="DL148" s="644"/>
      <c r="DM148" s="644"/>
      <c r="DN148" s="644"/>
      <c r="DO148" s="644"/>
    </row>
    <row r="149" spans="3:119" ht="12.75" x14ac:dyDescent="0.2">
      <c r="C149" s="1428" t="s">
        <v>2390</v>
      </c>
      <c r="D149" s="1426" t="str">
        <f>Translation!B607</f>
        <v>Psoriasis</v>
      </c>
      <c r="F149" s="1437"/>
      <c r="G149" s="2211">
        <v>16.4166666666667</v>
      </c>
      <c r="H149" s="2212">
        <v>0</v>
      </c>
      <c r="I149" s="2212">
        <v>1</v>
      </c>
      <c r="J149" s="2212">
        <v>19</v>
      </c>
      <c r="K149" s="2212">
        <v>5</v>
      </c>
      <c r="L149" s="2212">
        <v>6.0908333333333298</v>
      </c>
      <c r="M149" s="2212">
        <v>9</v>
      </c>
      <c r="N149" s="2212">
        <v>25.365833333333299</v>
      </c>
      <c r="O149" s="2212">
        <v>1</v>
      </c>
      <c r="P149" s="2212">
        <v>2</v>
      </c>
      <c r="Q149" s="2212">
        <v>1</v>
      </c>
      <c r="R149" s="2212">
        <v>8.5</v>
      </c>
      <c r="S149" s="2212">
        <v>2</v>
      </c>
      <c r="T149" s="2212">
        <v>2</v>
      </c>
      <c r="U149" s="2212">
        <v>0</v>
      </c>
      <c r="V149" s="2212">
        <v>14</v>
      </c>
      <c r="W149" s="2212">
        <v>6</v>
      </c>
      <c r="X149" s="2212">
        <v>8.0833333333333304</v>
      </c>
      <c r="Y149" s="2212">
        <v>6</v>
      </c>
      <c r="Z149" s="2212">
        <v>9.75</v>
      </c>
      <c r="AA149" s="2212">
        <v>13</v>
      </c>
      <c r="AB149" s="2212">
        <v>2</v>
      </c>
      <c r="AC149" s="2212">
        <v>20</v>
      </c>
      <c r="AD149" s="2212">
        <v>8.25</v>
      </c>
      <c r="AE149" s="2212">
        <v>1</v>
      </c>
      <c r="AF149" s="2213">
        <v>37.663333333333298</v>
      </c>
      <c r="AG149" s="644"/>
      <c r="AH149" s="644"/>
      <c r="AI149" s="2078">
        <f>G149*Risk_Compensation!$AK110*12/1000000</f>
        <v>5.6488529571525316E-2</v>
      </c>
      <c r="AJ149" s="2079">
        <f>H149*Risk_Compensation!$AK110*12/1000000</f>
        <v>0</v>
      </c>
      <c r="AK149" s="2079">
        <f>I149*Risk_Compensation!$AK110*12/1000000</f>
        <v>3.4409256591792E-3</v>
      </c>
      <c r="AL149" s="2079">
        <f>J149*Risk_Compensation!$AK110*12/1000000</f>
        <v>6.5377587524404798E-2</v>
      </c>
      <c r="AM149" s="2079">
        <f>K149*Risk_Compensation!$AK110*12/1000000</f>
        <v>1.7204628295896002E-2</v>
      </c>
      <c r="AN149" s="2079">
        <f>L149*Risk_Compensation!$AK110*12/1000000</f>
        <v>2.0958104702450631E-2</v>
      </c>
      <c r="AO149" s="2079">
        <f>M149*Risk_Compensation!$AK110*12/1000000</f>
        <v>3.0968330932612802E-2</v>
      </c>
      <c r="AP149" s="2079">
        <f>N149*Risk_Compensation!$AK110*12/1000000</f>
        <v>8.7281946783129588E-2</v>
      </c>
      <c r="AQ149" s="2079">
        <f>O149*Risk_Compensation!$AK110*12/1000000</f>
        <v>3.4409256591792E-3</v>
      </c>
      <c r="AR149" s="2079">
        <f>P149*Risk_Compensation!$AK110*12/1000000</f>
        <v>6.8818513183584E-3</v>
      </c>
      <c r="AS149" s="2079">
        <f>Q149*Risk_Compensation!$AK110*12/1000000</f>
        <v>3.4409256591792E-3</v>
      </c>
      <c r="AT149" s="2079">
        <f>R149*Risk_Compensation!$AK110*12/1000000</f>
        <v>2.9247868103023197E-2</v>
      </c>
      <c r="AU149" s="2079">
        <f>S149*Risk_Compensation!$AK110*12/1000000</f>
        <v>6.8818513183584E-3</v>
      </c>
      <c r="AV149" s="2079">
        <f>T149*Risk_Compensation!$AK110*12/1000000</f>
        <v>6.8818513183584E-3</v>
      </c>
      <c r="AW149" s="2079">
        <f>U149*Risk_Compensation!$AK110*12/1000000</f>
        <v>0</v>
      </c>
      <c r="AX149" s="2079">
        <f>V149*Risk_Compensation!$AK110*12/1000000</f>
        <v>4.8172959228508803E-2</v>
      </c>
      <c r="AY149" s="2079">
        <f>W149*Risk_Compensation!$AK110*12/1000000</f>
        <v>2.06455539550752E-2</v>
      </c>
      <c r="AZ149" s="2079">
        <f>X149*Risk_Compensation!$AK110*12/1000000</f>
        <v>2.7814149078365189E-2</v>
      </c>
      <c r="BA149" s="2079">
        <f>Y149*Risk_Compensation!$AK110*12/1000000</f>
        <v>2.06455539550752E-2</v>
      </c>
      <c r="BB149" s="2079">
        <f>Z149*Risk_Compensation!$AK110*12/1000000</f>
        <v>3.3549025176997205E-2</v>
      </c>
      <c r="BC149" s="2079">
        <f>AA149*Risk_Compensation!$AK110*12/1000000</f>
        <v>4.4732033569329595E-2</v>
      </c>
      <c r="BD149" s="2079">
        <f>AB149*Risk_Compensation!$AK110*12/1000000</f>
        <v>6.8818513183584E-3</v>
      </c>
      <c r="BE149" s="2079">
        <f>AC149*Risk_Compensation!$AK110*12/1000000</f>
        <v>6.8818513183584007E-2</v>
      </c>
      <c r="BF149" s="2079">
        <f>AD149*Risk_Compensation!$AK110*12/1000000</f>
        <v>2.8387636688228399E-2</v>
      </c>
      <c r="BG149" s="2079">
        <f>AE149*Risk_Compensation!$AK110*12/1000000</f>
        <v>3.4409256591792E-3</v>
      </c>
      <c r="BH149" s="2080">
        <f>AF149*Risk_Compensation!$AK110*12/1000000</f>
        <v>0.12959673007688582</v>
      </c>
      <c r="CM149" s="2586"/>
      <c r="CN149" s="2587"/>
      <c r="CO149" s="2564" t="str">
        <f>Translation!B$583</f>
        <v xml:space="preserve">Kanton </v>
      </c>
      <c r="CP149" s="2576"/>
      <c r="CQ149" s="2576"/>
      <c r="CR149" s="2576"/>
      <c r="CS149" s="2576"/>
      <c r="CT149" s="2576"/>
      <c r="CU149" s="2576"/>
      <c r="CV149" s="2576"/>
      <c r="CW149" s="2576"/>
      <c r="CX149" s="2576"/>
      <c r="CY149" s="2576"/>
      <c r="CZ149" s="2576"/>
      <c r="DA149" s="2576"/>
      <c r="DB149" s="2576"/>
      <c r="DC149" s="2576"/>
      <c r="DD149" s="2576"/>
      <c r="DE149" s="2576"/>
      <c r="DF149" s="2576"/>
      <c r="DG149" s="2576"/>
      <c r="DH149" s="2576"/>
      <c r="DI149" s="2576"/>
      <c r="DJ149" s="2576"/>
      <c r="DK149" s="2576"/>
      <c r="DL149" s="2576"/>
      <c r="DM149" s="2576"/>
      <c r="DN149" s="2577"/>
      <c r="DO149" s="2113"/>
    </row>
    <row r="150" spans="3:119" ht="12.75" x14ac:dyDescent="0.2">
      <c r="C150" s="1428" t="s">
        <v>2392</v>
      </c>
      <c r="D150" s="1426" t="str">
        <f>Translation!B608</f>
        <v>Psychose</v>
      </c>
      <c r="F150" s="1437"/>
      <c r="G150" s="2211">
        <v>101.09083333333299</v>
      </c>
      <c r="H150" s="2212">
        <v>0</v>
      </c>
      <c r="I150" s="2212">
        <v>10.0833333333333</v>
      </c>
      <c r="J150" s="2212">
        <v>202.2175</v>
      </c>
      <c r="K150" s="2212">
        <v>41.75</v>
      </c>
      <c r="L150" s="2212">
        <v>28.5</v>
      </c>
      <c r="M150" s="2212">
        <v>96.439166666666694</v>
      </c>
      <c r="N150" s="2212">
        <v>139.166666666667</v>
      </c>
      <c r="O150" s="2212">
        <v>3</v>
      </c>
      <c r="P150" s="2212">
        <v>44.0833333333333</v>
      </c>
      <c r="Q150" s="2212">
        <v>15.8333333333333</v>
      </c>
      <c r="R150" s="2212">
        <v>62.214166666666699</v>
      </c>
      <c r="S150" s="2212">
        <v>39.366666666666703</v>
      </c>
      <c r="T150" s="2212">
        <v>4</v>
      </c>
      <c r="U150" s="2212">
        <v>9.0833333333333304</v>
      </c>
      <c r="V150" s="2212">
        <v>84.996666666666698</v>
      </c>
      <c r="W150" s="2212">
        <v>19.628333333333298</v>
      </c>
      <c r="X150" s="2212">
        <v>52.839166666666699</v>
      </c>
      <c r="Y150" s="2212">
        <v>18.6666666666667</v>
      </c>
      <c r="Z150" s="2212">
        <v>43.5</v>
      </c>
      <c r="AA150" s="2212">
        <v>141</v>
      </c>
      <c r="AB150" s="2212">
        <v>3</v>
      </c>
      <c r="AC150" s="2212">
        <v>249.52916666666701</v>
      </c>
      <c r="AD150" s="2212">
        <v>85.5833333333333</v>
      </c>
      <c r="AE150" s="2212">
        <v>15.4133333333333</v>
      </c>
      <c r="AF150" s="2213">
        <v>238.946666666667</v>
      </c>
      <c r="AG150" s="644"/>
      <c r="AH150" s="644"/>
      <c r="AI150" s="2078">
        <f>G150*Risk_Compensation!$AK111*12/1000000</f>
        <v>0.76166207196529911</v>
      </c>
      <c r="AJ150" s="2079">
        <f>H150*Risk_Compensation!$AK111*12/1000000</f>
        <v>0</v>
      </c>
      <c r="AK150" s="2079">
        <f>I150*Risk_Compensation!$AK111*12/1000000</f>
        <v>7.5972195556637354E-2</v>
      </c>
      <c r="AL150" s="2079">
        <f>J150*Risk_Compensation!$AK111*12/1000000</f>
        <v>1.5235941277660527</v>
      </c>
      <c r="AM150" s="2079">
        <f>K150*Risk_Compensation!$AK111*12/1000000</f>
        <v>0.31456256176756558</v>
      </c>
      <c r="AN150" s="2079">
        <f>L150*Risk_Compensation!$AK111*12/1000000</f>
        <v>0.21473132958983521</v>
      </c>
      <c r="AO150" s="2079">
        <f>M150*Risk_Compensation!$AK111*12/1000000</f>
        <v>0.72661440290768609</v>
      </c>
      <c r="AP150" s="2079">
        <f>N150*Risk_Compensation!$AK111*12/1000000</f>
        <v>1.0485418725585545</v>
      </c>
      <c r="AQ150" s="2079">
        <f>O150*Risk_Compensation!$AK111*12/1000000</f>
        <v>2.2603297851561597E-2</v>
      </c>
      <c r="AR150" s="2079">
        <f>P150*Risk_Compensation!$AK111*12/1000000</f>
        <v>0.33214290454100215</v>
      </c>
      <c r="AS150" s="2079">
        <f>Q150*Risk_Compensation!$AK111*12/1000000</f>
        <v>0.11929518310546375</v>
      </c>
      <c r="AT150" s="2079">
        <f>R150*Risk_Compensation!$AK111*12/1000000</f>
        <v>0.46874844658445425</v>
      </c>
      <c r="AU150" s="2079">
        <f>S150*Risk_Compensation!$AK111*12/1000000</f>
        <v>0.29660549736326969</v>
      </c>
      <c r="AV150" s="2079">
        <f>T150*Risk_Compensation!$AK111*12/1000000</f>
        <v>3.0137730468748798E-2</v>
      </c>
      <c r="AW150" s="2079">
        <f>U150*Risk_Compensation!$AK111*12/1000000</f>
        <v>6.8437762939450378E-2</v>
      </c>
      <c r="AX150" s="2079">
        <f>V150*Risk_Compensation!$AK111*12/1000000</f>
        <v>0.64040165768552149</v>
      </c>
      <c r="AY150" s="2079">
        <f>W150*Risk_Compensation!$AK111*12/1000000</f>
        <v>0.14788835488768914</v>
      </c>
      <c r="AZ150" s="2079">
        <f>X150*Risk_Compensation!$AK111*12/1000000</f>
        <v>0.39811314079832427</v>
      </c>
      <c r="BA150" s="2079">
        <f>Y150*Risk_Compensation!$AK111*12/1000000</f>
        <v>0.14064274218749465</v>
      </c>
      <c r="BB150" s="2079">
        <f>Z150*Risk_Compensation!$AK111*12/1000000</f>
        <v>0.3277478188476432</v>
      </c>
      <c r="BC150" s="2079">
        <f>AA150*Risk_Compensation!$AK111*12/1000000</f>
        <v>1.0623549990233951</v>
      </c>
      <c r="BD150" s="2079">
        <f>AB150*Risk_Compensation!$AK111*12/1000000</f>
        <v>2.2603297851561597E-2</v>
      </c>
      <c r="BE150" s="2079">
        <f>AC150*Risk_Compensation!$AK111*12/1000000</f>
        <v>1.8800606922728769</v>
      </c>
      <c r="BF150" s="2079">
        <f>AD150*Risk_Compensation!$AK111*12/1000000</f>
        <v>0.64482185815427095</v>
      </c>
      <c r="BG150" s="2079">
        <f>AE150*Risk_Compensation!$AK111*12/1000000</f>
        <v>0.11613072140624511</v>
      </c>
      <c r="BH150" s="2080">
        <f>AF150*Risk_Compensation!$AK111*12/1000000</f>
        <v>1.8003275591014936</v>
      </c>
      <c r="CM150" s="2588"/>
      <c r="CN150" s="2589"/>
      <c r="CO150" s="1434">
        <v>1</v>
      </c>
      <c r="CP150" s="1434">
        <v>2</v>
      </c>
      <c r="CQ150" s="1434">
        <v>3</v>
      </c>
      <c r="CR150" s="1434">
        <v>4</v>
      </c>
      <c r="CS150" s="1434">
        <v>5</v>
      </c>
      <c r="CT150" s="1434">
        <v>6</v>
      </c>
      <c r="CU150" s="1434">
        <v>7</v>
      </c>
      <c r="CV150" s="1434">
        <v>8</v>
      </c>
      <c r="CW150" s="1434">
        <v>9</v>
      </c>
      <c r="CX150" s="1434">
        <v>10</v>
      </c>
      <c r="CY150" s="1434">
        <v>11</v>
      </c>
      <c r="CZ150" s="1434">
        <v>12</v>
      </c>
      <c r="DA150" s="1434">
        <v>13</v>
      </c>
      <c r="DB150" s="1434">
        <v>14</v>
      </c>
      <c r="DC150" s="1434">
        <v>15</v>
      </c>
      <c r="DD150" s="1434">
        <v>16</v>
      </c>
      <c r="DE150" s="1434">
        <v>17</v>
      </c>
      <c r="DF150" s="1434">
        <v>18</v>
      </c>
      <c r="DG150" s="1434">
        <v>19</v>
      </c>
      <c r="DH150" s="1434">
        <v>20</v>
      </c>
      <c r="DI150" s="1434">
        <v>21</v>
      </c>
      <c r="DJ150" s="1434">
        <v>22</v>
      </c>
      <c r="DK150" s="1434">
        <v>23</v>
      </c>
      <c r="DL150" s="1434">
        <v>24</v>
      </c>
      <c r="DM150" s="1434">
        <v>25</v>
      </c>
      <c r="DN150" s="1435">
        <v>26</v>
      </c>
      <c r="DO150" s="2110"/>
    </row>
    <row r="151" spans="3:119" ht="11.25" customHeight="1" x14ac:dyDescent="0.2">
      <c r="C151" s="1428" t="s">
        <v>2394</v>
      </c>
      <c r="D151" s="1426" t="str">
        <f>Translation!B609</f>
        <v>Rheuma</v>
      </c>
      <c r="F151" s="1437"/>
      <c r="G151" s="2211">
        <v>9.5</v>
      </c>
      <c r="H151" s="2212">
        <v>0</v>
      </c>
      <c r="I151" s="2212">
        <v>0</v>
      </c>
      <c r="J151" s="2212">
        <v>23.6666666666667</v>
      </c>
      <c r="K151" s="2212">
        <v>6</v>
      </c>
      <c r="L151" s="2212">
        <v>0.5</v>
      </c>
      <c r="M151" s="2212">
        <v>4</v>
      </c>
      <c r="N151" s="2212">
        <v>6</v>
      </c>
      <c r="O151" s="2212">
        <v>1</v>
      </c>
      <c r="P151" s="2212">
        <v>1</v>
      </c>
      <c r="Q151" s="2212">
        <v>0</v>
      </c>
      <c r="R151" s="2212">
        <v>4</v>
      </c>
      <c r="S151" s="2212">
        <v>3</v>
      </c>
      <c r="T151" s="2212">
        <v>0</v>
      </c>
      <c r="U151" s="2212">
        <v>0</v>
      </c>
      <c r="V151" s="2212">
        <v>7</v>
      </c>
      <c r="W151" s="2212">
        <v>0</v>
      </c>
      <c r="X151" s="2212">
        <v>6</v>
      </c>
      <c r="Y151" s="2212">
        <v>0</v>
      </c>
      <c r="Z151" s="2212">
        <v>1.6666666666666701</v>
      </c>
      <c r="AA151" s="2212">
        <v>1.8333333333333299</v>
      </c>
      <c r="AB151" s="2212">
        <v>1</v>
      </c>
      <c r="AC151" s="2212">
        <v>6</v>
      </c>
      <c r="AD151" s="2212">
        <v>3</v>
      </c>
      <c r="AE151" s="2212">
        <v>0</v>
      </c>
      <c r="AF151" s="2213">
        <v>24.018333333333299</v>
      </c>
      <c r="AG151" s="644"/>
      <c r="AH151" s="644"/>
      <c r="AI151" s="2078">
        <f>G151*Risk_Compensation!$AK112*12/1000000</f>
        <v>4.0507684570306797E-2</v>
      </c>
      <c r="AJ151" s="2079">
        <f>H151*Risk_Compensation!$AK112*12/1000000</f>
        <v>0</v>
      </c>
      <c r="AK151" s="2079">
        <f>I151*Risk_Compensation!$AK112*12/1000000</f>
        <v>0</v>
      </c>
      <c r="AL151" s="2079">
        <f>J151*Risk_Compensation!$AK112*12/1000000</f>
        <v>0.10091388085936093</v>
      </c>
      <c r="AM151" s="2079">
        <f>K151*Risk_Compensation!$AK112*12/1000000</f>
        <v>2.5583800781246398E-2</v>
      </c>
      <c r="AN151" s="2079">
        <f>L151*Risk_Compensation!$AK112*12/1000000</f>
        <v>2.1319833984372E-3</v>
      </c>
      <c r="AO151" s="2079">
        <f>M151*Risk_Compensation!$AK112*12/1000000</f>
        <v>1.70558671874976E-2</v>
      </c>
      <c r="AP151" s="2079">
        <f>N151*Risk_Compensation!$AK112*12/1000000</f>
        <v>2.5583800781246398E-2</v>
      </c>
      <c r="AQ151" s="2079">
        <f>O151*Risk_Compensation!$AK112*12/1000000</f>
        <v>4.2639667968743999E-3</v>
      </c>
      <c r="AR151" s="2079">
        <f>P151*Risk_Compensation!$AK112*12/1000000</f>
        <v>4.2639667968743999E-3</v>
      </c>
      <c r="AS151" s="2079">
        <f>Q151*Risk_Compensation!$AK112*12/1000000</f>
        <v>0</v>
      </c>
      <c r="AT151" s="2079">
        <f>R151*Risk_Compensation!$AK112*12/1000000</f>
        <v>1.70558671874976E-2</v>
      </c>
      <c r="AU151" s="2079">
        <f>S151*Risk_Compensation!$AK112*12/1000000</f>
        <v>1.2791900390623199E-2</v>
      </c>
      <c r="AV151" s="2079">
        <f>T151*Risk_Compensation!$AK112*12/1000000</f>
        <v>0</v>
      </c>
      <c r="AW151" s="2079">
        <f>U151*Risk_Compensation!$AK112*12/1000000</f>
        <v>0</v>
      </c>
      <c r="AX151" s="2079">
        <f>V151*Risk_Compensation!$AK112*12/1000000</f>
        <v>2.9847767578120799E-2</v>
      </c>
      <c r="AY151" s="2079">
        <f>W151*Risk_Compensation!$AK112*12/1000000</f>
        <v>0</v>
      </c>
      <c r="AZ151" s="2079">
        <f>X151*Risk_Compensation!$AK112*12/1000000</f>
        <v>2.5583800781246398E-2</v>
      </c>
      <c r="BA151" s="2079">
        <f>Y151*Risk_Compensation!$AK112*12/1000000</f>
        <v>0</v>
      </c>
      <c r="BB151" s="2079">
        <f>Z151*Risk_Compensation!$AK112*12/1000000</f>
        <v>7.1066113281240137E-3</v>
      </c>
      <c r="BC151" s="2079">
        <f>AA151*Risk_Compensation!$AK112*12/1000000</f>
        <v>7.8172724609363847E-3</v>
      </c>
      <c r="BD151" s="2079">
        <f>AB151*Risk_Compensation!$AK112*12/1000000</f>
        <v>4.2639667968743999E-3</v>
      </c>
      <c r="BE151" s="2079">
        <f>AC151*Risk_Compensation!$AK112*12/1000000</f>
        <v>2.5583800781246398E-2</v>
      </c>
      <c r="BF151" s="2079">
        <f>AD151*Risk_Compensation!$AK112*12/1000000</f>
        <v>1.2791900390623199E-2</v>
      </c>
      <c r="BG151" s="2079">
        <f>AE151*Risk_Compensation!$AK112*12/1000000</f>
        <v>0</v>
      </c>
      <c r="BH151" s="2080">
        <f>AF151*Risk_Compensation!$AK112*12/1000000</f>
        <v>0.1024133758495948</v>
      </c>
      <c r="CM151" s="2590"/>
      <c r="CN151" s="2591"/>
      <c r="CO151" s="1437" t="s">
        <v>1877</v>
      </c>
      <c r="CP151" s="1437" t="s">
        <v>1878</v>
      </c>
      <c r="CQ151" s="1437" t="s">
        <v>1879</v>
      </c>
      <c r="CR151" s="1437" t="s">
        <v>1880</v>
      </c>
      <c r="CS151" s="1437" t="s">
        <v>1881</v>
      </c>
      <c r="CT151" s="1437" t="s">
        <v>1882</v>
      </c>
      <c r="CU151" s="1437" t="s">
        <v>1883</v>
      </c>
      <c r="CV151" s="1437" t="s">
        <v>1884</v>
      </c>
      <c r="CW151" s="1437" t="s">
        <v>1885</v>
      </c>
      <c r="CX151" s="1437" t="s">
        <v>1886</v>
      </c>
      <c r="CY151" s="1437" t="s">
        <v>1887</v>
      </c>
      <c r="CZ151" s="1437" t="s">
        <v>1888</v>
      </c>
      <c r="DA151" s="1437" t="s">
        <v>1889</v>
      </c>
      <c r="DB151" s="1437" t="s">
        <v>1890</v>
      </c>
      <c r="DC151" s="1437" t="s">
        <v>1891</v>
      </c>
      <c r="DD151" s="1437" t="s">
        <v>1892</v>
      </c>
      <c r="DE151" s="1437" t="s">
        <v>1893</v>
      </c>
      <c r="DF151" s="1437" t="s">
        <v>1894</v>
      </c>
      <c r="DG151" s="1437" t="s">
        <v>1895</v>
      </c>
      <c r="DH151" s="1437" t="s">
        <v>1896</v>
      </c>
      <c r="DI151" s="1437" t="s">
        <v>1897</v>
      </c>
      <c r="DJ151" s="1437" t="s">
        <v>1898</v>
      </c>
      <c r="DK151" s="1437" t="s">
        <v>1899</v>
      </c>
      <c r="DL151" s="1437" t="s">
        <v>1900</v>
      </c>
      <c r="DM151" s="1437" t="s">
        <v>1901</v>
      </c>
      <c r="DN151" s="1438" t="s">
        <v>1902</v>
      </c>
      <c r="DO151" s="1623" t="s">
        <v>55</v>
      </c>
    </row>
    <row r="152" spans="3:119" ht="11.25" customHeight="1" x14ac:dyDescent="0.2">
      <c r="C152" s="1428" t="s">
        <v>2396</v>
      </c>
      <c r="D152" s="1426" t="str">
        <f>Translation!B610</f>
        <v>Chronische Schmerzen ohne Opioide</v>
      </c>
      <c r="F152" s="1437"/>
      <c r="G152" s="2211">
        <v>49.1666666666667</v>
      </c>
      <c r="H152" s="2212">
        <v>0</v>
      </c>
      <c r="I152" s="2212">
        <v>0</v>
      </c>
      <c r="J152" s="2212">
        <v>54.75</v>
      </c>
      <c r="K152" s="2212">
        <v>14.0025</v>
      </c>
      <c r="L152" s="2212">
        <v>6.4175000000000004</v>
      </c>
      <c r="M152" s="2212">
        <v>22.75</v>
      </c>
      <c r="N152" s="2212">
        <v>18.175000000000001</v>
      </c>
      <c r="O152" s="2212">
        <v>1</v>
      </c>
      <c r="P152" s="2212">
        <v>7.5</v>
      </c>
      <c r="Q152" s="2212">
        <v>4</v>
      </c>
      <c r="R152" s="2212">
        <v>16.6666666666667</v>
      </c>
      <c r="S152" s="2212">
        <v>12</v>
      </c>
      <c r="T152" s="2212">
        <v>3</v>
      </c>
      <c r="U152" s="2212">
        <v>1</v>
      </c>
      <c r="V152" s="2212">
        <v>16.1666666666667</v>
      </c>
      <c r="W152" s="2212">
        <v>8.1666666666666696</v>
      </c>
      <c r="X152" s="2212">
        <v>18.035833333333301</v>
      </c>
      <c r="Y152" s="2212">
        <v>12.8333333333333</v>
      </c>
      <c r="Z152" s="2212">
        <v>7.5833333333333304</v>
      </c>
      <c r="AA152" s="2212">
        <v>10.6641666666667</v>
      </c>
      <c r="AB152" s="2212">
        <v>0</v>
      </c>
      <c r="AC152" s="2212">
        <v>48.46</v>
      </c>
      <c r="AD152" s="2212">
        <v>21.905833333333302</v>
      </c>
      <c r="AE152" s="2212">
        <v>2</v>
      </c>
      <c r="AF152" s="2213">
        <v>64.4166666666667</v>
      </c>
      <c r="AG152" s="644"/>
      <c r="AH152" s="644"/>
      <c r="AI152" s="2078">
        <f>G152*Risk_Compensation!$AK113*12/1000000</f>
        <v>0.15880708496090812</v>
      </c>
      <c r="AJ152" s="2079">
        <f>H152*Risk_Compensation!$AK113*12/1000000</f>
        <v>0</v>
      </c>
      <c r="AK152" s="2079">
        <f>I152*Risk_Compensation!$AK113*12/1000000</f>
        <v>0</v>
      </c>
      <c r="AL152" s="2079">
        <f>J152*Risk_Compensation!$AK113*12/1000000</f>
        <v>0.17684110986324836</v>
      </c>
      <c r="AM152" s="2079">
        <f>K152*Risk_Compensation!$AK113*12/1000000</f>
        <v>4.5227719467765035E-2</v>
      </c>
      <c r="AN152" s="2079">
        <f>L152*Risk_Compensation!$AK113*12/1000000</f>
        <v>2.0728362055660209E-2</v>
      </c>
      <c r="AO152" s="2079">
        <f>M152*Risk_Compensation!$AK113*12/1000000</f>
        <v>7.3481922363267602E-2</v>
      </c>
      <c r="AP152" s="2079">
        <f>N152*Risk_Compensation!$AK113*12/1000000</f>
        <v>5.8704788525379713E-2</v>
      </c>
      <c r="AQ152" s="2079">
        <f>O152*Risk_Compensation!$AK113*12/1000000</f>
        <v>3.2299746093743999E-3</v>
      </c>
      <c r="AR152" s="2079">
        <f>P152*Risk_Compensation!$AK113*12/1000000</f>
        <v>2.4224809570307995E-2</v>
      </c>
      <c r="AS152" s="2079">
        <f>Q152*Risk_Compensation!$AK113*12/1000000</f>
        <v>1.29198984374976E-2</v>
      </c>
      <c r="AT152" s="2079">
        <f>R152*Risk_Compensation!$AK113*12/1000000</f>
        <v>5.3832910156240102E-2</v>
      </c>
      <c r="AU152" s="2079">
        <f>S152*Risk_Compensation!$AK113*12/1000000</f>
        <v>3.8759695312492799E-2</v>
      </c>
      <c r="AV152" s="2079">
        <f>T152*Risk_Compensation!$AK113*12/1000000</f>
        <v>9.6899238281231998E-3</v>
      </c>
      <c r="AW152" s="2079">
        <f>U152*Risk_Compensation!$AK113*12/1000000</f>
        <v>3.2299746093743999E-3</v>
      </c>
      <c r="AX152" s="2079">
        <f>V152*Risk_Compensation!$AK113*12/1000000</f>
        <v>5.2217922851552898E-2</v>
      </c>
      <c r="AY152" s="2079">
        <f>W152*Risk_Compensation!$AK113*12/1000000</f>
        <v>2.6378125976557611E-2</v>
      </c>
      <c r="AZ152" s="2079">
        <f>X152*Risk_Compensation!$AK113*12/1000000</f>
        <v>5.8255283725575008E-2</v>
      </c>
      <c r="BA152" s="2079">
        <f>Y152*Risk_Compensation!$AK113*12/1000000</f>
        <v>4.1451340820304688E-2</v>
      </c>
      <c r="BB152" s="2079">
        <f>Z152*Risk_Compensation!$AK113*12/1000000</f>
        <v>2.4493974121089189E-2</v>
      </c>
      <c r="BC152" s="2079">
        <f>AA152*Risk_Compensation!$AK113*12/1000000</f>
        <v>3.4444987563470267E-2</v>
      </c>
      <c r="BD152" s="2079">
        <f>AB152*Risk_Compensation!$AK113*12/1000000</f>
        <v>0</v>
      </c>
      <c r="BE152" s="2079">
        <f>AC152*Risk_Compensation!$AK113*12/1000000</f>
        <v>0.15652456957028341</v>
      </c>
      <c r="BF152" s="2079">
        <f>AD152*Risk_Compensation!$AK113*12/1000000</f>
        <v>7.0755285463853942E-2</v>
      </c>
      <c r="BG152" s="2079">
        <f>AE152*Risk_Compensation!$AK113*12/1000000</f>
        <v>6.4599492187487999E-3</v>
      </c>
      <c r="BH152" s="2080">
        <f>AF152*Risk_Compensation!$AK113*12/1000000</f>
        <v>0.20806419775386767</v>
      </c>
      <c r="CM152" s="2162" t="str">
        <f>Translation!B$627</f>
        <v>Junge Erwachsene</v>
      </c>
      <c r="CN152" s="2162"/>
      <c r="CO152" s="1847">
        <f>Risk_Compensation!H18+Risk_Compensation!H19+Risk_Compensation!H48+Risk_Compensation!H49</f>
        <v>0</v>
      </c>
      <c r="CP152" s="2103">
        <f>Risk_Compensation!I18+Risk_Compensation!I19+Risk_Compensation!I48+Risk_Compensation!I49</f>
        <v>0</v>
      </c>
      <c r="CQ152" s="2103">
        <f>Risk_Compensation!J18+Risk_Compensation!J19+Risk_Compensation!J48+Risk_Compensation!J49</f>
        <v>0</v>
      </c>
      <c r="CR152" s="2103">
        <f>Risk_Compensation!K18+Risk_Compensation!K19+Risk_Compensation!K48+Risk_Compensation!K49</f>
        <v>0</v>
      </c>
      <c r="CS152" s="2103">
        <f>Risk_Compensation!L18+Risk_Compensation!L19+Risk_Compensation!L48+Risk_Compensation!L49</f>
        <v>0</v>
      </c>
      <c r="CT152" s="2103">
        <f>Risk_Compensation!M18+Risk_Compensation!M19+Risk_Compensation!M48+Risk_Compensation!M49</f>
        <v>0</v>
      </c>
      <c r="CU152" s="2103">
        <f>Risk_Compensation!N18+Risk_Compensation!N19+Risk_Compensation!N48+Risk_Compensation!N49</f>
        <v>0</v>
      </c>
      <c r="CV152" s="2103">
        <f>Risk_Compensation!O18+Risk_Compensation!O19+Risk_Compensation!O48+Risk_Compensation!O49</f>
        <v>0</v>
      </c>
      <c r="CW152" s="2103">
        <f>Risk_Compensation!P18+Risk_Compensation!P19+Risk_Compensation!P48+Risk_Compensation!P49</f>
        <v>0</v>
      </c>
      <c r="CX152" s="2103">
        <f>Risk_Compensation!Q18+Risk_Compensation!Q19+Risk_Compensation!Q48+Risk_Compensation!Q49</f>
        <v>0</v>
      </c>
      <c r="CY152" s="2103">
        <f>Risk_Compensation!R18+Risk_Compensation!R19+Risk_Compensation!R48+Risk_Compensation!R49</f>
        <v>0</v>
      </c>
      <c r="CZ152" s="2103">
        <f>Risk_Compensation!S18+Risk_Compensation!S19+Risk_Compensation!S48+Risk_Compensation!S49</f>
        <v>0</v>
      </c>
      <c r="DA152" s="2103">
        <f>Risk_Compensation!T18+Risk_Compensation!T19+Risk_Compensation!T48+Risk_Compensation!T49</f>
        <v>0</v>
      </c>
      <c r="DB152" s="2103">
        <f>Risk_Compensation!U18+Risk_Compensation!U19+Risk_Compensation!U48+Risk_Compensation!U49</f>
        <v>0</v>
      </c>
      <c r="DC152" s="2103">
        <f>Risk_Compensation!V18+Risk_Compensation!V19+Risk_Compensation!V48+Risk_Compensation!V49</f>
        <v>0</v>
      </c>
      <c r="DD152" s="2103">
        <f>Risk_Compensation!W18+Risk_Compensation!W19+Risk_Compensation!W48+Risk_Compensation!W49</f>
        <v>0</v>
      </c>
      <c r="DE152" s="2103">
        <f>Risk_Compensation!X18+Risk_Compensation!X19+Risk_Compensation!X48+Risk_Compensation!X49</f>
        <v>0</v>
      </c>
      <c r="DF152" s="2103">
        <f>Risk_Compensation!Y18+Risk_Compensation!Y19+Risk_Compensation!Y48+Risk_Compensation!Y49</f>
        <v>0</v>
      </c>
      <c r="DG152" s="2103">
        <f>Risk_Compensation!Z18+Risk_Compensation!Z19+Risk_Compensation!Z48+Risk_Compensation!Z49</f>
        <v>0</v>
      </c>
      <c r="DH152" s="2103">
        <f>Risk_Compensation!AA18+Risk_Compensation!AA19+Risk_Compensation!AA48+Risk_Compensation!AA49</f>
        <v>0</v>
      </c>
      <c r="DI152" s="2103">
        <f>Risk_Compensation!AB18+Risk_Compensation!AB19+Risk_Compensation!AB48+Risk_Compensation!AB49</f>
        <v>0</v>
      </c>
      <c r="DJ152" s="2103">
        <f>Risk_Compensation!AC18+Risk_Compensation!AC19+Risk_Compensation!AC48+Risk_Compensation!AC49</f>
        <v>0</v>
      </c>
      <c r="DK152" s="2103">
        <f>Risk_Compensation!AD18+Risk_Compensation!AD19+Risk_Compensation!AD48+Risk_Compensation!AD49</f>
        <v>0</v>
      </c>
      <c r="DL152" s="2103">
        <f>Risk_Compensation!AE18+Risk_Compensation!AE19+Risk_Compensation!AE48+Risk_Compensation!AE49</f>
        <v>0</v>
      </c>
      <c r="DM152" s="2103">
        <f>Risk_Compensation!AF18+Risk_Compensation!AF19+Risk_Compensation!AF48+Risk_Compensation!AF49</f>
        <v>0</v>
      </c>
      <c r="DN152" s="2105">
        <f>Risk_Compensation!AG18+Risk_Compensation!AG19+Risk_Compensation!AG48+Risk_Compensation!AG49</f>
        <v>0</v>
      </c>
      <c r="DO152" s="2129">
        <f>SUM(CO152:DN152)</f>
        <v>0</v>
      </c>
    </row>
    <row r="153" spans="3:119" ht="12.75" x14ac:dyDescent="0.2">
      <c r="C153" s="1428" t="s">
        <v>2398</v>
      </c>
      <c r="D153" s="1426" t="str">
        <f>Translation!B611</f>
        <v>Neuropathischer Schmerz</v>
      </c>
      <c r="F153" s="1437"/>
      <c r="G153" s="2211">
        <v>9</v>
      </c>
      <c r="H153" s="2212">
        <v>0.98416666666666697</v>
      </c>
      <c r="I153" s="2212">
        <v>0</v>
      </c>
      <c r="J153" s="2212">
        <v>25.0833333333333</v>
      </c>
      <c r="K153" s="2212">
        <v>8</v>
      </c>
      <c r="L153" s="2212">
        <v>5.4166666666666696</v>
      </c>
      <c r="M153" s="2212">
        <v>9</v>
      </c>
      <c r="N153" s="2212">
        <v>18.8333333333333</v>
      </c>
      <c r="O153" s="2212">
        <v>0</v>
      </c>
      <c r="P153" s="2212">
        <v>2</v>
      </c>
      <c r="Q153" s="2212">
        <v>2</v>
      </c>
      <c r="R153" s="2212">
        <v>5.9166666666666696</v>
      </c>
      <c r="S153" s="2212">
        <v>13</v>
      </c>
      <c r="T153" s="2212">
        <v>0.91666666666666696</v>
      </c>
      <c r="U153" s="2212">
        <v>1.0833333333333299</v>
      </c>
      <c r="V153" s="2212">
        <v>4.0833333333333304</v>
      </c>
      <c r="W153" s="2212">
        <v>2</v>
      </c>
      <c r="X153" s="2212">
        <v>12.25</v>
      </c>
      <c r="Y153" s="2212">
        <v>2.25</v>
      </c>
      <c r="Z153" s="2212">
        <v>2.75</v>
      </c>
      <c r="AA153" s="2212">
        <v>10</v>
      </c>
      <c r="AB153" s="2212">
        <v>1</v>
      </c>
      <c r="AC153" s="2212">
        <v>15.0833333333333</v>
      </c>
      <c r="AD153" s="2212">
        <v>12.9166666666667</v>
      </c>
      <c r="AE153" s="2212">
        <v>5.3333333333333304</v>
      </c>
      <c r="AF153" s="2213">
        <v>34.809166666666698</v>
      </c>
      <c r="AG153" s="644"/>
      <c r="AH153" s="644"/>
      <c r="AI153" s="2078">
        <f>G153*Risk_Compensation!$AK114*12/1000000</f>
        <v>7.8148902832027203E-2</v>
      </c>
      <c r="AJ153" s="2079">
        <f>H153*Risk_Compensation!$AK114*12/1000000</f>
        <v>8.5457272448726078E-3</v>
      </c>
      <c r="AK153" s="2079">
        <f>I153*Risk_Compensation!$AK114*12/1000000</f>
        <v>0</v>
      </c>
      <c r="AL153" s="2079">
        <f>J153*Risk_Compensation!$AK114*12/1000000</f>
        <v>0.21780388659666811</v>
      </c>
      <c r="AM153" s="2079">
        <f>K153*Risk_Compensation!$AK114*12/1000000</f>
        <v>6.9465691406246394E-2</v>
      </c>
      <c r="AN153" s="2079">
        <f>L153*Risk_Compensation!$AK114*12/1000000</f>
        <v>4.7034061889646019E-2</v>
      </c>
      <c r="AO153" s="2079">
        <f>M153*Risk_Compensation!$AK114*12/1000000</f>
        <v>7.8148902832027203E-2</v>
      </c>
      <c r="AP153" s="2079">
        <f>N153*Risk_Compensation!$AK114*12/1000000</f>
        <v>0.16353381518553808</v>
      </c>
      <c r="AQ153" s="2079">
        <f>O153*Risk_Compensation!$AK114*12/1000000</f>
        <v>0</v>
      </c>
      <c r="AR153" s="2079">
        <f>P153*Risk_Compensation!$AK114*12/1000000</f>
        <v>1.7366422851561598E-2</v>
      </c>
      <c r="AS153" s="2079">
        <f>Q153*Risk_Compensation!$AK114*12/1000000</f>
        <v>1.7366422851561598E-2</v>
      </c>
      <c r="AT153" s="2079">
        <f>R153*Risk_Compensation!$AK114*12/1000000</f>
        <v>5.1375667602536423E-2</v>
      </c>
      <c r="AU153" s="2079">
        <f>S153*Risk_Compensation!$AK114*12/1000000</f>
        <v>0.1128817485351504</v>
      </c>
      <c r="AV153" s="2079">
        <f>T153*Risk_Compensation!$AK114*12/1000000</f>
        <v>7.9596104736324013E-3</v>
      </c>
      <c r="AW153" s="2079">
        <f>U153*Risk_Compensation!$AK114*12/1000000</f>
        <v>9.4068123779291711E-3</v>
      </c>
      <c r="AX153" s="2079">
        <f>V153*Risk_Compensation!$AK114*12/1000000</f>
        <v>3.5456446655271576E-2</v>
      </c>
      <c r="AY153" s="2079">
        <f>W153*Risk_Compensation!$AK114*12/1000000</f>
        <v>1.7366422851561598E-2</v>
      </c>
      <c r="AZ153" s="2079">
        <f>X153*Risk_Compensation!$AK114*12/1000000</f>
        <v>0.10636933996581478</v>
      </c>
      <c r="BA153" s="2079">
        <f>Y153*Risk_Compensation!$AK114*12/1000000</f>
        <v>1.9537225708006801E-2</v>
      </c>
      <c r="BB153" s="2079">
        <f>Z153*Risk_Compensation!$AK114*12/1000000</f>
        <v>2.3878831420897202E-2</v>
      </c>
      <c r="BC153" s="2079">
        <f>AA153*Risk_Compensation!$AK114*12/1000000</f>
        <v>8.6832114257807999E-2</v>
      </c>
      <c r="BD153" s="2079">
        <f>AB153*Risk_Compensation!$AK114*12/1000000</f>
        <v>8.6832114257807992E-3</v>
      </c>
      <c r="BE153" s="2079">
        <f>AC153*Risk_Compensation!$AK114*12/1000000</f>
        <v>0.13097177233886012</v>
      </c>
      <c r="BF153" s="2079">
        <f>AD153*Risk_Compensation!$AK114*12/1000000</f>
        <v>0.11215814758300229</v>
      </c>
      <c r="BG153" s="2079">
        <f>AE153*Risk_Compensation!$AK114*12/1000000</f>
        <v>4.631046093749757E-2</v>
      </c>
      <c r="BH153" s="2080">
        <f>AF153*Risk_Compensation!$AK114*12/1000000</f>
        <v>0.30225535372190843</v>
      </c>
      <c r="CM153" s="1824" t="str">
        <f>Translation!B$628</f>
        <v>Ewachsene</v>
      </c>
      <c r="CN153" s="1824"/>
      <c r="CO153" s="2108">
        <f>SUM(Risk_Compensation!H20:H47)+SUM(Risk_Compensation!H50:H77)</f>
        <v>0</v>
      </c>
      <c r="CP153" s="2106">
        <f>SUM(Risk_Compensation!I20:I47)+SUM(Risk_Compensation!I50:I77)</f>
        <v>0</v>
      </c>
      <c r="CQ153" s="2106">
        <f>SUM(Risk_Compensation!J20:J47)+SUM(Risk_Compensation!J50:J77)</f>
        <v>0</v>
      </c>
      <c r="CR153" s="2106">
        <f>SUM(Risk_Compensation!K20:K47)+SUM(Risk_Compensation!K50:K77)</f>
        <v>0</v>
      </c>
      <c r="CS153" s="2106">
        <f>SUM(Risk_Compensation!L20:L47)+SUM(Risk_Compensation!L50:L77)</f>
        <v>0</v>
      </c>
      <c r="CT153" s="2106">
        <f>SUM(Risk_Compensation!M20:M47)+SUM(Risk_Compensation!M50:M77)</f>
        <v>0</v>
      </c>
      <c r="CU153" s="2106">
        <f>SUM(Risk_Compensation!N20:N47)+SUM(Risk_Compensation!N50:N77)</f>
        <v>0</v>
      </c>
      <c r="CV153" s="2106">
        <f>SUM(Risk_Compensation!O20:O47)+SUM(Risk_Compensation!O50:O77)</f>
        <v>0</v>
      </c>
      <c r="CW153" s="2106">
        <f>SUM(Risk_Compensation!P20:P47)+SUM(Risk_Compensation!P50:P77)</f>
        <v>0</v>
      </c>
      <c r="CX153" s="2106">
        <f>SUM(Risk_Compensation!Q20:Q47)+SUM(Risk_Compensation!Q50:Q77)</f>
        <v>0</v>
      </c>
      <c r="CY153" s="2106">
        <f>SUM(Risk_Compensation!R20:R47)+SUM(Risk_Compensation!R50:R77)</f>
        <v>0</v>
      </c>
      <c r="CZ153" s="2106">
        <f>SUM(Risk_Compensation!S20:S47)+SUM(Risk_Compensation!S50:S77)</f>
        <v>0</v>
      </c>
      <c r="DA153" s="2106">
        <f>SUM(Risk_Compensation!T20:T47)+SUM(Risk_Compensation!T50:T77)</f>
        <v>0</v>
      </c>
      <c r="DB153" s="2106">
        <f>SUM(Risk_Compensation!U20:U47)+SUM(Risk_Compensation!U50:U77)</f>
        <v>0</v>
      </c>
      <c r="DC153" s="2106">
        <f>SUM(Risk_Compensation!V20:V47)+SUM(Risk_Compensation!V50:V77)</f>
        <v>0</v>
      </c>
      <c r="DD153" s="2106">
        <f>SUM(Risk_Compensation!W20:W47)+SUM(Risk_Compensation!W50:W77)</f>
        <v>0</v>
      </c>
      <c r="DE153" s="2106">
        <f>SUM(Risk_Compensation!X20:X47)+SUM(Risk_Compensation!X50:X77)</f>
        <v>0</v>
      </c>
      <c r="DF153" s="2106">
        <f>SUM(Risk_Compensation!Y20:Y47)+SUM(Risk_Compensation!Y50:Y77)</f>
        <v>0</v>
      </c>
      <c r="DG153" s="2106">
        <f>SUM(Risk_Compensation!Z20:Z47)+SUM(Risk_Compensation!Z50:Z77)</f>
        <v>0</v>
      </c>
      <c r="DH153" s="2106">
        <f>SUM(Risk_Compensation!AA20:AA47)+SUM(Risk_Compensation!AA50:AA77)</f>
        <v>0</v>
      </c>
      <c r="DI153" s="2106">
        <f>SUM(Risk_Compensation!AB20:AB47)+SUM(Risk_Compensation!AB50:AB77)</f>
        <v>0</v>
      </c>
      <c r="DJ153" s="2106">
        <f>SUM(Risk_Compensation!AC20:AC47)+SUM(Risk_Compensation!AC50:AC77)</f>
        <v>0</v>
      </c>
      <c r="DK153" s="2106">
        <f>SUM(Risk_Compensation!AD20:AD47)+SUM(Risk_Compensation!AD50:AD77)</f>
        <v>0</v>
      </c>
      <c r="DL153" s="2106">
        <f>SUM(Risk_Compensation!AE20:AE47)+SUM(Risk_Compensation!AE50:AE77)</f>
        <v>0</v>
      </c>
      <c r="DM153" s="2106">
        <f>SUM(Risk_Compensation!AF20:AF47)+SUM(Risk_Compensation!AF50:AF77)</f>
        <v>0</v>
      </c>
      <c r="DN153" s="2107">
        <f>SUM(Risk_Compensation!AG20:AG47)+SUM(Risk_Compensation!AG50:AG77)</f>
        <v>0</v>
      </c>
      <c r="DO153" s="2107">
        <f>SUM(CO153:DN153)</f>
        <v>0</v>
      </c>
    </row>
    <row r="154" spans="3:119" ht="12.75" x14ac:dyDescent="0.2">
      <c r="C154" s="1428" t="s">
        <v>2400</v>
      </c>
      <c r="D154" s="1426" t="str">
        <f>Translation!B612</f>
        <v>Schilddrüsenerkrankungen</v>
      </c>
      <c r="F154" s="1437"/>
      <c r="G154" s="2211">
        <v>122.92166666666699</v>
      </c>
      <c r="H154" s="2212">
        <v>1</v>
      </c>
      <c r="I154" s="2212">
        <v>6</v>
      </c>
      <c r="J154" s="2212">
        <v>162.2525</v>
      </c>
      <c r="K154" s="2212">
        <v>51.25</v>
      </c>
      <c r="L154" s="2212">
        <v>26.0833333333333</v>
      </c>
      <c r="M154" s="2212">
        <v>45.168333333333301</v>
      </c>
      <c r="N154" s="2212">
        <v>70.740833333333299</v>
      </c>
      <c r="O154" s="2212">
        <v>4</v>
      </c>
      <c r="P154" s="2212">
        <v>36.580833333333302</v>
      </c>
      <c r="Q154" s="2212">
        <v>12</v>
      </c>
      <c r="R154" s="2212">
        <v>58.7575</v>
      </c>
      <c r="S154" s="2212">
        <v>20.83</v>
      </c>
      <c r="T154" s="2212">
        <v>7</v>
      </c>
      <c r="U154" s="2212">
        <v>5.5</v>
      </c>
      <c r="V154" s="2212">
        <v>65.913333333333398</v>
      </c>
      <c r="W154" s="2212">
        <v>10.75</v>
      </c>
      <c r="X154" s="2212">
        <v>40.25</v>
      </c>
      <c r="Y154" s="2212">
        <v>25.7983333333333</v>
      </c>
      <c r="Z154" s="2212">
        <v>27.5833333333333</v>
      </c>
      <c r="AA154" s="2212">
        <v>54.25</v>
      </c>
      <c r="AB154" s="2212">
        <v>6.9166666666666696</v>
      </c>
      <c r="AC154" s="2212">
        <v>122.63249999999999</v>
      </c>
      <c r="AD154" s="2212">
        <v>48.6666666666667</v>
      </c>
      <c r="AE154" s="2212">
        <v>13.3333333333333</v>
      </c>
      <c r="AF154" s="2213">
        <v>189.435</v>
      </c>
      <c r="AG154" s="644"/>
      <c r="AH154" s="644"/>
      <c r="AI154" s="2078">
        <f>G154*Risk_Compensation!$AK115*12/1000000</f>
        <v>0.17685352916019753</v>
      </c>
      <c r="AJ154" s="2079">
        <f>H154*Risk_Compensation!$AK115*12/1000000</f>
        <v>1.4387498474111998E-3</v>
      </c>
      <c r="AK154" s="2079">
        <f>I154*Risk_Compensation!$AK115*12/1000000</f>
        <v>8.6324990844671989E-3</v>
      </c>
      <c r="AL154" s="2079">
        <f>J154*Risk_Compensation!$AK115*12/1000000</f>
        <v>0.23344075961708574</v>
      </c>
      <c r="AM154" s="2079">
        <f>K154*Risk_Compensation!$AK115*12/1000000</f>
        <v>7.3735929679823994E-2</v>
      </c>
      <c r="AN154" s="2079">
        <f>L154*Risk_Compensation!$AK115*12/1000000</f>
        <v>3.7527391853308757E-2</v>
      </c>
      <c r="AO154" s="2079">
        <f>M154*Risk_Compensation!$AK115*12/1000000</f>
        <v>6.4985932691151493E-2</v>
      </c>
      <c r="AP154" s="2079">
        <f>N154*Risk_Compensation!$AK115*12/1000000</f>
        <v>0.10177836316407443</v>
      </c>
      <c r="AQ154" s="2079">
        <f>O154*Risk_Compensation!$AK115*12/1000000</f>
        <v>5.7549993896447993E-3</v>
      </c>
      <c r="AR154" s="2079">
        <f>P154*Risk_Compensation!$AK115*12/1000000</f>
        <v>5.2630668376507816E-2</v>
      </c>
      <c r="AS154" s="2079">
        <f>Q154*Risk_Compensation!$AK115*12/1000000</f>
        <v>1.7264998168934398E-2</v>
      </c>
      <c r="AT154" s="2079">
        <f>R154*Risk_Compensation!$AK115*12/1000000</f>
        <v>8.4537344159263575E-2</v>
      </c>
      <c r="AU154" s="2079">
        <f>S154*Risk_Compensation!$AK115*12/1000000</f>
        <v>2.9969159321575296E-2</v>
      </c>
      <c r="AV154" s="2079">
        <f>T154*Risk_Compensation!$AK115*12/1000000</f>
        <v>1.0071248931878399E-2</v>
      </c>
      <c r="AW154" s="2079">
        <f>U154*Risk_Compensation!$AK115*12/1000000</f>
        <v>7.9131241607616008E-3</v>
      </c>
      <c r="AX154" s="2079">
        <f>V154*Risk_Compensation!$AK115*12/1000000</f>
        <v>9.4832798275696989E-2</v>
      </c>
      <c r="AY154" s="2079">
        <f>W154*Risk_Compensation!$AK115*12/1000000</f>
        <v>1.54665608596704E-2</v>
      </c>
      <c r="AZ154" s="2079">
        <f>X154*Risk_Compensation!$AK115*12/1000000</f>
        <v>5.7909681358300796E-2</v>
      </c>
      <c r="BA154" s="2079">
        <f>Y154*Risk_Compensation!$AK115*12/1000000</f>
        <v>3.7117348146796562E-2</v>
      </c>
      <c r="BB154" s="2079">
        <f>Z154*Risk_Compensation!$AK115*12/1000000</f>
        <v>3.968551662442555E-2</v>
      </c>
      <c r="BC154" s="2079">
        <f>AA154*Risk_Compensation!$AK115*12/1000000</f>
        <v>7.8052179222057594E-2</v>
      </c>
      <c r="BD154" s="2079">
        <f>AB154*Risk_Compensation!$AK115*12/1000000</f>
        <v>9.951353111260804E-3</v>
      </c>
      <c r="BE154" s="2079">
        <f>AC154*Risk_Compensation!$AK115*12/1000000</f>
        <v>0.17643749066265396</v>
      </c>
      <c r="BF154" s="2079">
        <f>AD154*Risk_Compensation!$AK115*12/1000000</f>
        <v>7.0019159240678447E-2</v>
      </c>
      <c r="BG154" s="2079">
        <f>AE154*Risk_Compensation!$AK115*12/1000000</f>
        <v>1.9183331298815953E-2</v>
      </c>
      <c r="BH154" s="2080">
        <f>AF154*Risk_Compensation!$AK115*12/1000000</f>
        <v>0.27254957734434065</v>
      </c>
      <c r="CN154" s="644"/>
      <c r="CO154" s="644"/>
      <c r="CP154" s="644"/>
      <c r="CQ154" s="644"/>
      <c r="CR154" s="644"/>
      <c r="CS154" s="644"/>
      <c r="CT154" s="644"/>
      <c r="CU154" s="644"/>
      <c r="CV154" s="644"/>
      <c r="CW154" s="644"/>
      <c r="CX154" s="644"/>
      <c r="CY154" s="644"/>
      <c r="CZ154" s="644"/>
      <c r="DA154" s="644"/>
      <c r="DB154" s="644"/>
      <c r="DC154" s="644"/>
      <c r="DD154" s="644"/>
      <c r="DE154" s="644"/>
      <c r="DF154" s="644"/>
      <c r="DG154" s="644"/>
      <c r="DH154" s="644"/>
      <c r="DI154" s="644"/>
      <c r="DJ154" s="644"/>
      <c r="DK154" s="644"/>
      <c r="DL154" s="644"/>
      <c r="DM154" s="644"/>
      <c r="DN154" s="644"/>
      <c r="DO154" s="644"/>
    </row>
    <row r="155" spans="3:119" ht="12.75" x14ac:dyDescent="0.2">
      <c r="C155" s="1428" t="s">
        <v>2402</v>
      </c>
      <c r="D155" s="1426" t="str">
        <f>Translation!B613</f>
        <v>Transplantationen</v>
      </c>
      <c r="F155" s="1437"/>
      <c r="G155" s="2211">
        <v>22.5</v>
      </c>
      <c r="H155" s="2212">
        <v>0</v>
      </c>
      <c r="I155" s="2212">
        <v>2</v>
      </c>
      <c r="J155" s="2212">
        <v>26.5833333333333</v>
      </c>
      <c r="K155" s="2212">
        <v>7.0833333333333304</v>
      </c>
      <c r="L155" s="2212">
        <v>2.9166666666666701</v>
      </c>
      <c r="M155" s="2212">
        <v>4.4166666666666696</v>
      </c>
      <c r="N155" s="2212">
        <v>8</v>
      </c>
      <c r="O155" s="2212">
        <v>1</v>
      </c>
      <c r="P155" s="2212">
        <v>4</v>
      </c>
      <c r="Q155" s="2212">
        <v>2</v>
      </c>
      <c r="R155" s="2212">
        <v>10.0833333333333</v>
      </c>
      <c r="S155" s="2212">
        <v>4</v>
      </c>
      <c r="T155" s="2212">
        <v>1</v>
      </c>
      <c r="U155" s="2212">
        <v>1</v>
      </c>
      <c r="V155" s="2212">
        <v>7</v>
      </c>
      <c r="W155" s="2212">
        <v>0</v>
      </c>
      <c r="X155" s="2212">
        <v>5</v>
      </c>
      <c r="Y155" s="2212">
        <v>0.58333333333333304</v>
      </c>
      <c r="Z155" s="2212">
        <v>4.6666666666666696</v>
      </c>
      <c r="AA155" s="2212">
        <v>5</v>
      </c>
      <c r="AB155" s="2212">
        <v>1</v>
      </c>
      <c r="AC155" s="2212">
        <v>22</v>
      </c>
      <c r="AD155" s="2212">
        <v>10.8333333333333</v>
      </c>
      <c r="AE155" s="2212">
        <v>4.1666666666666696</v>
      </c>
      <c r="AF155" s="2213">
        <v>30.3333333333333</v>
      </c>
      <c r="AG155" s="644"/>
      <c r="AH155" s="644"/>
      <c r="AI155" s="2078">
        <f>G155*Risk_Compensation!$AK116*12/1000000</f>
        <v>0.438624360351549</v>
      </c>
      <c r="AJ155" s="2079">
        <f>H155*Risk_Compensation!$AK116*12/1000000</f>
        <v>0</v>
      </c>
      <c r="AK155" s="2079">
        <f>I155*Risk_Compensation!$AK116*12/1000000</f>
        <v>3.8988832031248796E-2</v>
      </c>
      <c r="AL155" s="2079">
        <f>J155*Risk_Compensation!$AK116*12/1000000</f>
        <v>0.51822655908201476</v>
      </c>
      <c r="AM155" s="2079">
        <f>K155*Risk_Compensation!$AK116*12/1000000</f>
        <v>0.13808544677733944</v>
      </c>
      <c r="AN155" s="2079">
        <f>L155*Risk_Compensation!$AK116*12/1000000</f>
        <v>5.6858713378904559E-2</v>
      </c>
      <c r="AO155" s="2079">
        <f>M155*Risk_Compensation!$AK116*12/1000000</f>
        <v>8.6100337402341159E-2</v>
      </c>
      <c r="AP155" s="2079">
        <f>N155*Risk_Compensation!$AK116*12/1000000</f>
        <v>0.15595532812499519</v>
      </c>
      <c r="AQ155" s="2079">
        <f>O155*Risk_Compensation!$AK116*12/1000000</f>
        <v>1.9494416015624398E-2</v>
      </c>
      <c r="AR155" s="2079">
        <f>P155*Risk_Compensation!$AK116*12/1000000</f>
        <v>7.7977664062497593E-2</v>
      </c>
      <c r="AS155" s="2079">
        <f>Q155*Risk_Compensation!$AK116*12/1000000</f>
        <v>3.8988832031248796E-2</v>
      </c>
      <c r="AT155" s="2079">
        <f>R155*Risk_Compensation!$AK116*12/1000000</f>
        <v>0.19656869482421205</v>
      </c>
      <c r="AU155" s="2079">
        <f>S155*Risk_Compensation!$AK116*12/1000000</f>
        <v>7.7977664062497593E-2</v>
      </c>
      <c r="AV155" s="2079">
        <f>T155*Risk_Compensation!$AK116*12/1000000</f>
        <v>1.9494416015624398E-2</v>
      </c>
      <c r="AW155" s="2079">
        <f>U155*Risk_Compensation!$AK116*12/1000000</f>
        <v>1.9494416015624398E-2</v>
      </c>
      <c r="AX155" s="2079">
        <f>V155*Risk_Compensation!$AK116*12/1000000</f>
        <v>0.13646091210937081</v>
      </c>
      <c r="AY155" s="2079">
        <f>W155*Risk_Compensation!$AK116*12/1000000</f>
        <v>0</v>
      </c>
      <c r="AZ155" s="2079">
        <f>X155*Risk_Compensation!$AK116*12/1000000</f>
        <v>9.7472080078121998E-2</v>
      </c>
      <c r="BA155" s="2079">
        <f>Y155*Risk_Compensation!$AK116*12/1000000</f>
        <v>1.1371742675780894E-2</v>
      </c>
      <c r="BB155" s="2079">
        <f>Z155*Risk_Compensation!$AK116*12/1000000</f>
        <v>9.0973941406247247E-2</v>
      </c>
      <c r="BC155" s="2079">
        <f>AA155*Risk_Compensation!$AK116*12/1000000</f>
        <v>9.7472080078121998E-2</v>
      </c>
      <c r="BD155" s="2079">
        <f>AB155*Risk_Compensation!$AK116*12/1000000</f>
        <v>1.9494416015624398E-2</v>
      </c>
      <c r="BE155" s="2079">
        <f>AC155*Risk_Compensation!$AK116*12/1000000</f>
        <v>0.42887715234373686</v>
      </c>
      <c r="BF155" s="2079">
        <f>AD155*Risk_Compensation!$AK116*12/1000000</f>
        <v>0.21118950683593038</v>
      </c>
      <c r="BG155" s="2079">
        <f>AE155*Risk_Compensation!$AK116*12/1000000</f>
        <v>8.1226733398435058E-2</v>
      </c>
      <c r="BH155" s="2080">
        <f>AF155*Risk_Compensation!$AK116*12/1000000</f>
        <v>0.59133061914060614</v>
      </c>
      <c r="CN155" s="644"/>
      <c r="CO155" s="2089"/>
      <c r="CP155" s="2089"/>
      <c r="CQ155" s="2089"/>
      <c r="CR155" s="2089"/>
      <c r="CS155" s="2089"/>
      <c r="CT155" s="2089"/>
      <c r="CU155" s="2089"/>
      <c r="CV155" s="2089"/>
      <c r="CW155" s="2089"/>
      <c r="CX155" s="2089"/>
      <c r="CY155" s="2089"/>
      <c r="CZ155" s="2089"/>
      <c r="DA155" s="2089"/>
      <c r="DB155" s="2089"/>
      <c r="DC155" s="2089"/>
      <c r="DD155" s="2089"/>
      <c r="DE155" s="2089"/>
      <c r="DF155" s="2089"/>
      <c r="DG155" s="2089"/>
      <c r="DH155" s="2089"/>
      <c r="DI155" s="2089"/>
      <c r="DJ155" s="2089"/>
      <c r="DK155" s="2089"/>
      <c r="DL155" s="2089"/>
      <c r="DM155" s="2089"/>
      <c r="DN155" s="2089"/>
      <c r="DO155" s="644"/>
    </row>
    <row r="156" spans="3:119" ht="12.75" x14ac:dyDescent="0.2">
      <c r="C156" s="1428" t="s">
        <v>2404</v>
      </c>
      <c r="D156" s="1426" t="str">
        <f>Translation!B614</f>
        <v>Wachstumsstörung</v>
      </c>
      <c r="F156" s="1437"/>
      <c r="G156" s="2211">
        <v>7</v>
      </c>
      <c r="H156" s="2212">
        <v>0</v>
      </c>
      <c r="I156" s="2212">
        <v>0</v>
      </c>
      <c r="J156" s="2212">
        <v>5</v>
      </c>
      <c r="K156" s="2212">
        <v>1</v>
      </c>
      <c r="L156" s="2212">
        <v>0</v>
      </c>
      <c r="M156" s="2212">
        <v>1</v>
      </c>
      <c r="N156" s="2212">
        <v>7</v>
      </c>
      <c r="O156" s="2212">
        <v>0</v>
      </c>
      <c r="P156" s="2212">
        <v>1</v>
      </c>
      <c r="Q156" s="2212">
        <v>0</v>
      </c>
      <c r="R156" s="2212">
        <v>2</v>
      </c>
      <c r="S156" s="2212">
        <v>4</v>
      </c>
      <c r="T156" s="2212">
        <v>0</v>
      </c>
      <c r="U156" s="2212">
        <v>1</v>
      </c>
      <c r="V156" s="2212">
        <v>1</v>
      </c>
      <c r="W156" s="2212">
        <v>0</v>
      </c>
      <c r="X156" s="2212">
        <v>0</v>
      </c>
      <c r="Y156" s="2212">
        <v>1</v>
      </c>
      <c r="Z156" s="2212">
        <v>3</v>
      </c>
      <c r="AA156" s="2212">
        <v>4</v>
      </c>
      <c r="AB156" s="2212">
        <v>0</v>
      </c>
      <c r="AC156" s="2212">
        <v>6</v>
      </c>
      <c r="AD156" s="2212">
        <v>1</v>
      </c>
      <c r="AE156" s="2212">
        <v>2</v>
      </c>
      <c r="AF156" s="2213">
        <v>10</v>
      </c>
      <c r="AG156" s="644"/>
      <c r="AH156" s="644"/>
      <c r="AI156" s="2078">
        <f>G156*Risk_Compensation!$AK117*12/1000000</f>
        <v>9.5961232910155209E-2</v>
      </c>
      <c r="AJ156" s="2079">
        <f>H156*Risk_Compensation!$AK117*12/1000000</f>
        <v>0</v>
      </c>
      <c r="AK156" s="2079">
        <f>I156*Risk_Compensation!$AK117*12/1000000</f>
        <v>0</v>
      </c>
      <c r="AL156" s="2079">
        <f>J156*Risk_Compensation!$AK117*12/1000000</f>
        <v>6.854373779296799E-2</v>
      </c>
      <c r="AM156" s="2079">
        <f>K156*Risk_Compensation!$AK117*12/1000000</f>
        <v>1.37087475585936E-2</v>
      </c>
      <c r="AN156" s="2079">
        <f>L156*Risk_Compensation!$AK117*12/1000000</f>
        <v>0</v>
      </c>
      <c r="AO156" s="2079">
        <f>M156*Risk_Compensation!$AK117*12/1000000</f>
        <v>1.37087475585936E-2</v>
      </c>
      <c r="AP156" s="2079">
        <f>N156*Risk_Compensation!$AK117*12/1000000</f>
        <v>9.5961232910155209E-2</v>
      </c>
      <c r="AQ156" s="2079">
        <f>O156*Risk_Compensation!$AK117*12/1000000</f>
        <v>0</v>
      </c>
      <c r="AR156" s="2079">
        <f>P156*Risk_Compensation!$AK117*12/1000000</f>
        <v>1.37087475585936E-2</v>
      </c>
      <c r="AS156" s="2079">
        <f>Q156*Risk_Compensation!$AK117*12/1000000</f>
        <v>0</v>
      </c>
      <c r="AT156" s="2079">
        <f>R156*Risk_Compensation!$AK117*12/1000000</f>
        <v>2.7417495117187201E-2</v>
      </c>
      <c r="AU156" s="2079">
        <f>S156*Risk_Compensation!$AK117*12/1000000</f>
        <v>5.4834990234374402E-2</v>
      </c>
      <c r="AV156" s="2079">
        <f>T156*Risk_Compensation!$AK117*12/1000000</f>
        <v>0</v>
      </c>
      <c r="AW156" s="2079">
        <f>U156*Risk_Compensation!$AK117*12/1000000</f>
        <v>1.37087475585936E-2</v>
      </c>
      <c r="AX156" s="2079">
        <f>V156*Risk_Compensation!$AK117*12/1000000</f>
        <v>1.37087475585936E-2</v>
      </c>
      <c r="AY156" s="2079">
        <f>W156*Risk_Compensation!$AK117*12/1000000</f>
        <v>0</v>
      </c>
      <c r="AZ156" s="2079">
        <f>X156*Risk_Compensation!$AK117*12/1000000</f>
        <v>0</v>
      </c>
      <c r="BA156" s="2079">
        <f>Y156*Risk_Compensation!$AK117*12/1000000</f>
        <v>1.37087475585936E-2</v>
      </c>
      <c r="BB156" s="2079">
        <f>Z156*Risk_Compensation!$AK117*12/1000000</f>
        <v>4.11262426757808E-2</v>
      </c>
      <c r="BC156" s="2079">
        <f>AA156*Risk_Compensation!$AK117*12/1000000</f>
        <v>5.4834990234374402E-2</v>
      </c>
      <c r="BD156" s="2079">
        <f>AB156*Risk_Compensation!$AK117*12/1000000</f>
        <v>0</v>
      </c>
      <c r="BE156" s="2079">
        <f>AC156*Risk_Compensation!$AK117*12/1000000</f>
        <v>8.2252485351561599E-2</v>
      </c>
      <c r="BF156" s="2079">
        <f>AD156*Risk_Compensation!$AK117*12/1000000</f>
        <v>1.37087475585936E-2</v>
      </c>
      <c r="BG156" s="2079">
        <f>AE156*Risk_Compensation!$AK117*12/1000000</f>
        <v>2.7417495117187201E-2</v>
      </c>
      <c r="BH156" s="2080">
        <f>AF156*Risk_Compensation!$AK117*12/1000000</f>
        <v>0.13708747558593598</v>
      </c>
      <c r="CM156" s="644"/>
      <c r="CN156" s="644"/>
      <c r="CO156" s="644"/>
      <c r="CP156" s="644"/>
      <c r="CQ156" s="644"/>
      <c r="CR156" s="644"/>
      <c r="CS156" s="644"/>
      <c r="CT156" s="644"/>
      <c r="CU156" s="644"/>
      <c r="CV156" s="644"/>
      <c r="CW156" s="644"/>
      <c r="CX156" s="644"/>
      <c r="CY156" s="644"/>
      <c r="CZ156" s="644"/>
      <c r="DA156" s="644"/>
      <c r="DB156" s="644"/>
      <c r="DC156" s="644"/>
      <c r="DD156" s="644"/>
      <c r="DE156" s="644"/>
      <c r="DF156" s="644"/>
      <c r="DG156" s="644"/>
      <c r="DH156" s="644"/>
      <c r="DI156" s="644"/>
      <c r="DJ156" s="644"/>
      <c r="DK156" s="644"/>
      <c r="DL156" s="644"/>
      <c r="DM156" s="644"/>
      <c r="DN156" s="644"/>
      <c r="DO156" s="644"/>
    </row>
    <row r="157" spans="3:119" ht="12.75" x14ac:dyDescent="0.2">
      <c r="C157" s="1428" t="s">
        <v>2406</v>
      </c>
      <c r="D157" s="1426" t="str">
        <f>Translation!B615</f>
        <v>Zystische Fibrose / Pankreasenzyme</v>
      </c>
      <c r="F157" s="1437"/>
      <c r="G157" s="2211">
        <v>5</v>
      </c>
      <c r="H157" s="2212">
        <v>0</v>
      </c>
      <c r="I157" s="2212">
        <v>1.9166666666666701</v>
      </c>
      <c r="J157" s="2212">
        <v>19.561666666666699</v>
      </c>
      <c r="K157" s="2212">
        <v>4</v>
      </c>
      <c r="L157" s="2212">
        <v>3</v>
      </c>
      <c r="M157" s="2212">
        <v>10.75</v>
      </c>
      <c r="N157" s="2212">
        <v>1</v>
      </c>
      <c r="O157" s="2212">
        <v>2</v>
      </c>
      <c r="P157" s="2212">
        <v>2.5</v>
      </c>
      <c r="Q157" s="2212">
        <v>2</v>
      </c>
      <c r="R157" s="2212">
        <v>7.6633333333333304</v>
      </c>
      <c r="S157" s="2212">
        <v>1</v>
      </c>
      <c r="T157" s="2212">
        <v>0</v>
      </c>
      <c r="U157" s="2212">
        <v>1</v>
      </c>
      <c r="V157" s="2212">
        <v>9</v>
      </c>
      <c r="W157" s="2212">
        <v>1</v>
      </c>
      <c r="X157" s="2212">
        <v>7</v>
      </c>
      <c r="Y157" s="2212">
        <v>1.25</v>
      </c>
      <c r="Z157" s="2212">
        <v>2.8333333333333299</v>
      </c>
      <c r="AA157" s="2212">
        <v>2</v>
      </c>
      <c r="AB157" s="2212">
        <v>0</v>
      </c>
      <c r="AC157" s="2212">
        <v>9</v>
      </c>
      <c r="AD157" s="2212">
        <v>6.25</v>
      </c>
      <c r="AE157" s="2212">
        <v>3</v>
      </c>
      <c r="AF157" s="2213">
        <v>18.5</v>
      </c>
      <c r="AG157" s="644"/>
      <c r="AH157" s="644"/>
      <c r="AI157" s="2078">
        <f>G157*Risk_Compensation!$AK118*12/1000000</f>
        <v>0.10111634765624999</v>
      </c>
      <c r="AJ157" s="2079">
        <f>H157*Risk_Compensation!$AK118*12/1000000</f>
        <v>0</v>
      </c>
      <c r="AK157" s="2079">
        <f>I157*Risk_Compensation!$AK118*12/1000000</f>
        <v>3.8761266601562566E-2</v>
      </c>
      <c r="AL157" s="2079">
        <f>J157*Risk_Compensation!$AK118*12/1000000</f>
        <v>0.39560085748046941</v>
      </c>
      <c r="AM157" s="2079">
        <f>K157*Risk_Compensation!$AK118*12/1000000</f>
        <v>8.0893078125000004E-2</v>
      </c>
      <c r="AN157" s="2079">
        <f>L157*Risk_Compensation!$AK118*12/1000000</f>
        <v>6.0669808593749999E-2</v>
      </c>
      <c r="AO157" s="2079">
        <f>M157*Risk_Compensation!$AK118*12/1000000</f>
        <v>0.2174001474609375</v>
      </c>
      <c r="AP157" s="2079">
        <f>N157*Risk_Compensation!$AK118*12/1000000</f>
        <v>2.0223269531250001E-2</v>
      </c>
      <c r="AQ157" s="2079">
        <f>O157*Risk_Compensation!$AK118*12/1000000</f>
        <v>4.0446539062500002E-2</v>
      </c>
      <c r="AR157" s="2079">
        <f>P157*Risk_Compensation!$AK118*12/1000000</f>
        <v>5.0558173828124997E-2</v>
      </c>
      <c r="AS157" s="2079">
        <f>Q157*Risk_Compensation!$AK118*12/1000000</f>
        <v>4.0446539062500002E-2</v>
      </c>
      <c r="AT157" s="2079">
        <f>R157*Risk_Compensation!$AK118*12/1000000</f>
        <v>0.15497765550781245</v>
      </c>
      <c r="AU157" s="2079">
        <f>S157*Risk_Compensation!$AK118*12/1000000</f>
        <v>2.0223269531250001E-2</v>
      </c>
      <c r="AV157" s="2079">
        <f>T157*Risk_Compensation!$AK118*12/1000000</f>
        <v>0</v>
      </c>
      <c r="AW157" s="2079">
        <f>U157*Risk_Compensation!$AK118*12/1000000</f>
        <v>2.0223269531250001E-2</v>
      </c>
      <c r="AX157" s="2079">
        <f>V157*Risk_Compensation!$AK118*12/1000000</f>
        <v>0.18200942578125001</v>
      </c>
      <c r="AY157" s="2079">
        <f>W157*Risk_Compensation!$AK118*12/1000000</f>
        <v>2.0223269531250001E-2</v>
      </c>
      <c r="AZ157" s="2079">
        <f>X157*Risk_Compensation!$AK118*12/1000000</f>
        <v>0.14156288671875</v>
      </c>
      <c r="BA157" s="2079">
        <f>Y157*Risk_Compensation!$AK118*12/1000000</f>
        <v>2.5279086914062499E-2</v>
      </c>
      <c r="BB157" s="2079">
        <f>Z157*Risk_Compensation!$AK118*12/1000000</f>
        <v>5.7299263671874927E-2</v>
      </c>
      <c r="BC157" s="2079">
        <f>AA157*Risk_Compensation!$AK118*12/1000000</f>
        <v>4.0446539062500002E-2</v>
      </c>
      <c r="BD157" s="2079">
        <f>AB157*Risk_Compensation!$AK118*12/1000000</f>
        <v>0</v>
      </c>
      <c r="BE157" s="2079">
        <f>AC157*Risk_Compensation!$AK118*12/1000000</f>
        <v>0.18200942578125001</v>
      </c>
      <c r="BF157" s="2079">
        <f>AD157*Risk_Compensation!$AK118*12/1000000</f>
        <v>0.12639543457031249</v>
      </c>
      <c r="BG157" s="2079">
        <f>AE157*Risk_Compensation!$AK118*12/1000000</f>
        <v>6.0669808593749999E-2</v>
      </c>
      <c r="BH157" s="2080">
        <f>AF157*Risk_Compensation!$AK118*12/1000000</f>
        <v>0.37413048632812501</v>
      </c>
      <c r="CM157" s="2166" t="str">
        <f>Translation!B$631</f>
        <v>Entlastungen bzw. Belastungen des Versicherers in Mio. CHF</v>
      </c>
      <c r="CN157" s="644"/>
      <c r="CO157" s="644"/>
      <c r="CP157" s="644"/>
      <c r="CQ157" s="644"/>
      <c r="CR157" s="644"/>
      <c r="CS157" s="644"/>
      <c r="CT157" s="644"/>
      <c r="CU157" s="644"/>
      <c r="CV157" s="644"/>
      <c r="CW157" s="644"/>
      <c r="CX157" s="644"/>
      <c r="CY157" s="644"/>
      <c r="CZ157" s="644"/>
      <c r="DA157" s="644"/>
      <c r="DB157" s="644"/>
      <c r="DC157" s="644"/>
      <c r="DD157" s="644"/>
      <c r="DE157" s="644"/>
      <c r="DF157" s="644"/>
      <c r="DG157" s="644"/>
      <c r="DH157" s="644"/>
      <c r="DI157" s="644"/>
      <c r="DJ157" s="644"/>
      <c r="DK157" s="644"/>
      <c r="DL157" s="644"/>
      <c r="DM157" s="644"/>
      <c r="DN157" s="644"/>
      <c r="DO157" s="644"/>
    </row>
    <row r="158" spans="3:119" ht="12.75" x14ac:dyDescent="0.2">
      <c r="C158" s="1428" t="s">
        <v>2408</v>
      </c>
      <c r="D158" s="1426" t="str">
        <f>Translation!B616</f>
        <v>Krankheiten des ZN ohne Multiple Sklerose</v>
      </c>
      <c r="F158" s="1437"/>
      <c r="G158" s="2211">
        <v>9.8333333333333304</v>
      </c>
      <c r="H158" s="2212">
        <v>0</v>
      </c>
      <c r="I158" s="2212">
        <v>1.3333333333333299</v>
      </c>
      <c r="J158" s="2212">
        <v>11.932499999999999</v>
      </c>
      <c r="K158" s="2212">
        <v>1</v>
      </c>
      <c r="L158" s="2212">
        <v>0</v>
      </c>
      <c r="M158" s="2212">
        <v>1</v>
      </c>
      <c r="N158" s="2212">
        <v>10</v>
      </c>
      <c r="O158" s="2212">
        <v>0</v>
      </c>
      <c r="P158" s="2212">
        <v>3</v>
      </c>
      <c r="Q158" s="2212">
        <v>2</v>
      </c>
      <c r="R158" s="2212">
        <v>5.4166666666666696</v>
      </c>
      <c r="S158" s="2212">
        <v>2</v>
      </c>
      <c r="T158" s="2212">
        <v>0</v>
      </c>
      <c r="U158" s="2212">
        <v>0</v>
      </c>
      <c r="V158" s="2212">
        <v>4.6666666666666696</v>
      </c>
      <c r="W158" s="2212">
        <v>1</v>
      </c>
      <c r="X158" s="2212">
        <v>3</v>
      </c>
      <c r="Y158" s="2212">
        <v>0</v>
      </c>
      <c r="Z158" s="2212">
        <v>2</v>
      </c>
      <c r="AA158" s="2212">
        <v>3</v>
      </c>
      <c r="AB158" s="2212">
        <v>0</v>
      </c>
      <c r="AC158" s="2212">
        <v>10</v>
      </c>
      <c r="AD158" s="2212">
        <v>2</v>
      </c>
      <c r="AE158" s="2212">
        <v>0</v>
      </c>
      <c r="AF158" s="2213">
        <v>14</v>
      </c>
      <c r="AG158" s="644"/>
      <c r="AH158" s="644"/>
      <c r="AI158" s="2078">
        <f>G158*Risk_Compensation!$AK119*12/1000000</f>
        <v>0.15467037255859076</v>
      </c>
      <c r="AJ158" s="2079">
        <f>H158*Risk_Compensation!$AK119*12/1000000</f>
        <v>0</v>
      </c>
      <c r="AK158" s="2079">
        <f>I158*Risk_Compensation!$AK119*12/1000000</f>
        <v>2.0972253906249544E-2</v>
      </c>
      <c r="AL158" s="2079">
        <f>J158*Risk_Compensation!$AK119*12/1000000</f>
        <v>0.1876885648022425</v>
      </c>
      <c r="AM158" s="2079">
        <f>K158*Risk_Compensation!$AK119*12/1000000</f>
        <v>1.57291904296872E-2</v>
      </c>
      <c r="AN158" s="2079">
        <f>L158*Risk_Compensation!$AK119*12/1000000</f>
        <v>0</v>
      </c>
      <c r="AO158" s="2079">
        <f>M158*Risk_Compensation!$AK119*12/1000000</f>
        <v>1.57291904296872E-2</v>
      </c>
      <c r="AP158" s="2079">
        <f>N158*Risk_Compensation!$AK119*12/1000000</f>
        <v>0.15729190429687198</v>
      </c>
      <c r="AQ158" s="2079">
        <f>O158*Risk_Compensation!$AK119*12/1000000</f>
        <v>0</v>
      </c>
      <c r="AR158" s="2079">
        <f>P158*Risk_Compensation!$AK119*12/1000000</f>
        <v>4.7187571289061599E-2</v>
      </c>
      <c r="AS158" s="2079">
        <f>Q158*Risk_Compensation!$AK119*12/1000000</f>
        <v>3.1458380859374399E-2</v>
      </c>
      <c r="AT158" s="2079">
        <f>R158*Risk_Compensation!$AK119*12/1000000</f>
        <v>8.5199781494139051E-2</v>
      </c>
      <c r="AU158" s="2079">
        <f>S158*Risk_Compensation!$AK119*12/1000000</f>
        <v>3.1458380859374399E-2</v>
      </c>
      <c r="AV158" s="2079">
        <f>T158*Risk_Compensation!$AK119*12/1000000</f>
        <v>0</v>
      </c>
      <c r="AW158" s="2079">
        <f>U158*Risk_Compensation!$AK119*12/1000000</f>
        <v>0</v>
      </c>
      <c r="AX158" s="2079">
        <f>V158*Risk_Compensation!$AK119*12/1000000</f>
        <v>7.3402888671873653E-2</v>
      </c>
      <c r="AY158" s="2079">
        <f>W158*Risk_Compensation!$AK119*12/1000000</f>
        <v>1.57291904296872E-2</v>
      </c>
      <c r="AZ158" s="2079">
        <f>X158*Risk_Compensation!$AK119*12/1000000</f>
        <v>4.7187571289061599E-2</v>
      </c>
      <c r="BA158" s="2079">
        <f>Y158*Risk_Compensation!$AK119*12/1000000</f>
        <v>0</v>
      </c>
      <c r="BB158" s="2079">
        <f>Z158*Risk_Compensation!$AK119*12/1000000</f>
        <v>3.1458380859374399E-2</v>
      </c>
      <c r="BC158" s="2079">
        <f>AA158*Risk_Compensation!$AK119*12/1000000</f>
        <v>4.7187571289061599E-2</v>
      </c>
      <c r="BD158" s="2079">
        <f>AB158*Risk_Compensation!$AK119*12/1000000</f>
        <v>0</v>
      </c>
      <c r="BE158" s="2079">
        <f>AC158*Risk_Compensation!$AK119*12/1000000</f>
        <v>0.15729190429687198</v>
      </c>
      <c r="BF158" s="2079">
        <f>AD158*Risk_Compensation!$AK119*12/1000000</f>
        <v>3.1458380859374399E-2</v>
      </c>
      <c r="BG158" s="2079">
        <f>AE158*Risk_Compensation!$AK119*12/1000000</f>
        <v>0</v>
      </c>
      <c r="BH158" s="2080">
        <f>AF158*Risk_Compensation!$AK119*12/1000000</f>
        <v>0.22020866601562081</v>
      </c>
      <c r="CM158" s="2586"/>
      <c r="CN158" s="2587"/>
      <c r="CO158" s="2564" t="str">
        <f>Translation!B$583</f>
        <v xml:space="preserve">Kanton </v>
      </c>
      <c r="CP158" s="2576"/>
      <c r="CQ158" s="2576"/>
      <c r="CR158" s="2576"/>
      <c r="CS158" s="2576"/>
      <c r="CT158" s="2576"/>
      <c r="CU158" s="2576"/>
      <c r="CV158" s="2576"/>
      <c r="CW158" s="2576"/>
      <c r="CX158" s="2576"/>
      <c r="CY158" s="2576"/>
      <c r="CZ158" s="2576"/>
      <c r="DA158" s="2576"/>
      <c r="DB158" s="2576"/>
      <c r="DC158" s="2576"/>
      <c r="DD158" s="2576"/>
      <c r="DE158" s="2576"/>
      <c r="DF158" s="2576"/>
      <c r="DG158" s="2576"/>
      <c r="DH158" s="2576"/>
      <c r="DI158" s="2576"/>
      <c r="DJ158" s="2576"/>
      <c r="DK158" s="2576"/>
      <c r="DL158" s="2576"/>
      <c r="DM158" s="2576"/>
      <c r="DN158" s="2577"/>
      <c r="DO158" s="2113"/>
    </row>
    <row r="159" spans="3:119" ht="12.75" x14ac:dyDescent="0.2">
      <c r="C159" s="1428" t="s">
        <v>2410</v>
      </c>
      <c r="D159" s="1426" t="str">
        <f>Translation!B617</f>
        <v>Diabetes Typ-2 mit Bluthochdruck</v>
      </c>
      <c r="F159" s="1437"/>
      <c r="G159" s="2214">
        <v>1</v>
      </c>
      <c r="H159" s="2215">
        <v>0</v>
      </c>
      <c r="I159" s="2215">
        <v>0</v>
      </c>
      <c r="J159" s="2215">
        <v>0</v>
      </c>
      <c r="K159" s="2215">
        <v>0</v>
      </c>
      <c r="L159" s="2215">
        <v>0</v>
      </c>
      <c r="M159" s="2215">
        <v>1</v>
      </c>
      <c r="N159" s="2215">
        <v>3</v>
      </c>
      <c r="O159" s="2215">
        <v>0</v>
      </c>
      <c r="P159" s="2215">
        <v>0</v>
      </c>
      <c r="Q159" s="2215">
        <v>0</v>
      </c>
      <c r="R159" s="2215">
        <v>0</v>
      </c>
      <c r="S159" s="2215">
        <v>0.91916666666666702</v>
      </c>
      <c r="T159" s="2215">
        <v>0</v>
      </c>
      <c r="U159" s="2215">
        <v>0</v>
      </c>
      <c r="V159" s="2215">
        <v>2</v>
      </c>
      <c r="W159" s="2215">
        <v>0</v>
      </c>
      <c r="X159" s="2215">
        <v>0</v>
      </c>
      <c r="Y159" s="2215">
        <v>1</v>
      </c>
      <c r="Z159" s="2215">
        <v>0</v>
      </c>
      <c r="AA159" s="2215">
        <v>0</v>
      </c>
      <c r="AB159" s="2215">
        <v>0</v>
      </c>
      <c r="AC159" s="2215">
        <v>2</v>
      </c>
      <c r="AD159" s="2215">
        <v>0</v>
      </c>
      <c r="AE159" s="2215">
        <v>1</v>
      </c>
      <c r="AF159" s="2216">
        <v>3</v>
      </c>
      <c r="AG159" s="644"/>
      <c r="AH159" s="644"/>
      <c r="AI159" s="2072">
        <f>G159*Risk_Compensation!$AK120*12/1000000</f>
        <v>3.3658088378903999E-3</v>
      </c>
      <c r="AJ159" s="2066">
        <f>H159*Risk_Compensation!$AK120*12/1000000</f>
        <v>0</v>
      </c>
      <c r="AK159" s="2066">
        <f>I159*Risk_Compensation!$AK120*12/1000000</f>
        <v>0</v>
      </c>
      <c r="AL159" s="2066">
        <f>J159*Risk_Compensation!$AK120*12/1000000</f>
        <v>0</v>
      </c>
      <c r="AM159" s="2066">
        <f>K159*Risk_Compensation!$AK120*12/1000000</f>
        <v>0</v>
      </c>
      <c r="AN159" s="2066">
        <f>L159*Risk_Compensation!$AK120*12/1000000</f>
        <v>0</v>
      </c>
      <c r="AO159" s="2066">
        <f>M159*Risk_Compensation!$AK120*12/1000000</f>
        <v>3.3658088378903999E-3</v>
      </c>
      <c r="AP159" s="2066">
        <f>N159*Risk_Compensation!$AK120*12/1000000</f>
        <v>1.0097426513671201E-2</v>
      </c>
      <c r="AQ159" s="2066">
        <f>O159*Risk_Compensation!$AK120*12/1000000</f>
        <v>0</v>
      </c>
      <c r="AR159" s="2066">
        <f>P159*Risk_Compensation!$AK120*12/1000000</f>
        <v>0</v>
      </c>
      <c r="AS159" s="2066">
        <f>Q159*Risk_Compensation!$AK120*12/1000000</f>
        <v>0</v>
      </c>
      <c r="AT159" s="2066">
        <f>R159*Risk_Compensation!$AK120*12/1000000</f>
        <v>0</v>
      </c>
      <c r="AU159" s="2066">
        <f>S159*Risk_Compensation!$AK120*12/1000000</f>
        <v>3.0937392901609273E-3</v>
      </c>
      <c r="AV159" s="2066">
        <f>T159*Risk_Compensation!$AK120*12/1000000</f>
        <v>0</v>
      </c>
      <c r="AW159" s="2066">
        <f>U159*Risk_Compensation!$AK120*12/1000000</f>
        <v>0</v>
      </c>
      <c r="AX159" s="2066">
        <f>V159*Risk_Compensation!$AK120*12/1000000</f>
        <v>6.7316176757807999E-3</v>
      </c>
      <c r="AY159" s="2066">
        <f>W159*Risk_Compensation!$AK120*12/1000000</f>
        <v>0</v>
      </c>
      <c r="AZ159" s="2066">
        <f>X159*Risk_Compensation!$AK120*12/1000000</f>
        <v>0</v>
      </c>
      <c r="BA159" s="2066">
        <f>Y159*Risk_Compensation!$AK120*12/1000000</f>
        <v>3.3658088378903999E-3</v>
      </c>
      <c r="BB159" s="2066">
        <f>Z159*Risk_Compensation!$AK120*12/1000000</f>
        <v>0</v>
      </c>
      <c r="BC159" s="2066">
        <f>AA159*Risk_Compensation!$AK120*12/1000000</f>
        <v>0</v>
      </c>
      <c r="BD159" s="2066">
        <f>AB159*Risk_Compensation!$AK120*12/1000000</f>
        <v>0</v>
      </c>
      <c r="BE159" s="2066">
        <f>AC159*Risk_Compensation!$AK120*12/1000000</f>
        <v>6.7316176757807999E-3</v>
      </c>
      <c r="BF159" s="2066">
        <f>AD159*Risk_Compensation!$AK120*12/1000000</f>
        <v>0</v>
      </c>
      <c r="BG159" s="2066">
        <f>AE159*Risk_Compensation!$AK120*12/1000000</f>
        <v>3.3658088378903999E-3</v>
      </c>
      <c r="BH159" s="2067">
        <f>AF159*Risk_Compensation!$AK120*12/1000000</f>
        <v>1.0097426513671201E-2</v>
      </c>
      <c r="CM159" s="2588"/>
      <c r="CN159" s="2589"/>
      <c r="CO159" s="1434">
        <v>1</v>
      </c>
      <c r="CP159" s="1434">
        <v>2</v>
      </c>
      <c r="CQ159" s="1434">
        <v>3</v>
      </c>
      <c r="CR159" s="1434">
        <v>4</v>
      </c>
      <c r="CS159" s="1434">
        <v>5</v>
      </c>
      <c r="CT159" s="1434">
        <v>6</v>
      </c>
      <c r="CU159" s="1434">
        <v>7</v>
      </c>
      <c r="CV159" s="1434">
        <v>8</v>
      </c>
      <c r="CW159" s="1434">
        <v>9</v>
      </c>
      <c r="CX159" s="1434">
        <v>10</v>
      </c>
      <c r="CY159" s="1434">
        <v>11</v>
      </c>
      <c r="CZ159" s="1434">
        <v>12</v>
      </c>
      <c r="DA159" s="1434">
        <v>13</v>
      </c>
      <c r="DB159" s="1434">
        <v>14</v>
      </c>
      <c r="DC159" s="1434">
        <v>15</v>
      </c>
      <c r="DD159" s="1434">
        <v>16</v>
      </c>
      <c r="DE159" s="1434">
        <v>17</v>
      </c>
      <c r="DF159" s="1434">
        <v>18</v>
      </c>
      <c r="DG159" s="1434">
        <v>19</v>
      </c>
      <c r="DH159" s="1434">
        <v>20</v>
      </c>
      <c r="DI159" s="1434">
        <v>21</v>
      </c>
      <c r="DJ159" s="1434">
        <v>22</v>
      </c>
      <c r="DK159" s="1434">
        <v>23</v>
      </c>
      <c r="DL159" s="1434">
        <v>24</v>
      </c>
      <c r="DM159" s="1434">
        <v>25</v>
      </c>
      <c r="DN159" s="1435">
        <v>26</v>
      </c>
      <c r="DO159" s="2110"/>
    </row>
    <row r="160" spans="3:119" ht="12.75" x14ac:dyDescent="0.2">
      <c r="D160" s="644"/>
      <c r="E160" s="644"/>
      <c r="F160" s="1820"/>
      <c r="G160" s="644"/>
      <c r="H160" s="644"/>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44"/>
      <c r="AO160" s="644"/>
      <c r="AP160" s="644"/>
      <c r="AQ160" s="644"/>
      <c r="AR160" s="644"/>
      <c r="AS160" s="644"/>
      <c r="AT160" s="644"/>
      <c r="AU160" s="644"/>
      <c r="AV160" s="644"/>
      <c r="AW160" s="644"/>
      <c r="AX160" s="644"/>
      <c r="AY160" s="644"/>
      <c r="AZ160" s="644"/>
      <c r="BA160" s="644"/>
      <c r="BB160" s="644"/>
      <c r="BC160" s="644"/>
      <c r="BD160" s="644"/>
      <c r="BE160" s="644"/>
      <c r="BF160" s="644"/>
      <c r="BG160" s="644"/>
      <c r="BH160" s="644"/>
      <c r="CM160" s="2588"/>
      <c r="CN160" s="2589"/>
      <c r="CO160" s="1437" t="s">
        <v>1877</v>
      </c>
      <c r="CP160" s="1437" t="s">
        <v>1878</v>
      </c>
      <c r="CQ160" s="1437" t="s">
        <v>1879</v>
      </c>
      <c r="CR160" s="1437" t="s">
        <v>1880</v>
      </c>
      <c r="CS160" s="1437" t="s">
        <v>1881</v>
      </c>
      <c r="CT160" s="1437" t="s">
        <v>1882</v>
      </c>
      <c r="CU160" s="1437" t="s">
        <v>1883</v>
      </c>
      <c r="CV160" s="1437" t="s">
        <v>1884</v>
      </c>
      <c r="CW160" s="1437" t="s">
        <v>1885</v>
      </c>
      <c r="CX160" s="1437" t="s">
        <v>1886</v>
      </c>
      <c r="CY160" s="1437" t="s">
        <v>1887</v>
      </c>
      <c r="CZ160" s="1437" t="s">
        <v>1888</v>
      </c>
      <c r="DA160" s="1437" t="s">
        <v>1889</v>
      </c>
      <c r="DB160" s="1437" t="s">
        <v>1890</v>
      </c>
      <c r="DC160" s="1437" t="s">
        <v>1891</v>
      </c>
      <c r="DD160" s="1437" t="s">
        <v>1892</v>
      </c>
      <c r="DE160" s="1437" t="s">
        <v>1893</v>
      </c>
      <c r="DF160" s="1437" t="s">
        <v>1894</v>
      </c>
      <c r="DG160" s="1437" t="s">
        <v>1895</v>
      </c>
      <c r="DH160" s="1437" t="s">
        <v>1896</v>
      </c>
      <c r="DI160" s="1437" t="s">
        <v>1897</v>
      </c>
      <c r="DJ160" s="1437" t="s">
        <v>1898</v>
      </c>
      <c r="DK160" s="1437" t="s">
        <v>1899</v>
      </c>
      <c r="DL160" s="1437" t="s">
        <v>1900</v>
      </c>
      <c r="DM160" s="1437" t="s">
        <v>1901</v>
      </c>
      <c r="DN160" s="1438" t="s">
        <v>1902</v>
      </c>
      <c r="DO160" s="1622" t="s">
        <v>55</v>
      </c>
    </row>
    <row r="161" spans="4:119" ht="12.75" x14ac:dyDescent="0.2">
      <c r="D161" s="644"/>
      <c r="E161" s="2088"/>
      <c r="F161" s="1438" t="str">
        <f>Translation!B$582</f>
        <v>Summe</v>
      </c>
      <c r="G161" s="1624">
        <f t="shared" ref="G161:AF161" si="65">SUM(G126:G159)</f>
        <v>2746.8808333333368</v>
      </c>
      <c r="H161" s="1624">
        <f t="shared" si="65"/>
        <v>40.702499999999972</v>
      </c>
      <c r="I161" s="1624">
        <f t="shared" si="65"/>
        <v>176.67333333333323</v>
      </c>
      <c r="J161" s="1624">
        <f t="shared" si="65"/>
        <v>4528.1166666666704</v>
      </c>
      <c r="K161" s="1624">
        <f t="shared" si="65"/>
        <v>1195.555833333334</v>
      </c>
      <c r="L161" s="1624">
        <f t="shared" si="65"/>
        <v>747.80333333333249</v>
      </c>
      <c r="M161" s="1624">
        <f t="shared" si="65"/>
        <v>1563.5933333333339</v>
      </c>
      <c r="N161" s="1624">
        <f t="shared" si="65"/>
        <v>2315.6750000000038</v>
      </c>
      <c r="O161" s="1624">
        <f t="shared" si="65"/>
        <v>140.90583333333331</v>
      </c>
      <c r="P161" s="1624">
        <f t="shared" si="65"/>
        <v>666.85916666666697</v>
      </c>
      <c r="Q161" s="1624">
        <f t="shared" si="65"/>
        <v>263.27250000000026</v>
      </c>
      <c r="R161" s="1624">
        <f t="shared" si="65"/>
        <v>1497.7558333333347</v>
      </c>
      <c r="S161" s="1624">
        <f t="shared" si="65"/>
        <v>854.89499999999953</v>
      </c>
      <c r="T161" s="1624">
        <f t="shared" si="65"/>
        <v>151.51333333333335</v>
      </c>
      <c r="U161" s="1624">
        <f t="shared" si="65"/>
        <v>144.99666666666658</v>
      </c>
      <c r="V161" s="1624">
        <f t="shared" si="65"/>
        <v>1845.0875000000005</v>
      </c>
      <c r="W161" s="1624">
        <f t="shared" si="65"/>
        <v>327.45916666666653</v>
      </c>
      <c r="X161" s="1624">
        <f t="shared" si="65"/>
        <v>1194.8991666666659</v>
      </c>
      <c r="Y161" s="1624">
        <f t="shared" si="65"/>
        <v>569.5933333333337</v>
      </c>
      <c r="Z161" s="1624">
        <f t="shared" si="65"/>
        <v>983.49916666666672</v>
      </c>
      <c r="AA161" s="1624">
        <f t="shared" si="65"/>
        <v>1293.9483333333333</v>
      </c>
      <c r="AB161" s="1624">
        <f t="shared" si="65"/>
        <v>110.66666666666667</v>
      </c>
      <c r="AC161" s="1624">
        <f t="shared" si="65"/>
        <v>3560.3408333333309</v>
      </c>
      <c r="AD161" s="1624">
        <f t="shared" si="65"/>
        <v>1282.7683333333339</v>
      </c>
      <c r="AE161" s="1624">
        <f t="shared" si="65"/>
        <v>513.33499999999958</v>
      </c>
      <c r="AF161" s="1817">
        <f t="shared" si="65"/>
        <v>6312.1124999999965</v>
      </c>
      <c r="AG161" s="644"/>
      <c r="AH161" s="1438" t="str">
        <f>Translation!B$582</f>
        <v>Summe</v>
      </c>
      <c r="AI161" s="2068">
        <f t="shared" ref="AI161:BH161" si="66">SUM(AI126:AI159)</f>
        <v>15.696612096936446</v>
      </c>
      <c r="AJ161" s="2083">
        <f t="shared" si="66"/>
        <v>0.18498082747618289</v>
      </c>
      <c r="AK161" s="2083">
        <f t="shared" si="66"/>
        <v>1.0343274823018749</v>
      </c>
      <c r="AL161" s="2083">
        <f t="shared" si="66"/>
        <v>26.424325936127637</v>
      </c>
      <c r="AM161" s="2083">
        <f t="shared" si="66"/>
        <v>7.3339988113079944</v>
      </c>
      <c r="AN161" s="2083">
        <f t="shared" si="66"/>
        <v>4.4120202205255268</v>
      </c>
      <c r="AO161" s="2083">
        <f t="shared" si="66"/>
        <v>9.2320610543245643</v>
      </c>
      <c r="AP161" s="2083">
        <f t="shared" si="66"/>
        <v>13.208696514052585</v>
      </c>
      <c r="AQ161" s="2083">
        <f t="shared" si="66"/>
        <v>0.75531166731866828</v>
      </c>
      <c r="AR161" s="2083">
        <f t="shared" si="66"/>
        <v>4.0546267913194178</v>
      </c>
      <c r="AS161" s="2083">
        <f t="shared" si="66"/>
        <v>1.6928939477290939</v>
      </c>
      <c r="AT161" s="2083">
        <f t="shared" si="66"/>
        <v>8.8581509144071564</v>
      </c>
      <c r="AU161" s="2083">
        <f t="shared" si="66"/>
        <v>5.1426537307856695</v>
      </c>
      <c r="AV161" s="2083">
        <f t="shared" si="66"/>
        <v>0.84868062015679613</v>
      </c>
      <c r="AW161" s="2083">
        <f t="shared" si="66"/>
        <v>0.7653889840575604</v>
      </c>
      <c r="AX161" s="2083">
        <f t="shared" si="66"/>
        <v>11.458061931391843</v>
      </c>
      <c r="AY161" s="2083">
        <f t="shared" si="66"/>
        <v>1.8183635654597812</v>
      </c>
      <c r="AZ161" s="2083">
        <f t="shared" si="66"/>
        <v>7.315987878674493</v>
      </c>
      <c r="BA161" s="2083">
        <f t="shared" si="66"/>
        <v>3.0672818027059212</v>
      </c>
      <c r="BB161" s="2083">
        <f t="shared" si="66"/>
        <v>5.7164125824733674</v>
      </c>
      <c r="BC161" s="2083">
        <f t="shared" si="66"/>
        <v>7.7802181907462096</v>
      </c>
      <c r="BD161" s="2083">
        <f t="shared" si="66"/>
        <v>0.58422436257166699</v>
      </c>
      <c r="BE161" s="2083">
        <f t="shared" si="66"/>
        <v>22.189567635535607</v>
      </c>
      <c r="BF161" s="2083">
        <f t="shared" si="66"/>
        <v>7.8995589406556901</v>
      </c>
      <c r="BG161" s="2083">
        <f t="shared" si="66"/>
        <v>3.0144960862647454</v>
      </c>
      <c r="BH161" s="2084">
        <f t="shared" si="66"/>
        <v>35.539347229530435</v>
      </c>
      <c r="CM161" s="2162" t="str">
        <f>Translation!B$627</f>
        <v>Junge Erwachsene</v>
      </c>
      <c r="CN161" s="2163"/>
      <c r="CO161" s="2096">
        <f>CO152*CO143*12/1000000</f>
        <v>0</v>
      </c>
      <c r="CP161" s="2096">
        <f t="shared" ref="CP161:DN162" si="67">CP152*CP143*12/1000000</f>
        <v>0</v>
      </c>
      <c r="CQ161" s="2096">
        <f t="shared" si="67"/>
        <v>0</v>
      </c>
      <c r="CR161" s="2096">
        <f t="shared" si="67"/>
        <v>0</v>
      </c>
      <c r="CS161" s="2096">
        <f t="shared" si="67"/>
        <v>0</v>
      </c>
      <c r="CT161" s="2096">
        <f t="shared" si="67"/>
        <v>0</v>
      </c>
      <c r="CU161" s="2096">
        <f t="shared" si="67"/>
        <v>0</v>
      </c>
      <c r="CV161" s="2096">
        <f t="shared" si="67"/>
        <v>0</v>
      </c>
      <c r="CW161" s="2096">
        <f t="shared" si="67"/>
        <v>0</v>
      </c>
      <c r="CX161" s="2096">
        <f t="shared" si="67"/>
        <v>0</v>
      </c>
      <c r="CY161" s="2096">
        <f t="shared" si="67"/>
        <v>0</v>
      </c>
      <c r="CZ161" s="2096">
        <f t="shared" si="67"/>
        <v>0</v>
      </c>
      <c r="DA161" s="2096">
        <f t="shared" si="67"/>
        <v>0</v>
      </c>
      <c r="DB161" s="2096">
        <f t="shared" si="67"/>
        <v>0</v>
      </c>
      <c r="DC161" s="2096">
        <f t="shared" si="67"/>
        <v>0</v>
      </c>
      <c r="DD161" s="2096">
        <f t="shared" si="67"/>
        <v>0</v>
      </c>
      <c r="DE161" s="2096">
        <f t="shared" si="67"/>
        <v>0</v>
      </c>
      <c r="DF161" s="2096">
        <f t="shared" si="67"/>
        <v>0</v>
      </c>
      <c r="DG161" s="2096">
        <f t="shared" si="67"/>
        <v>0</v>
      </c>
      <c r="DH161" s="2096">
        <f t="shared" si="67"/>
        <v>0</v>
      </c>
      <c r="DI161" s="2096">
        <f t="shared" si="67"/>
        <v>0</v>
      </c>
      <c r="DJ161" s="2096">
        <f t="shared" si="67"/>
        <v>0</v>
      </c>
      <c r="DK161" s="2096">
        <f t="shared" si="67"/>
        <v>0</v>
      </c>
      <c r="DL161" s="2096">
        <f t="shared" si="67"/>
        <v>0</v>
      </c>
      <c r="DM161" s="2096">
        <f t="shared" si="67"/>
        <v>0</v>
      </c>
      <c r="DN161" s="2096">
        <f t="shared" si="67"/>
        <v>0</v>
      </c>
      <c r="DO161" s="2114">
        <f>SUM(CO161:DN161)</f>
        <v>0</v>
      </c>
    </row>
    <row r="162" spans="4:119" x14ac:dyDescent="0.2">
      <c r="CM162" s="1823" t="str">
        <f>Translation!B$628</f>
        <v>Ewachsene</v>
      </c>
      <c r="CN162" s="2165"/>
      <c r="CO162" s="2101">
        <f>CO153*CO144*12/1000000</f>
        <v>0</v>
      </c>
      <c r="CP162" s="2101">
        <f t="shared" si="67"/>
        <v>0</v>
      </c>
      <c r="CQ162" s="2101">
        <f t="shared" si="67"/>
        <v>0</v>
      </c>
      <c r="CR162" s="2101">
        <f t="shared" si="67"/>
        <v>0</v>
      </c>
      <c r="CS162" s="2101">
        <f t="shared" si="67"/>
        <v>0</v>
      </c>
      <c r="CT162" s="2101">
        <f t="shared" si="67"/>
        <v>0</v>
      </c>
      <c r="CU162" s="2101">
        <f t="shared" si="67"/>
        <v>0</v>
      </c>
      <c r="CV162" s="2101">
        <f t="shared" si="67"/>
        <v>0</v>
      </c>
      <c r="CW162" s="2101">
        <f t="shared" si="67"/>
        <v>0</v>
      </c>
      <c r="CX162" s="2101">
        <f t="shared" si="67"/>
        <v>0</v>
      </c>
      <c r="CY162" s="2101">
        <f t="shared" si="67"/>
        <v>0</v>
      </c>
      <c r="CZ162" s="2101">
        <f t="shared" si="67"/>
        <v>0</v>
      </c>
      <c r="DA162" s="2101">
        <f t="shared" si="67"/>
        <v>0</v>
      </c>
      <c r="DB162" s="2101">
        <f t="shared" si="67"/>
        <v>0</v>
      </c>
      <c r="DC162" s="2101">
        <f t="shared" si="67"/>
        <v>0</v>
      </c>
      <c r="DD162" s="2101">
        <f t="shared" si="67"/>
        <v>0</v>
      </c>
      <c r="DE162" s="2101">
        <f t="shared" si="67"/>
        <v>0</v>
      </c>
      <c r="DF162" s="2101">
        <f t="shared" si="67"/>
        <v>0</v>
      </c>
      <c r="DG162" s="2101">
        <f t="shared" si="67"/>
        <v>0</v>
      </c>
      <c r="DH162" s="2101">
        <f t="shared" si="67"/>
        <v>0</v>
      </c>
      <c r="DI162" s="2101">
        <f t="shared" si="67"/>
        <v>0</v>
      </c>
      <c r="DJ162" s="2101">
        <f t="shared" si="67"/>
        <v>0</v>
      </c>
      <c r="DK162" s="2101">
        <f t="shared" si="67"/>
        <v>0</v>
      </c>
      <c r="DL162" s="2101">
        <f t="shared" si="67"/>
        <v>0</v>
      </c>
      <c r="DM162" s="2101">
        <f t="shared" si="67"/>
        <v>0</v>
      </c>
      <c r="DN162" s="2101">
        <f t="shared" si="67"/>
        <v>0</v>
      </c>
      <c r="DO162" s="2115">
        <f>SUM(CO162:DN162)</f>
        <v>0</v>
      </c>
    </row>
    <row r="163" spans="4:119" ht="12.75" x14ac:dyDescent="0.2">
      <c r="CM163" s="2584" t="s">
        <v>55</v>
      </c>
      <c r="CN163" s="2585"/>
      <c r="CO163" s="2099">
        <f>CO162+CO161</f>
        <v>0</v>
      </c>
      <c r="CP163" s="2099">
        <f t="shared" ref="CP163:DN163" si="68">CP162+CP161</f>
        <v>0</v>
      </c>
      <c r="CQ163" s="2099">
        <f t="shared" si="68"/>
        <v>0</v>
      </c>
      <c r="CR163" s="2099">
        <f t="shared" si="68"/>
        <v>0</v>
      </c>
      <c r="CS163" s="2099">
        <f t="shared" si="68"/>
        <v>0</v>
      </c>
      <c r="CT163" s="2099">
        <f t="shared" si="68"/>
        <v>0</v>
      </c>
      <c r="CU163" s="2099">
        <f t="shared" si="68"/>
        <v>0</v>
      </c>
      <c r="CV163" s="2099">
        <f t="shared" si="68"/>
        <v>0</v>
      </c>
      <c r="CW163" s="2099">
        <f t="shared" si="68"/>
        <v>0</v>
      </c>
      <c r="CX163" s="2099">
        <f t="shared" si="68"/>
        <v>0</v>
      </c>
      <c r="CY163" s="2099">
        <f t="shared" si="68"/>
        <v>0</v>
      </c>
      <c r="CZ163" s="2099">
        <f t="shared" si="68"/>
        <v>0</v>
      </c>
      <c r="DA163" s="2099">
        <f t="shared" si="68"/>
        <v>0</v>
      </c>
      <c r="DB163" s="2099">
        <f t="shared" si="68"/>
        <v>0</v>
      </c>
      <c r="DC163" s="2099">
        <f t="shared" si="68"/>
        <v>0</v>
      </c>
      <c r="DD163" s="2099">
        <f t="shared" si="68"/>
        <v>0</v>
      </c>
      <c r="DE163" s="2099">
        <f t="shared" si="68"/>
        <v>0</v>
      </c>
      <c r="DF163" s="2099">
        <f t="shared" si="68"/>
        <v>0</v>
      </c>
      <c r="DG163" s="2099">
        <f t="shared" si="68"/>
        <v>0</v>
      </c>
      <c r="DH163" s="2099">
        <f t="shared" si="68"/>
        <v>0</v>
      </c>
      <c r="DI163" s="2099">
        <f t="shared" si="68"/>
        <v>0</v>
      </c>
      <c r="DJ163" s="2099">
        <f t="shared" si="68"/>
        <v>0</v>
      </c>
      <c r="DK163" s="2099">
        <f t="shared" si="68"/>
        <v>0</v>
      </c>
      <c r="DL163" s="2099">
        <f t="shared" si="68"/>
        <v>0</v>
      </c>
      <c r="DM163" s="2099">
        <f t="shared" si="68"/>
        <v>0</v>
      </c>
      <c r="DN163" s="2099">
        <f t="shared" si="68"/>
        <v>0</v>
      </c>
      <c r="DO163" s="2116">
        <f>SUM(CO163:DN163)</f>
        <v>0</v>
      </c>
    </row>
    <row r="166" spans="4:119" ht="15" customHeight="1" x14ac:dyDescent="0.2">
      <c r="CM166" s="2582" t="s">
        <v>2434</v>
      </c>
      <c r="CN166" s="2583"/>
    </row>
    <row r="167" spans="4:119" ht="21.75" customHeight="1" x14ac:dyDescent="0.2">
      <c r="CM167" s="2583"/>
      <c r="CN167" s="2583"/>
      <c r="CO167" s="1426">
        <f>CO152/CO135-CO153/CO136</f>
        <v>0</v>
      </c>
      <c r="CP167" s="1426">
        <f t="shared" ref="CP167:DN167" si="69">CP152/CP135-CP153/CP136</f>
        <v>0</v>
      </c>
      <c r="CQ167" s="1426">
        <f t="shared" si="69"/>
        <v>0</v>
      </c>
      <c r="CR167" s="1426">
        <f t="shared" si="69"/>
        <v>0</v>
      </c>
      <c r="CS167" s="1426">
        <f t="shared" si="69"/>
        <v>0</v>
      </c>
      <c r="CT167" s="1426">
        <f t="shared" si="69"/>
        <v>0</v>
      </c>
      <c r="CU167" s="1426">
        <f t="shared" si="69"/>
        <v>0</v>
      </c>
      <c r="CV167" s="1426">
        <f t="shared" si="69"/>
        <v>0</v>
      </c>
      <c r="CW167" s="1426">
        <f t="shared" si="69"/>
        <v>0</v>
      </c>
      <c r="CX167" s="1426">
        <f t="shared" si="69"/>
        <v>0</v>
      </c>
      <c r="CY167" s="1426">
        <f t="shared" si="69"/>
        <v>0</v>
      </c>
      <c r="CZ167" s="1426">
        <f t="shared" si="69"/>
        <v>0</v>
      </c>
      <c r="DA167" s="1426">
        <f t="shared" si="69"/>
        <v>0</v>
      </c>
      <c r="DB167" s="1426">
        <f t="shared" si="69"/>
        <v>0</v>
      </c>
      <c r="DC167" s="1426">
        <f t="shared" si="69"/>
        <v>0</v>
      </c>
      <c r="DD167" s="1426">
        <f t="shared" si="69"/>
        <v>0</v>
      </c>
      <c r="DE167" s="1426">
        <f t="shared" si="69"/>
        <v>0</v>
      </c>
      <c r="DF167" s="1426">
        <f t="shared" si="69"/>
        <v>0</v>
      </c>
      <c r="DG167" s="1426">
        <f t="shared" si="69"/>
        <v>0</v>
      </c>
      <c r="DH167" s="1426">
        <f t="shared" si="69"/>
        <v>0</v>
      </c>
      <c r="DI167" s="1426">
        <f t="shared" si="69"/>
        <v>0</v>
      </c>
      <c r="DJ167" s="1426">
        <f t="shared" si="69"/>
        <v>0</v>
      </c>
      <c r="DK167" s="1426">
        <f t="shared" si="69"/>
        <v>0</v>
      </c>
      <c r="DL167" s="1426">
        <f t="shared" si="69"/>
        <v>0</v>
      </c>
      <c r="DM167" s="1426">
        <f t="shared" si="69"/>
        <v>0</v>
      </c>
      <c r="DN167" s="1426">
        <f t="shared" si="69"/>
        <v>0</v>
      </c>
    </row>
    <row r="195" spans="63:88" x14ac:dyDescent="0.2">
      <c r="BK195" s="2134"/>
      <c r="BL195" s="2134"/>
      <c r="BM195" s="2134"/>
      <c r="BN195" s="2134"/>
      <c r="BO195" s="2134"/>
      <c r="BP195" s="2134"/>
      <c r="BQ195" s="2134"/>
      <c r="BR195" s="2134"/>
      <c r="BS195" s="2134"/>
      <c r="BT195" s="2134"/>
      <c r="BU195" s="2134"/>
      <c r="BV195" s="2134"/>
      <c r="BW195" s="2134"/>
      <c r="BX195" s="2134"/>
      <c r="BY195" s="2134"/>
      <c r="BZ195" s="2134"/>
      <c r="CA195" s="2134"/>
      <c r="CB195" s="2134"/>
      <c r="CC195" s="2134"/>
      <c r="CD195" s="2134"/>
      <c r="CE195" s="2134"/>
      <c r="CF195" s="2134"/>
      <c r="CG195" s="2134"/>
      <c r="CH195" s="2134"/>
      <c r="CI195" s="2134"/>
      <c r="CJ195" s="2134"/>
    </row>
    <row r="197" spans="63:88" x14ac:dyDescent="0.2">
      <c r="BK197" s="2134"/>
      <c r="BL197" s="2134"/>
      <c r="BM197" s="2134"/>
      <c r="BN197" s="2134"/>
      <c r="BO197" s="2134"/>
      <c r="BP197" s="2134"/>
      <c r="BQ197" s="2134"/>
      <c r="BR197" s="2134"/>
      <c r="BS197" s="2134"/>
      <c r="BT197" s="2134"/>
      <c r="BU197" s="2134"/>
      <c r="BV197" s="2134"/>
      <c r="BW197" s="2134"/>
      <c r="BX197" s="2134"/>
      <c r="BY197" s="2134"/>
      <c r="BZ197" s="2134"/>
      <c r="CA197" s="2134"/>
      <c r="CB197" s="2134"/>
      <c r="CC197" s="2134"/>
      <c r="CD197" s="2134"/>
      <c r="CE197" s="2134"/>
      <c r="CF197" s="2134"/>
      <c r="CG197" s="2134"/>
      <c r="CH197" s="2134"/>
      <c r="CI197" s="2134"/>
      <c r="CJ197" s="2134"/>
    </row>
    <row r="198" spans="63:88" x14ac:dyDescent="0.2">
      <c r="BK198" s="1816"/>
      <c r="BL198" s="1816"/>
      <c r="BM198" s="1816"/>
      <c r="BN198" s="1816"/>
      <c r="BO198" s="1816"/>
      <c r="BP198" s="1816"/>
      <c r="BQ198" s="1816"/>
      <c r="BR198" s="1816"/>
      <c r="BS198" s="1816"/>
      <c r="BT198" s="1816"/>
      <c r="BU198" s="1816"/>
      <c r="BV198" s="1816"/>
      <c r="BW198" s="1816"/>
      <c r="BX198" s="1816"/>
      <c r="BY198" s="1816"/>
      <c r="BZ198" s="1816"/>
      <c r="CA198" s="1816"/>
      <c r="CB198" s="1816"/>
      <c r="CC198" s="1816"/>
      <c r="CD198" s="1816"/>
      <c r="CE198" s="1816"/>
      <c r="CF198" s="1816"/>
      <c r="CG198" s="1816"/>
      <c r="CH198" s="1816"/>
      <c r="CI198" s="1816"/>
      <c r="CJ198" s="1816"/>
    </row>
    <row r="199" spans="63:88" x14ac:dyDescent="0.2">
      <c r="BK199" s="2134"/>
      <c r="BL199" s="2134"/>
      <c r="BM199" s="2134"/>
      <c r="BN199" s="2134"/>
      <c r="BO199" s="2134"/>
      <c r="BP199" s="2134"/>
      <c r="BQ199" s="2134"/>
      <c r="BR199" s="2134"/>
      <c r="BS199" s="2134"/>
      <c r="BT199" s="2134"/>
      <c r="BU199" s="2134"/>
      <c r="BV199" s="2134"/>
      <c r="BW199" s="2134"/>
      <c r="BX199" s="2134"/>
      <c r="BY199" s="2134"/>
      <c r="BZ199" s="2134"/>
      <c r="CA199" s="2134"/>
      <c r="CB199" s="2134"/>
      <c r="CC199" s="2134"/>
      <c r="CD199" s="2134"/>
      <c r="CE199" s="2134"/>
      <c r="CF199" s="2134"/>
      <c r="CG199" s="2134"/>
      <c r="CH199" s="2134"/>
      <c r="CI199" s="2134"/>
      <c r="CJ199" s="2134"/>
    </row>
  </sheetData>
  <mergeCells count="38">
    <mergeCell ref="CM166:CN167"/>
    <mergeCell ref="DU78:DU80"/>
    <mergeCell ref="CM163:CN163"/>
    <mergeCell ref="CM149:CN151"/>
    <mergeCell ref="CM158:CN160"/>
    <mergeCell ref="CO149:DN149"/>
    <mergeCell ref="CO158:DN158"/>
    <mergeCell ref="CM123:CN125"/>
    <mergeCell ref="CM126:CN126"/>
    <mergeCell ref="CM127:CN127"/>
    <mergeCell ref="CM128:CN128"/>
    <mergeCell ref="CO140:DN140"/>
    <mergeCell ref="CM140:CN142"/>
    <mergeCell ref="CM132:CN134"/>
    <mergeCell ref="CO132:DN132"/>
    <mergeCell ref="F123:F125"/>
    <mergeCell ref="G123:AF123"/>
    <mergeCell ref="AI78:BH78"/>
    <mergeCell ref="CN78:DM78"/>
    <mergeCell ref="BK78:CJ78"/>
    <mergeCell ref="AI123:BH123"/>
    <mergeCell ref="CO123:DN123"/>
    <mergeCell ref="ES8:ES10"/>
    <mergeCell ref="ER8:ER10"/>
    <mergeCell ref="DO78:DP80"/>
    <mergeCell ref="DP8:EO8"/>
    <mergeCell ref="F8:F10"/>
    <mergeCell ref="G8:AF8"/>
    <mergeCell ref="F78:F80"/>
    <mergeCell ref="G78:AF78"/>
    <mergeCell ref="DO8:DO10"/>
    <mergeCell ref="AH8:AH10"/>
    <mergeCell ref="AI8:BH8"/>
    <mergeCell ref="CM8:CM10"/>
    <mergeCell ref="CN8:DM8"/>
    <mergeCell ref="BJ8:BJ10"/>
    <mergeCell ref="BK8:CJ8"/>
    <mergeCell ref="CK10:CL10"/>
  </mergeCells>
  <hyperlinks>
    <hyperlink ref="A1" location="list_of_sheets!A1" display="36a" xr:uid="{00000000-0004-0000-1500-000000000000}"/>
  </hyperlinks>
  <pageMargins left="0.7" right="0.7" top="0.78740157499999996" bottom="0.78740157499999996" header="0.3" footer="0.3"/>
  <pageSetup paperSize="9" orientation="portrait" r:id="rId1"/>
  <ignoredErrors>
    <ignoredError sqref="E12:E70 EX12:EX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tabColor rgb="FF800000"/>
    <pageSetUpPr autoPageBreaks="0" fitToPage="1"/>
  </sheetPr>
  <dimension ref="A1:H141"/>
  <sheetViews>
    <sheetView workbookViewId="0"/>
  </sheetViews>
  <sheetFormatPr baseColWidth="10" defaultColWidth="11.42578125" defaultRowHeight="12.75" x14ac:dyDescent="0.2"/>
  <cols>
    <col min="1" max="1" width="5.5703125" customWidth="1"/>
    <col min="2" max="2" width="5.7109375" customWidth="1"/>
    <col min="3" max="3" width="8.5703125" style="639" customWidth="1"/>
    <col min="4" max="4" width="5.42578125" style="27" customWidth="1"/>
    <col min="5" max="5" width="55.5703125" customWidth="1"/>
    <col min="6" max="6" width="27" customWidth="1"/>
    <col min="7" max="7" width="135" bestFit="1" customWidth="1"/>
    <col min="8" max="8" width="70.5703125" customWidth="1"/>
    <col min="9" max="9" width="2.5703125" customWidth="1"/>
    <col min="10" max="10" width="68.42578125" customWidth="1"/>
  </cols>
  <sheetData>
    <row r="1" spans="1:8" s="269" customFormat="1" ht="21" thickBot="1" x14ac:dyDescent="0.25">
      <c r="A1" s="2193">
        <v>2</v>
      </c>
      <c r="B1" s="267" t="str">
        <f>Translation!B36</f>
        <v>Liste der Aktualisierungen</v>
      </c>
      <c r="C1" s="627"/>
      <c r="D1" s="628"/>
      <c r="E1" s="268"/>
      <c r="F1" s="268"/>
      <c r="G1" s="268"/>
      <c r="H1" s="268"/>
    </row>
    <row r="2" spans="1:8" s="326" customFormat="1" ht="20.100000000000001" customHeight="1" x14ac:dyDescent="0.2">
      <c r="A2" s="325"/>
      <c r="B2" s="178" t="str">
        <f>Inputparam!C8</f>
        <v xml:space="preserve">0000 </v>
      </c>
      <c r="C2" s="629"/>
      <c r="D2" s="630"/>
    </row>
    <row r="3" spans="1:8" s="326" customFormat="1" ht="15" customHeight="1" x14ac:dyDescent="0.2">
      <c r="A3" s="325"/>
      <c r="B3" s="178"/>
      <c r="C3" s="629"/>
      <c r="D3" s="630"/>
    </row>
    <row r="4" spans="1:8" ht="15.75" x14ac:dyDescent="0.25">
      <c r="B4" s="119" t="s">
        <v>748</v>
      </c>
      <c r="C4" s="631"/>
      <c r="D4" s="136"/>
      <c r="E4" s="8"/>
      <c r="F4" s="8"/>
      <c r="G4" s="8"/>
      <c r="H4" s="8"/>
    </row>
    <row r="6" spans="1:8" s="38" customFormat="1" ht="20.100000000000001" customHeight="1" x14ac:dyDescent="0.2">
      <c r="B6" s="632" t="s">
        <v>315</v>
      </c>
      <c r="C6" s="633" t="s">
        <v>506</v>
      </c>
      <c r="D6" s="634"/>
      <c r="E6" s="632" t="s">
        <v>316</v>
      </c>
      <c r="F6" s="632" t="s">
        <v>507</v>
      </c>
      <c r="G6" s="632" t="s">
        <v>317</v>
      </c>
      <c r="H6" s="632"/>
    </row>
    <row r="7" spans="1:8" s="635" customFormat="1" ht="12.75" customHeight="1" x14ac:dyDescent="0.2">
      <c r="B7" s="636">
        <v>1</v>
      </c>
      <c r="C7" s="637">
        <v>40609</v>
      </c>
      <c r="D7" s="638"/>
      <c r="E7" s="648" t="s">
        <v>749</v>
      </c>
      <c r="F7" s="636"/>
      <c r="G7" s="648" t="s">
        <v>759</v>
      </c>
      <c r="H7" s="636"/>
    </row>
    <row r="8" spans="1:8" s="635" customFormat="1" ht="12.75" customHeight="1" x14ac:dyDescent="0.2">
      <c r="B8" s="636">
        <f t="shared" ref="B8:B14" si="0">B7+1</f>
        <v>2</v>
      </c>
      <c r="C8" s="637">
        <v>40878</v>
      </c>
      <c r="D8" s="638"/>
      <c r="E8" s="648" t="s">
        <v>1746</v>
      </c>
      <c r="F8" s="648"/>
      <c r="G8" s="648" t="s">
        <v>761</v>
      </c>
      <c r="H8" s="636"/>
    </row>
    <row r="9" spans="1:8" s="635" customFormat="1" ht="12.75" customHeight="1" x14ac:dyDescent="0.2">
      <c r="B9" s="636">
        <f t="shared" si="0"/>
        <v>3</v>
      </c>
      <c r="C9" s="637">
        <v>40878</v>
      </c>
      <c r="D9" s="638"/>
      <c r="E9" s="648" t="s">
        <v>758</v>
      </c>
      <c r="F9" s="648"/>
      <c r="G9" s="648" t="s">
        <v>760</v>
      </c>
      <c r="H9" s="636"/>
    </row>
    <row r="10" spans="1:8" s="635" customFormat="1" ht="12.75" customHeight="1" x14ac:dyDescent="0.2">
      <c r="B10" s="636">
        <f>B9+1</f>
        <v>4</v>
      </c>
      <c r="C10" s="637">
        <v>40878</v>
      </c>
      <c r="D10" s="638"/>
      <c r="E10" s="648" t="s">
        <v>753</v>
      </c>
      <c r="F10" s="636"/>
      <c r="G10" s="648" t="s">
        <v>754</v>
      </c>
      <c r="H10" s="636"/>
    </row>
    <row r="11" spans="1:8" s="635" customFormat="1" ht="12.75" customHeight="1" x14ac:dyDescent="0.2">
      <c r="B11" s="636">
        <f t="shared" si="0"/>
        <v>5</v>
      </c>
      <c r="C11" s="637">
        <v>40878</v>
      </c>
      <c r="D11" s="638"/>
      <c r="E11" s="648" t="s">
        <v>755</v>
      </c>
      <c r="F11" s="648"/>
      <c r="G11" s="648" t="s">
        <v>756</v>
      </c>
      <c r="H11" s="636"/>
    </row>
    <row r="12" spans="1:8" s="635" customFormat="1" ht="12.75" customHeight="1" x14ac:dyDescent="0.2">
      <c r="B12" s="636">
        <f t="shared" si="0"/>
        <v>6</v>
      </c>
      <c r="C12" s="637">
        <v>40878</v>
      </c>
      <c r="D12" s="638"/>
      <c r="E12" s="648" t="s">
        <v>1745</v>
      </c>
      <c r="F12" s="648"/>
      <c r="G12" s="648" t="s">
        <v>757</v>
      </c>
      <c r="H12" s="636"/>
    </row>
    <row r="13" spans="1:8" s="635" customFormat="1" ht="12.75" customHeight="1" x14ac:dyDescent="0.2">
      <c r="B13" s="636">
        <f t="shared" si="0"/>
        <v>7</v>
      </c>
      <c r="C13" s="637">
        <v>40878</v>
      </c>
      <c r="D13" s="638"/>
      <c r="E13" s="648" t="s">
        <v>763</v>
      </c>
      <c r="F13" s="648"/>
      <c r="G13" s="648" t="s">
        <v>762</v>
      </c>
      <c r="H13" s="636"/>
    </row>
    <row r="14" spans="1:8" s="635" customFormat="1" ht="12.75" customHeight="1" x14ac:dyDescent="0.2">
      <c r="B14" s="636">
        <f t="shared" si="0"/>
        <v>8</v>
      </c>
      <c r="C14" s="637">
        <v>40878</v>
      </c>
      <c r="D14" s="638"/>
      <c r="E14" s="648" t="s">
        <v>769</v>
      </c>
      <c r="F14" s="659"/>
      <c r="G14" s="648" t="s">
        <v>764</v>
      </c>
      <c r="H14" s="636"/>
    </row>
    <row r="15" spans="1:8" s="635" customFormat="1" ht="12.75" customHeight="1" x14ac:dyDescent="0.2">
      <c r="B15" s="636">
        <f t="shared" ref="B15:B24" si="1">B14+1</f>
        <v>9</v>
      </c>
      <c r="C15" s="637">
        <v>40878</v>
      </c>
      <c r="D15" s="638"/>
      <c r="E15" s="648" t="s">
        <v>769</v>
      </c>
      <c r="F15" s="636"/>
      <c r="G15" s="648" t="s">
        <v>762</v>
      </c>
      <c r="H15" s="636"/>
    </row>
    <row r="16" spans="1:8" s="635" customFormat="1" ht="12.75" customHeight="1" x14ac:dyDescent="0.2">
      <c r="B16" s="636">
        <f t="shared" si="1"/>
        <v>10</v>
      </c>
      <c r="C16" s="637">
        <v>40878</v>
      </c>
      <c r="D16" s="638"/>
      <c r="E16" s="648" t="s">
        <v>769</v>
      </c>
      <c r="F16" s="662"/>
      <c r="G16" s="648" t="s">
        <v>765</v>
      </c>
      <c r="H16" s="636"/>
    </row>
    <row r="17" spans="1:8" s="635" customFormat="1" ht="12.75" customHeight="1" x14ac:dyDescent="0.2">
      <c r="B17" s="636">
        <f t="shared" si="1"/>
        <v>11</v>
      </c>
      <c r="C17" s="637">
        <v>40878</v>
      </c>
      <c r="D17" s="638"/>
      <c r="E17" s="648" t="s">
        <v>769</v>
      </c>
      <c r="F17" s="636"/>
      <c r="G17" s="648" t="s">
        <v>766</v>
      </c>
      <c r="H17" s="636"/>
    </row>
    <row r="18" spans="1:8" s="635" customFormat="1" ht="12.75" customHeight="1" x14ac:dyDescent="0.2">
      <c r="B18" s="636">
        <f t="shared" si="1"/>
        <v>12</v>
      </c>
      <c r="C18" s="637">
        <v>40878</v>
      </c>
      <c r="D18" s="638"/>
      <c r="E18" s="648" t="s">
        <v>769</v>
      </c>
      <c r="F18" s="636"/>
      <c r="G18" s="648" t="s">
        <v>767</v>
      </c>
      <c r="H18" s="636"/>
    </row>
    <row r="19" spans="1:8" s="635" customFormat="1" ht="12.75" customHeight="1" x14ac:dyDescent="0.2">
      <c r="B19" s="636">
        <f t="shared" si="1"/>
        <v>13</v>
      </c>
      <c r="C19" s="637">
        <v>40878</v>
      </c>
      <c r="D19" s="638"/>
      <c r="E19" s="648" t="s">
        <v>768</v>
      </c>
      <c r="F19" s="636"/>
      <c r="G19" s="648" t="s">
        <v>770</v>
      </c>
      <c r="H19" s="636"/>
    </row>
    <row r="20" spans="1:8" s="635" customFormat="1" ht="12.75" customHeight="1" x14ac:dyDescent="0.2">
      <c r="B20" s="636">
        <f t="shared" si="1"/>
        <v>14</v>
      </c>
      <c r="C20" s="637">
        <v>40878</v>
      </c>
      <c r="D20" s="638"/>
      <c r="E20" s="648" t="s">
        <v>771</v>
      </c>
      <c r="F20" s="648"/>
      <c r="G20" s="648" t="s">
        <v>772</v>
      </c>
      <c r="H20" s="636"/>
    </row>
    <row r="21" spans="1:8" s="635" customFormat="1" ht="12.75" customHeight="1" x14ac:dyDescent="0.2">
      <c r="B21" s="636">
        <f t="shared" si="1"/>
        <v>15</v>
      </c>
      <c r="C21" s="637">
        <v>40878</v>
      </c>
      <c r="D21" s="638"/>
      <c r="E21" s="648" t="s">
        <v>773</v>
      </c>
      <c r="F21" s="648"/>
      <c r="G21" s="648" t="s">
        <v>774</v>
      </c>
      <c r="H21" s="636"/>
    </row>
    <row r="22" spans="1:8" s="635" customFormat="1" ht="12.75" customHeight="1" x14ac:dyDescent="0.2">
      <c r="B22" s="636">
        <f t="shared" si="1"/>
        <v>16</v>
      </c>
      <c r="C22" s="637">
        <v>40878</v>
      </c>
      <c r="D22" s="638"/>
      <c r="E22" s="648" t="s">
        <v>775</v>
      </c>
      <c r="F22" s="648"/>
      <c r="G22" s="648" t="s">
        <v>776</v>
      </c>
      <c r="H22" s="636"/>
    </row>
    <row r="23" spans="1:8" s="635" customFormat="1" ht="12.75" customHeight="1" x14ac:dyDescent="0.2">
      <c r="B23" s="636">
        <f t="shared" si="1"/>
        <v>17</v>
      </c>
      <c r="C23" s="637">
        <v>40878</v>
      </c>
      <c r="D23" s="638"/>
      <c r="E23" s="648" t="s">
        <v>777</v>
      </c>
      <c r="F23" s="636"/>
      <c r="G23" s="648" t="s">
        <v>778</v>
      </c>
      <c r="H23" s="636"/>
    </row>
    <row r="24" spans="1:8" s="635" customFormat="1" ht="12.75" customHeight="1" x14ac:dyDescent="0.2">
      <c r="B24" s="636">
        <f t="shared" si="1"/>
        <v>18</v>
      </c>
      <c r="C24" s="637">
        <v>40878</v>
      </c>
      <c r="D24" s="638"/>
      <c r="E24" s="648" t="s">
        <v>779</v>
      </c>
      <c r="F24" s="636"/>
      <c r="G24" s="648" t="s">
        <v>780</v>
      </c>
      <c r="H24" s="636"/>
    </row>
    <row r="25" spans="1:8" s="635" customFormat="1" ht="12.75" customHeight="1" x14ac:dyDescent="0.2">
      <c r="B25" s="636">
        <v>19</v>
      </c>
      <c r="C25" s="637">
        <v>40878</v>
      </c>
      <c r="D25" s="638"/>
      <c r="E25" s="648" t="s">
        <v>1755</v>
      </c>
      <c r="F25" s="636"/>
      <c r="G25" s="648" t="s">
        <v>1747</v>
      </c>
      <c r="H25" s="636"/>
    </row>
    <row r="26" spans="1:8" s="635" customFormat="1" ht="12.75" customHeight="1" x14ac:dyDescent="0.2">
      <c r="A26"/>
      <c r="B26" s="636">
        <v>20</v>
      </c>
      <c r="C26" s="637">
        <v>40878</v>
      </c>
      <c r="D26" s="638"/>
      <c r="E26" s="648" t="s">
        <v>781</v>
      </c>
      <c r="F26" s="636"/>
      <c r="G26" s="648" t="s">
        <v>1754</v>
      </c>
      <c r="H26" s="636"/>
    </row>
    <row r="27" spans="1:8" s="635" customFormat="1" ht="12.75" customHeight="1" x14ac:dyDescent="0.2">
      <c r="A27"/>
      <c r="B27" s="636">
        <v>21</v>
      </c>
      <c r="C27" s="637">
        <v>40878</v>
      </c>
      <c r="D27" s="638"/>
      <c r="E27" s="648" t="s">
        <v>1748</v>
      </c>
      <c r="F27" s="636"/>
      <c r="G27" s="648" t="s">
        <v>1749</v>
      </c>
      <c r="H27" s="636"/>
    </row>
    <row r="28" spans="1:8" s="635" customFormat="1" ht="12.75" customHeight="1" x14ac:dyDescent="0.2">
      <c r="A28"/>
      <c r="B28" s="636"/>
      <c r="C28" s="1018"/>
      <c r="D28" s="638"/>
      <c r="E28" s="648"/>
      <c r="F28" s="636"/>
      <c r="G28" s="648"/>
      <c r="H28" s="648"/>
    </row>
    <row r="29" spans="1:8" s="635" customFormat="1" ht="12.75" customHeight="1" x14ac:dyDescent="0.2">
      <c r="A29"/>
      <c r="B29" s="636">
        <v>22</v>
      </c>
      <c r="C29" s="637">
        <v>40890</v>
      </c>
      <c r="D29" s="638"/>
      <c r="E29" s="648" t="s">
        <v>1768</v>
      </c>
      <c r="F29" s="636"/>
      <c r="G29" s="648" t="s">
        <v>1769</v>
      </c>
      <c r="H29" s="636"/>
    </row>
    <row r="30" spans="1:8" s="635" customFormat="1" ht="12.75" customHeight="1" x14ac:dyDescent="0.2">
      <c r="A30"/>
      <c r="B30" s="636">
        <v>23</v>
      </c>
      <c r="C30" s="1018">
        <v>40890</v>
      </c>
      <c r="D30" s="638"/>
      <c r="E30" s="648" t="s">
        <v>749</v>
      </c>
      <c r="F30" s="636"/>
      <c r="G30" s="648" t="s">
        <v>1770</v>
      </c>
      <c r="H30" s="648"/>
    </row>
    <row r="31" spans="1:8" s="635" customFormat="1" ht="12.75" customHeight="1" x14ac:dyDescent="0.2">
      <c r="A31"/>
      <c r="B31" s="636"/>
      <c r="C31" s="637"/>
      <c r="D31" s="638"/>
      <c r="E31" s="648"/>
      <c r="F31" s="636"/>
      <c r="G31" s="648"/>
      <c r="H31" s="636"/>
    </row>
    <row r="32" spans="1:8" s="635" customFormat="1" ht="12.75" customHeight="1" x14ac:dyDescent="0.2">
      <c r="A32"/>
      <c r="B32" s="636">
        <v>24</v>
      </c>
      <c r="C32" s="1018">
        <v>41244</v>
      </c>
      <c r="D32" s="638"/>
      <c r="E32" s="648" t="s">
        <v>1780</v>
      </c>
      <c r="F32" s="636"/>
      <c r="G32" s="648" t="s">
        <v>1771</v>
      </c>
      <c r="H32" s="648"/>
    </row>
    <row r="33" spans="1:8" s="635" customFormat="1" ht="12.75" customHeight="1" x14ac:dyDescent="0.2">
      <c r="A33"/>
      <c r="B33" s="636">
        <v>25</v>
      </c>
      <c r="C33" s="1018">
        <v>41244</v>
      </c>
      <c r="D33" s="638"/>
      <c r="E33" s="648" t="s">
        <v>771</v>
      </c>
      <c r="F33" s="636"/>
      <c r="G33" s="648" t="s">
        <v>1772</v>
      </c>
      <c r="H33" s="648"/>
    </row>
    <row r="34" spans="1:8" s="635" customFormat="1" ht="12.75" customHeight="1" x14ac:dyDescent="0.2">
      <c r="A34"/>
      <c r="B34" s="636">
        <v>26</v>
      </c>
      <c r="C34" s="637">
        <v>41244</v>
      </c>
      <c r="D34" s="638"/>
      <c r="E34" s="648" t="s">
        <v>1777</v>
      </c>
      <c r="F34" s="648"/>
      <c r="G34" s="648" t="s">
        <v>1773</v>
      </c>
      <c r="H34" s="636"/>
    </row>
    <row r="35" spans="1:8" s="635" customFormat="1" ht="12.75" customHeight="1" x14ac:dyDescent="0.2">
      <c r="A35"/>
      <c r="B35" s="636">
        <v>27</v>
      </c>
      <c r="C35" s="637">
        <v>41244</v>
      </c>
      <c r="D35" s="638"/>
      <c r="E35" s="648" t="s">
        <v>1778</v>
      </c>
      <c r="F35" s="648"/>
      <c r="G35" s="648" t="s">
        <v>1774</v>
      </c>
      <c r="H35" s="636"/>
    </row>
    <row r="36" spans="1:8" x14ac:dyDescent="0.2">
      <c r="B36" s="636">
        <v>28</v>
      </c>
      <c r="C36" s="1018">
        <v>41319</v>
      </c>
      <c r="D36" s="638"/>
      <c r="E36" s="648" t="s">
        <v>1779</v>
      </c>
      <c r="F36" s="648"/>
      <c r="G36" s="648" t="s">
        <v>1776</v>
      </c>
      <c r="H36" s="636"/>
    </row>
    <row r="37" spans="1:8" x14ac:dyDescent="0.2">
      <c r="B37" s="636">
        <v>29</v>
      </c>
      <c r="C37" s="1018">
        <v>41319</v>
      </c>
      <c r="D37" s="638"/>
      <c r="E37" s="648" t="s">
        <v>779</v>
      </c>
      <c r="F37" s="648"/>
      <c r="G37" s="648" t="s">
        <v>1781</v>
      </c>
      <c r="H37" s="636"/>
    </row>
    <row r="38" spans="1:8" x14ac:dyDescent="0.2">
      <c r="B38" s="637"/>
      <c r="C38" s="637"/>
      <c r="D38" s="638"/>
      <c r="E38" s="638"/>
      <c r="F38" s="638"/>
      <c r="G38" s="638"/>
      <c r="H38" s="638"/>
    </row>
    <row r="39" spans="1:8" x14ac:dyDescent="0.2">
      <c r="B39" s="636">
        <v>30</v>
      </c>
      <c r="C39" s="1018">
        <v>41568</v>
      </c>
      <c r="D39" s="638"/>
      <c r="E39" s="648" t="s">
        <v>1780</v>
      </c>
      <c r="F39" s="648"/>
      <c r="G39" s="648" t="s">
        <v>1796</v>
      </c>
      <c r="H39" s="636"/>
    </row>
    <row r="40" spans="1:8" x14ac:dyDescent="0.2">
      <c r="B40" s="636">
        <v>31</v>
      </c>
      <c r="C40" s="1018">
        <v>41568</v>
      </c>
      <c r="D40" s="638"/>
      <c r="E40" s="648" t="s">
        <v>771</v>
      </c>
      <c r="F40" s="648"/>
      <c r="G40" s="1382" t="s">
        <v>1797</v>
      </c>
      <c r="H40" s="636"/>
    </row>
    <row r="41" spans="1:8" x14ac:dyDescent="0.2">
      <c r="B41" s="636">
        <v>32</v>
      </c>
      <c r="C41" s="1018">
        <v>41568</v>
      </c>
      <c r="D41" s="638"/>
      <c r="E41" s="648" t="s">
        <v>769</v>
      </c>
      <c r="F41" s="648"/>
      <c r="G41" s="648" t="s">
        <v>1867</v>
      </c>
      <c r="H41" s="636"/>
    </row>
    <row r="42" spans="1:8" x14ac:dyDescent="0.2">
      <c r="B42" s="636">
        <v>33</v>
      </c>
      <c r="C42" s="1018">
        <v>41568</v>
      </c>
      <c r="D42" s="638"/>
      <c r="E42" s="648" t="s">
        <v>779</v>
      </c>
      <c r="F42" s="648"/>
      <c r="G42" s="648" t="s">
        <v>1804</v>
      </c>
      <c r="H42" s="636"/>
    </row>
    <row r="43" spans="1:8" x14ac:dyDescent="0.2">
      <c r="B43" s="636">
        <v>34</v>
      </c>
      <c r="C43" s="1018">
        <v>41568</v>
      </c>
      <c r="D43" s="638"/>
      <c r="E43" s="648" t="s">
        <v>1805</v>
      </c>
      <c r="F43" s="648"/>
      <c r="G43" s="648" t="s">
        <v>1806</v>
      </c>
      <c r="H43" s="636"/>
    </row>
    <row r="44" spans="1:8" x14ac:dyDescent="0.2">
      <c r="B44" s="636">
        <v>35</v>
      </c>
      <c r="C44" s="1018">
        <v>41583</v>
      </c>
      <c r="D44" s="638"/>
      <c r="E44" s="648" t="s">
        <v>769</v>
      </c>
      <c r="F44" s="648"/>
      <c r="G44" s="648" t="s">
        <v>1811</v>
      </c>
      <c r="H44" s="636"/>
    </row>
    <row r="45" spans="1:8" x14ac:dyDescent="0.2">
      <c r="B45" s="636">
        <v>36</v>
      </c>
      <c r="C45" s="1018">
        <v>41583</v>
      </c>
      <c r="D45" s="638"/>
      <c r="E45" s="648" t="s">
        <v>725</v>
      </c>
      <c r="F45" s="648"/>
      <c r="G45" s="648" t="s">
        <v>1812</v>
      </c>
      <c r="H45" s="636"/>
    </row>
    <row r="46" spans="1:8" x14ac:dyDescent="0.2">
      <c r="B46" s="636">
        <v>37</v>
      </c>
      <c r="C46" s="1018">
        <v>41584</v>
      </c>
      <c r="D46" s="638"/>
      <c r="E46" s="648" t="s">
        <v>1868</v>
      </c>
      <c r="F46" s="648"/>
      <c r="G46" s="648" t="s">
        <v>1869</v>
      </c>
      <c r="H46" s="636"/>
    </row>
    <row r="47" spans="1:8" x14ac:dyDescent="0.2">
      <c r="B47" s="636">
        <v>38</v>
      </c>
      <c r="C47" s="1018">
        <v>41584</v>
      </c>
      <c r="D47" s="638"/>
      <c r="E47" s="648" t="s">
        <v>1870</v>
      </c>
      <c r="F47" s="648"/>
      <c r="G47" s="648" t="s">
        <v>1871</v>
      </c>
      <c r="H47" s="636"/>
    </row>
    <row r="48" spans="1:8" x14ac:dyDescent="0.2">
      <c r="B48" s="636">
        <v>39</v>
      </c>
      <c r="C48" s="1018">
        <v>41604</v>
      </c>
      <c r="D48" s="638"/>
      <c r="E48" s="648" t="s">
        <v>1948</v>
      </c>
      <c r="F48" s="648"/>
      <c r="G48" s="648" t="s">
        <v>1949</v>
      </c>
      <c r="H48" s="636"/>
    </row>
    <row r="49" spans="2:8" x14ac:dyDescent="0.2">
      <c r="B49" s="636">
        <v>40</v>
      </c>
      <c r="C49" s="1018">
        <v>41625</v>
      </c>
      <c r="D49" s="638"/>
      <c r="E49" s="648" t="s">
        <v>1953</v>
      </c>
      <c r="F49" s="648"/>
      <c r="G49" s="648" t="s">
        <v>1952</v>
      </c>
      <c r="H49" s="636"/>
    </row>
    <row r="50" spans="2:8" x14ac:dyDescent="0.2">
      <c r="B50" s="636"/>
      <c r="C50" s="1018"/>
      <c r="D50" s="638"/>
      <c r="E50" s="648"/>
      <c r="F50" s="648"/>
      <c r="G50" s="648"/>
      <c r="H50" s="636"/>
    </row>
    <row r="51" spans="2:8" x14ac:dyDescent="0.2">
      <c r="B51" s="636">
        <v>41</v>
      </c>
      <c r="C51" s="1018">
        <v>41949</v>
      </c>
      <c r="D51" s="638"/>
      <c r="E51" s="648" t="s">
        <v>1780</v>
      </c>
      <c r="F51" s="648"/>
      <c r="G51" s="648" t="s">
        <v>1955</v>
      </c>
      <c r="H51" s="636"/>
    </row>
    <row r="52" spans="2:8" x14ac:dyDescent="0.2">
      <c r="B52" s="636">
        <v>42</v>
      </c>
      <c r="C52" s="1018">
        <v>41949</v>
      </c>
      <c r="D52" s="638"/>
      <c r="E52" s="648" t="s">
        <v>779</v>
      </c>
      <c r="F52" s="648"/>
      <c r="G52" s="648" t="s">
        <v>1804</v>
      </c>
      <c r="H52" s="636"/>
    </row>
    <row r="53" spans="2:8" x14ac:dyDescent="0.2">
      <c r="B53" s="636">
        <v>43</v>
      </c>
      <c r="C53" s="1018">
        <v>41949</v>
      </c>
      <c r="D53" s="638"/>
      <c r="E53" s="648" t="s">
        <v>1958</v>
      </c>
      <c r="F53" s="648"/>
      <c r="G53" s="648" t="s">
        <v>1959</v>
      </c>
      <c r="H53" s="636"/>
    </row>
    <row r="54" spans="2:8" x14ac:dyDescent="0.2">
      <c r="B54" s="1583"/>
      <c r="C54" s="1018"/>
      <c r="D54" s="638"/>
      <c r="E54" s="648"/>
      <c r="F54" s="636"/>
      <c r="G54" s="648"/>
      <c r="H54" s="648"/>
    </row>
    <row r="55" spans="2:8" x14ac:dyDescent="0.2">
      <c r="B55" s="636">
        <v>44</v>
      </c>
      <c r="C55" s="1018">
        <v>42366</v>
      </c>
      <c r="D55" s="638"/>
      <c r="E55" s="648" t="s">
        <v>1780</v>
      </c>
      <c r="F55" s="648"/>
      <c r="G55" s="648" t="s">
        <v>1995</v>
      </c>
      <c r="H55" s="648"/>
    </row>
    <row r="56" spans="2:8" x14ac:dyDescent="0.2">
      <c r="B56" s="636">
        <v>45</v>
      </c>
      <c r="C56" s="1018">
        <v>42366</v>
      </c>
      <c r="D56" s="638"/>
      <c r="E56" s="648" t="s">
        <v>1994</v>
      </c>
      <c r="F56" s="636"/>
      <c r="G56" s="648" t="s">
        <v>1993</v>
      </c>
      <c r="H56" s="648"/>
    </row>
    <row r="57" spans="2:8" x14ac:dyDescent="0.2">
      <c r="B57" s="1619">
        <v>46</v>
      </c>
      <c r="C57" s="639">
        <v>42366</v>
      </c>
      <c r="E57" s="1382" t="s">
        <v>1997</v>
      </c>
      <c r="G57" s="1382" t="s">
        <v>1996</v>
      </c>
    </row>
    <row r="59" spans="2:8" x14ac:dyDescent="0.2">
      <c r="B59">
        <v>47</v>
      </c>
      <c r="C59" s="639">
        <v>42521</v>
      </c>
      <c r="E59" t="s">
        <v>2002</v>
      </c>
      <c r="F59" t="s">
        <v>2003</v>
      </c>
      <c r="G59" t="s">
        <v>2004</v>
      </c>
    </row>
    <row r="60" spans="2:8" x14ac:dyDescent="0.2">
      <c r="B60">
        <v>48</v>
      </c>
      <c r="C60" s="660">
        <v>42521</v>
      </c>
      <c r="E60" s="23" t="s">
        <v>2002</v>
      </c>
      <c r="F60" t="s">
        <v>2005</v>
      </c>
      <c r="G60" t="s">
        <v>2006</v>
      </c>
    </row>
    <row r="61" spans="2:8" x14ac:dyDescent="0.2">
      <c r="B61">
        <v>49</v>
      </c>
      <c r="C61" s="639">
        <v>42521</v>
      </c>
      <c r="E61" s="657" t="s">
        <v>2007</v>
      </c>
      <c r="F61" t="s">
        <v>2008</v>
      </c>
      <c r="G61" t="s">
        <v>2009</v>
      </c>
    </row>
    <row r="62" spans="2:8" x14ac:dyDescent="0.2">
      <c r="B62">
        <v>50</v>
      </c>
      <c r="C62" s="639">
        <v>42521</v>
      </c>
      <c r="E62" s="23" t="s">
        <v>2007</v>
      </c>
      <c r="F62" t="s">
        <v>2010</v>
      </c>
      <c r="G62" t="s">
        <v>2011</v>
      </c>
    </row>
    <row r="63" spans="2:8" x14ac:dyDescent="0.2">
      <c r="B63">
        <v>51</v>
      </c>
      <c r="C63" s="639">
        <v>42521</v>
      </c>
      <c r="E63" t="s">
        <v>2012</v>
      </c>
      <c r="F63" t="s">
        <v>2013</v>
      </c>
      <c r="G63" t="s">
        <v>2014</v>
      </c>
    </row>
    <row r="64" spans="2:8" x14ac:dyDescent="0.2">
      <c r="B64">
        <v>52</v>
      </c>
      <c r="C64" s="639">
        <v>42521</v>
      </c>
      <c r="E64" t="s">
        <v>2015</v>
      </c>
      <c r="F64" t="s">
        <v>2016</v>
      </c>
      <c r="G64" t="s">
        <v>2017</v>
      </c>
    </row>
    <row r="65" spans="2:7" x14ac:dyDescent="0.2">
      <c r="B65">
        <v>53</v>
      </c>
      <c r="C65" s="639">
        <v>42527</v>
      </c>
      <c r="E65" t="s">
        <v>2018</v>
      </c>
      <c r="F65" t="s">
        <v>2019</v>
      </c>
      <c r="G65" t="s">
        <v>2020</v>
      </c>
    </row>
    <row r="66" spans="2:7" x14ac:dyDescent="0.2">
      <c r="B66">
        <v>54</v>
      </c>
      <c r="C66" s="639">
        <v>42527</v>
      </c>
      <c r="E66" t="s">
        <v>2021</v>
      </c>
      <c r="F66" t="s">
        <v>2022</v>
      </c>
      <c r="G66" t="s">
        <v>2023</v>
      </c>
    </row>
    <row r="67" spans="2:7" x14ac:dyDescent="0.2">
      <c r="B67">
        <v>55</v>
      </c>
      <c r="C67" s="639">
        <v>42527</v>
      </c>
      <c r="E67" t="s">
        <v>2021</v>
      </c>
      <c r="F67" t="s">
        <v>2024</v>
      </c>
      <c r="G67" t="s">
        <v>2025</v>
      </c>
    </row>
    <row r="68" spans="2:7" x14ac:dyDescent="0.2">
      <c r="B68">
        <v>56</v>
      </c>
      <c r="C68" s="639">
        <v>42527</v>
      </c>
      <c r="E68" t="s">
        <v>2021</v>
      </c>
      <c r="F68" t="s">
        <v>2026</v>
      </c>
      <c r="G68" t="s">
        <v>2027</v>
      </c>
    </row>
    <row r="69" spans="2:7" x14ac:dyDescent="0.2">
      <c r="B69">
        <v>57</v>
      </c>
      <c r="C69" s="639">
        <v>42527</v>
      </c>
      <c r="E69" t="s">
        <v>2021</v>
      </c>
      <c r="F69" t="s">
        <v>2028</v>
      </c>
      <c r="G69" t="s">
        <v>2029</v>
      </c>
    </row>
    <row r="70" spans="2:7" x14ac:dyDescent="0.2">
      <c r="B70">
        <v>58</v>
      </c>
      <c r="C70" s="639">
        <v>42537</v>
      </c>
      <c r="E70" t="s">
        <v>2012</v>
      </c>
      <c r="F70" t="s">
        <v>2030</v>
      </c>
      <c r="G70" t="s">
        <v>2031</v>
      </c>
    </row>
    <row r="71" spans="2:7" x14ac:dyDescent="0.2">
      <c r="B71">
        <v>59</v>
      </c>
      <c r="C71" s="639">
        <v>42538</v>
      </c>
      <c r="E71" t="s">
        <v>2021</v>
      </c>
      <c r="F71" t="s">
        <v>2032</v>
      </c>
      <c r="G71" t="s">
        <v>2033</v>
      </c>
    </row>
    <row r="72" spans="2:7" x14ac:dyDescent="0.2">
      <c r="B72">
        <v>60</v>
      </c>
      <c r="C72" s="639">
        <v>42539</v>
      </c>
      <c r="E72" t="s">
        <v>2034</v>
      </c>
      <c r="F72" t="s">
        <v>2035</v>
      </c>
      <c r="G72" t="s">
        <v>2036</v>
      </c>
    </row>
    <row r="73" spans="2:7" x14ac:dyDescent="0.2">
      <c r="B73">
        <v>61</v>
      </c>
      <c r="C73" s="639">
        <v>42540</v>
      </c>
      <c r="E73" t="s">
        <v>2034</v>
      </c>
      <c r="F73" t="s">
        <v>2037</v>
      </c>
      <c r="G73" t="s">
        <v>2038</v>
      </c>
    </row>
    <row r="74" spans="2:7" x14ac:dyDescent="0.2">
      <c r="B74">
        <v>62</v>
      </c>
      <c r="C74" s="639">
        <v>42540</v>
      </c>
      <c r="E74" t="s">
        <v>2034</v>
      </c>
      <c r="F74" t="s">
        <v>2072</v>
      </c>
      <c r="G74" t="s">
        <v>2039</v>
      </c>
    </row>
    <row r="75" spans="2:7" x14ac:dyDescent="0.2">
      <c r="B75">
        <v>63</v>
      </c>
      <c r="C75" s="639">
        <v>42633</v>
      </c>
      <c r="E75" t="s">
        <v>2074</v>
      </c>
      <c r="F75" t="s">
        <v>2075</v>
      </c>
      <c r="G75" t="s">
        <v>2080</v>
      </c>
    </row>
    <row r="76" spans="2:7" x14ac:dyDescent="0.2">
      <c r="B76">
        <v>64</v>
      </c>
      <c r="C76" s="639">
        <v>42633</v>
      </c>
      <c r="E76" t="s">
        <v>2073</v>
      </c>
      <c r="F76" t="s">
        <v>2079</v>
      </c>
      <c r="G76" t="s">
        <v>2080</v>
      </c>
    </row>
    <row r="77" spans="2:7" x14ac:dyDescent="0.2">
      <c r="B77">
        <v>65</v>
      </c>
      <c r="C77" s="639">
        <v>42667</v>
      </c>
      <c r="G77" t="s">
        <v>2092</v>
      </c>
    </row>
    <row r="78" spans="2:7" x14ac:dyDescent="0.2">
      <c r="B78">
        <v>66</v>
      </c>
      <c r="C78" s="639">
        <v>42682</v>
      </c>
      <c r="E78" t="s">
        <v>2098</v>
      </c>
      <c r="F78" t="s">
        <v>2099</v>
      </c>
      <c r="G78" t="s">
        <v>2097</v>
      </c>
    </row>
    <row r="80" spans="2:7" x14ac:dyDescent="0.2">
      <c r="B80">
        <v>67</v>
      </c>
      <c r="C80" s="639">
        <v>43053</v>
      </c>
      <c r="E80" t="s">
        <v>1780</v>
      </c>
      <c r="G80" t="s">
        <v>2102</v>
      </c>
    </row>
    <row r="82" spans="2:7" x14ac:dyDescent="0.2">
      <c r="B82" s="9">
        <v>68</v>
      </c>
      <c r="C82" s="2200">
        <v>43131</v>
      </c>
      <c r="D82" s="28"/>
      <c r="E82" s="9" t="s">
        <v>1780</v>
      </c>
      <c r="F82" s="9"/>
      <c r="G82" s="9" t="s">
        <v>2102</v>
      </c>
    </row>
    <row r="83" spans="2:7" x14ac:dyDescent="0.2">
      <c r="B83" s="9"/>
      <c r="C83" s="2200"/>
      <c r="D83" s="28"/>
      <c r="E83" s="9"/>
      <c r="F83" s="9"/>
      <c r="G83" s="9"/>
    </row>
    <row r="84" spans="2:7" x14ac:dyDescent="0.2">
      <c r="B84" s="9">
        <v>69</v>
      </c>
      <c r="C84" s="2200">
        <v>43496</v>
      </c>
      <c r="D84" s="28"/>
      <c r="E84" s="9" t="s">
        <v>1780</v>
      </c>
      <c r="F84" s="9"/>
      <c r="G84" s="9" t="s">
        <v>2435</v>
      </c>
    </row>
    <row r="85" spans="2:7" x14ac:dyDescent="0.2">
      <c r="B85" s="9">
        <v>70</v>
      </c>
      <c r="C85" s="2200">
        <v>43496</v>
      </c>
      <c r="D85" s="28"/>
      <c r="E85" s="9" t="s">
        <v>2437</v>
      </c>
      <c r="F85" s="9"/>
      <c r="G85" s="9" t="s">
        <v>2436</v>
      </c>
    </row>
    <row r="86" spans="2:7" x14ac:dyDescent="0.2">
      <c r="B86" s="9">
        <v>71</v>
      </c>
      <c r="C86" s="2200">
        <v>43496</v>
      </c>
      <c r="D86" s="28"/>
      <c r="E86" s="9" t="s">
        <v>2438</v>
      </c>
      <c r="F86" s="9"/>
      <c r="G86" s="9" t="s">
        <v>2439</v>
      </c>
    </row>
    <row r="87" spans="2:7" x14ac:dyDescent="0.2">
      <c r="B87" s="9">
        <v>72</v>
      </c>
      <c r="C87" s="2200">
        <v>43496</v>
      </c>
      <c r="D87" s="28"/>
      <c r="E87" s="9" t="s">
        <v>2021</v>
      </c>
      <c r="F87" s="9"/>
      <c r="G87" s="9" t="s">
        <v>2440</v>
      </c>
    </row>
    <row r="88" spans="2:7" x14ac:dyDescent="0.2">
      <c r="B88" s="9">
        <v>73</v>
      </c>
      <c r="C88" s="2200">
        <v>43496</v>
      </c>
      <c r="D88" s="28"/>
      <c r="E88" s="9" t="s">
        <v>2098</v>
      </c>
      <c r="F88" s="9"/>
      <c r="G88" s="9" t="s">
        <v>2443</v>
      </c>
    </row>
    <row r="89" spans="2:7" x14ac:dyDescent="0.2">
      <c r="B89" s="9">
        <v>74</v>
      </c>
      <c r="C89" s="2200">
        <v>43992</v>
      </c>
      <c r="D89" s="28"/>
      <c r="E89" s="9" t="s">
        <v>2550</v>
      </c>
      <c r="F89" s="9"/>
      <c r="G89" s="9" t="s">
        <v>2551</v>
      </c>
    </row>
    <row r="90" spans="2:7" x14ac:dyDescent="0.2">
      <c r="B90" s="9">
        <v>75</v>
      </c>
      <c r="C90" s="2200">
        <v>43992</v>
      </c>
      <c r="D90" s="28"/>
      <c r="E90" s="9" t="s">
        <v>2552</v>
      </c>
      <c r="F90" s="9"/>
      <c r="G90" s="9" t="s">
        <v>2553</v>
      </c>
    </row>
    <row r="91" spans="2:7" x14ac:dyDescent="0.2">
      <c r="B91" s="9">
        <v>76</v>
      </c>
      <c r="C91" s="2200">
        <v>43992</v>
      </c>
      <c r="D91" s="28"/>
      <c r="E91" s="9" t="s">
        <v>2018</v>
      </c>
      <c r="F91" s="9"/>
      <c r="G91" s="9" t="s">
        <v>2554</v>
      </c>
    </row>
    <row r="92" spans="2:7" x14ac:dyDescent="0.2">
      <c r="B92" s="9">
        <v>77</v>
      </c>
      <c r="C92" s="2200">
        <v>44225</v>
      </c>
      <c r="D92" s="28"/>
      <c r="E92" s="9" t="s">
        <v>1780</v>
      </c>
      <c r="F92" s="9"/>
      <c r="G92" s="9" t="s">
        <v>2558</v>
      </c>
    </row>
    <row r="94" spans="2:7" x14ac:dyDescent="0.2">
      <c r="B94">
        <v>78</v>
      </c>
      <c r="C94" s="639">
        <v>44547</v>
      </c>
      <c r="E94" t="s">
        <v>1780</v>
      </c>
      <c r="G94" t="s">
        <v>2559</v>
      </c>
    </row>
    <row r="95" spans="2:7" x14ac:dyDescent="0.2">
      <c r="B95">
        <v>79</v>
      </c>
      <c r="C95" s="639">
        <v>44565</v>
      </c>
      <c r="E95" t="s">
        <v>2560</v>
      </c>
      <c r="G95" t="s">
        <v>2561</v>
      </c>
    </row>
    <row r="96" spans="2:7" x14ac:dyDescent="0.2">
      <c r="B96">
        <v>80</v>
      </c>
      <c r="C96" s="639">
        <v>44575</v>
      </c>
      <c r="E96" t="s">
        <v>2562</v>
      </c>
      <c r="G96" t="s">
        <v>2563</v>
      </c>
    </row>
    <row r="97" spans="2:7" x14ac:dyDescent="0.2">
      <c r="B97">
        <v>81</v>
      </c>
      <c r="C97" s="639">
        <v>44581</v>
      </c>
      <c r="E97" t="s">
        <v>2564</v>
      </c>
      <c r="G97" t="s">
        <v>2565</v>
      </c>
    </row>
    <row r="98" spans="2:7" x14ac:dyDescent="0.2">
      <c r="B98">
        <v>82</v>
      </c>
      <c r="C98" s="639">
        <v>44583</v>
      </c>
      <c r="E98" t="s">
        <v>2566</v>
      </c>
      <c r="G98" t="s">
        <v>2567</v>
      </c>
    </row>
    <row r="99" spans="2:7" x14ac:dyDescent="0.2">
      <c r="B99">
        <v>83</v>
      </c>
      <c r="C99" s="639">
        <v>44586</v>
      </c>
      <c r="E99" t="s">
        <v>2568</v>
      </c>
      <c r="G99" t="s">
        <v>2569</v>
      </c>
    </row>
    <row r="100" spans="2:7" x14ac:dyDescent="0.2">
      <c r="B100">
        <v>84</v>
      </c>
      <c r="C100" s="639">
        <v>44586</v>
      </c>
      <c r="E100" t="s">
        <v>2160</v>
      </c>
      <c r="G100" t="s">
        <v>2570</v>
      </c>
    </row>
    <row r="101" spans="2:7" x14ac:dyDescent="0.2">
      <c r="B101">
        <v>85</v>
      </c>
      <c r="C101" s="639">
        <v>44594</v>
      </c>
      <c r="E101" t="s">
        <v>2564</v>
      </c>
      <c r="G101" t="s">
        <v>2576</v>
      </c>
    </row>
    <row r="103" spans="2:7" x14ac:dyDescent="0.2">
      <c r="B103">
        <v>86</v>
      </c>
      <c r="C103" s="639">
        <v>44930</v>
      </c>
      <c r="E103" t="s">
        <v>2577</v>
      </c>
      <c r="G103" t="s">
        <v>2578</v>
      </c>
    </row>
    <row r="104" spans="2:7" x14ac:dyDescent="0.2">
      <c r="B104">
        <v>87</v>
      </c>
      <c r="C104" s="639">
        <v>44930</v>
      </c>
      <c r="E104" t="s">
        <v>2579</v>
      </c>
      <c r="G104" t="s">
        <v>2578</v>
      </c>
    </row>
    <row r="105" spans="2:7" x14ac:dyDescent="0.2">
      <c r="B105">
        <v>88</v>
      </c>
      <c r="C105" s="639">
        <v>44932</v>
      </c>
      <c r="E105" t="s">
        <v>2566</v>
      </c>
      <c r="G105" t="s">
        <v>2567</v>
      </c>
    </row>
    <row r="106" spans="2:7" x14ac:dyDescent="0.2">
      <c r="B106">
        <v>89</v>
      </c>
      <c r="C106" s="639">
        <v>44935</v>
      </c>
      <c r="E106" t="s">
        <v>2580</v>
      </c>
      <c r="G106" t="s">
        <v>2581</v>
      </c>
    </row>
    <row r="107" spans="2:7" x14ac:dyDescent="0.2">
      <c r="B107">
        <v>90</v>
      </c>
      <c r="C107" s="639">
        <v>44935</v>
      </c>
      <c r="E107" t="s">
        <v>2582</v>
      </c>
      <c r="G107" t="s">
        <v>2583</v>
      </c>
    </row>
    <row r="108" spans="2:7" x14ac:dyDescent="0.2">
      <c r="B108">
        <v>91</v>
      </c>
      <c r="C108" s="639">
        <v>44935</v>
      </c>
      <c r="E108" t="s">
        <v>2582</v>
      </c>
      <c r="G108" t="s">
        <v>2584</v>
      </c>
    </row>
    <row r="109" spans="2:7" x14ac:dyDescent="0.2">
      <c r="B109">
        <v>92</v>
      </c>
      <c r="C109" s="639">
        <v>44936</v>
      </c>
      <c r="E109" t="s">
        <v>2585</v>
      </c>
      <c r="G109" t="s">
        <v>2586</v>
      </c>
    </row>
    <row r="110" spans="2:7" x14ac:dyDescent="0.2">
      <c r="B110">
        <v>93</v>
      </c>
      <c r="C110" s="639">
        <v>44937</v>
      </c>
      <c r="E110" t="s">
        <v>2580</v>
      </c>
      <c r="G110" t="s">
        <v>2587</v>
      </c>
    </row>
    <row r="111" spans="2:7" x14ac:dyDescent="0.2">
      <c r="B111">
        <v>94</v>
      </c>
      <c r="C111" s="639">
        <v>44956</v>
      </c>
      <c r="E111" t="s">
        <v>2588</v>
      </c>
      <c r="G111" t="s">
        <v>2591</v>
      </c>
    </row>
    <row r="113" spans="2:7" x14ac:dyDescent="0.2">
      <c r="B113">
        <v>95</v>
      </c>
      <c r="C113" s="639">
        <v>45281</v>
      </c>
      <c r="E113" t="s">
        <v>2577</v>
      </c>
      <c r="G113" t="s">
        <v>2589</v>
      </c>
    </row>
    <row r="114" spans="2:7" x14ac:dyDescent="0.2">
      <c r="B114">
        <f>B113+1</f>
        <v>96</v>
      </c>
      <c r="C114" s="639">
        <v>45281</v>
      </c>
      <c r="E114" t="s">
        <v>2579</v>
      </c>
      <c r="G114" t="s">
        <v>2589</v>
      </c>
    </row>
    <row r="115" spans="2:7" x14ac:dyDescent="0.2">
      <c r="B115">
        <f>B114+1</f>
        <v>97</v>
      </c>
      <c r="C115" s="639">
        <v>45281</v>
      </c>
      <c r="E115" t="s">
        <v>2580</v>
      </c>
      <c r="G115" t="s">
        <v>2590</v>
      </c>
    </row>
    <row r="116" spans="2:7" x14ac:dyDescent="0.2">
      <c r="B116">
        <f>B115+1</f>
        <v>98</v>
      </c>
      <c r="C116" s="639">
        <v>45281</v>
      </c>
      <c r="D116" s="2222"/>
      <c r="E116" t="s">
        <v>2582</v>
      </c>
      <c r="G116" t="s">
        <v>2583</v>
      </c>
    </row>
    <row r="117" spans="2:7" x14ac:dyDescent="0.2">
      <c r="B117">
        <f t="shared" ref="B117:B121" si="2">B116+1</f>
        <v>99</v>
      </c>
      <c r="C117" s="639">
        <v>45281</v>
      </c>
      <c r="D117" s="2222"/>
      <c r="E117" t="s">
        <v>2582</v>
      </c>
      <c r="G117" t="s">
        <v>2584</v>
      </c>
    </row>
    <row r="118" spans="2:7" x14ac:dyDescent="0.2">
      <c r="B118">
        <f t="shared" si="2"/>
        <v>100</v>
      </c>
      <c r="C118" s="639">
        <v>45300</v>
      </c>
      <c r="D118" s="2223"/>
      <c r="E118" s="23" t="s">
        <v>2593</v>
      </c>
      <c r="G118" s="23" t="s">
        <v>2594</v>
      </c>
    </row>
    <row r="119" spans="2:7" x14ac:dyDescent="0.2">
      <c r="B119">
        <f t="shared" si="2"/>
        <v>101</v>
      </c>
      <c r="C119" s="639">
        <v>45310</v>
      </c>
      <c r="D119" s="2223"/>
      <c r="E119" t="s">
        <v>2579</v>
      </c>
      <c r="G119" s="2225" t="s">
        <v>2592</v>
      </c>
    </row>
    <row r="120" spans="2:7" x14ac:dyDescent="0.2">
      <c r="B120">
        <f t="shared" si="2"/>
        <v>102</v>
      </c>
      <c r="C120" s="639">
        <v>45321</v>
      </c>
      <c r="D120" s="2251"/>
      <c r="E120" t="s">
        <v>2588</v>
      </c>
      <c r="G120" s="2225" t="s">
        <v>67</v>
      </c>
    </row>
    <row r="121" spans="2:7" x14ac:dyDescent="0.2">
      <c r="B121">
        <f t="shared" si="2"/>
        <v>103</v>
      </c>
      <c r="C121" s="639">
        <v>45321</v>
      </c>
      <c r="D121" s="2223"/>
      <c r="E121" s="23" t="s">
        <v>2661</v>
      </c>
      <c r="G121" s="23" t="s">
        <v>2595</v>
      </c>
    </row>
    <row r="123" spans="2:7" x14ac:dyDescent="0.2">
      <c r="B123" s="23">
        <v>104</v>
      </c>
      <c r="C123" s="660">
        <v>45582</v>
      </c>
      <c r="D123" s="2342"/>
      <c r="E123" s="9" t="s">
        <v>2021</v>
      </c>
      <c r="G123" s="55" t="s">
        <v>2673</v>
      </c>
    </row>
    <row r="124" spans="2:7" x14ac:dyDescent="0.2">
      <c r="B124" s="23">
        <v>105</v>
      </c>
      <c r="C124" s="660">
        <v>45582</v>
      </c>
      <c r="D124" s="2342"/>
      <c r="E124" s="9" t="s">
        <v>2021</v>
      </c>
      <c r="F124" s="9"/>
      <c r="G124" s="55" t="s">
        <v>2671</v>
      </c>
    </row>
    <row r="125" spans="2:7" x14ac:dyDescent="0.2">
      <c r="B125" s="23">
        <v>106</v>
      </c>
      <c r="C125" s="660">
        <v>45582</v>
      </c>
      <c r="D125" s="2342"/>
      <c r="E125" s="9" t="s">
        <v>2021</v>
      </c>
      <c r="F125" s="9"/>
      <c r="G125" s="55" t="s">
        <v>2672</v>
      </c>
    </row>
    <row r="126" spans="2:7" x14ac:dyDescent="0.2">
      <c r="B126" s="23">
        <v>107</v>
      </c>
      <c r="C126" s="660">
        <v>45582</v>
      </c>
      <c r="D126" s="2342"/>
      <c r="E126" s="9" t="s">
        <v>2676</v>
      </c>
      <c r="F126" s="9"/>
      <c r="G126" s="55" t="s">
        <v>2670</v>
      </c>
    </row>
    <row r="127" spans="2:7" x14ac:dyDescent="0.2">
      <c r="B127" s="23">
        <v>108</v>
      </c>
      <c r="C127" s="660">
        <v>45582</v>
      </c>
      <c r="D127" s="2342"/>
      <c r="E127" s="9" t="s">
        <v>2018</v>
      </c>
      <c r="F127" s="9"/>
      <c r="G127" s="55" t="s">
        <v>2674</v>
      </c>
    </row>
    <row r="128" spans="2:7" x14ac:dyDescent="0.2">
      <c r="B128" s="23">
        <v>109</v>
      </c>
      <c r="C128" s="660">
        <v>45582</v>
      </c>
      <c r="E128" s="9" t="s">
        <v>2677</v>
      </c>
      <c r="F128" s="9"/>
      <c r="G128" s="55" t="s">
        <v>2675</v>
      </c>
    </row>
    <row r="129" spans="2:7" x14ac:dyDescent="0.2">
      <c r="B129" s="23">
        <v>110</v>
      </c>
      <c r="C129" s="660">
        <v>45582</v>
      </c>
      <c r="D129" s="2251"/>
      <c r="E129" s="9" t="s">
        <v>2678</v>
      </c>
      <c r="G129" t="s">
        <v>2679</v>
      </c>
    </row>
    <row r="130" spans="2:7" x14ac:dyDescent="0.2">
      <c r="D130" s="2251"/>
    </row>
    <row r="131" spans="2:7" x14ac:dyDescent="0.2">
      <c r="B131">
        <v>111</v>
      </c>
      <c r="C131" s="639">
        <v>45688</v>
      </c>
      <c r="D131" s="2251"/>
      <c r="E131" t="s">
        <v>2577</v>
      </c>
      <c r="G131" t="s">
        <v>2699</v>
      </c>
    </row>
    <row r="132" spans="2:7" x14ac:dyDescent="0.2">
      <c r="B132">
        <v>112</v>
      </c>
      <c r="C132" s="639">
        <v>45688</v>
      </c>
      <c r="D132" s="2251"/>
      <c r="E132" t="s">
        <v>2579</v>
      </c>
      <c r="G132" t="s">
        <v>2699</v>
      </c>
    </row>
    <row r="133" spans="2:7" x14ac:dyDescent="0.2">
      <c r="B133">
        <v>113</v>
      </c>
      <c r="C133" s="639">
        <v>45688</v>
      </c>
      <c r="D133" s="2251"/>
      <c r="E133" t="s">
        <v>2668</v>
      </c>
      <c r="G133" t="s">
        <v>2698</v>
      </c>
    </row>
    <row r="134" spans="2:7" x14ac:dyDescent="0.2">
      <c r="B134">
        <v>114</v>
      </c>
      <c r="C134" s="639">
        <v>45688</v>
      </c>
      <c r="D134" s="28"/>
      <c r="E134" t="s">
        <v>2579</v>
      </c>
      <c r="G134" s="2225" t="s">
        <v>2592</v>
      </c>
    </row>
    <row r="135" spans="2:7" x14ac:dyDescent="0.2">
      <c r="B135">
        <v>115</v>
      </c>
      <c r="C135" s="639">
        <v>45688</v>
      </c>
      <c r="D135" s="28"/>
      <c r="E135" t="s">
        <v>2588</v>
      </c>
      <c r="G135" s="2225" t="s">
        <v>67</v>
      </c>
    </row>
    <row r="136" spans="2:7" x14ac:dyDescent="0.2">
      <c r="B136">
        <v>116</v>
      </c>
      <c r="C136" s="639">
        <v>45688</v>
      </c>
      <c r="D136" s="28"/>
      <c r="E136" s="23" t="s">
        <v>2661</v>
      </c>
      <c r="G136" s="23" t="s">
        <v>2595</v>
      </c>
    </row>
    <row r="137" spans="2:7" x14ac:dyDescent="0.2">
      <c r="B137" s="9"/>
      <c r="C137" s="2200"/>
      <c r="D137" s="28"/>
    </row>
    <row r="138" spans="2:7" x14ac:dyDescent="0.2">
      <c r="B138" s="9"/>
      <c r="C138" s="2200"/>
      <c r="D138" s="28"/>
    </row>
    <row r="139" spans="2:7" x14ac:dyDescent="0.2">
      <c r="B139" s="9"/>
      <c r="C139" s="2200"/>
      <c r="D139" s="28"/>
      <c r="E139" s="9"/>
      <c r="F139" s="9"/>
      <c r="G139" s="55"/>
    </row>
    <row r="140" spans="2:7" x14ac:dyDescent="0.2">
      <c r="E140" s="9"/>
    </row>
    <row r="141" spans="2:7" x14ac:dyDescent="0.2">
      <c r="E141" s="9"/>
    </row>
  </sheetData>
  <customSheetViews>
    <customSheetView guid="{F15DEFD8-B0F4-4CC3-8896-92BF7E7815B1}" scale="75" showGridLines="0" fitToPage="1" printArea="1">
      <selection activeCell="B2" sqref="B2"/>
      <pageMargins left="0.47244094488189003" right="0.47244094488189003" top="0.59055118110236204" bottom="0.59055118110236204" header="0.35433070866141703" footer="0.35433070866141703"/>
      <pageSetup paperSize="9" scale="54"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100-000000000000}"/>
  </hyperlinks>
  <pageMargins left="0.47244094488188981" right="0.47244094488188981" top="0.59055118110236227" bottom="0.59055118110236227" header="0.35433070866141736" footer="0.35433070866141736"/>
  <pageSetup paperSize="9" scale="54" orientation="landscape" r:id="rId2"/>
  <headerFooter alignWithMargins="0">
    <oddHeader>&amp;R&amp;"Arial,Fett"&amp;12KVG-Solvenztest
Test de solvabilité LAMal</oddHeader>
    <oddFooter>&amp;L&amp;F / &amp;A&amp;C&amp;P /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1">
    <tabColor rgb="FF008000"/>
    <pageSetUpPr fitToPage="1"/>
  </sheetPr>
  <dimension ref="A1:G34"/>
  <sheetViews>
    <sheetView zoomScaleNormal="100" workbookViewId="0">
      <selection activeCell="G30" sqref="G30"/>
    </sheetView>
  </sheetViews>
  <sheetFormatPr baseColWidth="10" defaultColWidth="8.5703125" defaultRowHeight="12.75" x14ac:dyDescent="0.2"/>
  <cols>
    <col min="1" max="1" width="5.5703125" customWidth="1"/>
    <col min="2" max="2" width="3.5703125" style="36" customWidth="1"/>
    <col min="3" max="3" width="58.28515625" customWidth="1"/>
    <col min="4" max="4" width="20.5703125" customWidth="1"/>
    <col min="5" max="5" width="20.5703125" style="27" customWidth="1"/>
    <col min="6" max="6" width="20.5703125" style="1" customWidth="1"/>
  </cols>
  <sheetData>
    <row r="1" spans="1:6" s="24" customFormat="1" ht="21" thickBot="1" x14ac:dyDescent="0.35">
      <c r="A1" s="2195">
        <v>38</v>
      </c>
      <c r="B1" s="1266" t="str">
        <f>Translation!B721</f>
        <v>Erwartete Finanzmarktrendite</v>
      </c>
      <c r="C1" s="1266"/>
      <c r="D1" s="1266"/>
      <c r="E1" s="1266"/>
      <c r="F1" s="1350"/>
    </row>
    <row r="2" spans="1:6" s="681" customFormat="1" ht="20.100000000000001" customHeight="1" x14ac:dyDescent="0.2">
      <c r="A2" s="682"/>
      <c r="B2" s="176" t="str">
        <f>Inputparam!C8</f>
        <v xml:space="preserve">0000 </v>
      </c>
    </row>
    <row r="3" spans="1:6" x14ac:dyDescent="0.2">
      <c r="B3"/>
      <c r="E3"/>
      <c r="F3"/>
    </row>
    <row r="4" spans="1:6" x14ac:dyDescent="0.2">
      <c r="B4"/>
      <c r="E4"/>
      <c r="F4"/>
    </row>
    <row r="5" spans="1:6" x14ac:dyDescent="0.2">
      <c r="B5"/>
      <c r="E5"/>
      <c r="F5"/>
    </row>
    <row r="6" spans="1:6" x14ac:dyDescent="0.2">
      <c r="B6" s="870" t="str">
        <f>Translation!B722</f>
        <v>Erwartete Finanzmarktrendite auf den Aktiven 2025 (den risikolosen Zinssatz übersteigend)</v>
      </c>
    </row>
    <row r="8" spans="1:6" x14ac:dyDescent="0.2">
      <c r="B8" s="870"/>
      <c r="C8" s="3" t="str">
        <f>Translation!B723</f>
        <v>Anlagenklasse</v>
      </c>
      <c r="D8" s="271" t="str">
        <f>Translation!B724</f>
        <v>Renditesatz</v>
      </c>
      <c r="E8" s="271" t="str">
        <f>Translation!B725</f>
        <v>Marktwert</v>
      </c>
      <c r="F8" s="54" t="str">
        <f>Translation!B726</f>
        <v xml:space="preserve">Rendite </v>
      </c>
    </row>
    <row r="9" spans="1:6" x14ac:dyDescent="0.2">
      <c r="F9" s="871"/>
    </row>
    <row r="10" spans="1:6" x14ac:dyDescent="0.2">
      <c r="C10" s="23" t="str">
        <f>Translation!B727</f>
        <v>Immobilien</v>
      </c>
      <c r="D10" s="1351">
        <v>0.03</v>
      </c>
      <c r="E10" s="1352">
        <f>Marktnahe_Bilanz!G14/1000000+Marktnahe_Bilanz!G16/1000000</f>
        <v>0</v>
      </c>
      <c r="F10" s="872">
        <f t="shared" ref="F10:F15" si="0">D10*E10</f>
        <v>0</v>
      </c>
    </row>
    <row r="11" spans="1:6" x14ac:dyDescent="0.2">
      <c r="C11" s="23" t="str">
        <f>Translation!B728</f>
        <v>Obligationen</v>
      </c>
      <c r="D11" s="1351">
        <v>6.4999999999999997E-3</v>
      </c>
      <c r="E11" s="1352">
        <f>Marktnahe_Bilanz!G19/1000000+Marktnahe_Bilanz!G21/1000000</f>
        <v>0</v>
      </c>
      <c r="F11" s="872">
        <f>D11*E11</f>
        <v>0</v>
      </c>
    </row>
    <row r="12" spans="1:6" x14ac:dyDescent="0.2">
      <c r="C12" s="23" t="str">
        <f>Translation!B729</f>
        <v>Aktien</v>
      </c>
      <c r="D12" s="1351">
        <v>0.04</v>
      </c>
      <c r="E12" s="1352">
        <f>Marktnahe_Bilanz!G24/1000000+Marktnahe_Bilanz!G26/1000000</f>
        <v>0</v>
      </c>
      <c r="F12" s="872">
        <f>D12*E12</f>
        <v>0</v>
      </c>
    </row>
    <row r="13" spans="1:6" x14ac:dyDescent="0.2">
      <c r="C13" s="23" t="str">
        <f>Translation!B730</f>
        <v>Anlagefonds</v>
      </c>
      <c r="D13" s="1351">
        <v>0.02</v>
      </c>
      <c r="E13" s="1352">
        <f>Marktnahe_Bilanz!G29/1000000+Marktnahe_Bilanz!G31/1000000</f>
        <v>0</v>
      </c>
      <c r="F13" s="872">
        <f>D13*E13</f>
        <v>0</v>
      </c>
    </row>
    <row r="14" spans="1:6" x14ac:dyDescent="0.2">
      <c r="C14" s="23" t="str">
        <f>Translation!B731</f>
        <v>andere Anlagen</v>
      </c>
      <c r="D14" s="1351">
        <v>0</v>
      </c>
      <c r="E14" s="1352">
        <f>SUM(Marktnahe_Bilanz!G34,Marktnahe_Bilanz!G39,Marktnahe_Bilanz!G44,Marktnahe_Bilanz!G49)/1000000+SUM(Marktnahe_Bilanz!G36,Marktnahe_Bilanz!G41,Marktnahe_Bilanz!G46,Marktnahe_Bilanz!G51)/1000000</f>
        <v>0</v>
      </c>
      <c r="F14" s="872">
        <f t="shared" si="0"/>
        <v>0</v>
      </c>
    </row>
    <row r="15" spans="1:6" x14ac:dyDescent="0.2">
      <c r="C15" s="23" t="str">
        <f>Translation!B732</f>
        <v>andere Aktiven</v>
      </c>
      <c r="D15" s="1351">
        <v>0</v>
      </c>
      <c r="E15" s="1352">
        <f>SUM(Marktnahe_Bilanz!G58,Marktnahe_Bilanz!G63)/1000000+SUM(Marktnahe_Bilanz!G60,Marktnahe_Bilanz!G65)/1000000</f>
        <v>0</v>
      </c>
      <c r="F15" s="872">
        <f t="shared" si="0"/>
        <v>0</v>
      </c>
    </row>
    <row r="16" spans="1:6" x14ac:dyDescent="0.2">
      <c r="E16" s="872"/>
      <c r="F16" s="872"/>
    </row>
    <row r="17" spans="2:7" x14ac:dyDescent="0.2">
      <c r="C17" s="3" t="str">
        <f>Translation!B733</f>
        <v>Total (den risikolosen Zinssatz übersteigend)</v>
      </c>
      <c r="D17" s="873">
        <f>IF(E17=0,1%,F17/E17)</f>
        <v>0.01</v>
      </c>
      <c r="E17" s="874">
        <f>SUM(E10:E15)</f>
        <v>0</v>
      </c>
      <c r="F17" s="928">
        <f>SUM(F10:F16)</f>
        <v>0</v>
      </c>
    </row>
    <row r="23" spans="2:7" x14ac:dyDescent="0.2">
      <c r="B23" s="870" t="str">
        <f>Translation!B979</f>
        <v>Erwartete Versicherungsrendite für das Behandlungsjahr 2025 (OKP) - (nicht zur Berechnung verwendet)</v>
      </c>
    </row>
    <row r="24" spans="2:7" x14ac:dyDescent="0.2">
      <c r="B24" s="870"/>
      <c r="E24" s="2251"/>
    </row>
    <row r="25" spans="2:7" x14ac:dyDescent="0.2">
      <c r="C25" s="3" t="str">
        <f>Translation!B983</f>
        <v>OKP EU</v>
      </c>
      <c r="E25" s="2251"/>
    </row>
    <row r="26" spans="2:7" x14ac:dyDescent="0.2">
      <c r="C26" t="str">
        <f>Translation!B980</f>
        <v>Combined Ratio 2025 (bei der Prämiengenehmigung erwartet)</v>
      </c>
      <c r="D26" s="2285"/>
      <c r="E26" s="2251"/>
    </row>
    <row r="27" spans="2:7" x14ac:dyDescent="0.2">
      <c r="E27" s="2251"/>
      <c r="F27" s="2284">
        <f>-(-(1-D26))*SUM(HE_Insurance_Risk!P21)</f>
        <v>0</v>
      </c>
      <c r="G27" s="1683"/>
    </row>
    <row r="28" spans="2:7" x14ac:dyDescent="0.2">
      <c r="E28" s="2251"/>
    </row>
    <row r="29" spans="2:7" x14ac:dyDescent="0.2">
      <c r="B29" s="870"/>
      <c r="C29" s="3" t="str">
        <f>Translation!B982</f>
        <v>OKP CH</v>
      </c>
      <c r="E29" s="2251"/>
    </row>
    <row r="30" spans="2:7" x14ac:dyDescent="0.2">
      <c r="C30" s="23" t="str">
        <f>Translation!B980</f>
        <v>Combined Ratio 2025 (bei der Prämiengenehmigung erwartet)</v>
      </c>
      <c r="D30" s="2285"/>
    </row>
    <row r="31" spans="2:7" x14ac:dyDescent="0.2">
      <c r="C31" s="23" t="str">
        <f>Translation!B981</f>
        <v>Unerwartete Teuerung 2024</v>
      </c>
      <c r="D31" s="1351">
        <v>2.9789999999999999E-3</v>
      </c>
    </row>
    <row r="32" spans="2:7" x14ac:dyDescent="0.2">
      <c r="F32" s="2284">
        <f>-(1.2*0.95*D31-(1-D30))*SUM(HE_Insurance_Risk!R21)</f>
        <v>0</v>
      </c>
      <c r="G32" s="1683"/>
    </row>
    <row r="33" spans="3:7" x14ac:dyDescent="0.2">
      <c r="E33" s="2251"/>
    </row>
    <row r="34" spans="3:7" x14ac:dyDescent="0.2">
      <c r="C34" s="3" t="str">
        <f>Translation!B979</f>
        <v>Erwartete Versicherungsrendite für das Behandlungsjahr 2025 (OKP) - (nicht zur Berechnung verwendet)</v>
      </c>
      <c r="F34" s="928">
        <f>F32+F27</f>
        <v>0</v>
      </c>
      <c r="G34" s="1683"/>
    </row>
  </sheetData>
  <customSheetViews>
    <customSheetView guid="{F15DEFD8-B0F4-4CC3-8896-92BF7E7815B1}" scale="76" showPageBreaks="1" showGridLines="0" fitToPage="1">
      <selection activeCell="C31" sqref="C31"/>
      <pageMargins left="0.47244094488188981" right="0.47244094488188981" top="0.59055118110236227" bottom="0.59055118110236227" header="0.35433070866141736" footer="0.35433070866141736"/>
      <pageSetup paperSize="9"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700-000000000000}"/>
  </hyperlinks>
  <pageMargins left="0.47244094488188981" right="0.47244094488188981" top="0.98" bottom="0.59055118110236227" header="0.35433070866141736" footer="0.35433070866141736"/>
  <pageSetup paperSize="9" orientation="landscape" r:id="rId2"/>
  <headerFooter alignWithMargins="0">
    <oddHeader>&amp;R&amp;"Arial,Fett"&amp;12KVG-Solvenztest
Test de solvabilité LAMal</oddHeader>
    <oddFooter>&amp;L&amp;F / &amp;A&amp;C&amp;P / &amp;N&amp;R&amp;D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9">
    <tabColor rgb="FF0000FF"/>
    <pageSetUpPr fitToPage="1"/>
  </sheetPr>
  <dimension ref="A1:IV147"/>
  <sheetViews>
    <sheetView zoomScale="70" zoomScaleNormal="70" workbookViewId="0"/>
  </sheetViews>
  <sheetFormatPr baseColWidth="10" defaultColWidth="11.42578125" defaultRowHeight="12.75" outlineLevelRow="1" outlineLevelCol="1" x14ac:dyDescent="0.2"/>
  <cols>
    <col min="1" max="1" width="5.5703125" customWidth="1"/>
    <col min="2" max="2" width="2.5703125" customWidth="1"/>
    <col min="3" max="3" width="60.5703125" customWidth="1"/>
    <col min="4" max="5" width="1.5703125" customWidth="1"/>
    <col min="6" max="6" width="19.5703125" customWidth="1" outlineLevel="1"/>
    <col min="7" max="7" width="1.5703125" style="9" customWidth="1" outlineLevel="1"/>
    <col min="8" max="8" width="15.7109375" customWidth="1" outlineLevel="1"/>
    <col min="9" max="9" width="1.5703125" style="9" customWidth="1" outlineLevel="1"/>
    <col min="10" max="10" width="15.7109375" customWidth="1" outlineLevel="1"/>
    <col min="11" max="11" width="1.5703125" style="9" customWidth="1" outlineLevel="1"/>
    <col min="12" max="12" width="15.5703125" customWidth="1"/>
    <col min="13" max="13" width="1.5703125" style="9" customWidth="1"/>
    <col min="14" max="14" width="15.5703125" customWidth="1"/>
    <col min="15" max="15" width="1.5703125" customWidth="1"/>
    <col min="16" max="16" width="15.5703125" style="9" customWidth="1"/>
    <col min="17" max="17" width="1.5703125" style="9" customWidth="1"/>
    <col min="18" max="18" width="15.5703125" customWidth="1"/>
    <col min="19" max="19" width="1.5703125" style="9" customWidth="1"/>
    <col min="20" max="20" width="15.5703125" customWidth="1"/>
    <col min="21" max="22" width="1.5703125" style="9" customWidth="1"/>
    <col min="23" max="23" width="15.5703125" customWidth="1"/>
    <col min="24" max="24" width="1.5703125" customWidth="1"/>
    <col min="25" max="25" width="2.5703125" customWidth="1"/>
    <col min="26" max="26" width="8.5703125" customWidth="1" outlineLevel="1"/>
    <col min="27" max="27" width="1.5703125" style="9" customWidth="1" outlineLevel="1"/>
    <col min="28" max="28" width="15.5703125" customWidth="1" outlineLevel="1"/>
    <col min="29" max="29" width="1.5703125" customWidth="1" outlineLevel="1"/>
    <col min="30" max="30" width="8.5703125" customWidth="1"/>
    <col min="31" max="31" width="25.5703125" customWidth="1"/>
    <col min="32" max="32" width="16.5703125" bestFit="1" customWidth="1"/>
    <col min="33" max="33" width="15.28515625" bestFit="1" customWidth="1"/>
    <col min="34" max="34" width="25.5703125" customWidth="1"/>
    <col min="35" max="42" width="8.5703125" customWidth="1"/>
  </cols>
  <sheetData>
    <row r="1" spans="1:256" s="683" customFormat="1" ht="21" thickBot="1" x14ac:dyDescent="0.35">
      <c r="A1" s="2198">
        <v>37</v>
      </c>
      <c r="B1" s="1322" t="str">
        <f>Translation!B634</f>
        <v>Versicherungsrisiko</v>
      </c>
      <c r="C1" s="1322"/>
      <c r="D1" s="1323"/>
      <c r="E1" s="1323"/>
      <c r="F1" s="1322"/>
      <c r="G1" s="1323"/>
      <c r="H1" s="1323"/>
      <c r="I1" s="1323"/>
      <c r="J1" s="1323"/>
      <c r="K1" s="1323"/>
      <c r="L1" s="1323"/>
      <c r="M1" s="1323"/>
      <c r="N1" s="1322"/>
      <c r="O1" s="1322"/>
      <c r="P1" s="1323"/>
      <c r="Q1" s="1323"/>
      <c r="R1" s="1323"/>
      <c r="S1" s="1323"/>
      <c r="T1" s="1323"/>
      <c r="U1" s="1323"/>
      <c r="V1" s="1323"/>
      <c r="W1" s="1324"/>
      <c r="X1" s="1324"/>
      <c r="Y1" s="1325"/>
      <c r="Z1" s="1325"/>
      <c r="AA1" s="1325"/>
      <c r="AB1" s="1325"/>
      <c r="AC1" s="1325"/>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681" customFormat="1" ht="20.100000000000001" customHeight="1" x14ac:dyDescent="0.2">
      <c r="A2" s="682"/>
      <c r="B2" s="176" t="str">
        <f>Inputparam!C8</f>
        <v xml:space="preserve">0000 </v>
      </c>
    </row>
    <row r="3" spans="1:256" s="681" customFormat="1" ht="12.75" customHeight="1" x14ac:dyDescent="0.2">
      <c r="A3" s="682"/>
      <c r="B3" s="176"/>
    </row>
    <row r="4" spans="1:256" s="681" customFormat="1" ht="12.75" customHeight="1" x14ac:dyDescent="0.2">
      <c r="A4" s="682"/>
      <c r="B4" s="999"/>
      <c r="C4" s="2599" t="str">
        <f>Translation!B635</f>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D4" s="2599"/>
      <c r="E4" s="2599"/>
      <c r="F4" s="2599"/>
      <c r="G4" s="2599"/>
      <c r="H4" s="2599"/>
      <c r="I4" s="2599"/>
      <c r="J4" s="2599"/>
      <c r="K4" s="2599"/>
      <c r="L4" s="2599"/>
      <c r="M4" s="2599"/>
      <c r="N4" s="2599"/>
      <c r="O4" s="2257"/>
      <c r="P4" s="1326"/>
      <c r="Q4" s="237"/>
      <c r="T4" s="481" t="s">
        <v>62</v>
      </c>
      <c r="U4" s="479"/>
      <c r="V4" s="1327"/>
      <c r="W4" s="480">
        <f>alpha</f>
        <v>0.01</v>
      </c>
    </row>
    <row r="5" spans="1:256" s="681" customFormat="1" ht="12.75" customHeight="1" x14ac:dyDescent="0.2">
      <c r="A5" s="682"/>
      <c r="B5" s="997"/>
      <c r="C5" s="2600"/>
      <c r="D5" s="2600"/>
      <c r="E5" s="2600"/>
      <c r="F5" s="2600"/>
      <c r="G5" s="2600"/>
      <c r="H5" s="2600"/>
      <c r="I5" s="2600"/>
      <c r="J5" s="2600"/>
      <c r="K5" s="2600"/>
      <c r="L5" s="2600"/>
      <c r="M5" s="2600"/>
      <c r="N5" s="2600"/>
      <c r="O5" s="2258"/>
      <c r="P5" s="1328"/>
      <c r="Q5" s="237"/>
    </row>
    <row r="6" spans="1:256" s="681" customFormat="1" ht="12.75" customHeight="1" x14ac:dyDescent="0.2">
      <c r="A6" s="682"/>
      <c r="B6" s="997"/>
      <c r="C6" s="2600"/>
      <c r="D6" s="2600"/>
      <c r="E6" s="2600"/>
      <c r="F6" s="2600"/>
      <c r="G6" s="2600"/>
      <c r="H6" s="2600"/>
      <c r="I6" s="2600"/>
      <c r="J6" s="2600"/>
      <c r="K6" s="2600"/>
      <c r="L6" s="2600"/>
      <c r="M6" s="2600"/>
      <c r="N6" s="2600"/>
      <c r="O6" s="2258"/>
      <c r="P6" s="1328"/>
      <c r="Q6" s="237"/>
    </row>
    <row r="7" spans="1:256" s="681" customFormat="1" ht="12.75" customHeight="1" x14ac:dyDescent="0.2">
      <c r="A7" s="682"/>
      <c r="B7" s="998"/>
      <c r="C7" s="2601"/>
      <c r="D7" s="2601"/>
      <c r="E7" s="2601"/>
      <c r="F7" s="2601"/>
      <c r="G7" s="2601"/>
      <c r="H7" s="2601"/>
      <c r="I7" s="2601"/>
      <c r="J7" s="2601"/>
      <c r="K7" s="2601"/>
      <c r="L7" s="2601"/>
      <c r="M7" s="2601"/>
      <c r="N7" s="2601"/>
      <c r="O7" s="2259"/>
      <c r="P7" s="1329"/>
      <c r="Q7" s="237"/>
    </row>
    <row r="8" spans="1:256" s="681" customFormat="1" ht="8.1" customHeight="1" x14ac:dyDescent="0.2">
      <c r="A8" s="682"/>
      <c r="B8" s="172"/>
    </row>
    <row r="9" spans="1:256" ht="15.75" x14ac:dyDescent="0.25">
      <c r="B9" s="450"/>
      <c r="C9" s="454" t="str">
        <f>Translation!B636</f>
        <v>Versicherungstechnisches Risiko für 2025</v>
      </c>
      <c r="D9" s="452"/>
      <c r="E9" s="452"/>
      <c r="F9" s="452"/>
      <c r="G9" s="452"/>
      <c r="H9" s="452"/>
      <c r="I9" s="452"/>
      <c r="J9" s="452"/>
      <c r="K9" s="452"/>
      <c r="L9" s="452"/>
      <c r="M9" s="452"/>
      <c r="N9" s="452"/>
      <c r="O9" s="452"/>
      <c r="P9" s="452"/>
      <c r="Q9" s="452"/>
      <c r="R9" s="452"/>
      <c r="S9" s="452"/>
      <c r="T9" s="452"/>
      <c r="U9" s="452"/>
      <c r="V9" s="452"/>
      <c r="W9" s="452"/>
      <c r="X9" s="452"/>
      <c r="Y9" s="453"/>
      <c r="AA9" s="450"/>
      <c r="AB9" s="452"/>
      <c r="AC9" s="453"/>
    </row>
    <row r="10" spans="1:256" x14ac:dyDescent="0.2">
      <c r="B10" s="132"/>
      <c r="C10" s="882" t="str">
        <f>Translation!B637</f>
        <v>Erwartungswert</v>
      </c>
      <c r="D10" s="108"/>
      <c r="E10" s="108"/>
      <c r="F10" s="108"/>
      <c r="G10" s="108"/>
      <c r="H10" s="108"/>
      <c r="I10" s="108"/>
      <c r="J10" s="108"/>
      <c r="K10" s="108"/>
      <c r="L10" s="108"/>
      <c r="M10" s="108"/>
      <c r="N10" s="108"/>
      <c r="O10" s="108"/>
      <c r="P10" s="108"/>
      <c r="Q10" s="108"/>
      <c r="R10" s="108"/>
      <c r="S10" s="118"/>
      <c r="T10" s="108"/>
      <c r="U10" s="118"/>
      <c r="V10" s="118"/>
      <c r="W10" s="889">
        <f>W57</f>
        <v>0</v>
      </c>
      <c r="X10" s="108"/>
      <c r="Y10" s="658"/>
      <c r="AA10" s="918"/>
      <c r="AB10" s="889">
        <f>AB57</f>
        <v>0</v>
      </c>
      <c r="AC10" s="658"/>
    </row>
    <row r="11" spans="1:256" x14ac:dyDescent="0.2">
      <c r="B11" s="10"/>
      <c r="C11" s="42" t="str">
        <f>Translation!B638</f>
        <v>Standardabweichung</v>
      </c>
      <c r="D11" s="6"/>
      <c r="E11" s="6"/>
      <c r="F11" s="6"/>
      <c r="G11" s="6"/>
      <c r="H11" s="6"/>
      <c r="I11" s="6"/>
      <c r="J11" s="6"/>
      <c r="K11" s="6"/>
      <c r="L11" s="6"/>
      <c r="M11" s="6"/>
      <c r="N11" s="6"/>
      <c r="O11" s="6"/>
      <c r="P11" s="6"/>
      <c r="Q11" s="6"/>
      <c r="R11" s="6"/>
      <c r="S11" s="1"/>
      <c r="T11" s="25"/>
      <c r="U11" s="1"/>
      <c r="V11" s="1"/>
      <c r="W11" s="29">
        <f>W92</f>
        <v>0</v>
      </c>
      <c r="X11" s="6"/>
      <c r="Y11" s="7"/>
      <c r="AA11" s="17"/>
      <c r="AB11" s="30">
        <f>AB92</f>
        <v>0</v>
      </c>
      <c r="AC11" s="7"/>
    </row>
    <row r="12" spans="1:256" x14ac:dyDescent="0.2">
      <c r="B12" s="10"/>
      <c r="C12" s="42" t="str">
        <f>Translation!B639</f>
        <v>Value at Risk</v>
      </c>
      <c r="D12" s="6"/>
      <c r="E12" s="6"/>
      <c r="F12" s="6"/>
      <c r="G12" s="6"/>
      <c r="H12" s="6"/>
      <c r="I12" s="6"/>
      <c r="J12" s="6"/>
      <c r="K12" s="6"/>
      <c r="L12" s="6"/>
      <c r="M12" s="6"/>
      <c r="N12" s="6"/>
      <c r="O12" s="6"/>
      <c r="P12" s="6"/>
      <c r="Q12" s="6"/>
      <c r="R12" s="6"/>
      <c r="S12" s="1"/>
      <c r="T12" s="6"/>
      <c r="U12" s="1"/>
      <c r="V12" s="1"/>
      <c r="W12" s="29">
        <f>IF(W11=0,0,NORMINV($W$4,0,W11))</f>
        <v>0</v>
      </c>
      <c r="X12" s="6"/>
      <c r="Y12" s="7"/>
      <c r="AA12" s="17"/>
      <c r="AB12" s="30">
        <f>IF(AB11=0,0,NORMINV($W$4,0,AB11))</f>
        <v>0</v>
      </c>
      <c r="AC12" s="7"/>
    </row>
    <row r="13" spans="1:256" x14ac:dyDescent="0.2">
      <c r="B13" s="11"/>
      <c r="C13" s="944" t="str">
        <f>Translation!B640</f>
        <v>Expected Shortfall</v>
      </c>
      <c r="D13" s="12"/>
      <c r="E13" s="12"/>
      <c r="F13" s="12"/>
      <c r="G13" s="12"/>
      <c r="H13" s="12"/>
      <c r="I13" s="12"/>
      <c r="J13" s="12"/>
      <c r="K13" s="12"/>
      <c r="L13" s="12"/>
      <c r="M13" s="12"/>
      <c r="N13" s="12"/>
      <c r="O13" s="12"/>
      <c r="P13" s="12"/>
      <c r="Q13" s="12"/>
      <c r="R13" s="12"/>
      <c r="S13" s="48"/>
      <c r="T13" s="12"/>
      <c r="U13" s="48"/>
      <c r="V13" s="48"/>
      <c r="W13" s="930">
        <f>IF(W11=0,0,-1/$W$4*W11^2*NORMDIST(W12,0,W11,FALSE))</f>
        <v>0</v>
      </c>
      <c r="X13" s="12"/>
      <c r="Y13" s="22"/>
      <c r="AA13" s="18"/>
      <c r="AB13" s="930">
        <f>IF(AB11=0,0,-1/$W$4*AB11^2*NORMDIST(AB12,0,AB11,FALSE))</f>
        <v>0</v>
      </c>
      <c r="AC13" s="22"/>
    </row>
    <row r="14" spans="1:256" x14ac:dyDescent="0.2">
      <c r="C14" s="1"/>
    </row>
    <row r="15" spans="1:256" ht="15.75" x14ac:dyDescent="0.25">
      <c r="B15" s="450"/>
      <c r="C15" s="454" t="str">
        <f>Translation!B641</f>
        <v>Erwartungswert und Standardabweichung</v>
      </c>
      <c r="D15" s="452"/>
      <c r="E15" s="2596" t="str">
        <f>Translation!B642</f>
        <v>Werte in Mio. CHF</v>
      </c>
      <c r="F15" s="2597"/>
      <c r="G15" s="2597"/>
      <c r="H15" s="2597"/>
      <c r="I15" s="2597"/>
      <c r="J15" s="2597"/>
      <c r="K15" s="2597"/>
      <c r="L15" s="2597"/>
      <c r="M15" s="2597"/>
      <c r="N15" s="2597"/>
      <c r="O15" s="2597"/>
      <c r="P15" s="2597"/>
      <c r="Q15" s="2597"/>
      <c r="R15" s="2597"/>
      <c r="S15" s="2597"/>
      <c r="T15" s="2597"/>
      <c r="U15" s="2597"/>
      <c r="V15" s="2597"/>
      <c r="W15" s="2597"/>
      <c r="X15" s="2597"/>
      <c r="Y15" s="2598"/>
      <c r="AA15" s="450"/>
      <c r="AB15" s="452"/>
      <c r="AC15" s="453"/>
    </row>
    <row r="16" spans="1:256" ht="8.1" customHeight="1" x14ac:dyDescent="0.2">
      <c r="B16" s="10"/>
      <c r="C16" s="1"/>
      <c r="D16" s="6"/>
      <c r="E16" s="15"/>
      <c r="F16" s="21"/>
      <c r="G16" s="56"/>
      <c r="H16" s="21"/>
      <c r="I16" s="56"/>
      <c r="J16" s="21"/>
      <c r="K16" s="56"/>
      <c r="L16" s="21"/>
      <c r="M16" s="56"/>
      <c r="N16" s="21"/>
      <c r="O16" s="2256"/>
      <c r="P16" s="56"/>
      <c r="Q16" s="56"/>
      <c r="R16" s="21"/>
      <c r="S16" s="56"/>
      <c r="T16" s="21"/>
      <c r="U16" s="61"/>
      <c r="V16" s="64"/>
      <c r="W16" s="21"/>
      <c r="X16" s="16"/>
      <c r="Y16" s="7"/>
      <c r="AA16" s="64"/>
      <c r="AB16" s="21"/>
      <c r="AC16" s="16"/>
    </row>
    <row r="17" spans="2:34" s="96" customFormat="1" ht="57" customHeight="1" x14ac:dyDescent="0.2">
      <c r="B17" s="97"/>
      <c r="C17" s="531"/>
      <c r="D17" s="34"/>
      <c r="E17" s="97"/>
      <c r="F17" s="2286" t="str">
        <f>Translation!B643</f>
        <v>Kollektiv VVG</v>
      </c>
      <c r="G17" s="41"/>
      <c r="H17" s="2286" t="str">
        <f>Translation!B644</f>
        <v>Einzel VVG</v>
      </c>
      <c r="I17" s="41"/>
      <c r="J17" s="2286" t="str">
        <f>Translation!B645</f>
        <v>UVG</v>
      </c>
      <c r="K17" s="41"/>
      <c r="L17" s="2286" t="str">
        <f>Translation!B646</f>
        <v>KVG-Taggeld Einzel</v>
      </c>
      <c r="M17" s="41"/>
      <c r="N17" s="2286" t="str">
        <f>Translation!B647</f>
        <v>KVG-Taggeld Kollektiv</v>
      </c>
      <c r="O17" s="2254"/>
      <c r="P17" s="2286" t="str">
        <f>Translation!B983</f>
        <v>OKP EU</v>
      </c>
      <c r="Q17" s="2254"/>
      <c r="R17" s="2286" t="str">
        <f>Translation!B982</f>
        <v>OKP CH</v>
      </c>
      <c r="S17" s="41"/>
      <c r="T17" s="2286" t="str">
        <f>Translation!B648</f>
        <v>Aktive Rück-versicherung KVG</v>
      </c>
      <c r="U17" s="83"/>
      <c r="V17" s="84"/>
      <c r="W17" s="2286" t="str">
        <f>Translation!B649</f>
        <v>Total KVG inkl. UVG</v>
      </c>
      <c r="X17" s="98"/>
      <c r="Y17" s="98"/>
      <c r="AA17" s="84"/>
      <c r="AB17" s="2286" t="str">
        <f>Translation!B650</f>
        <v>Total KVG inkl. UVG und VVG</v>
      </c>
      <c r="AC17" s="98"/>
      <c r="AE17"/>
      <c r="AF17"/>
      <c r="AG17"/>
      <c r="AH17"/>
    </row>
    <row r="18" spans="2:34" s="26" customFormat="1" ht="8.1" customHeight="1" x14ac:dyDescent="0.2">
      <c r="B18" s="99"/>
      <c r="C18" s="1"/>
      <c r="D18" s="2"/>
      <c r="E18" s="99"/>
      <c r="F18" s="54"/>
      <c r="G18" s="54"/>
      <c r="H18" s="54"/>
      <c r="I18" s="54"/>
      <c r="J18" s="54"/>
      <c r="K18" s="54"/>
      <c r="L18" s="54"/>
      <c r="M18" s="54"/>
      <c r="N18" s="54"/>
      <c r="O18" s="54"/>
      <c r="P18" s="54"/>
      <c r="Q18" s="54"/>
      <c r="R18" s="54"/>
      <c r="S18" s="54"/>
      <c r="T18" s="54"/>
      <c r="U18" s="62"/>
      <c r="V18" s="65"/>
      <c r="W18" s="54"/>
      <c r="X18" s="100"/>
      <c r="Y18" s="100"/>
      <c r="AA18" s="65"/>
      <c r="AB18" s="54"/>
      <c r="AC18" s="100"/>
      <c r="AE18"/>
      <c r="AF18"/>
      <c r="AG18"/>
      <c r="AH18"/>
    </row>
    <row r="19" spans="2:34" s="26" customFormat="1" ht="15.75" customHeight="1" x14ac:dyDescent="0.25">
      <c r="B19" s="99"/>
      <c r="C19" s="530" t="str">
        <f>Translation!B651</f>
        <v>Erwartungswert</v>
      </c>
      <c r="D19" s="101"/>
      <c r="E19" s="102"/>
      <c r="F19" s="70"/>
      <c r="G19" s="70"/>
      <c r="H19" s="70"/>
      <c r="I19" s="70"/>
      <c r="J19" s="70"/>
      <c r="K19" s="70"/>
      <c r="L19" s="70"/>
      <c r="M19" s="70"/>
      <c r="N19" s="70"/>
      <c r="O19" s="70"/>
      <c r="P19" s="70"/>
      <c r="Q19" s="70"/>
      <c r="R19" s="70"/>
      <c r="S19" s="70"/>
      <c r="T19" s="70"/>
      <c r="U19" s="71"/>
      <c r="V19" s="72"/>
      <c r="W19" s="70"/>
      <c r="X19" s="100"/>
      <c r="Y19" s="100"/>
      <c r="AA19" s="65"/>
      <c r="AB19" s="70"/>
      <c r="AC19" s="100"/>
      <c r="AE19"/>
      <c r="AF19"/>
      <c r="AG19"/>
      <c r="AH19"/>
    </row>
    <row r="20" spans="2:34" ht="12.75" customHeight="1" x14ac:dyDescent="0.2">
      <c r="B20" s="10"/>
      <c r="C20" s="1"/>
      <c r="D20" s="6"/>
      <c r="E20" s="10"/>
      <c r="F20" s="39"/>
      <c r="G20" s="25"/>
      <c r="H20" s="39"/>
      <c r="I20" s="25"/>
      <c r="J20" s="39"/>
      <c r="K20" s="25"/>
      <c r="L20" s="39"/>
      <c r="M20" s="25"/>
      <c r="N20" s="39"/>
      <c r="O20" s="25"/>
      <c r="P20" s="25"/>
      <c r="Q20" s="25"/>
      <c r="R20" s="39"/>
      <c r="S20" s="25"/>
      <c r="T20" s="39"/>
      <c r="U20" s="47"/>
      <c r="V20" s="46"/>
      <c r="W20" s="39"/>
      <c r="X20" s="7"/>
      <c r="Y20" s="7"/>
      <c r="AA20" s="46"/>
      <c r="AB20" s="39"/>
      <c r="AC20" s="7"/>
    </row>
    <row r="21" spans="2:34" ht="12.75" customHeight="1" x14ac:dyDescent="0.2">
      <c r="B21" s="10"/>
      <c r="C21" s="120" t="str">
        <f>Translation!B652</f>
        <v>Versicherungstechnische Erträge</v>
      </c>
      <c r="D21" s="108"/>
      <c r="E21" s="888"/>
      <c r="F21" s="884">
        <f>F30+F32</f>
        <v>0</v>
      </c>
      <c r="G21" s="889"/>
      <c r="H21" s="884">
        <f>H30+H32</f>
        <v>0</v>
      </c>
      <c r="I21" s="889"/>
      <c r="J21" s="884">
        <f>J30+J32</f>
        <v>0</v>
      </c>
      <c r="K21" s="889"/>
      <c r="L21" s="884">
        <f>SUM(L24:L25,L28:L28,L32:L33)</f>
        <v>0</v>
      </c>
      <c r="M21" s="889"/>
      <c r="N21" s="884">
        <f>SUM(N24:N25,N28:N28,N32:N33)</f>
        <v>0</v>
      </c>
      <c r="O21" s="889"/>
      <c r="P21" s="884">
        <f>SUM(P24:P25,P28:P28,P32:P33)</f>
        <v>0</v>
      </c>
      <c r="Q21" s="889"/>
      <c r="R21" s="884">
        <f>SUM(R24:R25,R28:R28,R32:R33)</f>
        <v>0</v>
      </c>
      <c r="S21" s="889"/>
      <c r="T21" s="884">
        <f>SUM(T24:T25,T28:T28,T32:T33)</f>
        <v>0</v>
      </c>
      <c r="U21" s="890"/>
      <c r="V21" s="888"/>
      <c r="W21" s="896">
        <f>SUM(L21,N21,P21,R21,T21,J21)</f>
        <v>0</v>
      </c>
      <c r="X21" s="891"/>
      <c r="Y21" s="7"/>
      <c r="AA21" s="892"/>
      <c r="AB21" s="913">
        <f>SUM(F21,H21,J21,L21,N21,P21,R21,T21)</f>
        <v>0</v>
      </c>
      <c r="AC21" s="891"/>
    </row>
    <row r="22" spans="2:34" ht="12.75" customHeight="1" x14ac:dyDescent="0.2">
      <c r="B22" s="10"/>
      <c r="C22" s="73" t="str">
        <f>Translation!B653</f>
        <v>(Erträge: positives Vorzeichen)</v>
      </c>
      <c r="D22" s="6"/>
      <c r="E22" s="892"/>
      <c r="F22" s="75"/>
      <c r="G22" s="30"/>
      <c r="H22" s="75"/>
      <c r="I22" s="30"/>
      <c r="J22" s="75"/>
      <c r="K22" s="30"/>
      <c r="L22" s="75"/>
      <c r="M22" s="30"/>
      <c r="N22" s="75"/>
      <c r="O22" s="30"/>
      <c r="P22" s="75"/>
      <c r="Q22" s="30"/>
      <c r="R22" s="75"/>
      <c r="S22" s="30"/>
      <c r="T22" s="75"/>
      <c r="U22" s="29"/>
      <c r="V22" s="892"/>
      <c r="W22" s="75"/>
      <c r="X22" s="891"/>
      <c r="Y22" s="7"/>
      <c r="AA22" s="892"/>
      <c r="AB22" s="911"/>
      <c r="AC22" s="891"/>
    </row>
    <row r="23" spans="2:34" ht="8.1" customHeight="1" x14ac:dyDescent="0.2">
      <c r="B23" s="10"/>
      <c r="C23" s="6"/>
      <c r="D23" s="6"/>
      <c r="E23" s="892"/>
      <c r="F23" s="75"/>
      <c r="G23" s="30"/>
      <c r="H23" s="75"/>
      <c r="I23" s="30"/>
      <c r="J23" s="75"/>
      <c r="K23" s="30"/>
      <c r="L23" s="75"/>
      <c r="M23" s="30"/>
      <c r="N23" s="75"/>
      <c r="O23" s="30"/>
      <c r="P23" s="75"/>
      <c r="Q23" s="30"/>
      <c r="R23" s="75"/>
      <c r="S23" s="30"/>
      <c r="T23" s="75"/>
      <c r="U23" s="29"/>
      <c r="V23" s="892"/>
      <c r="W23" s="75"/>
      <c r="X23" s="891"/>
      <c r="Y23" s="7"/>
      <c r="AA23" s="892"/>
      <c r="AB23" s="911"/>
      <c r="AC23" s="891"/>
    </row>
    <row r="24" spans="2:34" ht="12.75" customHeight="1" x14ac:dyDescent="0.2">
      <c r="B24" s="10"/>
      <c r="C24" s="320" t="str">
        <f>Translation!B654</f>
        <v>Bruttoprämien</v>
      </c>
      <c r="D24" s="108"/>
      <c r="E24" s="888"/>
      <c r="F24" s="1190"/>
      <c r="G24" s="890"/>
      <c r="H24" s="1190"/>
      <c r="I24" s="890"/>
      <c r="J24" s="1190"/>
      <c r="K24" s="890"/>
      <c r="L24" s="1190"/>
      <c r="M24" s="890"/>
      <c r="N24" s="1190"/>
      <c r="O24" s="893"/>
      <c r="P24" s="1190"/>
      <c r="Q24" s="893"/>
      <c r="R24" s="1190"/>
      <c r="S24" s="893"/>
      <c r="T24" s="1190"/>
      <c r="U24" s="890"/>
      <c r="V24" s="888"/>
      <c r="W24" s="885">
        <f>SUM(L24,N24,P24,R24,T24,J24)</f>
        <v>0</v>
      </c>
      <c r="X24" s="891"/>
      <c r="Y24" s="7"/>
      <c r="AA24" s="892"/>
      <c r="AB24" s="912">
        <f>SUM(F24,H24,J24,L24,N24,P24,R24,T24)</f>
        <v>0</v>
      </c>
      <c r="AC24" s="891"/>
      <c r="AD24" s="2260"/>
    </row>
    <row r="25" spans="2:34" ht="12.75" customHeight="1" x14ac:dyDescent="0.2">
      <c r="B25" s="10"/>
      <c r="C25" s="320" t="str">
        <f>Translation!B655</f>
        <v>Erlösminderungen</v>
      </c>
      <c r="D25" s="108"/>
      <c r="E25" s="888"/>
      <c r="F25" s="1190"/>
      <c r="G25" s="890"/>
      <c r="H25" s="1190"/>
      <c r="I25" s="890"/>
      <c r="J25" s="1190"/>
      <c r="K25" s="890"/>
      <c r="L25" s="1190"/>
      <c r="M25" s="890"/>
      <c r="N25" s="1190"/>
      <c r="O25" s="893"/>
      <c r="P25" s="1190"/>
      <c r="Q25" s="893"/>
      <c r="R25" s="1190"/>
      <c r="S25" s="893"/>
      <c r="T25" s="1190"/>
      <c r="U25" s="890"/>
      <c r="V25" s="888"/>
      <c r="W25" s="885">
        <f>SUM(L25,N25,P25,R25,T25,J25)</f>
        <v>0</v>
      </c>
      <c r="X25" s="891"/>
      <c r="Y25" s="7"/>
      <c r="AA25" s="892"/>
      <c r="AB25" s="912">
        <f>SUM(F25,H25,J25,L25,N25, P25, R25,T25)</f>
        <v>0</v>
      </c>
      <c r="AC25" s="891"/>
    </row>
    <row r="26" spans="2:34" s="9" customFormat="1" ht="5.0999999999999996" customHeight="1" x14ac:dyDescent="0.2">
      <c r="B26" s="17"/>
      <c r="C26" s="118"/>
      <c r="D26" s="118"/>
      <c r="E26" s="894"/>
      <c r="F26" s="885"/>
      <c r="G26" s="893"/>
      <c r="H26" s="885"/>
      <c r="I26" s="893"/>
      <c r="J26" s="885"/>
      <c r="K26" s="893"/>
      <c r="L26" s="885"/>
      <c r="M26" s="893"/>
      <c r="N26" s="885"/>
      <c r="O26" s="893"/>
      <c r="P26" s="885"/>
      <c r="Q26" s="893"/>
      <c r="R26" s="885"/>
      <c r="S26" s="893"/>
      <c r="T26" s="885"/>
      <c r="U26" s="893"/>
      <c r="V26" s="894"/>
      <c r="W26" s="885"/>
      <c r="X26" s="895"/>
      <c r="Y26" s="13"/>
      <c r="AA26" s="916"/>
      <c r="AB26" s="912"/>
      <c r="AC26" s="895"/>
      <c r="AE26"/>
      <c r="AF26"/>
      <c r="AG26"/>
      <c r="AH26"/>
    </row>
    <row r="27" spans="2:34" ht="12.75" customHeight="1" x14ac:dyDescent="0.2">
      <c r="B27" s="10"/>
      <c r="C27" s="108" t="str">
        <f>Translation!B656</f>
        <v>Verdiente Prämien vor Rückversicherung</v>
      </c>
      <c r="D27" s="108"/>
      <c r="E27" s="888"/>
      <c r="F27" s="885">
        <f>SUM(F24:F25)</f>
        <v>0</v>
      </c>
      <c r="G27" s="893"/>
      <c r="H27" s="885">
        <f>SUM(H24:H25)</f>
        <v>0</v>
      </c>
      <c r="I27" s="893"/>
      <c r="J27" s="885">
        <f>SUM(J24:J25)</f>
        <v>0</v>
      </c>
      <c r="K27" s="893"/>
      <c r="L27" s="885">
        <f>SUM(L24:L25)</f>
        <v>0</v>
      </c>
      <c r="M27" s="893"/>
      <c r="N27" s="885">
        <f>SUM(N24:N25)</f>
        <v>0</v>
      </c>
      <c r="O27" s="893"/>
      <c r="P27" s="885">
        <f>SUM(P24:P25)</f>
        <v>0</v>
      </c>
      <c r="Q27" s="893"/>
      <c r="R27" s="885">
        <f>SUM(R24:R25)</f>
        <v>0</v>
      </c>
      <c r="S27" s="893"/>
      <c r="T27" s="885">
        <f>SUM(T24:T25)</f>
        <v>0</v>
      </c>
      <c r="U27" s="890"/>
      <c r="V27" s="888"/>
      <c r="W27" s="885">
        <f>SUM(L27,N27,P27,R27,T27,J27)</f>
        <v>0</v>
      </c>
      <c r="X27" s="891"/>
      <c r="Y27" s="7"/>
      <c r="AA27" s="892"/>
      <c r="AB27" s="912">
        <f>SUM(F27,H27,J27,L27,N27,P27,R27,T27)</f>
        <v>0</v>
      </c>
      <c r="AC27" s="891"/>
    </row>
    <row r="28" spans="2:34" ht="12.75" customHeight="1" x14ac:dyDescent="0.2">
      <c r="B28" s="10"/>
      <c r="C28" s="320" t="str">
        <f>Translation!B657</f>
        <v>Prämienanteile der passiven Rückversicherung</v>
      </c>
      <c r="D28" s="108"/>
      <c r="E28" s="888"/>
      <c r="F28" s="1190"/>
      <c r="G28" s="893"/>
      <c r="H28" s="1190"/>
      <c r="I28" s="893"/>
      <c r="J28" s="1190"/>
      <c r="K28" s="893"/>
      <c r="L28" s="1190"/>
      <c r="M28" s="893"/>
      <c r="N28" s="1190"/>
      <c r="O28" s="893"/>
      <c r="P28" s="1190"/>
      <c r="Q28" s="893"/>
      <c r="R28" s="1190"/>
      <c r="S28" s="893"/>
      <c r="T28" s="1190"/>
      <c r="U28" s="890"/>
      <c r="V28" s="888"/>
      <c r="W28" s="885">
        <f>SUM(L28,N28,P28,R28,T28,J28)</f>
        <v>0</v>
      </c>
      <c r="X28" s="891"/>
      <c r="Y28" s="7"/>
      <c r="AA28" s="892"/>
      <c r="AB28" s="912">
        <f>SUM(F28,H28,J28,L28,N28,P28,R28,T28)</f>
        <v>0</v>
      </c>
      <c r="AC28" s="891"/>
    </row>
    <row r="29" spans="2:34" s="9" customFormat="1" ht="5.0999999999999996" customHeight="1" x14ac:dyDescent="0.2">
      <c r="B29" s="17"/>
      <c r="C29" s="118"/>
      <c r="D29" s="118"/>
      <c r="E29" s="894"/>
      <c r="F29" s="885"/>
      <c r="G29" s="893"/>
      <c r="H29" s="885"/>
      <c r="I29" s="893"/>
      <c r="J29" s="885"/>
      <c r="K29" s="893"/>
      <c r="L29" s="885"/>
      <c r="M29" s="893"/>
      <c r="N29" s="885"/>
      <c r="O29" s="893"/>
      <c r="P29" s="885"/>
      <c r="Q29" s="893"/>
      <c r="R29" s="885"/>
      <c r="S29" s="893"/>
      <c r="T29" s="885"/>
      <c r="U29" s="893"/>
      <c r="V29" s="894"/>
      <c r="W29" s="885"/>
      <c r="X29" s="895"/>
      <c r="Y29" s="13"/>
      <c r="AA29" s="916"/>
      <c r="AB29" s="912"/>
      <c r="AC29" s="895"/>
      <c r="AE29"/>
      <c r="AF29"/>
      <c r="AG29"/>
      <c r="AH29"/>
    </row>
    <row r="30" spans="2:34" ht="12.75" customHeight="1" x14ac:dyDescent="0.2">
      <c r="B30" s="10"/>
      <c r="C30" s="108" t="str">
        <f>Translation!B658</f>
        <v>Verdiente Prämien nach Rückversicherung</v>
      </c>
      <c r="D30" s="108"/>
      <c r="E30" s="888"/>
      <c r="F30" s="885">
        <f>SUM(F27:F28)</f>
        <v>0</v>
      </c>
      <c r="G30" s="893"/>
      <c r="H30" s="885">
        <f>SUM(H27:H28)</f>
        <v>0</v>
      </c>
      <c r="I30" s="893"/>
      <c r="J30" s="885">
        <f>SUM(J27:J28)</f>
        <v>0</v>
      </c>
      <c r="K30" s="893"/>
      <c r="L30" s="885">
        <f>SUM(L27:L28)</f>
        <v>0</v>
      </c>
      <c r="M30" s="893"/>
      <c r="N30" s="885">
        <f>SUM(N27:N28)</f>
        <v>0</v>
      </c>
      <c r="O30" s="893"/>
      <c r="P30" s="885">
        <f>SUM(P27:P28)</f>
        <v>0</v>
      </c>
      <c r="Q30" s="893"/>
      <c r="R30" s="885">
        <f>SUM(R27:R28)</f>
        <v>0</v>
      </c>
      <c r="S30" s="893"/>
      <c r="T30" s="885">
        <f>SUM(T27:T28)</f>
        <v>0</v>
      </c>
      <c r="U30" s="890"/>
      <c r="V30" s="888"/>
      <c r="W30" s="885">
        <f>SUM(L30,N30,P30,R30,T30,J30)</f>
        <v>0</v>
      </c>
      <c r="X30" s="891"/>
      <c r="Y30" s="7"/>
      <c r="AA30" s="892"/>
      <c r="AB30" s="912">
        <f>SUM(F30,H30,J30,L30,N30,P30,R30,T30)</f>
        <v>0</v>
      </c>
      <c r="AC30" s="891"/>
    </row>
    <row r="31" spans="2:34" ht="8.1" customHeight="1" x14ac:dyDescent="0.2">
      <c r="B31" s="10"/>
      <c r="C31" s="108"/>
      <c r="D31" s="108"/>
      <c r="E31" s="888"/>
      <c r="F31" s="886"/>
      <c r="G31" s="893"/>
      <c r="H31" s="886"/>
      <c r="I31" s="893"/>
      <c r="J31" s="886"/>
      <c r="K31" s="893"/>
      <c r="L31" s="886"/>
      <c r="M31" s="893"/>
      <c r="N31" s="886"/>
      <c r="O31" s="893"/>
      <c r="P31" s="886"/>
      <c r="Q31" s="893"/>
      <c r="R31" s="886"/>
      <c r="S31" s="893"/>
      <c r="T31" s="886"/>
      <c r="U31" s="890"/>
      <c r="V31" s="888"/>
      <c r="W31" s="885"/>
      <c r="X31" s="891"/>
      <c r="Y31" s="7"/>
      <c r="AA31" s="892"/>
      <c r="AB31" s="912"/>
      <c r="AC31" s="891"/>
    </row>
    <row r="32" spans="2:34" ht="12.75" customHeight="1" x14ac:dyDescent="0.2">
      <c r="B32" s="10"/>
      <c r="C32" s="108" t="str">
        <f>Translation!B659</f>
        <v>Sonstige versicherungstechnische Erträge</v>
      </c>
      <c r="D32" s="108"/>
      <c r="E32" s="888"/>
      <c r="F32" s="1190"/>
      <c r="G32" s="893"/>
      <c r="H32" s="1190"/>
      <c r="I32" s="893"/>
      <c r="J32" s="1190"/>
      <c r="K32" s="893"/>
      <c r="L32" s="1190"/>
      <c r="M32" s="893"/>
      <c r="N32" s="1190"/>
      <c r="O32" s="893"/>
      <c r="P32" s="1190"/>
      <c r="Q32" s="893"/>
      <c r="R32" s="1190"/>
      <c r="S32" s="893"/>
      <c r="T32" s="1190"/>
      <c r="U32" s="890"/>
      <c r="V32" s="888"/>
      <c r="W32" s="885">
        <f>SUM(L32,N32,P32,R32,T32,J32)</f>
        <v>0</v>
      </c>
      <c r="X32" s="891"/>
      <c r="Y32" s="7"/>
      <c r="AA32" s="892"/>
      <c r="AB32" s="912">
        <f>SUM(F32,H32,J32,L32,N32,P32,R32,T32)</f>
        <v>0</v>
      </c>
      <c r="AC32" s="891"/>
    </row>
    <row r="33" spans="2:29" ht="12.75" customHeight="1" x14ac:dyDescent="0.2">
      <c r="B33" s="10"/>
      <c r="C33" s="320" t="str">
        <f>Translation!B660</f>
        <v>Überschussbeteiligungen</v>
      </c>
      <c r="D33" s="108"/>
      <c r="E33" s="888"/>
      <c r="F33" s="1190"/>
      <c r="G33" s="893"/>
      <c r="H33" s="885"/>
      <c r="I33" s="893"/>
      <c r="J33" s="885"/>
      <c r="K33" s="893"/>
      <c r="L33" s="885"/>
      <c r="M33" s="893"/>
      <c r="N33" s="1190"/>
      <c r="O33" s="893"/>
      <c r="P33" s="885"/>
      <c r="Q33" s="893"/>
      <c r="R33" s="885"/>
      <c r="S33" s="893"/>
      <c r="T33" s="1190"/>
      <c r="U33" s="890"/>
      <c r="V33" s="888"/>
      <c r="W33" s="885">
        <f>SUM(L33,N33,P33,R33,T33,J33)</f>
        <v>0</v>
      </c>
      <c r="X33" s="891"/>
      <c r="Y33" s="7"/>
      <c r="AA33" s="892"/>
      <c r="AB33" s="912">
        <f>SUM(F33,H33,J33,L33,N33,P33,R33,T33)</f>
        <v>0</v>
      </c>
      <c r="AC33" s="891"/>
    </row>
    <row r="34" spans="2:29" ht="20.100000000000001" customHeight="1" x14ac:dyDescent="0.2">
      <c r="B34" s="10"/>
      <c r="C34" s="6"/>
      <c r="D34" s="6"/>
      <c r="E34" s="892"/>
      <c r="F34" s="29"/>
      <c r="G34" s="30"/>
      <c r="H34" s="29"/>
      <c r="I34" s="30"/>
      <c r="J34" s="29"/>
      <c r="K34" s="30"/>
      <c r="L34" s="29"/>
      <c r="M34" s="30"/>
      <c r="N34" s="29"/>
      <c r="O34" s="30"/>
      <c r="P34" s="29"/>
      <c r="Q34" s="30"/>
      <c r="R34" s="29"/>
      <c r="S34" s="30"/>
      <c r="T34" s="29"/>
      <c r="U34" s="29"/>
      <c r="V34" s="892"/>
      <c r="W34" s="30"/>
      <c r="X34" s="891"/>
      <c r="Y34" s="7"/>
      <c r="AA34" s="892"/>
      <c r="AB34" s="30"/>
      <c r="AC34" s="891"/>
    </row>
    <row r="35" spans="2:29" ht="12.75" customHeight="1" x14ac:dyDescent="0.2">
      <c r="B35" s="10"/>
      <c r="C35" s="120" t="str">
        <f>Translation!B661</f>
        <v>Versicherungstechnische Aufwendungen</v>
      </c>
      <c r="D35" s="108"/>
      <c r="E35" s="888"/>
      <c r="F35" s="884">
        <f>F53+F55</f>
        <v>0</v>
      </c>
      <c r="G35" s="889"/>
      <c r="H35" s="884">
        <f>H53+H55</f>
        <v>0</v>
      </c>
      <c r="I35" s="889"/>
      <c r="J35" s="884">
        <f>J53+J55</f>
        <v>0</v>
      </c>
      <c r="K35" s="889"/>
      <c r="L35" s="884">
        <f>SUM(L53,L55)</f>
        <v>0</v>
      </c>
      <c r="M35" s="889"/>
      <c r="N35" s="884">
        <f>SUM(N53,N55)</f>
        <v>0</v>
      </c>
      <c r="O35" s="889"/>
      <c r="P35" s="884">
        <f>SUM(P53,P55)</f>
        <v>0</v>
      </c>
      <c r="Q35" s="889"/>
      <c r="R35" s="884">
        <f>SUM(R53,R55)</f>
        <v>0</v>
      </c>
      <c r="S35" s="889"/>
      <c r="T35" s="884">
        <f>SUM(T53,T55)</f>
        <v>0</v>
      </c>
      <c r="U35" s="890"/>
      <c r="V35" s="888"/>
      <c r="W35" s="896">
        <f>SUM(L35,N35,P35,R35,T35,J35)</f>
        <v>0</v>
      </c>
      <c r="X35" s="891"/>
      <c r="Y35" s="7"/>
      <c r="AA35" s="892"/>
      <c r="AB35" s="913">
        <f>SUM(F35,H35,J35,L35,N35,P35,R35,T35)</f>
        <v>0</v>
      </c>
      <c r="AC35" s="891"/>
    </row>
    <row r="36" spans="2:29" ht="12.75" customHeight="1" x14ac:dyDescent="0.2">
      <c r="B36" s="10"/>
      <c r="C36" s="73" t="str">
        <f>Translation!B662</f>
        <v>(Aufwendungen: positives Vorzeichen)</v>
      </c>
      <c r="D36" s="6"/>
      <c r="E36" s="892"/>
      <c r="F36" s="75"/>
      <c r="G36" s="30"/>
      <c r="H36" s="75"/>
      <c r="I36" s="30"/>
      <c r="J36" s="75"/>
      <c r="K36" s="30"/>
      <c r="L36" s="75"/>
      <c r="M36" s="30"/>
      <c r="N36" s="75"/>
      <c r="O36" s="30"/>
      <c r="P36" s="75"/>
      <c r="Q36" s="30"/>
      <c r="R36" s="75"/>
      <c r="S36" s="30"/>
      <c r="T36" s="75"/>
      <c r="U36" s="29"/>
      <c r="V36" s="892"/>
      <c r="W36" s="315"/>
      <c r="X36" s="891"/>
      <c r="Y36" s="7"/>
      <c r="AA36" s="892"/>
      <c r="AB36" s="914"/>
      <c r="AC36" s="891"/>
    </row>
    <row r="37" spans="2:29" ht="6.75" customHeight="1" x14ac:dyDescent="0.2">
      <c r="B37" s="10"/>
      <c r="C37" s="53"/>
      <c r="D37" s="6"/>
      <c r="E37" s="892"/>
      <c r="F37" s="75"/>
      <c r="G37" s="30"/>
      <c r="H37" s="75"/>
      <c r="I37" s="30"/>
      <c r="J37" s="75"/>
      <c r="K37" s="30"/>
      <c r="L37" s="75"/>
      <c r="M37" s="30"/>
      <c r="N37" s="75"/>
      <c r="O37" s="30"/>
      <c r="P37" s="75"/>
      <c r="Q37" s="30"/>
      <c r="R37" s="75"/>
      <c r="S37" s="30"/>
      <c r="T37" s="75"/>
      <c r="U37" s="29"/>
      <c r="V37" s="892"/>
      <c r="W37" s="315"/>
      <c r="X37" s="891"/>
      <c r="Y37" s="7"/>
      <c r="AA37" s="892"/>
      <c r="AB37" s="914"/>
      <c r="AC37" s="891"/>
    </row>
    <row r="38" spans="2:29" ht="12.75" customHeight="1" x14ac:dyDescent="0.2">
      <c r="B38" s="10"/>
      <c r="C38" s="320" t="str">
        <f>Translation!B663</f>
        <v>Bruttoleistungen (Behandlungsjahr 2025)</v>
      </c>
      <c r="D38" s="108"/>
      <c r="E38" s="888"/>
      <c r="F38" s="1190"/>
      <c r="G38" s="890"/>
      <c r="H38" s="1190"/>
      <c r="I38" s="890"/>
      <c r="J38" s="1190"/>
      <c r="K38" s="890"/>
      <c r="L38" s="1190"/>
      <c r="M38" s="890"/>
      <c r="N38" s="1190"/>
      <c r="O38" s="893"/>
      <c r="P38" s="1190"/>
      <c r="Q38" s="893"/>
      <c r="R38" s="1190"/>
      <c r="S38" s="893"/>
      <c r="T38" s="1190"/>
      <c r="U38" s="890"/>
      <c r="V38" s="888"/>
      <c r="W38" s="885">
        <f>SUM(L38,N38,P38,R38,T38,J38)</f>
        <v>0</v>
      </c>
      <c r="X38" s="891"/>
      <c r="Y38" s="7"/>
      <c r="AA38" s="892"/>
      <c r="AB38" s="912">
        <f>SUM(F38,H38,J38,L38,N38,P38,R38,T38)</f>
        <v>0</v>
      </c>
      <c r="AC38" s="891"/>
    </row>
    <row r="39" spans="2:29" ht="12.75" customHeight="1" x14ac:dyDescent="0.2">
      <c r="B39" s="10"/>
      <c r="C39" s="320" t="str">
        <f>Translation!B664</f>
        <v>Kostenbeteiligungen (Behandlungsjahr 2025)</v>
      </c>
      <c r="D39" s="108"/>
      <c r="E39" s="888"/>
      <c r="F39" s="885"/>
      <c r="G39" s="893"/>
      <c r="H39" s="1190"/>
      <c r="I39" s="893"/>
      <c r="J39" s="885"/>
      <c r="K39" s="893"/>
      <c r="L39" s="885"/>
      <c r="M39" s="893"/>
      <c r="N39" s="885"/>
      <c r="O39" s="893"/>
      <c r="P39" s="1190"/>
      <c r="Q39" s="893"/>
      <c r="R39" s="1190"/>
      <c r="S39" s="893"/>
      <c r="T39" s="885"/>
      <c r="U39" s="890"/>
      <c r="V39" s="888"/>
      <c r="W39" s="885">
        <f>SUM(L39,N39,P39,R39,T39,J39)</f>
        <v>0</v>
      </c>
      <c r="X39" s="891"/>
      <c r="Y39" s="7"/>
      <c r="AA39" s="892"/>
      <c r="AB39" s="912">
        <f>SUM(F39,H39,J39,L39,N39,P39,R39,T39)</f>
        <v>0</v>
      </c>
      <c r="AC39" s="891"/>
    </row>
    <row r="40" spans="2:29" ht="12.75" customHeight="1" x14ac:dyDescent="0.2">
      <c r="B40" s="10"/>
      <c r="C40" s="320" t="str">
        <f>Translation!B665</f>
        <v>Sonstige Leistungen  (Behandlungsjahr 2025)</v>
      </c>
      <c r="D40" s="108"/>
      <c r="E40" s="888"/>
      <c r="F40" s="1190"/>
      <c r="G40" s="893"/>
      <c r="H40" s="1190"/>
      <c r="I40" s="893"/>
      <c r="J40" s="1190"/>
      <c r="K40" s="893"/>
      <c r="L40" s="1190"/>
      <c r="M40" s="893"/>
      <c r="N40" s="1190"/>
      <c r="O40" s="893"/>
      <c r="P40" s="1190"/>
      <c r="Q40" s="893"/>
      <c r="R40" s="1190"/>
      <c r="S40" s="893"/>
      <c r="T40" s="1190"/>
      <c r="U40" s="890"/>
      <c r="V40" s="888"/>
      <c r="W40" s="885">
        <f>SUM(L40,N40,P40,R40,T40,J40)</f>
        <v>0</v>
      </c>
      <c r="X40" s="891"/>
      <c r="Y40" s="7"/>
      <c r="AA40" s="892"/>
      <c r="AB40" s="912">
        <f>SUM(F40,H40,J40,L40,N40,P40,R40,T40)</f>
        <v>0</v>
      </c>
      <c r="AC40" s="891"/>
    </row>
    <row r="41" spans="2:29" s="9" customFormat="1" ht="5.0999999999999996" customHeight="1" x14ac:dyDescent="0.2">
      <c r="B41" s="17"/>
      <c r="C41" s="118"/>
      <c r="D41" s="118"/>
      <c r="E41" s="894"/>
      <c r="F41" s="885"/>
      <c r="G41" s="893"/>
      <c r="H41" s="885"/>
      <c r="I41" s="893"/>
      <c r="J41" s="885"/>
      <c r="K41" s="893"/>
      <c r="L41" s="885"/>
      <c r="M41" s="893"/>
      <c r="N41" s="885"/>
      <c r="O41" s="893"/>
      <c r="P41" s="885"/>
      <c r="Q41" s="893"/>
      <c r="R41" s="885"/>
      <c r="S41" s="893"/>
      <c r="T41" s="885"/>
      <c r="U41" s="893"/>
      <c r="V41" s="894"/>
      <c r="W41" s="885"/>
      <c r="X41" s="895"/>
      <c r="Y41" s="13"/>
      <c r="AA41" s="916"/>
      <c r="AB41" s="912"/>
      <c r="AC41" s="895"/>
    </row>
    <row r="42" spans="2:29" ht="12.75" customHeight="1" x14ac:dyDescent="0.2">
      <c r="B42" s="10"/>
      <c r="C42" s="108" t="str">
        <f>Translation!B666</f>
        <v>Leistungen vor Rückversicherung</v>
      </c>
      <c r="D42" s="108"/>
      <c r="E42" s="888"/>
      <c r="F42" s="885">
        <f>SUM(F38:F40)</f>
        <v>0</v>
      </c>
      <c r="G42" s="893"/>
      <c r="H42" s="885">
        <f>SUM(H38:H40)</f>
        <v>0</v>
      </c>
      <c r="I42" s="893"/>
      <c r="J42" s="885">
        <f>SUM(J38:J40)</f>
        <v>0</v>
      </c>
      <c r="K42" s="893"/>
      <c r="L42" s="885">
        <f>SUM(L38:L40)</f>
        <v>0</v>
      </c>
      <c r="M42" s="893"/>
      <c r="N42" s="885">
        <f>SUM(N38:N40)</f>
        <v>0</v>
      </c>
      <c r="O42" s="893"/>
      <c r="P42" s="885">
        <f>SUM(P38:P40)</f>
        <v>0</v>
      </c>
      <c r="Q42" s="893"/>
      <c r="R42" s="885">
        <f>SUM(R38:R40)</f>
        <v>0</v>
      </c>
      <c r="S42" s="893"/>
      <c r="T42" s="885">
        <f>SUM(T38:T40)</f>
        <v>0</v>
      </c>
      <c r="U42" s="890"/>
      <c r="V42" s="888"/>
      <c r="W42" s="885">
        <f>SUM(L42,N42,P42,R42,T42,J42)</f>
        <v>0</v>
      </c>
      <c r="X42" s="891"/>
      <c r="Y42" s="7"/>
      <c r="AA42" s="892"/>
      <c r="AB42" s="912">
        <f>SUM(F42,H42,J42,L42,N42,P42,R42,T42)</f>
        <v>0</v>
      </c>
      <c r="AC42" s="891"/>
    </row>
    <row r="43" spans="2:29" ht="12.75" customHeight="1" x14ac:dyDescent="0.2">
      <c r="B43" s="10"/>
      <c r="C43" s="320" t="str">
        <f>Translation!B667</f>
        <v>Leistungsanteile der passiven Rückversicherung</v>
      </c>
      <c r="D43" s="108"/>
      <c r="E43" s="888"/>
      <c r="F43" s="1190"/>
      <c r="G43" s="893"/>
      <c r="H43" s="1190"/>
      <c r="I43" s="893"/>
      <c r="J43" s="1190"/>
      <c r="K43" s="893"/>
      <c r="L43" s="1190"/>
      <c r="M43" s="893"/>
      <c r="N43" s="1190"/>
      <c r="O43" s="893"/>
      <c r="P43" s="1190">
        <v>0</v>
      </c>
      <c r="Q43" s="893"/>
      <c r="R43" s="1190">
        <v>0</v>
      </c>
      <c r="S43" s="893"/>
      <c r="T43" s="1190"/>
      <c r="U43" s="890"/>
      <c r="V43" s="888"/>
      <c r="W43" s="885">
        <f>SUM(L43,N43,P43,R43,T43,J43)</f>
        <v>0</v>
      </c>
      <c r="X43" s="891"/>
      <c r="Y43" s="7"/>
      <c r="AA43" s="892"/>
      <c r="AB43" s="912">
        <f>SUM(F43,H43,J43,L43,N43,P43,R43,T43)</f>
        <v>0</v>
      </c>
      <c r="AC43" s="891"/>
    </row>
    <row r="44" spans="2:29" s="9" customFormat="1" ht="5.0999999999999996" customHeight="1" x14ac:dyDescent="0.2">
      <c r="B44" s="17"/>
      <c r="C44" s="118"/>
      <c r="D44" s="118"/>
      <c r="E44" s="894"/>
      <c r="F44" s="885"/>
      <c r="G44" s="893"/>
      <c r="H44" s="885"/>
      <c r="I44" s="893"/>
      <c r="J44" s="885"/>
      <c r="K44" s="893"/>
      <c r="L44" s="885"/>
      <c r="M44" s="893"/>
      <c r="N44" s="885"/>
      <c r="O44" s="893"/>
      <c r="P44" s="885"/>
      <c r="Q44" s="893"/>
      <c r="R44" s="885"/>
      <c r="S44" s="893"/>
      <c r="T44" s="885"/>
      <c r="U44" s="893"/>
      <c r="V44" s="894"/>
      <c r="W44" s="885"/>
      <c r="X44" s="895"/>
      <c r="Y44" s="13"/>
      <c r="AA44" s="916"/>
      <c r="AB44" s="912"/>
      <c r="AC44" s="895"/>
    </row>
    <row r="45" spans="2:29" ht="12.75" customHeight="1" x14ac:dyDescent="0.2">
      <c r="B45" s="10"/>
      <c r="C45" s="108" t="str">
        <f>Translation!B668</f>
        <v>Leistungen nach Rückversicherung</v>
      </c>
      <c r="D45" s="108"/>
      <c r="E45" s="888"/>
      <c r="F45" s="885">
        <f>SUM(F42:F43)</f>
        <v>0</v>
      </c>
      <c r="G45" s="893"/>
      <c r="H45" s="885">
        <f>SUM(H42:H43)</f>
        <v>0</v>
      </c>
      <c r="I45" s="893"/>
      <c r="J45" s="885">
        <f>SUM(J42:J43)</f>
        <v>0</v>
      </c>
      <c r="K45" s="893"/>
      <c r="L45" s="885">
        <f>SUM(L42:L43)</f>
        <v>0</v>
      </c>
      <c r="M45" s="893"/>
      <c r="N45" s="885">
        <f>SUM(N42:N43)</f>
        <v>0</v>
      </c>
      <c r="O45" s="893"/>
      <c r="P45" s="885">
        <f>SUM(P42:P43)</f>
        <v>0</v>
      </c>
      <c r="Q45" s="893"/>
      <c r="R45" s="885">
        <f>SUM(R42:R43)</f>
        <v>0</v>
      </c>
      <c r="S45" s="893"/>
      <c r="T45" s="885">
        <f>SUM(T42:T43)</f>
        <v>0</v>
      </c>
      <c r="U45" s="890"/>
      <c r="V45" s="888"/>
      <c r="W45" s="885">
        <f>SUM(L45,N45,P45,R45,T45,J45)</f>
        <v>0</v>
      </c>
      <c r="X45" s="891"/>
      <c r="Y45" s="7"/>
      <c r="AA45" s="892"/>
      <c r="AB45" s="912">
        <f>SUM(F45,H45,J45,L45,N45,P45,R45,T45)</f>
        <v>0</v>
      </c>
      <c r="AC45" s="891"/>
    </row>
    <row r="46" spans="2:29" s="9" customFormat="1" ht="5.0999999999999996" customHeight="1" x14ac:dyDescent="0.2">
      <c r="B46" s="17"/>
      <c r="C46" s="118"/>
      <c r="D46" s="118"/>
      <c r="E46" s="894"/>
      <c r="F46" s="885"/>
      <c r="G46" s="893"/>
      <c r="H46" s="885"/>
      <c r="I46" s="893"/>
      <c r="J46" s="885"/>
      <c r="K46" s="893"/>
      <c r="L46" s="885"/>
      <c r="M46" s="893"/>
      <c r="N46" s="885"/>
      <c r="O46" s="893"/>
      <c r="P46" s="885"/>
      <c r="Q46" s="893"/>
      <c r="R46" s="885"/>
      <c r="S46" s="893"/>
      <c r="T46" s="885"/>
      <c r="U46" s="893"/>
      <c r="V46" s="894"/>
      <c r="W46" s="885"/>
      <c r="X46" s="895"/>
      <c r="Y46" s="13"/>
      <c r="AA46" s="916"/>
      <c r="AB46" s="912"/>
      <c r="AC46" s="895"/>
    </row>
    <row r="47" spans="2:29" ht="12.75" customHeight="1" x14ac:dyDescent="0.2">
      <c r="B47" s="10"/>
      <c r="C47" s="320" t="str">
        <f>Translation!B670</f>
        <v>Veränderung der Alterungsrückstellungen und Deckungskapitalien</v>
      </c>
      <c r="D47" s="108"/>
      <c r="E47" s="888"/>
      <c r="F47" s="1190"/>
      <c r="G47" s="893"/>
      <c r="H47" s="1190"/>
      <c r="I47" s="893"/>
      <c r="J47" s="1190"/>
      <c r="K47" s="893"/>
      <c r="L47" s="1190"/>
      <c r="M47" s="893"/>
      <c r="N47" s="885"/>
      <c r="O47" s="893"/>
      <c r="P47" s="885"/>
      <c r="Q47" s="893"/>
      <c r="R47" s="885"/>
      <c r="S47" s="893"/>
      <c r="T47" s="885"/>
      <c r="U47" s="890"/>
      <c r="V47" s="888"/>
      <c r="W47" s="885">
        <f>SUM(L47,N47,P47,R47,T47,J47)</f>
        <v>0</v>
      </c>
      <c r="X47" s="891"/>
      <c r="Y47" s="7"/>
      <c r="AA47" s="892"/>
      <c r="AB47" s="912">
        <f>SUM(F47,H47,J47,L47,N47,P47,R47,T47)</f>
        <v>0</v>
      </c>
      <c r="AC47" s="891"/>
    </row>
    <row r="48" spans="2:29" ht="12.75" customHeight="1" outlineLevel="1" x14ac:dyDescent="0.2">
      <c r="B48" s="10"/>
      <c r="C48" s="320" t="str">
        <f>Translation!B671</f>
        <v>Veränderung der sonstigen technischen Rückstellungen</v>
      </c>
      <c r="D48" s="108"/>
      <c r="E48" s="888"/>
      <c r="F48" s="1190"/>
      <c r="G48" s="893"/>
      <c r="H48" s="1190"/>
      <c r="I48" s="893"/>
      <c r="J48" s="1190"/>
      <c r="K48" s="893"/>
      <c r="L48" s="885"/>
      <c r="M48" s="893"/>
      <c r="N48" s="885"/>
      <c r="O48" s="893"/>
      <c r="P48" s="885"/>
      <c r="Q48" s="893"/>
      <c r="R48" s="885"/>
      <c r="S48" s="893"/>
      <c r="T48" s="885"/>
      <c r="U48" s="890"/>
      <c r="V48" s="888"/>
      <c r="W48" s="885">
        <f>SUM(L48,N48,P48,R48,T48,J48)</f>
        <v>0</v>
      </c>
      <c r="X48" s="891"/>
      <c r="Y48" s="7"/>
      <c r="AA48" s="892"/>
      <c r="AB48" s="912">
        <f>SUM(F48,H48,J48,L48,N48,P48,R48,T48)</f>
        <v>0</v>
      </c>
      <c r="AC48" s="891"/>
    </row>
    <row r="49" spans="2:30" s="9" customFormat="1" ht="5.0999999999999996" customHeight="1" x14ac:dyDescent="0.2">
      <c r="B49" s="17"/>
      <c r="C49" s="118"/>
      <c r="D49" s="118"/>
      <c r="E49" s="894"/>
      <c r="F49" s="885"/>
      <c r="G49" s="893"/>
      <c r="H49" s="885"/>
      <c r="I49" s="893"/>
      <c r="J49" s="885"/>
      <c r="K49" s="893"/>
      <c r="L49" s="885"/>
      <c r="M49" s="893"/>
      <c r="N49" s="885"/>
      <c r="O49" s="893"/>
      <c r="P49" s="885"/>
      <c r="Q49" s="893"/>
      <c r="R49" s="885"/>
      <c r="S49" s="893"/>
      <c r="T49" s="885"/>
      <c r="U49" s="893"/>
      <c r="V49" s="894"/>
      <c r="W49" s="885"/>
      <c r="X49" s="895"/>
      <c r="Y49" s="13"/>
      <c r="AA49" s="916"/>
      <c r="AB49" s="912"/>
      <c r="AC49" s="895"/>
    </row>
    <row r="50" spans="2:30" ht="12.75" customHeight="1" x14ac:dyDescent="0.2">
      <c r="B50" s="10"/>
      <c r="C50" s="320" t="str">
        <f>Translation!B672</f>
        <v>Risikoausgleich (2025)</v>
      </c>
      <c r="D50" s="108"/>
      <c r="E50" s="888"/>
      <c r="F50" s="885"/>
      <c r="G50" s="893"/>
      <c r="H50" s="885"/>
      <c r="I50" s="893"/>
      <c r="J50" s="885"/>
      <c r="K50" s="893"/>
      <c r="L50" s="885"/>
      <c r="M50" s="893"/>
      <c r="N50" s="885"/>
      <c r="O50" s="893"/>
      <c r="P50" s="885"/>
      <c r="Q50" s="893"/>
      <c r="R50" s="1190"/>
      <c r="S50" s="893"/>
      <c r="T50" s="885"/>
      <c r="U50" s="890"/>
      <c r="V50" s="888"/>
      <c r="W50" s="885">
        <f>SUM(L50,N50,P50,R50,T50,J50)</f>
        <v>0</v>
      </c>
      <c r="X50" s="891"/>
      <c r="Y50" s="7"/>
      <c r="AA50" s="892"/>
      <c r="AB50" s="912">
        <f>SUM(F50,H50,J50,L50,N50,P50,R50,T50)</f>
        <v>0</v>
      </c>
      <c r="AC50" s="891"/>
      <c r="AD50" s="2260"/>
    </row>
    <row r="51" spans="2:30" ht="12.75" customHeight="1" outlineLevel="1" x14ac:dyDescent="0.2">
      <c r="B51" s="10"/>
      <c r="C51" s="108" t="str">
        <f>Translation!B673</f>
        <v>Andere Aufwendungen</v>
      </c>
      <c r="D51" s="108"/>
      <c r="E51" s="888"/>
      <c r="F51" s="1190"/>
      <c r="G51" s="893"/>
      <c r="H51" s="1190"/>
      <c r="I51" s="893"/>
      <c r="J51" s="1190"/>
      <c r="K51" s="893"/>
      <c r="L51" s="885"/>
      <c r="M51" s="893"/>
      <c r="N51" s="885"/>
      <c r="O51" s="893"/>
      <c r="P51" s="885"/>
      <c r="Q51" s="893"/>
      <c r="R51" s="885"/>
      <c r="S51" s="893"/>
      <c r="T51" s="885"/>
      <c r="U51" s="890"/>
      <c r="V51" s="888"/>
      <c r="W51" s="885">
        <f>SUM(L51,N51,P51,R51,T51,J51)</f>
        <v>0</v>
      </c>
      <c r="X51" s="891"/>
      <c r="Y51" s="7"/>
      <c r="AA51" s="892"/>
      <c r="AB51" s="912">
        <f>SUM(F51,H51,J51,L51,N51,P51,R51,T51)</f>
        <v>0</v>
      </c>
      <c r="AC51" s="891"/>
    </row>
    <row r="52" spans="2:30" s="9" customFormat="1" ht="5.0999999999999996" customHeight="1" x14ac:dyDescent="0.2">
      <c r="B52" s="17"/>
      <c r="C52" s="118"/>
      <c r="D52" s="118"/>
      <c r="E52" s="894"/>
      <c r="F52" s="885"/>
      <c r="G52" s="893"/>
      <c r="H52" s="885"/>
      <c r="I52" s="893"/>
      <c r="J52" s="885"/>
      <c r="K52" s="893"/>
      <c r="L52" s="885"/>
      <c r="M52" s="893"/>
      <c r="N52" s="885"/>
      <c r="O52" s="893"/>
      <c r="P52" s="885"/>
      <c r="Q52" s="893"/>
      <c r="R52" s="885"/>
      <c r="S52" s="893"/>
      <c r="T52" s="885"/>
      <c r="U52" s="893"/>
      <c r="V52" s="894"/>
      <c r="W52" s="885"/>
      <c r="X52" s="895"/>
      <c r="Y52" s="13"/>
      <c r="AA52" s="916"/>
      <c r="AB52" s="912"/>
      <c r="AC52" s="895"/>
    </row>
    <row r="53" spans="2:30" s="881" customFormat="1" ht="12.75" customHeight="1" x14ac:dyDescent="0.2">
      <c r="B53" s="878"/>
      <c r="C53" s="879" t="str">
        <f>Translation!B674</f>
        <v>Schaden- und Leistungsaufwand für eigene Rechnung</v>
      </c>
      <c r="D53" s="879"/>
      <c r="E53" s="897"/>
      <c r="F53" s="887">
        <f>SUM(F45,F47:F48,F51)</f>
        <v>0</v>
      </c>
      <c r="G53" s="898"/>
      <c r="H53" s="887">
        <f>SUM(H45,H47:H48,H51)</f>
        <v>0</v>
      </c>
      <c r="I53" s="898"/>
      <c r="J53" s="887">
        <f>SUM(J45,J47:J48,J51)</f>
        <v>0</v>
      </c>
      <c r="K53" s="898"/>
      <c r="L53" s="887">
        <f>SUM(L38:L40,L43:L43,L47:L48,L50:L50)</f>
        <v>0</v>
      </c>
      <c r="M53" s="898"/>
      <c r="N53" s="887">
        <f>SUM(N38:N40,N43:N43,N47:N48,N50:N50)</f>
        <v>0</v>
      </c>
      <c r="O53" s="898"/>
      <c r="P53" s="887">
        <f>SUM(P38:P40,P43:P43,P47:P48,P50:P50)</f>
        <v>0</v>
      </c>
      <c r="Q53" s="898"/>
      <c r="R53" s="887">
        <f>SUM(R38:R40,R43:R43,R47:R48,R50:R50)</f>
        <v>0</v>
      </c>
      <c r="S53" s="898"/>
      <c r="T53" s="887">
        <f>SUM(T38:T40,T43:T43,T47:T48,T50:T50)</f>
        <v>0</v>
      </c>
      <c r="U53" s="899"/>
      <c r="V53" s="897"/>
      <c r="W53" s="896">
        <f>SUM(L53,N53,P53,R53,T53,J53)</f>
        <v>0</v>
      </c>
      <c r="X53" s="900"/>
      <c r="Y53" s="880"/>
      <c r="AA53" s="917"/>
      <c r="AB53" s="915">
        <f>SUM(F53,H53,J53,L53,N53,P53,R53,T53)</f>
        <v>0</v>
      </c>
      <c r="AC53" s="900"/>
    </row>
    <row r="54" spans="2:30" s="9" customFormat="1" ht="5.0999999999999996" customHeight="1" x14ac:dyDescent="0.2">
      <c r="B54" s="17"/>
      <c r="C54" s="118"/>
      <c r="D54" s="118"/>
      <c r="E54" s="894"/>
      <c r="F54" s="885"/>
      <c r="G54" s="893"/>
      <c r="H54" s="885"/>
      <c r="I54" s="893"/>
      <c r="J54" s="885"/>
      <c r="K54" s="893"/>
      <c r="L54" s="885"/>
      <c r="M54" s="893"/>
      <c r="N54" s="885"/>
      <c r="O54" s="893"/>
      <c r="P54" s="885"/>
      <c r="Q54" s="893"/>
      <c r="R54" s="885"/>
      <c r="S54" s="893"/>
      <c r="T54" s="885"/>
      <c r="U54" s="893"/>
      <c r="V54" s="894"/>
      <c r="W54" s="885"/>
      <c r="X54" s="895"/>
      <c r="Y54" s="13"/>
      <c r="AA54" s="916"/>
      <c r="AB54" s="912"/>
      <c r="AC54" s="895"/>
    </row>
    <row r="55" spans="2:30" ht="12.75" customHeight="1" x14ac:dyDescent="0.2">
      <c r="B55" s="10"/>
      <c r="C55" s="108" t="str">
        <f>Translation!B675</f>
        <v>Aufwendungen für den Betrieb, Verwaltungsaufwand</v>
      </c>
      <c r="D55" s="108"/>
      <c r="E55" s="888"/>
      <c r="F55" s="1190"/>
      <c r="G55" s="890"/>
      <c r="H55" s="1190"/>
      <c r="I55" s="890"/>
      <c r="J55" s="1190"/>
      <c r="K55" s="890"/>
      <c r="L55" s="1190"/>
      <c r="M55" s="890"/>
      <c r="N55" s="1190"/>
      <c r="O55" s="893"/>
      <c r="P55" s="1190"/>
      <c r="Q55" s="893"/>
      <c r="R55" s="1190"/>
      <c r="S55" s="893"/>
      <c r="T55" s="1190"/>
      <c r="U55" s="890"/>
      <c r="V55" s="888"/>
      <c r="W55" s="885">
        <f>SUM(L55,N55,P55,R55,T55,J55)</f>
        <v>0</v>
      </c>
      <c r="X55" s="891"/>
      <c r="Y55" s="7"/>
      <c r="AA55" s="892"/>
      <c r="AB55" s="912">
        <f>SUM(F55,H55,J55,L55,N55,P55,R55,T55)</f>
        <v>0</v>
      </c>
      <c r="AC55" s="891"/>
    </row>
    <row r="56" spans="2:30" ht="20.100000000000001" customHeight="1" x14ac:dyDescent="0.2">
      <c r="B56" s="10"/>
      <c r="C56" s="6"/>
      <c r="D56" s="6"/>
      <c r="E56" s="892"/>
      <c r="F56" s="29"/>
      <c r="G56" s="30"/>
      <c r="H56" s="29"/>
      <c r="I56" s="30"/>
      <c r="J56" s="29"/>
      <c r="K56" s="30"/>
      <c r="L56" s="29"/>
      <c r="M56" s="30"/>
      <c r="N56" s="29"/>
      <c r="O56" s="30"/>
      <c r="P56" s="2350"/>
      <c r="Q56" s="2351"/>
      <c r="R56" s="2350"/>
      <c r="S56" s="30"/>
      <c r="T56" s="29"/>
      <c r="U56" s="29"/>
      <c r="V56" s="892"/>
      <c r="W56" s="30"/>
      <c r="X56" s="891"/>
      <c r="Y56" s="7"/>
      <c r="AA56" s="892"/>
      <c r="AB56" s="30"/>
      <c r="AC56" s="891"/>
    </row>
    <row r="57" spans="2:30" ht="12.75" customHeight="1" x14ac:dyDescent="0.2">
      <c r="B57" s="10"/>
      <c r="C57" s="120" t="str">
        <f>Translation!B676</f>
        <v>Versicherungstechnisches Resultat</v>
      </c>
      <c r="D57" s="108"/>
      <c r="E57" s="888"/>
      <c r="F57" s="883">
        <f>F21-F35</f>
        <v>0</v>
      </c>
      <c r="G57" s="889"/>
      <c r="H57" s="883">
        <f>H21-H35</f>
        <v>0</v>
      </c>
      <c r="I57" s="889"/>
      <c r="J57" s="883">
        <f>J21-J35</f>
        <v>0</v>
      </c>
      <c r="K57" s="889"/>
      <c r="L57" s="883">
        <f>L21-L35</f>
        <v>0</v>
      </c>
      <c r="M57" s="889"/>
      <c r="N57" s="883">
        <f>N21-N35</f>
        <v>0</v>
      </c>
      <c r="O57" s="889"/>
      <c r="P57" s="883">
        <f>P21-P35</f>
        <v>0</v>
      </c>
      <c r="Q57" s="889"/>
      <c r="R57" s="883">
        <f>R21-R35</f>
        <v>0</v>
      </c>
      <c r="S57" s="889"/>
      <c r="T57" s="883">
        <f>T21-T35</f>
        <v>0</v>
      </c>
      <c r="U57" s="890"/>
      <c r="V57" s="888"/>
      <c r="W57" s="883">
        <f>SUM(L57,N57,R57,P57,T57,J57)</f>
        <v>0</v>
      </c>
      <c r="X57" s="891"/>
      <c r="Y57" s="7"/>
      <c r="AA57" s="892"/>
      <c r="AB57" s="883">
        <f>SUM(F57,H57,J57,L57,N57,P57,R57,T57)</f>
        <v>0</v>
      </c>
      <c r="AC57" s="891"/>
    </row>
    <row r="58" spans="2:30" ht="12.75" customHeight="1" x14ac:dyDescent="0.2">
      <c r="B58" s="10"/>
      <c r="C58" s="6"/>
      <c r="D58" s="6"/>
      <c r="E58" s="10"/>
      <c r="F58" s="58"/>
      <c r="G58" s="59"/>
      <c r="H58" s="58"/>
      <c r="I58" s="59"/>
      <c r="J58" s="58"/>
      <c r="K58" s="59"/>
      <c r="L58" s="58"/>
      <c r="M58" s="59"/>
      <c r="N58" s="58"/>
      <c r="O58" s="59"/>
      <c r="P58" s="58"/>
      <c r="Q58" s="59"/>
      <c r="R58" s="58"/>
      <c r="S58" s="59"/>
      <c r="T58" s="58"/>
      <c r="U58" s="6"/>
      <c r="V58" s="10"/>
      <c r="W58" s="58"/>
      <c r="X58" s="7"/>
      <c r="Y58" s="7"/>
      <c r="AA58" s="10"/>
      <c r="AB58" s="58"/>
      <c r="AC58" s="7"/>
    </row>
    <row r="59" spans="2:30" ht="12.75" customHeight="1" x14ac:dyDescent="0.2">
      <c r="B59" s="10"/>
      <c r="C59" s="120" t="str">
        <f>Translation!B677</f>
        <v>Erwartete Anzahl Versicherte (Durschnittbestand)</v>
      </c>
      <c r="D59" s="658"/>
      <c r="E59" s="6"/>
      <c r="F59" s="139"/>
      <c r="G59" s="646"/>
      <c r="H59" s="1191"/>
      <c r="I59" s="646"/>
      <c r="J59" s="139"/>
      <c r="K59" s="646"/>
      <c r="L59" s="1191"/>
      <c r="M59" s="646"/>
      <c r="N59" s="139"/>
      <c r="O59" s="646"/>
      <c r="P59" s="2271"/>
      <c r="Q59" s="646"/>
      <c r="R59" s="2271"/>
      <c r="S59" s="646"/>
      <c r="T59" s="139"/>
      <c r="U59" s="6"/>
      <c r="V59" s="10"/>
      <c r="W59" s="57"/>
      <c r="X59" s="7"/>
      <c r="Y59" s="7"/>
      <c r="AA59" s="10"/>
      <c r="AB59" s="57"/>
      <c r="AC59" s="7"/>
      <c r="AD59" s="2260"/>
    </row>
    <row r="60" spans="2:30" ht="12.75" customHeight="1" x14ac:dyDescent="0.2">
      <c r="B60" s="10"/>
      <c r="C60" s="6"/>
      <c r="D60" s="6"/>
      <c r="E60" s="10"/>
      <c r="F60" s="58"/>
      <c r="G60" s="59"/>
      <c r="H60" s="58"/>
      <c r="I60" s="59"/>
      <c r="J60" s="58"/>
      <c r="K60" s="59"/>
      <c r="L60" s="58"/>
      <c r="M60" s="59"/>
      <c r="N60" s="58"/>
      <c r="O60" s="59"/>
      <c r="P60" s="58"/>
      <c r="Q60" s="59"/>
      <c r="R60" s="58"/>
      <c r="S60" s="59"/>
      <c r="T60" s="58"/>
      <c r="U60" s="63"/>
      <c r="V60" s="66"/>
      <c r="W60" s="58"/>
      <c r="X60" s="7"/>
      <c r="Y60" s="7"/>
      <c r="AA60" s="66"/>
      <c r="AB60" s="58"/>
      <c r="AC60" s="7"/>
    </row>
    <row r="61" spans="2:30" s="9" customFormat="1" ht="15.75" customHeight="1" x14ac:dyDescent="0.25">
      <c r="B61" s="17"/>
      <c r="C61" s="530" t="str">
        <f>Translation!B678</f>
        <v>Variabilität</v>
      </c>
      <c r="D61" s="48"/>
      <c r="E61" s="18"/>
      <c r="F61" s="67"/>
      <c r="G61" s="67"/>
      <c r="H61" s="67"/>
      <c r="I61" s="67"/>
      <c r="J61" s="67"/>
      <c r="K61" s="67"/>
      <c r="L61" s="67"/>
      <c r="M61" s="67"/>
      <c r="N61" s="67"/>
      <c r="O61" s="67"/>
      <c r="P61" s="67"/>
      <c r="Q61" s="67"/>
      <c r="R61" s="67"/>
      <c r="S61" s="67"/>
      <c r="T61" s="67"/>
      <c r="U61" s="68"/>
      <c r="V61" s="69"/>
      <c r="W61" s="67"/>
      <c r="X61" s="13"/>
      <c r="Y61" s="13"/>
      <c r="AA61" s="66"/>
      <c r="AB61" s="67"/>
      <c r="AC61" s="13"/>
    </row>
    <row r="62" spans="2:30" ht="8.1" customHeight="1" x14ac:dyDescent="0.2">
      <c r="B62" s="10"/>
      <c r="C62" s="6"/>
      <c r="D62" s="6"/>
      <c r="E62" s="10"/>
      <c r="F62" s="58"/>
      <c r="G62" s="59"/>
      <c r="H62" s="58"/>
      <c r="I62" s="59"/>
      <c r="J62" s="58"/>
      <c r="K62" s="59"/>
      <c r="L62" s="58"/>
      <c r="M62" s="59"/>
      <c r="N62" s="58"/>
      <c r="O62" s="59"/>
      <c r="P62" s="58"/>
      <c r="Q62" s="59"/>
      <c r="R62" s="58"/>
      <c r="S62" s="59"/>
      <c r="T62" s="58"/>
      <c r="U62" s="63"/>
      <c r="V62" s="66"/>
      <c r="W62" s="58"/>
      <c r="X62" s="7"/>
      <c r="Y62" s="7"/>
      <c r="AA62" s="66"/>
      <c r="AB62" s="58"/>
      <c r="AC62" s="7"/>
    </row>
    <row r="63" spans="2:30" ht="44.25" customHeight="1" x14ac:dyDescent="0.2">
      <c r="B63" s="10"/>
      <c r="C63" s="37" t="str">
        <f>Translation!B679</f>
        <v>1) Zufallsrisiko</v>
      </c>
      <c r="D63" s="6"/>
      <c r="E63" s="10"/>
      <c r="F63" s="1330" t="str">
        <f>Translation!B703</f>
        <v>Werte für die zweite mögliche Methode (siehe technisches Dokument zum SST)</v>
      </c>
      <c r="G63" s="59"/>
      <c r="H63" s="2286" t="str">
        <f>H17</f>
        <v>Einzel VVG</v>
      </c>
      <c r="I63" s="59"/>
      <c r="J63" s="2286" t="str">
        <f>J17</f>
        <v>UVG</v>
      </c>
      <c r="K63" s="59"/>
      <c r="L63" s="2286" t="str">
        <f>L17</f>
        <v>KVG-Taggeld Einzel</v>
      </c>
      <c r="M63" s="59"/>
      <c r="N63" s="2286" t="str">
        <f>N17</f>
        <v>KVG-Taggeld Kollektiv</v>
      </c>
      <c r="O63" s="59"/>
      <c r="P63" s="2286" t="str">
        <f>P17</f>
        <v>OKP EU</v>
      </c>
      <c r="Q63" s="59"/>
      <c r="R63" s="2286" t="str">
        <f>R17</f>
        <v>OKP CH</v>
      </c>
      <c r="S63" s="59"/>
      <c r="T63" s="2286" t="str">
        <f>T17</f>
        <v>Aktive Rück-versicherung KVG</v>
      </c>
      <c r="U63" s="63"/>
      <c r="V63" s="66"/>
      <c r="W63" s="58"/>
      <c r="X63" s="7"/>
      <c r="Y63" s="7"/>
      <c r="AA63" s="66"/>
      <c r="AB63" s="58"/>
      <c r="AC63" s="7"/>
    </row>
    <row r="64" spans="2:30" s="23" customFormat="1" ht="12.75" customHeight="1" x14ac:dyDescent="0.2">
      <c r="B64" s="402"/>
      <c r="C64" s="60" t="str">
        <f>Translation!B680</f>
        <v>Anzahl Schadenfälle bzw. Erkrankte</v>
      </c>
      <c r="D64" s="53"/>
      <c r="E64" s="402"/>
      <c r="F64" s="1331"/>
      <c r="G64" s="1332"/>
      <c r="H64" s="1333"/>
      <c r="I64" s="1332"/>
      <c r="J64" s="1333"/>
      <c r="K64" s="1332"/>
      <c r="L64" s="1333"/>
      <c r="M64" s="1332"/>
      <c r="N64" s="1333" t="str">
        <f>IF(AND(N38&gt;0,N65="")," Leistungen Taggeld kollektiv &gt;0, Feld Anzahl Erkrankte bitte ausfüllen","")</f>
        <v/>
      </c>
      <c r="O64" s="1332"/>
      <c r="P64" s="1333"/>
      <c r="Q64" s="1332"/>
      <c r="R64" s="1333"/>
      <c r="S64" s="1332"/>
      <c r="T64" s="1333"/>
      <c r="U64" s="1334"/>
      <c r="V64" s="1335"/>
      <c r="W64" s="1333"/>
      <c r="X64" s="403"/>
      <c r="Y64" s="403"/>
      <c r="AA64" s="1335"/>
      <c r="AB64" s="1333"/>
      <c r="AC64" s="403"/>
    </row>
    <row r="65" spans="2:37" s="23" customFormat="1" x14ac:dyDescent="0.2">
      <c r="B65" s="402"/>
      <c r="C65" s="53" t="str">
        <f>Translation!B681</f>
        <v>Erwartete Anzahl Schadenfälle bzw. Erkrankte</v>
      </c>
      <c r="D65" s="53"/>
      <c r="E65" s="402"/>
      <c r="F65" s="1336"/>
      <c r="G65" s="1332"/>
      <c r="H65" s="1337"/>
      <c r="I65" s="1332"/>
      <c r="J65" s="1337"/>
      <c r="K65" s="1332"/>
      <c r="L65" s="1337"/>
      <c r="M65" s="1332"/>
      <c r="N65" s="1337"/>
      <c r="O65" s="1332"/>
      <c r="P65" s="2287"/>
      <c r="Q65" s="1332"/>
      <c r="R65" s="2287"/>
      <c r="S65" s="1332"/>
      <c r="T65" s="657"/>
      <c r="U65" s="1334"/>
      <c r="V65" s="1335"/>
      <c r="W65" s="1333"/>
      <c r="X65" s="403"/>
      <c r="Y65" s="403"/>
      <c r="AA65" s="1335"/>
      <c r="AB65" s="1333"/>
      <c r="AC65" s="403"/>
    </row>
    <row r="66" spans="2:37" s="23" customFormat="1" ht="5.0999999999999996" customHeight="1" x14ac:dyDescent="0.2">
      <c r="B66" s="402"/>
      <c r="C66" s="53"/>
      <c r="D66" s="53"/>
      <c r="E66" s="402"/>
      <c r="F66" s="1331"/>
      <c r="G66" s="1332"/>
      <c r="H66" s="58"/>
      <c r="I66" s="1332"/>
      <c r="J66" s="58"/>
      <c r="K66" s="1332"/>
      <c r="L66" s="58"/>
      <c r="M66" s="1332"/>
      <c r="N66" s="58"/>
      <c r="O66" s="1332"/>
      <c r="P66" s="59"/>
      <c r="Q66" s="1332"/>
      <c r="R66" s="59"/>
      <c r="S66" s="1332"/>
      <c r="T66" s="1333"/>
      <c r="U66" s="1334"/>
      <c r="V66" s="1335"/>
      <c r="W66" s="1333"/>
      <c r="X66" s="403"/>
      <c r="Y66" s="403"/>
      <c r="AA66" s="1335"/>
      <c r="AB66" s="1333"/>
      <c r="AC66" s="403"/>
    </row>
    <row r="67" spans="2:37" ht="12.75" customHeight="1" x14ac:dyDescent="0.2">
      <c r="B67" s="10"/>
      <c r="C67" s="60" t="str">
        <f>Translation!B682</f>
        <v>Variationskoeffizient des Einzelschadens</v>
      </c>
      <c r="D67" s="6"/>
      <c r="E67" s="10"/>
      <c r="F67" s="475"/>
      <c r="G67" s="59"/>
      <c r="H67" s="58"/>
      <c r="I67" s="59"/>
      <c r="J67" s="58"/>
      <c r="K67" s="59"/>
      <c r="L67" s="58"/>
      <c r="M67" s="59"/>
      <c r="N67" s="58"/>
      <c r="O67" s="59"/>
      <c r="P67" s="59"/>
      <c r="Q67" s="59"/>
      <c r="R67" s="59"/>
      <c r="S67" s="59"/>
      <c r="T67" s="58"/>
      <c r="U67" s="63"/>
      <c r="V67" s="66"/>
      <c r="W67" s="58"/>
      <c r="X67" s="7"/>
      <c r="Y67" s="7"/>
      <c r="AA67" s="66"/>
      <c r="AB67" s="58"/>
      <c r="AC67" s="7"/>
    </row>
    <row r="68" spans="2:37" x14ac:dyDescent="0.2">
      <c r="B68" s="10"/>
      <c r="C68" s="836" t="str">
        <f>Translation!B683</f>
        <v>Standardwert (vor Rückversicherung)</v>
      </c>
      <c r="D68" s="6"/>
      <c r="E68" s="10"/>
      <c r="F68" s="1338">
        <v>2.5</v>
      </c>
      <c r="G68" s="59"/>
      <c r="H68" s="1339">
        <v>5</v>
      </c>
      <c r="I68" s="59"/>
      <c r="J68" s="1339"/>
      <c r="K68" s="59"/>
      <c r="L68" s="1339">
        <v>2.5</v>
      </c>
      <c r="M68" s="59"/>
      <c r="N68" s="1339">
        <v>2.5</v>
      </c>
      <c r="O68" s="59"/>
      <c r="P68" s="59"/>
      <c r="Q68" s="59"/>
      <c r="R68" s="59"/>
      <c r="S68" s="59"/>
      <c r="T68" s="58"/>
      <c r="U68" s="63"/>
      <c r="V68" s="66"/>
      <c r="W68" s="58"/>
      <c r="X68" s="7"/>
      <c r="Y68" s="7"/>
      <c r="AA68" s="66"/>
      <c r="AB68" s="58"/>
      <c r="AC68" s="7"/>
    </row>
    <row r="69" spans="2:37" x14ac:dyDescent="0.2">
      <c r="B69" s="10"/>
      <c r="C69" s="836" t="str">
        <f>Translation!B684</f>
        <v>errechneter Wert nach Rückversicherung</v>
      </c>
      <c r="D69" s="6"/>
      <c r="E69" s="10"/>
      <c r="F69" s="932"/>
      <c r="G69" s="59"/>
      <c r="H69" s="933"/>
      <c r="I69" s="59"/>
      <c r="J69" s="933"/>
      <c r="K69" s="59"/>
      <c r="L69" s="933">
        <f>L68*IF(ISNUMBER(L114),1-EXP(-$F118*L114^$F119),1)</f>
        <v>2.5</v>
      </c>
      <c r="M69" s="59"/>
      <c r="N69" s="933">
        <f>N68*IF(ISNUMBER(N114),1-EXP(-$F118*N114^$F119),1)</f>
        <v>2.5</v>
      </c>
      <c r="O69" s="59"/>
      <c r="P69" s="59"/>
      <c r="Q69" s="59"/>
      <c r="R69" s="59"/>
      <c r="S69" s="59"/>
      <c r="T69" s="58"/>
      <c r="U69" s="63"/>
      <c r="V69" s="66"/>
      <c r="W69" s="58"/>
      <c r="X69" s="7"/>
      <c r="Y69" s="7"/>
      <c r="AA69" s="66"/>
      <c r="AB69" s="58"/>
      <c r="AC69" s="7"/>
    </row>
    <row r="70" spans="2:37" x14ac:dyDescent="0.2">
      <c r="B70" s="10"/>
      <c r="C70" s="88" t="str">
        <f>Translation!B685</f>
        <v>benutzter Wert (Abweichung vom Standard: begründen)</v>
      </c>
      <c r="D70" s="6"/>
      <c r="E70" s="10"/>
      <c r="F70" s="1192">
        <f>F68</f>
        <v>2.5</v>
      </c>
      <c r="G70" s="59"/>
      <c r="H70" s="1193">
        <f>H68</f>
        <v>5</v>
      </c>
      <c r="I70" s="59"/>
      <c r="J70" s="1193"/>
      <c r="K70" s="59"/>
      <c r="L70" s="1193">
        <f>L69</f>
        <v>2.5</v>
      </c>
      <c r="M70" s="59"/>
      <c r="N70" s="1193">
        <f>N69</f>
        <v>2.5</v>
      </c>
      <c r="O70" s="59"/>
      <c r="P70" s="59"/>
      <c r="Q70" s="59"/>
      <c r="R70" s="59"/>
      <c r="S70" s="59"/>
      <c r="T70" s="58"/>
      <c r="U70" s="63"/>
      <c r="V70" s="66"/>
      <c r="W70" s="58"/>
      <c r="X70" s="7"/>
      <c r="Y70" s="7"/>
      <c r="AA70" s="66"/>
      <c r="AB70" s="58"/>
      <c r="AC70" s="7"/>
    </row>
    <row r="71" spans="2:37" ht="5.0999999999999996" customHeight="1" x14ac:dyDescent="0.2">
      <c r="B71" s="10"/>
      <c r="C71" s="88"/>
      <c r="D71" s="6"/>
      <c r="E71" s="10"/>
      <c r="F71" s="475"/>
      <c r="G71" s="59"/>
      <c r="H71" s="59"/>
      <c r="I71" s="59"/>
      <c r="J71" s="59"/>
      <c r="K71" s="59"/>
      <c r="L71" s="59"/>
      <c r="M71" s="59"/>
      <c r="N71" s="59"/>
      <c r="O71" s="59"/>
      <c r="P71" s="59"/>
      <c r="Q71" s="59"/>
      <c r="R71" s="59"/>
      <c r="S71" s="59"/>
      <c r="T71" s="58"/>
      <c r="U71" s="63"/>
      <c r="V71" s="66"/>
      <c r="W71" s="58"/>
      <c r="X71" s="7"/>
      <c r="Y71" s="7"/>
      <c r="AA71" s="66"/>
      <c r="AB71" s="58"/>
      <c r="AC71" s="7"/>
    </row>
    <row r="72" spans="2:37" s="9" customFormat="1" x14ac:dyDescent="0.2">
      <c r="B72" s="17"/>
      <c r="C72" s="60" t="str">
        <f>Translation!B686</f>
        <v>Resultat: Variationskoeffizient des Zufallsrisikos</v>
      </c>
      <c r="D72" s="1"/>
      <c r="E72" s="17"/>
      <c r="F72" s="476"/>
      <c r="G72" s="59"/>
      <c r="H72" s="59"/>
      <c r="I72" s="59"/>
      <c r="J72" s="59"/>
      <c r="K72" s="59"/>
      <c r="L72" s="59"/>
      <c r="M72" s="59"/>
      <c r="N72" s="59"/>
      <c r="O72" s="59"/>
      <c r="P72" s="59"/>
      <c r="Q72" s="59"/>
      <c r="R72" s="59"/>
      <c r="S72" s="59"/>
      <c r="T72" s="59"/>
      <c r="U72" s="63"/>
      <c r="V72" s="66"/>
      <c r="W72" s="59"/>
      <c r="X72" s="13"/>
      <c r="Y72" s="13"/>
      <c r="AA72" s="66"/>
      <c r="AB72" s="59"/>
      <c r="AC72" s="13"/>
      <c r="AE72"/>
      <c r="AF72"/>
      <c r="AG72"/>
      <c r="AH72"/>
      <c r="AI72"/>
      <c r="AJ72"/>
      <c r="AK72"/>
    </row>
    <row r="73" spans="2:37" ht="12.75" customHeight="1" x14ac:dyDescent="0.2">
      <c r="B73" s="10"/>
      <c r="C73" s="87" t="str">
        <f>Translation!B687</f>
        <v>errechneter Wert vor Rückversicherung</v>
      </c>
      <c r="D73" s="6"/>
      <c r="E73" s="10"/>
      <c r="F73" s="978" t="str">
        <f>IF(F65&gt;0,SQRT(1/F65*(F70^2+1)),"")</f>
        <v/>
      </c>
      <c r="G73" s="678"/>
      <c r="H73" s="679" t="str">
        <f>IF(H65&gt;0,SQRT(1/H65*(H70^2+1)),"")</f>
        <v/>
      </c>
      <c r="I73" s="678"/>
      <c r="J73" s="679" t="str">
        <f>IF(J65&gt;0,SQRT(1/J65*(J70^2+1)),"")</f>
        <v/>
      </c>
      <c r="K73" s="678"/>
      <c r="L73" s="679" t="str">
        <f>IF(L65&gt;0,SQRT(1/L65*(L68^2+1)),"")</f>
        <v/>
      </c>
      <c r="M73" s="678"/>
      <c r="N73" s="679" t="str">
        <f>IF(N65&gt;0,SQRT(1/N65*(N68^2+1)),"")</f>
        <v/>
      </c>
      <c r="O73" s="678"/>
      <c r="P73" s="679" t="str">
        <f>IFERROR(SQRT(P59*((P38+P39)/P59)^2*8.7)/(P38+P39),"")</f>
        <v/>
      </c>
      <c r="Q73" s="678"/>
      <c r="R73" s="679" t="str">
        <f>IFERROR(SQRT(R59*((R38+R39)/R59)^2*8.7)/(R38+R39),"")</f>
        <v/>
      </c>
      <c r="S73" s="59"/>
      <c r="T73" s="58"/>
      <c r="U73" s="63"/>
      <c r="V73" s="66"/>
      <c r="W73" s="58"/>
      <c r="X73" s="7"/>
      <c r="Y73" s="7"/>
      <c r="AA73" s="66"/>
      <c r="AB73" s="58"/>
      <c r="AC73" s="7"/>
    </row>
    <row r="74" spans="2:37" ht="12.75" customHeight="1" x14ac:dyDescent="0.2">
      <c r="B74" s="10"/>
      <c r="C74" s="836" t="str">
        <f>Translation!B688</f>
        <v>errechneter Wert nach Rückversicherung</v>
      </c>
      <c r="D74" s="6"/>
      <c r="E74" s="10"/>
      <c r="F74" s="978"/>
      <c r="G74" s="678"/>
      <c r="H74" s="679"/>
      <c r="I74" s="678"/>
      <c r="J74" s="679"/>
      <c r="K74" s="678"/>
      <c r="L74" s="679" t="str">
        <f>IF(L65&gt;0,SQRT(1/L65*(L69^2+1)),"")</f>
        <v/>
      </c>
      <c r="M74" s="678"/>
      <c r="N74" s="679" t="str">
        <f>IF(N65&gt;0,SQRT(1/N65*(N69^2+1)),"")</f>
        <v/>
      </c>
      <c r="O74" s="678"/>
      <c r="P74" s="1346">
        <f>IFERROR(P73*IF(ISNUMBER(HE_Insurance_Risk!$P$114),1-EXP(-HE_Insurance_Risk!$F$118*HE_Insurance_Risk!$P$114^HE_Insurance_Risk!$F$119),1),0)</f>
        <v>0</v>
      </c>
      <c r="Q74" s="1345"/>
      <c r="R74" s="1346">
        <f>IFERROR(R73*IF(ISNUMBER(HE_Insurance_Risk!$R$114),1-EXP(-HE_Insurance_Risk!$F$118*HE_Insurance_Risk!$R$114^HE_Insurance_Risk!$F$119),1),0)</f>
        <v>0</v>
      </c>
      <c r="S74" s="59"/>
      <c r="T74" s="58"/>
      <c r="U74" s="63"/>
      <c r="V74" s="66"/>
      <c r="W74" s="58"/>
      <c r="X74" s="7"/>
      <c r="Y74" s="7"/>
      <c r="AA74" s="66"/>
      <c r="AB74" s="58"/>
      <c r="AC74" s="7"/>
    </row>
    <row r="75" spans="2:37" ht="12.75" customHeight="1" x14ac:dyDescent="0.2">
      <c r="B75" s="10"/>
      <c r="C75" s="87" t="str">
        <f>Translation!B689</f>
        <v>benutzter Wert</v>
      </c>
      <c r="D75" s="6"/>
      <c r="E75" s="10"/>
      <c r="F75" s="1194" t="str">
        <f>F73</f>
        <v/>
      </c>
      <c r="G75" s="59"/>
      <c r="H75" s="1195"/>
      <c r="I75" s="59"/>
      <c r="J75" s="1195">
        <v>0.05</v>
      </c>
      <c r="K75" s="59"/>
      <c r="L75" s="977" t="str">
        <f>IF(L65&gt;0,SQRT(1/L65*(L70^2+1)),"")</f>
        <v/>
      </c>
      <c r="M75" s="59"/>
      <c r="N75" s="977" t="str">
        <f>IF(N65&gt;0,SQRT(1/N65*(N70^2+1)),"")</f>
        <v/>
      </c>
      <c r="O75" s="59"/>
      <c r="P75" s="2393">
        <f>IF(ISNUMBER(P74),P74,P73)</f>
        <v>0</v>
      </c>
      <c r="Q75" s="1332"/>
      <c r="R75" s="2393">
        <f>IF(ISNUMBER(R74),R74,R73)</f>
        <v>0</v>
      </c>
      <c r="S75" s="59"/>
      <c r="T75" s="58"/>
      <c r="U75" s="63"/>
      <c r="V75" s="66"/>
      <c r="W75" s="58"/>
      <c r="X75" s="7"/>
      <c r="Y75" s="7"/>
      <c r="AA75" s="66"/>
      <c r="AB75" s="58"/>
      <c r="AC75" s="7"/>
    </row>
    <row r="76" spans="2:37" x14ac:dyDescent="0.2">
      <c r="B76" s="10"/>
      <c r="C76" s="6"/>
      <c r="D76" s="6"/>
      <c r="E76" s="10"/>
      <c r="F76" s="475"/>
      <c r="G76" s="59"/>
      <c r="H76" s="59"/>
      <c r="I76" s="59"/>
      <c r="J76" s="59"/>
      <c r="K76" s="59"/>
      <c r="L76" s="59"/>
      <c r="M76" s="59"/>
      <c r="N76" s="59"/>
      <c r="O76" s="59"/>
      <c r="P76" s="59"/>
      <c r="Q76" s="59"/>
      <c r="R76" s="59"/>
      <c r="S76" s="59"/>
      <c r="T76" s="58"/>
      <c r="U76" s="63"/>
      <c r="V76" s="66"/>
      <c r="W76" s="58"/>
      <c r="X76" s="7"/>
      <c r="Y76" s="7"/>
      <c r="AA76" s="66"/>
      <c r="AB76" s="58"/>
      <c r="AC76" s="7"/>
    </row>
    <row r="77" spans="2:37" s="9" customFormat="1" x14ac:dyDescent="0.2">
      <c r="B77" s="17"/>
      <c r="C77" s="37" t="str">
        <f>Translation!B690</f>
        <v>2) Parameterrisiko</v>
      </c>
      <c r="D77" s="1"/>
      <c r="E77" s="17"/>
      <c r="F77" s="476"/>
      <c r="G77" s="59"/>
      <c r="H77" s="59"/>
      <c r="I77" s="59"/>
      <c r="J77" s="59"/>
      <c r="K77" s="59"/>
      <c r="L77" s="59"/>
      <c r="M77" s="59"/>
      <c r="N77" s="59"/>
      <c r="O77" s="59"/>
      <c r="P77" s="59"/>
      <c r="Q77" s="59"/>
      <c r="R77" s="59"/>
      <c r="S77" s="59"/>
      <c r="T77" s="59"/>
      <c r="U77" s="63"/>
      <c r="V77" s="66"/>
      <c r="W77" s="59"/>
      <c r="X77" s="13"/>
      <c r="Y77" s="13"/>
      <c r="AA77" s="66"/>
      <c r="AB77" s="59"/>
      <c r="AC77" s="13"/>
      <c r="AE77"/>
      <c r="AF77"/>
      <c r="AG77"/>
      <c r="AH77"/>
      <c r="AI77"/>
      <c r="AJ77"/>
      <c r="AK77"/>
    </row>
    <row r="78" spans="2:37" s="9" customFormat="1" x14ac:dyDescent="0.2">
      <c r="B78" s="17"/>
      <c r="C78" s="6" t="str">
        <f>Translation!B691</f>
        <v>Variationskoeffizient des Parameterrisikos</v>
      </c>
      <c r="D78" s="1"/>
      <c r="E78" s="17"/>
      <c r="F78" s="476"/>
      <c r="G78" s="59"/>
      <c r="H78" s="59"/>
      <c r="I78" s="59"/>
      <c r="J78" s="59"/>
      <c r="K78" s="59"/>
      <c r="L78" s="59"/>
      <c r="M78" s="59"/>
      <c r="N78" s="59"/>
      <c r="O78" s="59"/>
      <c r="P78" s="59"/>
      <c r="Q78" s="59"/>
      <c r="R78" s="59"/>
      <c r="S78" s="59"/>
      <c r="T78" s="59"/>
      <c r="U78" s="63"/>
      <c r="V78" s="66"/>
      <c r="W78" s="59"/>
      <c r="X78" s="13"/>
      <c r="Y78" s="13"/>
      <c r="AA78" s="66"/>
      <c r="AB78" s="59"/>
      <c r="AC78" s="13"/>
      <c r="AE78"/>
      <c r="AF78"/>
      <c r="AG78"/>
      <c r="AH78"/>
      <c r="AI78"/>
      <c r="AJ78"/>
      <c r="AK78"/>
    </row>
    <row r="79" spans="2:37" s="9" customFormat="1" x14ac:dyDescent="0.2">
      <c r="B79" s="17"/>
      <c r="C79" s="836" t="str">
        <f>Translation!B692</f>
        <v>Standardwert (vor Rückversicherung)</v>
      </c>
      <c r="D79" s="1"/>
      <c r="E79" s="17"/>
      <c r="F79" s="1340">
        <v>5.7500000000000002E-2</v>
      </c>
      <c r="G79" s="59"/>
      <c r="H79" s="1341">
        <v>5.7500000000000002E-2</v>
      </c>
      <c r="I79" s="59"/>
      <c r="J79" s="1341">
        <v>0.05</v>
      </c>
      <c r="K79" s="59"/>
      <c r="L79" s="1341">
        <v>0.05</v>
      </c>
      <c r="M79" s="59"/>
      <c r="N79" s="1341">
        <v>7.0000000000000007E-2</v>
      </c>
      <c r="O79" s="59"/>
      <c r="P79" s="1341">
        <f>10%+40%*EXP(-$P$59/500)</f>
        <v>0.5</v>
      </c>
      <c r="Q79" s="59"/>
      <c r="R79" s="1341">
        <f>3%+3%*EXP(-$R$59/200000)</f>
        <v>0.06</v>
      </c>
      <c r="S79" s="59"/>
      <c r="T79" s="59"/>
      <c r="U79" s="63"/>
      <c r="V79" s="66"/>
      <c r="W79" s="59"/>
      <c r="X79" s="13"/>
      <c r="Y79" s="13"/>
      <c r="AA79" s="66"/>
      <c r="AB79" s="59"/>
      <c r="AC79" s="13"/>
      <c r="AD79" s="2202"/>
      <c r="AE79"/>
      <c r="AF79"/>
      <c r="AG79"/>
      <c r="AH79"/>
      <c r="AI79"/>
      <c r="AJ79"/>
      <c r="AK79"/>
    </row>
    <row r="80" spans="2:37" s="9" customFormat="1" x14ac:dyDescent="0.2">
      <c r="B80" s="17"/>
      <c r="C80" s="836" t="str">
        <f>Translation!B693</f>
        <v>errechneter Wert nach Rückversicherung</v>
      </c>
      <c r="D80" s="1"/>
      <c r="E80" s="17"/>
      <c r="F80" s="477"/>
      <c r="G80" s="59"/>
      <c r="H80" s="89"/>
      <c r="I80" s="59"/>
      <c r="J80" s="89"/>
      <c r="K80" s="59"/>
      <c r="L80" s="89">
        <f>L144</f>
        <v>0.05</v>
      </c>
      <c r="M80" s="59"/>
      <c r="N80" s="89">
        <f>N144</f>
        <v>7.0000000000000007E-2</v>
      </c>
      <c r="O80" s="59"/>
      <c r="P80" s="89">
        <f>P144</f>
        <v>0.5</v>
      </c>
      <c r="Q80" s="59"/>
      <c r="R80" s="89">
        <f>R144</f>
        <v>0.06</v>
      </c>
      <c r="S80" s="59"/>
      <c r="T80" s="59"/>
      <c r="U80" s="63"/>
      <c r="V80" s="66"/>
      <c r="W80" s="59"/>
      <c r="X80" s="13"/>
      <c r="Y80" s="13"/>
      <c r="AA80" s="66"/>
      <c r="AB80" s="59"/>
      <c r="AC80" s="13"/>
      <c r="AE80"/>
      <c r="AF80"/>
      <c r="AG80"/>
      <c r="AH80"/>
      <c r="AI80"/>
      <c r="AJ80"/>
      <c r="AK80"/>
    </row>
    <row r="81" spans="2:37" s="9" customFormat="1" x14ac:dyDescent="0.2">
      <c r="B81" s="17"/>
      <c r="C81" s="88" t="str">
        <f>Translation!B694</f>
        <v>benutzter Wert (Abweichung vom Standard begründen)</v>
      </c>
      <c r="D81" s="1"/>
      <c r="E81" s="17"/>
      <c r="F81" s="1194">
        <f>F79</f>
        <v>5.7500000000000002E-2</v>
      </c>
      <c r="G81" s="474"/>
      <c r="H81" s="1195">
        <f>H79</f>
        <v>5.7500000000000002E-2</v>
      </c>
      <c r="I81" s="59"/>
      <c r="J81" s="1195">
        <f>J79</f>
        <v>0.05</v>
      </c>
      <c r="K81" s="59"/>
      <c r="L81" s="1195">
        <f>L80</f>
        <v>0.05</v>
      </c>
      <c r="M81" s="59"/>
      <c r="N81" s="1195">
        <f>N80</f>
        <v>7.0000000000000007E-2</v>
      </c>
      <c r="O81" s="474"/>
      <c r="P81" s="1195">
        <f>P80</f>
        <v>0.5</v>
      </c>
      <c r="Q81" s="474"/>
      <c r="R81" s="1195">
        <f>R80</f>
        <v>0.06</v>
      </c>
      <c r="S81" s="59"/>
      <c r="T81" s="59"/>
      <c r="U81" s="63"/>
      <c r="V81" s="66"/>
      <c r="W81" s="59"/>
      <c r="X81" s="13"/>
      <c r="Y81" s="13"/>
      <c r="AA81" s="66"/>
      <c r="AB81" s="59"/>
      <c r="AC81" s="13"/>
      <c r="AE81"/>
      <c r="AF81"/>
      <c r="AG81"/>
      <c r="AH81"/>
      <c r="AI81"/>
      <c r="AJ81"/>
      <c r="AK81"/>
    </row>
    <row r="82" spans="2:37" s="9" customFormat="1" x14ac:dyDescent="0.2">
      <c r="B82" s="17"/>
      <c r="C82" s="88"/>
      <c r="D82" s="1"/>
      <c r="E82" s="17"/>
      <c r="F82" s="478"/>
      <c r="G82" s="59"/>
      <c r="H82" s="59"/>
      <c r="I82" s="59"/>
      <c r="J82" s="59"/>
      <c r="K82" s="59"/>
      <c r="L82" s="59"/>
      <c r="M82" s="59"/>
      <c r="N82" s="59"/>
      <c r="O82" s="59"/>
      <c r="P82" s="59"/>
      <c r="Q82" s="59"/>
      <c r="R82" s="59"/>
      <c r="S82" s="59"/>
      <c r="T82" s="59"/>
      <c r="U82" s="63"/>
      <c r="V82" s="66"/>
      <c r="W82" s="59"/>
      <c r="X82" s="13"/>
      <c r="Y82" s="13"/>
      <c r="AA82" s="66"/>
      <c r="AB82" s="59"/>
      <c r="AC82" s="13"/>
      <c r="AE82"/>
      <c r="AF82"/>
      <c r="AG82"/>
      <c r="AH82"/>
      <c r="AI82"/>
      <c r="AJ82"/>
      <c r="AK82"/>
    </row>
    <row r="83" spans="2:37" s="9" customFormat="1" x14ac:dyDescent="0.2">
      <c r="B83" s="17"/>
      <c r="C83" s="37" t="str">
        <f>Translation!B695</f>
        <v>3) Zufalls- und Parameterrisiko</v>
      </c>
      <c r="D83" s="1"/>
      <c r="E83" s="17"/>
      <c r="F83" s="59"/>
      <c r="G83" s="59"/>
      <c r="H83" s="59"/>
      <c r="I83" s="59"/>
      <c r="J83" s="59"/>
      <c r="K83" s="59"/>
      <c r="L83" s="59"/>
      <c r="M83" s="59"/>
      <c r="N83" s="59"/>
      <c r="O83" s="59"/>
      <c r="P83" s="59"/>
      <c r="Q83" s="59"/>
      <c r="R83" s="59"/>
      <c r="S83" s="59"/>
      <c r="T83" s="59"/>
      <c r="U83" s="63"/>
      <c r="V83" s="66"/>
      <c r="W83" s="59"/>
      <c r="X83" s="13"/>
      <c r="Y83" s="13"/>
      <c r="AA83" s="66"/>
      <c r="AB83" s="59"/>
      <c r="AC83" s="13"/>
      <c r="AE83"/>
      <c r="AF83"/>
      <c r="AG83"/>
      <c r="AH83"/>
      <c r="AI83"/>
      <c r="AJ83"/>
      <c r="AK83"/>
    </row>
    <row r="84" spans="2:37" s="1342" customFormat="1" x14ac:dyDescent="0.2">
      <c r="B84" s="1343"/>
      <c r="C84" s="1344" t="str">
        <f>Translation!B696</f>
        <v>Variationskoeffizient der jährlichen Leistungen</v>
      </c>
      <c r="D84" s="1345"/>
      <c r="E84" s="1343"/>
      <c r="F84" s="1346">
        <f>IF(ISNUMBER(F75),SQRT(F81^2+F75^2),0.1)</f>
        <v>0.1</v>
      </c>
      <c r="G84" s="1345"/>
      <c r="H84" s="1346">
        <f>IF(ISNUMBER(H75),SQRT(H81^2+H75^2),0.1)</f>
        <v>0.1</v>
      </c>
      <c r="I84" s="1345"/>
      <c r="J84" s="1346">
        <f>IF(ISNUMBER(J75),SQRT(J81^2+J75^2),0.1)</f>
        <v>7.0710678118654766E-2</v>
      </c>
      <c r="K84" s="1345"/>
      <c r="L84" s="1346">
        <f>IF(ISNUMBER(L75),SQRT(L81^2+L75^2),0.1)</f>
        <v>0.1</v>
      </c>
      <c r="M84" s="1345"/>
      <c r="N84" s="1346">
        <f>IF(ISNUMBER(N75),SQRT(N81^2+N75^2),0.1)</f>
        <v>0.1</v>
      </c>
      <c r="O84" s="1345"/>
      <c r="P84" s="1346">
        <f>IF(ISNUMBER(P75),SQRT(P81^2+P75^2),0.1)</f>
        <v>0.5</v>
      </c>
      <c r="Q84" s="1345"/>
      <c r="R84" s="1346">
        <f>IF(ISNUMBER(R75),SQRT(R81^2+R75^2),0.1)</f>
        <v>0.06</v>
      </c>
      <c r="S84" s="1345"/>
      <c r="T84" s="1347">
        <v>0.2</v>
      </c>
      <c r="U84" s="1348"/>
      <c r="V84" s="1343"/>
      <c r="W84" s="1345"/>
      <c r="X84" s="1348"/>
      <c r="Y84" s="1348"/>
      <c r="AA84" s="1343"/>
      <c r="AB84" s="1345"/>
      <c r="AC84" s="1348"/>
      <c r="AE84"/>
      <c r="AF84"/>
      <c r="AG84"/>
      <c r="AH84"/>
      <c r="AI84"/>
      <c r="AJ84"/>
      <c r="AK84"/>
    </row>
    <row r="85" spans="2:37" s="675" customFormat="1" x14ac:dyDescent="0.2">
      <c r="B85" s="676"/>
      <c r="C85" s="677" t="str">
        <f>Translation!B697</f>
        <v>benutzter Variationskoeffizient</v>
      </c>
      <c r="D85" s="678"/>
      <c r="E85" s="676"/>
      <c r="F85" s="1195">
        <f>F84</f>
        <v>0.1</v>
      </c>
      <c r="G85" s="678"/>
      <c r="H85" s="679">
        <f>H84</f>
        <v>0.1</v>
      </c>
      <c r="I85" s="678"/>
      <c r="J85" s="1346">
        <f>J84</f>
        <v>7.0710678118654766E-2</v>
      </c>
      <c r="K85" s="678"/>
      <c r="L85" s="679">
        <f>L84</f>
        <v>0.1</v>
      </c>
      <c r="M85" s="678"/>
      <c r="N85" s="679">
        <f>N84</f>
        <v>0.1</v>
      </c>
      <c r="O85" s="678"/>
      <c r="P85" s="679">
        <f>P84</f>
        <v>0.5</v>
      </c>
      <c r="Q85" s="678"/>
      <c r="R85" s="679">
        <f>R84</f>
        <v>0.06</v>
      </c>
      <c r="S85" s="678"/>
      <c r="T85" s="1195">
        <f>T84</f>
        <v>0.2</v>
      </c>
      <c r="U85" s="680"/>
      <c r="V85" s="676"/>
      <c r="W85" s="678"/>
      <c r="X85" s="680"/>
      <c r="Y85" s="680"/>
      <c r="AA85" s="676"/>
      <c r="AB85" s="678"/>
      <c r="AC85" s="680"/>
      <c r="AD85" s="2202"/>
    </row>
    <row r="86" spans="2:37" s="9" customFormat="1" x14ac:dyDescent="0.2">
      <c r="B86" s="17"/>
      <c r="C86" s="60"/>
      <c r="D86" s="1"/>
      <c r="E86" s="17"/>
      <c r="F86" s="90"/>
      <c r="G86" s="59"/>
      <c r="H86" s="90"/>
      <c r="I86" s="59"/>
      <c r="J86" s="59"/>
      <c r="K86" s="59"/>
      <c r="L86" s="90"/>
      <c r="M86" s="59"/>
      <c r="N86" s="90"/>
      <c r="O86" s="59"/>
      <c r="P86" s="90"/>
      <c r="Q86" s="59"/>
      <c r="R86" s="90"/>
      <c r="S86" s="59"/>
      <c r="T86" s="90"/>
      <c r="U86" s="63"/>
      <c r="V86" s="66"/>
      <c r="W86" s="59"/>
      <c r="X86" s="13"/>
      <c r="Y86" s="13"/>
      <c r="AA86" s="66"/>
      <c r="AB86" s="59"/>
      <c r="AC86" s="13"/>
    </row>
    <row r="87" spans="2:37" s="9" customFormat="1" ht="25.5" customHeight="1" x14ac:dyDescent="0.2">
      <c r="B87" s="17"/>
      <c r="C87" s="1380" t="str">
        <f>Translation!B698</f>
        <v>Standardabweichung des Schaden- und Leistungsaufwands (ohne Risikoausgleich)</v>
      </c>
      <c r="D87" s="1"/>
      <c r="E87" s="17"/>
      <c r="F87" s="90"/>
      <c r="G87" s="59"/>
      <c r="H87" s="90"/>
      <c r="I87" s="59"/>
      <c r="J87" s="59"/>
      <c r="K87" s="59"/>
      <c r="L87" s="90"/>
      <c r="M87" s="59"/>
      <c r="N87" s="90"/>
      <c r="O87" s="59"/>
      <c r="P87" s="1379">
        <f xml:space="preserve"> P85 *P53</f>
        <v>0</v>
      </c>
      <c r="Q87" s="59"/>
      <c r="R87" s="1379">
        <f xml:space="preserve"> R85 * (R53 - R50)</f>
        <v>0</v>
      </c>
      <c r="S87" s="59"/>
      <c r="T87" s="90"/>
      <c r="U87" s="59"/>
      <c r="V87" s="66"/>
      <c r="W87" s="59"/>
      <c r="X87" s="13"/>
      <c r="Y87" s="13"/>
      <c r="AA87" s="66"/>
      <c r="AB87" s="59"/>
      <c r="AC87" s="13"/>
    </row>
    <row r="88" spans="2:37" s="9" customFormat="1" x14ac:dyDescent="0.2">
      <c r="B88" s="17"/>
      <c r="C88" s="60"/>
      <c r="D88" s="1"/>
      <c r="E88" s="17"/>
      <c r="F88" s="90"/>
      <c r="G88" s="59"/>
      <c r="H88" s="90"/>
      <c r="I88" s="59"/>
      <c r="J88" s="59"/>
      <c r="K88" s="59"/>
      <c r="L88" s="90"/>
      <c r="M88" s="59"/>
      <c r="N88" s="90"/>
      <c r="O88" s="59"/>
      <c r="P88" s="90"/>
      <c r="Q88" s="59"/>
      <c r="R88" s="90"/>
      <c r="S88" s="59"/>
      <c r="T88" s="90"/>
      <c r="U88" s="59"/>
      <c r="V88" s="66"/>
      <c r="W88" s="59"/>
      <c r="X88" s="13"/>
      <c r="Y88" s="13"/>
      <c r="AA88" s="66"/>
      <c r="AB88" s="59"/>
      <c r="AC88" s="13"/>
      <c r="AE88" s="91"/>
      <c r="AF88" s="6"/>
      <c r="AG88" s="85"/>
    </row>
    <row r="89" spans="2:37" s="9" customFormat="1" x14ac:dyDescent="0.2">
      <c r="B89" s="17"/>
      <c r="C89" s="1380" t="str">
        <f>Translation!B699</f>
        <v xml:space="preserve">Standardabweichung des Risikoausgleichs </v>
      </c>
      <c r="D89" s="1"/>
      <c r="E89" s="17"/>
      <c r="F89" s="90"/>
      <c r="G89" s="59"/>
      <c r="H89" s="90"/>
      <c r="I89" s="59"/>
      <c r="J89" s="59"/>
      <c r="K89" s="59"/>
      <c r="L89" s="90"/>
      <c r="M89" s="59"/>
      <c r="N89" s="90"/>
      <c r="O89" s="59"/>
      <c r="P89" s="90"/>
      <c r="Q89" s="59"/>
      <c r="R89" s="1379">
        <f>Risk_Compensation!J7</f>
        <v>0</v>
      </c>
      <c r="S89" s="59"/>
      <c r="T89" s="90"/>
      <c r="U89" s="59"/>
      <c r="V89" s="66"/>
      <c r="W89" s="59"/>
      <c r="X89" s="13"/>
      <c r="Y89" s="13"/>
      <c r="AA89" s="66"/>
      <c r="AB89" s="59"/>
      <c r="AC89" s="13"/>
      <c r="AF89" s="6"/>
      <c r="AG89" s="85"/>
    </row>
    <row r="90" spans="2:37" s="9" customFormat="1" x14ac:dyDescent="0.2">
      <c r="B90" s="17"/>
      <c r="C90" s="60" t="str">
        <f>Translation!B700</f>
        <v>(Aus Blatt Risk_Compensation übertragen)</v>
      </c>
      <c r="D90" s="1"/>
      <c r="E90" s="17"/>
      <c r="F90" s="90"/>
      <c r="G90" s="59"/>
      <c r="H90" s="90"/>
      <c r="I90" s="59"/>
      <c r="J90" s="59"/>
      <c r="K90" s="59"/>
      <c r="L90" s="90"/>
      <c r="M90" s="59"/>
      <c r="N90" s="90"/>
      <c r="O90" s="59"/>
      <c r="P90" s="90"/>
      <c r="Q90" s="59"/>
      <c r="R90" s="90"/>
      <c r="S90" s="59"/>
      <c r="T90" s="90"/>
      <c r="U90" s="59"/>
      <c r="V90" s="66"/>
      <c r="W90" s="59"/>
      <c r="X90" s="13"/>
      <c r="Y90" s="13"/>
      <c r="AA90" s="66"/>
      <c r="AB90" s="59"/>
      <c r="AC90" s="13"/>
      <c r="AE90" s="91"/>
      <c r="AF90" s="6"/>
      <c r="AG90" s="85"/>
    </row>
    <row r="91" spans="2:37" s="9" customFormat="1" x14ac:dyDescent="0.2">
      <c r="B91" s="17"/>
      <c r="C91" s="60"/>
      <c r="D91" s="1"/>
      <c r="E91" s="17"/>
      <c r="F91" s="90"/>
      <c r="G91" s="59"/>
      <c r="H91" s="90"/>
      <c r="I91" s="59"/>
      <c r="J91" s="59"/>
      <c r="K91" s="59"/>
      <c r="L91" s="90"/>
      <c r="M91" s="59"/>
      <c r="N91" s="90"/>
      <c r="O91" s="59"/>
      <c r="P91" s="90"/>
      <c r="Q91" s="59"/>
      <c r="R91" s="90"/>
      <c r="S91" s="59"/>
      <c r="T91" s="90"/>
      <c r="U91" s="59"/>
      <c r="V91" s="66"/>
      <c r="W91" s="59"/>
      <c r="X91" s="13"/>
      <c r="Y91" s="13"/>
      <c r="AA91" s="66"/>
      <c r="AB91" s="59"/>
      <c r="AC91" s="13"/>
    </row>
    <row r="92" spans="2:37" ht="25.5" customHeight="1" x14ac:dyDescent="0.2">
      <c r="B92" s="10"/>
      <c r="C92" s="1381" t="str">
        <f>Translation!B702</f>
        <v>Standardabweichung des versicherungstechnischen Risikos</v>
      </c>
      <c r="D92" s="6"/>
      <c r="E92" s="888"/>
      <c r="F92" s="883">
        <f>IF(ISBLANK(F45),F42,F45)*MAX(F79,F85)</f>
        <v>0</v>
      </c>
      <c r="G92" s="889"/>
      <c r="H92" s="883">
        <f xml:space="preserve"> H85 * IF(ISBLANK(H45),H42,H45)</f>
        <v>0</v>
      </c>
      <c r="I92" s="889"/>
      <c r="J92" s="883">
        <f xml:space="preserve"> J85 * J53</f>
        <v>0</v>
      </c>
      <c r="K92" s="889"/>
      <c r="L92" s="883">
        <f xml:space="preserve"> L85 * L53</f>
        <v>0</v>
      </c>
      <c r="M92" s="889"/>
      <c r="N92" s="883">
        <f xml:space="preserve"> N85 * N53</f>
        <v>0</v>
      </c>
      <c r="O92" s="889"/>
      <c r="P92" s="883">
        <f xml:space="preserve"> P85 *P53</f>
        <v>0</v>
      </c>
      <c r="Q92" s="889"/>
      <c r="R92" s="889">
        <f>SQRT(R87^2+R89^2)</f>
        <v>0</v>
      </c>
      <c r="S92" s="889"/>
      <c r="T92" s="883">
        <f xml:space="preserve"> T85 * T53</f>
        <v>0</v>
      </c>
      <c r="U92" s="890"/>
      <c r="V92" s="888"/>
      <c r="W92" s="883">
        <f>SQRT(SUM(J92^2,L92^2, N92^2, P92^2, R92^2, T92^2,2*J92*L92*L101,2*J92*N92*N101,2*J92*R92*R101,2*J92*T92*T101, 2*L92*N92*$N$102, 2*L92*R92*$R$102, 2*L92*T92*$T$102, 2*N92*R92*$R$103, 2*N92*T92*$T$103, 2*R92*T92*$T$105,2*P92*J92*$P$101,2*P92*L92*$P$102,2*P92*N92*$P$103,2*P92*R92*$R$104,2*P92*T92*$T$104))</f>
        <v>0</v>
      </c>
      <c r="X92" s="891"/>
      <c r="Y92" s="7"/>
      <c r="AA92" s="892"/>
      <c r="AB92" s="889">
        <f>SQRT(SUM(F92^2, H92^2, J92^2, L92^2, N92^2, P92^2, R92^2, T92^2, 2*F92*H92*$H$99, 2*F92*J92*$J$99,  2*F92*L92*$L$99,  2*F92*N92*$N$99,  2*F92*R92*$R$99, 2*F92*T92*$T$99, 2*H92*J92*$J$100, 2*H92*L92*$L$100, 2*H92*N92*$N$100, 2*H92*R92*$R$100, 2*H92*T92*$T$100, 2*J92*L92*$L$101, 2*J92*N92*$N$101, 2*J92*R92*$R$101, 2*J92*T92*$T$101, 2*L92*N92*$N$102, 2*L92*R92*$R$102, 2*L92*T92*$T$102, 2*N92*R92*$R$103, 2*N92*T92*$T$103, 2*R92*T92*$T$105, 2*P92*F92*$P$99, 2*P92*H92*$P$100, 2*P92*J92*$P$101, 2*P92*L92*$P$102, 2*P92*N92*$P$103, 2*P92*R92*$R104, 2*P92*T92*$T$104))</f>
        <v>0</v>
      </c>
      <c r="AC92" s="891"/>
      <c r="AD92" s="2202"/>
    </row>
    <row r="93" spans="2:37" ht="8.1" customHeight="1" x14ac:dyDescent="0.2">
      <c r="B93" s="10"/>
      <c r="C93" s="6"/>
      <c r="D93" s="6"/>
      <c r="E93" s="11"/>
      <c r="F93" s="12"/>
      <c r="G93" s="48"/>
      <c r="H93" s="12"/>
      <c r="I93" s="48"/>
      <c r="J93" s="12"/>
      <c r="K93" s="48"/>
      <c r="L93" s="12"/>
      <c r="M93" s="48"/>
      <c r="N93" s="12"/>
      <c r="O93" s="48"/>
      <c r="P93" s="12"/>
      <c r="Q93" s="48"/>
      <c r="R93" s="12"/>
      <c r="S93" s="48"/>
      <c r="T93" s="12"/>
      <c r="U93" s="49"/>
      <c r="V93" s="18"/>
      <c r="W93" s="12"/>
      <c r="X93" s="22"/>
      <c r="Y93" s="7"/>
      <c r="AA93" s="18"/>
      <c r="AB93" s="12"/>
      <c r="AC93" s="22"/>
    </row>
    <row r="94" spans="2:37" ht="8.1" customHeight="1" x14ac:dyDescent="0.2">
      <c r="B94" s="11"/>
      <c r="C94" s="12"/>
      <c r="D94" s="12"/>
      <c r="E94" s="12"/>
      <c r="F94" s="12"/>
      <c r="G94" s="48"/>
      <c r="H94" s="12"/>
      <c r="I94" s="48"/>
      <c r="J94" s="12"/>
      <c r="K94" s="48"/>
      <c r="L94" s="12"/>
      <c r="M94" s="48"/>
      <c r="N94" s="12"/>
      <c r="O94" s="48"/>
      <c r="P94" s="12"/>
      <c r="Q94" s="48"/>
      <c r="R94" s="12"/>
      <c r="S94" s="48"/>
      <c r="T94" s="12"/>
      <c r="U94" s="48"/>
      <c r="V94" s="48"/>
      <c r="W94" s="12"/>
      <c r="X94" s="12"/>
      <c r="Y94" s="22"/>
      <c r="AA94"/>
    </row>
    <row r="95" spans="2:37" ht="12.75" customHeight="1" x14ac:dyDescent="0.2">
      <c r="O95" s="9"/>
      <c r="P95"/>
      <c r="AA95"/>
    </row>
    <row r="96" spans="2:37" ht="15.75" x14ac:dyDescent="0.25">
      <c r="B96" s="450"/>
      <c r="C96" s="454" t="str">
        <f>Translation!B704</f>
        <v>Korrelationen zwischen den betrachteten Branchen</v>
      </c>
      <c r="D96" s="451"/>
      <c r="E96" s="451"/>
      <c r="F96" s="455"/>
      <c r="G96" s="455"/>
      <c r="H96" s="455"/>
      <c r="I96" s="455"/>
      <c r="J96" s="455"/>
      <c r="K96" s="455"/>
      <c r="L96" s="455"/>
      <c r="M96" s="455"/>
      <c r="N96" s="455"/>
      <c r="O96" s="455"/>
      <c r="P96" s="455"/>
      <c r="Q96" s="455"/>
      <c r="R96" s="455"/>
      <c r="S96" s="455"/>
      <c r="T96" s="455"/>
      <c r="U96" s="455"/>
      <c r="V96" s="455"/>
      <c r="W96" s="452"/>
      <c r="X96" s="452"/>
      <c r="Y96" s="453"/>
      <c r="AA96"/>
    </row>
    <row r="97" spans="2:30" s="74" customFormat="1" ht="41.25" customHeight="1" x14ac:dyDescent="0.2">
      <c r="B97" s="92"/>
      <c r="C97" s="93"/>
      <c r="D97" s="93"/>
      <c r="E97" s="93"/>
      <c r="F97" s="2286" t="str">
        <f>F17</f>
        <v>Kollektiv VVG</v>
      </c>
      <c r="G97" s="2255"/>
      <c r="H97" s="2286" t="str">
        <f>H17</f>
        <v>Einzel VVG</v>
      </c>
      <c r="I97" s="2255"/>
      <c r="J97" s="2286" t="str">
        <f>J17</f>
        <v>UVG</v>
      </c>
      <c r="K97" s="2255"/>
      <c r="L97" s="2286" t="str">
        <f>L17</f>
        <v>KVG-Taggeld Einzel</v>
      </c>
      <c r="M97" s="2255"/>
      <c r="N97" s="2286" t="str">
        <f>N17</f>
        <v>KVG-Taggeld Kollektiv</v>
      </c>
      <c r="O97" s="2255"/>
      <c r="P97" s="2286" t="str">
        <f>P17</f>
        <v>OKP EU</v>
      </c>
      <c r="Q97" s="2255"/>
      <c r="R97" s="2286" t="str">
        <f>R17</f>
        <v>OKP CH</v>
      </c>
      <c r="S97" s="2255"/>
      <c r="T97" s="2286" t="str">
        <f>T17</f>
        <v>Aktive Rück-versicherung KVG</v>
      </c>
      <c r="U97" s="94"/>
      <c r="V97" s="94"/>
      <c r="W97" s="93"/>
      <c r="X97" s="93"/>
      <c r="Y97" s="95"/>
    </row>
    <row r="98" spans="2:30" x14ac:dyDescent="0.2">
      <c r="B98" s="10"/>
      <c r="C98" s="6"/>
      <c r="D98" s="6"/>
      <c r="E98" s="6"/>
      <c r="F98" s="6"/>
      <c r="G98" s="1"/>
      <c r="H98" s="6"/>
      <c r="I98" s="1"/>
      <c r="J98" s="6"/>
      <c r="K98" s="1"/>
      <c r="L98" s="6"/>
      <c r="M98" s="1"/>
      <c r="N98" s="6"/>
      <c r="O98" s="1"/>
      <c r="P98" s="6"/>
      <c r="Q98" s="1"/>
      <c r="R98" s="6"/>
      <c r="S98" s="1"/>
      <c r="T98" s="6"/>
      <c r="U98" s="1"/>
      <c r="V98" s="1"/>
      <c r="W98" s="6"/>
      <c r="X98" s="6"/>
      <c r="Y98" s="7"/>
      <c r="AA98"/>
    </row>
    <row r="99" spans="2:30" outlineLevel="1" x14ac:dyDescent="0.2">
      <c r="B99" s="10"/>
      <c r="C99" s="91" t="str">
        <f>F17</f>
        <v>Kollektiv VVG</v>
      </c>
      <c r="D99" s="6"/>
      <c r="E99" s="6"/>
      <c r="F99" s="85">
        <v>1</v>
      </c>
      <c r="G99" s="86"/>
      <c r="H99" s="1349">
        <v>0.25</v>
      </c>
      <c r="I99" s="86"/>
      <c r="J99" s="1349">
        <v>0</v>
      </c>
      <c r="K99" s="1"/>
      <c r="L99" s="1349">
        <v>0.5</v>
      </c>
      <c r="M99" s="86"/>
      <c r="N99" s="1349">
        <v>0.75</v>
      </c>
      <c r="O99" s="86"/>
      <c r="P99" s="1349">
        <v>0</v>
      </c>
      <c r="Q99" s="86"/>
      <c r="R99" s="1349">
        <v>0</v>
      </c>
      <c r="S99" s="86"/>
      <c r="T99" s="1349">
        <v>0</v>
      </c>
      <c r="U99" s="1"/>
      <c r="V99" s="1"/>
      <c r="W99" s="6"/>
      <c r="X99" s="6"/>
      <c r="Y99" s="7"/>
      <c r="AA99"/>
    </row>
    <row r="100" spans="2:30" outlineLevel="1" x14ac:dyDescent="0.2">
      <c r="B100" s="10"/>
      <c r="C100" s="91" t="str">
        <f>H17</f>
        <v>Einzel VVG</v>
      </c>
      <c r="D100" s="6"/>
      <c r="E100" s="6"/>
      <c r="F100" s="85">
        <f>H99</f>
        <v>0.25</v>
      </c>
      <c r="G100" s="86"/>
      <c r="H100" s="85">
        <v>1</v>
      </c>
      <c r="I100" s="86"/>
      <c r="J100" s="1349">
        <v>0</v>
      </c>
      <c r="K100" s="1"/>
      <c r="L100" s="1349">
        <v>0</v>
      </c>
      <c r="M100" s="86"/>
      <c r="N100" s="1349">
        <v>0.25</v>
      </c>
      <c r="O100" s="86"/>
      <c r="P100" s="1349">
        <v>0</v>
      </c>
      <c r="Q100" s="86"/>
      <c r="R100" s="1349">
        <v>0.5</v>
      </c>
      <c r="S100" s="86"/>
      <c r="T100" s="1349">
        <v>0</v>
      </c>
      <c r="U100" s="1"/>
      <c r="V100" s="1"/>
      <c r="W100" s="6"/>
      <c r="X100" s="6"/>
      <c r="Y100" s="7"/>
      <c r="AA100"/>
    </row>
    <row r="101" spans="2:30" outlineLevel="1" x14ac:dyDescent="0.2">
      <c r="B101" s="10"/>
      <c r="C101" s="91" t="str">
        <f>J17</f>
        <v>UVG</v>
      </c>
      <c r="D101" s="6"/>
      <c r="E101" s="6"/>
      <c r="F101" s="85">
        <f>J99</f>
        <v>0</v>
      </c>
      <c r="G101" s="86"/>
      <c r="H101" s="85">
        <f>J100</f>
        <v>0</v>
      </c>
      <c r="I101" s="86"/>
      <c r="J101" s="85">
        <v>1</v>
      </c>
      <c r="K101" s="1"/>
      <c r="L101" s="1349">
        <v>0.5</v>
      </c>
      <c r="M101" s="86"/>
      <c r="N101" s="1349">
        <v>0.5</v>
      </c>
      <c r="O101" s="86"/>
      <c r="P101" s="1349">
        <v>0</v>
      </c>
      <c r="Q101" s="86"/>
      <c r="R101" s="1349">
        <v>0.5</v>
      </c>
      <c r="S101" s="86"/>
      <c r="T101" s="1349">
        <v>0</v>
      </c>
      <c r="U101" s="1"/>
      <c r="V101" s="1"/>
      <c r="W101" s="6"/>
      <c r="X101" s="6"/>
      <c r="Y101" s="7"/>
      <c r="AA101"/>
    </row>
    <row r="102" spans="2:30" x14ac:dyDescent="0.2">
      <c r="B102" s="10"/>
      <c r="C102" s="91" t="str">
        <f>L17</f>
        <v>KVG-Taggeld Einzel</v>
      </c>
      <c r="D102" s="6"/>
      <c r="E102" s="6"/>
      <c r="F102" s="85">
        <f>L99</f>
        <v>0.5</v>
      </c>
      <c r="G102" s="86"/>
      <c r="H102" s="85">
        <f>L100</f>
        <v>0</v>
      </c>
      <c r="I102" s="86"/>
      <c r="J102" s="85">
        <f>L101</f>
        <v>0.5</v>
      </c>
      <c r="K102" s="1"/>
      <c r="L102" s="85">
        <v>1</v>
      </c>
      <c r="M102" s="86"/>
      <c r="N102" s="1349">
        <v>0.75</v>
      </c>
      <c r="O102" s="86"/>
      <c r="P102" s="1349">
        <v>0</v>
      </c>
      <c r="Q102" s="86"/>
      <c r="R102" s="1349">
        <v>0.5</v>
      </c>
      <c r="S102" s="86"/>
      <c r="T102" s="1349">
        <v>0.25</v>
      </c>
      <c r="U102" s="1"/>
      <c r="V102" s="1"/>
      <c r="W102" s="6"/>
      <c r="X102" s="6"/>
      <c r="Y102" s="7"/>
      <c r="Z102" s="2260"/>
      <c r="AA102"/>
      <c r="AD102" s="2260"/>
    </row>
    <row r="103" spans="2:30" x14ac:dyDescent="0.2">
      <c r="B103" s="10"/>
      <c r="C103" s="91" t="str">
        <f>N17</f>
        <v>KVG-Taggeld Kollektiv</v>
      </c>
      <c r="D103" s="6"/>
      <c r="E103" s="6"/>
      <c r="F103" s="85">
        <f>N99</f>
        <v>0.75</v>
      </c>
      <c r="G103" s="86"/>
      <c r="H103" s="85">
        <f>N100</f>
        <v>0.25</v>
      </c>
      <c r="I103" s="86"/>
      <c r="J103" s="85">
        <f>N101</f>
        <v>0.5</v>
      </c>
      <c r="K103" s="1"/>
      <c r="L103" s="85">
        <f>N102</f>
        <v>0.75</v>
      </c>
      <c r="M103" s="86"/>
      <c r="N103" s="85">
        <v>1</v>
      </c>
      <c r="O103" s="86"/>
      <c r="P103" s="1349">
        <v>0</v>
      </c>
      <c r="Q103" s="86"/>
      <c r="R103" s="1349">
        <v>0.5</v>
      </c>
      <c r="S103" s="86"/>
      <c r="T103" s="1349">
        <v>0.25</v>
      </c>
      <c r="U103" s="1"/>
      <c r="V103" s="1"/>
      <c r="W103" s="6"/>
      <c r="X103" s="6"/>
      <c r="Y103" s="7"/>
      <c r="AA103"/>
    </row>
    <row r="104" spans="2:30" x14ac:dyDescent="0.2">
      <c r="B104" s="10"/>
      <c r="C104" s="91" t="str">
        <f>P17</f>
        <v>OKP EU</v>
      </c>
      <c r="D104" s="6"/>
      <c r="E104" s="6"/>
      <c r="F104" s="85">
        <v>0</v>
      </c>
      <c r="G104" s="86"/>
      <c r="H104" s="85">
        <v>0</v>
      </c>
      <c r="I104" s="86"/>
      <c r="J104" s="85">
        <v>0</v>
      </c>
      <c r="K104" s="1"/>
      <c r="L104" s="85">
        <v>0</v>
      </c>
      <c r="M104" s="86"/>
      <c r="N104" s="85">
        <v>0</v>
      </c>
      <c r="O104" s="86"/>
      <c r="P104" s="85">
        <v>1</v>
      </c>
      <c r="Q104" s="86"/>
      <c r="R104" s="1349">
        <v>0.5</v>
      </c>
      <c r="S104" s="86"/>
      <c r="T104" s="1349">
        <v>0</v>
      </c>
      <c r="U104" s="1"/>
      <c r="V104" s="1"/>
      <c r="W104" s="6"/>
      <c r="X104" s="6"/>
      <c r="Y104" s="7"/>
      <c r="AA104"/>
    </row>
    <row r="105" spans="2:30" x14ac:dyDescent="0.2">
      <c r="B105" s="10"/>
      <c r="C105" s="91" t="str">
        <f>R17</f>
        <v>OKP CH</v>
      </c>
      <c r="D105" s="6"/>
      <c r="E105" s="6"/>
      <c r="F105" s="85">
        <f>R99</f>
        <v>0</v>
      </c>
      <c r="G105" s="86"/>
      <c r="H105" s="85">
        <f>R100</f>
        <v>0.5</v>
      </c>
      <c r="I105" s="86"/>
      <c r="J105" s="85">
        <f>R101</f>
        <v>0.5</v>
      </c>
      <c r="K105" s="1"/>
      <c r="L105" s="85">
        <f>R102</f>
        <v>0.5</v>
      </c>
      <c r="M105" s="86"/>
      <c r="N105" s="85">
        <f>R103</f>
        <v>0.5</v>
      </c>
      <c r="O105" s="86"/>
      <c r="P105" s="2268">
        <v>0.5</v>
      </c>
      <c r="Q105" s="86"/>
      <c r="R105" s="85">
        <v>1</v>
      </c>
      <c r="S105" s="86"/>
      <c r="T105" s="1349">
        <v>0.25</v>
      </c>
      <c r="U105" s="1"/>
      <c r="V105" s="1"/>
      <c r="W105" s="6"/>
      <c r="X105" s="6"/>
      <c r="Y105" s="7"/>
      <c r="AA105"/>
    </row>
    <row r="106" spans="2:30" x14ac:dyDescent="0.2">
      <c r="B106" s="10"/>
      <c r="C106" s="91" t="str">
        <f>T17</f>
        <v>Aktive Rück-versicherung KVG</v>
      </c>
      <c r="D106" s="6"/>
      <c r="E106" s="6"/>
      <c r="F106" s="85">
        <f>T99</f>
        <v>0</v>
      </c>
      <c r="G106" s="86"/>
      <c r="H106" s="85">
        <f>T100</f>
        <v>0</v>
      </c>
      <c r="I106" s="86"/>
      <c r="J106" s="85">
        <f>T101</f>
        <v>0</v>
      </c>
      <c r="K106" s="1"/>
      <c r="L106" s="85">
        <f>T102</f>
        <v>0.25</v>
      </c>
      <c r="M106" s="86"/>
      <c r="N106" s="85">
        <f>T103</f>
        <v>0.25</v>
      </c>
      <c r="O106" s="86"/>
      <c r="P106" s="2268">
        <v>0</v>
      </c>
      <c r="Q106" s="86"/>
      <c r="R106" s="85">
        <f>T105</f>
        <v>0.25</v>
      </c>
      <c r="S106" s="86"/>
      <c r="T106" s="85">
        <v>1</v>
      </c>
      <c r="U106" s="1"/>
      <c r="V106" s="1"/>
      <c r="W106" s="6"/>
      <c r="X106" s="6"/>
      <c r="Y106" s="7"/>
      <c r="AA106"/>
    </row>
    <row r="107" spans="2:30" ht="8.1" customHeight="1" x14ac:dyDescent="0.2">
      <c r="B107" s="11"/>
      <c r="C107" s="12"/>
      <c r="D107" s="12"/>
      <c r="E107" s="12"/>
      <c r="F107" s="12"/>
      <c r="G107" s="48"/>
      <c r="H107" s="12"/>
      <c r="I107" s="48"/>
      <c r="J107" s="12"/>
      <c r="K107" s="48"/>
      <c r="L107" s="12"/>
      <c r="M107" s="48"/>
      <c r="N107" s="12"/>
      <c r="O107" s="48"/>
      <c r="P107" s="12"/>
      <c r="Q107" s="48"/>
      <c r="R107" s="12"/>
      <c r="S107" s="48"/>
      <c r="T107" s="12"/>
      <c r="U107" s="48"/>
      <c r="V107" s="48"/>
      <c r="W107" s="12"/>
      <c r="X107" s="12"/>
      <c r="Y107" s="22"/>
      <c r="AA107"/>
    </row>
    <row r="108" spans="2:30" x14ac:dyDescent="0.2">
      <c r="O108" s="9"/>
      <c r="P108"/>
      <c r="AA108"/>
    </row>
    <row r="109" spans="2:30" ht="12.75" customHeight="1" x14ac:dyDescent="0.2">
      <c r="O109" s="9"/>
      <c r="P109"/>
      <c r="AA109"/>
    </row>
    <row r="110" spans="2:30" ht="15.75" x14ac:dyDescent="0.25">
      <c r="B110" s="450"/>
      <c r="C110" s="454" t="str">
        <f>Translation!B705</f>
        <v>Passive Rückversicherung KVG</v>
      </c>
      <c r="D110" s="451"/>
      <c r="E110" s="451"/>
      <c r="F110" s="455"/>
      <c r="G110" s="455"/>
      <c r="H110" s="455"/>
      <c r="I110" s="455"/>
      <c r="J110" s="455"/>
      <c r="K110" s="455"/>
      <c r="L110" s="455"/>
      <c r="M110" s="455"/>
      <c r="N110" s="455"/>
      <c r="O110" s="455"/>
      <c r="P110" s="455"/>
      <c r="Q110" s="455"/>
      <c r="R110" s="455"/>
      <c r="S110" s="455"/>
      <c r="T110" s="455"/>
      <c r="U110" s="455"/>
      <c r="V110" s="455"/>
      <c r="W110" s="452"/>
      <c r="X110" s="452"/>
      <c r="Y110" s="453"/>
      <c r="AA110"/>
    </row>
    <row r="111" spans="2:30" x14ac:dyDescent="0.2">
      <c r="B111" s="10"/>
      <c r="C111" s="6"/>
      <c r="D111" s="6"/>
      <c r="E111" s="6"/>
      <c r="F111" s="6"/>
      <c r="G111" s="1"/>
      <c r="H111" s="6"/>
      <c r="I111" s="1"/>
      <c r="J111" s="6"/>
      <c r="K111" s="1"/>
      <c r="L111" s="6"/>
      <c r="M111" s="1"/>
      <c r="N111" s="6"/>
      <c r="O111" s="1"/>
      <c r="P111" s="6"/>
      <c r="Q111" s="1"/>
      <c r="R111" s="6"/>
      <c r="S111" s="1"/>
      <c r="T111" s="6"/>
      <c r="U111" s="1"/>
      <c r="V111" s="1"/>
      <c r="W111" s="6"/>
      <c r="X111" s="6"/>
      <c r="Y111" s="7"/>
      <c r="AA111"/>
    </row>
    <row r="112" spans="2:30" ht="15.75" x14ac:dyDescent="0.25">
      <c r="B112" s="10"/>
      <c r="C112" s="103" t="str">
        <f>Translation!B706</f>
        <v>a) Einzelschadenexzedenten-Rückversicherung (Grossrisiko-Rückversicherung)</v>
      </c>
      <c r="D112" s="6"/>
      <c r="E112" s="6"/>
      <c r="F112" s="6"/>
      <c r="G112" s="1"/>
      <c r="H112" s="6"/>
      <c r="I112" s="1"/>
      <c r="J112" s="6"/>
      <c r="K112" s="1"/>
      <c r="L112" s="6"/>
      <c r="M112" s="1"/>
      <c r="N112" s="6"/>
      <c r="O112" s="1"/>
      <c r="P112" s="6"/>
      <c r="Q112" s="1"/>
      <c r="R112" s="6"/>
      <c r="S112" s="1"/>
      <c r="T112" s="6"/>
      <c r="U112" s="1"/>
      <c r="V112" s="1"/>
      <c r="W112" s="6"/>
      <c r="X112" s="6"/>
      <c r="Y112" s="7"/>
      <c r="AA112"/>
    </row>
    <row r="113" spans="2:27" ht="15" x14ac:dyDescent="0.2">
      <c r="B113" s="10"/>
      <c r="C113" s="833"/>
      <c r="D113" s="6"/>
      <c r="E113" s="6"/>
      <c r="F113" s="6"/>
      <c r="G113" s="1"/>
      <c r="H113" s="6"/>
      <c r="I113" s="1"/>
      <c r="J113" s="6"/>
      <c r="K113" s="1"/>
      <c r="L113" s="6"/>
      <c r="M113" s="1"/>
      <c r="N113" s="6"/>
      <c r="O113" s="1"/>
      <c r="P113" s="6"/>
      <c r="Q113" s="1"/>
      <c r="R113" s="6"/>
      <c r="S113" s="1"/>
      <c r="T113" s="6"/>
      <c r="U113" s="1"/>
      <c r="V113" s="1"/>
      <c r="W113" s="6"/>
      <c r="X113" s="6"/>
      <c r="Y113" s="7"/>
      <c r="AA113"/>
    </row>
    <row r="114" spans="2:27" ht="15" x14ac:dyDescent="0.2">
      <c r="B114" s="10"/>
      <c r="C114" s="237" t="str">
        <f>Translation!B707</f>
        <v>Selbstbehalt Einzelschaden (CHF)</v>
      </c>
      <c r="D114" s="237"/>
      <c r="E114" s="237"/>
      <c r="F114" s="237"/>
      <c r="G114" s="1"/>
      <c r="H114" s="6"/>
      <c r="I114" s="1"/>
      <c r="J114" s="6"/>
      <c r="K114" s="1"/>
      <c r="L114" s="1196"/>
      <c r="M114" s="1"/>
      <c r="N114" s="1196"/>
      <c r="O114" s="237"/>
      <c r="P114" s="1196"/>
      <c r="Q114" s="237"/>
      <c r="R114" s="1196"/>
      <c r="S114" s="1"/>
      <c r="T114" s="1196"/>
      <c r="U114" s="1"/>
      <c r="V114" s="1"/>
      <c r="W114" s="6"/>
      <c r="X114" s="6"/>
      <c r="Y114" s="7"/>
      <c r="Z114" s="2260"/>
      <c r="AA114"/>
    </row>
    <row r="115" spans="2:27" ht="15" x14ac:dyDescent="0.2">
      <c r="B115" s="10"/>
      <c r="C115" s="833"/>
      <c r="D115" s="833"/>
      <c r="E115" s="833"/>
      <c r="F115" s="833"/>
      <c r="G115" s="1"/>
      <c r="H115" s="6"/>
      <c r="I115" s="1"/>
      <c r="J115" s="6"/>
      <c r="K115" s="1"/>
      <c r="L115" s="833"/>
      <c r="M115" s="1"/>
      <c r="N115" s="833"/>
      <c r="O115" s="833"/>
      <c r="P115" s="833"/>
      <c r="Q115" s="833"/>
      <c r="R115" s="833"/>
      <c r="S115" s="1"/>
      <c r="T115" s="833"/>
      <c r="U115" s="1"/>
      <c r="V115" s="1"/>
      <c r="W115" s="6"/>
      <c r="X115" s="6"/>
      <c r="Y115" s="7"/>
      <c r="AA115"/>
    </row>
    <row r="116" spans="2:27" ht="15.75" x14ac:dyDescent="0.25">
      <c r="B116" s="10"/>
      <c r="C116" s="1796" t="str">
        <f>Translation!B708</f>
        <v>Berechnung via Weibull-Fit</v>
      </c>
      <c r="D116" s="838"/>
      <c r="E116" s="838"/>
      <c r="F116" s="839"/>
      <c r="G116" s="1"/>
      <c r="H116" s="6"/>
      <c r="I116" s="1"/>
      <c r="J116" s="6"/>
      <c r="K116" s="1"/>
      <c r="L116" s="833"/>
      <c r="M116" s="1"/>
      <c r="N116" s="833"/>
      <c r="O116" s="833"/>
      <c r="P116" s="833"/>
      <c r="Q116" s="833"/>
      <c r="R116" s="833"/>
      <c r="S116" s="1"/>
      <c r="T116" s="833"/>
      <c r="U116" s="1"/>
      <c r="V116" s="1"/>
      <c r="W116" s="6"/>
      <c r="X116" s="6"/>
      <c r="Y116" s="7"/>
      <c r="AA116"/>
    </row>
    <row r="117" spans="2:27" ht="15.75" x14ac:dyDescent="0.25">
      <c r="B117" s="10"/>
      <c r="C117" s="1797" t="s">
        <v>624</v>
      </c>
      <c r="D117" s="1798" t="s">
        <v>625</v>
      </c>
      <c r="E117" s="840"/>
      <c r="F117" s="841"/>
      <c r="G117" s="1"/>
      <c r="H117" s="6"/>
      <c r="I117" s="1"/>
      <c r="J117" s="6"/>
      <c r="K117" s="1"/>
      <c r="L117" s="833"/>
      <c r="M117" s="1"/>
      <c r="N117" s="833"/>
      <c r="O117" s="833"/>
      <c r="P117" s="833"/>
      <c r="Q117" s="833"/>
      <c r="R117" s="833"/>
      <c r="S117" s="1"/>
      <c r="T117" s="833"/>
      <c r="U117" s="1"/>
      <c r="V117" s="1"/>
      <c r="W117" s="6"/>
      <c r="X117" s="6"/>
      <c r="Y117" s="7"/>
      <c r="AA117"/>
    </row>
    <row r="118" spans="2:27" ht="15.75" x14ac:dyDescent="0.25">
      <c r="B118" s="10"/>
      <c r="C118" s="1797" t="s">
        <v>626</v>
      </c>
      <c r="D118" s="840"/>
      <c r="E118" s="1799"/>
      <c r="F118" s="1806">
        <v>4.6699999999999997E-3</v>
      </c>
      <c r="G118" s="1"/>
      <c r="H118" s="6"/>
      <c r="I118" s="1"/>
      <c r="J118" s="6"/>
      <c r="K118" s="1"/>
      <c r="L118" s="833"/>
      <c r="M118" s="1"/>
      <c r="N118" s="833"/>
      <c r="O118" s="833"/>
      <c r="P118" s="833"/>
      <c r="Q118" s="833"/>
      <c r="R118" s="833"/>
      <c r="S118" s="1"/>
      <c r="T118" s="833"/>
      <c r="U118" s="1"/>
      <c r="V118" s="1"/>
      <c r="W118" s="6"/>
      <c r="X118" s="6"/>
      <c r="Y118" s="7"/>
      <c r="AA118"/>
    </row>
    <row r="119" spans="2:27" ht="15.75" x14ac:dyDescent="0.25">
      <c r="B119" s="10"/>
      <c r="C119" s="1800" t="s">
        <v>627</v>
      </c>
      <c r="D119" s="842"/>
      <c r="E119" s="1801"/>
      <c r="F119" s="1807">
        <v>0.55300000000000005</v>
      </c>
      <c r="G119" s="1"/>
      <c r="H119" s="6"/>
      <c r="I119" s="1"/>
      <c r="J119" s="6"/>
      <c r="K119" s="1"/>
      <c r="L119" s="833"/>
      <c r="M119" s="1"/>
      <c r="N119" s="833"/>
      <c r="O119" s="833"/>
      <c r="P119" s="833"/>
      <c r="Q119" s="833"/>
      <c r="R119" s="833"/>
      <c r="S119" s="1"/>
      <c r="T119" s="833"/>
      <c r="U119" s="1"/>
      <c r="V119" s="1"/>
      <c r="W119" s="6"/>
      <c r="X119" s="6"/>
      <c r="Y119" s="7"/>
      <c r="AA119"/>
    </row>
    <row r="120" spans="2:27" x14ac:dyDescent="0.2">
      <c r="B120" s="10"/>
      <c r="C120" s="6"/>
      <c r="D120" s="6"/>
      <c r="E120" s="6"/>
      <c r="F120" s="6"/>
      <c r="G120" s="1"/>
      <c r="H120" s="6"/>
      <c r="I120" s="1"/>
      <c r="J120" s="6"/>
      <c r="K120" s="1"/>
      <c r="L120" s="6"/>
      <c r="M120" s="1"/>
      <c r="N120" s="6"/>
      <c r="O120" s="1"/>
      <c r="P120" s="6"/>
      <c r="Q120" s="1"/>
      <c r="R120" s="6"/>
      <c r="S120" s="1"/>
      <c r="T120" s="6"/>
      <c r="U120" s="1"/>
      <c r="V120" s="1"/>
      <c r="W120" s="6"/>
      <c r="X120" s="6"/>
      <c r="Y120" s="7"/>
      <c r="AA120"/>
    </row>
    <row r="121" spans="2:27" ht="15.75" x14ac:dyDescent="0.25">
      <c r="B121" s="10"/>
      <c r="C121" s="103" t="str">
        <f>Translation!B709</f>
        <v>b) Summenschadenexzedenten-Rückversicherung (Stopp-Loss-Rückversicherung)</v>
      </c>
      <c r="D121" s="6"/>
      <c r="E121" s="6"/>
      <c r="F121" s="6"/>
      <c r="G121" s="1"/>
      <c r="H121" s="6"/>
      <c r="I121" s="1"/>
      <c r="J121" s="6"/>
      <c r="K121" s="1"/>
      <c r="L121" s="6"/>
      <c r="M121" s="1"/>
      <c r="N121" s="6"/>
      <c r="O121" s="1"/>
      <c r="P121" s="6"/>
      <c r="Q121" s="1"/>
      <c r="R121" s="6"/>
      <c r="S121" s="1"/>
      <c r="T121" s="6"/>
      <c r="U121" s="1"/>
      <c r="V121" s="1"/>
      <c r="W121" s="6"/>
      <c r="X121" s="6"/>
      <c r="Y121" s="7"/>
      <c r="AA121"/>
    </row>
    <row r="122" spans="2:27" ht="15" x14ac:dyDescent="0.2">
      <c r="B122" s="10"/>
      <c r="C122" s="833"/>
      <c r="D122" s="833"/>
      <c r="E122" s="833"/>
      <c r="F122" s="833"/>
      <c r="G122" s="1"/>
      <c r="H122" s="6"/>
      <c r="I122" s="1"/>
      <c r="J122" s="6"/>
      <c r="K122" s="1"/>
      <c r="L122" s="833"/>
      <c r="M122" s="1"/>
      <c r="N122" s="833"/>
      <c r="O122" s="833"/>
      <c r="P122" s="833"/>
      <c r="Q122" s="833"/>
      <c r="R122" s="833"/>
      <c r="S122" s="1"/>
      <c r="T122" s="833"/>
      <c r="U122" s="1"/>
      <c r="V122" s="1"/>
      <c r="W122" s="6"/>
      <c r="X122" s="6"/>
      <c r="Y122" s="7"/>
      <c r="AA122"/>
    </row>
    <row r="123" spans="2:27" ht="15" x14ac:dyDescent="0.2">
      <c r="B123" s="10"/>
      <c r="C123" s="237" t="str">
        <f>Translation!B710</f>
        <v>P Priorität   (Mio. CHF)</v>
      </c>
      <c r="D123" s="237"/>
      <c r="E123" s="237"/>
      <c r="F123" s="901"/>
      <c r="G123" s="1"/>
      <c r="H123" s="29"/>
      <c r="I123" s="1"/>
      <c r="J123" s="29"/>
      <c r="K123" s="1"/>
      <c r="L123" s="1197"/>
      <c r="M123" s="1"/>
      <c r="N123" s="1197"/>
      <c r="O123" s="237"/>
      <c r="P123" s="1197"/>
      <c r="Q123" s="237"/>
      <c r="R123" s="1197"/>
      <c r="S123" s="1"/>
      <c r="T123" s="1197"/>
      <c r="U123" s="1"/>
      <c r="V123" s="1"/>
      <c r="W123" s="6"/>
      <c r="X123" s="6"/>
      <c r="Y123" s="7"/>
      <c r="AA123"/>
    </row>
    <row r="124" spans="2:27" ht="15" x14ac:dyDescent="0.2">
      <c r="B124" s="10"/>
      <c r="C124" s="1791" t="str">
        <f>Translation!B711</f>
        <v>K Kapazität (Mio. CHF)</v>
      </c>
      <c r="D124" s="1794"/>
      <c r="E124" s="1794"/>
      <c r="F124" s="1794"/>
      <c r="G124" s="1794"/>
      <c r="H124" s="1671"/>
      <c r="I124" s="1794"/>
      <c r="J124" s="1671"/>
      <c r="K124" s="1794"/>
      <c r="L124" s="1808"/>
      <c r="M124" s="1794"/>
      <c r="N124" s="1808"/>
      <c r="O124" s="1791"/>
      <c r="P124" s="1808"/>
      <c r="Q124" s="1791"/>
      <c r="R124" s="1808"/>
      <c r="S124" s="1"/>
      <c r="T124" s="1197"/>
      <c r="U124" s="1"/>
      <c r="V124" s="1"/>
      <c r="W124" s="6"/>
      <c r="X124" s="6"/>
      <c r="Y124" s="7"/>
      <c r="AA124"/>
    </row>
    <row r="125" spans="2:27" ht="15" x14ac:dyDescent="0.2">
      <c r="B125" s="10"/>
      <c r="C125" s="1791"/>
      <c r="D125" s="1"/>
      <c r="E125" s="1"/>
      <c r="F125" s="1"/>
      <c r="G125" s="1"/>
      <c r="H125" s="6"/>
      <c r="I125" s="1"/>
      <c r="J125" s="6"/>
      <c r="K125" s="6"/>
      <c r="L125" s="6"/>
      <c r="M125" s="6"/>
      <c r="N125" s="6"/>
      <c r="O125" s="6"/>
      <c r="P125" s="6"/>
      <c r="Q125" s="6"/>
      <c r="R125" s="6"/>
      <c r="S125" s="6"/>
      <c r="T125" s="6"/>
      <c r="U125" s="6"/>
      <c r="V125" s="6"/>
      <c r="W125" s="6"/>
      <c r="X125" s="6"/>
      <c r="Y125" s="7"/>
      <c r="AA125"/>
    </row>
    <row r="126" spans="2:27" ht="15.75" x14ac:dyDescent="0.25">
      <c r="B126" s="10"/>
      <c r="C126" s="844" t="str">
        <f>Translation!B713</f>
        <v>Hilfswerte</v>
      </c>
      <c r="D126" s="845"/>
      <c r="E126" s="845"/>
      <c r="F126" s="845"/>
      <c r="G126" s="1"/>
      <c r="H126" s="6"/>
      <c r="I126" s="1"/>
      <c r="J126" s="6"/>
      <c r="K126" s="1"/>
      <c r="L126" s="846"/>
      <c r="M126" s="1"/>
      <c r="N126" s="846"/>
      <c r="O126" s="833"/>
      <c r="P126" s="846"/>
      <c r="Q126" s="833"/>
      <c r="R126" s="846"/>
      <c r="S126" s="1"/>
      <c r="T126" s="846"/>
      <c r="U126" s="1"/>
      <c r="V126" s="1"/>
      <c r="W126" s="6"/>
      <c r="X126" s="6"/>
      <c r="Y126" s="7"/>
      <c r="AA126"/>
    </row>
    <row r="127" spans="2:27" ht="15.75" x14ac:dyDescent="0.25">
      <c r="B127" s="10"/>
      <c r="C127" s="844"/>
      <c r="D127" s="845"/>
      <c r="E127" s="845"/>
      <c r="F127" s="845"/>
      <c r="G127" s="1"/>
      <c r="H127" s="6"/>
      <c r="I127" s="1"/>
      <c r="J127" s="6"/>
      <c r="K127" s="1"/>
      <c r="L127" s="846"/>
      <c r="M127" s="1"/>
      <c r="N127" s="846"/>
      <c r="O127" s="833"/>
      <c r="P127" s="846"/>
      <c r="Q127" s="833"/>
      <c r="R127" s="846"/>
      <c r="S127" s="1"/>
      <c r="T127" s="846"/>
      <c r="U127" s="1"/>
      <c r="V127" s="1"/>
      <c r="W127" s="6"/>
      <c r="X127" s="6"/>
      <c r="Y127" s="7"/>
      <c r="AA127"/>
    </row>
    <row r="128" spans="2:27" ht="15" x14ac:dyDescent="0.2">
      <c r="B128" s="10"/>
      <c r="C128" s="845" t="s">
        <v>2152</v>
      </c>
      <c r="D128" s="845"/>
      <c r="E128" s="845"/>
      <c r="F128" s="845"/>
      <c r="G128" s="1"/>
      <c r="H128" s="6"/>
      <c r="I128" s="1"/>
      <c r="J128" s="6"/>
      <c r="K128" s="1"/>
      <c r="L128" s="837">
        <f>IF(ISNUMBER(L123),L139*NORMDIST(L123,L134,L139,0),0)</f>
        <v>0</v>
      </c>
      <c r="M128" s="1"/>
      <c r="N128" s="837">
        <f>IF(ISNUMBER(N123),N139*NORMDIST(N123,N134,N139,0),0)</f>
        <v>0</v>
      </c>
      <c r="O128" s="833"/>
      <c r="P128" s="837">
        <f>IF(ISNUMBER(P123),P139*NORMDIST(P123,P134,P139,0),0)</f>
        <v>0</v>
      </c>
      <c r="Q128" s="833"/>
      <c r="R128" s="837">
        <f>IF(ISNUMBER(R123),R139*NORMDIST(R123,R134,R139,0),0)</f>
        <v>0</v>
      </c>
      <c r="S128" s="1"/>
      <c r="T128" s="837">
        <f>IF(ISNUMBER(T123),T139*NORMDIST(T123,T134,T139,0),0)</f>
        <v>0</v>
      </c>
      <c r="U128" s="1"/>
      <c r="V128" s="1"/>
      <c r="W128" s="6"/>
      <c r="X128" s="6"/>
      <c r="Y128" s="7"/>
      <c r="AA128"/>
    </row>
    <row r="129" spans="2:27" ht="15" x14ac:dyDescent="0.2">
      <c r="B129" s="10"/>
      <c r="C129" s="845" t="s">
        <v>2153</v>
      </c>
      <c r="D129" s="845"/>
      <c r="E129" s="845"/>
      <c r="F129" s="845"/>
      <c r="G129" s="1"/>
      <c r="H129" s="6"/>
      <c r="I129" s="1"/>
      <c r="J129" s="6"/>
      <c r="K129" s="1"/>
      <c r="L129" s="837">
        <f>IF(ISNUMBER(L123),NORMDIST(L123,L134,L139,1),1)</f>
        <v>1</v>
      </c>
      <c r="M129" s="1"/>
      <c r="N129" s="837">
        <f>IF(ISNUMBER(N123),NORMDIST(N123,N134,N139,1),1)</f>
        <v>1</v>
      </c>
      <c r="O129" s="833"/>
      <c r="P129" s="837">
        <f>IF(ISNUMBER(P123),NORMDIST(P123,P134,P139,1),1)</f>
        <v>1</v>
      </c>
      <c r="Q129" s="833"/>
      <c r="R129" s="837">
        <f>IF(ISNUMBER(R123),NORMDIST(R123,R134,R139,1),1)</f>
        <v>1</v>
      </c>
      <c r="S129" s="1"/>
      <c r="T129" s="837">
        <f>IF(ISNUMBER(T123),NORMDIST(T123,T134,T139,1),1)</f>
        <v>1</v>
      </c>
      <c r="U129" s="1"/>
      <c r="V129" s="1"/>
      <c r="W129" s="6"/>
      <c r="X129" s="6"/>
      <c r="Y129" s="7"/>
      <c r="Z129" s="2260"/>
      <c r="AA129"/>
    </row>
    <row r="130" spans="2:27" ht="15" x14ac:dyDescent="0.2">
      <c r="B130" s="10"/>
      <c r="C130" s="1792" t="s">
        <v>2149</v>
      </c>
      <c r="D130" s="845"/>
      <c r="E130" s="845"/>
      <c r="F130" s="845"/>
      <c r="G130" s="1"/>
      <c r="H130" s="6"/>
      <c r="I130" s="1"/>
      <c r="J130" s="6"/>
      <c r="K130" s="1"/>
      <c r="L130" s="1793">
        <f>IF(ISNUMBER(L123),L139*NORMDIST((L123+L124),L134,L139,0),0)</f>
        <v>0</v>
      </c>
      <c r="M130" s="1794"/>
      <c r="N130" s="1793">
        <f>IF(ISNUMBER(N123),N139*NORMDIST((N123+N124),N134,N139,0),0)</f>
        <v>0</v>
      </c>
      <c r="O130" s="1795"/>
      <c r="P130" s="1793">
        <f>IF(ISNUMBER(P123),P139*NORMDIST((P123+P124),P134,P139,0),0)</f>
        <v>0</v>
      </c>
      <c r="Q130" s="1795"/>
      <c r="R130" s="1793">
        <f>IF(ISNUMBER(R123),R139*NORMDIST((R123+R124),R134,R139,0),0)</f>
        <v>0</v>
      </c>
      <c r="S130" s="1794"/>
      <c r="T130" s="1793">
        <f>IF(ISNUMBER(T123),T139*NORMDIST((T123+T124),T134,T139,0),0)</f>
        <v>0</v>
      </c>
      <c r="U130" s="1"/>
      <c r="V130" s="1"/>
      <c r="W130" s="6"/>
      <c r="X130" s="6"/>
      <c r="Y130" s="7"/>
      <c r="AA130"/>
    </row>
    <row r="131" spans="2:27" ht="15" x14ac:dyDescent="0.2">
      <c r="B131" s="10"/>
      <c r="C131" s="1792" t="s">
        <v>2150</v>
      </c>
      <c r="D131" s="845"/>
      <c r="E131" s="845"/>
      <c r="F131" s="845"/>
      <c r="G131" s="1"/>
      <c r="H131" s="6"/>
      <c r="I131" s="1"/>
      <c r="J131" s="6"/>
      <c r="K131" s="1"/>
      <c r="L131" s="1793">
        <f>IF(ISNUMBER(L123),NORMDIST((L123+L124),L134,L139,1),1)</f>
        <v>1</v>
      </c>
      <c r="M131" s="1794"/>
      <c r="N131" s="1793">
        <f>IF(ISNUMBER(N123),NORMDIST((N123+N124),N134,N139,1),1)</f>
        <v>1</v>
      </c>
      <c r="O131" s="1795"/>
      <c r="P131" s="1793">
        <f>IF(ISNUMBER(P123),NORMDIST((P123+P124),P134,P139,1),1)</f>
        <v>1</v>
      </c>
      <c r="Q131" s="1795"/>
      <c r="R131" s="1793">
        <f>IF(ISNUMBER(R123),NORMDIST((R123+R124),R134,R139,1),1)</f>
        <v>1</v>
      </c>
      <c r="S131" s="1794"/>
      <c r="T131" s="1793">
        <f>IF(ISNUMBER(T123),NORMDIST((T123+T124),T134,T139,1),1)</f>
        <v>1</v>
      </c>
      <c r="U131" s="1"/>
      <c r="V131" s="1"/>
      <c r="W131" s="6"/>
      <c r="X131" s="6"/>
      <c r="Y131" s="7"/>
      <c r="AA131"/>
    </row>
    <row r="132" spans="2:27" x14ac:dyDescent="0.2">
      <c r="B132" s="10"/>
      <c r="C132" s="6"/>
      <c r="D132" s="6"/>
      <c r="E132" s="6"/>
      <c r="F132" s="6"/>
      <c r="G132" s="1"/>
      <c r="H132" s="6"/>
      <c r="I132" s="1"/>
      <c r="J132" s="6"/>
      <c r="K132" s="1"/>
      <c r="L132" s="6"/>
      <c r="M132" s="1"/>
      <c r="N132" s="6"/>
      <c r="O132" s="1"/>
      <c r="P132" s="6"/>
      <c r="Q132" s="1"/>
      <c r="R132" s="6"/>
      <c r="S132" s="1"/>
      <c r="T132" s="6"/>
      <c r="U132" s="1"/>
      <c r="V132" s="1"/>
      <c r="W132" s="6"/>
      <c r="X132" s="6"/>
      <c r="Y132" s="7"/>
      <c r="AA132"/>
    </row>
    <row r="133" spans="2:27" ht="15" x14ac:dyDescent="0.2">
      <c r="B133" s="10"/>
      <c r="C133" s="833" t="s">
        <v>628</v>
      </c>
      <c r="D133" s="6"/>
      <c r="E133" s="6"/>
      <c r="F133" s="6"/>
      <c r="G133" s="1"/>
      <c r="H133" s="6"/>
      <c r="I133" s="1"/>
      <c r="J133" s="6"/>
      <c r="K133" s="1"/>
      <c r="L133" s="91"/>
      <c r="M133" s="1"/>
      <c r="N133" s="91"/>
      <c r="O133" s="6"/>
      <c r="P133" s="91"/>
      <c r="Q133" s="6"/>
      <c r="R133" s="91"/>
      <c r="S133" s="1"/>
      <c r="T133" s="91"/>
      <c r="U133" s="1"/>
      <c r="V133" s="1"/>
      <c r="W133" s="6"/>
      <c r="X133" s="6"/>
      <c r="Y133" s="7"/>
      <c r="AA133"/>
    </row>
    <row r="134" spans="2:27" ht="15" x14ac:dyDescent="0.2">
      <c r="B134" s="10"/>
      <c r="C134" s="237" t="str">
        <f>Translation!$B$714</f>
        <v xml:space="preserve">   vor Rückversicherung</v>
      </c>
      <c r="D134" s="6"/>
      <c r="E134" s="6"/>
      <c r="F134" s="6"/>
      <c r="G134" s="1"/>
      <c r="H134" s="6"/>
      <c r="I134" s="1"/>
      <c r="J134" s="6"/>
      <c r="K134" s="1"/>
      <c r="L134" s="834">
        <f>IF(L42=0,0.00000001,L42)</f>
        <v>1E-8</v>
      </c>
      <c r="M134" s="1"/>
      <c r="N134" s="834">
        <f>IF(N42=0,0.00000001,N42)</f>
        <v>1E-8</v>
      </c>
      <c r="O134" s="6"/>
      <c r="P134" s="834">
        <f>IF(P42=0,0.00000001,P42)</f>
        <v>1E-8</v>
      </c>
      <c r="Q134" s="6"/>
      <c r="R134" s="834">
        <f>IF(R42=0,0.00000001,R42)</f>
        <v>1E-8</v>
      </c>
      <c r="S134" s="1"/>
      <c r="T134" s="834">
        <f>IF(T42=0,0.00000001,T42)</f>
        <v>1E-8</v>
      </c>
      <c r="U134" s="1"/>
      <c r="V134" s="1"/>
      <c r="W134" s="6"/>
      <c r="X134" s="6"/>
      <c r="Y134" s="7"/>
      <c r="AA134"/>
    </row>
    <row r="135" spans="2:27" ht="15" x14ac:dyDescent="0.2">
      <c r="B135" s="10"/>
      <c r="C135" s="237" t="str">
        <f>Translation!$B$717</f>
        <v xml:space="preserve">   nach Stopp-Loss-Rückversicherung</v>
      </c>
      <c r="D135" s="6"/>
      <c r="E135" s="6"/>
      <c r="F135" s="6"/>
      <c r="G135" s="1"/>
      <c r="H135" s="6"/>
      <c r="I135" s="1"/>
      <c r="J135" s="6"/>
      <c r="K135" s="1"/>
      <c r="L135" s="834">
        <f>IF(ISNUMBER(L123),L134*L129-L128*L139+L123*(1-L129),L134)</f>
        <v>1E-8</v>
      </c>
      <c r="M135" s="1"/>
      <c r="N135" s="834">
        <f>IF(ISNUMBER(N123),N134*N129-N128*N139+N123*(1-N129),N134)</f>
        <v>1E-8</v>
      </c>
      <c r="O135" s="6"/>
      <c r="P135" s="834">
        <f>IF(ISNUMBER(P123),muEU*GPHIPEU+sigEU*(kphiPKEU-kphiPEU)+PEU*(gPHIPKEU-GPHIPEU)+(muEU-KEU)*(1-gPHIPKEU),P134)</f>
        <v>1E-8</v>
      </c>
      <c r="Q135" s="6"/>
      <c r="R135" s="834">
        <f>IF(ISNUMBER(R123),mu*GPHIP+sig*(kphiPK-kphiP)+P*(gPHIPK-GPHIP)+(mu-K)*(1-gPHIPK),R134)</f>
        <v>1E-8</v>
      </c>
      <c r="S135" s="1"/>
      <c r="T135" s="834">
        <f>IF(ISNUMBER(T123),T134*T129-T128*T139+T123*(1-T129),T134)</f>
        <v>1E-8</v>
      </c>
      <c r="U135" s="1"/>
      <c r="V135" s="1"/>
      <c r="W135" s="6"/>
      <c r="X135" s="6"/>
      <c r="Y135" s="7"/>
      <c r="AA135"/>
    </row>
    <row r="136" spans="2:27" ht="15.75" x14ac:dyDescent="0.25">
      <c r="B136" s="1802"/>
      <c r="C136" s="1803" t="s">
        <v>2151</v>
      </c>
      <c r="D136" s="1671"/>
      <c r="E136" s="1671"/>
      <c r="F136" s="1671"/>
      <c r="G136" s="1794"/>
      <c r="H136" s="1671"/>
      <c r="I136" s="1794"/>
      <c r="J136" s="1671"/>
      <c r="K136" s="1794"/>
      <c r="L136" s="1804"/>
      <c r="M136" s="1794"/>
      <c r="N136" s="1804"/>
      <c r="O136" s="1671"/>
      <c r="P136" s="1805">
        <f>P135-muEU</f>
        <v>0</v>
      </c>
      <c r="Q136" s="1671"/>
      <c r="R136" s="1805">
        <f>R135-mu</f>
        <v>0</v>
      </c>
      <c r="S136" s="1"/>
      <c r="T136" s="91"/>
      <c r="U136" s="1"/>
      <c r="V136" s="1"/>
      <c r="W136" s="6"/>
      <c r="X136" s="6"/>
      <c r="Y136" s="7"/>
      <c r="AA136"/>
    </row>
    <row r="137" spans="2:27" x14ac:dyDescent="0.2">
      <c r="B137" s="10"/>
      <c r="C137" s="6"/>
      <c r="D137" s="6"/>
      <c r="E137" s="6"/>
      <c r="F137" s="6"/>
      <c r="G137" s="1"/>
      <c r="H137" s="6"/>
      <c r="I137" s="1"/>
      <c r="J137" s="6"/>
      <c r="K137" s="1"/>
      <c r="L137" s="91"/>
      <c r="M137" s="1"/>
      <c r="N137" s="91"/>
      <c r="O137" s="6"/>
      <c r="P137" s="91"/>
      <c r="Q137" s="6"/>
      <c r="R137" s="91"/>
      <c r="S137" s="1"/>
      <c r="T137" s="91"/>
      <c r="U137" s="1"/>
      <c r="V137" s="1"/>
      <c r="W137" s="6"/>
      <c r="X137" s="6"/>
      <c r="Y137" s="7"/>
      <c r="AA137"/>
    </row>
    <row r="138" spans="2:27" ht="15.75" x14ac:dyDescent="0.25">
      <c r="B138" s="10"/>
      <c r="C138" s="835" t="s">
        <v>629</v>
      </c>
      <c r="D138" s="6"/>
      <c r="E138" s="6"/>
      <c r="F138" s="6"/>
      <c r="G138" s="1"/>
      <c r="H138" s="6"/>
      <c r="I138" s="1"/>
      <c r="J138" s="6"/>
      <c r="K138" s="1"/>
      <c r="L138" s="91"/>
      <c r="M138" s="1"/>
      <c r="N138" s="91"/>
      <c r="O138" s="6"/>
      <c r="P138" s="91"/>
      <c r="Q138" s="6"/>
      <c r="R138" s="91"/>
      <c r="S138" s="1"/>
      <c r="T138" s="91"/>
      <c r="U138" s="1"/>
      <c r="V138" s="1"/>
      <c r="W138" s="6"/>
      <c r="X138" s="6"/>
      <c r="Y138" s="7"/>
      <c r="AA138"/>
    </row>
    <row r="139" spans="2:27" ht="15" x14ac:dyDescent="0.2">
      <c r="B139" s="10"/>
      <c r="C139" s="237" t="str">
        <f>Translation!$B$714</f>
        <v xml:space="preserve">   vor Rückversicherung</v>
      </c>
      <c r="D139" s="6"/>
      <c r="E139" s="6"/>
      <c r="F139" s="6"/>
      <c r="G139" s="1"/>
      <c r="H139" s="6"/>
      <c r="I139" s="1"/>
      <c r="J139" s="6"/>
      <c r="K139" s="1"/>
      <c r="L139" s="834">
        <f>L134*L79</f>
        <v>5.0000000000000003E-10</v>
      </c>
      <c r="M139" s="1"/>
      <c r="N139" s="834">
        <f>N134*N79</f>
        <v>7.0000000000000006E-10</v>
      </c>
      <c r="O139" s="6"/>
      <c r="P139" s="834">
        <f>P134*P79</f>
        <v>5.0000000000000001E-9</v>
      </c>
      <c r="Q139" s="6"/>
      <c r="R139" s="834">
        <f>R134*R79</f>
        <v>6E-10</v>
      </c>
      <c r="S139" s="1"/>
      <c r="T139" s="834">
        <f>T134*T84</f>
        <v>2.0000000000000001E-9</v>
      </c>
      <c r="U139" s="1"/>
      <c r="V139" s="1"/>
      <c r="W139" s="6"/>
      <c r="X139" s="6"/>
      <c r="Y139" s="7"/>
      <c r="AA139"/>
    </row>
    <row r="140" spans="2:27" ht="15" x14ac:dyDescent="0.2">
      <c r="B140" s="10"/>
      <c r="C140" s="237" t="str">
        <f>Translation!$B$717</f>
        <v xml:space="preserve">   nach Stopp-Loss-Rückversicherung</v>
      </c>
      <c r="D140" s="6"/>
      <c r="E140" s="6"/>
      <c r="F140" s="6"/>
      <c r="G140" s="1"/>
      <c r="H140" s="6"/>
      <c r="I140" s="1"/>
      <c r="J140" s="6"/>
      <c r="K140" s="1"/>
      <c r="L140" s="834">
        <f>IF(ISNUMBER(L123),SQRT(L129*L139*L139*(1-(L123-L134)/L139*L128/L129-L128/L129*L128/L129)+((L123-L134+L128/L129*L139)^2)*L129*(1-L129)),L139)</f>
        <v>5.0000000000000003E-10</v>
      </c>
      <c r="M140" s="1"/>
      <c r="N140" s="834">
        <f>IF(ISNUMBER(N123),SQRT(N129*N139*N139*(1-(N123-N134)/N139*N128/N129-N128/N129*N128/N129)+((N123-N134+N128/N129*N139)^2)*N129*(1-N129)),N139)</f>
        <v>7.0000000000000006E-10</v>
      </c>
      <c r="O140" s="6"/>
      <c r="P140" s="834">
        <f>IF(ISNUMBER(P123),SQRT(sigEU^2*(1-(gPHIPKEU-GPHIPEU)+((PEU+KEU-muEU)/sigEU*kphiPKEU-(PEU-muEU)/sigEU*kphiPEU))+2*sigEU*((muEU-KEU)*kphiPKEU-muEU*kphiPEU)+muEU^2*GPHIPEU+PEU^2*(gPHIPKEU-GPHIPEU)+(muEU-KEU)^2*(1-gPHIPKEU)-P135^2),P139)</f>
        <v>5.0000000000000001E-9</v>
      </c>
      <c r="Q140" s="6"/>
      <c r="R140" s="834">
        <f>IF(ISNUMBER(R123),SQRT(sig^2*(1-(gPHIPK-GPHIP)+((P+K-mu)/sig*kphiPK-(P-mu)/sig*kphiP))+2*sig*((mu-K)*kphiPK-mu*kphiP)+mu^2*GPHIP+P^2*(gPHIPK-GPHIP)+(mu-K)^2*(1-gPHIPK)-R135^2),R139)</f>
        <v>6E-10</v>
      </c>
      <c r="S140" s="1"/>
      <c r="T140" s="834">
        <f>IF(ISNUMBER(T123),SQRT(T129*T139*T139*(1-(T123-T134)/T139*T128/T129-T128/T129*T128/T129)+((T123-T134+T128/T129*T139)^2)*T129*(1-T129)),T139)</f>
        <v>2.0000000000000001E-9</v>
      </c>
      <c r="U140" s="1"/>
      <c r="V140" s="1"/>
      <c r="W140" s="6"/>
      <c r="X140" s="6"/>
      <c r="Y140" s="7"/>
      <c r="AA140"/>
    </row>
    <row r="141" spans="2:27" ht="15" x14ac:dyDescent="0.2">
      <c r="B141" s="10"/>
      <c r="C141" s="833"/>
      <c r="D141" s="833"/>
      <c r="E141" s="833"/>
      <c r="F141" s="833"/>
      <c r="G141" s="1"/>
      <c r="H141" s="6"/>
      <c r="I141" s="1"/>
      <c r="J141" s="6"/>
      <c r="K141" s="1"/>
      <c r="L141" s="846"/>
      <c r="M141" s="1"/>
      <c r="N141" s="846"/>
      <c r="O141" s="6"/>
      <c r="P141" s="846"/>
      <c r="Q141" s="6"/>
      <c r="R141" s="846"/>
      <c r="S141" s="1"/>
      <c r="T141" s="846"/>
      <c r="U141" s="1"/>
      <c r="V141" s="1"/>
      <c r="W141" s="6"/>
      <c r="X141" s="6"/>
      <c r="Y141" s="7"/>
      <c r="AA141"/>
    </row>
    <row r="142" spans="2:27" ht="15.75" x14ac:dyDescent="0.25">
      <c r="B142" s="10"/>
      <c r="C142" s="979" t="s">
        <v>1648</v>
      </c>
      <c r="D142" s="6"/>
      <c r="E142" s="6"/>
      <c r="F142" s="6"/>
      <c r="G142" s="1"/>
      <c r="H142" s="6"/>
      <c r="I142" s="1"/>
      <c r="J142" s="6"/>
      <c r="K142" s="1"/>
      <c r="L142" s="6"/>
      <c r="M142" s="1"/>
      <c r="N142" s="6"/>
      <c r="O142" s="6"/>
      <c r="P142" s="6"/>
      <c r="Q142" s="6"/>
      <c r="R142" s="6"/>
      <c r="S142" s="1"/>
      <c r="T142" s="6"/>
      <c r="U142" s="1"/>
      <c r="V142" s="1"/>
      <c r="W142" s="6"/>
      <c r="X142" s="6"/>
      <c r="Y142" s="7"/>
      <c r="AA142"/>
    </row>
    <row r="143" spans="2:27" ht="15" x14ac:dyDescent="0.2">
      <c r="B143" s="10"/>
      <c r="C143" s="237" t="str">
        <f>Translation!$B$714</f>
        <v xml:space="preserve">   vor Rückversicherung</v>
      </c>
      <c r="D143" s="6"/>
      <c r="E143" s="6"/>
      <c r="F143" s="6"/>
      <c r="G143" s="1"/>
      <c r="H143" s="6"/>
      <c r="I143" s="1"/>
      <c r="J143" s="6"/>
      <c r="K143" s="1"/>
      <c r="L143" s="843">
        <f>L139/L134</f>
        <v>0.05</v>
      </c>
      <c r="M143" s="1"/>
      <c r="N143" s="843">
        <f>N139/N134</f>
        <v>7.0000000000000007E-2</v>
      </c>
      <c r="O143" s="6"/>
      <c r="P143" s="843">
        <f>P139/P134</f>
        <v>0.5</v>
      </c>
      <c r="Q143" s="6"/>
      <c r="R143" s="843">
        <f>R139/R134</f>
        <v>0.06</v>
      </c>
      <c r="S143" s="1"/>
      <c r="T143" s="843">
        <f>T139/T134</f>
        <v>0.2</v>
      </c>
      <c r="U143" s="1"/>
      <c r="V143" s="1"/>
      <c r="W143" s="6"/>
      <c r="X143" s="6"/>
      <c r="Y143" s="7"/>
      <c r="AA143"/>
    </row>
    <row r="144" spans="2:27" ht="15" x14ac:dyDescent="0.2">
      <c r="B144" s="10"/>
      <c r="C144" s="237" t="str">
        <f>Translation!$B$717</f>
        <v xml:space="preserve">   nach Stopp-Loss-Rückversicherung</v>
      </c>
      <c r="D144" s="833"/>
      <c r="E144" s="833"/>
      <c r="F144" s="833"/>
      <c r="G144" s="1"/>
      <c r="H144" s="6"/>
      <c r="I144" s="1"/>
      <c r="J144" s="6"/>
      <c r="K144" s="1"/>
      <c r="L144" s="843">
        <f>L140/L135</f>
        <v>0.05</v>
      </c>
      <c r="M144" s="1"/>
      <c r="N144" s="843">
        <f>N140/N135</f>
        <v>7.0000000000000007E-2</v>
      </c>
      <c r="O144" s="6"/>
      <c r="P144" s="843">
        <f>P140/P135</f>
        <v>0.5</v>
      </c>
      <c r="Q144" s="6"/>
      <c r="R144" s="843">
        <f>R140/R135</f>
        <v>0.06</v>
      </c>
      <c r="S144" s="1"/>
      <c r="T144" s="843">
        <f>T140/T135</f>
        <v>0.2</v>
      </c>
      <c r="U144" s="1"/>
      <c r="V144" s="1"/>
      <c r="W144" s="6"/>
      <c r="X144" s="6"/>
      <c r="Y144" s="7"/>
      <c r="AA144"/>
    </row>
    <row r="145" spans="2:27" ht="15" x14ac:dyDescent="0.2">
      <c r="B145" s="10"/>
      <c r="C145" s="833"/>
      <c r="D145" s="833"/>
      <c r="E145" s="833"/>
      <c r="F145" s="833"/>
      <c r="G145" s="1"/>
      <c r="H145" s="6"/>
      <c r="I145" s="1"/>
      <c r="J145" s="6"/>
      <c r="K145" s="1"/>
      <c r="L145" s="6"/>
      <c r="M145" s="1"/>
      <c r="N145" s="6"/>
      <c r="O145" s="833"/>
      <c r="P145" s="6"/>
      <c r="Q145" s="833"/>
      <c r="R145" s="846"/>
      <c r="S145" s="1"/>
      <c r="T145" s="6"/>
      <c r="U145" s="1"/>
      <c r="V145" s="1"/>
      <c r="W145" s="6"/>
      <c r="X145" s="6"/>
      <c r="Y145" s="7"/>
      <c r="AA145"/>
    </row>
    <row r="146" spans="2:27" x14ac:dyDescent="0.2">
      <c r="B146" s="11"/>
      <c r="C146" s="12"/>
      <c r="D146" s="12"/>
      <c r="E146" s="12"/>
      <c r="F146" s="12"/>
      <c r="G146" s="48"/>
      <c r="H146" s="12"/>
      <c r="I146" s="48"/>
      <c r="J146" s="12"/>
      <c r="K146" s="48"/>
      <c r="L146" s="12"/>
      <c r="M146" s="48"/>
      <c r="N146" s="12"/>
      <c r="O146" s="48"/>
      <c r="P146" s="48"/>
      <c r="Q146" s="48"/>
      <c r="R146" s="12"/>
      <c r="S146" s="48"/>
      <c r="T146" s="12"/>
      <c r="U146" s="48"/>
      <c r="V146" s="48"/>
      <c r="W146" s="12"/>
      <c r="X146" s="12"/>
      <c r="Y146" s="22"/>
      <c r="AA146"/>
    </row>
    <row r="147" spans="2:27" x14ac:dyDescent="0.2">
      <c r="AA147"/>
    </row>
  </sheetData>
  <customSheetViews>
    <customSheetView guid="{F15DEFD8-B0F4-4CC3-8896-92BF7E7815B1}" scale="75" showPageBreaks="1" showGridLines="0" fitToPage="1" printArea="1" hiddenColumns="1">
      <pane xSplit="4" ySplit="17" topLeftCell="H18" activePane="bottomRight" state="frozen"/>
      <selection pane="bottomRight" activeCell="K131" sqref="K131"/>
      <rowBreaks count="1" manualBreakCount="1">
        <brk id="61" max="26" man="1"/>
      </rowBreaks>
      <pageMargins left="0.47244094488188981" right="0.47244094488188981" top="0.59055118110236227" bottom="0.59055118110236227" header="0.35433070866141736" footer="0.35433070866141736"/>
      <pageSetup paperSize="9" scale="35" orientation="portrait" r:id="rId1"/>
      <headerFooter alignWithMargins="0">
        <oddHeader>&amp;R&amp;"Arial,Fett"&amp;12SST</oddHeader>
        <oddFooter>&amp;L&amp;F / &amp;A&amp;C&amp;P / &amp;N&amp;R&amp;D</oddFooter>
      </headerFooter>
    </customSheetView>
  </customSheetViews>
  <mergeCells count="2">
    <mergeCell ref="E15:Y15"/>
    <mergeCell ref="C4:N7"/>
  </mergeCells>
  <phoneticPr fontId="0" type="noConversion"/>
  <hyperlinks>
    <hyperlink ref="A1" location="list_of_sheets!A1" display="list_of_sheets!A1" xr:uid="{00000000-0004-0000-1600-000000000000}"/>
  </hyperlinks>
  <pageMargins left="0.47244094488188981" right="0.47244094488188981" top="0.59055118110236227" bottom="0.59055118110236227" header="0.35433070866141736" footer="0.35433070866141736"/>
  <pageSetup paperSize="9" scale="37" orientation="portrait" r:id="rId2"/>
  <headerFooter alignWithMargins="0">
    <oddHeader>&amp;R&amp;"Arial,Fett"&amp;12KVG-Solvenztest
Test de solvabilité LAMal</oddHeader>
    <oddFooter>&amp;L&amp;F / &amp;A&amp;C&amp;P / &amp;N&amp;R&amp;D</oddFooter>
  </headerFooter>
  <rowBreaks count="1" manualBreakCount="1">
    <brk id="60" max="26" man="1"/>
  </rowBreaks>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8">
    <tabColor rgb="FF0000FF"/>
    <pageSetUpPr fitToPage="1"/>
  </sheetPr>
  <dimension ref="A1:M124"/>
  <sheetViews>
    <sheetView zoomScale="85" zoomScaleNormal="85" workbookViewId="0">
      <selection activeCell="F27" sqref="F27"/>
    </sheetView>
  </sheetViews>
  <sheetFormatPr baseColWidth="10" defaultColWidth="11.42578125" defaultRowHeight="12.75" x14ac:dyDescent="0.2"/>
  <cols>
    <col min="1" max="2" width="5.5703125" customWidth="1"/>
    <col min="3" max="3" width="6.5703125" customWidth="1"/>
    <col min="4" max="5" width="17.5703125" customWidth="1"/>
    <col min="6" max="6" width="18.42578125" customWidth="1"/>
    <col min="7" max="11" width="17.5703125" customWidth="1"/>
    <col min="12" max="12" width="5.5703125" customWidth="1"/>
  </cols>
  <sheetData>
    <row r="1" spans="1:12" s="1269" customFormat="1" ht="21" thickBot="1" x14ac:dyDescent="0.35">
      <c r="A1" s="2198">
        <v>39</v>
      </c>
      <c r="B1" s="1322" t="str">
        <f>Translation!B735</f>
        <v>Berechnung der Mindesthöhe der Reserven</v>
      </c>
      <c r="C1" s="1321"/>
      <c r="D1" s="1321"/>
      <c r="E1" s="1321"/>
      <c r="F1" s="1321"/>
      <c r="G1" s="1321"/>
      <c r="H1" s="1321"/>
      <c r="I1" s="1321"/>
      <c r="J1" s="1321"/>
      <c r="K1" s="1321"/>
      <c r="L1" s="1321"/>
    </row>
    <row r="2" spans="1:12" s="681" customFormat="1" ht="20.100000000000001" customHeight="1" x14ac:dyDescent="0.2">
      <c r="A2" s="682"/>
      <c r="B2" s="176" t="str">
        <f>Inputparam!C8</f>
        <v xml:space="preserve">0000 </v>
      </c>
    </row>
    <row r="3" spans="1:12" x14ac:dyDescent="0.2">
      <c r="B3" s="60" t="str">
        <f>Translation!B734</f>
        <v>KVG-Solvenztest 2025</v>
      </c>
      <c r="C3" s="6"/>
      <c r="D3" s="6"/>
      <c r="E3" s="6"/>
      <c r="F3" s="6"/>
      <c r="G3" s="6"/>
      <c r="H3" s="6"/>
    </row>
    <row r="4" spans="1:12" ht="13.5" thickBot="1" x14ac:dyDescent="0.25">
      <c r="B4" s="6"/>
      <c r="C4" s="6"/>
      <c r="D4" s="6"/>
      <c r="E4" s="6"/>
      <c r="F4" s="6"/>
      <c r="G4" s="6"/>
      <c r="H4" s="6"/>
    </row>
    <row r="5" spans="1:12" ht="35.1" customHeight="1" x14ac:dyDescent="0.2">
      <c r="B5" s="1353"/>
      <c r="C5" s="1354" t="str">
        <f>Translation!B736</f>
        <v>Berechnung der Mindesthöhe der Reserven per 01.01.2025</v>
      </c>
      <c r="D5" s="1355"/>
      <c r="E5" s="1355"/>
      <c r="F5" s="1355"/>
      <c r="G5" s="1355"/>
      <c r="H5" s="1355"/>
      <c r="I5" s="1355"/>
      <c r="J5" s="1355"/>
      <c r="K5" s="1356" t="str">
        <f>Translation!$B$737</f>
        <v>Werte in Mio. CHF</v>
      </c>
      <c r="L5" s="1357"/>
    </row>
    <row r="6" spans="1:12" ht="8.1" customHeight="1" x14ac:dyDescent="0.2">
      <c r="B6" s="52"/>
      <c r="C6" s="6"/>
      <c r="D6" s="6"/>
      <c r="E6" s="6"/>
      <c r="F6" s="6"/>
      <c r="G6" s="6"/>
      <c r="H6" s="6"/>
      <c r="I6" s="6"/>
      <c r="J6" s="6"/>
      <c r="K6" s="6"/>
      <c r="L6" s="43"/>
    </row>
    <row r="7" spans="1:12" ht="25.5" x14ac:dyDescent="0.2">
      <c r="B7" s="52"/>
      <c r="C7" s="6"/>
      <c r="D7" s="6"/>
      <c r="E7" s="111"/>
      <c r="F7" s="111"/>
      <c r="G7" s="111" t="str">
        <f>Translation!B738</f>
        <v>zusätzliche Information</v>
      </c>
      <c r="H7" s="111" t="str">
        <f>Translation!B739</f>
        <v>Erwartete Rendite</v>
      </c>
      <c r="I7" s="111" t="str">
        <f>Translation!B740</f>
        <v>Δ Reserven</v>
      </c>
      <c r="J7" s="111" t="str">
        <f>Translation!B741</f>
        <v>Expected Shortfall</v>
      </c>
      <c r="K7" s="111" t="str">
        <f>Translation!B742</f>
        <v>Mindesthöhe der Reserven</v>
      </c>
      <c r="L7" s="43"/>
    </row>
    <row r="8" spans="1:12" ht="8.1" customHeight="1" x14ac:dyDescent="0.2">
      <c r="B8" s="52"/>
      <c r="C8" s="6"/>
      <c r="D8" s="6"/>
      <c r="E8" s="6"/>
      <c r="F8" s="6"/>
      <c r="G8" s="6"/>
      <c r="H8" s="6"/>
      <c r="I8" s="6"/>
      <c r="J8" s="6"/>
      <c r="K8" s="6"/>
      <c r="L8" s="43"/>
    </row>
    <row r="9" spans="1:12" x14ac:dyDescent="0.2">
      <c r="B9" s="52"/>
      <c r="C9" s="6"/>
      <c r="D9" s="108" t="str">
        <f>Translation!B743</f>
        <v>Kollektiv VVG</v>
      </c>
      <c r="E9" s="108"/>
      <c r="F9" s="108"/>
      <c r="G9" s="855" t="str">
        <f>IF(HE_Insurance_Risk!$F$21&gt;0,HE_Insurance_Risk!$F$35/HE_Insurance_Risk!$F$21,"")</f>
        <v/>
      </c>
      <c r="H9" s="138">
        <f>HE_Insurance_Risk!$F$57</f>
        <v>0</v>
      </c>
      <c r="I9" s="108"/>
      <c r="J9" s="108"/>
      <c r="K9" s="138"/>
      <c r="L9" s="43"/>
    </row>
    <row r="10" spans="1:12" x14ac:dyDescent="0.2">
      <c r="B10" s="52"/>
      <c r="C10" s="6"/>
      <c r="D10" s="108" t="str">
        <f>Translation!B744</f>
        <v>Einzel VVG</v>
      </c>
      <c r="E10" s="108"/>
      <c r="F10" s="108"/>
      <c r="G10" s="855" t="str">
        <f>IF(HE_Insurance_Risk!$H$21&gt;0,HE_Insurance_Risk!$H$35/HE_Insurance_Risk!$H$21,"")</f>
        <v/>
      </c>
      <c r="H10" s="138">
        <f>HE_Insurance_Risk!$H$57</f>
        <v>0</v>
      </c>
      <c r="I10" s="108"/>
      <c r="J10" s="108"/>
      <c r="K10" s="138"/>
      <c r="L10" s="43"/>
    </row>
    <row r="11" spans="1:12" x14ac:dyDescent="0.2">
      <c r="B11" s="52"/>
      <c r="C11" s="6"/>
      <c r="D11" s="108" t="str">
        <f>Translation!B745</f>
        <v>UVG</v>
      </c>
      <c r="E11" s="108"/>
      <c r="F11" s="108"/>
      <c r="G11" s="855" t="str">
        <f>IF(HE_Insurance_Risk!$J$21&gt;0,HE_Insurance_Risk!$J$35/HE_Insurance_Risk!$J$21,"")</f>
        <v/>
      </c>
      <c r="H11" s="138">
        <f>HE_Insurance_Risk!$J$57</f>
        <v>0</v>
      </c>
      <c r="I11" s="108"/>
      <c r="J11" s="108"/>
      <c r="K11" s="138"/>
      <c r="L11" s="43"/>
    </row>
    <row r="12" spans="1:12" x14ac:dyDescent="0.2">
      <c r="B12" s="52"/>
      <c r="C12" s="6"/>
      <c r="D12" s="108" t="str">
        <f>Translation!B746</f>
        <v>KVG-Taggeld Einzel</v>
      </c>
      <c r="E12" s="108"/>
      <c r="F12" s="108"/>
      <c r="G12" s="855" t="str">
        <f>IF(HE_Insurance_Risk!$L$21&gt;0,HE_Insurance_Risk!$L$35/HE_Insurance_Risk!$L$21,"")</f>
        <v/>
      </c>
      <c r="H12" s="138">
        <f>HE_Insurance_Risk!$L$57</f>
        <v>0</v>
      </c>
      <c r="I12" s="108"/>
      <c r="J12" s="108"/>
      <c r="K12" s="138"/>
      <c r="L12" s="43"/>
    </row>
    <row r="13" spans="1:12" x14ac:dyDescent="0.2">
      <c r="B13" s="52"/>
      <c r="C13" s="6"/>
      <c r="D13" s="108" t="str">
        <f>Translation!B747</f>
        <v>KVG-Taggeld Kollektiv</v>
      </c>
      <c r="E13" s="108"/>
      <c r="F13" s="108"/>
      <c r="G13" s="855" t="str">
        <f>IF(HE_Insurance_Risk!$N$21&gt;0,HE_Insurance_Risk!$N$35/HE_Insurance_Risk!$N$21,"")</f>
        <v/>
      </c>
      <c r="H13" s="138">
        <f>HE_Insurance_Risk!$N$57</f>
        <v>0</v>
      </c>
      <c r="I13" s="108"/>
      <c r="J13" s="108"/>
      <c r="K13" s="138"/>
      <c r="L13" s="43"/>
    </row>
    <row r="14" spans="1:12" x14ac:dyDescent="0.2">
      <c r="B14" s="52"/>
      <c r="C14" s="6"/>
      <c r="D14" s="108" t="str">
        <f>Translation!B983</f>
        <v>OKP EU</v>
      </c>
      <c r="E14" s="108"/>
      <c r="F14" s="108"/>
      <c r="G14" s="2396" t="str">
        <f>IF(HE_Insurance_Risk!$P$21&gt;0,HE_Insurance_Risk!$P$35/HE_Insurance_Risk!$P$21,"")</f>
        <v/>
      </c>
      <c r="H14" s="138">
        <f>HE_Insurance_Risk!$P$57</f>
        <v>0</v>
      </c>
      <c r="I14" s="108"/>
      <c r="J14" s="108"/>
      <c r="K14" s="138"/>
      <c r="L14" s="43"/>
    </row>
    <row r="15" spans="1:12" x14ac:dyDescent="0.2">
      <c r="B15" s="52"/>
      <c r="C15" s="6"/>
      <c r="D15" s="108" t="str">
        <f>Translation!B982</f>
        <v>OKP CH</v>
      </c>
      <c r="E15" s="6"/>
      <c r="F15" s="108"/>
      <c r="G15" s="2396" t="str">
        <f>IF(HE_Insurance_Risk!$R$21&gt;0,HE_Insurance_Risk!$R$35/HE_Insurance_Risk!$R$21,"")</f>
        <v/>
      </c>
      <c r="H15" s="138">
        <f>HE_Insurance_Risk!$R$57</f>
        <v>0</v>
      </c>
      <c r="I15" s="108"/>
      <c r="J15" s="108"/>
      <c r="K15" s="138"/>
      <c r="L15" s="43"/>
    </row>
    <row r="16" spans="1:12" x14ac:dyDescent="0.2">
      <c r="B16" s="52"/>
      <c r="C16" s="6"/>
      <c r="D16" s="108" t="str">
        <f>Translation!B749</f>
        <v>Aktive Rückversicherung KVG</v>
      </c>
      <c r="G16" s="855" t="str">
        <f>IF(HE_Insurance_Risk!$T$21&gt;0,HE_Insurance_Risk!$T$35/HE_Insurance_Risk!$T$21,"")</f>
        <v/>
      </c>
      <c r="H16" s="138">
        <f>HE_Insurance_Risk!$T$57</f>
        <v>0</v>
      </c>
      <c r="I16" s="108"/>
      <c r="J16" s="108"/>
      <c r="K16" s="138"/>
      <c r="L16" s="43"/>
    </row>
    <row r="17" spans="2:13" s="3" customFormat="1" x14ac:dyDescent="0.2">
      <c r="B17" s="853"/>
      <c r="C17" s="60"/>
      <c r="D17" s="120" t="str">
        <f>Translation!B750</f>
        <v>Erwartete Versicherungsrendite</v>
      </c>
      <c r="E17" s="120"/>
      <c r="F17" s="120"/>
      <c r="G17" s="108"/>
      <c r="H17" s="135">
        <f>SUM(H11:H16)</f>
        <v>0</v>
      </c>
      <c r="I17" s="120"/>
      <c r="J17" s="120"/>
      <c r="K17" s="135">
        <f>-H17</f>
        <v>0</v>
      </c>
      <c r="L17" s="854"/>
      <c r="M17" s="2260"/>
    </row>
    <row r="18" spans="2:13" x14ac:dyDescent="0.2">
      <c r="B18" s="52"/>
      <c r="C18" s="6"/>
      <c r="D18" s="108"/>
      <c r="E18" s="108"/>
      <c r="F18" s="108"/>
      <c r="G18" s="108"/>
      <c r="H18" s="138"/>
      <c r="I18" s="108"/>
      <c r="J18" s="108"/>
      <c r="K18" s="138"/>
      <c r="L18" s="43"/>
    </row>
    <row r="19" spans="2:13" x14ac:dyDescent="0.2">
      <c r="B19" s="52"/>
      <c r="C19" s="6"/>
      <c r="D19" s="108" t="str">
        <f>Translation!B751</f>
        <v>Kollektiv VVG</v>
      </c>
      <c r="E19" s="108"/>
      <c r="F19" s="108"/>
      <c r="G19" s="855">
        <f>HE_Insurance_Risk!$F$85</f>
        <v>0.1</v>
      </c>
      <c r="H19" s="138"/>
      <c r="I19" s="108"/>
      <c r="J19" s="109">
        <f>(-NORMDIST(NORMINV($E$117,0,1),0,1,0)/$E$117*HE_Insurance_Risk!$F$92)</f>
        <v>0</v>
      </c>
      <c r="K19" s="138"/>
      <c r="L19" s="43"/>
    </row>
    <row r="20" spans="2:13" x14ac:dyDescent="0.2">
      <c r="B20" s="52"/>
      <c r="C20" s="6"/>
      <c r="D20" s="108" t="str">
        <f>Translation!B752</f>
        <v>Einzel VVG</v>
      </c>
      <c r="E20" s="108"/>
      <c r="F20" s="108"/>
      <c r="G20" s="855">
        <f>HE_Insurance_Risk!$H$85</f>
        <v>0.1</v>
      </c>
      <c r="H20" s="138"/>
      <c r="I20" s="108"/>
      <c r="J20" s="109">
        <f>(-NORMDIST(NORMINV($E$117,0,1),0,1,0)/$E$117*HE_Insurance_Risk!$H$92)</f>
        <v>0</v>
      </c>
      <c r="K20" s="138"/>
      <c r="L20" s="43"/>
    </row>
    <row r="21" spans="2:13" x14ac:dyDescent="0.2">
      <c r="B21" s="52"/>
      <c r="C21" s="6"/>
      <c r="D21" s="108" t="str">
        <f>Translation!B753</f>
        <v>UVG</v>
      </c>
      <c r="E21" s="108"/>
      <c r="F21" s="108"/>
      <c r="G21" s="855">
        <f>HE_Insurance_Risk!$J$85</f>
        <v>7.0710678118654766E-2</v>
      </c>
      <c r="H21" s="138"/>
      <c r="I21" s="108"/>
      <c r="J21" s="109">
        <f>(-NORMDIST(NORMINV($E$117,0,1),0,1,0)/$E$117*HE_Insurance_Risk!$J$92)</f>
        <v>0</v>
      </c>
      <c r="K21" s="138"/>
      <c r="L21" s="43"/>
    </row>
    <row r="22" spans="2:13" x14ac:dyDescent="0.2">
      <c r="B22" s="52"/>
      <c r="C22" s="6"/>
      <c r="D22" s="108" t="str">
        <f>Translation!B754</f>
        <v>KVG-Taggeld Einzel</v>
      </c>
      <c r="E22" s="108"/>
      <c r="F22" s="108"/>
      <c r="G22" s="855">
        <f>HE_Insurance_Risk!$L$85</f>
        <v>0.1</v>
      </c>
      <c r="H22" s="138"/>
      <c r="I22" s="108"/>
      <c r="J22" s="109">
        <f>(-NORMDIST(NORMINV($E$117,0,1),0,1,0)/$E$117*HE_Insurance_Risk!$L$92)</f>
        <v>0</v>
      </c>
      <c r="K22" s="138"/>
      <c r="L22" s="43"/>
    </row>
    <row r="23" spans="2:13" x14ac:dyDescent="0.2">
      <c r="B23" s="52"/>
      <c r="C23" s="6"/>
      <c r="D23" s="108" t="str">
        <f>Translation!B755</f>
        <v>KVG-Taggeld Kollektiv</v>
      </c>
      <c r="E23" s="108"/>
      <c r="F23" s="108"/>
      <c r="G23" s="855">
        <f>HE_Insurance_Risk!$N$85</f>
        <v>0.1</v>
      </c>
      <c r="H23" s="138"/>
      <c r="I23" s="108"/>
      <c r="J23" s="109">
        <f>(-NORMDIST(NORMINV($E$117,0,1),0,1,0)/$E$117*HE_Insurance_Risk!$N$92)</f>
        <v>0</v>
      </c>
      <c r="K23" s="138"/>
      <c r="L23" s="43"/>
    </row>
    <row r="24" spans="2:13" x14ac:dyDescent="0.2">
      <c r="B24" s="52"/>
      <c r="C24" s="6"/>
      <c r="D24" s="108" t="str">
        <f>Translation!B983</f>
        <v>OKP EU</v>
      </c>
      <c r="E24" s="108"/>
      <c r="F24" s="108"/>
      <c r="G24" s="855">
        <f>HE_Insurance_Risk!$P$85</f>
        <v>0.5</v>
      </c>
      <c r="H24" s="138"/>
      <c r="I24" s="108"/>
      <c r="J24" s="109">
        <f>(-NORMDIST(NORMINV($E$117,0,1),0,1,0)/$E$117*HE_Insurance_Risk!$P$92)</f>
        <v>0</v>
      </c>
      <c r="K24" s="138"/>
      <c r="L24" s="43"/>
    </row>
    <row r="25" spans="2:13" x14ac:dyDescent="0.2">
      <c r="B25" s="52"/>
      <c r="C25" s="6"/>
      <c r="D25" s="108" t="str">
        <f>Translation!B982</f>
        <v>OKP CH</v>
      </c>
      <c r="E25" s="108"/>
      <c r="F25" s="108"/>
      <c r="G25" s="855">
        <f>HE_Insurance_Risk!$R$85</f>
        <v>0.06</v>
      </c>
      <c r="H25" s="138"/>
      <c r="I25" s="108"/>
      <c r="J25" s="109">
        <f>(-NORMDIST(NORMINV($E$117,0,1),0,1,0)/$E$117*HE_Insurance_Risk!$R$92)</f>
        <v>0</v>
      </c>
      <c r="K25" s="138"/>
      <c r="L25" s="43"/>
    </row>
    <row r="26" spans="2:13" x14ac:dyDescent="0.2">
      <c r="B26" s="52"/>
      <c r="C26" s="6"/>
      <c r="D26" s="108" t="str">
        <f>Translation!B757</f>
        <v>Aktive Rückversicherung KVG</v>
      </c>
      <c r="E26" s="108"/>
      <c r="F26" s="108"/>
      <c r="G26" s="855">
        <f>HE_Insurance_Risk!$T$85</f>
        <v>0.2</v>
      </c>
      <c r="H26" s="138"/>
      <c r="I26" s="108"/>
      <c r="J26" s="109">
        <f>(-NORMDIST(NORMINV($E$117,0,1),0,1,0)/$E$117*HE_Insurance_Risk!$T$92)</f>
        <v>0</v>
      </c>
      <c r="K26" s="138"/>
      <c r="L26" s="43"/>
    </row>
    <row r="27" spans="2:13" x14ac:dyDescent="0.2">
      <c r="B27" s="52"/>
      <c r="C27" s="6"/>
      <c r="D27" s="108" t="str">
        <f>Translation!B758</f>
        <v>Risikosenkung durch Diversifikation</v>
      </c>
      <c r="E27" s="108"/>
      <c r="F27" s="108"/>
      <c r="G27" s="855"/>
      <c r="H27" s="138"/>
      <c r="I27" s="108"/>
      <c r="J27" s="109">
        <f>J28-SUM(J19:J26)</f>
        <v>0</v>
      </c>
      <c r="K27" s="138"/>
      <c r="L27" s="43"/>
    </row>
    <row r="28" spans="2:13" s="3" customFormat="1" x14ac:dyDescent="0.2">
      <c r="B28" s="853"/>
      <c r="C28" s="60"/>
      <c r="D28" s="120" t="str">
        <f>Translation!B759</f>
        <v>Expected Shortfall für das Versicherungsrisiko</v>
      </c>
      <c r="E28" s="121"/>
      <c r="F28" s="121"/>
      <c r="G28" s="121"/>
      <c r="H28" s="121"/>
      <c r="I28" s="121"/>
      <c r="J28" s="121">
        <f>(-NORMDIST(NORMINV($E$117,0,1),0,1,0)/$E$117*HE_Insurance_Risk!$W$92)</f>
        <v>0</v>
      </c>
      <c r="K28" s="121"/>
      <c r="L28" s="854"/>
    </row>
    <row r="29" spans="2:13" x14ac:dyDescent="0.2">
      <c r="B29" s="52"/>
      <c r="C29" s="6"/>
      <c r="D29" s="108"/>
      <c r="E29" s="109"/>
      <c r="F29" s="109"/>
      <c r="G29" s="109"/>
      <c r="H29" s="109"/>
      <c r="I29" s="109"/>
      <c r="J29" s="109"/>
      <c r="K29" s="109"/>
      <c r="L29" s="43"/>
    </row>
    <row r="30" spans="2:13" x14ac:dyDescent="0.2">
      <c r="B30" s="52"/>
      <c r="C30" s="6"/>
      <c r="D30" s="108" t="str">
        <f>Translation!B727</f>
        <v>Immobilien</v>
      </c>
      <c r="E30" s="109"/>
      <c r="F30" s="109"/>
      <c r="G30" s="855">
        <f>HE_ExpctdRes!$D10</f>
        <v>0.03</v>
      </c>
      <c r="H30" s="109">
        <f>HE_ExpctdRes!$F10</f>
        <v>0</v>
      </c>
      <c r="I30" s="109"/>
      <c r="J30" s="109"/>
      <c r="K30" s="109"/>
      <c r="L30" s="43"/>
    </row>
    <row r="31" spans="2:13" x14ac:dyDescent="0.2">
      <c r="B31" s="52"/>
      <c r="C31" s="6"/>
      <c r="D31" s="108" t="str">
        <f>Translation!B728</f>
        <v>Obligationen</v>
      </c>
      <c r="E31" s="109"/>
      <c r="F31" s="109"/>
      <c r="G31" s="855">
        <f>HE_ExpctdRes!$D11</f>
        <v>6.4999999999999997E-3</v>
      </c>
      <c r="H31" s="109">
        <f>HE_ExpctdRes!$F11</f>
        <v>0</v>
      </c>
      <c r="I31" s="109"/>
      <c r="J31" s="109"/>
      <c r="K31" s="109"/>
      <c r="L31" s="43"/>
    </row>
    <row r="32" spans="2:13" x14ac:dyDescent="0.2">
      <c r="B32" s="52"/>
      <c r="C32" s="6"/>
      <c r="D32" s="108" t="str">
        <f>Translation!B729</f>
        <v>Aktien</v>
      </c>
      <c r="E32" s="109"/>
      <c r="F32" s="109"/>
      <c r="G32" s="855">
        <f>HE_ExpctdRes!$D12</f>
        <v>0.04</v>
      </c>
      <c r="H32" s="109">
        <f>HE_ExpctdRes!$F12</f>
        <v>0</v>
      </c>
      <c r="I32" s="109"/>
      <c r="J32" s="109"/>
      <c r="K32" s="109"/>
      <c r="L32" s="43"/>
    </row>
    <row r="33" spans="2:12" x14ac:dyDescent="0.2">
      <c r="B33" s="52"/>
      <c r="C33" s="6"/>
      <c r="D33" s="108" t="str">
        <f>Translation!B730</f>
        <v>Anlagefonds</v>
      </c>
      <c r="E33" s="109"/>
      <c r="F33" s="109"/>
      <c r="G33" s="855">
        <f>HE_ExpctdRes!$D13</f>
        <v>0.02</v>
      </c>
      <c r="H33" s="109">
        <f>HE_ExpctdRes!$F13</f>
        <v>0</v>
      </c>
      <c r="I33" s="109"/>
      <c r="J33" s="109"/>
      <c r="K33" s="109"/>
      <c r="L33" s="43"/>
    </row>
    <row r="34" spans="2:12" x14ac:dyDescent="0.2">
      <c r="B34" s="52"/>
      <c r="C34" s="6"/>
      <c r="D34" s="108" t="str">
        <f>Translation!B731</f>
        <v>andere Anlagen</v>
      </c>
      <c r="E34" s="109"/>
      <c r="F34" s="109"/>
      <c r="G34" s="855">
        <f>HE_ExpctdRes!$D14</f>
        <v>0</v>
      </c>
      <c r="H34" s="109">
        <f>HE_ExpctdRes!$F14</f>
        <v>0</v>
      </c>
      <c r="I34" s="109"/>
      <c r="J34" s="109"/>
      <c r="K34" s="109"/>
      <c r="L34" s="43"/>
    </row>
    <row r="35" spans="2:12" x14ac:dyDescent="0.2">
      <c r="B35" s="52"/>
      <c r="C35" s="6"/>
      <c r="D35" s="108" t="str">
        <f>Translation!B732</f>
        <v>andere Aktiven</v>
      </c>
      <c r="E35" s="109"/>
      <c r="F35" s="109"/>
      <c r="G35" s="855">
        <f>HE_ExpctdRes!$D15</f>
        <v>0</v>
      </c>
      <c r="H35" s="109">
        <f>HE_ExpctdRes!$F15</f>
        <v>0</v>
      </c>
      <c r="I35" s="109"/>
      <c r="J35" s="109"/>
      <c r="K35" s="109"/>
      <c r="L35" s="43"/>
    </row>
    <row r="36" spans="2:12" s="3" customFormat="1" x14ac:dyDescent="0.2">
      <c r="B36" s="853"/>
      <c r="C36" s="60"/>
      <c r="D36" s="120" t="str">
        <f>Translation!B760</f>
        <v>Erwartete Finanzmarktrendite</v>
      </c>
      <c r="E36" s="120"/>
      <c r="F36" s="120"/>
      <c r="G36" s="856">
        <f>HE_ExpctdRes!$D17</f>
        <v>0.01</v>
      </c>
      <c r="H36" s="121">
        <f>HE_ExpctdRes!$F17</f>
        <v>0</v>
      </c>
      <c r="I36" s="120"/>
      <c r="J36" s="120"/>
      <c r="K36" s="135">
        <f>-H36</f>
        <v>0</v>
      </c>
      <c r="L36" s="854"/>
    </row>
    <row r="37" spans="2:12" x14ac:dyDescent="0.2">
      <c r="B37" s="52"/>
      <c r="C37" s="6"/>
      <c r="D37" s="6"/>
      <c r="E37" s="6"/>
      <c r="F37" s="6"/>
      <c r="G37" s="6"/>
      <c r="H37" s="6"/>
      <c r="I37" s="6"/>
      <c r="J37" s="6"/>
      <c r="K37" s="6"/>
      <c r="L37" s="43"/>
    </row>
    <row r="38" spans="2:12" x14ac:dyDescent="0.2">
      <c r="B38" s="52"/>
      <c r="C38" s="6"/>
      <c r="D38" s="6"/>
      <c r="E38" s="857"/>
      <c r="F38" s="857"/>
      <c r="G38" s="857"/>
      <c r="H38" s="857"/>
      <c r="I38" s="857"/>
      <c r="J38" s="857"/>
      <c r="K38" s="111"/>
      <c r="L38" s="43"/>
    </row>
    <row r="39" spans="2:12" x14ac:dyDescent="0.2">
      <c r="B39" s="52"/>
      <c r="C39" s="6"/>
      <c r="D39" s="6"/>
      <c r="E39" s="6"/>
      <c r="F39" s="250"/>
      <c r="G39" s="250"/>
      <c r="H39" s="250"/>
      <c r="I39" s="250"/>
      <c r="J39" s="250"/>
      <c r="K39" s="543"/>
      <c r="L39" s="43"/>
    </row>
    <row r="40" spans="2:12" x14ac:dyDescent="0.2">
      <c r="B40" s="52"/>
      <c r="C40" s="6"/>
      <c r="D40" s="108" t="str">
        <f>Translation!B761</f>
        <v>Alle Zinssätze</v>
      </c>
      <c r="E40" s="108"/>
      <c r="F40" s="108"/>
      <c r="G40" s="108"/>
      <c r="H40" s="138"/>
      <c r="I40" s="108"/>
      <c r="J40" s="109">
        <f>'Market_Risk (Delta Normal)'!G13</f>
        <v>0</v>
      </c>
      <c r="K40" s="138"/>
      <c r="L40" s="43"/>
    </row>
    <row r="41" spans="2:12" x14ac:dyDescent="0.2">
      <c r="B41" s="52"/>
      <c r="C41" s="6"/>
      <c r="D41" s="108" t="str">
        <f>Translation!B762</f>
        <v>Spreads</v>
      </c>
      <c r="E41" s="108"/>
      <c r="F41" s="108"/>
      <c r="G41" s="108"/>
      <c r="H41" s="138"/>
      <c r="I41" s="108"/>
      <c r="J41" s="109">
        <f>'Market_Risk (Delta Normal)'!G19</f>
        <v>0</v>
      </c>
      <c r="K41" s="138"/>
      <c r="L41" s="43"/>
    </row>
    <row r="42" spans="2:12" x14ac:dyDescent="0.2">
      <c r="B42" s="52"/>
      <c r="C42" s="6"/>
      <c r="D42" s="108" t="str">
        <f>Translation!B763</f>
        <v>Fremdwährungen</v>
      </c>
      <c r="E42" s="108"/>
      <c r="F42" s="108"/>
      <c r="G42" s="108"/>
      <c r="H42" s="138"/>
      <c r="I42" s="108"/>
      <c r="J42" s="109">
        <f>'Market_Risk (Delta Normal)'!G20</f>
        <v>0</v>
      </c>
      <c r="K42" s="138"/>
      <c r="L42" s="43"/>
    </row>
    <row r="43" spans="2:12" x14ac:dyDescent="0.2">
      <c r="B43" s="52"/>
      <c r="C43" s="6"/>
      <c r="D43" s="108" t="str">
        <f>Translation!B764</f>
        <v>Aktien</v>
      </c>
      <c r="E43" s="108"/>
      <c r="F43" s="108"/>
      <c r="G43" s="108"/>
      <c r="H43" s="138"/>
      <c r="I43" s="108"/>
      <c r="J43" s="109">
        <f>'Market_Risk (Delta Normal)'!G21</f>
        <v>0</v>
      </c>
      <c r="K43" s="138"/>
      <c r="L43" s="43"/>
    </row>
    <row r="44" spans="2:12" x14ac:dyDescent="0.2">
      <c r="B44" s="52"/>
      <c r="C44" s="6"/>
      <c r="D44" s="108" t="str">
        <f>Translation!B765</f>
        <v>Immobilien</v>
      </c>
      <c r="E44" s="108"/>
      <c r="F44" s="108"/>
      <c r="G44" s="108"/>
      <c r="H44" s="138"/>
      <c r="I44" s="108"/>
      <c r="J44" s="109">
        <f>'Market_Risk (Delta Normal)'!G22</f>
        <v>0</v>
      </c>
      <c r="K44" s="138"/>
      <c r="L44" s="43"/>
    </row>
    <row r="45" spans="2:12" x14ac:dyDescent="0.2">
      <c r="B45" s="52"/>
      <c r="C45" s="6"/>
      <c r="D45" s="108" t="str">
        <f>Translation!B766</f>
        <v>Hedge Funds</v>
      </c>
      <c r="E45" s="108"/>
      <c r="F45" s="108"/>
      <c r="G45" s="108"/>
      <c r="H45" s="138"/>
      <c r="I45" s="108"/>
      <c r="J45" s="109">
        <f>'Market_Risk (Delta Normal)'!G23</f>
        <v>0</v>
      </c>
      <c r="K45" s="138"/>
      <c r="L45" s="43"/>
    </row>
    <row r="46" spans="2:12" x14ac:dyDescent="0.2">
      <c r="B46" s="52"/>
      <c r="C46" s="6"/>
      <c r="D46" s="108" t="str">
        <f>Translation!B767</f>
        <v>Private Equity</v>
      </c>
      <c r="E46" s="108"/>
      <c r="F46" s="108"/>
      <c r="G46" s="108"/>
      <c r="H46" s="138"/>
      <c r="I46" s="108"/>
      <c r="J46" s="109">
        <f>'Market_Risk (Delta Normal)'!G24</f>
        <v>0</v>
      </c>
      <c r="K46" s="138"/>
      <c r="L46" s="43"/>
    </row>
    <row r="47" spans="2:12" x14ac:dyDescent="0.2">
      <c r="B47" s="52"/>
      <c r="C47" s="6"/>
      <c r="D47" s="108" t="str">
        <f>Translation!B768</f>
        <v>Beteiligungen</v>
      </c>
      <c r="E47" s="113"/>
      <c r="F47" s="113"/>
      <c r="G47" s="113"/>
      <c r="H47" s="113"/>
      <c r="I47" s="113"/>
      <c r="J47" s="109">
        <f>'Market_Risk (Delta Normal)'!G25</f>
        <v>0</v>
      </c>
      <c r="K47" s="109"/>
      <c r="L47" s="43"/>
    </row>
    <row r="48" spans="2:12" x14ac:dyDescent="0.2">
      <c r="B48" s="52"/>
      <c r="C48" s="6"/>
      <c r="D48" s="108" t="str">
        <f>Translation!B769</f>
        <v>Risikosenkung durch Diversifikation</v>
      </c>
      <c r="E48" s="108"/>
      <c r="F48" s="108"/>
      <c r="G48" s="855"/>
      <c r="H48" s="138"/>
      <c r="I48" s="108"/>
      <c r="J48" s="109">
        <f>J49-SUM(J40:J47)</f>
        <v>0</v>
      </c>
      <c r="K48" s="138"/>
      <c r="L48" s="43"/>
    </row>
    <row r="49" spans="2:12" s="3" customFormat="1" x14ac:dyDescent="0.2">
      <c r="B49" s="853"/>
      <c r="C49" s="60"/>
      <c r="D49" s="120" t="str">
        <f>Translation!B770</f>
        <v>Expected Shortfall für das Marktrisiko</v>
      </c>
      <c r="E49" s="858"/>
      <c r="F49" s="858"/>
      <c r="G49" s="858"/>
      <c r="H49" s="858"/>
      <c r="I49" s="858"/>
      <c r="J49" s="121">
        <f>'Market_Risk (Delta Normal)'!G12</f>
        <v>0</v>
      </c>
      <c r="K49" s="121"/>
      <c r="L49" s="854"/>
    </row>
    <row r="50" spans="2:12" ht="8.1" customHeight="1" x14ac:dyDescent="0.2">
      <c r="B50" s="52"/>
      <c r="C50" s="6"/>
      <c r="D50" s="108"/>
      <c r="E50" s="110"/>
      <c r="F50" s="110"/>
      <c r="G50" s="110"/>
      <c r="H50" s="110"/>
      <c r="I50" s="110"/>
      <c r="J50" s="110"/>
      <c r="K50" s="110"/>
      <c r="L50" s="43"/>
    </row>
    <row r="51" spans="2:12" s="3" customFormat="1" x14ac:dyDescent="0.2">
      <c r="B51" s="853"/>
      <c r="C51" s="60"/>
      <c r="D51" s="120" t="str">
        <f>Translation!B771</f>
        <v>Risikosenkung durch Diversifikation</v>
      </c>
      <c r="E51" s="858"/>
      <c r="F51" s="858"/>
      <c r="G51" s="858"/>
      <c r="H51" s="858"/>
      <c r="I51" s="858"/>
      <c r="J51" s="121">
        <f>SUM(-J28,-J49,J53)</f>
        <v>0</v>
      </c>
      <c r="K51" s="121"/>
      <c r="L51" s="854"/>
    </row>
    <row r="52" spans="2:12" x14ac:dyDescent="0.2">
      <c r="B52" s="52"/>
      <c r="C52" s="6"/>
      <c r="D52" s="108"/>
      <c r="E52" s="113"/>
      <c r="F52" s="113"/>
      <c r="G52" s="113"/>
      <c r="H52" s="113"/>
      <c r="I52" s="113"/>
      <c r="J52" s="109"/>
      <c r="K52" s="109"/>
      <c r="L52" s="43"/>
    </row>
    <row r="53" spans="2:12" s="3" customFormat="1" x14ac:dyDescent="0.2">
      <c r="B53" s="853"/>
      <c r="C53" s="60"/>
      <c r="D53" s="120" t="str">
        <f>Translation!B772</f>
        <v>Expected Shortfall für Versicherung- und Marktrisiko</v>
      </c>
      <c r="E53" s="121"/>
      <c r="F53" s="121"/>
      <c r="G53" s="121"/>
      <c r="H53" s="121"/>
      <c r="I53" s="121"/>
      <c r="J53" s="121">
        <f>$K$122</f>
        <v>0</v>
      </c>
      <c r="K53" s="121">
        <f>-J53</f>
        <v>0</v>
      </c>
      <c r="L53" s="854"/>
    </row>
    <row r="54" spans="2:12" x14ac:dyDescent="0.2">
      <c r="B54" s="52"/>
      <c r="C54" s="6"/>
      <c r="D54" s="6"/>
      <c r="E54" s="106"/>
      <c r="G54" s="111"/>
      <c r="H54" s="111"/>
      <c r="I54" s="111"/>
      <c r="J54" s="111"/>
      <c r="K54" s="111"/>
      <c r="L54" s="43"/>
    </row>
    <row r="55" spans="2:12" x14ac:dyDescent="0.2">
      <c r="B55" s="52"/>
      <c r="C55" s="6"/>
      <c r="D55" s="6"/>
      <c r="E55" s="6"/>
      <c r="G55" s="6"/>
      <c r="H55" s="6"/>
      <c r="I55" s="6"/>
      <c r="J55" s="6"/>
      <c r="K55" s="6"/>
      <c r="L55" s="43"/>
    </row>
    <row r="56" spans="2:12" x14ac:dyDescent="0.2">
      <c r="B56" s="52"/>
      <c r="C56" s="108" t="s">
        <v>683</v>
      </c>
      <c r="D56" s="108" t="str">
        <f>Translation!B773</f>
        <v>Analytisches Modell</v>
      </c>
      <c r="E56" s="108"/>
      <c r="F56" s="108"/>
      <c r="G56" s="875">
        <f>Health_Scen_Aggregation!$H$13</f>
        <v>0.87</v>
      </c>
      <c r="H56" s="108"/>
      <c r="I56" s="876">
        <f>Health_Scen_Aggregation!$H$12</f>
        <v>0</v>
      </c>
      <c r="J56" s="108"/>
      <c r="K56" s="138"/>
      <c r="L56" s="43"/>
    </row>
    <row r="57" spans="2:12" x14ac:dyDescent="0.2">
      <c r="B57" s="52"/>
      <c r="C57" s="108" t="str">
        <f>Health_Scen_Aggregation!$I$10</f>
        <v>BAG1</v>
      </c>
      <c r="D57" s="108" t="str">
        <f>Health_Scen_Aggregation!$I$11</f>
        <v>Ungünstige Risikostruktur</v>
      </c>
      <c r="E57" s="108"/>
      <c r="F57" s="108"/>
      <c r="G57" s="875">
        <f>Health_Scen_Aggregation!$I$13</f>
        <v>0.01</v>
      </c>
      <c r="H57" s="108"/>
      <c r="I57" s="876">
        <f>Health_Scen_Aggregation!$I$12</f>
        <v>0</v>
      </c>
      <c r="J57" s="108"/>
      <c r="K57" s="138"/>
      <c r="L57" s="43"/>
    </row>
    <row r="58" spans="2:12" x14ac:dyDescent="0.2">
      <c r="B58" s="52"/>
      <c r="C58" s="108" t="str">
        <f>Health_Scen_Aggregation!$J$10</f>
        <v>BAG2</v>
      </c>
      <c r="D58" s="108" t="str">
        <f>Health_Scen_Aggregation!$J$11</f>
        <v>Zunahme Hochkostenfälle</v>
      </c>
      <c r="E58" s="108"/>
      <c r="F58" s="108"/>
      <c r="G58" s="875">
        <f>Health_Scen_Aggregation!$J$13</f>
        <v>0.01</v>
      </c>
      <c r="H58" s="108"/>
      <c r="I58" s="876">
        <f>Health_Scen_Aggregation!$J$12</f>
        <v>0</v>
      </c>
      <c r="J58" s="108"/>
      <c r="K58" s="138"/>
      <c r="L58" s="43"/>
    </row>
    <row r="59" spans="2:12" x14ac:dyDescent="0.2">
      <c r="B59" s="52"/>
      <c r="C59" s="108" t="str">
        <f>Health_Scen_Aggregation!$K$10</f>
        <v>BAG3</v>
      </c>
      <c r="D59" s="108" t="str">
        <f>Health_Scen_Aggregation!$K$11</f>
        <v>Financial Distress</v>
      </c>
      <c r="E59" s="108"/>
      <c r="F59" s="108"/>
      <c r="G59" s="875">
        <f>Health_Scen_Aggregation!$K$13</f>
        <v>5.0000000000000001E-3</v>
      </c>
      <c r="H59" s="108"/>
      <c r="I59" s="876">
        <f>Health_Scen_Aggregation!$K$12</f>
        <v>0</v>
      </c>
      <c r="J59" s="108"/>
      <c r="K59" s="138"/>
      <c r="L59" s="43"/>
    </row>
    <row r="60" spans="2:12" x14ac:dyDescent="0.2">
      <c r="B60" s="52"/>
      <c r="C60" s="108" t="str">
        <f>Health_Scen_Aggregation!$L$10</f>
        <v>BAG4</v>
      </c>
      <c r="D60" s="108" t="str">
        <f>Health_Scen_Aggregation!$L$11</f>
        <v>Leistungsszenario EU</v>
      </c>
      <c r="E60" s="108"/>
      <c r="F60" s="108"/>
      <c r="G60" s="875">
        <f>Health_Scen_Aggregation!$L$13</f>
        <v>5.0000000000000001E-3</v>
      </c>
      <c r="H60" s="108"/>
      <c r="I60" s="876">
        <f>Health_Scen_Aggregation!$L$12</f>
        <v>0</v>
      </c>
      <c r="J60" s="108"/>
      <c r="K60" s="138"/>
      <c r="L60" s="43"/>
    </row>
    <row r="61" spans="2:12" x14ac:dyDescent="0.2">
      <c r="B61" s="52"/>
      <c r="C61" s="108" t="str">
        <f>Health_Scen_Aggregation!$M$10</f>
        <v>BAG5</v>
      </c>
      <c r="D61" s="108" t="str">
        <f>Health_Scen_Aggregation!$M$11</f>
        <v>Unterreservierung</v>
      </c>
      <c r="E61" s="108"/>
      <c r="F61" s="108"/>
      <c r="G61" s="875">
        <f>Health_Scen_Aggregation!$M$13</f>
        <v>0.01</v>
      </c>
      <c r="H61" s="108"/>
      <c r="I61" s="876">
        <f>Health_Scen_Aggregation!$M$12</f>
        <v>0</v>
      </c>
      <c r="J61" s="108"/>
      <c r="K61" s="138"/>
      <c r="L61" s="43"/>
    </row>
    <row r="62" spans="2:12" x14ac:dyDescent="0.2">
      <c r="B62" s="52"/>
      <c r="C62" s="108" t="str">
        <f>Health_Scen_Aggregation!$N$10</f>
        <v>BAG6</v>
      </c>
      <c r="D62" s="108" t="str">
        <f>Health_Scen_Aggregation!$N$11</f>
        <v>Konjunkturbaisse</v>
      </c>
      <c r="E62" s="108"/>
      <c r="F62" s="108"/>
      <c r="G62" s="875">
        <f>Health_Scen_Aggregation!$N$13</f>
        <v>0.01</v>
      </c>
      <c r="H62" s="108"/>
      <c r="I62" s="876">
        <f>Health_Scen_Aggregation!$N$12</f>
        <v>0</v>
      </c>
      <c r="J62" s="108"/>
      <c r="K62" s="138"/>
      <c r="L62" s="43"/>
    </row>
    <row r="63" spans="2:12" x14ac:dyDescent="0.2">
      <c r="B63" s="52"/>
      <c r="C63" s="108" t="str">
        <f>Health_Scen_Aggregation!$O$10</f>
        <v>BAG7</v>
      </c>
      <c r="D63" s="108" t="str">
        <f>Health_Scen_Aggregation!$O$11</f>
        <v>Pandemie</v>
      </c>
      <c r="E63" s="108"/>
      <c r="F63" s="108"/>
      <c r="G63" s="875">
        <f>Health_Scen_Aggregation!$O$13</f>
        <v>0.01</v>
      </c>
      <c r="H63" s="108"/>
      <c r="I63" s="876">
        <f>Health_Scen_Aggregation!$O$12</f>
        <v>0</v>
      </c>
      <c r="J63" s="108"/>
      <c r="K63" s="138"/>
      <c r="L63" s="43"/>
    </row>
    <row r="64" spans="2:12" x14ac:dyDescent="0.2">
      <c r="B64" s="52"/>
      <c r="C64" s="108" t="str">
        <f>Health_Scen_Aggregation!$P$10</f>
        <v>Sz1</v>
      </c>
      <c r="D64" s="108" t="str">
        <f>Health_Scen_Aggregation!$P$11</f>
        <v>Equity Drop -60%</v>
      </c>
      <c r="E64" s="108"/>
      <c r="F64" s="108"/>
      <c r="G64" s="875">
        <f>Health_Scen_Aggregation!$P$13</f>
        <v>0.01</v>
      </c>
      <c r="H64" s="108"/>
      <c r="I64" s="876">
        <f>Health_Scen_Aggregation!$P$12</f>
        <v>0</v>
      </c>
      <c r="J64" s="108"/>
      <c r="K64" s="138"/>
      <c r="L64" s="43"/>
    </row>
    <row r="65" spans="2:12" x14ac:dyDescent="0.2">
      <c r="B65" s="52"/>
      <c r="C65" s="108" t="str">
        <f>Health_Scen_Aggregation!$Q$10</f>
        <v>Sz2</v>
      </c>
      <c r="D65" s="108" t="str">
        <f>Health_Scen_Aggregation!$Q$11</f>
        <v>Immobilien Crash</v>
      </c>
      <c r="E65" s="108"/>
      <c r="F65" s="108"/>
      <c r="G65" s="875">
        <f>Health_Scen_Aggregation!$Q$13</f>
        <v>0.01</v>
      </c>
      <c r="H65" s="108"/>
      <c r="I65" s="876">
        <f>Health_Scen_Aggregation!$Q$12</f>
        <v>0</v>
      </c>
      <c r="J65" s="108"/>
      <c r="K65" s="138"/>
      <c r="L65" s="43"/>
    </row>
    <row r="66" spans="2:12" x14ac:dyDescent="0.2">
      <c r="B66" s="52"/>
      <c r="C66" s="108" t="str">
        <f>Health_Scen_Aggregation!$R$10</f>
        <v>Sz3</v>
      </c>
      <c r="D66" s="108" t="str">
        <f>Health_Scen_Aggregation!$R$11</f>
        <v>Aktienmarkt crash (1987)</v>
      </c>
      <c r="E66" s="108"/>
      <c r="F66" s="108"/>
      <c r="G66" s="875">
        <f>Health_Scen_Aggregation!$R$13</f>
        <v>0</v>
      </c>
      <c r="H66" s="108"/>
      <c r="I66" s="876">
        <f>Health_Scen_Aggregation!$R$12</f>
        <v>0</v>
      </c>
      <c r="J66" s="108"/>
      <c r="K66" s="138"/>
      <c r="L66" s="43"/>
    </row>
    <row r="67" spans="2:12" x14ac:dyDescent="0.2">
      <c r="B67" s="52"/>
      <c r="C67" s="108" t="str">
        <f>Health_Scen_Aggregation!$S$10</f>
        <v>Sz4</v>
      </c>
      <c r="D67" s="108" t="str">
        <f>Health_Scen_Aggregation!$S$11</f>
        <v>Nikkei crash (1989/90)</v>
      </c>
      <c r="E67" s="108"/>
      <c r="F67" s="108"/>
      <c r="G67" s="875">
        <f>Health_Scen_Aggregation!$S$13</f>
        <v>0.01</v>
      </c>
      <c r="H67" s="108"/>
      <c r="I67" s="876">
        <f>Health_Scen_Aggregation!$S$12</f>
        <v>0</v>
      </c>
      <c r="J67" s="108"/>
      <c r="K67" s="138"/>
      <c r="L67" s="43"/>
    </row>
    <row r="68" spans="2:12" x14ac:dyDescent="0.2">
      <c r="B68" s="52"/>
      <c r="C68" s="108" t="str">
        <f>Health_Scen_Aggregation!$T$10</f>
        <v>Sz5</v>
      </c>
      <c r="D68" s="108" t="str">
        <f>Health_Scen_Aggregation!$T$11</f>
        <v>Europäische Währungskrise (1992)</v>
      </c>
      <c r="E68" s="108"/>
      <c r="F68" s="108"/>
      <c r="G68" s="875">
        <f>Health_Scen_Aggregation!$T$13</f>
        <v>0</v>
      </c>
      <c r="H68" s="108"/>
      <c r="I68" s="876">
        <f>Health_Scen_Aggregation!$T$12</f>
        <v>0</v>
      </c>
      <c r="J68" s="108"/>
      <c r="K68" s="138"/>
      <c r="L68" s="43"/>
    </row>
    <row r="69" spans="2:12" x14ac:dyDescent="0.2">
      <c r="B69" s="52"/>
      <c r="C69" s="108" t="str">
        <f>Health_Scen_Aggregation!$U$10</f>
        <v>Sz6</v>
      </c>
      <c r="D69" s="108" t="str">
        <f>Health_Scen_Aggregation!$U$11</f>
        <v>US Zinskrise (1994)</v>
      </c>
      <c r="E69" s="108"/>
      <c r="F69" s="108"/>
      <c r="G69" s="875">
        <f>Health_Scen_Aggregation!$U$13</f>
        <v>0.01</v>
      </c>
      <c r="H69" s="108"/>
      <c r="I69" s="876">
        <f>Health_Scen_Aggregation!$U$12</f>
        <v>0</v>
      </c>
      <c r="J69" s="108"/>
      <c r="K69" s="138"/>
      <c r="L69" s="43"/>
    </row>
    <row r="70" spans="2:12" x14ac:dyDescent="0.2">
      <c r="B70" s="52"/>
      <c r="C70" s="108" t="str">
        <f>Health_Scen_Aggregation!$V$10</f>
        <v>Sz7</v>
      </c>
      <c r="D70" s="108" t="str">
        <f>Health_Scen_Aggregation!$V$11</f>
        <v>Russland Krise / LTCM (1998)</v>
      </c>
      <c r="E70" s="108"/>
      <c r="F70" s="108"/>
      <c r="G70" s="875">
        <f>Health_Scen_Aggregation!$V$13</f>
        <v>0</v>
      </c>
      <c r="H70" s="108"/>
      <c r="I70" s="876">
        <f>Health_Scen_Aggregation!$V$12</f>
        <v>0</v>
      </c>
      <c r="J70" s="108"/>
      <c r="K70" s="138"/>
      <c r="L70" s="43"/>
    </row>
    <row r="71" spans="2:12" x14ac:dyDescent="0.2">
      <c r="B71" s="52"/>
      <c r="C71" s="108" t="str">
        <f>Health_Scen_Aggregation!$W$10</f>
        <v>Sz8</v>
      </c>
      <c r="D71" s="108" t="str">
        <f>Health_Scen_Aggregation!$W$11</f>
        <v>Aktienmarkt crash (2000/2001)</v>
      </c>
      <c r="E71" s="108"/>
      <c r="F71" s="108"/>
      <c r="G71" s="875">
        <f>Health_Scen_Aggregation!$W$13</f>
        <v>0.01</v>
      </c>
      <c r="H71" s="108"/>
      <c r="I71" s="876">
        <f>Health_Scen_Aggregation!$W$12</f>
        <v>0</v>
      </c>
      <c r="J71" s="108"/>
      <c r="K71" s="138"/>
      <c r="L71" s="43"/>
    </row>
    <row r="72" spans="2:12" x14ac:dyDescent="0.2">
      <c r="B72" s="52"/>
      <c r="C72" s="108" t="str">
        <f>Health_Scen_Aggregation!$X$10</f>
        <v>Sz9</v>
      </c>
      <c r="D72" s="108" t="str">
        <f>Health_Scen_Aggregation!$X$11</f>
        <v>Globale Deflation</v>
      </c>
      <c r="E72" s="108"/>
      <c r="F72" s="108"/>
      <c r="G72" s="875">
        <f>Health_Scen_Aggregation!$X$13</f>
        <v>0</v>
      </c>
      <c r="H72" s="108"/>
      <c r="I72" s="876">
        <f>Health_Scen_Aggregation!$X$12</f>
        <v>0</v>
      </c>
      <c r="J72" s="108"/>
      <c r="K72" s="138"/>
      <c r="L72" s="43"/>
    </row>
    <row r="73" spans="2:12" x14ac:dyDescent="0.2">
      <c r="B73" s="52"/>
      <c r="C73" s="108" t="str">
        <f>Health_Scen_Aggregation!$Y$10</f>
        <v>Sz10</v>
      </c>
      <c r="D73" s="108" t="str">
        <f>Health_Scen_Aggregation!$Y$11</f>
        <v>Globale Inflation</v>
      </c>
      <c r="E73" s="108"/>
      <c r="F73" s="108"/>
      <c r="G73" s="875">
        <f>Health_Scen_Aggregation!$Y$13</f>
        <v>0.01</v>
      </c>
      <c r="H73" s="108"/>
      <c r="I73" s="876">
        <f>Health_Scen_Aggregation!$Y$12</f>
        <v>0</v>
      </c>
      <c r="J73" s="108"/>
      <c r="K73" s="138"/>
      <c r="L73" s="43"/>
    </row>
    <row r="74" spans="2:12" x14ac:dyDescent="0.2">
      <c r="B74" s="52"/>
      <c r="C74" s="108" t="str">
        <f>Health_Scen_Aggregation!$Z$10</f>
        <v>Sz11</v>
      </c>
      <c r="D74" s="108" t="str">
        <f>Health_Scen_Aggregation!$Z$11</f>
        <v>Finanzkrise 2008</v>
      </c>
      <c r="E74" s="108"/>
      <c r="F74" s="108"/>
      <c r="G74" s="875">
        <f>Health_Scen_Aggregation!$Z$13</f>
        <v>0.01</v>
      </c>
      <c r="H74" s="108"/>
      <c r="I74" s="876">
        <f>Health_Scen_Aggregation!$Z$12</f>
        <v>0</v>
      </c>
      <c r="J74" s="108"/>
      <c r="K74" s="138"/>
      <c r="L74" s="43"/>
    </row>
    <row r="75" spans="2:12" x14ac:dyDescent="0.2">
      <c r="B75" s="52"/>
      <c r="C75" s="6"/>
      <c r="D75" s="6"/>
      <c r="E75" s="6"/>
      <c r="F75" s="250"/>
      <c r="G75" s="250"/>
      <c r="H75" s="250"/>
      <c r="I75" s="250"/>
      <c r="J75" s="250"/>
      <c r="K75" s="543"/>
      <c r="L75" s="43"/>
    </row>
    <row r="76" spans="2:12" s="3" customFormat="1" x14ac:dyDescent="0.2">
      <c r="B76" s="853"/>
      <c r="C76" s="60"/>
      <c r="D76" s="120" t="str">
        <f>Translation!B774</f>
        <v>Aggregation der Szenarien</v>
      </c>
      <c r="E76" s="120"/>
      <c r="F76" s="858"/>
      <c r="G76" s="858"/>
      <c r="H76" s="858"/>
      <c r="I76" s="858"/>
      <c r="J76" s="121">
        <f>$K$123-$K$122</f>
        <v>0</v>
      </c>
      <c r="K76" s="121">
        <f>-J76</f>
        <v>0</v>
      </c>
      <c r="L76" s="854"/>
    </row>
    <row r="77" spans="2:12" x14ac:dyDescent="0.2">
      <c r="B77" s="52"/>
      <c r="C77" s="6"/>
      <c r="D77" s="108"/>
      <c r="E77" s="108"/>
      <c r="F77" s="113"/>
      <c r="G77" s="113"/>
      <c r="H77" s="113"/>
      <c r="I77" s="113"/>
      <c r="J77" s="109"/>
      <c r="K77" s="109"/>
      <c r="L77" s="43"/>
    </row>
    <row r="78" spans="2:12" s="3" customFormat="1" x14ac:dyDescent="0.2">
      <c r="B78" s="853"/>
      <c r="C78" s="60"/>
      <c r="D78" s="120" t="str">
        <f>Translation!B775</f>
        <v>Kreditrisiko</v>
      </c>
      <c r="E78" s="120"/>
      <c r="F78" s="120"/>
      <c r="G78" s="120"/>
      <c r="H78" s="120"/>
      <c r="I78" s="120"/>
      <c r="J78" s="120"/>
      <c r="K78" s="121">
        <f>IF(type_i_of_insurer=$G$116,Credit_Risk!$E$6,0)</f>
        <v>0</v>
      </c>
      <c r="L78" s="854"/>
    </row>
    <row r="79" spans="2:12" x14ac:dyDescent="0.2">
      <c r="B79" s="52"/>
      <c r="C79" s="6"/>
      <c r="D79" s="108"/>
      <c r="E79" s="108"/>
      <c r="F79" s="108"/>
      <c r="G79" s="108"/>
      <c r="H79" s="108"/>
      <c r="I79" s="108"/>
      <c r="J79" s="108"/>
      <c r="K79" s="109"/>
      <c r="L79" s="43"/>
    </row>
    <row r="80" spans="2:12" s="3" customFormat="1" x14ac:dyDescent="0.2">
      <c r="B80" s="853"/>
      <c r="C80" s="60"/>
      <c r="D80" s="120" t="str">
        <f>Translation!B776</f>
        <v>Risikomarge</v>
      </c>
      <c r="E80" s="120"/>
      <c r="F80" s="120"/>
      <c r="G80" s="120"/>
      <c r="H80" s="120"/>
      <c r="I80" s="120"/>
      <c r="J80" s="120"/>
      <c r="K80" s="121">
        <v>0</v>
      </c>
      <c r="L80" s="854"/>
    </row>
    <row r="81" spans="2:12" x14ac:dyDescent="0.2">
      <c r="B81" s="52"/>
      <c r="C81" s="6"/>
      <c r="D81" s="859"/>
      <c r="E81" s="859"/>
      <c r="F81" s="859"/>
      <c r="G81" s="859"/>
      <c r="H81" s="859"/>
      <c r="I81" s="859"/>
      <c r="J81" s="859"/>
      <c r="K81" s="860"/>
      <c r="L81" s="43"/>
    </row>
    <row r="82" spans="2:12" s="861" customFormat="1" ht="18" x14ac:dyDescent="0.25">
      <c r="B82" s="862"/>
      <c r="C82" s="863"/>
      <c r="D82" s="864" t="str">
        <f>Translation!B777</f>
        <v>Mindesthöhe der Reserven</v>
      </c>
      <c r="E82" s="864"/>
      <c r="F82" s="864"/>
      <c r="G82" s="864"/>
      <c r="H82" s="864"/>
      <c r="I82" s="864"/>
      <c r="J82" s="864"/>
      <c r="K82" s="865">
        <f>SUM(K9:K81)</f>
        <v>0</v>
      </c>
      <c r="L82" s="866"/>
    </row>
    <row r="83" spans="2:12" ht="13.5" thickBot="1" x14ac:dyDescent="0.25">
      <c r="B83" s="44"/>
      <c r="C83" s="5"/>
      <c r="D83" s="5"/>
      <c r="E83" s="5"/>
      <c r="F83" s="5"/>
      <c r="G83" s="5"/>
      <c r="H83" s="5"/>
      <c r="I83" s="5"/>
      <c r="J83" s="5"/>
      <c r="K83" s="5"/>
      <c r="L83" s="45"/>
    </row>
    <row r="85" spans="2:12" ht="13.5" thickBot="1" x14ac:dyDescent="0.25"/>
    <row r="86" spans="2:12" ht="34.5" customHeight="1" x14ac:dyDescent="0.2">
      <c r="B86" s="1353"/>
      <c r="C86" s="1354" t="str">
        <f>Translation!B778</f>
        <v>Berechnung der vorhandenen Reserven per 01.01.2025</v>
      </c>
      <c r="D86" s="1355"/>
      <c r="E86" s="1355"/>
      <c r="F86" s="1355"/>
      <c r="G86" s="1355"/>
      <c r="H86" s="1355"/>
      <c r="I86" s="1355"/>
      <c r="J86" s="1355"/>
      <c r="K86" s="1356" t="str">
        <f>Translation!$B$737</f>
        <v>Werte in Mio. CHF</v>
      </c>
      <c r="L86" s="1357"/>
    </row>
    <row r="87" spans="2:12" ht="8.1" customHeight="1" x14ac:dyDescent="0.2">
      <c r="B87" s="52"/>
      <c r="C87" s="6"/>
      <c r="D87" s="6"/>
      <c r="E87" s="6"/>
      <c r="F87" s="6"/>
      <c r="G87" s="6"/>
      <c r="H87" s="6"/>
      <c r="I87" s="6"/>
      <c r="J87" s="6"/>
      <c r="K87" s="6"/>
      <c r="L87" s="43"/>
    </row>
    <row r="88" spans="2:12" ht="38.25" x14ac:dyDescent="0.2">
      <c r="B88" s="52"/>
      <c r="C88" s="6"/>
      <c r="D88" s="6"/>
      <c r="E88" s="111"/>
      <c r="F88" s="111"/>
      <c r="G88" s="111" t="str">
        <f>Translation!B794</f>
        <v>statutarisch</v>
      </c>
      <c r="H88" s="111" t="str">
        <f>Translation!B795</f>
        <v>Umlegungen</v>
      </c>
      <c r="I88" s="111" t="str">
        <f>Translation!B796</f>
        <v>Bewertungs-differenzen</v>
      </c>
      <c r="J88" s="111" t="str">
        <f>Translation!B797</f>
        <v>veränderter Stichtag</v>
      </c>
      <c r="K88" s="1376" t="str">
        <f>Translation!B798</f>
        <v>marktnah
Best Estimate</v>
      </c>
      <c r="L88" s="43"/>
    </row>
    <row r="89" spans="2:12" ht="8.1" customHeight="1" x14ac:dyDescent="0.2">
      <c r="B89" s="52"/>
      <c r="C89" s="6"/>
      <c r="D89" s="6"/>
      <c r="E89" s="6"/>
      <c r="F89" s="6"/>
      <c r="G89" s="6"/>
      <c r="H89" s="6"/>
      <c r="I89" s="6"/>
      <c r="J89" s="6"/>
      <c r="K89" s="60"/>
      <c r="L89" s="43"/>
    </row>
    <row r="90" spans="2:12" x14ac:dyDescent="0.2">
      <c r="B90" s="52"/>
      <c r="C90" s="6"/>
      <c r="D90" s="108" t="str">
        <f>Translation!B784</f>
        <v>Total Aktiven</v>
      </c>
      <c r="E90" s="108"/>
      <c r="F90" s="108"/>
      <c r="G90" s="138">
        <f>'BewDifferenzen_Statut-Marktnah'!F69/1000000</f>
        <v>0</v>
      </c>
      <c r="H90" s="138">
        <f>SUM('BewDifferenzen_Statut-Marktnah'!H69,'BewDifferenzen_Statut-Marktnah'!K69)/1000000</f>
        <v>0</v>
      </c>
      <c r="I90" s="138">
        <f ca="1">'BewDifferenzen_Statut-Marktnah'!M69/1000000</f>
        <v>0</v>
      </c>
      <c r="J90" s="138">
        <f>Marktnahe_Bilanz!F69/1000000</f>
        <v>0</v>
      </c>
      <c r="K90" s="135">
        <f>Marktnahe_Bilanz!G69/1000000</f>
        <v>0</v>
      </c>
      <c r="L90" s="43"/>
    </row>
    <row r="91" spans="2:12" x14ac:dyDescent="0.2">
      <c r="B91" s="52"/>
      <c r="C91" s="6"/>
      <c r="D91" s="108" t="str">
        <f>Translation!B785</f>
        <v>Total Fremdkapital</v>
      </c>
      <c r="E91" s="108"/>
      <c r="F91" s="108"/>
      <c r="G91" s="138">
        <f>-'BewDifferenzen_Statut-Marktnah'!F128/1000000</f>
        <v>0</v>
      </c>
      <c r="H91" s="138">
        <f>-SUM('BewDifferenzen_Statut-Marktnah'!H128,'BewDifferenzen_Statut-Marktnah'!K128)/1000000</f>
        <v>0</v>
      </c>
      <c r="I91" s="138">
        <f ca="1">-'BewDifferenzen_Statut-Marktnah'!M128/1000000</f>
        <v>0</v>
      </c>
      <c r="J91" s="138">
        <f>-Marktnahe_Bilanz!F128/1000000</f>
        <v>0</v>
      </c>
      <c r="K91" s="135">
        <f>-Marktnahe_Bilanz!G128/1000000</f>
        <v>0</v>
      </c>
      <c r="L91" s="43"/>
    </row>
    <row r="92" spans="2:12" hidden="1" x14ac:dyDescent="0.2">
      <c r="B92" s="52"/>
      <c r="C92" s="6"/>
      <c r="D92" s="320" t="str">
        <f>Translation!B786</f>
        <v>Abzüge</v>
      </c>
      <c r="E92" s="108"/>
      <c r="F92" s="108"/>
      <c r="G92" s="138"/>
      <c r="H92" s="138"/>
      <c r="I92" s="138"/>
      <c r="J92" s="138"/>
      <c r="K92" s="135">
        <v>0</v>
      </c>
      <c r="L92" s="43"/>
    </row>
    <row r="93" spans="2:12" hidden="1" x14ac:dyDescent="0.2">
      <c r="B93" s="52"/>
      <c r="C93" s="6"/>
      <c r="D93" s="320" t="str">
        <f>Translation!B787</f>
        <v>Ergänzendes Kapital</v>
      </c>
      <c r="E93" s="108"/>
      <c r="F93" s="108"/>
      <c r="G93" s="138"/>
      <c r="H93" s="138"/>
      <c r="I93" s="138"/>
      <c r="J93" s="138"/>
      <c r="K93" s="135">
        <v>0</v>
      </c>
      <c r="L93" s="43"/>
    </row>
    <row r="94" spans="2:12" hidden="1" x14ac:dyDescent="0.2">
      <c r="B94" s="52"/>
      <c r="C94" s="6"/>
      <c r="D94" s="320" t="str">
        <f>Translation!B788</f>
        <v>Zusätzliches Kernkapital</v>
      </c>
      <c r="E94" s="108"/>
      <c r="F94" s="108"/>
      <c r="G94" s="138"/>
      <c r="H94" s="138"/>
      <c r="I94" s="138"/>
      <c r="J94" s="138"/>
      <c r="K94" s="135">
        <v>0</v>
      </c>
      <c r="L94" s="43"/>
    </row>
    <row r="95" spans="2:12" x14ac:dyDescent="0.2">
      <c r="B95" s="52"/>
      <c r="C95" s="6"/>
      <c r="D95" s="320" t="str">
        <f>Translation!B789</f>
        <v>VVG Anteile</v>
      </c>
      <c r="E95" s="108"/>
      <c r="F95" s="108"/>
      <c r="G95" s="138">
        <f>-SUM('BewDifferenzen_Statut-Marktnah'!F138)/1000000</f>
        <v>0</v>
      </c>
      <c r="H95" s="138">
        <f ca="1">-SUM('BewDifferenzen_Statut-Marktnah'!H138,'BewDifferenzen_Statut-Marktnah'!K138)/1000000</f>
        <v>0</v>
      </c>
      <c r="I95" s="138">
        <f ca="1">-SUM('BewDifferenzen_Statut-Marktnah'!M138)/1000000</f>
        <v>0</v>
      </c>
      <c r="J95" s="138">
        <f>-SUM(Marktnahe_Bilanz!F138)/1000000</f>
        <v>0</v>
      </c>
      <c r="K95" s="135">
        <f>-SUM(Marktnahe_Bilanz!G138)/1000000</f>
        <v>0</v>
      </c>
      <c r="L95" s="43"/>
    </row>
    <row r="96" spans="2:12" s="3" customFormat="1" x14ac:dyDescent="0.2">
      <c r="B96" s="853"/>
      <c r="C96" s="60"/>
      <c r="D96" s="120" t="str">
        <f>Translation!B790</f>
        <v>Total (Eigenkapital bzw. Reserven)</v>
      </c>
      <c r="E96" s="120"/>
      <c r="F96" s="120"/>
      <c r="G96" s="135">
        <f>SUM(G90:G95)</f>
        <v>0</v>
      </c>
      <c r="H96" s="135">
        <f ca="1">SUM(H90:H95)</f>
        <v>0</v>
      </c>
      <c r="I96" s="135">
        <f ca="1">SUM(I90:I95)</f>
        <v>0</v>
      </c>
      <c r="J96" s="135">
        <f>SUM(J90:J95)</f>
        <v>0</v>
      </c>
      <c r="K96" s="135">
        <f>SUM(K90:K95)</f>
        <v>0</v>
      </c>
      <c r="L96" s="854"/>
    </row>
    <row r="97" spans="2:12" x14ac:dyDescent="0.2">
      <c r="B97" s="52"/>
      <c r="C97" s="6"/>
      <c r="D97" s="108"/>
      <c r="E97" s="108"/>
      <c r="F97" s="108"/>
      <c r="G97" s="108"/>
      <c r="H97" s="138"/>
      <c r="I97" s="108"/>
      <c r="J97" s="108"/>
      <c r="K97" s="138"/>
      <c r="L97" s="43"/>
    </row>
    <row r="98" spans="2:12" s="861" customFormat="1" ht="18" x14ac:dyDescent="0.25">
      <c r="B98" s="862"/>
      <c r="C98" s="863"/>
      <c r="D98" s="864" t="str">
        <f>Translation!B791</f>
        <v>Vorhandene Reserven</v>
      </c>
      <c r="E98" s="864"/>
      <c r="F98" s="864"/>
      <c r="G98" s="864"/>
      <c r="H98" s="864"/>
      <c r="I98" s="864"/>
      <c r="J98" s="864"/>
      <c r="K98" s="865">
        <f>$K$96</f>
        <v>0</v>
      </c>
      <c r="L98" s="866"/>
    </row>
    <row r="99" spans="2:12" ht="13.5" thickBot="1" x14ac:dyDescent="0.25">
      <c r="B99" s="44"/>
      <c r="C99" s="5"/>
      <c r="D99" s="5"/>
      <c r="E99" s="5"/>
      <c r="F99" s="5"/>
      <c r="G99" s="5"/>
      <c r="H99" s="5"/>
      <c r="I99" s="5"/>
      <c r="J99" s="5"/>
      <c r="K99" s="5"/>
      <c r="L99" s="45"/>
    </row>
    <row r="101" spans="2:12" ht="13.5" thickBot="1" x14ac:dyDescent="0.25"/>
    <row r="102" spans="2:12" ht="35.1" customHeight="1" x14ac:dyDescent="0.2">
      <c r="B102" s="1353"/>
      <c r="C102" s="1354" t="str">
        <f>Translation!B792</f>
        <v>Vergleich der vorhandenen Reserven mit der Mindesthöhe der Reserven per 01.01.2025</v>
      </c>
      <c r="D102" s="1355"/>
      <c r="E102" s="1355"/>
      <c r="F102" s="1355"/>
      <c r="G102" s="1355"/>
      <c r="H102" s="1355"/>
      <c r="I102" s="1355"/>
      <c r="J102" s="1355"/>
      <c r="K102" s="1356"/>
      <c r="L102" s="1357"/>
    </row>
    <row r="103" spans="2:12" ht="8.1" customHeight="1" x14ac:dyDescent="0.2">
      <c r="B103" s="52"/>
      <c r="C103" s="6"/>
      <c r="D103" s="6"/>
      <c r="E103" s="6"/>
      <c r="F103" s="6"/>
      <c r="G103" s="6"/>
      <c r="H103" s="6"/>
      <c r="I103" s="6"/>
      <c r="J103" s="6"/>
      <c r="K103" s="6"/>
      <c r="L103" s="43"/>
    </row>
    <row r="104" spans="2:12" ht="20.100000000000001" customHeight="1" x14ac:dyDescent="0.2">
      <c r="B104" s="52"/>
      <c r="C104" s="6"/>
      <c r="D104" s="6"/>
      <c r="E104" s="6"/>
      <c r="F104" s="6"/>
      <c r="G104" s="6"/>
      <c r="H104" s="6"/>
      <c r="I104" s="6"/>
      <c r="J104" s="6"/>
      <c r="K104" s="6"/>
      <c r="L104" s="43"/>
    </row>
    <row r="105" spans="2:12" ht="20.100000000000001" customHeight="1" x14ac:dyDescent="0.25">
      <c r="B105" s="52"/>
      <c r="C105" s="6"/>
      <c r="D105" s="864" t="str">
        <f>Translation!B793</f>
        <v>Vorhandene Reserven - Mindesthöhe der Reserven</v>
      </c>
      <c r="E105" s="864"/>
      <c r="F105" s="864"/>
      <c r="G105" s="864"/>
      <c r="H105" s="864"/>
      <c r="I105" s="320" t="str">
        <f>Translation!B800</f>
        <v>Differenz</v>
      </c>
      <c r="J105" s="320" t="s">
        <v>736</v>
      </c>
      <c r="K105" s="909">
        <f>$K$98-$K$82</f>
        <v>0</v>
      </c>
      <c r="L105" s="43"/>
    </row>
    <row r="106" spans="2:12" s="76" customFormat="1" ht="18" x14ac:dyDescent="0.25">
      <c r="B106" s="867"/>
      <c r="C106" s="868"/>
      <c r="D106" s="864" t="str">
        <f>Translation!B799</f>
        <v>Vorhandene Reserven / Mindesthöhe der Reserven</v>
      </c>
      <c r="E106" s="864"/>
      <c r="F106" s="864"/>
      <c r="G106" s="864"/>
      <c r="H106" s="864"/>
      <c r="I106" s="320" t="str">
        <f>Translation!B801</f>
        <v>Ratio</v>
      </c>
      <c r="J106" s="320" t="s">
        <v>737</v>
      </c>
      <c r="K106" s="910">
        <f>IF(K82=0,0,K98/K82)</f>
        <v>0</v>
      </c>
      <c r="L106" s="869"/>
    </row>
    <row r="107" spans="2:12" ht="13.5" thickBot="1" x14ac:dyDescent="0.25">
      <c r="B107" s="44"/>
      <c r="C107" s="5"/>
      <c r="D107" s="5"/>
      <c r="E107" s="5"/>
      <c r="F107" s="5"/>
      <c r="G107" s="5"/>
      <c r="H107" s="5"/>
      <c r="I107" s="5"/>
      <c r="J107" s="5"/>
      <c r="K107" s="5"/>
      <c r="L107" s="45"/>
    </row>
    <row r="108" spans="2:12" s="6" customFormat="1" x14ac:dyDescent="0.2"/>
    <row r="109" spans="2:12" x14ac:dyDescent="0.2">
      <c r="B109" s="6"/>
      <c r="C109" s="6"/>
      <c r="D109" s="6"/>
      <c r="E109" s="6"/>
      <c r="F109" s="6"/>
      <c r="G109" s="6"/>
      <c r="H109" s="6"/>
      <c r="I109" s="6"/>
      <c r="J109" s="6"/>
      <c r="K109" s="6"/>
      <c r="L109" s="6"/>
    </row>
    <row r="110" spans="2:12" x14ac:dyDescent="0.2">
      <c r="B110" s="6"/>
      <c r="C110" s="6"/>
      <c r="D110" s="6"/>
      <c r="E110" s="6"/>
      <c r="F110" s="6"/>
      <c r="G110" s="6"/>
      <c r="H110" s="6"/>
      <c r="I110" s="6"/>
      <c r="J110" s="6"/>
      <c r="K110" s="6"/>
      <c r="L110" s="6"/>
    </row>
    <row r="111" spans="2:12" ht="16.5" thickBot="1" x14ac:dyDescent="0.3">
      <c r="B111" s="1383" t="str">
        <f>Translation!B811</f>
        <v>Ort und Datum:</v>
      </c>
      <c r="C111" s="1383"/>
      <c r="D111" s="1383"/>
      <c r="E111" s="1383"/>
      <c r="F111" s="1383"/>
      <c r="G111" s="1383"/>
      <c r="H111" s="1383"/>
      <c r="I111" s="1383" t="str">
        <f>Translation!B812</f>
        <v>Unterschrift:</v>
      </c>
      <c r="J111" s="1383"/>
      <c r="K111" s="1383"/>
      <c r="L111" s="1383"/>
    </row>
    <row r="112" spans="2:12" ht="35.1" customHeight="1" x14ac:dyDescent="0.2">
      <c r="B112" s="1384"/>
      <c r="C112" s="1385" t="str">
        <f>Translation!B802</f>
        <v>Addendum: Analytisches Modell und Szenarien</v>
      </c>
      <c r="D112" s="1386"/>
      <c r="E112" s="1386"/>
      <c r="F112" s="1386"/>
      <c r="G112" s="1386"/>
      <c r="H112" s="1386"/>
      <c r="I112" s="1386"/>
      <c r="J112" s="1386"/>
      <c r="K112" s="1387" t="str">
        <f>Translation!$B$737</f>
        <v>Werte in Mio. CHF</v>
      </c>
      <c r="L112" s="1388"/>
    </row>
    <row r="113" spans="2:12" ht="8.1" customHeight="1" x14ac:dyDescent="0.2">
      <c r="B113" s="52"/>
      <c r="C113" s="6"/>
      <c r="D113" s="6"/>
      <c r="E113" s="6"/>
      <c r="F113" s="6"/>
      <c r="G113" s="6"/>
      <c r="H113" s="6"/>
      <c r="I113" s="6"/>
      <c r="J113" s="6"/>
      <c r="K113" s="6"/>
      <c r="L113" s="43"/>
    </row>
    <row r="114" spans="2:12" x14ac:dyDescent="0.2">
      <c r="B114" s="52"/>
      <c r="C114" s="877" t="str">
        <f>Translation!B803</f>
        <v>Zusammenfassung des analytischen Modells und Aggregation mit Szenarien</v>
      </c>
      <c r="D114" s="112"/>
      <c r="E114" s="112"/>
      <c r="F114" s="112"/>
      <c r="G114" s="112"/>
      <c r="H114" s="112"/>
      <c r="I114" s="112"/>
      <c r="J114" s="112"/>
      <c r="K114" s="112"/>
      <c r="L114" s="43"/>
    </row>
    <row r="115" spans="2:12" x14ac:dyDescent="0.2">
      <c r="B115" s="52"/>
      <c r="C115" s="6"/>
      <c r="D115" s="6"/>
      <c r="E115" s="6"/>
      <c r="F115" s="6"/>
      <c r="G115" s="6"/>
      <c r="H115" s="6"/>
      <c r="I115" s="6"/>
      <c r="J115" s="6"/>
      <c r="K115" s="6"/>
      <c r="L115" s="43"/>
    </row>
    <row r="116" spans="2:12" ht="25.5" x14ac:dyDescent="0.2">
      <c r="B116" s="52"/>
      <c r="C116" s="6"/>
      <c r="D116" s="905" t="str">
        <f>Translation!B804</f>
        <v>Sicherheitsstufe</v>
      </c>
      <c r="E116" s="906">
        <f>1-E117</f>
        <v>0.99</v>
      </c>
      <c r="F116" s="341" t="str">
        <f>Translation!B805</f>
        <v>Art des Versicherers:</v>
      </c>
      <c r="G116" s="907">
        <v>3</v>
      </c>
      <c r="H116" s="6"/>
      <c r="I116" s="857" t="str">
        <f>Translation!B806</f>
        <v>Standardabweichung</v>
      </c>
      <c r="J116" s="857" t="s">
        <v>61</v>
      </c>
      <c r="K116" s="857" t="s">
        <v>117</v>
      </c>
      <c r="L116" s="43"/>
    </row>
    <row r="117" spans="2:12" x14ac:dyDescent="0.2">
      <c r="B117" s="52"/>
      <c r="C117" s="6"/>
      <c r="D117" s="908" t="s">
        <v>62</v>
      </c>
      <c r="E117" s="133">
        <f>alpha</f>
        <v>0.01</v>
      </c>
      <c r="F117" s="6"/>
      <c r="G117" s="7"/>
      <c r="H117" s="6"/>
      <c r="I117" s="6"/>
      <c r="J117" s="250"/>
      <c r="K117" s="543"/>
      <c r="L117" s="43"/>
    </row>
    <row r="118" spans="2:12" ht="8.1" customHeight="1" x14ac:dyDescent="0.2">
      <c r="B118" s="52"/>
      <c r="C118" s="6"/>
      <c r="D118" s="11"/>
      <c r="E118" s="12"/>
      <c r="F118" s="12"/>
      <c r="G118" s="22"/>
      <c r="H118" s="6"/>
      <c r="I118" s="6"/>
      <c r="J118" s="6"/>
      <c r="K118" s="6"/>
      <c r="L118" s="43"/>
    </row>
    <row r="119" spans="2:12" x14ac:dyDescent="0.2">
      <c r="B119" s="52"/>
      <c r="C119" s="6"/>
      <c r="D119" s="6"/>
      <c r="E119" s="6"/>
      <c r="F119" s="6"/>
      <c r="G119" s="6"/>
      <c r="H119" s="6"/>
      <c r="I119" s="6"/>
      <c r="J119" s="250"/>
      <c r="K119" s="543"/>
      <c r="L119" s="43"/>
    </row>
    <row r="120" spans="2:12" x14ac:dyDescent="0.2">
      <c r="B120" s="52"/>
      <c r="C120" s="120" t="str">
        <f>Translation!B807</f>
        <v>Versicherungsrisiko</v>
      </c>
      <c r="D120" s="120"/>
      <c r="E120" s="120"/>
      <c r="F120" s="120"/>
      <c r="G120" s="120"/>
      <c r="H120" s="120"/>
      <c r="I120" s="544">
        <f>HE_Insurance_Risk!W11</f>
        <v>0</v>
      </c>
      <c r="J120" s="544">
        <f>NORMINV($E$117,0,I120+0.0000000001)</f>
        <v>-2.3263478740408409E-10</v>
      </c>
      <c r="K120" s="544">
        <f>(-NORMDIST(NORMINV($E$117,0,1),0,1,0)/$E$117*I120)</f>
        <v>0</v>
      </c>
      <c r="L120" s="43"/>
    </row>
    <row r="121" spans="2:12" x14ac:dyDescent="0.2">
      <c r="B121" s="52"/>
      <c r="C121" s="120" t="str">
        <f>Translation!B808</f>
        <v>Marktrisiko</v>
      </c>
      <c r="D121" s="120"/>
      <c r="E121" s="120"/>
      <c r="F121" s="120"/>
      <c r="G121" s="120"/>
      <c r="H121" s="120"/>
      <c r="I121" s="544">
        <f>IF(type_i_of_insurer=$G$116,'Market_Risk (Delta Normal)'!D12,0)</f>
        <v>0</v>
      </c>
      <c r="J121" s="544">
        <f>IF(type_i_of_insurer=$G$116,'Market_Risk (Delta Normal)'!F12,0)</f>
        <v>0</v>
      </c>
      <c r="K121" s="544">
        <f>IF(type_i_of_insurer=$G$116,'Market_Risk (Delta Normal)'!G12,0)</f>
        <v>0</v>
      </c>
      <c r="L121" s="43"/>
    </row>
    <row r="122" spans="2:12" x14ac:dyDescent="0.2">
      <c r="B122" s="52"/>
      <c r="C122" s="120" t="str">
        <f>Translation!B809</f>
        <v xml:space="preserve">Analytisches Modell </v>
      </c>
      <c r="D122" s="120"/>
      <c r="E122" s="120"/>
      <c r="F122" s="120"/>
      <c r="G122" s="120"/>
      <c r="H122" s="120"/>
      <c r="I122" s="544">
        <f>SQRT(I120^2+I121^2)</f>
        <v>0</v>
      </c>
      <c r="J122" s="544">
        <f>NORMINV($E$117,0,I122+0.0000000001)</f>
        <v>-2.3263478740408409E-10</v>
      </c>
      <c r="K122" s="544">
        <f>(-NORMDIST(NORMINV($E$117,0,1),0,1,0)/$E$117*I122)</f>
        <v>0</v>
      </c>
      <c r="L122" s="43"/>
    </row>
    <row r="123" spans="2:12" x14ac:dyDescent="0.2">
      <c r="B123" s="52"/>
      <c r="C123" s="120" t="str">
        <f>Translation!B810</f>
        <v>Aggregation mit Szenarien</v>
      </c>
      <c r="D123" s="120"/>
      <c r="E123" s="120"/>
      <c r="F123" s="120"/>
      <c r="G123" s="120"/>
      <c r="H123" s="120"/>
      <c r="I123" s="544" t="s">
        <v>738</v>
      </c>
      <c r="J123" s="544">
        <f>IF(ISNUMBER(Health_Scen_Aggregation!$E$6),Health_Scen_Aggregation!$E$6,0)</f>
        <v>0</v>
      </c>
      <c r="K123" s="544">
        <f>IF(ISNUMBER(Health_Scen_Aggregation!$E$7),Health_Scen_Aggregation!$E$7,0)</f>
        <v>0</v>
      </c>
      <c r="L123" s="43"/>
    </row>
    <row r="124" spans="2:12" ht="13.5" thickBot="1" x14ac:dyDescent="0.25">
      <c r="B124" s="44"/>
      <c r="C124" s="5"/>
      <c r="D124" s="5"/>
      <c r="E124" s="5"/>
      <c r="F124" s="5"/>
      <c r="G124" s="5"/>
      <c r="H124" s="5"/>
      <c r="I124" s="5"/>
      <c r="J124" s="5"/>
      <c r="K124" s="5"/>
      <c r="L124" s="45"/>
    </row>
  </sheetData>
  <customSheetViews>
    <customSheetView guid="{F15DEFD8-B0F4-4CC3-8896-92BF7E7815B1}" scale="75" showPageBreaks="1" showGridLines="0" fitToPage="1" printArea="1" topLeftCell="A112">
      <selection activeCell="E138" sqref="E138"/>
      <pageMargins left="0.47244094488188981" right="0.47244094488188981" top="0.59055118110236227" bottom="0.59055118110236227" header="0.35433070866141736" footer="0.35433070866141736"/>
      <pageSetup paperSize="9" scale="47" orientation="portrait" r:id="rId1"/>
      <headerFooter alignWithMargins="0">
        <oddHeader>&amp;R&amp;"Arial,Fett"&amp;12KVG-Solvenztest 
Testlauf 2011</oddHeader>
        <oddFooter>&amp;L&amp;F / &amp;A&amp;C&amp;P / &amp;N&amp;R&amp;D</oddFooter>
      </headerFooter>
    </customSheetView>
  </customSheetViews>
  <phoneticPr fontId="0" type="noConversion"/>
  <hyperlinks>
    <hyperlink ref="A1" location="list_of_sheets!A1" display="list_of_sheets!A1" xr:uid="{00000000-0004-0000-1800-000000000000}"/>
  </hyperlinks>
  <pageMargins left="0.47244094488188981" right="0.47244094488188981" top="0.59055118110236227" bottom="0.59055118110236227" header="0.35433070866141736" footer="0.35433070866141736"/>
  <pageSetup paperSize="9" scale="50" orientation="portrait" r:id="rId2"/>
  <headerFooter alignWithMargins="0">
    <oddHeader>&amp;R&amp;"Arial,Fett"&amp;12KVG-Solvenztest 
Test de solvabilité LAMal</oddHeader>
    <oddFooter>&amp;L&amp;F / &amp;A&amp;C&amp;P / &amp;N&amp;R&amp;D</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tabColor rgb="FF800000"/>
    <pageSetUpPr fitToPage="1"/>
  </sheetPr>
  <dimension ref="A1:J82"/>
  <sheetViews>
    <sheetView workbookViewId="0"/>
  </sheetViews>
  <sheetFormatPr baseColWidth="10" defaultColWidth="11.42578125" defaultRowHeight="12.75" x14ac:dyDescent="0.2"/>
  <cols>
    <col min="1" max="1" width="5.5703125" customWidth="1"/>
    <col min="2" max="2" width="10" customWidth="1"/>
    <col min="3" max="3" width="70.5703125" customWidth="1"/>
    <col min="4" max="9" width="18.42578125" customWidth="1"/>
    <col min="10" max="10" width="1.5703125" customWidth="1"/>
  </cols>
  <sheetData>
    <row r="1" spans="1:10" s="140" customFormat="1" ht="21.6" customHeight="1" thickBot="1" x14ac:dyDescent="0.25">
      <c r="A1" s="2193">
        <v>41</v>
      </c>
      <c r="B1" s="267" t="str">
        <f>"Anleitung für die Tabellenblätter " &amp; 'BewDifferenzen_Statut-Marktnah'!A1 &amp; " und " &amp; Gliederung_VorRes_Stat_Marktnah!A1</f>
        <v>Anleitung für die Tabellenblätter 42 und 43</v>
      </c>
      <c r="C1" s="267"/>
      <c r="D1" s="267"/>
      <c r="E1" s="267"/>
      <c r="F1" s="267"/>
      <c r="G1" s="267"/>
      <c r="H1" s="267"/>
      <c r="I1" s="267"/>
      <c r="J1" s="267"/>
    </row>
    <row r="2" spans="1:10" s="140" customFormat="1" ht="21" customHeight="1" x14ac:dyDescent="0.2">
      <c r="A2" s="592"/>
      <c r="B2" s="593"/>
      <c r="C2" s="594"/>
      <c r="D2" s="594"/>
      <c r="E2" s="594"/>
      <c r="F2" s="594"/>
      <c r="G2" s="594"/>
      <c r="H2" s="594"/>
      <c r="I2" s="593"/>
      <c r="J2" s="593"/>
    </row>
    <row r="3" spans="1:10" ht="14.25" x14ac:dyDescent="0.2">
      <c r="A3" s="540"/>
      <c r="B3" s="540"/>
      <c r="C3" s="540"/>
      <c r="D3" s="540"/>
      <c r="E3" s="540"/>
      <c r="F3" s="540"/>
      <c r="G3" s="540"/>
      <c r="H3" s="540"/>
      <c r="I3" s="541"/>
    </row>
    <row r="4" spans="1:10" ht="14.25" customHeight="1" x14ac:dyDescent="0.25">
      <c r="A4" s="2604" t="s">
        <v>504</v>
      </c>
      <c r="B4" s="2604"/>
      <c r="C4" s="2604"/>
      <c r="D4" s="2604"/>
      <c r="E4" s="2604"/>
      <c r="F4" s="2604"/>
      <c r="G4" s="2604"/>
      <c r="H4" s="2604"/>
      <c r="I4" s="2604"/>
    </row>
    <row r="5" spans="1:10" ht="14.25" customHeight="1" x14ac:dyDescent="0.2">
      <c r="A5" s="2604" t="s">
        <v>156</v>
      </c>
      <c r="B5" s="2604"/>
      <c r="C5" s="2604"/>
      <c r="D5" s="2604"/>
      <c r="E5" s="2604"/>
      <c r="F5" s="2604"/>
      <c r="G5" s="2604"/>
      <c r="H5" s="2604"/>
      <c r="I5" s="2604"/>
    </row>
    <row r="6" spans="1:10" ht="14.25" customHeight="1" x14ac:dyDescent="0.2">
      <c r="A6" s="2604" t="s">
        <v>157</v>
      </c>
      <c r="B6" s="2604"/>
      <c r="C6" s="2604"/>
      <c r="D6" s="2604"/>
      <c r="E6" s="2604"/>
      <c r="F6" s="2604"/>
      <c r="G6" s="2604"/>
      <c r="H6" s="2604"/>
      <c r="I6" s="2604"/>
    </row>
    <row r="7" spans="1:10" ht="14.25" customHeight="1" x14ac:dyDescent="0.2">
      <c r="A7" s="2603" t="s">
        <v>158</v>
      </c>
      <c r="B7" s="2603"/>
      <c r="C7" s="2603"/>
      <c r="D7" s="2603"/>
      <c r="E7" s="2603"/>
      <c r="F7" s="2603"/>
      <c r="G7" s="2603"/>
      <c r="H7" s="2603"/>
      <c r="I7" s="2603"/>
    </row>
    <row r="8" spans="1:10" ht="14.25" customHeight="1" x14ac:dyDescent="0.2">
      <c r="A8" s="542"/>
      <c r="B8" s="542"/>
      <c r="C8" s="542"/>
      <c r="D8" s="542"/>
      <c r="E8" s="542"/>
      <c r="F8" s="542"/>
      <c r="G8" s="542"/>
      <c r="H8" s="542"/>
      <c r="I8" s="542"/>
    </row>
    <row r="9" spans="1:10" ht="14.25" customHeight="1" x14ac:dyDescent="0.2">
      <c r="A9" s="541" t="s">
        <v>159</v>
      </c>
      <c r="B9" s="541"/>
      <c r="C9" s="541"/>
      <c r="D9" s="541"/>
      <c r="E9" s="541"/>
      <c r="F9" s="541"/>
      <c r="G9" s="541"/>
      <c r="H9" s="541"/>
      <c r="I9" s="541"/>
    </row>
    <row r="10" spans="1:10" ht="8.25" customHeight="1" x14ac:dyDescent="0.2">
      <c r="A10" s="546"/>
      <c r="B10" s="546"/>
      <c r="C10" s="546"/>
      <c r="D10" s="546"/>
      <c r="E10" s="546"/>
      <c r="F10" s="546"/>
      <c r="G10" s="546"/>
      <c r="H10" s="546"/>
      <c r="I10" s="545"/>
    </row>
    <row r="11" spans="1:10" ht="8.25" customHeight="1" x14ac:dyDescent="0.2">
      <c r="A11" s="547"/>
      <c r="B11" s="547"/>
      <c r="C11" s="547"/>
      <c r="D11" s="547"/>
      <c r="E11" s="547"/>
      <c r="F11" s="547"/>
      <c r="G11" s="547"/>
      <c r="H11" s="547"/>
      <c r="I11" s="548"/>
      <c r="J11" s="548"/>
    </row>
    <row r="12" spans="1:10" ht="14.25" customHeight="1" x14ac:dyDescent="0.25">
      <c r="A12" s="2605" t="s">
        <v>160</v>
      </c>
      <c r="B12" s="2605"/>
      <c r="C12" s="2605"/>
      <c r="D12" s="2605"/>
      <c r="E12" s="2605"/>
      <c r="F12" s="2605"/>
      <c r="G12" s="2605"/>
      <c r="H12" s="2605"/>
      <c r="I12" s="2605"/>
    </row>
    <row r="13" spans="1:10" ht="14.25" customHeight="1" x14ac:dyDescent="0.2">
      <c r="A13" s="549" t="s">
        <v>161</v>
      </c>
      <c r="B13" s="549"/>
      <c r="C13" s="549"/>
      <c r="D13" s="549"/>
      <c r="E13" s="549"/>
      <c r="F13" s="549"/>
      <c r="G13" s="549"/>
      <c r="H13" s="549"/>
      <c r="I13" s="549"/>
    </row>
    <row r="14" spans="1:10" ht="9" customHeight="1" x14ac:dyDescent="0.2">
      <c r="A14" s="549"/>
      <c r="B14" s="549"/>
      <c r="C14" s="549"/>
      <c r="D14" s="549"/>
      <c r="E14" s="549"/>
      <c r="F14" s="549"/>
      <c r="G14" s="549"/>
      <c r="H14" s="549"/>
      <c r="I14" s="549"/>
    </row>
    <row r="15" spans="1:10" ht="15" customHeight="1" x14ac:dyDescent="0.25">
      <c r="A15" s="549"/>
      <c r="B15" s="549"/>
      <c r="C15" s="549"/>
      <c r="D15" s="550" t="s">
        <v>162</v>
      </c>
      <c r="E15" s="550" t="s">
        <v>163</v>
      </c>
      <c r="F15" s="550" t="s">
        <v>164</v>
      </c>
      <c r="G15" s="550" t="s">
        <v>165</v>
      </c>
      <c r="H15" s="550" t="s">
        <v>166</v>
      </c>
      <c r="I15" s="550" t="s">
        <v>167</v>
      </c>
    </row>
    <row r="16" spans="1:10" ht="14.25" customHeight="1" thickBot="1" x14ac:dyDescent="0.25">
      <c r="A16" s="551"/>
      <c r="B16" s="2606" t="s">
        <v>145</v>
      </c>
      <c r="C16" s="2607"/>
      <c r="D16" s="552">
        <f>SUM(D17:D20)</f>
        <v>0</v>
      </c>
      <c r="E16" s="552"/>
      <c r="F16" s="552"/>
      <c r="G16" s="552">
        <f>SUM(G17:G20)</f>
        <v>0</v>
      </c>
      <c r="H16" s="552">
        <f>SUM(H17:H20)</f>
        <v>0</v>
      </c>
      <c r="I16" s="552">
        <f>SUM(I17:I20)</f>
        <v>0</v>
      </c>
    </row>
    <row r="17" spans="1:10" ht="14.25" customHeight="1" thickTop="1" x14ac:dyDescent="0.2">
      <c r="A17" s="551">
        <v>151</v>
      </c>
      <c r="B17" s="553">
        <v>1</v>
      </c>
      <c r="C17" s="554" t="s">
        <v>146</v>
      </c>
      <c r="D17" s="555"/>
      <c r="E17" s="556"/>
      <c r="F17" s="555"/>
      <c r="G17" s="557">
        <v>0</v>
      </c>
      <c r="H17" s="558"/>
      <c r="I17" s="557">
        <f>G17+H17</f>
        <v>0</v>
      </c>
    </row>
    <row r="18" spans="1:10" ht="14.25" customHeight="1" x14ac:dyDescent="0.2">
      <c r="A18" s="551">
        <v>152</v>
      </c>
      <c r="B18" s="553">
        <v>1</v>
      </c>
      <c r="C18" s="559" t="s">
        <v>147</v>
      </c>
      <c r="D18" s="560"/>
      <c r="E18" s="561"/>
      <c r="F18" s="560"/>
      <c r="G18" s="557">
        <f>D18-F18</f>
        <v>0</v>
      </c>
      <c r="H18" s="558"/>
      <c r="I18" s="557">
        <f>G18+H18</f>
        <v>0</v>
      </c>
    </row>
    <row r="19" spans="1:10" ht="14.25" customHeight="1" x14ac:dyDescent="0.2">
      <c r="A19" s="551">
        <v>153</v>
      </c>
      <c r="B19" s="553">
        <v>1</v>
      </c>
      <c r="C19" s="559" t="s">
        <v>148</v>
      </c>
      <c r="D19" s="560"/>
      <c r="E19" s="556"/>
      <c r="F19" s="560"/>
      <c r="G19" s="557">
        <v>0</v>
      </c>
      <c r="H19" s="558"/>
      <c r="I19" s="557">
        <f>G19+H19</f>
        <v>0</v>
      </c>
    </row>
    <row r="20" spans="1:10" ht="14.25" customHeight="1" x14ac:dyDescent="0.2">
      <c r="A20" s="551">
        <v>154</v>
      </c>
      <c r="B20" s="553">
        <v>1</v>
      </c>
      <c r="C20" s="559" t="s">
        <v>149</v>
      </c>
      <c r="D20" s="560"/>
      <c r="E20" s="556"/>
      <c r="F20" s="560"/>
      <c r="G20" s="557">
        <v>0</v>
      </c>
      <c r="H20" s="558"/>
      <c r="I20" s="557">
        <f>G20+H20</f>
        <v>0</v>
      </c>
    </row>
    <row r="21" spans="1:10" ht="12" customHeight="1" x14ac:dyDescent="0.2">
      <c r="A21" s="551"/>
      <c r="B21" s="551"/>
      <c r="C21" s="562"/>
      <c r="D21" s="554"/>
      <c r="E21" s="554"/>
      <c r="F21" s="554"/>
      <c r="G21" s="554"/>
      <c r="H21" s="554"/>
      <c r="I21" s="554"/>
    </row>
    <row r="22" spans="1:10" ht="12" customHeight="1" x14ac:dyDescent="0.2">
      <c r="A22" s="562"/>
      <c r="B22" s="551"/>
      <c r="C22" s="549"/>
      <c r="D22" s="563"/>
      <c r="E22" s="563"/>
      <c r="F22" s="563"/>
      <c r="G22" s="563"/>
      <c r="H22" s="563"/>
      <c r="I22" s="563"/>
    </row>
    <row r="23" spans="1:10" ht="14.25" customHeight="1" x14ac:dyDescent="0.25">
      <c r="A23" s="564" t="s">
        <v>153</v>
      </c>
      <c r="B23" s="551"/>
      <c r="C23" s="549"/>
      <c r="D23" s="554"/>
      <c r="E23" s="554"/>
      <c r="F23" s="554"/>
      <c r="G23" s="554"/>
      <c r="H23" s="554"/>
      <c r="I23" s="554"/>
    </row>
    <row r="24" spans="1:10" ht="14.25" customHeight="1" thickBot="1" x14ac:dyDescent="0.25">
      <c r="A24" s="551"/>
      <c r="B24" s="2606" t="s">
        <v>154</v>
      </c>
      <c r="C24" s="2607"/>
      <c r="D24" s="565">
        <f>SUM(D25:D26)</f>
        <v>0</v>
      </c>
      <c r="E24" s="565"/>
      <c r="F24" s="565"/>
      <c r="G24" s="565">
        <f>SUM(G25:G26)</f>
        <v>0</v>
      </c>
      <c r="H24" s="565">
        <f>SUM(H25:H26)</f>
        <v>0</v>
      </c>
      <c r="I24" s="565">
        <f>SUM(I25:I26)</f>
        <v>0</v>
      </c>
    </row>
    <row r="25" spans="1:10" ht="14.25" customHeight="1" thickTop="1" x14ac:dyDescent="0.2">
      <c r="A25" s="551">
        <v>168</v>
      </c>
      <c r="B25" s="553">
        <v>-1</v>
      </c>
      <c r="C25" s="566" t="s">
        <v>155</v>
      </c>
      <c r="D25" s="555"/>
      <c r="E25" s="556"/>
      <c r="F25" s="555"/>
      <c r="G25" s="557">
        <v>0</v>
      </c>
      <c r="H25" s="558"/>
      <c r="I25" s="557">
        <f>$J25+$K25</f>
        <v>0</v>
      </c>
    </row>
    <row r="26" spans="1:10" ht="14.25" customHeight="1" x14ac:dyDescent="0.2">
      <c r="A26" s="551">
        <v>169</v>
      </c>
      <c r="B26" s="553">
        <v>-1</v>
      </c>
      <c r="C26" s="559" t="s">
        <v>244</v>
      </c>
      <c r="D26" s="560"/>
      <c r="E26" s="567"/>
      <c r="F26" s="560"/>
      <c r="G26" s="557">
        <f>D26-F18</f>
        <v>0</v>
      </c>
      <c r="H26" s="558"/>
      <c r="I26" s="557">
        <f>G26</f>
        <v>0</v>
      </c>
    </row>
    <row r="27" spans="1:10" ht="12" customHeight="1" x14ac:dyDescent="0.2">
      <c r="A27" s="568"/>
      <c r="B27" s="568"/>
      <c r="C27" s="568"/>
      <c r="D27" s="568"/>
      <c r="E27" s="568"/>
      <c r="F27" s="568"/>
      <c r="G27" s="568"/>
      <c r="H27" s="568"/>
      <c r="I27" s="568"/>
    </row>
    <row r="28" spans="1:10" ht="8.25" customHeight="1" x14ac:dyDescent="0.2">
      <c r="A28" s="546"/>
      <c r="B28" s="546"/>
      <c r="C28" s="546"/>
      <c r="D28" s="546"/>
      <c r="E28" s="546"/>
      <c r="F28" s="546"/>
      <c r="G28" s="546"/>
      <c r="H28" s="546"/>
      <c r="I28" s="545"/>
      <c r="J28" s="569"/>
    </row>
    <row r="29" spans="1:10" ht="8.25" customHeight="1" x14ac:dyDescent="0.2">
      <c r="A29" s="547"/>
      <c r="B29" s="547"/>
      <c r="C29" s="547"/>
      <c r="D29" s="547"/>
      <c r="E29" s="547"/>
      <c r="F29" s="547"/>
      <c r="G29" s="547"/>
      <c r="H29" s="547"/>
      <c r="I29" s="548"/>
      <c r="J29" s="6"/>
    </row>
    <row r="30" spans="1:10" ht="14.25" customHeight="1" x14ac:dyDescent="0.25">
      <c r="A30" s="2605" t="s">
        <v>168</v>
      </c>
      <c r="B30" s="2605"/>
      <c r="C30" s="2605"/>
      <c r="D30" s="2605"/>
      <c r="E30" s="2605"/>
      <c r="F30" s="2605"/>
      <c r="G30" s="2605"/>
      <c r="H30" s="2605"/>
      <c r="I30" s="2605"/>
      <c r="J30" s="6"/>
    </row>
    <row r="31" spans="1:10" ht="14.25" customHeight="1" x14ac:dyDescent="0.2">
      <c r="A31" s="549" t="s">
        <v>169</v>
      </c>
      <c r="B31" s="549"/>
      <c r="C31" s="549"/>
      <c r="D31" s="549"/>
      <c r="E31" s="549"/>
      <c r="F31" s="549"/>
      <c r="G31" s="549"/>
      <c r="H31" s="549"/>
      <c r="I31" s="549"/>
    </row>
    <row r="32" spans="1:10" ht="9" customHeight="1" x14ac:dyDescent="0.2">
      <c r="A32" s="549"/>
      <c r="B32" s="549"/>
      <c r="C32" s="549"/>
      <c r="D32" s="549"/>
      <c r="E32" s="549"/>
      <c r="F32" s="549"/>
      <c r="G32" s="549"/>
      <c r="H32" s="549"/>
      <c r="I32" s="549"/>
    </row>
    <row r="33" spans="1:10" ht="15" x14ac:dyDescent="0.25">
      <c r="A33" s="549"/>
      <c r="B33" s="549"/>
      <c r="C33" s="549"/>
      <c r="D33" s="550" t="s">
        <v>162</v>
      </c>
      <c r="E33" s="550" t="s">
        <v>163</v>
      </c>
      <c r="F33" s="550" t="s">
        <v>164</v>
      </c>
      <c r="G33" s="550" t="s">
        <v>165</v>
      </c>
      <c r="H33" s="550" t="s">
        <v>166</v>
      </c>
      <c r="I33" s="550" t="s">
        <v>167</v>
      </c>
    </row>
    <row r="34" spans="1:10" ht="30.75" customHeight="1" thickBot="1" x14ac:dyDescent="0.25">
      <c r="A34" s="551"/>
      <c r="B34" s="2608" t="s">
        <v>138</v>
      </c>
      <c r="C34" s="2607"/>
      <c r="D34" s="570">
        <f>SUM(D35:D39)</f>
        <v>0</v>
      </c>
      <c r="E34" s="570"/>
      <c r="F34" s="570"/>
      <c r="G34" s="570">
        <f>SUM(G35:G39)</f>
        <v>0</v>
      </c>
      <c r="H34" s="570">
        <f>SUM(H35:H39)</f>
        <v>0</v>
      </c>
      <c r="I34" s="570">
        <f>SUM(I35:I39)</f>
        <v>0</v>
      </c>
    </row>
    <row r="35" spans="1:10" ht="14.25" customHeight="1" thickTop="1" x14ac:dyDescent="0.2">
      <c r="A35" s="551">
        <v>109</v>
      </c>
      <c r="B35" s="553">
        <v>1</v>
      </c>
      <c r="C35" s="554" t="s">
        <v>129</v>
      </c>
      <c r="D35" s="555"/>
      <c r="E35" s="556"/>
      <c r="F35" s="555"/>
      <c r="G35" s="557">
        <v>0</v>
      </c>
      <c r="H35" s="558"/>
      <c r="I35" s="557">
        <f>$G35+$H35</f>
        <v>0</v>
      </c>
    </row>
    <row r="36" spans="1:10" ht="14.25" customHeight="1" x14ac:dyDescent="0.2">
      <c r="A36" s="551">
        <v>110</v>
      </c>
      <c r="B36" s="553">
        <v>1</v>
      </c>
      <c r="C36" s="559" t="s">
        <v>130</v>
      </c>
      <c r="D36" s="560"/>
      <c r="E36" s="556"/>
      <c r="F36" s="560"/>
      <c r="G36" s="557">
        <v>0</v>
      </c>
      <c r="H36" s="558"/>
      <c r="I36" s="557">
        <f>$G36+$H36</f>
        <v>0</v>
      </c>
    </row>
    <row r="37" spans="1:10" ht="14.25" customHeight="1" x14ac:dyDescent="0.2">
      <c r="A37" s="551">
        <v>111</v>
      </c>
      <c r="B37" s="553">
        <v>1</v>
      </c>
      <c r="C37" s="559" t="s">
        <v>131</v>
      </c>
      <c r="D37" s="560"/>
      <c r="E37" s="556"/>
      <c r="F37" s="560"/>
      <c r="G37" s="557">
        <v>0</v>
      </c>
      <c r="H37" s="558"/>
      <c r="I37" s="557">
        <f>$G37+$H37</f>
        <v>0</v>
      </c>
    </row>
    <row r="38" spans="1:10" ht="14.25" customHeight="1" x14ac:dyDescent="0.2">
      <c r="A38" s="551">
        <v>112</v>
      </c>
      <c r="B38" s="553">
        <v>1</v>
      </c>
      <c r="C38" s="559" t="s">
        <v>132</v>
      </c>
      <c r="D38" s="560"/>
      <c r="E38" s="556"/>
      <c r="F38" s="560"/>
      <c r="G38" s="557">
        <v>0</v>
      </c>
      <c r="H38" s="558"/>
      <c r="I38" s="557">
        <f>$G38+$H38</f>
        <v>0</v>
      </c>
    </row>
    <row r="39" spans="1:10" ht="14.25" customHeight="1" x14ac:dyDescent="0.2">
      <c r="A39" s="551">
        <v>113</v>
      </c>
      <c r="B39" s="553">
        <v>1</v>
      </c>
      <c r="C39" s="559" t="s">
        <v>133</v>
      </c>
      <c r="D39" s="560"/>
      <c r="E39" s="556"/>
      <c r="F39" s="560"/>
      <c r="G39" s="557">
        <v>0</v>
      </c>
      <c r="H39" s="558"/>
      <c r="I39" s="557">
        <f>$G39+$H39</f>
        <v>0</v>
      </c>
    </row>
    <row r="40" spans="1:10" ht="14.25" x14ac:dyDescent="0.2">
      <c r="A40" s="568"/>
      <c r="B40" s="568"/>
      <c r="C40" s="568"/>
      <c r="D40" s="568"/>
      <c r="E40" s="568"/>
      <c r="F40" s="568"/>
      <c r="G40" s="568"/>
      <c r="H40" s="568"/>
      <c r="I40" s="568"/>
      <c r="J40" s="12"/>
    </row>
    <row r="41" spans="1:10" ht="9" customHeight="1" x14ac:dyDescent="0.2">
      <c r="A41" s="541"/>
      <c r="B41" s="541"/>
      <c r="C41" s="541"/>
      <c r="D41" s="541"/>
      <c r="E41" s="541"/>
      <c r="F41" s="541"/>
      <c r="G41" s="541"/>
      <c r="H41" s="541"/>
      <c r="I41" s="541"/>
    </row>
    <row r="42" spans="1:10" ht="12" customHeight="1" x14ac:dyDescent="0.2">
      <c r="A42" s="2609"/>
      <c r="B42" s="2609"/>
      <c r="C42" s="540"/>
      <c r="D42" s="540"/>
      <c r="E42" s="540"/>
      <c r="F42" s="540"/>
      <c r="G42" s="540"/>
      <c r="H42" s="540"/>
      <c r="I42" s="541"/>
    </row>
    <row r="43" spans="1:10" ht="14.25" customHeight="1" x14ac:dyDescent="0.2">
      <c r="A43" s="2602" t="s">
        <v>170</v>
      </c>
      <c r="B43" s="2602"/>
      <c r="C43" s="2603" t="s">
        <v>171</v>
      </c>
      <c r="D43" s="2603"/>
      <c r="E43" s="2603"/>
      <c r="F43" s="2603"/>
      <c r="G43" s="2603"/>
      <c r="H43" s="2603"/>
      <c r="I43" s="2603"/>
    </row>
    <row r="44" spans="1:10" ht="4.5" customHeight="1" x14ac:dyDescent="0.2">
      <c r="A44" s="546"/>
      <c r="B44" s="546"/>
      <c r="C44" s="546"/>
      <c r="D44" s="546"/>
      <c r="E44" s="546"/>
      <c r="F44" s="546"/>
      <c r="G44" s="546"/>
      <c r="H44" s="546"/>
      <c r="I44" s="545"/>
    </row>
    <row r="45" spans="1:10" ht="14.25" customHeight="1" x14ac:dyDescent="0.2">
      <c r="A45" s="2602" t="s">
        <v>172</v>
      </c>
      <c r="B45" s="2602"/>
      <c r="C45" s="2603" t="s">
        <v>173</v>
      </c>
      <c r="D45" s="2603"/>
      <c r="E45" s="2603"/>
      <c r="F45" s="2603"/>
      <c r="G45" s="2603"/>
      <c r="H45" s="2603"/>
      <c r="I45" s="2603"/>
    </row>
    <row r="46" spans="1:10" ht="4.5" customHeight="1" x14ac:dyDescent="0.2">
      <c r="A46" s="546"/>
      <c r="B46" s="546"/>
      <c r="C46" s="546"/>
      <c r="D46" s="546"/>
      <c r="E46" s="546"/>
      <c r="F46" s="546"/>
      <c r="G46" s="546"/>
      <c r="H46" s="546"/>
      <c r="I46" s="545"/>
    </row>
    <row r="47" spans="1:10" ht="14.25" customHeight="1" x14ac:dyDescent="0.2">
      <c r="A47" s="2602" t="s">
        <v>174</v>
      </c>
      <c r="B47" s="2602"/>
      <c r="C47" s="2603" t="s">
        <v>175</v>
      </c>
      <c r="D47" s="2603"/>
      <c r="E47" s="2603"/>
      <c r="F47" s="2603"/>
      <c r="G47" s="2603"/>
      <c r="H47" s="2603"/>
      <c r="I47" s="2603"/>
    </row>
    <row r="48" spans="1:10" ht="4.5" customHeight="1" x14ac:dyDescent="0.2">
      <c r="A48" s="546"/>
      <c r="B48" s="546"/>
      <c r="C48" s="546"/>
      <c r="D48" s="546"/>
      <c r="E48" s="546"/>
      <c r="F48" s="546"/>
      <c r="G48" s="546"/>
      <c r="H48" s="546"/>
      <c r="I48" s="545"/>
    </row>
    <row r="49" spans="1:9" ht="14.25" customHeight="1" x14ac:dyDescent="0.2">
      <c r="A49" s="2602" t="s">
        <v>176</v>
      </c>
      <c r="B49" s="2602"/>
      <c r="C49" s="2603" t="s">
        <v>177</v>
      </c>
      <c r="D49" s="2603"/>
      <c r="E49" s="2603"/>
      <c r="F49" s="2603"/>
      <c r="G49" s="2603"/>
      <c r="H49" s="2603"/>
      <c r="I49" s="2603"/>
    </row>
    <row r="50" spans="1:9" ht="4.5" customHeight="1" x14ac:dyDescent="0.2">
      <c r="A50" s="546"/>
      <c r="B50" s="546"/>
      <c r="C50" s="546"/>
      <c r="D50" s="546"/>
      <c r="E50" s="546"/>
      <c r="F50" s="546"/>
      <c r="G50" s="546"/>
      <c r="H50" s="546"/>
      <c r="I50" s="545"/>
    </row>
    <row r="51" spans="1:9" ht="14.25" customHeight="1" x14ac:dyDescent="0.2">
      <c r="A51" s="2602" t="s">
        <v>178</v>
      </c>
      <c r="B51" s="2602"/>
      <c r="C51" s="2603" t="s">
        <v>179</v>
      </c>
      <c r="D51" s="2603"/>
      <c r="E51" s="2603"/>
      <c r="F51" s="2603"/>
      <c r="G51" s="2603"/>
      <c r="H51" s="2603"/>
      <c r="I51" s="2603"/>
    </row>
    <row r="52" spans="1:9" ht="14.25" customHeight="1" x14ac:dyDescent="0.2">
      <c r="A52" s="571"/>
      <c r="B52" s="571"/>
      <c r="C52" s="2603"/>
      <c r="D52" s="2603"/>
      <c r="E52" s="2603"/>
      <c r="F52" s="2603"/>
      <c r="G52" s="2603"/>
      <c r="H52" s="2603"/>
      <c r="I52" s="2603"/>
    </row>
    <row r="53" spans="1:9" ht="4.5" customHeight="1" x14ac:dyDescent="0.2">
      <c r="A53" s="546"/>
      <c r="B53" s="546"/>
      <c r="C53" s="546"/>
      <c r="D53" s="546"/>
      <c r="E53" s="546"/>
      <c r="F53" s="546"/>
      <c r="G53" s="546"/>
      <c r="H53" s="546"/>
      <c r="I53" s="545"/>
    </row>
    <row r="54" spans="1:9" ht="14.25" customHeight="1" x14ac:dyDescent="0.2">
      <c r="A54" s="2602" t="s">
        <v>180</v>
      </c>
      <c r="B54" s="2602"/>
      <c r="C54" s="2603" t="s">
        <v>181</v>
      </c>
      <c r="D54" s="2603"/>
      <c r="E54" s="2603"/>
      <c r="F54" s="2603"/>
      <c r="G54" s="2603"/>
      <c r="H54" s="2603"/>
      <c r="I54" s="2603"/>
    </row>
    <row r="55" spans="1:9" ht="23.25" customHeight="1" x14ac:dyDescent="0.2">
      <c r="A55" s="571"/>
      <c r="B55" s="571"/>
      <c r="C55" s="545"/>
      <c r="D55" s="545"/>
      <c r="E55" s="545"/>
      <c r="F55" s="545"/>
      <c r="G55" s="545"/>
      <c r="H55" s="545"/>
      <c r="I55" s="545"/>
    </row>
    <row r="56" spans="1:9" ht="14.25" customHeight="1" x14ac:dyDescent="0.2">
      <c r="A56" s="571" t="s">
        <v>505</v>
      </c>
      <c r="B56" s="571"/>
      <c r="C56" s="545"/>
      <c r="D56" s="545"/>
      <c r="E56" s="545"/>
      <c r="F56" s="545"/>
      <c r="G56" s="545"/>
      <c r="H56" s="545"/>
      <c r="I56" s="545"/>
    </row>
    <row r="57" spans="1:9" ht="8.25" customHeight="1" x14ac:dyDescent="0.2">
      <c r="A57" s="546"/>
      <c r="B57" s="546"/>
      <c r="C57" s="546"/>
      <c r="D57" s="546"/>
      <c r="E57" s="546"/>
      <c r="F57" s="546"/>
      <c r="G57" s="546"/>
      <c r="H57" s="546"/>
      <c r="I57" s="545"/>
    </row>
    <row r="58" spans="1:9" ht="14.25" x14ac:dyDescent="0.2">
      <c r="A58" s="541"/>
      <c r="B58" s="541"/>
      <c r="C58" s="541"/>
      <c r="D58" s="541"/>
      <c r="E58" s="541"/>
      <c r="F58" s="541"/>
      <c r="G58" s="541"/>
      <c r="H58" s="541"/>
      <c r="I58" s="541"/>
    </row>
    <row r="59" spans="1:9" ht="14.25" x14ac:dyDescent="0.2">
      <c r="A59" s="541"/>
      <c r="B59" s="541"/>
      <c r="C59" s="541"/>
      <c r="D59" s="541"/>
      <c r="E59" s="541"/>
      <c r="F59" s="541"/>
      <c r="G59" s="541"/>
      <c r="H59" s="541"/>
      <c r="I59" s="541"/>
    </row>
    <row r="65" ht="15" customHeight="1" x14ac:dyDescent="0.2"/>
    <row r="71" ht="15" customHeight="1" x14ac:dyDescent="0.2"/>
    <row r="75" ht="15" customHeight="1" x14ac:dyDescent="0.2"/>
    <row r="82" ht="15" customHeight="1" x14ac:dyDescent="0.2"/>
  </sheetData>
  <sheetProtection sheet="1"/>
  <customSheetViews>
    <customSheetView guid="{F15DEFD8-B0F4-4CC3-8896-92BF7E7815B1}" scale="75" showPageBreaks="1" showGridLines="0" printArea="1">
      <pageMargins left="0.47244094488188981" right="0.39370078740157483" top="0.59055118110236227" bottom="0" header="0.51181102362204722" footer="0.51181102362204722"/>
      <pageSetup paperSize="9" scale="72" orientation="landscape" horizontalDpi="1200" verticalDpi="1200" r:id="rId1"/>
      <headerFooter alignWithMargins="0">
        <oddHeader>&amp;R&amp;"Arial,Fett"&amp;12SST</oddHeader>
      </headerFooter>
    </customSheetView>
  </customSheetViews>
  <mergeCells count="22">
    <mergeCell ref="A47:B47"/>
    <mergeCell ref="C47:I47"/>
    <mergeCell ref="A4:I4"/>
    <mergeCell ref="A5:I5"/>
    <mergeCell ref="A6:I6"/>
    <mergeCell ref="A7:I7"/>
    <mergeCell ref="A12:I12"/>
    <mergeCell ref="B16:C16"/>
    <mergeCell ref="B24:C24"/>
    <mergeCell ref="A30:I30"/>
    <mergeCell ref="B34:C34"/>
    <mergeCell ref="A43:B43"/>
    <mergeCell ref="C43:I43"/>
    <mergeCell ref="A45:B45"/>
    <mergeCell ref="C45:I45"/>
    <mergeCell ref="A42:B42"/>
    <mergeCell ref="A54:B54"/>
    <mergeCell ref="C54:I54"/>
    <mergeCell ref="A49:B49"/>
    <mergeCell ref="C49:I49"/>
    <mergeCell ref="A51:B51"/>
    <mergeCell ref="C51:I52"/>
  </mergeCells>
  <phoneticPr fontId="11" type="noConversion"/>
  <conditionalFormatting sqref="H35:H39 H25:H26 H17:H20">
    <cfRule type="cellIs" dxfId="21" priority="1" stopIfTrue="1" operator="notEqual">
      <formula>0</formula>
    </cfRule>
  </conditionalFormatting>
  <conditionalFormatting sqref="E25:E26 E17 E19:E20">
    <cfRule type="expression" dxfId="20" priority="2" stopIfTrue="1">
      <formula>IF(ISBLANK(E17),0,IF(ISNA(MATCH($E17,$A:$A,0)),1,0))</formula>
    </cfRule>
    <cfRule type="expression" dxfId="19" priority="3" stopIfTrue="1">
      <formula>IF(ISBLANK(E17),0,1)</formula>
    </cfRule>
    <cfRule type="expression" dxfId="18" priority="4" stopIfTrue="1">
      <formula>IF(ISERROR(MATCH($A17,$G:$G,0)),0,1)</formula>
    </cfRule>
  </conditionalFormatting>
  <conditionalFormatting sqref="E35:E39">
    <cfRule type="expression" dxfId="17" priority="5" stopIfTrue="1">
      <formula>IF(ISBLANK(E35),0,IF(ISNA(MATCH($E35,$A:$A,0)),1,0))</formula>
    </cfRule>
    <cfRule type="expression" dxfId="16" priority="6" stopIfTrue="1">
      <formula>IF(ISBLANK(E35),0,1)</formula>
    </cfRule>
    <cfRule type="expression" dxfId="15" priority="7" stopIfTrue="1">
      <formula>IF(ISERROR(MATCH($A35,$M:$M,0)),0,1)</formula>
    </cfRule>
  </conditionalFormatting>
  <hyperlinks>
    <hyperlink ref="A1" location="list_of_sheets!A1" display="list_of_sheets!A1" xr:uid="{00000000-0004-0000-1900-000000000000}"/>
  </hyperlinks>
  <pageMargins left="0.47244094488188981" right="0.39370078740157483" top="0.59055118110236227" bottom="0" header="0.51181102362204722" footer="0.51181102362204722"/>
  <pageSetup paperSize="9" scale="70" orientation="landscape" horizontalDpi="1200" verticalDpi="12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tabColor indexed="10"/>
    <pageSetUpPr fitToPage="1"/>
  </sheetPr>
  <dimension ref="A1:O139"/>
  <sheetViews>
    <sheetView workbookViewId="0"/>
  </sheetViews>
  <sheetFormatPr baseColWidth="10" defaultColWidth="11.42578125" defaultRowHeight="12.75" outlineLevelRow="1" x14ac:dyDescent="0.2"/>
  <cols>
    <col min="1" max="1" width="5.5703125" style="657" customWidth="1"/>
    <col min="2" max="2" width="3" style="657" customWidth="1"/>
    <col min="3" max="3" width="4.5703125" style="657" customWidth="1"/>
    <col min="4" max="4" width="41.42578125" style="657" customWidth="1"/>
    <col min="5" max="5" width="46.7109375" style="847" customWidth="1"/>
    <col min="6" max="8" width="18.28515625" style="847" customWidth="1"/>
    <col min="9" max="9" width="18.28515625" style="847" hidden="1" customWidth="1"/>
    <col min="10" max="14" width="18.28515625" style="847" customWidth="1"/>
    <col min="15" max="15" width="1.7109375" style="847" customWidth="1"/>
    <col min="16" max="16384" width="11.42578125" style="657"/>
  </cols>
  <sheetData>
    <row r="1" spans="1:15" ht="21.6" customHeight="1" thickBot="1" x14ac:dyDescent="0.25">
      <c r="A1" s="2194">
        <v>42</v>
      </c>
      <c r="B1" s="1015" t="str">
        <f>Translation!B813</f>
        <v>Differenzen zwischen statutarischer und marktnaher Bewertung</v>
      </c>
      <c r="C1" s="1015"/>
      <c r="D1" s="1224"/>
      <c r="E1" s="1225"/>
      <c r="F1" s="1225"/>
      <c r="G1" s="1225"/>
      <c r="H1" s="1225"/>
      <c r="I1" s="1225"/>
      <c r="J1" s="1225"/>
      <c r="K1" s="1225"/>
      <c r="L1" s="1225"/>
      <c r="M1" s="1225"/>
      <c r="N1" s="1225"/>
      <c r="O1" s="407"/>
    </row>
    <row r="2" spans="1:15" ht="21" customHeight="1" x14ac:dyDescent="0.2">
      <c r="A2" s="1358"/>
      <c r="B2" s="1358"/>
      <c r="C2" s="1359"/>
      <c r="D2" s="1360" t="str">
        <f>Inputparam!$C$8</f>
        <v xml:space="preserve">0000 </v>
      </c>
      <c r="E2" s="1361"/>
      <c r="G2" s="1362"/>
      <c r="H2" s="1362"/>
      <c r="I2" s="1362"/>
      <c r="O2" s="407"/>
    </row>
    <row r="3" spans="1:15" ht="7.5" customHeight="1" x14ac:dyDescent="0.2">
      <c r="A3" s="1234"/>
      <c r="B3" s="1234"/>
      <c r="C3" s="176"/>
      <c r="G3" s="1362"/>
      <c r="H3" s="1362"/>
      <c r="I3" s="1362"/>
      <c r="O3" s="407"/>
    </row>
    <row r="4" spans="1:15" ht="25.15" customHeight="1" x14ac:dyDescent="0.2">
      <c r="A4" s="2612" t="s">
        <v>33</v>
      </c>
      <c r="B4" s="2615" t="s">
        <v>34</v>
      </c>
      <c r="C4" s="1235"/>
      <c r="D4" s="2421" t="str">
        <f>Translation!B814</f>
        <v>Totale Kontengruppen/Zusammenfassungen (geschützt)</v>
      </c>
      <c r="E4" s="2422"/>
      <c r="F4" s="2419" t="str">
        <f>Translation!B818</f>
        <v>Statutarischer Bilanzwert</v>
      </c>
      <c r="G4" s="2618" t="str">
        <f>Translation!B819</f>
        <v>Umlegungen
REF</v>
      </c>
      <c r="H4" s="2618" t="str">
        <f>Translation!B821</f>
        <v>Umlegungen
WERT</v>
      </c>
      <c r="I4" s="2618" t="s">
        <v>41</v>
      </c>
      <c r="J4" s="2419" t="str">
        <f>Translation!B823</f>
        <v xml:space="preserve">Zwischenspalte
</v>
      </c>
      <c r="K4" s="2627" t="str">
        <f>Translation!B824</f>
        <v>Weitere Umlegungen</v>
      </c>
      <c r="L4" s="2625" t="str">
        <f>Translation!B826</f>
        <v>Statutarischer Bilanzwert nach Umlegungen</v>
      </c>
      <c r="M4" s="2622" t="str">
        <f>Translation!B827</f>
        <v>Bewertungs-differenzen zwischen statutarischem und marktnahem Wert</v>
      </c>
      <c r="N4" s="2435" t="str">
        <f>Translation!B828</f>
        <v>Marktnaher Wert resp. 
Best Estimate</v>
      </c>
      <c r="O4" s="532"/>
    </row>
    <row r="5" spans="1:15" ht="25.15" customHeight="1" x14ac:dyDescent="0.2">
      <c r="A5" s="2613"/>
      <c r="B5" s="2616"/>
      <c r="D5" s="2423" t="str">
        <f>Translation!B815</f>
        <v>Totale Klassen (geschützt)</v>
      </c>
      <c r="E5" s="2424"/>
      <c r="F5" s="2420"/>
      <c r="G5" s="2630"/>
      <c r="H5" s="2630"/>
      <c r="I5" s="2619"/>
      <c r="J5" s="2420"/>
      <c r="K5" s="2627"/>
      <c r="L5" s="2626"/>
      <c r="M5" s="2623"/>
      <c r="N5" s="2420"/>
      <c r="O5" s="532"/>
    </row>
    <row r="6" spans="1:15" ht="25.15" customHeight="1" x14ac:dyDescent="0.2">
      <c r="A6" s="2613"/>
      <c r="B6" s="2616"/>
      <c r="D6" s="2425" t="str">
        <f>Translation!B816</f>
        <v>Input</v>
      </c>
      <c r="E6" s="2426"/>
      <c r="F6" s="2420"/>
      <c r="G6" s="2628" t="str">
        <f>Translation!B820</f>
        <v>(Hier Zeilenreferenz angeben, auf die umgelegt werden soll.)</v>
      </c>
      <c r="H6" s="2628" t="str">
        <f>Translation!B822</f>
        <v>(umzulegender Anteil von Spalte F)</v>
      </c>
      <c r="I6" s="2619"/>
      <c r="J6" s="2420"/>
      <c r="K6" s="2610" t="str">
        <f>Translation!B825</f>
        <v>(Müssen sich gegenseitig kompensieren.)</v>
      </c>
      <c r="L6" s="2626"/>
      <c r="M6" s="2623"/>
      <c r="N6" s="2420"/>
      <c r="O6" s="532"/>
    </row>
    <row r="7" spans="1:15" ht="25.15" customHeight="1" x14ac:dyDescent="0.2">
      <c r="A7" s="2614"/>
      <c r="B7" s="2617"/>
      <c r="D7" s="2427" t="str">
        <f>Translation!B817</f>
        <v>Gerechnet (geschützt)</v>
      </c>
      <c r="E7" s="2621"/>
      <c r="F7" s="1363">
        <f>_ReportingDate-1</f>
        <v>45657</v>
      </c>
      <c r="G7" s="2629"/>
      <c r="H7" s="2629"/>
      <c r="I7" s="2620"/>
      <c r="J7" s="1363">
        <f>_ReportingDate-1</f>
        <v>45657</v>
      </c>
      <c r="K7" s="2611"/>
      <c r="L7" s="1363">
        <f>_ReportingDate-1</f>
        <v>45657</v>
      </c>
      <c r="M7" s="2624"/>
      <c r="N7" s="1363">
        <f>_ReportingDate-1</f>
        <v>45657</v>
      </c>
      <c r="O7" s="532"/>
    </row>
    <row r="8" spans="1:15" ht="3.75" customHeight="1" x14ac:dyDescent="0.2">
      <c r="F8" s="495"/>
      <c r="G8" s="495"/>
      <c r="H8" s="495"/>
      <c r="I8" s="495"/>
      <c r="J8" s="495"/>
      <c r="K8" s="495"/>
      <c r="L8" s="495"/>
      <c r="M8" s="496"/>
      <c r="N8" s="496"/>
      <c r="O8" s="407"/>
    </row>
    <row r="9" spans="1:15" ht="5.0999999999999996" customHeight="1" x14ac:dyDescent="0.35">
      <c r="C9" s="151"/>
      <c r="E9" s="149"/>
      <c r="F9" s="1238"/>
      <c r="G9" s="1238"/>
      <c r="H9" s="1238"/>
      <c r="I9" s="1238"/>
      <c r="J9" s="1238"/>
      <c r="K9" s="1238"/>
      <c r="L9" s="1238"/>
      <c r="M9" s="1238"/>
      <c r="N9" s="1238"/>
      <c r="O9" s="407"/>
    </row>
    <row r="10" spans="1:15" ht="12.75" customHeight="1" x14ac:dyDescent="0.35">
      <c r="A10" s="533">
        <f>ROW(A$131)-ROW(A$10)</f>
        <v>121</v>
      </c>
      <c r="B10" s="533"/>
      <c r="C10" s="151"/>
      <c r="E10" s="149"/>
      <c r="F10" s="657"/>
      <c r="G10" s="657"/>
      <c r="H10" s="657"/>
      <c r="I10" s="657"/>
      <c r="J10" s="657"/>
      <c r="K10" s="657"/>
      <c r="L10" s="657"/>
      <c r="M10" s="657"/>
      <c r="N10" s="657"/>
    </row>
    <row r="11" spans="1:15" ht="18" x14ac:dyDescent="0.25">
      <c r="A11" s="534"/>
      <c r="B11" s="534"/>
      <c r="C11" s="152" t="str">
        <f>Translation!B829</f>
        <v>Kapitalanlagen</v>
      </c>
    </row>
    <row r="12" spans="1:15" x14ac:dyDescent="0.2">
      <c r="A12" s="534"/>
      <c r="B12" s="534"/>
      <c r="E12" s="657"/>
      <c r="F12" s="1235"/>
      <c r="G12" s="1235"/>
      <c r="H12" s="1235"/>
      <c r="I12" s="1235"/>
      <c r="J12" s="1235"/>
      <c r="K12" s="1235"/>
      <c r="L12" s="1235"/>
      <c r="M12" s="1235"/>
      <c r="N12" s="1235"/>
      <c r="O12" s="1231"/>
    </row>
    <row r="13" spans="1:15" s="1241" customFormat="1" ht="15" customHeight="1" thickBot="1" x14ac:dyDescent="0.25">
      <c r="A13" s="534"/>
      <c r="B13" s="535"/>
      <c r="D13" s="2417" t="str">
        <f>Translation!B830</f>
        <v>Grundstücke und Bauten</v>
      </c>
      <c r="E13" s="2418"/>
      <c r="F13" s="489">
        <f>SUM(F14:F16)</f>
        <v>0</v>
      </c>
      <c r="G13" s="489"/>
      <c r="H13" s="489"/>
      <c r="I13" s="489"/>
      <c r="J13" s="489">
        <f ca="1">SUM(J14:J16)</f>
        <v>0</v>
      </c>
      <c r="K13" s="489">
        <f>SUM(K14:K16)</f>
        <v>0</v>
      </c>
      <c r="L13" s="489">
        <f ca="1">SUM(L14:L16)</f>
        <v>0</v>
      </c>
      <c r="M13" s="489">
        <f ca="1">SUM(M14:M16)</f>
        <v>0</v>
      </c>
      <c r="N13" s="489">
        <f>SUM(N14:N16)</f>
        <v>0</v>
      </c>
      <c r="O13" s="491"/>
    </row>
    <row r="14" spans="1:15" ht="12.75" customHeight="1" outlineLevel="1" thickTop="1" x14ac:dyDescent="0.2">
      <c r="A14" s="534">
        <f>ROW(14:14)</f>
        <v>14</v>
      </c>
      <c r="B14" s="535">
        <v>1</v>
      </c>
      <c r="D14" s="1243"/>
      <c r="E14" s="1244" t="str">
        <f>Translation!$B$844</f>
        <v>dem Geschäft nach KVG zugeordnet</v>
      </c>
      <c r="F14" s="1364"/>
      <c r="G14" s="536"/>
      <c r="H14" s="1364"/>
      <c r="I14" s="1365">
        <f ca="1">IF(ISERROR(OFFSET($A$1,$G14-1,1,1,1)),0,IF(SIGN(OFFSET($A$1,$G14-1,1,1,1))&lt;&gt;SIGN($B14),-1,1)*H14)</f>
        <v>0</v>
      </c>
      <c r="J14" s="1365">
        <f ca="1">$F14+SUMIF(OFFSET($G$11,0,0,$A$10,1),"="&amp;$A14,OFFSET($I$11,0,0,$A$10,1))+IF(NOT(OR(ISBLANK($G14),ISNA(MATCH($G14,$A:$A,0)))),-$H14,0)</f>
        <v>0</v>
      </c>
      <c r="K14" s="1366"/>
      <c r="L14" s="1367">
        <f ca="1">$J14+$K14</f>
        <v>0</v>
      </c>
      <c r="M14" s="1367">
        <f ca="1">$N14-$L14</f>
        <v>0</v>
      </c>
      <c r="N14" s="1368">
        <f>Marktnahe_Bilanz!$E14</f>
        <v>0</v>
      </c>
    </row>
    <row r="15" spans="1:15" ht="12.75" customHeight="1" outlineLevel="1" x14ac:dyDescent="0.2">
      <c r="A15" s="534">
        <f>ROW(15:15)</f>
        <v>15</v>
      </c>
      <c r="B15" s="535">
        <v>1</v>
      </c>
      <c r="E15" s="1249" t="str">
        <f>Translation!$B$845</f>
        <v>dem Geschäft nach VVG zugeordnet</v>
      </c>
      <c r="F15" s="1369"/>
      <c r="G15" s="536"/>
      <c r="H15" s="1369"/>
      <c r="I15" s="1365">
        <f ca="1">IF(ISERROR(OFFSET($A$1,$G15-1,1,1,1)),0,IF(SIGN(OFFSET($A$1,$G15-1,1,1,1))&lt;&gt;SIGN($B15),-1,1)*H15)</f>
        <v>0</v>
      </c>
      <c r="J15" s="1365">
        <f ca="1">$F15+SUMIF(OFFSET($G$11,0,0,$A$10,1),"="&amp;$A15,OFFSET($I$11,0,0,$A$10,1))+IF(NOT(OR(ISBLANK($G15),ISNA(MATCH($G15,$A:$A,0)))),-$H15,0)</f>
        <v>0</v>
      </c>
      <c r="K15" s="1370"/>
      <c r="L15" s="1365">
        <f ca="1">$J15+$K15</f>
        <v>0</v>
      </c>
      <c r="M15" s="1365">
        <f ca="1">$N15-$L15</f>
        <v>0</v>
      </c>
      <c r="N15" s="1371">
        <f>Marktnahe_Bilanz!$E15</f>
        <v>0</v>
      </c>
    </row>
    <row r="16" spans="1:15" ht="12.75" customHeight="1" outlineLevel="1" x14ac:dyDescent="0.2">
      <c r="A16" s="534">
        <f>ROW(16:16)</f>
        <v>16</v>
      </c>
      <c r="B16" s="535">
        <v>1</v>
      </c>
      <c r="E16" s="1249" t="str">
        <f>Translation!$B$846</f>
        <v>dem Geschäft nach UVG zugeordnet</v>
      </c>
      <c r="F16" s="1369"/>
      <c r="G16" s="536"/>
      <c r="H16" s="1369"/>
      <c r="I16" s="1365">
        <f ca="1">IF(ISERROR(OFFSET($A$1,$G16-1,1,1,1)),0,IF(SIGN(OFFSET($A$1,$G16-1,1,1,1))&lt;&gt;SIGN($B16),-1,1)*H16)</f>
        <v>0</v>
      </c>
      <c r="J16" s="1365">
        <f ca="1">$F16+SUMIF(OFFSET($G$11,0,0,$A$10,1),"="&amp;$A16,OFFSET($I$11,0,0,$A$10,1))+IF(NOT(OR(ISBLANK($G16),ISNA(MATCH($G16,$A:$A,0)))),-$H16,0)</f>
        <v>0</v>
      </c>
      <c r="K16" s="1370"/>
      <c r="L16" s="1365">
        <f ca="1">$J16+$K16</f>
        <v>0</v>
      </c>
      <c r="M16" s="1365">
        <f ca="1">$N16-$L16</f>
        <v>0</v>
      </c>
      <c r="N16" s="1371">
        <f>Marktnahe_Bilanz!$E16</f>
        <v>0</v>
      </c>
    </row>
    <row r="17" spans="1:15" x14ac:dyDescent="0.2">
      <c r="A17" s="534"/>
      <c r="B17" s="534"/>
      <c r="E17" s="657"/>
      <c r="F17" s="1235"/>
      <c r="G17" s="1235"/>
      <c r="H17" s="1235"/>
      <c r="I17" s="1235"/>
      <c r="J17" s="1235"/>
      <c r="K17" s="1235"/>
      <c r="L17" s="1235"/>
      <c r="M17" s="1235"/>
      <c r="N17" s="1235"/>
      <c r="O17" s="1231"/>
    </row>
    <row r="18" spans="1:15" s="1241" customFormat="1" ht="15" customHeight="1" thickBot="1" x14ac:dyDescent="0.25">
      <c r="A18" s="534"/>
      <c r="B18" s="535"/>
      <c r="D18" s="2417" t="str">
        <f>Translation!B831</f>
        <v>Obligationen</v>
      </c>
      <c r="E18" s="2418"/>
      <c r="F18" s="489">
        <f>SUM(F19:F21)</f>
        <v>0</v>
      </c>
      <c r="G18" s="489"/>
      <c r="H18" s="489"/>
      <c r="I18" s="489"/>
      <c r="J18" s="489">
        <f ca="1">SUM(J19:J21)</f>
        <v>0</v>
      </c>
      <c r="K18" s="489">
        <f>SUM(K19:K21)</f>
        <v>0</v>
      </c>
      <c r="L18" s="489">
        <f ca="1">SUM(L19:L21)</f>
        <v>0</v>
      </c>
      <c r="M18" s="489">
        <f ca="1">SUM(M19:M21)</f>
        <v>0</v>
      </c>
      <c r="N18" s="489">
        <f>SUM(N19:N21)</f>
        <v>0</v>
      </c>
      <c r="O18" s="491"/>
    </row>
    <row r="19" spans="1:15" ht="12.75" customHeight="1" outlineLevel="1" thickTop="1" x14ac:dyDescent="0.2">
      <c r="A19" s="534">
        <f>ROW(19:19)</f>
        <v>19</v>
      </c>
      <c r="B19" s="535">
        <v>1</v>
      </c>
      <c r="D19" s="1243"/>
      <c r="E19" s="1244" t="str">
        <f>Translation!$B$844</f>
        <v>dem Geschäft nach KVG zugeordnet</v>
      </c>
      <c r="F19" s="1364"/>
      <c r="G19" s="536"/>
      <c r="H19" s="1364"/>
      <c r="I19" s="1365">
        <f ca="1">IF(ISERROR(OFFSET($A$1,$G19-1,1,1,1)),0,IF(SIGN(OFFSET($A$1,$G19-1,1,1,1))&lt;&gt;SIGN($B19),-1,1)*H19)</f>
        <v>0</v>
      </c>
      <c r="J19" s="1365">
        <f ca="1">$F19+SUMIF(OFFSET($G$11,0,0,$A$10,1),"="&amp;$A19,OFFSET($I$11,0,0,$A$10,1))+IF(NOT(OR(ISBLANK($G19),ISNA(MATCH($G19,$A:$A,0)))),-$H19,0)</f>
        <v>0</v>
      </c>
      <c r="K19" s="1366"/>
      <c r="L19" s="1367">
        <f ca="1">$J19+$K19</f>
        <v>0</v>
      </c>
      <c r="M19" s="1367">
        <f ca="1">$N19-$L19</f>
        <v>0</v>
      </c>
      <c r="N19" s="1368">
        <f>Marktnahe_Bilanz!$E19</f>
        <v>0</v>
      </c>
    </row>
    <row r="20" spans="1:15" ht="12.75" customHeight="1" outlineLevel="1" x14ac:dyDescent="0.2">
      <c r="A20" s="534">
        <f>ROW(20:20)</f>
        <v>20</v>
      </c>
      <c r="B20" s="535">
        <v>2</v>
      </c>
      <c r="E20" s="1249" t="str">
        <f>Translation!$B$845</f>
        <v>dem Geschäft nach VVG zugeordnet</v>
      </c>
      <c r="F20" s="1369"/>
      <c r="G20" s="536"/>
      <c r="H20" s="1369"/>
      <c r="I20" s="1365">
        <f ca="1">IF(ISERROR(OFFSET($A$1,$G20-1,1,1,1)),0,IF(SIGN(OFFSET($A$1,$G20-1,1,1,1))&lt;&gt;SIGN($B20),-1,1)*H20)</f>
        <v>0</v>
      </c>
      <c r="J20" s="1365">
        <f ca="1">$F20+SUMIF(OFFSET($G$11,0,0,$A$10,1),"="&amp;$A20,OFFSET($I$11,0,0,$A$10,1))+IF(NOT(OR(ISBLANK($G20),ISNA(MATCH($G20,$A:$A,0)))),-$H20,0)</f>
        <v>0</v>
      </c>
      <c r="K20" s="1370"/>
      <c r="L20" s="1365">
        <f ca="1">$J20+$K20</f>
        <v>0</v>
      </c>
      <c r="M20" s="1365">
        <f ca="1">$N20-$L20</f>
        <v>0</v>
      </c>
      <c r="N20" s="1371">
        <f>Marktnahe_Bilanz!$E20</f>
        <v>0</v>
      </c>
    </row>
    <row r="21" spans="1:15" ht="12.75" customHeight="1" outlineLevel="1" x14ac:dyDescent="0.2">
      <c r="A21" s="534">
        <f>ROW(21:21)</f>
        <v>21</v>
      </c>
      <c r="B21" s="535">
        <v>3</v>
      </c>
      <c r="E21" s="1249" t="str">
        <f>Translation!$B$846</f>
        <v>dem Geschäft nach UVG zugeordnet</v>
      </c>
      <c r="F21" s="1369"/>
      <c r="G21" s="536"/>
      <c r="H21" s="1369"/>
      <c r="I21" s="1365">
        <f ca="1">IF(ISERROR(OFFSET($A$1,$G21-1,1,1,1)),0,IF(SIGN(OFFSET($A$1,$G21-1,1,1,1))&lt;&gt;SIGN($B21),-1,1)*H21)</f>
        <v>0</v>
      </c>
      <c r="J21" s="1365">
        <f ca="1">$F21+SUMIF(OFFSET($G$11,0,0,$A$10,1),"="&amp;$A21,OFFSET($I$11,0,0,$A$10,1))+IF(NOT(OR(ISBLANK($G21),ISNA(MATCH($G21,$A:$A,0)))),-$H21,0)</f>
        <v>0</v>
      </c>
      <c r="K21" s="1370"/>
      <c r="L21" s="1365">
        <f ca="1">$J21+$K21</f>
        <v>0</v>
      </c>
      <c r="M21" s="1365">
        <f ca="1">$N21-$L21</f>
        <v>0</v>
      </c>
      <c r="N21" s="1371">
        <f>Marktnahe_Bilanz!$E21</f>
        <v>0</v>
      </c>
    </row>
    <row r="22" spans="1:15" x14ac:dyDescent="0.2">
      <c r="A22" s="534"/>
      <c r="B22" s="534"/>
      <c r="E22" s="657"/>
      <c r="F22" s="1235"/>
      <c r="G22" s="1235"/>
      <c r="H22" s="1235"/>
      <c r="I22" s="1235"/>
      <c r="J22" s="1235"/>
      <c r="K22" s="1235"/>
      <c r="L22" s="1235"/>
      <c r="M22" s="1235"/>
      <c r="N22" s="1235"/>
      <c r="O22" s="1231"/>
    </row>
    <row r="23" spans="1:15" s="1241" customFormat="1" ht="15" customHeight="1" thickBot="1" x14ac:dyDescent="0.25">
      <c r="A23" s="534"/>
      <c r="B23" s="535"/>
      <c r="D23" s="2417" t="str">
        <f>Translation!B832</f>
        <v>Aktien und ähnliche Anlagen</v>
      </c>
      <c r="E23" s="2418"/>
      <c r="F23" s="489">
        <f>SUM(F24:F26)</f>
        <v>0</v>
      </c>
      <c r="G23" s="489"/>
      <c r="H23" s="489"/>
      <c r="I23" s="489"/>
      <c r="J23" s="489">
        <f ca="1">SUM(J24:J26)</f>
        <v>0</v>
      </c>
      <c r="K23" s="489">
        <f>SUM(K24:K26)</f>
        <v>0</v>
      </c>
      <c r="L23" s="489">
        <f ca="1">SUM(L24:L26)</f>
        <v>0</v>
      </c>
      <c r="M23" s="489">
        <f ca="1">SUM(M24:M26)</f>
        <v>0</v>
      </c>
      <c r="N23" s="489">
        <f>SUM(N24:N26)</f>
        <v>0</v>
      </c>
      <c r="O23" s="491"/>
    </row>
    <row r="24" spans="1:15" ht="12.75" customHeight="1" outlineLevel="1" thickTop="1" x14ac:dyDescent="0.2">
      <c r="A24" s="534">
        <f>ROW(24:24)</f>
        <v>24</v>
      </c>
      <c r="B24" s="535">
        <v>1</v>
      </c>
      <c r="D24" s="1243"/>
      <c r="E24" s="1244" t="str">
        <f>Translation!$B$844</f>
        <v>dem Geschäft nach KVG zugeordnet</v>
      </c>
      <c r="F24" s="1364"/>
      <c r="G24" s="536"/>
      <c r="H24" s="1364"/>
      <c r="I24" s="1365">
        <f ca="1">IF(ISERROR(OFFSET($A$1,$G24-1,1,1,1)),0,IF(SIGN(OFFSET($A$1,$G24-1,1,1,1))&lt;&gt;SIGN($B24),-1,1)*H24)</f>
        <v>0</v>
      </c>
      <c r="J24" s="1365">
        <f ca="1">$F24+SUMIF(OFFSET($G$11,0,0,$A$10,1),"="&amp;$A24,OFFSET($I$11,0,0,$A$10,1))+IF(NOT(OR(ISBLANK($G24),ISNA(MATCH($G24,$A:$A,0)))),-$H24,0)</f>
        <v>0</v>
      </c>
      <c r="K24" s="1366"/>
      <c r="L24" s="1367">
        <f ca="1">$J24+$K24</f>
        <v>0</v>
      </c>
      <c r="M24" s="1367">
        <f ca="1">$N24-$L24</f>
        <v>0</v>
      </c>
      <c r="N24" s="1368">
        <f>Marktnahe_Bilanz!$E24</f>
        <v>0</v>
      </c>
    </row>
    <row r="25" spans="1:15" ht="12.75" customHeight="1" outlineLevel="1" x14ac:dyDescent="0.2">
      <c r="A25" s="534">
        <f>ROW(25:25)</f>
        <v>25</v>
      </c>
      <c r="B25" s="535">
        <v>1</v>
      </c>
      <c r="E25" s="1249" t="str">
        <f>Translation!$B$845</f>
        <v>dem Geschäft nach VVG zugeordnet</v>
      </c>
      <c r="F25" s="1369"/>
      <c r="G25" s="536"/>
      <c r="H25" s="1369"/>
      <c r="I25" s="1365">
        <f ca="1">IF(ISERROR(OFFSET($A$1,$G25-1,1,1,1)),0,IF(SIGN(OFFSET($A$1,$G25-1,1,1,1))&lt;&gt;SIGN($B25),-1,1)*H25)</f>
        <v>0</v>
      </c>
      <c r="J25" s="1365">
        <f ca="1">$F25+SUMIF(OFFSET($G$11,0,0,$A$10,1),"="&amp;$A25,OFFSET($I$11,0,0,$A$10,1))+IF(NOT(OR(ISBLANK($G25),ISNA(MATCH($G25,$A:$A,0)))),-$H25,0)</f>
        <v>0</v>
      </c>
      <c r="K25" s="1370"/>
      <c r="L25" s="1365">
        <f ca="1">$J25+$K25</f>
        <v>0</v>
      </c>
      <c r="M25" s="1365">
        <f ca="1">$N25-$L25</f>
        <v>0</v>
      </c>
      <c r="N25" s="1371">
        <f>Marktnahe_Bilanz!$E25</f>
        <v>0</v>
      </c>
    </row>
    <row r="26" spans="1:15" ht="12.75" customHeight="1" outlineLevel="1" x14ac:dyDescent="0.2">
      <c r="A26" s="534">
        <f>ROW(26:26)</f>
        <v>26</v>
      </c>
      <c r="B26" s="535">
        <v>1</v>
      </c>
      <c r="E26" s="1249" t="str">
        <f>Translation!$B$846</f>
        <v>dem Geschäft nach UVG zugeordnet</v>
      </c>
      <c r="F26" s="1369"/>
      <c r="G26" s="536"/>
      <c r="H26" s="1369"/>
      <c r="I26" s="1365">
        <f ca="1">IF(ISERROR(OFFSET($A$1,$G26-1,1,1,1)),0,IF(SIGN(OFFSET($A$1,$G26-1,1,1,1))&lt;&gt;SIGN($B26),-1,1)*H26)</f>
        <v>0</v>
      </c>
      <c r="J26" s="1365">
        <f ca="1">$F26+SUMIF(OFFSET($G$11,0,0,$A$10,1),"="&amp;$A26,OFFSET($I$11,0,0,$A$10,1))+IF(NOT(OR(ISBLANK($G26),ISNA(MATCH($G26,$A:$A,0)))),-$H26,0)</f>
        <v>0</v>
      </c>
      <c r="K26" s="1370"/>
      <c r="L26" s="1365">
        <f ca="1">$J26+$K26</f>
        <v>0</v>
      </c>
      <c r="M26" s="1365">
        <f ca="1">$N26-$L26</f>
        <v>0</v>
      </c>
      <c r="N26" s="1371">
        <f>Marktnahe_Bilanz!$E26</f>
        <v>0</v>
      </c>
    </row>
    <row r="27" spans="1:15" x14ac:dyDescent="0.2">
      <c r="A27" s="534"/>
      <c r="B27" s="534"/>
      <c r="E27" s="657"/>
      <c r="F27" s="1235"/>
      <c r="G27" s="1235"/>
      <c r="H27" s="1235"/>
      <c r="I27" s="1235"/>
      <c r="J27" s="1235"/>
      <c r="K27" s="1235"/>
      <c r="L27" s="1235"/>
      <c r="M27" s="1235"/>
      <c r="N27" s="1235"/>
      <c r="O27" s="1231"/>
    </row>
    <row r="28" spans="1:15" s="1241" customFormat="1" ht="15" customHeight="1" thickBot="1" x14ac:dyDescent="0.25">
      <c r="A28" s="534"/>
      <c r="B28" s="535"/>
      <c r="D28" s="2417" t="str">
        <f>Translation!B833</f>
        <v>Anteile an Anlagefonds</v>
      </c>
      <c r="E28" s="2418"/>
      <c r="F28" s="489">
        <f>SUM(F29:F31)</f>
        <v>0</v>
      </c>
      <c r="G28" s="489"/>
      <c r="H28" s="489"/>
      <c r="I28" s="489"/>
      <c r="J28" s="489">
        <f ca="1">SUM(J29:J31)</f>
        <v>0</v>
      </c>
      <c r="K28" s="489">
        <f>SUM(K29:K31)</f>
        <v>0</v>
      </c>
      <c r="L28" s="489">
        <f ca="1">SUM(L29:L31)</f>
        <v>0</v>
      </c>
      <c r="M28" s="489">
        <f ca="1">SUM(M29:M31)</f>
        <v>0</v>
      </c>
      <c r="N28" s="489">
        <f>SUM(N29:N31)</f>
        <v>0</v>
      </c>
      <c r="O28" s="491"/>
    </row>
    <row r="29" spans="1:15" ht="12.75" customHeight="1" outlineLevel="1" thickTop="1" x14ac:dyDescent="0.2">
      <c r="A29" s="534">
        <f>ROW(29:29)</f>
        <v>29</v>
      </c>
      <c r="B29" s="535">
        <v>1</v>
      </c>
      <c r="D29" s="1243"/>
      <c r="E29" s="1244" t="str">
        <f>Translation!$B$844</f>
        <v>dem Geschäft nach KVG zugeordnet</v>
      </c>
      <c r="F29" s="1364"/>
      <c r="G29" s="536"/>
      <c r="H29" s="1364"/>
      <c r="I29" s="1365">
        <f ca="1">IF(ISERROR(OFFSET($A$1,$G29-1,1,1,1)),0,IF(SIGN(OFFSET($A$1,$G29-1,1,1,1))&lt;&gt;SIGN($B29),-1,1)*H29)</f>
        <v>0</v>
      </c>
      <c r="J29" s="1365">
        <f ca="1">$F29+SUMIF(OFFSET($G$11,0,0,$A$10,1),"="&amp;$A29,OFFSET($I$11,0,0,$A$10,1))+IF(NOT(OR(ISBLANK($G29),ISNA(MATCH($G29,$A:$A,0)))),-$H29,0)</f>
        <v>0</v>
      </c>
      <c r="K29" s="1366"/>
      <c r="L29" s="1367">
        <f ca="1">$J29+$K29</f>
        <v>0</v>
      </c>
      <c r="M29" s="1367">
        <f ca="1">$N29-$L29</f>
        <v>0</v>
      </c>
      <c r="N29" s="1368">
        <f>Marktnahe_Bilanz!$E29</f>
        <v>0</v>
      </c>
    </row>
    <row r="30" spans="1:15" ht="12.75" customHeight="1" outlineLevel="1" x14ac:dyDescent="0.2">
      <c r="A30" s="534">
        <f>ROW(30:30)</f>
        <v>30</v>
      </c>
      <c r="B30" s="535">
        <v>1</v>
      </c>
      <c r="E30" s="1249" t="str">
        <f>Translation!$B$845</f>
        <v>dem Geschäft nach VVG zugeordnet</v>
      </c>
      <c r="F30" s="1369"/>
      <c r="G30" s="536"/>
      <c r="H30" s="1369"/>
      <c r="I30" s="1365">
        <f ca="1">IF(ISERROR(OFFSET($A$1,$G30-1,1,1,1)),0,IF(SIGN(OFFSET($A$1,$G30-1,1,1,1))&lt;&gt;SIGN($B30),-1,1)*H30)</f>
        <v>0</v>
      </c>
      <c r="J30" s="1365">
        <f ca="1">$F30+SUMIF(OFFSET($G$11,0,0,$A$10,1),"="&amp;$A30,OFFSET($I$11,0,0,$A$10,1))+IF(NOT(OR(ISBLANK($G30),ISNA(MATCH($G30,$A:$A,0)))),-$H30,0)</f>
        <v>0</v>
      </c>
      <c r="K30" s="1370"/>
      <c r="L30" s="1365">
        <f ca="1">$J30+$K30</f>
        <v>0</v>
      </c>
      <c r="M30" s="1365">
        <f ca="1">$N30-$L30</f>
        <v>0</v>
      </c>
      <c r="N30" s="1371">
        <f>Marktnahe_Bilanz!$E30</f>
        <v>0</v>
      </c>
    </row>
    <row r="31" spans="1:15" ht="12.75" customHeight="1" outlineLevel="1" x14ac:dyDescent="0.2">
      <c r="A31" s="534">
        <f>ROW(31:31)</f>
        <v>31</v>
      </c>
      <c r="B31" s="535">
        <v>1</v>
      </c>
      <c r="E31" s="1249" t="str">
        <f>Translation!$B$846</f>
        <v>dem Geschäft nach UVG zugeordnet</v>
      </c>
      <c r="F31" s="1369"/>
      <c r="G31" s="536"/>
      <c r="H31" s="1369"/>
      <c r="I31" s="1365">
        <f ca="1">IF(ISERROR(OFFSET($A$1,$G31-1,1,1,1)),0,IF(SIGN(OFFSET($A$1,$G31-1,1,1,1))&lt;&gt;SIGN($B31),-1,1)*H31)</f>
        <v>0</v>
      </c>
      <c r="J31" s="1365">
        <f ca="1">$F31+SUMIF(OFFSET($G$11,0,0,$A$10,1),"="&amp;$A31,OFFSET($I$11,0,0,$A$10,1))+IF(NOT(OR(ISBLANK($G31),ISNA(MATCH($G31,$A:$A,0)))),-$H31,0)</f>
        <v>0</v>
      </c>
      <c r="K31" s="1370"/>
      <c r="L31" s="1365">
        <f ca="1">$J31+$K31</f>
        <v>0</v>
      </c>
      <c r="M31" s="1365">
        <f ca="1">$N31-$L31</f>
        <v>0</v>
      </c>
      <c r="N31" s="1371">
        <f>Marktnahe_Bilanz!$E31</f>
        <v>0</v>
      </c>
    </row>
    <row r="32" spans="1:15" x14ac:dyDescent="0.2">
      <c r="A32" s="534"/>
      <c r="B32" s="534"/>
      <c r="E32" s="657"/>
      <c r="F32" s="1235"/>
      <c r="G32" s="1235"/>
      <c r="H32" s="1235"/>
      <c r="I32" s="1235"/>
      <c r="J32" s="1235"/>
      <c r="K32" s="1235"/>
      <c r="L32" s="1235"/>
      <c r="M32" s="1235"/>
      <c r="N32" s="1235"/>
      <c r="O32" s="1231"/>
    </row>
    <row r="33" spans="1:15" s="1241" customFormat="1" ht="15" customHeight="1" thickBot="1" x14ac:dyDescent="0.25">
      <c r="A33" s="534"/>
      <c r="B33" s="535"/>
      <c r="D33" s="2417" t="str">
        <f>Translation!B834</f>
        <v>Derivative Finanzinstrumente (Guthaben)</v>
      </c>
      <c r="E33" s="2418"/>
      <c r="F33" s="489">
        <f>SUM(F34:F36)</f>
        <v>0</v>
      </c>
      <c r="G33" s="489"/>
      <c r="H33" s="489"/>
      <c r="I33" s="489"/>
      <c r="J33" s="489">
        <f ca="1">SUM(J34:J36)</f>
        <v>0</v>
      </c>
      <c r="K33" s="489">
        <f>SUM(K34:K36)</f>
        <v>0</v>
      </c>
      <c r="L33" s="489">
        <f ca="1">SUM(L34:L36)</f>
        <v>0</v>
      </c>
      <c r="M33" s="489">
        <f ca="1">SUM(M34:M36)</f>
        <v>0</v>
      </c>
      <c r="N33" s="489">
        <f>SUM(N34:N36)</f>
        <v>0</v>
      </c>
      <c r="O33" s="491"/>
    </row>
    <row r="34" spans="1:15" ht="12.75" customHeight="1" outlineLevel="1" thickTop="1" x14ac:dyDescent="0.2">
      <c r="A34" s="534">
        <f>ROW(34:34)</f>
        <v>34</v>
      </c>
      <c r="B34" s="535">
        <v>1</v>
      </c>
      <c r="D34" s="1243"/>
      <c r="E34" s="1244" t="str">
        <f>Translation!$B$844</f>
        <v>dem Geschäft nach KVG zugeordnet</v>
      </c>
      <c r="F34" s="1364"/>
      <c r="G34" s="536"/>
      <c r="H34" s="1364"/>
      <c r="I34" s="1365">
        <f ca="1">IF(ISERROR(OFFSET($A$1,$G34-1,1,1,1)),0,IF(SIGN(OFFSET($A$1,$G34-1,1,1,1))&lt;&gt;SIGN($B34),-1,1)*H34)</f>
        <v>0</v>
      </c>
      <c r="J34" s="1365">
        <f ca="1">$F34+SUMIF(OFFSET($G$11,0,0,$A$10,1),"="&amp;$A34,OFFSET($I$11,0,0,$A$10,1))+IF(NOT(OR(ISBLANK($G34),ISNA(MATCH($G34,$A:$A,0)))),-$H34,0)</f>
        <v>0</v>
      </c>
      <c r="K34" s="1366"/>
      <c r="L34" s="1367">
        <f ca="1">$J34+$K34</f>
        <v>0</v>
      </c>
      <c r="M34" s="1367">
        <f ca="1">$N34-$L34</f>
        <v>0</v>
      </c>
      <c r="N34" s="1368">
        <f>Marktnahe_Bilanz!$E34</f>
        <v>0</v>
      </c>
    </row>
    <row r="35" spans="1:15" ht="12.75" customHeight="1" outlineLevel="1" x14ac:dyDescent="0.2">
      <c r="A35" s="534">
        <f>ROW(35:35)</f>
        <v>35</v>
      </c>
      <c r="B35" s="535">
        <v>1</v>
      </c>
      <c r="E35" s="1249" t="str">
        <f>Translation!$B$845</f>
        <v>dem Geschäft nach VVG zugeordnet</v>
      </c>
      <c r="F35" s="1369"/>
      <c r="G35" s="536"/>
      <c r="H35" s="1369"/>
      <c r="I35" s="1365">
        <f ca="1">IF(ISERROR(OFFSET($A$1,$G35-1,1,1,1)),0,IF(SIGN(OFFSET($A$1,$G35-1,1,1,1))&lt;&gt;SIGN($B35),-1,1)*H35)</f>
        <v>0</v>
      </c>
      <c r="J35" s="1365">
        <f ca="1">$F35+SUMIF(OFFSET($G$11,0,0,$A$10,1),"="&amp;$A35,OFFSET($I$11,0,0,$A$10,1))+IF(NOT(OR(ISBLANK($G35),ISNA(MATCH($G35,$A:$A,0)))),-$H35,0)</f>
        <v>0</v>
      </c>
      <c r="K35" s="1370"/>
      <c r="L35" s="1365">
        <f ca="1">$J35+$K35</f>
        <v>0</v>
      </c>
      <c r="M35" s="1365">
        <f ca="1">$N35-$L35</f>
        <v>0</v>
      </c>
      <c r="N35" s="1371">
        <f>Marktnahe_Bilanz!$E35</f>
        <v>0</v>
      </c>
    </row>
    <row r="36" spans="1:15" ht="12.75" customHeight="1" outlineLevel="1" x14ac:dyDescent="0.2">
      <c r="A36" s="534">
        <f>ROW(36:36)</f>
        <v>36</v>
      </c>
      <c r="B36" s="535">
        <v>1</v>
      </c>
      <c r="E36" s="1249" t="str">
        <f>Translation!$B$846</f>
        <v>dem Geschäft nach UVG zugeordnet</v>
      </c>
      <c r="F36" s="1369"/>
      <c r="G36" s="536"/>
      <c r="H36" s="1369"/>
      <c r="I36" s="1365">
        <f ca="1">IF(ISERROR(OFFSET($A$1,$G36-1,1,1,1)),0,IF(SIGN(OFFSET($A$1,$G36-1,1,1,1))&lt;&gt;SIGN($B36),-1,1)*H36)</f>
        <v>0</v>
      </c>
      <c r="J36" s="1365">
        <f ca="1">$F36+SUMIF(OFFSET($G$11,0,0,$A$10,1),"="&amp;$A36,OFFSET($I$11,0,0,$A$10,1))+IF(NOT(OR(ISBLANK($G36),ISNA(MATCH($G36,$A:$A,0)))),-$H36,0)</f>
        <v>0</v>
      </c>
      <c r="K36" s="1370"/>
      <c r="L36" s="1365">
        <f ca="1">$J36+$K36</f>
        <v>0</v>
      </c>
      <c r="M36" s="1365">
        <f ca="1">$N36-$L36</f>
        <v>0</v>
      </c>
      <c r="N36" s="1371">
        <f>Marktnahe_Bilanz!$E36</f>
        <v>0</v>
      </c>
    </row>
    <row r="37" spans="1:15" x14ac:dyDescent="0.2">
      <c r="A37" s="534"/>
      <c r="B37" s="534"/>
      <c r="E37" s="657"/>
      <c r="F37" s="1235"/>
      <c r="G37" s="1235"/>
      <c r="H37" s="1235"/>
      <c r="I37" s="1235"/>
      <c r="J37" s="1235"/>
      <c r="K37" s="1235"/>
      <c r="L37" s="1235"/>
      <c r="M37" s="1235"/>
      <c r="N37" s="1235"/>
      <c r="O37" s="1231"/>
    </row>
    <row r="38" spans="1:15" s="1241" customFormat="1" ht="15" customHeight="1" thickBot="1" x14ac:dyDescent="0.25">
      <c r="A38" s="534"/>
      <c r="B38" s="535"/>
      <c r="D38" s="2417" t="str">
        <f>Translation!B835</f>
        <v>Liquide Mittel</v>
      </c>
      <c r="E38" s="2418"/>
      <c r="F38" s="489">
        <f>SUM(F39:F41)</f>
        <v>0</v>
      </c>
      <c r="G38" s="489"/>
      <c r="H38" s="489"/>
      <c r="I38" s="489"/>
      <c r="J38" s="489">
        <f ca="1">SUM(J39:J41)</f>
        <v>0</v>
      </c>
      <c r="K38" s="489">
        <f>SUM(K39:K41)</f>
        <v>0</v>
      </c>
      <c r="L38" s="489">
        <f ca="1">SUM(L39:L41)</f>
        <v>0</v>
      </c>
      <c r="M38" s="489">
        <f ca="1">SUM(M39:M41)</f>
        <v>0</v>
      </c>
      <c r="N38" s="489">
        <f>SUM(N39:N41)</f>
        <v>0</v>
      </c>
      <c r="O38" s="491"/>
    </row>
    <row r="39" spans="1:15" ht="12.75" customHeight="1" outlineLevel="1" thickTop="1" x14ac:dyDescent="0.2">
      <c r="A39" s="534">
        <f>ROW(39:39)</f>
        <v>39</v>
      </c>
      <c r="B39" s="535">
        <v>1</v>
      </c>
      <c r="D39" s="1243"/>
      <c r="E39" s="1244" t="str">
        <f>Translation!$B$844</f>
        <v>dem Geschäft nach KVG zugeordnet</v>
      </c>
      <c r="F39" s="1364"/>
      <c r="G39" s="536"/>
      <c r="H39" s="1364"/>
      <c r="I39" s="1365">
        <f ca="1">IF(ISERROR(OFFSET($A$1,$G39-1,1,1,1)),0,IF(SIGN(OFFSET($A$1,$G39-1,1,1,1))&lt;&gt;SIGN($B39),-1,1)*H39)</f>
        <v>0</v>
      </c>
      <c r="J39" s="1365">
        <f ca="1">$F39+SUMIF(OFFSET($G$11,0,0,$A$10,1),"="&amp;$A39,OFFSET($I$11,0,0,$A$10,1))+IF(NOT(OR(ISBLANK($G39),ISNA(MATCH($G39,$A:$A,0)))),-$H39,0)</f>
        <v>0</v>
      </c>
      <c r="K39" s="1366"/>
      <c r="L39" s="1367">
        <f ca="1">$J39+$K39</f>
        <v>0</v>
      </c>
      <c r="M39" s="1367">
        <f ca="1">$N39-$L39</f>
        <v>0</v>
      </c>
      <c r="N39" s="1368">
        <f>Marktnahe_Bilanz!$E39</f>
        <v>0</v>
      </c>
    </row>
    <row r="40" spans="1:15" ht="12.75" customHeight="1" outlineLevel="1" x14ac:dyDescent="0.2">
      <c r="A40" s="534">
        <f>ROW(40:40)</f>
        <v>40</v>
      </c>
      <c r="B40" s="535">
        <v>1</v>
      </c>
      <c r="E40" s="1249" t="str">
        <f>Translation!$B$845</f>
        <v>dem Geschäft nach VVG zugeordnet</v>
      </c>
      <c r="F40" s="1369"/>
      <c r="G40" s="536"/>
      <c r="H40" s="1369"/>
      <c r="I40" s="1365">
        <f ca="1">IF(ISERROR(OFFSET($A$1,$G40-1,1,1,1)),0,IF(SIGN(OFFSET($A$1,$G40-1,1,1,1))&lt;&gt;SIGN($B40),-1,1)*H40)</f>
        <v>0</v>
      </c>
      <c r="J40" s="1365">
        <f ca="1">$F40+SUMIF(OFFSET($G$11,0,0,$A$10,1),"="&amp;$A40,OFFSET($I$11,0,0,$A$10,1))+IF(NOT(OR(ISBLANK($G40),ISNA(MATCH($G40,$A:$A,0)))),-$H40,0)</f>
        <v>0</v>
      </c>
      <c r="K40" s="1370"/>
      <c r="L40" s="1365">
        <f ca="1">$J40+$K40</f>
        <v>0</v>
      </c>
      <c r="M40" s="1365">
        <f ca="1">$N40-$L40</f>
        <v>0</v>
      </c>
      <c r="N40" s="1371">
        <f>Marktnahe_Bilanz!$E40</f>
        <v>0</v>
      </c>
    </row>
    <row r="41" spans="1:15" ht="12.75" customHeight="1" outlineLevel="1" x14ac:dyDescent="0.2">
      <c r="A41" s="534">
        <f>ROW(41:41)</f>
        <v>41</v>
      </c>
      <c r="B41" s="535">
        <v>1</v>
      </c>
      <c r="E41" s="1249" t="str">
        <f>Translation!$B$846</f>
        <v>dem Geschäft nach UVG zugeordnet</v>
      </c>
      <c r="F41" s="1369"/>
      <c r="G41" s="536"/>
      <c r="H41" s="1369"/>
      <c r="I41" s="1365">
        <f ca="1">IF(ISERROR(OFFSET($A$1,$G41-1,1,1,1)),0,IF(SIGN(OFFSET($A$1,$G41-1,1,1,1))&lt;&gt;SIGN($B41),-1,1)*H41)</f>
        <v>0</v>
      </c>
      <c r="J41" s="1365">
        <f ca="1">$F41+SUMIF(OFFSET($G$11,0,0,$A$10,1),"="&amp;$A41,OFFSET($I$11,0,0,$A$10,1))+IF(NOT(OR(ISBLANK($G41),ISNA(MATCH($G41,$A:$A,0)))),-$H41,0)</f>
        <v>0</v>
      </c>
      <c r="K41" s="1370"/>
      <c r="L41" s="1365">
        <f ca="1">$J41+$K41</f>
        <v>0</v>
      </c>
      <c r="M41" s="1365">
        <f ca="1">$N41-$L41</f>
        <v>0</v>
      </c>
      <c r="N41" s="1371">
        <f>Marktnahe_Bilanz!$E41</f>
        <v>0</v>
      </c>
    </row>
    <row r="42" spans="1:15" x14ac:dyDescent="0.2">
      <c r="A42" s="534"/>
      <c r="B42" s="534"/>
      <c r="E42" s="657"/>
      <c r="F42" s="1235"/>
      <c r="G42" s="1235"/>
      <c r="H42" s="1235"/>
      <c r="I42" s="1235"/>
      <c r="J42" s="1235"/>
      <c r="K42" s="1235"/>
      <c r="L42" s="1235"/>
      <c r="M42" s="1235"/>
      <c r="N42" s="1235"/>
      <c r="O42" s="1231"/>
    </row>
    <row r="43" spans="1:15" s="1241" customFormat="1" ht="15" customHeight="1" thickBot="1" x14ac:dyDescent="0.25">
      <c r="A43" s="534"/>
      <c r="B43" s="535"/>
      <c r="D43" s="2417" t="str">
        <f>Translation!B836</f>
        <v>Anlagen in Institutionen, die der Durchführung der sozialen Krankenversicherung dienen</v>
      </c>
      <c r="E43" s="2418"/>
      <c r="F43" s="489">
        <f>SUM(F44:F46)</f>
        <v>0</v>
      </c>
      <c r="G43" s="489"/>
      <c r="H43" s="489"/>
      <c r="I43" s="489"/>
      <c r="J43" s="489">
        <f ca="1">SUM(J44:J46)</f>
        <v>0</v>
      </c>
      <c r="K43" s="489">
        <f>SUM(K44:K46)</f>
        <v>0</v>
      </c>
      <c r="L43" s="489">
        <f ca="1">SUM(L44:L46)</f>
        <v>0</v>
      </c>
      <c r="M43" s="489">
        <f ca="1">SUM(M44:M46)</f>
        <v>0</v>
      </c>
      <c r="N43" s="489">
        <f>SUM(N44:N46)</f>
        <v>0</v>
      </c>
      <c r="O43" s="491"/>
    </row>
    <row r="44" spans="1:15" ht="12.75" customHeight="1" outlineLevel="1" thickTop="1" x14ac:dyDescent="0.2">
      <c r="A44" s="534">
        <f>ROW(44:44)</f>
        <v>44</v>
      </c>
      <c r="B44" s="535">
        <v>1</v>
      </c>
      <c r="D44" s="1243"/>
      <c r="E44" s="1244" t="str">
        <f>Translation!$B$844</f>
        <v>dem Geschäft nach KVG zugeordnet</v>
      </c>
      <c r="F44" s="1364"/>
      <c r="G44" s="536"/>
      <c r="H44" s="1364"/>
      <c r="I44" s="1365">
        <f ca="1">IF(ISERROR(OFFSET($A$1,$G44-1,1,1,1)),0,IF(SIGN(OFFSET($A$1,$G44-1,1,1,1))&lt;&gt;SIGN($B44),-1,1)*H44)</f>
        <v>0</v>
      </c>
      <c r="J44" s="1365">
        <f ca="1">$F44+SUMIF(OFFSET($G$11,0,0,$A$10,1),"="&amp;$A44,OFFSET($I$11,0,0,$A$10,1))+IF(NOT(OR(ISBLANK($G44),ISNA(MATCH($G44,$A:$A,0)))),-$H44,0)</f>
        <v>0</v>
      </c>
      <c r="K44" s="1366"/>
      <c r="L44" s="1367">
        <f ca="1">$J44+$K44</f>
        <v>0</v>
      </c>
      <c r="M44" s="1367">
        <f ca="1">$N44-$L44</f>
        <v>0</v>
      </c>
      <c r="N44" s="1368">
        <f>Marktnahe_Bilanz!$E44</f>
        <v>0</v>
      </c>
    </row>
    <row r="45" spans="1:15" ht="12.75" customHeight="1" outlineLevel="1" x14ac:dyDescent="0.2">
      <c r="A45" s="534">
        <f>ROW(45:45)</f>
        <v>45</v>
      </c>
      <c r="B45" s="535">
        <v>1</v>
      </c>
      <c r="E45" s="1249" t="str">
        <f>Translation!$B$845</f>
        <v>dem Geschäft nach VVG zugeordnet</v>
      </c>
      <c r="F45" s="1369"/>
      <c r="G45" s="536"/>
      <c r="H45" s="1369"/>
      <c r="I45" s="1365">
        <f ca="1">IF(ISERROR(OFFSET($A$1,$G45-1,1,1,1)),0,IF(SIGN(OFFSET($A$1,$G45-1,1,1,1))&lt;&gt;SIGN($B45),-1,1)*H45)</f>
        <v>0</v>
      </c>
      <c r="J45" s="1365">
        <f ca="1">$F45+SUMIF(OFFSET($G$11,0,0,$A$10,1),"="&amp;$A45,OFFSET($I$11,0,0,$A$10,1))+IF(NOT(OR(ISBLANK($G45),ISNA(MATCH($G45,$A:$A,0)))),-$H45,0)</f>
        <v>0</v>
      </c>
      <c r="K45" s="1370"/>
      <c r="L45" s="1365">
        <f ca="1">$J45+$K45</f>
        <v>0</v>
      </c>
      <c r="M45" s="1365">
        <f ca="1">$N45-$L45</f>
        <v>0</v>
      </c>
      <c r="N45" s="1371">
        <f>Marktnahe_Bilanz!$E45</f>
        <v>0</v>
      </c>
    </row>
    <row r="46" spans="1:15" ht="12.75" customHeight="1" outlineLevel="1" x14ac:dyDescent="0.2">
      <c r="A46" s="534">
        <f>ROW(46:46)</f>
        <v>46</v>
      </c>
      <c r="B46" s="535">
        <v>1</v>
      </c>
      <c r="E46" s="1249" t="str">
        <f>Translation!$B$846</f>
        <v>dem Geschäft nach UVG zugeordnet</v>
      </c>
      <c r="F46" s="1369"/>
      <c r="G46" s="536"/>
      <c r="H46" s="1369"/>
      <c r="I46" s="1365">
        <f ca="1">IF(ISERROR(OFFSET($A$1,$G46-1,1,1,1)),0,IF(SIGN(OFFSET($A$1,$G46-1,1,1,1))&lt;&gt;SIGN($B46),-1,1)*H46)</f>
        <v>0</v>
      </c>
      <c r="J46" s="1365">
        <f ca="1">$F46+SUMIF(OFFSET($G$11,0,0,$A$10,1),"="&amp;$A46,OFFSET($I$11,0,0,$A$10,1))+IF(NOT(OR(ISBLANK($G46),ISNA(MATCH($G46,$A:$A,0)))),-$H46,0)</f>
        <v>0</v>
      </c>
      <c r="K46" s="1370"/>
      <c r="L46" s="1365">
        <f ca="1">$J46+$K46</f>
        <v>0</v>
      </c>
      <c r="M46" s="1365">
        <f ca="1">$N46-$L46</f>
        <v>0</v>
      </c>
      <c r="N46" s="1371">
        <f>Marktnahe_Bilanz!$E46</f>
        <v>0</v>
      </c>
    </row>
    <row r="47" spans="1:15" x14ac:dyDescent="0.2">
      <c r="A47" s="534"/>
      <c r="B47" s="534"/>
      <c r="E47" s="657"/>
      <c r="F47" s="1235"/>
      <c r="G47" s="1235"/>
      <c r="H47" s="1235"/>
      <c r="I47" s="1235"/>
      <c r="J47" s="1235"/>
      <c r="K47" s="1235"/>
      <c r="L47" s="1235"/>
      <c r="M47" s="1235"/>
      <c r="N47" s="1235"/>
      <c r="O47" s="1231"/>
    </row>
    <row r="48" spans="1:15" s="1241" customFormat="1" ht="15" customHeight="1" thickBot="1" x14ac:dyDescent="0.25">
      <c r="A48" s="534"/>
      <c r="B48" s="535"/>
      <c r="D48" s="2417" t="str">
        <f>Translation!B837</f>
        <v>Übrige Kapitalanlagen (Latente Steuern, Aktiven aus Vorsorgeplänen)</v>
      </c>
      <c r="E48" s="2418"/>
      <c r="F48" s="489">
        <f>SUM(F49:F51)</f>
        <v>0</v>
      </c>
      <c r="G48" s="489"/>
      <c r="H48" s="489"/>
      <c r="I48" s="489"/>
      <c r="J48" s="489">
        <f ca="1">SUM(J49:J51)</f>
        <v>0</v>
      </c>
      <c r="K48" s="489">
        <f>SUM(K49:K51)</f>
        <v>0</v>
      </c>
      <c r="L48" s="489">
        <f ca="1">SUM(L49:L51)</f>
        <v>0</v>
      </c>
      <c r="M48" s="489">
        <f ca="1">SUM(M49:M51)</f>
        <v>0</v>
      </c>
      <c r="N48" s="489">
        <f>SUM(N49:N51)</f>
        <v>0</v>
      </c>
      <c r="O48" s="491"/>
    </row>
    <row r="49" spans="1:15" ht="12.75" customHeight="1" outlineLevel="1" thickTop="1" x14ac:dyDescent="0.2">
      <c r="A49" s="534">
        <f>ROW(49:49)</f>
        <v>49</v>
      </c>
      <c r="B49" s="535">
        <v>1</v>
      </c>
      <c r="D49" s="1243"/>
      <c r="E49" s="1244" t="str">
        <f>Translation!$B$844</f>
        <v>dem Geschäft nach KVG zugeordnet</v>
      </c>
      <c r="F49" s="1364"/>
      <c r="G49" s="536"/>
      <c r="H49" s="1364"/>
      <c r="I49" s="1365">
        <f ca="1">IF(ISERROR(OFFSET($A$1,$G49-1,1,1,1)),0,IF(SIGN(OFFSET($A$1,$G49-1,1,1,1))&lt;&gt;SIGN($B49),-1,1)*H49)</f>
        <v>0</v>
      </c>
      <c r="J49" s="1365">
        <f ca="1">$F49+SUMIF(OFFSET($G$11,0,0,$A$10,1),"="&amp;$A49,OFFSET($I$11,0,0,$A$10,1))+IF(NOT(OR(ISBLANK($G49),ISNA(MATCH($G49,$A:$A,0)))),-$H49,0)</f>
        <v>0</v>
      </c>
      <c r="K49" s="1366"/>
      <c r="L49" s="1367">
        <f ca="1">$J49+$K49</f>
        <v>0</v>
      </c>
      <c r="M49" s="1367">
        <f ca="1">$N49-$L49</f>
        <v>0</v>
      </c>
      <c r="N49" s="1368">
        <f>Marktnahe_Bilanz!$E49</f>
        <v>0</v>
      </c>
    </row>
    <row r="50" spans="1:15" ht="12.75" customHeight="1" outlineLevel="1" x14ac:dyDescent="0.2">
      <c r="A50" s="534">
        <f>ROW(50:50)</f>
        <v>50</v>
      </c>
      <c r="B50" s="535">
        <v>1</v>
      </c>
      <c r="E50" s="1249" t="str">
        <f>Translation!$B$845</f>
        <v>dem Geschäft nach VVG zugeordnet</v>
      </c>
      <c r="F50" s="1369"/>
      <c r="G50" s="536"/>
      <c r="H50" s="1369"/>
      <c r="I50" s="1365">
        <f ca="1">IF(ISERROR(OFFSET($A$1,$G50-1,1,1,1)),0,IF(SIGN(OFFSET($A$1,$G50-1,1,1,1))&lt;&gt;SIGN($B50),-1,1)*H50)</f>
        <v>0</v>
      </c>
      <c r="J50" s="1365">
        <f ca="1">$F50+SUMIF(OFFSET($G$11,0,0,$A$10,1),"="&amp;$A50,OFFSET($I$11,0,0,$A$10,1))+IF(NOT(OR(ISBLANK($G50),ISNA(MATCH($G50,$A:$A,0)))),-$H50,0)</f>
        <v>0</v>
      </c>
      <c r="K50" s="1370"/>
      <c r="L50" s="1365">
        <f ca="1">$J50+$K50</f>
        <v>0</v>
      </c>
      <c r="M50" s="1365">
        <f ca="1">$N50-$L50</f>
        <v>0</v>
      </c>
      <c r="N50" s="1371">
        <f>Marktnahe_Bilanz!$E50</f>
        <v>0</v>
      </c>
    </row>
    <row r="51" spans="1:15" ht="12.75" customHeight="1" outlineLevel="1" x14ac:dyDescent="0.2">
      <c r="A51" s="534">
        <f>ROW(51:51)</f>
        <v>51</v>
      </c>
      <c r="B51" s="535">
        <v>1</v>
      </c>
      <c r="E51" s="1249" t="str">
        <f>Translation!$B$846</f>
        <v>dem Geschäft nach UVG zugeordnet</v>
      </c>
      <c r="F51" s="1369"/>
      <c r="G51" s="536"/>
      <c r="H51" s="1369"/>
      <c r="I51" s="1365">
        <f ca="1">IF(ISERROR(OFFSET($A$1,$G51-1,1,1,1)),0,IF(SIGN(OFFSET($A$1,$G51-1,1,1,1))&lt;&gt;SIGN($B51),-1,1)*H51)</f>
        <v>0</v>
      </c>
      <c r="J51" s="1365">
        <f ca="1">$F51+SUMIF(OFFSET($G$11,0,0,$A$10,1),"="&amp;$A51,OFFSET($I$11,0,0,$A$10,1))+IF(NOT(OR(ISBLANK($G51),ISNA(MATCH($G51,$A:$A,0)))),-$H51,0)</f>
        <v>0</v>
      </c>
      <c r="K51" s="1370"/>
      <c r="L51" s="1365">
        <f ca="1">$J51+$K51</f>
        <v>0</v>
      </c>
      <c r="M51" s="1365">
        <f ca="1">$N51-$L51</f>
        <v>0</v>
      </c>
      <c r="N51" s="1371">
        <f>Marktnahe_Bilanz!$E51</f>
        <v>0</v>
      </c>
    </row>
    <row r="52" spans="1:15" x14ac:dyDescent="0.2">
      <c r="A52" s="534"/>
      <c r="B52" s="534"/>
      <c r="E52" s="657"/>
      <c r="F52" s="1235"/>
      <c r="G52" s="1235"/>
      <c r="H52" s="1235"/>
      <c r="I52" s="1235"/>
      <c r="J52" s="1235"/>
      <c r="K52" s="1235"/>
      <c r="L52" s="1235"/>
      <c r="M52" s="1235"/>
      <c r="N52" s="1235"/>
      <c r="O52" s="1231"/>
    </row>
    <row r="53" spans="1:15" ht="14.25" customHeight="1" thickBot="1" x14ac:dyDescent="0.25">
      <c r="A53" s="534"/>
      <c r="B53" s="535"/>
      <c r="C53" s="1241"/>
      <c r="D53" s="2436" t="str">
        <f>Translation!B838</f>
        <v>Total Kapitalanlagen</v>
      </c>
      <c r="E53" s="2418"/>
      <c r="F53" s="492">
        <f>SUM(F13,F18,F23,F28,F33,F38,F43,F48)</f>
        <v>0</v>
      </c>
      <c r="G53" s="492"/>
      <c r="H53" s="492"/>
      <c r="I53" s="492"/>
      <c r="J53" s="492">
        <f ca="1">SUM(J13,J18,J23,J28,J33,J38,J43,J48)</f>
        <v>0</v>
      </c>
      <c r="K53" s="492">
        <f>SUM(K13,K18,K23,K28,K33,K38,K43,K48)</f>
        <v>0</v>
      </c>
      <c r="L53" s="492">
        <f ca="1">SUM(L13,L18,L23,L28,L33,L38,L43,L48)</f>
        <v>0</v>
      </c>
      <c r="M53" s="492">
        <f ca="1">SUM(M13,M18,M23,M28,M33,M38,M43,M48)</f>
        <v>0</v>
      </c>
      <c r="N53" s="492">
        <f>SUM(N13,N18,N23,N28,N33,N38,N43,N48)</f>
        <v>0</v>
      </c>
    </row>
    <row r="54" spans="1:15" ht="13.5" thickTop="1" x14ac:dyDescent="0.2">
      <c r="A54" s="534"/>
      <c r="B54" s="534"/>
      <c r="D54" s="1252"/>
      <c r="E54" s="1243"/>
    </row>
    <row r="55" spans="1:15" ht="18" x14ac:dyDescent="0.25">
      <c r="A55" s="534"/>
      <c r="B55" s="534"/>
      <c r="C55" s="152" t="str">
        <f>Translation!B839</f>
        <v>Übrige Aktiven</v>
      </c>
      <c r="D55" s="1252"/>
    </row>
    <row r="56" spans="1:15" x14ac:dyDescent="0.2">
      <c r="A56" s="534"/>
      <c r="B56" s="534"/>
      <c r="E56" s="657"/>
      <c r="F56" s="1235"/>
      <c r="G56" s="1235"/>
      <c r="H56" s="1235"/>
      <c r="I56" s="1235"/>
      <c r="J56" s="1235"/>
      <c r="K56" s="1235"/>
      <c r="L56" s="1235"/>
      <c r="M56" s="1235"/>
      <c r="N56" s="1235"/>
      <c r="O56" s="1231"/>
    </row>
    <row r="57" spans="1:15" s="1241" customFormat="1" ht="14.25" customHeight="1" thickBot="1" x14ac:dyDescent="0.25">
      <c r="A57" s="534"/>
      <c r="B57" s="535"/>
      <c r="D57" s="2417" t="str">
        <f>Translation!B840</f>
        <v>Übriges Anlagevermögen (Immaterielle Anlagen, Sachanlagen)</v>
      </c>
      <c r="E57" s="2418"/>
      <c r="F57" s="489">
        <f>SUM(F58:F60)</f>
        <v>0</v>
      </c>
      <c r="G57" s="489"/>
      <c r="H57" s="489"/>
      <c r="I57" s="489"/>
      <c r="J57" s="489">
        <f ca="1">SUM(J58:J60)</f>
        <v>0</v>
      </c>
      <c r="K57" s="489">
        <f>SUM(K58:K60)</f>
        <v>0</v>
      </c>
      <c r="L57" s="489">
        <f ca="1">SUM(L58:L60)</f>
        <v>0</v>
      </c>
      <c r="M57" s="489">
        <f ca="1">SUM(M58:M60)</f>
        <v>0</v>
      </c>
      <c r="N57" s="489">
        <f>SUM(N58:N60)</f>
        <v>0</v>
      </c>
      <c r="O57" s="491"/>
    </row>
    <row r="58" spans="1:15" ht="12.75" customHeight="1" outlineLevel="1" thickTop="1" x14ac:dyDescent="0.2">
      <c r="A58" s="534">
        <f>ROW(58:58)</f>
        <v>58</v>
      </c>
      <c r="B58" s="535">
        <v>1</v>
      </c>
      <c r="D58" s="1243"/>
      <c r="E58" s="1244" t="str">
        <f>Translation!$B$844</f>
        <v>dem Geschäft nach KVG zugeordnet</v>
      </c>
      <c r="F58" s="1364"/>
      <c r="G58" s="536"/>
      <c r="H58" s="1364"/>
      <c r="I58" s="1365">
        <f ca="1">IF(ISERROR(OFFSET($A$1,$G58-1,1,1,1)),0,IF(SIGN(OFFSET($A$1,$G58-1,1,1,1))&lt;&gt;SIGN($B58),-1,1)*H58)</f>
        <v>0</v>
      </c>
      <c r="J58" s="1365">
        <f ca="1">$F58+SUMIF(OFFSET($G$11,0,0,$A$10,1),"="&amp;$A58,OFFSET($I$11,0,0,$A$10,1))+IF(NOT(OR(ISBLANK($G58),ISNA(MATCH($G58,$A:$A,0)))),-$H58,0)</f>
        <v>0</v>
      </c>
      <c r="K58" s="1366"/>
      <c r="L58" s="1367">
        <f ca="1">$J58+$K58</f>
        <v>0</v>
      </c>
      <c r="M58" s="1367">
        <f ca="1">$N58-$L58</f>
        <v>0</v>
      </c>
      <c r="N58" s="1368">
        <f>Marktnahe_Bilanz!$E58</f>
        <v>0</v>
      </c>
    </row>
    <row r="59" spans="1:15" ht="12.75" customHeight="1" outlineLevel="1" x14ac:dyDescent="0.2">
      <c r="A59" s="534">
        <f>ROW(59:59)</f>
        <v>59</v>
      </c>
      <c r="B59" s="535">
        <v>1</v>
      </c>
      <c r="E59" s="1249" t="str">
        <f>Translation!$B$845</f>
        <v>dem Geschäft nach VVG zugeordnet</v>
      </c>
      <c r="F59" s="1369"/>
      <c r="G59" s="536"/>
      <c r="H59" s="1369"/>
      <c r="I59" s="1365">
        <f ca="1">IF(ISERROR(OFFSET($A$1,$G59-1,1,1,1)),0,IF(SIGN(OFFSET($A$1,$G59-1,1,1,1))&lt;&gt;SIGN($B59),-1,1)*H59)</f>
        <v>0</v>
      </c>
      <c r="J59" s="1365">
        <f ca="1">$F59+SUMIF(OFFSET($G$11,0,0,$A$10,1),"="&amp;$A59,OFFSET($I$11,0,0,$A$10,1))+IF(NOT(OR(ISBLANK($G59),ISNA(MATCH($G59,$A:$A,0)))),-$H59,0)</f>
        <v>0</v>
      </c>
      <c r="K59" s="1370"/>
      <c r="L59" s="1365">
        <f ca="1">$J59+$K59</f>
        <v>0</v>
      </c>
      <c r="M59" s="1365">
        <f ca="1">$N59-$L59</f>
        <v>0</v>
      </c>
      <c r="N59" s="1371">
        <f>Marktnahe_Bilanz!$E59</f>
        <v>0</v>
      </c>
    </row>
    <row r="60" spans="1:15" ht="12.75" customHeight="1" outlineLevel="1" x14ac:dyDescent="0.2">
      <c r="A60" s="534">
        <f>ROW(60:60)</f>
        <v>60</v>
      </c>
      <c r="B60" s="535">
        <v>1</v>
      </c>
      <c r="E60" s="1249" t="str">
        <f>Translation!$B$846</f>
        <v>dem Geschäft nach UVG zugeordnet</v>
      </c>
      <c r="F60" s="1369"/>
      <c r="G60" s="536"/>
      <c r="H60" s="1369"/>
      <c r="I60" s="1365">
        <f ca="1">IF(ISERROR(OFFSET($A$1,$G60-1,1,1,1)),0,IF(SIGN(OFFSET($A$1,$G60-1,1,1,1))&lt;&gt;SIGN($B60),-1,1)*H60)</f>
        <v>0</v>
      </c>
      <c r="J60" s="1365">
        <f ca="1">$F60+SUMIF(OFFSET($G$11,0,0,$A$10,1),"="&amp;$A60,OFFSET($I$11,0,0,$A$10,1))+IF(NOT(OR(ISBLANK($G60),ISNA(MATCH($G60,$A:$A,0)))),-$H60,0)</f>
        <v>0</v>
      </c>
      <c r="K60" s="1370"/>
      <c r="L60" s="1365">
        <f ca="1">$J60+$K60</f>
        <v>0</v>
      </c>
      <c r="M60" s="1365">
        <f ca="1">$N60-$L60</f>
        <v>0</v>
      </c>
      <c r="N60" s="1371">
        <f>Marktnahe_Bilanz!$E60</f>
        <v>0</v>
      </c>
    </row>
    <row r="61" spans="1:15" x14ac:dyDescent="0.2">
      <c r="A61" s="534"/>
      <c r="B61" s="534"/>
      <c r="E61" s="657"/>
      <c r="F61" s="1235"/>
      <c r="G61" s="1235"/>
      <c r="H61" s="1235"/>
      <c r="I61" s="1235"/>
      <c r="J61" s="1235"/>
      <c r="K61" s="1235"/>
      <c r="L61" s="1235"/>
      <c r="M61" s="1235"/>
      <c r="N61" s="1235"/>
      <c r="O61" s="1231"/>
    </row>
    <row r="62" spans="1:15" s="1241" customFormat="1" ht="14.25" customHeight="1" thickBot="1" x14ac:dyDescent="0.25">
      <c r="A62" s="534"/>
      <c r="B62" s="535"/>
      <c r="D62" s="2417" t="str">
        <f>Translation!B841</f>
        <v>Umlaufvermögen</v>
      </c>
      <c r="E62" s="2418"/>
      <c r="F62" s="489">
        <f>SUM(F63:F65)</f>
        <v>0</v>
      </c>
      <c r="G62" s="489"/>
      <c r="H62" s="489"/>
      <c r="I62" s="489"/>
      <c r="J62" s="489">
        <f ca="1">SUM(J63:J65)</f>
        <v>0</v>
      </c>
      <c r="K62" s="489">
        <f>SUM(K63:K65)</f>
        <v>0</v>
      </c>
      <c r="L62" s="489">
        <f ca="1">SUM(L63:L65)</f>
        <v>0</v>
      </c>
      <c r="M62" s="489">
        <f ca="1">SUM(M63:M65)</f>
        <v>0</v>
      </c>
      <c r="N62" s="489">
        <f>SUM(N63:N65)</f>
        <v>0</v>
      </c>
      <c r="O62" s="491"/>
    </row>
    <row r="63" spans="1:15" ht="12.75" customHeight="1" outlineLevel="1" thickTop="1" x14ac:dyDescent="0.2">
      <c r="A63" s="534">
        <f>ROW(63:63)</f>
        <v>63</v>
      </c>
      <c r="B63" s="535">
        <v>1</v>
      </c>
      <c r="D63" s="1243"/>
      <c r="E63" s="1244" t="str">
        <f>Translation!$B$844</f>
        <v>dem Geschäft nach KVG zugeordnet</v>
      </c>
      <c r="F63" s="1364"/>
      <c r="G63" s="536"/>
      <c r="H63" s="1364"/>
      <c r="I63" s="1365">
        <f ca="1">IF(ISERROR(OFFSET($A$1,$G63-1,1,1,1)),0,IF(SIGN(OFFSET($A$1,$G63-1,1,1,1))&lt;&gt;SIGN($B63),-1,1)*H63)</f>
        <v>0</v>
      </c>
      <c r="J63" s="1365">
        <f ca="1">$F63+SUMIF(OFFSET($G$11,0,0,$A$10,1),"="&amp;$A63,OFFSET($I$11,0,0,$A$10,1))+IF(NOT(OR(ISBLANK($G63),ISNA(MATCH($G63,$A:$A,0)))),-$H63,0)</f>
        <v>0</v>
      </c>
      <c r="K63" s="1366"/>
      <c r="L63" s="1367">
        <f ca="1">$J63+$K63</f>
        <v>0</v>
      </c>
      <c r="M63" s="1367">
        <f ca="1">$N63-$L63</f>
        <v>0</v>
      </c>
      <c r="N63" s="1368">
        <f>Marktnahe_Bilanz!$E63</f>
        <v>0</v>
      </c>
    </row>
    <row r="64" spans="1:15" ht="12.75" customHeight="1" outlineLevel="1" x14ac:dyDescent="0.2">
      <c r="A64" s="534">
        <f>ROW(64:64)</f>
        <v>64</v>
      </c>
      <c r="B64" s="535">
        <v>1</v>
      </c>
      <c r="E64" s="1249" t="str">
        <f>Translation!$B$845</f>
        <v>dem Geschäft nach VVG zugeordnet</v>
      </c>
      <c r="F64" s="1369"/>
      <c r="G64" s="536"/>
      <c r="H64" s="1369"/>
      <c r="I64" s="1365">
        <f ca="1">IF(ISERROR(OFFSET($A$1,$G64-1,1,1,1)),0,IF(SIGN(OFFSET($A$1,$G64-1,1,1,1))&lt;&gt;SIGN($B64),-1,1)*H64)</f>
        <v>0</v>
      </c>
      <c r="J64" s="1365">
        <f ca="1">$F64+SUMIF(OFFSET($G$11,0,0,$A$10,1),"="&amp;$A64,OFFSET($I$11,0,0,$A$10,1))+IF(NOT(OR(ISBLANK($G64),ISNA(MATCH($G64,$A:$A,0)))),-$H64,0)</f>
        <v>0</v>
      </c>
      <c r="K64" s="1370"/>
      <c r="L64" s="1365">
        <f ca="1">$J64+$K64</f>
        <v>0</v>
      </c>
      <c r="M64" s="1365">
        <f ca="1">$N64-$L64</f>
        <v>0</v>
      </c>
      <c r="N64" s="1371">
        <f>Marktnahe_Bilanz!$E64</f>
        <v>0</v>
      </c>
    </row>
    <row r="65" spans="1:15" ht="12.75" customHeight="1" outlineLevel="1" x14ac:dyDescent="0.2">
      <c r="A65" s="534">
        <f>ROW(65:65)</f>
        <v>65</v>
      </c>
      <c r="B65" s="535">
        <v>1</v>
      </c>
      <c r="E65" s="1249" t="str">
        <f>Translation!$B$846</f>
        <v>dem Geschäft nach UVG zugeordnet</v>
      </c>
      <c r="F65" s="1369"/>
      <c r="G65" s="536"/>
      <c r="H65" s="1369"/>
      <c r="I65" s="1365">
        <f ca="1">IF(ISERROR(OFFSET($A$1,$G65-1,1,1,1)),0,IF(SIGN(OFFSET($A$1,$G65-1,1,1,1))&lt;&gt;SIGN($B65),-1,1)*H65)</f>
        <v>0</v>
      </c>
      <c r="J65" s="1365">
        <f ca="1">$F65+SUMIF(OFFSET($G$11,0,0,$A$10,1),"="&amp;$A65,OFFSET($I$11,0,0,$A$10,1))+IF(NOT(OR(ISBLANK($G65),ISNA(MATCH($G65,$A:$A,0)))),-$H65,0)</f>
        <v>0</v>
      </c>
      <c r="K65" s="1370"/>
      <c r="L65" s="1365">
        <f ca="1">$J65+$K65</f>
        <v>0</v>
      </c>
      <c r="M65" s="1365">
        <f ca="1">$N65-$L65</f>
        <v>0</v>
      </c>
      <c r="N65" s="1371">
        <f>Marktnahe_Bilanz!$E65</f>
        <v>0</v>
      </c>
    </row>
    <row r="66" spans="1:15" x14ac:dyDescent="0.2">
      <c r="A66" s="534"/>
      <c r="B66" s="534"/>
      <c r="E66" s="657"/>
      <c r="F66" s="1235"/>
      <c r="G66" s="1235"/>
      <c r="H66" s="1235"/>
      <c r="I66" s="1235"/>
      <c r="J66" s="1235"/>
      <c r="K66" s="1235"/>
      <c r="L66" s="1235"/>
      <c r="M66" s="1235"/>
      <c r="N66" s="1235"/>
      <c r="O66" s="1231"/>
    </row>
    <row r="67" spans="1:15" ht="14.25" customHeight="1" thickBot="1" x14ac:dyDescent="0.25">
      <c r="A67" s="534"/>
      <c r="B67" s="535"/>
      <c r="C67" s="1241"/>
      <c r="D67" s="2417" t="str">
        <f>Translation!B842</f>
        <v>Total übrige Aktiven</v>
      </c>
      <c r="E67" s="2418"/>
      <c r="F67" s="492">
        <f>SUM(F57,F62)</f>
        <v>0</v>
      </c>
      <c r="G67" s="492"/>
      <c r="H67" s="492"/>
      <c r="I67" s="492"/>
      <c r="J67" s="492">
        <f ca="1">SUM(J57,J62)</f>
        <v>0</v>
      </c>
      <c r="K67" s="492">
        <f>SUM(K57,K62)</f>
        <v>0</v>
      </c>
      <c r="L67" s="492">
        <f ca="1">SUM(L57,L62)</f>
        <v>0</v>
      </c>
      <c r="M67" s="492">
        <f ca="1">SUM(M57,M62)</f>
        <v>0</v>
      </c>
      <c r="N67" s="492">
        <f>SUM(N57,N62)</f>
        <v>0</v>
      </c>
    </row>
    <row r="68" spans="1:15" ht="13.5" thickTop="1" x14ac:dyDescent="0.2">
      <c r="A68" s="534"/>
      <c r="B68" s="534"/>
    </row>
    <row r="69" spans="1:15" ht="21" thickBot="1" x14ac:dyDescent="0.35">
      <c r="A69" s="534"/>
      <c r="B69" s="535"/>
      <c r="C69" s="494" t="str">
        <f>Translation!B843</f>
        <v>Total Aktiven</v>
      </c>
      <c r="D69" s="1253"/>
      <c r="E69" s="651"/>
      <c r="F69" s="160">
        <f>SUM(F53,F67)</f>
        <v>0</v>
      </c>
      <c r="G69" s="160"/>
      <c r="H69" s="160"/>
      <c r="I69" s="160"/>
      <c r="J69" s="160">
        <f ca="1">SUM(J53,J67)</f>
        <v>0</v>
      </c>
      <c r="K69" s="160">
        <f>SUM(K53,K67)</f>
        <v>0</v>
      </c>
      <c r="L69" s="160">
        <f ca="1">SUM(L53,L67)</f>
        <v>0</v>
      </c>
      <c r="M69" s="160">
        <f ca="1">SUM(M53,M67)</f>
        <v>0</v>
      </c>
      <c r="N69" s="160">
        <f>SUM(N53,N67)</f>
        <v>0</v>
      </c>
      <c r="O69" s="657"/>
    </row>
    <row r="70" spans="1:15" s="1241" customFormat="1" ht="15" customHeight="1" thickTop="1" x14ac:dyDescent="0.2">
      <c r="A70" s="534"/>
      <c r="B70" s="534"/>
      <c r="C70" s="657"/>
      <c r="D70" s="657"/>
      <c r="E70" s="847"/>
      <c r="F70" s="847"/>
      <c r="G70" s="847"/>
      <c r="H70" s="847"/>
      <c r="I70" s="847"/>
      <c r="J70" s="847"/>
      <c r="K70" s="847"/>
      <c r="L70" s="847"/>
      <c r="M70" s="847"/>
      <c r="N70" s="847"/>
    </row>
    <row r="71" spans="1:15" x14ac:dyDescent="0.2">
      <c r="A71" s="534"/>
      <c r="B71" s="534"/>
      <c r="E71" s="1256"/>
      <c r="F71" s="1258"/>
      <c r="G71" s="1258"/>
      <c r="H71" s="1258"/>
      <c r="I71" s="1258"/>
      <c r="J71" s="1258"/>
      <c r="K71" s="1258"/>
      <c r="L71" s="1258"/>
      <c r="M71" s="1258"/>
      <c r="N71" s="1258"/>
    </row>
    <row r="72" spans="1:15" ht="18" x14ac:dyDescent="0.25">
      <c r="A72" s="534"/>
      <c r="B72" s="534"/>
      <c r="C72" s="152" t="str">
        <f>Translation!B847</f>
        <v>Versicherungstechnische Rückstellungen (netto)</v>
      </c>
      <c r="D72" s="1252"/>
    </row>
    <row r="73" spans="1:15" x14ac:dyDescent="0.2">
      <c r="A73" s="534"/>
      <c r="B73" s="534"/>
      <c r="E73" s="657"/>
      <c r="F73" s="1235"/>
      <c r="G73" s="1235"/>
      <c r="H73" s="1235"/>
      <c r="I73" s="1235"/>
      <c r="J73" s="1235"/>
      <c r="K73" s="1235"/>
      <c r="L73" s="1235"/>
      <c r="M73" s="1235"/>
      <c r="N73" s="1235"/>
      <c r="O73" s="1231"/>
    </row>
    <row r="74" spans="1:15" ht="14.25" customHeight="1" thickBot="1" x14ac:dyDescent="0.25">
      <c r="A74" s="534"/>
      <c r="B74" s="535"/>
      <c r="C74" s="1241"/>
      <c r="D74" s="2417" t="str">
        <f>Translation!B848</f>
        <v>Leistungsrückstellungen</v>
      </c>
      <c r="E74" s="2418"/>
      <c r="F74" s="493">
        <f>SUM(F75:F80)</f>
        <v>0</v>
      </c>
      <c r="G74" s="493"/>
      <c r="H74" s="493"/>
      <c r="I74" s="493"/>
      <c r="J74" s="493">
        <f ca="1">SUM(J75:J80)</f>
        <v>0</v>
      </c>
      <c r="K74" s="493">
        <f>SUM(K75:K80)</f>
        <v>0</v>
      </c>
      <c r="L74" s="493">
        <f ca="1">SUM(L75:L80)</f>
        <v>0</v>
      </c>
      <c r="M74" s="493">
        <f ca="1">SUM(M75:M80)</f>
        <v>0</v>
      </c>
      <c r="N74" s="493">
        <f>SUM(N75:N80)</f>
        <v>0</v>
      </c>
      <c r="O74" s="439"/>
    </row>
    <row r="75" spans="1:15" ht="12.75" customHeight="1" outlineLevel="1" thickTop="1" x14ac:dyDescent="0.2">
      <c r="A75" s="534">
        <f t="shared" ref="A75:A80" si="0">ROW(75:75)</f>
        <v>75</v>
      </c>
      <c r="B75" s="535">
        <v>-1</v>
      </c>
      <c r="E75" s="1244" t="str">
        <f>Translation!$B$860</f>
        <v>Obligatorische Krankenpflegeversicherung</v>
      </c>
      <c r="F75" s="1369"/>
      <c r="G75" s="536"/>
      <c r="H75" s="1369"/>
      <c r="I75" s="1365">
        <f t="shared" ref="I75:I80" ca="1" si="1">IF(ISERROR(OFFSET($A$1,$G75-1,1,1,1)),0,IF(SIGN(OFFSET($A$1,$G75-1,1,1,1))&lt;&gt;SIGN($B75),-1,1)*H75)</f>
        <v>0</v>
      </c>
      <c r="J75" s="1365">
        <f t="shared" ref="J75:J80" ca="1" si="2">$F75+SUMIF(OFFSET($G$11,0,0,$A$10,1),"="&amp;$A75,OFFSET($I$11,0,0,$A$10,1))+IF(NOT(OR(ISBLANK($G75),ISNA(MATCH($G75,$A:$A,0)))),-$H75,0)</f>
        <v>0</v>
      </c>
      <c r="K75" s="1370"/>
      <c r="L75" s="1365">
        <f t="shared" ref="L75:L80" ca="1" si="3">$J75+$K75</f>
        <v>0</v>
      </c>
      <c r="M75" s="1365">
        <f t="shared" ref="M75:M80" ca="1" si="4">$N75-$L75</f>
        <v>0</v>
      </c>
      <c r="N75" s="1368">
        <f>Marktnahe_Bilanz!$E75</f>
        <v>0</v>
      </c>
    </row>
    <row r="76" spans="1:15" ht="12.75" customHeight="1" outlineLevel="1" x14ac:dyDescent="0.2">
      <c r="A76" s="534">
        <f t="shared" si="0"/>
        <v>76</v>
      </c>
      <c r="B76" s="535">
        <v>-1</v>
      </c>
      <c r="E76" s="1249" t="str">
        <f>Translation!$B$861</f>
        <v>Einzel-Taggeldversicherung nach KVG</v>
      </c>
      <c r="F76" s="1369"/>
      <c r="G76" s="536"/>
      <c r="H76" s="1369"/>
      <c r="I76" s="1365">
        <f t="shared" ca="1" si="1"/>
        <v>0</v>
      </c>
      <c r="J76" s="1365">
        <f t="shared" ca="1" si="2"/>
        <v>0</v>
      </c>
      <c r="K76" s="1370"/>
      <c r="L76" s="1365">
        <f t="shared" ca="1" si="3"/>
        <v>0</v>
      </c>
      <c r="M76" s="1365">
        <f t="shared" ca="1" si="4"/>
        <v>0</v>
      </c>
      <c r="N76" s="1371">
        <f>Marktnahe_Bilanz!$E76</f>
        <v>0</v>
      </c>
    </row>
    <row r="77" spans="1:15" ht="12.75" customHeight="1" outlineLevel="1" x14ac:dyDescent="0.2">
      <c r="A77" s="534">
        <f t="shared" si="0"/>
        <v>77</v>
      </c>
      <c r="B77" s="535">
        <v>-1</v>
      </c>
      <c r="E77" s="1249" t="str">
        <f>Translation!$B$862</f>
        <v>Kollektiv-Taggeldversicherung nach KVG</v>
      </c>
      <c r="F77" s="1369"/>
      <c r="G77" s="536"/>
      <c r="H77" s="1369"/>
      <c r="I77" s="1365">
        <f t="shared" ca="1" si="1"/>
        <v>0</v>
      </c>
      <c r="J77" s="1365">
        <f t="shared" ca="1" si="2"/>
        <v>0</v>
      </c>
      <c r="K77" s="1370"/>
      <c r="L77" s="1365">
        <f t="shared" ca="1" si="3"/>
        <v>0</v>
      </c>
      <c r="M77" s="1365">
        <f t="shared" ca="1" si="4"/>
        <v>0</v>
      </c>
      <c r="N77" s="1371">
        <f>Marktnahe_Bilanz!$E77</f>
        <v>0</v>
      </c>
    </row>
    <row r="78" spans="1:15" ht="12.75" customHeight="1" outlineLevel="1" x14ac:dyDescent="0.2">
      <c r="A78" s="534">
        <f t="shared" si="0"/>
        <v>78</v>
      </c>
      <c r="B78" s="535">
        <v>-1</v>
      </c>
      <c r="E78" s="1249" t="str">
        <f>Translation!$B$863</f>
        <v>Aktive Rückversicherung nach KVG</v>
      </c>
      <c r="F78" s="1369"/>
      <c r="G78" s="536"/>
      <c r="H78" s="1369"/>
      <c r="I78" s="1365">
        <f t="shared" ca="1" si="1"/>
        <v>0</v>
      </c>
      <c r="J78" s="1365">
        <f t="shared" ca="1" si="2"/>
        <v>0</v>
      </c>
      <c r="K78" s="1370"/>
      <c r="L78" s="1365">
        <f t="shared" ca="1" si="3"/>
        <v>0</v>
      </c>
      <c r="M78" s="1365">
        <f t="shared" ca="1" si="4"/>
        <v>0</v>
      </c>
      <c r="N78" s="1371">
        <f>Marktnahe_Bilanz!$E78</f>
        <v>0</v>
      </c>
    </row>
    <row r="79" spans="1:15" ht="12.75" customHeight="1" outlineLevel="1" x14ac:dyDescent="0.2">
      <c r="A79" s="534">
        <f t="shared" si="0"/>
        <v>79</v>
      </c>
      <c r="B79" s="535">
        <v>-1</v>
      </c>
      <c r="E79" s="1249" t="str">
        <f>Translation!$B$864</f>
        <v>dem Geschäft nach VVG zugeordnet</v>
      </c>
      <c r="F79" s="1369"/>
      <c r="G79" s="536"/>
      <c r="H79" s="1369"/>
      <c r="I79" s="1365">
        <f t="shared" ca="1" si="1"/>
        <v>0</v>
      </c>
      <c r="J79" s="1365">
        <f t="shared" ca="1" si="2"/>
        <v>0</v>
      </c>
      <c r="K79" s="1370"/>
      <c r="L79" s="1365">
        <f t="shared" ca="1" si="3"/>
        <v>0</v>
      </c>
      <c r="M79" s="1365">
        <f t="shared" ca="1" si="4"/>
        <v>0</v>
      </c>
      <c r="N79" s="1371">
        <f>Marktnahe_Bilanz!$E79</f>
        <v>0</v>
      </c>
    </row>
    <row r="80" spans="1:15" ht="12.75" customHeight="1" outlineLevel="1" x14ac:dyDescent="0.2">
      <c r="A80" s="534">
        <f t="shared" si="0"/>
        <v>80</v>
      </c>
      <c r="B80" s="535">
        <v>-1</v>
      </c>
      <c r="E80" s="1249" t="str">
        <f>Translation!$B$865</f>
        <v>dem Geschäft nach UVG zugeordnet</v>
      </c>
      <c r="F80" s="1369"/>
      <c r="G80" s="536"/>
      <c r="H80" s="1369"/>
      <c r="I80" s="1365">
        <f t="shared" ca="1" si="1"/>
        <v>0</v>
      </c>
      <c r="J80" s="1365">
        <f t="shared" ca="1" si="2"/>
        <v>0</v>
      </c>
      <c r="K80" s="1370"/>
      <c r="L80" s="1365">
        <f t="shared" ca="1" si="3"/>
        <v>0</v>
      </c>
      <c r="M80" s="1365">
        <f t="shared" ca="1" si="4"/>
        <v>0</v>
      </c>
      <c r="N80" s="1371">
        <f>Marktnahe_Bilanz!$E80</f>
        <v>0</v>
      </c>
    </row>
    <row r="81" spans="1:15" x14ac:dyDescent="0.2">
      <c r="A81" s="534"/>
      <c r="B81" s="534"/>
      <c r="E81" s="657"/>
      <c r="F81" s="1235"/>
      <c r="G81" s="1235"/>
      <c r="H81" s="1235"/>
      <c r="I81" s="1235"/>
      <c r="J81" s="1235"/>
      <c r="K81" s="1235"/>
      <c r="L81" s="1235"/>
      <c r="M81" s="1235"/>
      <c r="N81" s="1235"/>
      <c r="O81" s="1231"/>
    </row>
    <row r="82" spans="1:15" ht="14.25" customHeight="1" thickBot="1" x14ac:dyDescent="0.25">
      <c r="A82" s="534"/>
      <c r="B82" s="535"/>
      <c r="C82" s="1241"/>
      <c r="D82" s="2417" t="str">
        <f>Translation!B849</f>
        <v>Alterungsrückstellungen und Deckungskapitalien</v>
      </c>
      <c r="E82" s="2418"/>
      <c r="F82" s="493">
        <f>SUM(F83:F88)</f>
        <v>0</v>
      </c>
      <c r="G82" s="493"/>
      <c r="H82" s="493"/>
      <c r="I82" s="493"/>
      <c r="J82" s="493">
        <f ca="1">SUM(J83:J88)</f>
        <v>0</v>
      </c>
      <c r="K82" s="493">
        <f>SUM(K83:K88)</f>
        <v>0</v>
      </c>
      <c r="L82" s="493">
        <f ca="1">SUM(L83:L88)</f>
        <v>0</v>
      </c>
      <c r="M82" s="493">
        <f ca="1">SUM(M83:M88)</f>
        <v>0</v>
      </c>
      <c r="N82" s="493">
        <f>SUM(N83:N88)</f>
        <v>0</v>
      </c>
      <c r="O82" s="439"/>
    </row>
    <row r="83" spans="1:15" ht="12.75" customHeight="1" outlineLevel="1" thickTop="1" x14ac:dyDescent="0.2">
      <c r="A83" s="534">
        <f t="shared" ref="A83:A88" si="5">ROW(83:83)</f>
        <v>83</v>
      </c>
      <c r="B83" s="535">
        <v>-1</v>
      </c>
      <c r="E83" s="1244" t="str">
        <f>Translation!$B$860</f>
        <v>Obligatorische Krankenpflegeversicherung</v>
      </c>
      <c r="F83" s="1369"/>
      <c r="G83" s="536"/>
      <c r="H83" s="1369"/>
      <c r="I83" s="1365">
        <f t="shared" ref="I83:I88" ca="1" si="6">IF(ISERROR(OFFSET($A$1,$G83-1,1,1,1)),0,IF(SIGN(OFFSET($A$1,$G83-1,1,1,1))&lt;&gt;SIGN($B83),-1,1)*H83)</f>
        <v>0</v>
      </c>
      <c r="J83" s="1365">
        <f t="shared" ref="J83:J88" ca="1" si="7">$F83+SUMIF(OFFSET($G$11,0,0,$A$10,1),"="&amp;$A83,OFFSET($I$11,0,0,$A$10,1))+IF(NOT(OR(ISBLANK($G83),ISNA(MATCH($G83,$A:$A,0)))),-$H83,0)</f>
        <v>0</v>
      </c>
      <c r="K83" s="1370"/>
      <c r="L83" s="1365">
        <f t="shared" ref="L83:L88" ca="1" si="8">$J83+$K83</f>
        <v>0</v>
      </c>
      <c r="M83" s="1365">
        <f t="shared" ref="M83:M88" ca="1" si="9">$N83-$L83</f>
        <v>0</v>
      </c>
      <c r="N83" s="1368">
        <f>Marktnahe_Bilanz!$E83</f>
        <v>0</v>
      </c>
    </row>
    <row r="84" spans="1:15" ht="12.75" customHeight="1" outlineLevel="1" x14ac:dyDescent="0.2">
      <c r="A84" s="534">
        <f t="shared" si="5"/>
        <v>84</v>
      </c>
      <c r="B84" s="535">
        <v>-1</v>
      </c>
      <c r="E84" s="1249" t="str">
        <f>Translation!$B$861</f>
        <v>Einzel-Taggeldversicherung nach KVG</v>
      </c>
      <c r="F84" s="1369"/>
      <c r="G84" s="536"/>
      <c r="H84" s="1369"/>
      <c r="I84" s="1365">
        <f t="shared" ca="1" si="6"/>
        <v>0</v>
      </c>
      <c r="J84" s="1365">
        <f t="shared" ca="1" si="7"/>
        <v>0</v>
      </c>
      <c r="K84" s="1370"/>
      <c r="L84" s="1365">
        <f t="shared" ca="1" si="8"/>
        <v>0</v>
      </c>
      <c r="M84" s="1365">
        <f t="shared" ca="1" si="9"/>
        <v>0</v>
      </c>
      <c r="N84" s="1371">
        <f>Marktnahe_Bilanz!$E84</f>
        <v>0</v>
      </c>
    </row>
    <row r="85" spans="1:15" ht="12.75" customHeight="1" outlineLevel="1" x14ac:dyDescent="0.2">
      <c r="A85" s="534">
        <f t="shared" si="5"/>
        <v>85</v>
      </c>
      <c r="B85" s="535">
        <v>-1</v>
      </c>
      <c r="E85" s="1249" t="str">
        <f>Translation!$B$862</f>
        <v>Kollektiv-Taggeldversicherung nach KVG</v>
      </c>
      <c r="F85" s="1369"/>
      <c r="G85" s="536"/>
      <c r="H85" s="1369"/>
      <c r="I85" s="1365">
        <f t="shared" ca="1" si="6"/>
        <v>0</v>
      </c>
      <c r="J85" s="1365">
        <f t="shared" ca="1" si="7"/>
        <v>0</v>
      </c>
      <c r="K85" s="1370"/>
      <c r="L85" s="1365">
        <f t="shared" ca="1" si="8"/>
        <v>0</v>
      </c>
      <c r="M85" s="1365">
        <f t="shared" ca="1" si="9"/>
        <v>0</v>
      </c>
      <c r="N85" s="1371">
        <f>Marktnahe_Bilanz!$E85</f>
        <v>0</v>
      </c>
    </row>
    <row r="86" spans="1:15" ht="12.75" customHeight="1" outlineLevel="1" x14ac:dyDescent="0.2">
      <c r="A86" s="534">
        <f t="shared" si="5"/>
        <v>86</v>
      </c>
      <c r="B86" s="535">
        <v>-1</v>
      </c>
      <c r="E86" s="1249" t="str">
        <f>Translation!$B$863</f>
        <v>Aktive Rückversicherung nach KVG</v>
      </c>
      <c r="F86" s="1369"/>
      <c r="G86" s="536"/>
      <c r="H86" s="1369"/>
      <c r="I86" s="1365">
        <f t="shared" ca="1" si="6"/>
        <v>0</v>
      </c>
      <c r="J86" s="1365">
        <f t="shared" ca="1" si="7"/>
        <v>0</v>
      </c>
      <c r="K86" s="1370"/>
      <c r="L86" s="1365">
        <f t="shared" ca="1" si="8"/>
        <v>0</v>
      </c>
      <c r="M86" s="1365">
        <f t="shared" ca="1" si="9"/>
        <v>0</v>
      </c>
      <c r="N86" s="1371">
        <f>Marktnahe_Bilanz!$E86</f>
        <v>0</v>
      </c>
    </row>
    <row r="87" spans="1:15" ht="12.75" customHeight="1" outlineLevel="1" x14ac:dyDescent="0.2">
      <c r="A87" s="534">
        <f t="shared" si="5"/>
        <v>87</v>
      </c>
      <c r="B87" s="535">
        <v>-1</v>
      </c>
      <c r="E87" s="1249" t="str">
        <f>Translation!$B$864</f>
        <v>dem Geschäft nach VVG zugeordnet</v>
      </c>
      <c r="F87" s="1369"/>
      <c r="G87" s="536"/>
      <c r="H87" s="1369"/>
      <c r="I87" s="1365">
        <f t="shared" ca="1" si="6"/>
        <v>0</v>
      </c>
      <c r="J87" s="1365">
        <f t="shared" ca="1" si="7"/>
        <v>0</v>
      </c>
      <c r="K87" s="1370"/>
      <c r="L87" s="1365">
        <f t="shared" ca="1" si="8"/>
        <v>0</v>
      </c>
      <c r="M87" s="1365">
        <f t="shared" ca="1" si="9"/>
        <v>0</v>
      </c>
      <c r="N87" s="1371">
        <f>Marktnahe_Bilanz!$E87</f>
        <v>0</v>
      </c>
    </row>
    <row r="88" spans="1:15" ht="12.75" customHeight="1" outlineLevel="1" x14ac:dyDescent="0.2">
      <c r="A88" s="534">
        <f t="shared" si="5"/>
        <v>88</v>
      </c>
      <c r="B88" s="535">
        <v>-1</v>
      </c>
      <c r="E88" s="1249" t="str">
        <f>Translation!$B$865</f>
        <v>dem Geschäft nach UVG zugeordnet</v>
      </c>
      <c r="F88" s="1369"/>
      <c r="G88" s="536"/>
      <c r="H88" s="1369"/>
      <c r="I88" s="1365">
        <f t="shared" ca="1" si="6"/>
        <v>0</v>
      </c>
      <c r="J88" s="1365">
        <f t="shared" ca="1" si="7"/>
        <v>0</v>
      </c>
      <c r="K88" s="1370"/>
      <c r="L88" s="1365">
        <f t="shared" ca="1" si="8"/>
        <v>0</v>
      </c>
      <c r="M88" s="1365">
        <f t="shared" ca="1" si="9"/>
        <v>0</v>
      </c>
      <c r="N88" s="1371">
        <f>Marktnahe_Bilanz!$E88</f>
        <v>0</v>
      </c>
    </row>
    <row r="89" spans="1:15" x14ac:dyDescent="0.2">
      <c r="A89" s="534"/>
      <c r="B89" s="534"/>
      <c r="E89" s="657"/>
      <c r="F89" s="1235"/>
      <c r="G89" s="1235"/>
      <c r="H89" s="1235"/>
      <c r="I89" s="1235"/>
      <c r="J89" s="1235"/>
      <c r="K89" s="1235"/>
      <c r="L89" s="1235"/>
      <c r="M89" s="1235"/>
      <c r="N89" s="1235"/>
      <c r="O89" s="1231"/>
    </row>
    <row r="90" spans="1:15" ht="14.25" customHeight="1" thickBot="1" x14ac:dyDescent="0.25">
      <c r="A90" s="534"/>
      <c r="B90" s="535"/>
      <c r="C90" s="1241"/>
      <c r="D90" s="2417" t="str">
        <f>Translation!B850</f>
        <v>Sonstige technische Rückstellungen</v>
      </c>
      <c r="E90" s="2418"/>
      <c r="F90" s="493">
        <f>SUM(F91:F96)</f>
        <v>0</v>
      </c>
      <c r="G90" s="493"/>
      <c r="H90" s="493"/>
      <c r="I90" s="493"/>
      <c r="J90" s="493">
        <f ca="1">SUM(J91:J96)</f>
        <v>0</v>
      </c>
      <c r="K90" s="493">
        <f>SUM(K91:K96)</f>
        <v>0</v>
      </c>
      <c r="L90" s="493">
        <f ca="1">SUM(L91:L96)</f>
        <v>0</v>
      </c>
      <c r="M90" s="493">
        <f ca="1">SUM(M91:M96)</f>
        <v>0</v>
      </c>
      <c r="N90" s="493">
        <f>SUM(N91:N96)</f>
        <v>0</v>
      </c>
      <c r="O90" s="439"/>
    </row>
    <row r="91" spans="1:15" ht="12.75" customHeight="1" outlineLevel="1" thickTop="1" x14ac:dyDescent="0.2">
      <c r="A91" s="534">
        <f t="shared" ref="A91:A96" si="10">ROW(91:91)</f>
        <v>91</v>
      </c>
      <c r="B91" s="535">
        <v>-1</v>
      </c>
      <c r="D91" s="847"/>
      <c r="E91" s="1244" t="str">
        <f>Translation!$B$860</f>
        <v>Obligatorische Krankenpflegeversicherung</v>
      </c>
      <c r="F91" s="1369"/>
      <c r="G91" s="536"/>
      <c r="H91" s="1369"/>
      <c r="I91" s="1365">
        <f t="shared" ref="I91:I96" ca="1" si="11">IF(ISERROR(OFFSET($A$1,$G91-1,1,1,1)),0,IF(SIGN(OFFSET($A$1,$G91-1,1,1,1))&lt;&gt;SIGN($B91),-1,1)*H91)</f>
        <v>0</v>
      </c>
      <c r="J91" s="1365">
        <f t="shared" ref="J91:J96" ca="1" si="12">$F91+SUMIF(OFFSET($G$11,0,0,$A$10,1),"="&amp;$A91,OFFSET($I$11,0,0,$A$10,1))+IF(NOT(OR(ISBLANK($G91),ISNA(MATCH($G91,$A:$A,0)))),-$H91,0)</f>
        <v>0</v>
      </c>
      <c r="K91" s="1370"/>
      <c r="L91" s="1365">
        <f t="shared" ref="L91:L96" ca="1" si="13">$J91+$K91</f>
        <v>0</v>
      </c>
      <c r="M91" s="1365">
        <f t="shared" ref="M91:M96" ca="1" si="14">$N91-$L91</f>
        <v>0</v>
      </c>
      <c r="N91" s="1368">
        <f>Marktnahe_Bilanz!$E91</f>
        <v>0</v>
      </c>
    </row>
    <row r="92" spans="1:15" ht="12.75" customHeight="1" outlineLevel="1" x14ac:dyDescent="0.2">
      <c r="A92" s="534">
        <f t="shared" si="10"/>
        <v>92</v>
      </c>
      <c r="B92" s="535">
        <v>-1</v>
      </c>
      <c r="D92" s="159"/>
      <c r="E92" s="1249" t="str">
        <f>Translation!$B$861</f>
        <v>Einzel-Taggeldversicherung nach KVG</v>
      </c>
      <c r="F92" s="1369"/>
      <c r="G92" s="536"/>
      <c r="H92" s="1369"/>
      <c r="I92" s="1365">
        <f t="shared" ca="1" si="11"/>
        <v>0</v>
      </c>
      <c r="J92" s="1365">
        <f t="shared" ca="1" si="12"/>
        <v>0</v>
      </c>
      <c r="K92" s="1370"/>
      <c r="L92" s="1365">
        <f t="shared" ca="1" si="13"/>
        <v>0</v>
      </c>
      <c r="M92" s="1365">
        <f t="shared" ca="1" si="14"/>
        <v>0</v>
      </c>
      <c r="N92" s="1371">
        <f>Marktnahe_Bilanz!$E92</f>
        <v>0</v>
      </c>
    </row>
    <row r="93" spans="1:15" ht="12.75" customHeight="1" outlineLevel="1" x14ac:dyDescent="0.2">
      <c r="A93" s="534">
        <f t="shared" si="10"/>
        <v>93</v>
      </c>
      <c r="B93" s="535">
        <v>-1</v>
      </c>
      <c r="D93" s="159"/>
      <c r="E93" s="1249" t="str">
        <f>Translation!$B$862</f>
        <v>Kollektiv-Taggeldversicherung nach KVG</v>
      </c>
      <c r="F93" s="1369"/>
      <c r="G93" s="536"/>
      <c r="H93" s="1369"/>
      <c r="I93" s="1365">
        <f t="shared" ca="1" si="11"/>
        <v>0</v>
      </c>
      <c r="J93" s="1365">
        <f t="shared" ca="1" si="12"/>
        <v>0</v>
      </c>
      <c r="K93" s="1370"/>
      <c r="L93" s="1365">
        <f t="shared" ca="1" si="13"/>
        <v>0</v>
      </c>
      <c r="M93" s="1365">
        <f t="shared" ca="1" si="14"/>
        <v>0</v>
      </c>
      <c r="N93" s="1371">
        <f>Marktnahe_Bilanz!$E93</f>
        <v>0</v>
      </c>
    </row>
    <row r="94" spans="1:15" ht="12.75" customHeight="1" outlineLevel="1" x14ac:dyDescent="0.2">
      <c r="A94" s="534">
        <f t="shared" si="10"/>
        <v>94</v>
      </c>
      <c r="B94" s="535">
        <v>-1</v>
      </c>
      <c r="D94" s="159"/>
      <c r="E94" s="1249" t="str">
        <f>Translation!$B$863</f>
        <v>Aktive Rückversicherung nach KVG</v>
      </c>
      <c r="F94" s="1369"/>
      <c r="G94" s="536"/>
      <c r="H94" s="1369"/>
      <c r="I94" s="1365">
        <f t="shared" ca="1" si="11"/>
        <v>0</v>
      </c>
      <c r="J94" s="1365">
        <f t="shared" ca="1" si="12"/>
        <v>0</v>
      </c>
      <c r="K94" s="1370"/>
      <c r="L94" s="1365">
        <f t="shared" ca="1" si="13"/>
        <v>0</v>
      </c>
      <c r="M94" s="1365">
        <f t="shared" ca="1" si="14"/>
        <v>0</v>
      </c>
      <c r="N94" s="1371">
        <f>Marktnahe_Bilanz!$E94</f>
        <v>0</v>
      </c>
    </row>
    <row r="95" spans="1:15" ht="12.75" customHeight="1" outlineLevel="1" x14ac:dyDescent="0.2">
      <c r="A95" s="534">
        <f t="shared" si="10"/>
        <v>95</v>
      </c>
      <c r="B95" s="535">
        <v>-1</v>
      </c>
      <c r="D95" s="159"/>
      <c r="E95" s="1249" t="str">
        <f>Translation!$B$864</f>
        <v>dem Geschäft nach VVG zugeordnet</v>
      </c>
      <c r="F95" s="1369"/>
      <c r="G95" s="536"/>
      <c r="H95" s="1369"/>
      <c r="I95" s="1365">
        <f t="shared" ca="1" si="11"/>
        <v>0</v>
      </c>
      <c r="J95" s="1365">
        <f t="shared" ca="1" si="12"/>
        <v>0</v>
      </c>
      <c r="K95" s="1370"/>
      <c r="L95" s="1365">
        <f t="shared" ca="1" si="13"/>
        <v>0</v>
      </c>
      <c r="M95" s="1365">
        <f t="shared" ca="1" si="14"/>
        <v>0</v>
      </c>
      <c r="N95" s="1371">
        <f>Marktnahe_Bilanz!$E95</f>
        <v>0</v>
      </c>
    </row>
    <row r="96" spans="1:15" ht="12.75" customHeight="1" outlineLevel="1" x14ac:dyDescent="0.2">
      <c r="A96" s="534">
        <f t="shared" si="10"/>
        <v>96</v>
      </c>
      <c r="B96" s="535">
        <v>-1</v>
      </c>
      <c r="D96" s="159"/>
      <c r="E96" s="1249" t="str">
        <f>Translation!$B$865</f>
        <v>dem Geschäft nach UVG zugeordnet</v>
      </c>
      <c r="F96" s="1369"/>
      <c r="G96" s="536"/>
      <c r="H96" s="1369"/>
      <c r="I96" s="1365">
        <f t="shared" ca="1" si="11"/>
        <v>0</v>
      </c>
      <c r="J96" s="1365">
        <f t="shared" ca="1" si="12"/>
        <v>0</v>
      </c>
      <c r="K96" s="1370"/>
      <c r="L96" s="1365">
        <f t="shared" ca="1" si="13"/>
        <v>0</v>
      </c>
      <c r="M96" s="1365">
        <f t="shared" ca="1" si="14"/>
        <v>0</v>
      </c>
      <c r="N96" s="1371">
        <f>Marktnahe_Bilanz!$E96</f>
        <v>0</v>
      </c>
    </row>
    <row r="97" spans="1:15" x14ac:dyDescent="0.2">
      <c r="A97" s="534"/>
      <c r="B97" s="534"/>
      <c r="E97" s="1243"/>
      <c r="F97" s="1235"/>
      <c r="G97" s="1235"/>
      <c r="H97" s="1235"/>
      <c r="I97" s="1235"/>
      <c r="J97" s="1235"/>
      <c r="K97" s="1235"/>
      <c r="L97" s="1235"/>
      <c r="M97" s="1235"/>
      <c r="N97" s="1235"/>
      <c r="O97" s="1231"/>
    </row>
    <row r="98" spans="1:15" ht="14.25" customHeight="1" thickBot="1" x14ac:dyDescent="0.25">
      <c r="A98" s="534"/>
      <c r="B98" s="535"/>
      <c r="C98" s="1241"/>
      <c r="D98" s="2417" t="str">
        <f>Translation!B851</f>
        <v>Schwankungs- und Sicherheitsrückstellungen</v>
      </c>
      <c r="E98" s="2418"/>
      <c r="F98" s="493">
        <f>SUM(F99:F104)</f>
        <v>0</v>
      </c>
      <c r="G98" s="493"/>
      <c r="H98" s="493"/>
      <c r="I98" s="493"/>
      <c r="J98" s="493">
        <f ca="1">SUM(J99:J104)</f>
        <v>0</v>
      </c>
      <c r="K98" s="493">
        <f>SUM(K99:K104)</f>
        <v>0</v>
      </c>
      <c r="L98" s="493">
        <f ca="1">SUM(L99:L104)</f>
        <v>0</v>
      </c>
      <c r="M98" s="493">
        <f ca="1">SUM(M99:M104)</f>
        <v>0</v>
      </c>
      <c r="N98" s="493">
        <f>SUM(N99:N104)</f>
        <v>0</v>
      </c>
      <c r="O98" s="439"/>
    </row>
    <row r="99" spans="1:15" ht="12.75" customHeight="1" outlineLevel="1" thickTop="1" x14ac:dyDescent="0.2">
      <c r="A99" s="534">
        <f t="shared" ref="A99:A104" si="15">ROW(99:99)</f>
        <v>99</v>
      </c>
      <c r="B99" s="535">
        <v>-1</v>
      </c>
      <c r="E99" s="1244" t="str">
        <f>Translation!$B$860</f>
        <v>Obligatorische Krankenpflegeversicherung</v>
      </c>
      <c r="F99" s="1369"/>
      <c r="G99" s="536"/>
      <c r="H99" s="1369"/>
      <c r="I99" s="1365">
        <f t="shared" ref="I99:I104" ca="1" si="16">IF(ISERROR(OFFSET($A$1,$G99-1,1,1,1)),0,IF(SIGN(OFFSET($A$1,$G99-1,1,1,1))&lt;&gt;SIGN($B99),-1,1)*H99)</f>
        <v>0</v>
      </c>
      <c r="J99" s="1365">
        <f t="shared" ref="J99:J104" ca="1" si="17">$F99+SUMIF(OFFSET($G$11,0,0,$A$10,1),"="&amp;$A99,OFFSET($I$11,0,0,$A$10,1))+IF(NOT(OR(ISBLANK($G99),ISNA(MATCH($G99,$A:$A,0)))),-$H99,0)</f>
        <v>0</v>
      </c>
      <c r="K99" s="1370"/>
      <c r="L99" s="1365">
        <f t="shared" ref="L99:L104" ca="1" si="18">$J99+$K99</f>
        <v>0</v>
      </c>
      <c r="M99" s="1365">
        <f t="shared" ref="M99:M104" ca="1" si="19">$N99-$L99</f>
        <v>0</v>
      </c>
      <c r="N99" s="1368">
        <f>Marktnahe_Bilanz!$E99</f>
        <v>0</v>
      </c>
    </row>
    <row r="100" spans="1:15" ht="12.75" customHeight="1" outlineLevel="1" x14ac:dyDescent="0.2">
      <c r="A100" s="534">
        <f t="shared" si="15"/>
        <v>100</v>
      </c>
      <c r="B100" s="535">
        <v>-1</v>
      </c>
      <c r="E100" s="1249" t="str">
        <f>Translation!$B$861</f>
        <v>Einzel-Taggeldversicherung nach KVG</v>
      </c>
      <c r="F100" s="1369"/>
      <c r="G100" s="536"/>
      <c r="H100" s="1369"/>
      <c r="I100" s="1365">
        <f t="shared" ca="1" si="16"/>
        <v>0</v>
      </c>
      <c r="J100" s="1365">
        <f t="shared" ca="1" si="17"/>
        <v>0</v>
      </c>
      <c r="K100" s="1370"/>
      <c r="L100" s="1365">
        <f t="shared" ca="1" si="18"/>
        <v>0</v>
      </c>
      <c r="M100" s="1365">
        <f t="shared" ca="1" si="19"/>
        <v>0</v>
      </c>
      <c r="N100" s="1371">
        <f>Marktnahe_Bilanz!$E100</f>
        <v>0</v>
      </c>
    </row>
    <row r="101" spans="1:15" ht="12.75" customHeight="1" outlineLevel="1" x14ac:dyDescent="0.2">
      <c r="A101" s="534">
        <f t="shared" si="15"/>
        <v>101</v>
      </c>
      <c r="B101" s="535">
        <v>-1</v>
      </c>
      <c r="E101" s="1249" t="str">
        <f>Translation!$B$862</f>
        <v>Kollektiv-Taggeldversicherung nach KVG</v>
      </c>
      <c r="F101" s="1369"/>
      <c r="G101" s="536"/>
      <c r="H101" s="1369"/>
      <c r="I101" s="1365">
        <f t="shared" ca="1" si="16"/>
        <v>0</v>
      </c>
      <c r="J101" s="1365">
        <f t="shared" ca="1" si="17"/>
        <v>0</v>
      </c>
      <c r="K101" s="1370"/>
      <c r="L101" s="1365">
        <f t="shared" ca="1" si="18"/>
        <v>0</v>
      </c>
      <c r="M101" s="1365">
        <f t="shared" ca="1" si="19"/>
        <v>0</v>
      </c>
      <c r="N101" s="1371">
        <f>Marktnahe_Bilanz!$E101</f>
        <v>0</v>
      </c>
    </row>
    <row r="102" spans="1:15" ht="12.75" customHeight="1" outlineLevel="1" x14ac:dyDescent="0.2">
      <c r="A102" s="534">
        <f t="shared" si="15"/>
        <v>102</v>
      </c>
      <c r="B102" s="535">
        <v>-1</v>
      </c>
      <c r="E102" s="1249" t="str">
        <f>Translation!$B$863</f>
        <v>Aktive Rückversicherung nach KVG</v>
      </c>
      <c r="F102" s="1369"/>
      <c r="G102" s="536"/>
      <c r="H102" s="1369"/>
      <c r="I102" s="1365">
        <f t="shared" ca="1" si="16"/>
        <v>0</v>
      </c>
      <c r="J102" s="1365">
        <f t="shared" ca="1" si="17"/>
        <v>0</v>
      </c>
      <c r="K102" s="1370"/>
      <c r="L102" s="1365">
        <f t="shared" ca="1" si="18"/>
        <v>0</v>
      </c>
      <c r="M102" s="1365">
        <f t="shared" ca="1" si="19"/>
        <v>0</v>
      </c>
      <c r="N102" s="1371">
        <f>Marktnahe_Bilanz!$E102</f>
        <v>0</v>
      </c>
    </row>
    <row r="103" spans="1:15" ht="12.75" customHeight="1" outlineLevel="1" x14ac:dyDescent="0.2">
      <c r="A103" s="534">
        <f t="shared" si="15"/>
        <v>103</v>
      </c>
      <c r="B103" s="535">
        <v>-1</v>
      </c>
      <c r="E103" s="1249" t="str">
        <f>Translation!$B$864</f>
        <v>dem Geschäft nach VVG zugeordnet</v>
      </c>
      <c r="F103" s="1369"/>
      <c r="G103" s="536"/>
      <c r="H103" s="1369"/>
      <c r="I103" s="1365">
        <f t="shared" ca="1" si="16"/>
        <v>0</v>
      </c>
      <c r="J103" s="1365">
        <f t="shared" ca="1" si="17"/>
        <v>0</v>
      </c>
      <c r="K103" s="1370"/>
      <c r="L103" s="1365">
        <f t="shared" ca="1" si="18"/>
        <v>0</v>
      </c>
      <c r="M103" s="1365">
        <f t="shared" ca="1" si="19"/>
        <v>0</v>
      </c>
      <c r="N103" s="1371">
        <f>Marktnahe_Bilanz!$E103</f>
        <v>0</v>
      </c>
    </row>
    <row r="104" spans="1:15" ht="12.75" customHeight="1" outlineLevel="1" x14ac:dyDescent="0.2">
      <c r="A104" s="534">
        <f t="shared" si="15"/>
        <v>104</v>
      </c>
      <c r="B104" s="535">
        <v>-1</v>
      </c>
      <c r="E104" s="1249" t="str">
        <f>Translation!$B$865</f>
        <v>dem Geschäft nach UVG zugeordnet</v>
      </c>
      <c r="F104" s="1369"/>
      <c r="G104" s="536"/>
      <c r="H104" s="1369"/>
      <c r="I104" s="1365">
        <f t="shared" ca="1" si="16"/>
        <v>0</v>
      </c>
      <c r="J104" s="1365">
        <f t="shared" ca="1" si="17"/>
        <v>0</v>
      </c>
      <c r="K104" s="1370"/>
      <c r="L104" s="1365">
        <f t="shared" ca="1" si="18"/>
        <v>0</v>
      </c>
      <c r="M104" s="1365">
        <f t="shared" ca="1" si="19"/>
        <v>0</v>
      </c>
      <c r="N104" s="1371">
        <f>Marktnahe_Bilanz!$E104</f>
        <v>0</v>
      </c>
    </row>
    <row r="105" spans="1:15" x14ac:dyDescent="0.2">
      <c r="A105" s="534"/>
      <c r="B105" s="534"/>
      <c r="E105" s="657"/>
      <c r="F105" s="1235"/>
      <c r="G105" s="1235"/>
      <c r="H105" s="1235"/>
      <c r="I105" s="1235"/>
      <c r="J105" s="1235"/>
      <c r="K105" s="1235"/>
      <c r="L105" s="1235"/>
      <c r="M105" s="1235"/>
      <c r="N105" s="1235"/>
      <c r="O105" s="1231"/>
    </row>
    <row r="106" spans="1:15" ht="14.25" customHeight="1" thickBot="1" x14ac:dyDescent="0.25">
      <c r="A106" s="534"/>
      <c r="B106" s="535"/>
      <c r="C106" s="1241"/>
      <c r="D106" s="2417" t="str">
        <f>Translation!B852</f>
        <v>Total versicherungstechnische Rückstellungen</v>
      </c>
      <c r="E106" s="2418"/>
      <c r="F106" s="492">
        <f>SUM(F74,F82,F90,F98)</f>
        <v>0</v>
      </c>
      <c r="G106" s="492"/>
      <c r="H106" s="492"/>
      <c r="I106" s="492"/>
      <c r="J106" s="492">
        <f ca="1">SUM(J74,J82,J90,J98)</f>
        <v>0</v>
      </c>
      <c r="K106" s="492">
        <f>SUM(K74,K82,K90,K98)</f>
        <v>0</v>
      </c>
      <c r="L106" s="492">
        <f ca="1">SUM(L74,L82,L90,L98)</f>
        <v>0</v>
      </c>
      <c r="M106" s="492">
        <f ca="1">SUM(M74,M82,M90,M98)</f>
        <v>0</v>
      </c>
      <c r="N106" s="492">
        <f>SUM(N74,N82,N90,N98)</f>
        <v>0</v>
      </c>
    </row>
    <row r="107" spans="1:15" ht="13.5" thickTop="1" x14ac:dyDescent="0.2">
      <c r="A107" s="534"/>
      <c r="B107" s="534"/>
    </row>
    <row r="108" spans="1:15" x14ac:dyDescent="0.2">
      <c r="A108" s="534"/>
      <c r="B108" s="534"/>
      <c r="E108" s="1256"/>
      <c r="F108" s="1258"/>
      <c r="G108" s="1258"/>
      <c r="H108" s="1258"/>
      <c r="I108" s="1258"/>
      <c r="J108" s="1258"/>
      <c r="K108" s="1258"/>
      <c r="L108" s="1258"/>
      <c r="M108" s="1258"/>
      <c r="N108" s="1258"/>
    </row>
    <row r="109" spans="1:15" ht="18" x14ac:dyDescent="0.25">
      <c r="A109" s="534"/>
      <c r="B109" s="534"/>
      <c r="C109" s="152" t="str">
        <f>Translation!B853</f>
        <v>Übriges Fremdkapital</v>
      </c>
      <c r="D109" s="1252"/>
    </row>
    <row r="110" spans="1:15" x14ac:dyDescent="0.2">
      <c r="A110" s="534"/>
      <c r="B110" s="534"/>
      <c r="E110" s="657"/>
      <c r="F110" s="1235"/>
      <c r="G110" s="1235"/>
      <c r="H110" s="1235"/>
      <c r="I110" s="1235"/>
      <c r="J110" s="1235"/>
      <c r="K110" s="1235"/>
      <c r="L110" s="1235"/>
      <c r="M110" s="1235"/>
      <c r="N110" s="1235"/>
      <c r="O110" s="1231"/>
    </row>
    <row r="111" spans="1:15" s="1241" customFormat="1" ht="15" customHeight="1" thickBot="1" x14ac:dyDescent="0.25">
      <c r="A111" s="534"/>
      <c r="B111" s="535"/>
      <c r="D111" s="2417" t="str">
        <f>Translation!B854</f>
        <v>Nichtversicherungstechnische Rückstellungen</v>
      </c>
      <c r="E111" s="2418"/>
      <c r="F111" s="489">
        <f>SUM(F112:F114)</f>
        <v>0</v>
      </c>
      <c r="G111" s="489"/>
      <c r="H111" s="489"/>
      <c r="I111" s="489"/>
      <c r="J111" s="489">
        <f ca="1">SUM(J112:J114)</f>
        <v>0</v>
      </c>
      <c r="K111" s="489">
        <f>SUM(K112:K114)</f>
        <v>0</v>
      </c>
      <c r="L111" s="489">
        <f ca="1">SUM(L112:L114)</f>
        <v>0</v>
      </c>
      <c r="M111" s="489">
        <f ca="1">SUM(M112:M114)</f>
        <v>0</v>
      </c>
      <c r="N111" s="489">
        <f>SUM(N112:N114)</f>
        <v>0</v>
      </c>
      <c r="O111" s="491"/>
    </row>
    <row r="112" spans="1:15" ht="12.75" customHeight="1" outlineLevel="1" thickTop="1" x14ac:dyDescent="0.2">
      <c r="A112" s="534">
        <f>ROW(112:112)</f>
        <v>112</v>
      </c>
      <c r="B112" s="535">
        <v>-1</v>
      </c>
      <c r="D112" s="1243"/>
      <c r="E112" s="1244" t="str">
        <f>Translation!$B$844</f>
        <v>dem Geschäft nach KVG zugeordnet</v>
      </c>
      <c r="F112" s="1364"/>
      <c r="G112" s="536"/>
      <c r="H112" s="1364"/>
      <c r="I112" s="1365">
        <f ca="1">IF(ISERROR(OFFSET($A$1,$G112-1,1,1,1)),0,IF(SIGN(OFFSET($A$1,$G112-1,1,1,1))&lt;&gt;SIGN($B112),-1,1)*H112)</f>
        <v>0</v>
      </c>
      <c r="J112" s="1365">
        <f ca="1">$F112+SUMIF(OFFSET($G$11,0,0,$A$10,1),"="&amp;$A112,OFFSET($I$11,0,0,$A$10,1))+IF(NOT(OR(ISBLANK($G112),ISNA(MATCH($G112,$A:$A,0)))),-$H112,0)</f>
        <v>0</v>
      </c>
      <c r="K112" s="1366"/>
      <c r="L112" s="1367">
        <f ca="1">$J112+$K112</f>
        <v>0</v>
      </c>
      <c r="M112" s="1367">
        <f ca="1">$N112-$L112</f>
        <v>0</v>
      </c>
      <c r="N112" s="1368">
        <f>Marktnahe_Bilanz!$E112</f>
        <v>0</v>
      </c>
    </row>
    <row r="113" spans="1:15" ht="12.75" customHeight="1" outlineLevel="1" x14ac:dyDescent="0.2">
      <c r="A113" s="534">
        <f>ROW(113:113)</f>
        <v>113</v>
      </c>
      <c r="B113" s="535">
        <v>-1</v>
      </c>
      <c r="E113" s="1249" t="str">
        <f>Translation!$B$845</f>
        <v>dem Geschäft nach VVG zugeordnet</v>
      </c>
      <c r="F113" s="1369"/>
      <c r="G113" s="536"/>
      <c r="H113" s="1369"/>
      <c r="I113" s="1365">
        <f ca="1">IF(ISERROR(OFFSET($A$1,$G113-1,1,1,1)),0,IF(SIGN(OFFSET($A$1,$G113-1,1,1,1))&lt;&gt;SIGN($B113),-1,1)*H113)</f>
        <v>0</v>
      </c>
      <c r="J113" s="1365">
        <f ca="1">$F113+SUMIF(OFFSET($G$11,0,0,$A$10,1),"="&amp;$A113,OFFSET($I$11,0,0,$A$10,1))+IF(NOT(OR(ISBLANK($G113),ISNA(MATCH($G113,$A:$A,0)))),-$H113,0)</f>
        <v>0</v>
      </c>
      <c r="K113" s="1370"/>
      <c r="L113" s="1365">
        <f ca="1">$J113+$K113</f>
        <v>0</v>
      </c>
      <c r="M113" s="1365">
        <f ca="1">$N113-$L113</f>
        <v>0</v>
      </c>
      <c r="N113" s="1371">
        <f>Marktnahe_Bilanz!$E113</f>
        <v>0</v>
      </c>
    </row>
    <row r="114" spans="1:15" ht="12.75" customHeight="1" outlineLevel="1" x14ac:dyDescent="0.2">
      <c r="A114" s="534">
        <f>ROW(114:114)</f>
        <v>114</v>
      </c>
      <c r="B114" s="535">
        <v>-1</v>
      </c>
      <c r="E114" s="1249" t="str">
        <f>Translation!$B$846</f>
        <v>dem Geschäft nach UVG zugeordnet</v>
      </c>
      <c r="F114" s="1369"/>
      <c r="G114" s="536"/>
      <c r="H114" s="1369"/>
      <c r="I114" s="1365">
        <f ca="1">IF(ISERROR(OFFSET($A$1,$G114-1,1,1,1)),0,IF(SIGN(OFFSET($A$1,$G114-1,1,1,1))&lt;&gt;SIGN($B114),-1,1)*H114)</f>
        <v>0</v>
      </c>
      <c r="J114" s="1365">
        <f ca="1">$F114+SUMIF(OFFSET($G$11,0,0,$A$10,1),"="&amp;$A114,OFFSET($I$11,0,0,$A$10,1))+IF(NOT(OR(ISBLANK($G114),ISNA(MATCH($G114,$A:$A,0)))),-$H114,0)</f>
        <v>0</v>
      </c>
      <c r="K114" s="1370"/>
      <c r="L114" s="1365">
        <f ca="1">$J114+$K114</f>
        <v>0</v>
      </c>
      <c r="M114" s="1365">
        <f ca="1">$N114-$L114</f>
        <v>0</v>
      </c>
      <c r="N114" s="1371">
        <f>Marktnahe_Bilanz!$E114</f>
        <v>0</v>
      </c>
    </row>
    <row r="115" spans="1:15" x14ac:dyDescent="0.2">
      <c r="A115" s="534"/>
      <c r="B115" s="534"/>
      <c r="E115" s="657"/>
      <c r="F115" s="1235"/>
      <c r="G115" s="1235"/>
      <c r="H115" s="1235"/>
      <c r="I115" s="1235"/>
      <c r="J115" s="1235"/>
      <c r="K115" s="1235"/>
      <c r="L115" s="1235"/>
      <c r="M115" s="1235"/>
      <c r="N115" s="1235"/>
      <c r="O115" s="1231"/>
    </row>
    <row r="116" spans="1:15" s="1241" customFormat="1" ht="15" customHeight="1" thickBot="1" x14ac:dyDescent="0.25">
      <c r="A116" s="534"/>
      <c r="B116" s="535"/>
      <c r="D116" s="2417" t="str">
        <f>Translation!B855</f>
        <v>Rückstellungen für Risiken in den Kapitalanlagen</v>
      </c>
      <c r="E116" s="2418"/>
      <c r="F116" s="489">
        <f>SUM(F117:F119)</f>
        <v>0</v>
      </c>
      <c r="G116" s="489"/>
      <c r="H116" s="489"/>
      <c r="I116" s="489"/>
      <c r="J116" s="489">
        <f ca="1">SUM(J117:J119)</f>
        <v>0</v>
      </c>
      <c r="K116" s="489">
        <f>SUM(K117:K119)</f>
        <v>0</v>
      </c>
      <c r="L116" s="489">
        <f ca="1">SUM(L117:L119)</f>
        <v>0</v>
      </c>
      <c r="M116" s="489">
        <f ca="1">SUM(M117:M119)</f>
        <v>0</v>
      </c>
      <c r="N116" s="489">
        <f>SUM(N117:N119)</f>
        <v>0</v>
      </c>
      <c r="O116" s="491"/>
    </row>
    <row r="117" spans="1:15" ht="12.75" customHeight="1" outlineLevel="1" thickTop="1" x14ac:dyDescent="0.2">
      <c r="A117" s="534">
        <f>ROW(117:117)</f>
        <v>117</v>
      </c>
      <c r="B117" s="535">
        <v>-1</v>
      </c>
      <c r="D117" s="1243"/>
      <c r="E117" s="1244" t="str">
        <f>Translation!$B$844</f>
        <v>dem Geschäft nach KVG zugeordnet</v>
      </c>
      <c r="F117" s="1364"/>
      <c r="G117" s="536"/>
      <c r="H117" s="1364"/>
      <c r="I117" s="1365">
        <f ca="1">IF(ISERROR(OFFSET($A$1,$G117-1,1,1,1)),0,IF(SIGN(OFFSET($A$1,$G117-1,1,1,1))&lt;&gt;SIGN($B117),-1,1)*H117)</f>
        <v>0</v>
      </c>
      <c r="J117" s="1365">
        <f ca="1">$F117+SUMIF(OFFSET($G$11,0,0,$A$10,1),"="&amp;$A117,OFFSET($I$11,0,0,$A$10,1))+IF(NOT(OR(ISBLANK($G117),ISNA(MATCH($G117,$A:$A,0)))),-$H117,0)</f>
        <v>0</v>
      </c>
      <c r="K117" s="1366"/>
      <c r="L117" s="1367">
        <f ca="1">$J117+$K117</f>
        <v>0</v>
      </c>
      <c r="M117" s="1367">
        <f ca="1">$N117-$L117</f>
        <v>0</v>
      </c>
      <c r="N117" s="1368">
        <f>Marktnahe_Bilanz!$E117</f>
        <v>0</v>
      </c>
    </row>
    <row r="118" spans="1:15" ht="12.75" customHeight="1" outlineLevel="1" x14ac:dyDescent="0.2">
      <c r="A118" s="534">
        <f>ROW(118:118)</f>
        <v>118</v>
      </c>
      <c r="B118" s="535">
        <v>-1</v>
      </c>
      <c r="E118" s="1249" t="str">
        <f>Translation!$B$845</f>
        <v>dem Geschäft nach VVG zugeordnet</v>
      </c>
      <c r="F118" s="1369"/>
      <c r="G118" s="536"/>
      <c r="H118" s="1369"/>
      <c r="I118" s="1365">
        <f ca="1">IF(ISERROR(OFFSET($A$1,$G118-1,1,1,1)),0,IF(SIGN(OFFSET($A$1,$G118-1,1,1,1))&lt;&gt;SIGN($B118),-1,1)*H118)</f>
        <v>0</v>
      </c>
      <c r="J118" s="1365">
        <f ca="1">$F118+SUMIF(OFFSET($G$11,0,0,$A$10,1),"="&amp;$A118,OFFSET($I$11,0,0,$A$10,1))+IF(NOT(OR(ISBLANK($G118),ISNA(MATCH($G118,$A:$A,0)))),-$H118,0)</f>
        <v>0</v>
      </c>
      <c r="K118" s="1370"/>
      <c r="L118" s="1365">
        <f ca="1">$J118+$K118</f>
        <v>0</v>
      </c>
      <c r="M118" s="1365">
        <f ca="1">$N118-$L118</f>
        <v>0</v>
      </c>
      <c r="N118" s="1371">
        <f>Marktnahe_Bilanz!$E118</f>
        <v>0</v>
      </c>
    </row>
    <row r="119" spans="1:15" ht="12.75" customHeight="1" outlineLevel="1" x14ac:dyDescent="0.2">
      <c r="A119" s="534">
        <f>ROW(119:119)</f>
        <v>119</v>
      </c>
      <c r="B119" s="535">
        <v>-1</v>
      </c>
      <c r="E119" s="1249" t="str">
        <f>Translation!$B$846</f>
        <v>dem Geschäft nach UVG zugeordnet</v>
      </c>
      <c r="F119" s="1369"/>
      <c r="G119" s="536"/>
      <c r="H119" s="1369"/>
      <c r="I119" s="1365">
        <f ca="1">IF(ISERROR(OFFSET($A$1,$G119-1,1,1,1)),0,IF(SIGN(OFFSET($A$1,$G119-1,1,1,1))&lt;&gt;SIGN($B119),-1,1)*H119)</f>
        <v>0</v>
      </c>
      <c r="J119" s="1365">
        <f ca="1">$F119+SUMIF(OFFSET($G$11,0,0,$A$10,1),"="&amp;$A119,OFFSET($I$11,0,0,$A$10,1))+IF(NOT(OR(ISBLANK($G119),ISNA(MATCH($G119,$A:$A,0)))),-$H119,0)</f>
        <v>0</v>
      </c>
      <c r="K119" s="1370"/>
      <c r="L119" s="1365">
        <f ca="1">$J119+$K119</f>
        <v>0</v>
      </c>
      <c r="M119" s="1365">
        <f ca="1">$N119-$L119</f>
        <v>0</v>
      </c>
      <c r="N119" s="1371">
        <f>Marktnahe_Bilanz!$E119</f>
        <v>0</v>
      </c>
    </row>
    <row r="120" spans="1:15" x14ac:dyDescent="0.2">
      <c r="A120" s="534"/>
      <c r="B120" s="534"/>
      <c r="E120" s="657"/>
      <c r="F120" s="1235"/>
      <c r="G120" s="1235"/>
      <c r="H120" s="1235"/>
      <c r="I120" s="1235"/>
      <c r="J120" s="1235"/>
      <c r="K120" s="1235"/>
      <c r="L120" s="1235"/>
      <c r="M120" s="1235"/>
      <c r="N120" s="1235"/>
      <c r="O120" s="1231"/>
    </row>
    <row r="121" spans="1:15" s="1241" customFormat="1" ht="15" customHeight="1" thickBot="1" x14ac:dyDescent="0.25">
      <c r="A121" s="534"/>
      <c r="B121" s="535"/>
      <c r="D121" s="2417" t="str">
        <f>Translation!B856</f>
        <v>Übrige Verbindlichkeiten (inkl. Rechnungsabgrenzungen)</v>
      </c>
      <c r="E121" s="2418"/>
      <c r="F121" s="489">
        <f>SUM(F122:F124)</f>
        <v>0</v>
      </c>
      <c r="G121" s="489"/>
      <c r="H121" s="489"/>
      <c r="I121" s="489"/>
      <c r="J121" s="489">
        <f ca="1">SUM(J122:J124)</f>
        <v>0</v>
      </c>
      <c r="K121" s="489">
        <f>SUM(K122:K124)</f>
        <v>0</v>
      </c>
      <c r="L121" s="489">
        <f ca="1">SUM(L122:L124)</f>
        <v>0</v>
      </c>
      <c r="M121" s="489">
        <f ca="1">SUM(M122:M124)</f>
        <v>0</v>
      </c>
      <c r="N121" s="489">
        <f>SUM(N122:N124)</f>
        <v>0</v>
      </c>
      <c r="O121" s="491"/>
    </row>
    <row r="122" spans="1:15" ht="12.75" customHeight="1" outlineLevel="1" thickTop="1" x14ac:dyDescent="0.2">
      <c r="A122" s="534">
        <f>ROW(122:122)</f>
        <v>122</v>
      </c>
      <c r="B122" s="535">
        <v>-1</v>
      </c>
      <c r="D122" s="1243"/>
      <c r="E122" s="1244" t="str">
        <f>Translation!$B$844</f>
        <v>dem Geschäft nach KVG zugeordnet</v>
      </c>
      <c r="F122" s="1364"/>
      <c r="G122" s="536"/>
      <c r="H122" s="1364"/>
      <c r="I122" s="1365">
        <f ca="1">IF(ISERROR(OFFSET($A$1,$G122-1,1,1,1)),0,IF(SIGN(OFFSET($A$1,$G122-1,1,1,1))&lt;&gt;SIGN($B122),-1,1)*H122)</f>
        <v>0</v>
      </c>
      <c r="J122" s="1365">
        <f ca="1">$F122+SUMIF(OFFSET($G$11,0,0,$A$10,1),"="&amp;$A122,OFFSET($I$11,0,0,$A$10,1))+IF(NOT(OR(ISBLANK($G122),ISNA(MATCH($G122,$A:$A,0)))),-$H122,0)</f>
        <v>0</v>
      </c>
      <c r="K122" s="1366"/>
      <c r="L122" s="1367">
        <f ca="1">$J122+$K122</f>
        <v>0</v>
      </c>
      <c r="M122" s="1367">
        <f ca="1">$N122-$L122</f>
        <v>0</v>
      </c>
      <c r="N122" s="1368">
        <f>Marktnahe_Bilanz!$E122</f>
        <v>0</v>
      </c>
    </row>
    <row r="123" spans="1:15" ht="12.75" customHeight="1" outlineLevel="1" x14ac:dyDescent="0.2">
      <c r="A123" s="534">
        <f>ROW(123:123)</f>
        <v>123</v>
      </c>
      <c r="B123" s="535">
        <v>-1</v>
      </c>
      <c r="E123" s="1249" t="str">
        <f>Translation!$B$845</f>
        <v>dem Geschäft nach VVG zugeordnet</v>
      </c>
      <c r="F123" s="1369"/>
      <c r="G123" s="536"/>
      <c r="H123" s="1369"/>
      <c r="I123" s="1365">
        <f ca="1">IF(ISERROR(OFFSET($A$1,$G123-1,1,1,1)),0,IF(SIGN(OFFSET($A$1,$G123-1,1,1,1))&lt;&gt;SIGN($B123),-1,1)*H123)</f>
        <v>0</v>
      </c>
      <c r="J123" s="1365">
        <f ca="1">$F123+SUMIF(OFFSET($G$11,0,0,$A$10,1),"="&amp;$A123,OFFSET($I$11,0,0,$A$10,1))+IF(NOT(OR(ISBLANK($G123),ISNA(MATCH($G123,$A:$A,0)))),-$H123,0)</f>
        <v>0</v>
      </c>
      <c r="K123" s="1370"/>
      <c r="L123" s="1365">
        <f ca="1">$J123+$K123</f>
        <v>0</v>
      </c>
      <c r="M123" s="1365">
        <f ca="1">$N123-$L123</f>
        <v>0</v>
      </c>
      <c r="N123" s="1371">
        <f>Marktnahe_Bilanz!$E123</f>
        <v>0</v>
      </c>
    </row>
    <row r="124" spans="1:15" ht="12.75" customHeight="1" outlineLevel="1" x14ac:dyDescent="0.2">
      <c r="A124" s="534">
        <f>ROW(124:124)</f>
        <v>124</v>
      </c>
      <c r="B124" s="535">
        <v>-1</v>
      </c>
      <c r="E124" s="1249" t="str">
        <f>Translation!$B$846</f>
        <v>dem Geschäft nach UVG zugeordnet</v>
      </c>
      <c r="F124" s="1369"/>
      <c r="G124" s="536"/>
      <c r="H124" s="1369"/>
      <c r="I124" s="1365">
        <f ca="1">IF(ISERROR(OFFSET($A$1,$G124-1,1,1,1)),0,IF(SIGN(OFFSET($A$1,$G124-1,1,1,1))&lt;&gt;SIGN($B124),-1,1)*H124)</f>
        <v>0</v>
      </c>
      <c r="J124" s="1365">
        <f ca="1">$F124+SUMIF(OFFSET($G$11,0,0,$A$10,1),"="&amp;$A124,OFFSET($I$11,0,0,$A$10,1))+IF(NOT(OR(ISBLANK($G124),ISNA(MATCH($G124,$A:$A,0)))),-$H124,0)</f>
        <v>0</v>
      </c>
      <c r="K124" s="1370"/>
      <c r="L124" s="1365">
        <f ca="1">$J124+$K124</f>
        <v>0</v>
      </c>
      <c r="M124" s="1365">
        <f ca="1">$N124-$L124</f>
        <v>0</v>
      </c>
      <c r="N124" s="1371">
        <f>Marktnahe_Bilanz!$E124</f>
        <v>0</v>
      </c>
    </row>
    <row r="125" spans="1:15" x14ac:dyDescent="0.2">
      <c r="A125" s="534"/>
      <c r="B125" s="534"/>
      <c r="E125" s="657"/>
      <c r="F125" s="1235"/>
      <c r="G125" s="1235"/>
      <c r="H125" s="1235"/>
      <c r="I125" s="1235"/>
      <c r="J125" s="1235"/>
      <c r="K125" s="1235"/>
      <c r="L125" s="1235"/>
      <c r="M125" s="1235"/>
      <c r="N125" s="1235"/>
      <c r="O125" s="1231"/>
    </row>
    <row r="126" spans="1:15" ht="14.25" customHeight="1" thickBot="1" x14ac:dyDescent="0.25">
      <c r="A126" s="534"/>
      <c r="B126" s="535"/>
      <c r="C126" s="1241"/>
      <c r="D126" s="2417" t="str">
        <f>Translation!B857</f>
        <v>Total übrige Passiven</v>
      </c>
      <c r="E126" s="2418"/>
      <c r="F126" s="492">
        <f>SUM(F111,F116,F121)</f>
        <v>0</v>
      </c>
      <c r="G126" s="492"/>
      <c r="H126" s="492"/>
      <c r="I126" s="492"/>
      <c r="J126" s="492">
        <f ca="1">SUM(J111,J116,J121)</f>
        <v>0</v>
      </c>
      <c r="K126" s="492">
        <f>SUM(K111,K116,K121)</f>
        <v>0</v>
      </c>
      <c r="L126" s="492">
        <f ca="1">SUM(L111,L116,L121)</f>
        <v>0</v>
      </c>
      <c r="M126" s="492">
        <f ca="1">SUM(M111,M116,M121)</f>
        <v>0</v>
      </c>
      <c r="N126" s="492">
        <f>SUM(N111,N116,N121)</f>
        <v>0</v>
      </c>
    </row>
    <row r="127" spans="1:15" ht="13.5" thickTop="1" x14ac:dyDescent="0.2">
      <c r="A127" s="534"/>
      <c r="B127" s="534"/>
    </row>
    <row r="128" spans="1:15" ht="21" customHeight="1" thickBot="1" x14ac:dyDescent="0.35">
      <c r="A128" s="534"/>
      <c r="B128" s="534"/>
      <c r="C128" s="494" t="str">
        <f>Translation!B858</f>
        <v>Total Fremdkapital</v>
      </c>
      <c r="D128" s="1253"/>
      <c r="E128" s="651"/>
      <c r="F128" s="492">
        <f>SUM(F106,F126)</f>
        <v>0</v>
      </c>
      <c r="G128" s="492"/>
      <c r="H128" s="492"/>
      <c r="I128" s="492"/>
      <c r="J128" s="492">
        <f ca="1">SUM(J106,J126)</f>
        <v>0</v>
      </c>
      <c r="K128" s="492">
        <f>SUM(K106,K126)</f>
        <v>0</v>
      </c>
      <c r="L128" s="492">
        <f ca="1">SUM(L106,L126)</f>
        <v>0</v>
      </c>
      <c r="M128" s="492">
        <f ca="1">SUM(M106,M126)</f>
        <v>0</v>
      </c>
      <c r="N128" s="492">
        <f>SUM(N106,N126)</f>
        <v>0</v>
      </c>
    </row>
    <row r="129" spans="1:14" ht="29.25" customHeight="1" thickTop="1" x14ac:dyDescent="0.2">
      <c r="A129" s="534"/>
      <c r="B129" s="534"/>
      <c r="E129" s="657"/>
      <c r="F129" s="1258"/>
      <c r="G129" s="1258"/>
      <c r="H129" s="1258"/>
      <c r="I129" s="1258"/>
      <c r="J129" s="1258"/>
      <c r="K129" s="1258"/>
      <c r="L129" s="1258"/>
      <c r="M129" s="1258"/>
      <c r="N129" s="1258"/>
    </row>
    <row r="130" spans="1:14" ht="21" customHeight="1" thickBot="1" x14ac:dyDescent="0.35">
      <c r="A130" s="534"/>
      <c r="B130" s="534"/>
      <c r="C130" s="494" t="str">
        <f>Translation!B859</f>
        <v>Differenz zwischen Aktiven und Fremdkapital</v>
      </c>
      <c r="D130" s="1253"/>
      <c r="E130" s="651"/>
      <c r="F130" s="492">
        <f>F69-F128</f>
        <v>0</v>
      </c>
      <c r="G130" s="492"/>
      <c r="H130" s="492"/>
      <c r="I130" s="492"/>
      <c r="J130" s="492">
        <f ca="1">J69-J128</f>
        <v>0</v>
      </c>
      <c r="K130" s="492">
        <f>K69-K128</f>
        <v>0</v>
      </c>
      <c r="L130" s="492">
        <f ca="1">L69-L128</f>
        <v>0</v>
      </c>
      <c r="M130" s="492">
        <f ca="1">M69-M128</f>
        <v>0</v>
      </c>
      <c r="N130" s="492">
        <f>N69-N128</f>
        <v>0</v>
      </c>
    </row>
    <row r="131" spans="1:14" ht="13.5" thickTop="1" x14ac:dyDescent="0.2"/>
    <row r="132" spans="1:14" x14ac:dyDescent="0.2">
      <c r="A132"/>
      <c r="B132"/>
      <c r="C132"/>
      <c r="D132" s="597" t="str">
        <f>Translation!B866</f>
        <v>Kontrollzeile</v>
      </c>
      <c r="E132" s="1372"/>
      <c r="F132" s="980">
        <f>(F$69-F$128-SUM(Gliederung_VorRes_Stat_Marktnah!$E$15:$E$20))</f>
        <v>0</v>
      </c>
      <c r="G132" s="6"/>
      <c r="H132" s="6"/>
      <c r="I132" s="981"/>
      <c r="J132" s="980">
        <f ca="1">(J$69-J$128-SUM(Gliederung_VorRes_Stat_Marktnah!$E$15:$E$20))</f>
        <v>0</v>
      </c>
      <c r="K132" s="6"/>
      <c r="L132" s="980">
        <f ca="1">(L$69-L$128-SUM(Gliederung_VorRes_Stat_Marktnah!$E$15:$E$20))</f>
        <v>0</v>
      </c>
      <c r="M132"/>
      <c r="N132"/>
    </row>
    <row r="133" spans="1:14" ht="15" x14ac:dyDescent="0.2">
      <c r="A133" s="534"/>
      <c r="B133" s="537"/>
      <c r="D133" s="657" t="str">
        <f>Translation!B867</f>
        <v>Aktiventotal - Passiventotal = Eigenkapital</v>
      </c>
      <c r="E133" s="657"/>
      <c r="F133" s="657"/>
      <c r="G133" s="657"/>
      <c r="H133" s="657"/>
      <c r="I133" s="657"/>
      <c r="J133" s="657"/>
      <c r="K133" s="657"/>
      <c r="L133" s="657"/>
      <c r="M133" s="657"/>
      <c r="N133" s="657"/>
    </row>
    <row r="136" spans="1:14" ht="21" customHeight="1" thickBot="1" x14ac:dyDescent="0.35">
      <c r="A136" s="534"/>
      <c r="B136" s="534"/>
      <c r="C136" s="494" t="str">
        <f>Translation!B868</f>
        <v>Aufteilung des Eigenkapitals</v>
      </c>
      <c r="D136" s="1253"/>
      <c r="E136" s="651"/>
      <c r="F136" s="492">
        <f>SUM(F137:F139)</f>
        <v>0</v>
      </c>
      <c r="G136" s="492"/>
      <c r="H136" s="492">
        <f t="shared" ref="H136:N136" ca="1" si="20">SUM(H137:H139)</f>
        <v>0</v>
      </c>
      <c r="I136" s="492">
        <f t="shared" ca="1" si="20"/>
        <v>0</v>
      </c>
      <c r="J136" s="492">
        <f t="shared" ca="1" si="20"/>
        <v>0</v>
      </c>
      <c r="K136" s="492">
        <f t="shared" si="20"/>
        <v>0</v>
      </c>
      <c r="L136" s="492">
        <f t="shared" ca="1" si="20"/>
        <v>0</v>
      </c>
      <c r="M136" s="492">
        <f t="shared" ca="1" si="20"/>
        <v>0</v>
      </c>
      <c r="N136" s="492">
        <f t="shared" si="20"/>
        <v>0</v>
      </c>
    </row>
    <row r="137" spans="1:14" ht="12.75" customHeight="1" outlineLevel="1" thickTop="1" x14ac:dyDescent="0.2">
      <c r="A137" s="534"/>
      <c r="B137" s="535"/>
      <c r="D137" s="1243"/>
      <c r="E137" s="1244" t="str">
        <f>Translation!$B$844</f>
        <v>dem Geschäft nach KVG zugeordnet</v>
      </c>
      <c r="F137" s="1264">
        <f>SUM(F14,F19,F24,F29,F34,F39,F44,F49,F58,F63)-SUM(F75:F78,F83:F86,F91:F94,F99:F102,F112,F117,F122)</f>
        <v>0</v>
      </c>
      <c r="G137" s="1373"/>
      <c r="H137" s="1374">
        <f ca="1">J137-F137</f>
        <v>0</v>
      </c>
      <c r="I137" s="1374">
        <f t="shared" ref="I137:N137" ca="1" si="21">SUM(I14,I19,I24,I29,I34,I39,I44,I49,I58,I63)-SUM(I75:I78,I83:I86,I91:I94,I99:I102,I112,I117,I122)</f>
        <v>0</v>
      </c>
      <c r="J137" s="1374">
        <f t="shared" ca="1" si="21"/>
        <v>0</v>
      </c>
      <c r="K137" s="1374">
        <f t="shared" si="21"/>
        <v>0</v>
      </c>
      <c r="L137" s="1375">
        <f t="shared" ca="1" si="21"/>
        <v>0</v>
      </c>
      <c r="M137" s="1375">
        <f t="shared" ca="1" si="21"/>
        <v>0</v>
      </c>
      <c r="N137" s="1375">
        <f t="shared" si="21"/>
        <v>0</v>
      </c>
    </row>
    <row r="138" spans="1:14" ht="12.75" customHeight="1" outlineLevel="1" x14ac:dyDescent="0.2">
      <c r="A138" s="534"/>
      <c r="B138" s="535"/>
      <c r="E138" s="1249" t="str">
        <f>Translation!$B$845</f>
        <v>dem Geschäft nach VVG zugeordnet</v>
      </c>
      <c r="F138" s="1265">
        <f>SUM(F15,F20,F25,F30,F35,F40,F45,F50,F59,F64)-SUM(F79,F87,F95,F103,F113,F118,F123)</f>
        <v>0</v>
      </c>
      <c r="G138" s="1373"/>
      <c r="H138" s="1374">
        <f ca="1">J138-F138</f>
        <v>0</v>
      </c>
      <c r="I138" s="1374">
        <f t="shared" ref="I138:N138" ca="1" si="22">SUM(I15,I20,I25,I30,I35,I40,I45,I50,I59,I64)-SUM(I79,I87,I95,I103,I113,I118,I123)</f>
        <v>0</v>
      </c>
      <c r="J138" s="1374">
        <f t="shared" ca="1" si="22"/>
        <v>0</v>
      </c>
      <c r="K138" s="1374">
        <f t="shared" si="22"/>
        <v>0</v>
      </c>
      <c r="L138" s="1374">
        <f t="shared" ca="1" si="22"/>
        <v>0</v>
      </c>
      <c r="M138" s="1374">
        <f t="shared" ca="1" si="22"/>
        <v>0</v>
      </c>
      <c r="N138" s="1374">
        <f t="shared" si="22"/>
        <v>0</v>
      </c>
    </row>
    <row r="139" spans="1:14" ht="12.75" customHeight="1" outlineLevel="1" x14ac:dyDescent="0.2">
      <c r="A139" s="534"/>
      <c r="B139" s="535"/>
      <c r="E139" s="1249" t="str">
        <f>Translation!$B$846</f>
        <v>dem Geschäft nach UVG zugeordnet</v>
      </c>
      <c r="F139" s="1265">
        <f>SUM(F16,F21,F26,F31,F36,F41,F46,F51,F60,F65)-SUM(F80,F88,F96,F104,F114,F119,F124)</f>
        <v>0</v>
      </c>
      <c r="G139" s="1373"/>
      <c r="H139" s="1374">
        <f ca="1">J139-F139</f>
        <v>0</v>
      </c>
      <c r="I139" s="1374">
        <f t="shared" ref="I139:N139" ca="1" si="23">SUM(I16,I21,I26,I31,I36,I41,I46,I51,I60,I65)-SUM(I80,I88,I96,I104,I114,I119,I124)</f>
        <v>0</v>
      </c>
      <c r="J139" s="1374">
        <f t="shared" ca="1" si="23"/>
        <v>0</v>
      </c>
      <c r="K139" s="1374">
        <f t="shared" si="23"/>
        <v>0</v>
      </c>
      <c r="L139" s="1374">
        <f t="shared" ca="1" si="23"/>
        <v>0</v>
      </c>
      <c r="M139" s="1374">
        <f t="shared" ca="1" si="23"/>
        <v>0</v>
      </c>
      <c r="N139" s="1374">
        <f t="shared" si="23"/>
        <v>0</v>
      </c>
    </row>
  </sheetData>
  <sheetProtection sheet="1"/>
  <customSheetViews>
    <customSheetView guid="{F15DEFD8-B0F4-4CC3-8896-92BF7E7815B1}" scale="75" showPageBreaks="1" showGridLines="0" fitToPage="1" printArea="1" hiddenColumns="1">
      <pane xSplit="5" ySplit="9" topLeftCell="J10" activePane="bottomRight" state="frozen"/>
      <selection pane="bottomRight" activeCell="D143" sqref="D143"/>
      <rowBreaks count="2" manualBreakCount="2">
        <brk id="26" max="14" man="1"/>
        <brk id="68" max="16383" man="1"/>
      </rowBreaks>
      <pageMargins left="0.47244094488188981" right="3.937007874015748E-2" top="0.23622047244094491" bottom="0.35433070866141736" header="0.19685039370078741" footer="0.19685039370078741"/>
      <printOptions headings="1"/>
      <pageSetup paperSize="9" scale="39" fitToHeight="2" orientation="portrait" r:id="rId1"/>
      <headerFooter alignWithMargins="0">
        <oddHeader>&amp;R&amp;"Arial,Fett"&amp;12SST</oddHeader>
        <oddFooter>&amp;L&amp;F / &amp;A&amp;C&amp;P / &amp;N&amp;R&amp;D</oddFooter>
      </headerFooter>
    </customSheetView>
  </customSheetViews>
  <mergeCells count="39">
    <mergeCell ref="D126:E126"/>
    <mergeCell ref="D106:E106"/>
    <mergeCell ref="D33:E33"/>
    <mergeCell ref="D38:E38"/>
    <mergeCell ref="D121:E121"/>
    <mergeCell ref="D90:E90"/>
    <mergeCell ref="D98:E98"/>
    <mergeCell ref="D111:E111"/>
    <mergeCell ref="D116:E116"/>
    <mergeCell ref="D67:E67"/>
    <mergeCell ref="D74:E74"/>
    <mergeCell ref="D82:E82"/>
    <mergeCell ref="D62:E62"/>
    <mergeCell ref="D48:E48"/>
    <mergeCell ref="D43:E43"/>
    <mergeCell ref="D53:E53"/>
    <mergeCell ref="D57:E57"/>
    <mergeCell ref="D28:E28"/>
    <mergeCell ref="G6:G7"/>
    <mergeCell ref="G4:G5"/>
    <mergeCell ref="H4:H5"/>
    <mergeCell ref="H6:H7"/>
    <mergeCell ref="D13:E13"/>
    <mergeCell ref="D23:E23"/>
    <mergeCell ref="D18:E18"/>
    <mergeCell ref="K6:K7"/>
    <mergeCell ref="A4:A7"/>
    <mergeCell ref="J4:J6"/>
    <mergeCell ref="B4:B7"/>
    <mergeCell ref="N4:N6"/>
    <mergeCell ref="F4:F6"/>
    <mergeCell ref="I4:I7"/>
    <mergeCell ref="D5:E5"/>
    <mergeCell ref="D6:E6"/>
    <mergeCell ref="D7:E7"/>
    <mergeCell ref="M4:M7"/>
    <mergeCell ref="L4:L6"/>
    <mergeCell ref="D4:E4"/>
    <mergeCell ref="K4:K5"/>
  </mergeCells>
  <phoneticPr fontId="0" type="noConversion"/>
  <conditionalFormatting sqref="G54:G55 G14:G16 G19:G21 G63:G65 G24:G26 G29:G31 G58:G60 G75:G80 G83:G88 G34:G37 G39:G42 G44:G47 G49:G52 G71:G72 G122:G124 G112:G115 G117:G120 G91:G97 G99:G105 G108:G109 G137:G139">
    <cfRule type="expression" dxfId="14" priority="32" stopIfTrue="1">
      <formula>IF(ISBLANK(G14),0,IF(ISNA(MATCH($G14,$A:$A,0)),1,0))</formula>
    </cfRule>
    <cfRule type="expression" dxfId="13" priority="33" stopIfTrue="1">
      <formula>IF(ISBLANK(G14),0,1)</formula>
    </cfRule>
    <cfRule type="expression" dxfId="12" priority="34" stopIfTrue="1">
      <formula>IF(ISERROR(MATCH($A14,$G:$G,0)),0,1)</formula>
    </cfRule>
  </conditionalFormatting>
  <conditionalFormatting sqref="K75:K80 K71:K72 K122:K124 K112:K115 K117:K120 K91:K97 K83:K89 K99:K105 K108:K109 K54:K55 K63:K65 K58:K60 K14:K16 K19:K21 K24:K26 K29:K31 K34:K37 K39:K42 K44:K47 K49:K52">
    <cfRule type="cellIs" dxfId="11" priority="35" stopIfTrue="1" operator="notEqual">
      <formula>0</formula>
    </cfRule>
  </conditionalFormatting>
  <conditionalFormatting sqref="L132">
    <cfRule type="cellIs" dxfId="10" priority="36" stopIfTrue="1" operator="greaterThan">
      <formula>100</formula>
    </cfRule>
    <cfRule type="cellIs" dxfId="9" priority="37" stopIfTrue="1" operator="lessThan">
      <formula>-100</formula>
    </cfRule>
  </conditionalFormatting>
  <conditionalFormatting sqref="F132 J132">
    <cfRule type="cellIs" dxfId="8" priority="38" stopIfTrue="1" operator="notBetween">
      <formula>-100</formula>
      <formula>100</formula>
    </cfRule>
  </conditionalFormatting>
  <conditionalFormatting sqref="K4:K6">
    <cfRule type="expression" dxfId="7" priority="1686" stopIfTrue="1">
      <formula>IF(K$67=K$124,0,1)</formula>
    </cfRule>
  </conditionalFormatting>
  <conditionalFormatting sqref="J4:J6">
    <cfRule type="expression" dxfId="6" priority="1869" stopIfTrue="1">
      <formula>IF(ABS(#REF!)&lt;=100,0,1)</formula>
    </cfRule>
  </conditionalFormatting>
  <conditionalFormatting sqref="K75:K80 K71:K72 K122:K124 K112:K115 K117:K120 K91:K97 K83:K89 K99:K105 K108:K109 K54:K55 K63:K65 K58:K60 K14:K16 K19:K21 K24:K26 K29:K31 K34:K37 K39:K42 K44:K47 K49:K52">
    <cfRule type="cellIs" dxfId="5" priority="6" stopIfTrue="1" operator="notEqual">
      <formula>0</formula>
    </cfRule>
  </conditionalFormatting>
  <conditionalFormatting sqref="F132 J132">
    <cfRule type="cellIs" dxfId="4" priority="3" stopIfTrue="1" operator="notBetween">
      <formula>-100</formula>
      <formula>100</formula>
    </cfRule>
  </conditionalFormatting>
  <conditionalFormatting sqref="K4:K6">
    <cfRule type="expression" dxfId="3" priority="2" stopIfTrue="1">
      <formula>IF(K$67=K$124,0,1)</formula>
    </cfRule>
  </conditionalFormatting>
  <conditionalFormatting sqref="J4:J6">
    <cfRule type="expression" dxfId="2" priority="1" stopIfTrue="1">
      <formula>IF(ABS(#REF!)&lt;=100,0,1)</formula>
    </cfRule>
  </conditionalFormatting>
  <hyperlinks>
    <hyperlink ref="A1" location="list_of_sheets!A1" display="list_of_sheets!A1" xr:uid="{00000000-0004-0000-1A00-000000000000}"/>
  </hyperlinks>
  <pageMargins left="0.47244094488188981" right="3.937007874015748E-2" top="0.39370078740157483" bottom="0.35433070866141736" header="0.19685039370078741" footer="0.19685039370078741"/>
  <pageSetup paperSize="9" scale="40" fitToHeight="2" orientation="portrait" r:id="rId2"/>
  <headerFooter alignWithMargins="0">
    <oddHeader>&amp;R&amp;"Arial,Fett"&amp;12KVG-Solvenztest
Test de solvabilité LAMal</oddHeader>
    <oddFooter>&amp;L&amp;F / &amp;A&amp;C&amp;P / &amp;N&amp;R&amp;D</oddFooter>
  </headerFooter>
  <rowBreaks count="2" manualBreakCount="2">
    <brk id="26" max="14" man="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tabColor indexed="10"/>
    <pageSetUpPr fitToPage="1"/>
  </sheetPr>
  <dimension ref="A1:I106"/>
  <sheetViews>
    <sheetView workbookViewId="0"/>
  </sheetViews>
  <sheetFormatPr baseColWidth="10" defaultColWidth="11.42578125" defaultRowHeight="12.75" outlineLevelRow="1" x14ac:dyDescent="0.2"/>
  <cols>
    <col min="1" max="1" width="5.5703125" style="140" customWidth="1"/>
    <col min="2" max="3" width="19.42578125" style="140" customWidth="1"/>
    <col min="4" max="4" width="113.28515625" style="148" customWidth="1"/>
    <col min="5" max="5" width="21.42578125" style="148" customWidth="1"/>
    <col min="6" max="6" width="15.42578125" style="148" customWidth="1"/>
    <col min="7" max="8" width="16" style="148" customWidth="1"/>
    <col min="9" max="9" width="13.5703125" style="148" customWidth="1"/>
    <col min="10" max="12" width="13.5703125" style="140" customWidth="1"/>
    <col min="13" max="16384" width="11.42578125" style="140"/>
  </cols>
  <sheetData>
    <row r="1" spans="1:6" ht="21" thickBot="1" x14ac:dyDescent="0.25">
      <c r="A1" s="2194">
        <v>43</v>
      </c>
      <c r="B1" s="1015" t="str">
        <f>Translation!B869</f>
        <v>Aufgliederung der vorhandenen Reserven</v>
      </c>
      <c r="C1" s="1016"/>
      <c r="D1" s="1017"/>
      <c r="E1" s="1017"/>
      <c r="F1" s="1017"/>
    </row>
    <row r="2" spans="1:6" x14ac:dyDescent="0.2">
      <c r="B2" s="178" t="str">
        <f>Inputparam!C8</f>
        <v xml:space="preserve">0000 </v>
      </c>
    </row>
    <row r="3" spans="1:6" x14ac:dyDescent="0.2">
      <c r="D3" s="497" t="str">
        <f>Translation!B870</f>
        <v>Totale Kontengruppen/Zusammenfassungen (geschützt)</v>
      </c>
    </row>
    <row r="4" spans="1:6" x14ac:dyDescent="0.2">
      <c r="D4" s="498" t="str">
        <f>Translation!B871</f>
        <v>Totale Klassen (geschützt)</v>
      </c>
      <c r="F4" s="149"/>
    </row>
    <row r="5" spans="1:6" x14ac:dyDescent="0.2">
      <c r="D5" s="251" t="str">
        <f>Translation!B872</f>
        <v>Input</v>
      </c>
      <c r="F5" s="149"/>
    </row>
    <row r="6" spans="1:6" x14ac:dyDescent="0.2">
      <c r="D6" s="499" t="str">
        <f>Translation!B873</f>
        <v>Gerechnet (geschützt)</v>
      </c>
      <c r="E6" s="645"/>
    </row>
    <row r="7" spans="1:6" x14ac:dyDescent="0.2">
      <c r="E7" s="150" t="str">
        <f>Translation!B874</f>
        <v>Betrag</v>
      </c>
    </row>
    <row r="8" spans="1:6" ht="18.75" thickBot="1" x14ac:dyDescent="0.3">
      <c r="B8" s="640" t="str">
        <f>Translation!B875</f>
        <v>Differenz zwischen Aktiven und Fremdkapital</v>
      </c>
      <c r="C8" s="643"/>
      <c r="D8" s="641"/>
      <c r="E8" s="442">
        <f>Marktnahe_Bilanz!G130</f>
        <v>0</v>
      </c>
    </row>
    <row r="9" spans="1:6" ht="13.5" thickTop="1" x14ac:dyDescent="0.2"/>
    <row r="10" spans="1:6" ht="18.75" thickBot="1" x14ac:dyDescent="0.3">
      <c r="B10" s="640" t="str">
        <f>Translation!B876</f>
        <v>Kernkapital</v>
      </c>
      <c r="C10" s="643"/>
      <c r="D10" s="641"/>
      <c r="E10" s="442">
        <f>SUM(E8)</f>
        <v>0</v>
      </c>
    </row>
    <row r="11" spans="1:6" ht="13.5" thickTop="1" x14ac:dyDescent="0.2"/>
    <row r="12" spans="1:6" ht="18.75" thickBot="1" x14ac:dyDescent="0.25">
      <c r="B12" s="459" t="str">
        <f>Translation!B877</f>
        <v>Vorhandene Reserven</v>
      </c>
      <c r="C12" s="460"/>
      <c r="D12" s="461"/>
      <c r="E12" s="443">
        <f ca="1">SUM(E14)</f>
        <v>0</v>
      </c>
    </row>
    <row r="13" spans="1:6" ht="18.75" thickTop="1" x14ac:dyDescent="0.2">
      <c r="B13" s="162"/>
      <c r="D13" s="149"/>
      <c r="E13" s="161"/>
    </row>
    <row r="14" spans="1:6" ht="18.75" customHeight="1" outlineLevel="1" thickBot="1" x14ac:dyDescent="0.3">
      <c r="B14" s="152"/>
      <c r="C14" s="456" t="str">
        <f>Translation!B878</f>
        <v>Nachweis Kernkapital</v>
      </c>
      <c r="D14" s="457"/>
      <c r="E14" s="441">
        <f ca="1">SUM(E15:E66)</f>
        <v>0</v>
      </c>
      <c r="F14" s="163" t="str">
        <f ca="1">IF(ABS(E14-E10)&lt;=100,"ok","Korrektur")</f>
        <v>ok</v>
      </c>
    </row>
    <row r="15" spans="1:6" ht="12.75" customHeight="1" outlineLevel="1" thickTop="1" x14ac:dyDescent="0.25">
      <c r="B15" s="152"/>
      <c r="C15" s="158"/>
      <c r="D15" s="468" t="str">
        <f>Translation!B882</f>
        <v>Eingefordertes Aktienkapital/Genossenschaftskapital</v>
      </c>
      <c r="E15" s="252"/>
    </row>
    <row r="16" spans="1:6" outlineLevel="1" x14ac:dyDescent="0.2">
      <c r="D16" s="468" t="str">
        <f>Translation!B883</f>
        <v>Partizipationsscheinkapital</v>
      </c>
      <c r="E16" s="470"/>
    </row>
    <row r="17" spans="1:7" outlineLevel="1" x14ac:dyDescent="0.2">
      <c r="D17" s="468" t="str">
        <f>Translation!B884</f>
        <v>Kapitalreserven</v>
      </c>
      <c r="E17" s="470"/>
    </row>
    <row r="18" spans="1:7" outlineLevel="1" x14ac:dyDescent="0.2">
      <c r="D18" s="468" t="str">
        <f>Translation!B885</f>
        <v>Gewinnreserven</v>
      </c>
      <c r="E18" s="470"/>
    </row>
    <row r="19" spans="1:7" outlineLevel="1" x14ac:dyDescent="0.2">
      <c r="D19" s="468" t="str">
        <f>Translation!B886</f>
        <v>Ergebnisvortrag aus dem Vorjahr</v>
      </c>
      <c r="E19" s="470"/>
    </row>
    <row r="20" spans="1:7" outlineLevel="1" x14ac:dyDescent="0.2">
      <c r="D20" s="468" t="str">
        <f>Translation!B887</f>
        <v>Ergebnis des Geschäftsjahres</v>
      </c>
      <c r="E20" s="470"/>
    </row>
    <row r="21" spans="1:7" outlineLevel="1" x14ac:dyDescent="0.2">
      <c r="D21" s="457"/>
      <c r="E21" s="1198"/>
    </row>
    <row r="22" spans="1:7" outlineLevel="1" x14ac:dyDescent="0.2">
      <c r="A22" s="157"/>
      <c r="B22" s="157"/>
      <c r="C22" s="157"/>
      <c r="D22" s="482" t="str">
        <f>Translation!B888</f>
        <v>Bewertungsreserven: (Marktwert Ende Vorjahr - Statutarischer Wert Ende Vorjahr)</v>
      </c>
      <c r="E22" s="1198"/>
      <c r="G22" s="140"/>
    </row>
    <row r="23" spans="1:7" outlineLevel="1" x14ac:dyDescent="0.2">
      <c r="D23" s="849" t="str">
        <f>Translation!B889</f>
        <v>- auf Kapitalanlagen</v>
      </c>
      <c r="E23" s="1198"/>
      <c r="G23" s="140"/>
    </row>
    <row r="24" spans="1:7" outlineLevel="1" x14ac:dyDescent="0.2">
      <c r="D24" s="483" t="str">
        <f>Translation!B890</f>
        <v xml:space="preserve">     Grundstücke und Bauten</v>
      </c>
      <c r="E24" s="471">
        <f ca="1">'BewDifferenzen_Statut-Marktnah'!M13</f>
        <v>0</v>
      </c>
      <c r="G24" s="140"/>
    </row>
    <row r="25" spans="1:7" outlineLevel="1" x14ac:dyDescent="0.2">
      <c r="D25" s="483" t="str">
        <f>Translation!B891</f>
        <v xml:space="preserve">     Obligationen</v>
      </c>
      <c r="E25" s="471">
        <f ca="1">'BewDifferenzen_Statut-Marktnah'!M18</f>
        <v>0</v>
      </c>
      <c r="G25" s="140"/>
    </row>
    <row r="26" spans="1:7" outlineLevel="1" x14ac:dyDescent="0.2">
      <c r="D26" s="483" t="str">
        <f>Translation!B892</f>
        <v xml:space="preserve">     Aktien und ähnliche Anlagen</v>
      </c>
      <c r="E26" s="471">
        <f ca="1">'BewDifferenzen_Statut-Marktnah'!M23</f>
        <v>0</v>
      </c>
      <c r="G26" s="140"/>
    </row>
    <row r="27" spans="1:7" outlineLevel="1" x14ac:dyDescent="0.2">
      <c r="D27" s="483" t="str">
        <f>Translation!B893</f>
        <v xml:space="preserve">     Anteile an Anlagefonds</v>
      </c>
      <c r="E27" s="471">
        <f ca="1">'BewDifferenzen_Statut-Marktnah'!M28</f>
        <v>0</v>
      </c>
      <c r="G27" s="140"/>
    </row>
    <row r="28" spans="1:7" outlineLevel="1" x14ac:dyDescent="0.2">
      <c r="D28" s="483" t="str">
        <f>Translation!B894</f>
        <v xml:space="preserve">     Derivative Finanzinstrumente (Guthaben)</v>
      </c>
      <c r="E28" s="471">
        <f ca="1">'BewDifferenzen_Statut-Marktnah'!M33</f>
        <v>0</v>
      </c>
      <c r="G28" s="140"/>
    </row>
    <row r="29" spans="1:7" outlineLevel="1" x14ac:dyDescent="0.2">
      <c r="D29" s="483" t="str">
        <f>Translation!B895</f>
        <v xml:space="preserve">     Liquide Mittel</v>
      </c>
      <c r="E29" s="471">
        <f ca="1">'BewDifferenzen_Statut-Marktnah'!M38</f>
        <v>0</v>
      </c>
      <c r="G29" s="140"/>
    </row>
    <row r="30" spans="1:7" outlineLevel="1" x14ac:dyDescent="0.2">
      <c r="D30" s="483" t="str">
        <f>Translation!B896</f>
        <v xml:space="preserve">     Anlagen in Institutionen, die der Durchführung der sozialen Krankenversicherung dienen</v>
      </c>
      <c r="E30" s="471">
        <f ca="1">'BewDifferenzen_Statut-Marktnah'!M43</f>
        <v>0</v>
      </c>
      <c r="G30" s="140"/>
    </row>
    <row r="31" spans="1:7" outlineLevel="1" x14ac:dyDescent="0.2">
      <c r="D31" s="483" t="str">
        <f>Translation!B897</f>
        <v xml:space="preserve">     Übrige Kapitalanlagen (Latente Steuern, Aktiven aus Vorsorgeplänen)</v>
      </c>
      <c r="E31" s="471">
        <f ca="1">'BewDifferenzen_Statut-Marktnah'!M48</f>
        <v>0</v>
      </c>
      <c r="G31" s="140"/>
    </row>
    <row r="32" spans="1:7" outlineLevel="1" x14ac:dyDescent="0.2">
      <c r="D32" s="483" t="str">
        <f>Translation!B898</f>
        <v>- auf übrigen Aktiven</v>
      </c>
      <c r="E32" s="1198"/>
      <c r="G32" s="140"/>
    </row>
    <row r="33" spans="1:7" outlineLevel="1" x14ac:dyDescent="0.2">
      <c r="D33" s="848" t="str">
        <f>Translation!B899</f>
        <v xml:space="preserve">     übriges Anlagevermögen (Immaterielle Anlagen, Sachanlagen)</v>
      </c>
      <c r="E33" s="471">
        <f ca="1">'BewDifferenzen_Statut-Marktnah'!M57</f>
        <v>0</v>
      </c>
      <c r="G33" s="140"/>
    </row>
    <row r="34" spans="1:7" outlineLevel="1" x14ac:dyDescent="0.2">
      <c r="D34" s="848" t="str">
        <f>Translation!B900</f>
        <v xml:space="preserve">     Umlaufvermögen</v>
      </c>
      <c r="E34" s="471">
        <f ca="1">'BewDifferenzen_Statut-Marktnah'!M62</f>
        <v>0</v>
      </c>
      <c r="G34" s="140"/>
    </row>
    <row r="35" spans="1:7" outlineLevel="1" x14ac:dyDescent="0.2">
      <c r="D35" s="849" t="str">
        <f>Translation!B901</f>
        <v>- auf versicherungstechnischen Rückstellungen</v>
      </c>
      <c r="E35" s="1198"/>
      <c r="G35" s="140"/>
    </row>
    <row r="36" spans="1:7" outlineLevel="1" x14ac:dyDescent="0.2">
      <c r="D36" s="850" t="str">
        <f>Translation!B902</f>
        <v xml:space="preserve">     Leistungsrückstellungen</v>
      </c>
      <c r="E36" s="472">
        <f ca="1">'BewDifferenzen_Statut-Marktnah'!M74*-1</f>
        <v>0</v>
      </c>
      <c r="G36" s="140"/>
    </row>
    <row r="37" spans="1:7" outlineLevel="1" x14ac:dyDescent="0.2">
      <c r="D37" s="850" t="str">
        <f>Translation!B903</f>
        <v xml:space="preserve">     Alterungsrückstellungen und Deckungskapitalien</v>
      </c>
      <c r="E37" s="472">
        <f ca="1">'BewDifferenzen_Statut-Marktnah'!M82*-1</f>
        <v>0</v>
      </c>
      <c r="G37" s="140"/>
    </row>
    <row r="38" spans="1:7" outlineLevel="1" x14ac:dyDescent="0.2">
      <c r="D38" s="850" t="str">
        <f>Translation!B904</f>
        <v xml:space="preserve">     Prämienüberträge sowie Rückstellungen für künftige Überschussbeteiligungen</v>
      </c>
      <c r="E38" s="472">
        <f ca="1">'BewDifferenzen_Statut-Marktnah'!M90*-1</f>
        <v>0</v>
      </c>
      <c r="G38" s="140"/>
    </row>
    <row r="39" spans="1:7" outlineLevel="1" x14ac:dyDescent="0.2">
      <c r="D39" s="850" t="str">
        <f>Translation!B905</f>
        <v xml:space="preserve">     Schwankungs- und Sicherheitsrückstellungen</v>
      </c>
      <c r="E39" s="472">
        <f ca="1">'BewDifferenzen_Statut-Marktnah'!M98*-1</f>
        <v>0</v>
      </c>
      <c r="G39" s="140"/>
    </row>
    <row r="40" spans="1:7" outlineLevel="1" x14ac:dyDescent="0.2">
      <c r="D40" s="849" t="str">
        <f>Translation!B906</f>
        <v>- auf übrigem Fremdkapital</v>
      </c>
      <c r="E40" s="1198"/>
      <c r="G40" s="140"/>
    </row>
    <row r="41" spans="1:7" outlineLevel="1" x14ac:dyDescent="0.2">
      <c r="D41" s="851" t="str">
        <f>Translation!B907</f>
        <v xml:space="preserve">     Nichtversicherungstechnische Rückstellungen</v>
      </c>
      <c r="E41" s="472">
        <f ca="1">'BewDifferenzen_Statut-Marktnah'!M111*-1</f>
        <v>0</v>
      </c>
      <c r="G41" s="140"/>
    </row>
    <row r="42" spans="1:7" outlineLevel="1" x14ac:dyDescent="0.2">
      <c r="D42" s="851" t="str">
        <f>Translation!B908</f>
        <v xml:space="preserve">     Rückstellungen für Risiken in den Kapitalanlagen</v>
      </c>
      <c r="E42" s="471">
        <f ca="1">'BewDifferenzen_Statut-Marktnah'!M116*-1</f>
        <v>0</v>
      </c>
      <c r="G42" s="140"/>
    </row>
    <row r="43" spans="1:7" outlineLevel="1" x14ac:dyDescent="0.2">
      <c r="D43" s="851" t="str">
        <f>Translation!B909</f>
        <v xml:space="preserve">     Übrige Verbindlichkeiten (inkl. Rechnungsabgrenzungen)</v>
      </c>
      <c r="E43" s="471">
        <f ca="1">'BewDifferenzen_Statut-Marktnah'!M121*-1</f>
        <v>0</v>
      </c>
      <c r="G43" s="140"/>
    </row>
    <row r="44" spans="1:7" outlineLevel="1" x14ac:dyDescent="0.2">
      <c r="D44" s="457"/>
      <c r="E44" s="1198"/>
    </row>
    <row r="45" spans="1:7" outlineLevel="1" x14ac:dyDescent="0.2">
      <c r="A45" s="157"/>
      <c r="B45" s="157"/>
      <c r="C45" s="157"/>
      <c r="D45" s="852" t="str">
        <f>Translation!B910</f>
        <v>Jahreswechseleffekt (Marktwert Anfang Jahr - Marktwert Ende Vorjahr)</v>
      </c>
      <c r="E45" s="1166"/>
      <c r="G45" s="140"/>
    </row>
    <row r="46" spans="1:7" outlineLevel="1" x14ac:dyDescent="0.2">
      <c r="D46" s="849" t="str">
        <f>Translation!B911</f>
        <v>- auf Kapitalanlagen</v>
      </c>
      <c r="E46" s="1198"/>
      <c r="G46" s="140"/>
    </row>
    <row r="47" spans="1:7" outlineLevel="1" x14ac:dyDescent="0.2">
      <c r="D47" s="483" t="str">
        <f>Translation!B912</f>
        <v xml:space="preserve">     Grundstücke und Bauten</v>
      </c>
      <c r="E47" s="471">
        <f>Marktnahe_Bilanz!F13</f>
        <v>0</v>
      </c>
      <c r="G47" s="140"/>
    </row>
    <row r="48" spans="1:7" outlineLevel="1" x14ac:dyDescent="0.2">
      <c r="D48" s="483" t="str">
        <f>Translation!B913</f>
        <v xml:space="preserve">     Obligationen</v>
      </c>
      <c r="E48" s="471">
        <f>Marktnahe_Bilanz!F18</f>
        <v>0</v>
      </c>
      <c r="G48" s="140"/>
    </row>
    <row r="49" spans="4:7" outlineLevel="1" x14ac:dyDescent="0.2">
      <c r="D49" s="483" t="str">
        <f>Translation!B914</f>
        <v xml:space="preserve">     Aktien und ähnliche Anlagen</v>
      </c>
      <c r="E49" s="471">
        <f>Marktnahe_Bilanz!F23</f>
        <v>0</v>
      </c>
      <c r="G49" s="140"/>
    </row>
    <row r="50" spans="4:7" outlineLevel="1" x14ac:dyDescent="0.2">
      <c r="D50" s="483" t="str">
        <f>Translation!B915</f>
        <v xml:space="preserve">     Anteile an Anlagefonds</v>
      </c>
      <c r="E50" s="471">
        <f>Marktnahe_Bilanz!F28</f>
        <v>0</v>
      </c>
      <c r="G50" s="140"/>
    </row>
    <row r="51" spans="4:7" outlineLevel="1" x14ac:dyDescent="0.2">
      <c r="D51" s="483" t="str">
        <f>Translation!B916</f>
        <v xml:space="preserve">     Derivative Finanzinstrumente (Guthaben)</v>
      </c>
      <c r="E51" s="471">
        <f>Marktnahe_Bilanz!F33</f>
        <v>0</v>
      </c>
      <c r="G51" s="140"/>
    </row>
    <row r="52" spans="4:7" outlineLevel="1" x14ac:dyDescent="0.2">
      <c r="D52" s="483" t="str">
        <f>Translation!B917</f>
        <v xml:space="preserve">     Liquide Mittel</v>
      </c>
      <c r="E52" s="471">
        <f>Marktnahe_Bilanz!F38</f>
        <v>0</v>
      </c>
      <c r="G52" s="140"/>
    </row>
    <row r="53" spans="4:7" outlineLevel="1" x14ac:dyDescent="0.2">
      <c r="D53" s="483" t="str">
        <f>Translation!B918</f>
        <v xml:space="preserve">     Anlagen in Institutionen, die der Durchführung der sozialen Krankenversicherung dienen</v>
      </c>
      <c r="E53" s="471">
        <f>Marktnahe_Bilanz!F43</f>
        <v>0</v>
      </c>
      <c r="G53" s="140"/>
    </row>
    <row r="54" spans="4:7" outlineLevel="1" x14ac:dyDescent="0.2">
      <c r="D54" s="483" t="str">
        <f>Translation!B919</f>
        <v xml:space="preserve">     Übrige Kapitalanlagen (Latente Steuern, Aktiven aus Vorsorgeplänen)</v>
      </c>
      <c r="E54" s="471">
        <f>Marktnahe_Bilanz!F48</f>
        <v>0</v>
      </c>
      <c r="G54" s="140"/>
    </row>
    <row r="55" spans="4:7" outlineLevel="1" x14ac:dyDescent="0.2">
      <c r="D55" s="483" t="str">
        <f>Translation!B920</f>
        <v>- auf übrigen Aktiven</v>
      </c>
      <c r="E55" s="1198"/>
      <c r="G55" s="140"/>
    </row>
    <row r="56" spans="4:7" outlineLevel="1" x14ac:dyDescent="0.2">
      <c r="D56" s="848" t="str">
        <f>Translation!B921</f>
        <v xml:space="preserve">     übriges Anlagevermögen (Immaterielle Anlagen, Sachanlagen)</v>
      </c>
      <c r="E56" s="471">
        <f>Marktnahe_Bilanz!F57</f>
        <v>0</v>
      </c>
      <c r="G56" s="140"/>
    </row>
    <row r="57" spans="4:7" outlineLevel="1" x14ac:dyDescent="0.2">
      <c r="D57" s="848" t="str">
        <f>Translation!B922</f>
        <v xml:space="preserve">     Umlaufvermögen</v>
      </c>
      <c r="E57" s="471">
        <f>Marktnahe_Bilanz!F62</f>
        <v>0</v>
      </c>
      <c r="G57" s="140"/>
    </row>
    <row r="58" spans="4:7" outlineLevel="1" x14ac:dyDescent="0.2">
      <c r="D58" s="849" t="str">
        <f>Translation!B923</f>
        <v>- auf versicherungstechnischen Rückstellungen</v>
      </c>
      <c r="E58" s="1198"/>
      <c r="G58" s="140"/>
    </row>
    <row r="59" spans="4:7" outlineLevel="1" x14ac:dyDescent="0.2">
      <c r="D59" s="850" t="str">
        <f>Translation!B924</f>
        <v xml:space="preserve">     Leistungsrückstellungen</v>
      </c>
      <c r="E59" s="471">
        <f>Marktnahe_Bilanz!F74*-1</f>
        <v>0</v>
      </c>
      <c r="G59" s="140"/>
    </row>
    <row r="60" spans="4:7" outlineLevel="1" x14ac:dyDescent="0.2">
      <c r="D60" s="850" t="str">
        <f>Translation!B925</f>
        <v xml:space="preserve">     Alterungsrückstellungen und Deckungskapitalien</v>
      </c>
      <c r="E60" s="471">
        <f>Marktnahe_Bilanz!F82*-1</f>
        <v>0</v>
      </c>
      <c r="G60" s="140"/>
    </row>
    <row r="61" spans="4:7" outlineLevel="1" x14ac:dyDescent="0.2">
      <c r="D61" s="850" t="str">
        <f>Translation!B926</f>
        <v xml:space="preserve">     Prämienüberträge sowie Rückstellungen für künftige Überschussbeteiligungen</v>
      </c>
      <c r="E61" s="471">
        <f>Marktnahe_Bilanz!F90*-1</f>
        <v>0</v>
      </c>
      <c r="G61" s="140"/>
    </row>
    <row r="62" spans="4:7" outlineLevel="1" x14ac:dyDescent="0.2">
      <c r="D62" s="850" t="str">
        <f>Translation!B927</f>
        <v xml:space="preserve">     Schwankungs- und Sicherheitsrückstellungen</v>
      </c>
      <c r="E62" s="471">
        <f>Marktnahe_Bilanz!F98*-1</f>
        <v>0</v>
      </c>
      <c r="G62" s="140"/>
    </row>
    <row r="63" spans="4:7" outlineLevel="1" x14ac:dyDescent="0.2">
      <c r="D63" s="849" t="str">
        <f>Translation!B928</f>
        <v>- auf übrigem Fremdkapital</v>
      </c>
      <c r="E63" s="1198"/>
      <c r="G63" s="140"/>
    </row>
    <row r="64" spans="4:7" outlineLevel="1" x14ac:dyDescent="0.2">
      <c r="D64" s="851" t="str">
        <f>Translation!B929</f>
        <v xml:space="preserve">     Nichtversicherungstechnische Rückstellungen</v>
      </c>
      <c r="E64" s="471">
        <f>Marktnahe_Bilanz!F111*-1</f>
        <v>0</v>
      </c>
      <c r="G64" s="140"/>
    </row>
    <row r="65" spans="1:9" outlineLevel="1" x14ac:dyDescent="0.2">
      <c r="D65" s="851" t="str">
        <f>Translation!B930</f>
        <v xml:space="preserve">     Rückstellungen für Risiken in den Kapitalanlagen</v>
      </c>
      <c r="E65" s="471">
        <f>Marktnahe_Bilanz!F116*-1</f>
        <v>0</v>
      </c>
      <c r="G65" s="140"/>
    </row>
    <row r="66" spans="1:9" x14ac:dyDescent="0.2">
      <c r="D66" s="851" t="str">
        <f>Translation!B931</f>
        <v xml:space="preserve">     Übrige Verbindlichkeiten (inkl. Rechnungsabgrenzungen)</v>
      </c>
      <c r="E66" s="471">
        <f>Marktnahe_Bilanz!F121*-1</f>
        <v>0</v>
      </c>
    </row>
    <row r="67" spans="1:9" x14ac:dyDescent="0.2">
      <c r="D67" s="156"/>
      <c r="E67" s="1199"/>
    </row>
    <row r="68" spans="1:9" ht="13.5" hidden="1" outlineLevel="1" thickBot="1" x14ac:dyDescent="0.25">
      <c r="C68" s="462" t="str">
        <f>Translation!B879</f>
        <v>Abzüge</v>
      </c>
      <c r="D68" s="457"/>
      <c r="E68" s="444">
        <f>SUM(E69:E73)</f>
        <v>0</v>
      </c>
    </row>
    <row r="69" spans="1:9" ht="13.5" hidden="1" outlineLevel="1" thickTop="1" x14ac:dyDescent="0.2">
      <c r="D69" s="463" t="str">
        <f>Translation!B932</f>
        <v>- Bilanzwert eigene Aktien (-)</v>
      </c>
      <c r="E69" s="470"/>
    </row>
    <row r="70" spans="1:9" hidden="1" outlineLevel="1" x14ac:dyDescent="0.2">
      <c r="D70" s="463" t="str">
        <f>Translation!B933</f>
        <v>- Bilanzwert immaterielle Aktiven (-)</v>
      </c>
      <c r="E70" s="470"/>
    </row>
    <row r="71" spans="1:9" s="164" customFormat="1" ht="12.75" hidden="1" customHeight="1" outlineLevel="1" x14ac:dyDescent="0.2">
      <c r="A71" s="140"/>
      <c r="B71" s="140"/>
      <c r="C71" s="140"/>
      <c r="D71" s="463" t="str">
        <f>Translation!B934</f>
        <v>- Grundstückgewinn-/Handänderungssteuern auf Bewertungsreserven Grundstücke und Bauten (-)</v>
      </c>
      <c r="E71" s="470"/>
      <c r="F71" s="148"/>
      <c r="G71" s="148"/>
      <c r="H71" s="148"/>
      <c r="I71" s="148"/>
    </row>
    <row r="72" spans="1:9" s="164" customFormat="1" hidden="1" outlineLevel="1" x14ac:dyDescent="0.2">
      <c r="D72" s="463" t="str">
        <f>Translation!B935</f>
        <v>- vorgesehene Dividenden und Kapitalrückzahlungen (-)</v>
      </c>
      <c r="E72" s="470"/>
      <c r="F72" s="148"/>
      <c r="G72" s="148"/>
      <c r="H72" s="148"/>
      <c r="I72" s="148"/>
    </row>
    <row r="73" spans="1:9" s="164" customFormat="1" hidden="1" x14ac:dyDescent="0.2">
      <c r="D73" s="463" t="str">
        <f>Translation!B936</f>
        <v>- sonstige Abzüge (z.B. nicht anrechenbare konzerninterne Darlehen) (-)</v>
      </c>
      <c r="E73" s="470"/>
      <c r="F73" s="148"/>
      <c r="G73" s="148"/>
      <c r="H73" s="148"/>
      <c r="I73" s="148"/>
    </row>
    <row r="74" spans="1:9" s="164" customFormat="1" hidden="1" x14ac:dyDescent="0.2">
      <c r="D74" s="156"/>
      <c r="E74" s="154"/>
      <c r="F74" s="148"/>
      <c r="G74" s="148"/>
      <c r="H74" s="148"/>
      <c r="I74" s="148"/>
    </row>
    <row r="75" spans="1:9" ht="13.5" hidden="1" thickBot="1" x14ac:dyDescent="0.25">
      <c r="A75" s="164"/>
      <c r="B75" s="164"/>
      <c r="C75" s="462" t="str">
        <f>Translation!B880</f>
        <v>Ergänzendes Kapital</v>
      </c>
      <c r="D75" s="463"/>
      <c r="E75" s="444">
        <f>SUM(E77+E82)</f>
        <v>0</v>
      </c>
    </row>
    <row r="76" spans="1:9" ht="13.5" hidden="1" thickTop="1" x14ac:dyDescent="0.2">
      <c r="D76" s="156"/>
      <c r="E76" s="154"/>
    </row>
    <row r="77" spans="1:9" ht="13.5" hidden="1" outlineLevel="1" thickBot="1" x14ac:dyDescent="0.25">
      <c r="D77" s="462" t="str">
        <f>Translation!B937</f>
        <v>Oberes ergänzendes Kapital</v>
      </c>
      <c r="E77" s="445">
        <f>SUM(E78:E80)</f>
        <v>0</v>
      </c>
    </row>
    <row r="78" spans="1:9" ht="13.5" hidden="1" outlineLevel="1" thickTop="1" x14ac:dyDescent="0.2">
      <c r="D78" s="463" t="str">
        <f>Translation!B938</f>
        <v>Nachrangige Darlehen ohne Befristung</v>
      </c>
      <c r="E78" s="470"/>
    </row>
    <row r="79" spans="1:9" hidden="1" outlineLevel="1" x14ac:dyDescent="0.2">
      <c r="D79" s="463" t="str">
        <f>Translation!B939</f>
        <v>Nachrangige Anleihen ohne Befristung</v>
      </c>
      <c r="E79" s="470"/>
    </row>
    <row r="80" spans="1:9" hidden="1" x14ac:dyDescent="0.2">
      <c r="D80" s="463" t="str">
        <f>Translation!B940</f>
        <v>Sonstige hybride Instrumente ohne Befristung</v>
      </c>
      <c r="E80" s="470"/>
    </row>
    <row r="81" spans="2:5" hidden="1" x14ac:dyDescent="0.2">
      <c r="D81" s="463"/>
      <c r="E81" s="154"/>
    </row>
    <row r="82" spans="2:5" ht="13.5" hidden="1" outlineLevel="1" thickBot="1" x14ac:dyDescent="0.25">
      <c r="D82" s="456" t="str">
        <f>Translation!B941</f>
        <v>Unteres ergänzendes Kapital</v>
      </c>
      <c r="E82" s="445">
        <f>SUM(E83:E85)</f>
        <v>0</v>
      </c>
    </row>
    <row r="83" spans="2:5" ht="13.5" hidden="1" outlineLevel="1" thickTop="1" x14ac:dyDescent="0.2">
      <c r="D83" s="463" t="str">
        <f>Translation!B942</f>
        <v>Nachrangige Darlehen mit Befristung</v>
      </c>
      <c r="E83" s="470"/>
    </row>
    <row r="84" spans="2:5" hidden="1" outlineLevel="1" x14ac:dyDescent="0.2">
      <c r="D84" s="463" t="str">
        <f>Translation!B943</f>
        <v>Nachrangige Anleihen mit Befristung</v>
      </c>
      <c r="E84" s="470"/>
    </row>
    <row r="85" spans="2:5" hidden="1" x14ac:dyDescent="0.2">
      <c r="D85" s="463" t="str">
        <f>Translation!B944</f>
        <v>Sonstige hybride Instrumente mit Befristung</v>
      </c>
      <c r="E85" s="470"/>
    </row>
    <row r="86" spans="2:5" hidden="1" x14ac:dyDescent="0.2"/>
    <row r="87" spans="2:5" ht="39" hidden="1" outlineLevel="1" thickBot="1" x14ac:dyDescent="0.25">
      <c r="C87" s="464" t="str">
        <f>Translation!B881</f>
        <v>Zusätzliches Kernkapital (keine Differenzgrösse)</v>
      </c>
      <c r="D87" s="457"/>
      <c r="E87" s="446">
        <f>SUM(E88)</f>
        <v>0</v>
      </c>
    </row>
    <row r="88" spans="2:5" hidden="1" collapsed="1" x14ac:dyDescent="0.2">
      <c r="C88" s="458"/>
      <c r="D88" s="463" t="str">
        <f>Translation!B945</f>
        <v>Fremdkapital, das nur in Eigenkapital konvertiert werden kann (Mandatory Convertible)</v>
      </c>
      <c r="E88" s="470"/>
    </row>
    <row r="89" spans="2:5" hidden="1" x14ac:dyDescent="0.2"/>
    <row r="91" spans="2:5" x14ac:dyDescent="0.2">
      <c r="B91" s="465" t="str">
        <f>Translation!B946</f>
        <v>Nachweise</v>
      </c>
      <c r="C91" s="456" t="str">
        <f>Translation!B947</f>
        <v xml:space="preserve">Kernkapital </v>
      </c>
      <c r="D91" s="457"/>
      <c r="E91" s="467">
        <f ca="1">SUM(E14)</f>
        <v>0</v>
      </c>
    </row>
    <row r="92" spans="2:5" ht="13.5" thickBot="1" x14ac:dyDescent="0.25">
      <c r="B92" s="469"/>
      <c r="C92" s="466" t="str">
        <f>Translation!B948</f>
        <v>Zusätzliches Kernkapital</v>
      </c>
      <c r="D92" s="457"/>
      <c r="E92" s="467"/>
    </row>
    <row r="93" spans="2:5" ht="13.5" thickBot="1" x14ac:dyDescent="0.25">
      <c r="C93" s="456" t="str">
        <f>Translation!B949</f>
        <v>TOTAL ANRECHENBARES KERNKAPITAL</v>
      </c>
      <c r="D93" s="457"/>
      <c r="E93" s="447">
        <f ca="1">SUM(E91)</f>
        <v>0</v>
      </c>
    </row>
    <row r="94" spans="2:5" ht="13.5" thickBot="1" x14ac:dyDescent="0.25">
      <c r="C94" s="458"/>
      <c r="D94" s="457"/>
    </row>
    <row r="95" spans="2:5" ht="13.5" thickBot="1" x14ac:dyDescent="0.25">
      <c r="C95" s="462" t="str">
        <f>Translation!B950</f>
        <v>TOTAL OBERES ERGÄNZENDES KAPITAL</v>
      </c>
      <c r="D95" s="457"/>
      <c r="E95" s="447"/>
    </row>
    <row r="96" spans="2:5" ht="13.5" thickBot="1" x14ac:dyDescent="0.25">
      <c r="C96" s="462"/>
      <c r="D96" s="457"/>
    </row>
    <row r="97" spans="2:5" ht="13.5" thickBot="1" x14ac:dyDescent="0.25">
      <c r="C97" s="456" t="str">
        <f>Translation!B951</f>
        <v>TOTAL UNTERES ERGÄNZENDES KAPITAL</v>
      </c>
      <c r="D97" s="457"/>
      <c r="E97" s="447"/>
    </row>
    <row r="98" spans="2:5" ht="13.5" thickBot="1" x14ac:dyDescent="0.25">
      <c r="C98" s="458"/>
      <c r="D98" s="457"/>
    </row>
    <row r="99" spans="2:5" ht="13.5" thickBot="1" x14ac:dyDescent="0.25">
      <c r="C99" s="456" t="str">
        <f>Translation!B952</f>
        <v>TOTAL VORHANDENE RESERVEN</v>
      </c>
      <c r="D99" s="457"/>
      <c r="E99" s="447">
        <f ca="1">SUM(E93)</f>
        <v>0</v>
      </c>
    </row>
    <row r="101" spans="2:5" ht="13.5" thickBot="1" x14ac:dyDescent="0.25">
      <c r="B101" s="164"/>
      <c r="C101" s="462" t="str">
        <f>Translation!B953</f>
        <v>davon KVG-fremde Anteile</v>
      </c>
      <c r="D101" s="463"/>
      <c r="E101" s="444">
        <f>SUM(E102:E103)</f>
        <v>0</v>
      </c>
    </row>
    <row r="102" spans="2:5" ht="13.5" thickTop="1" x14ac:dyDescent="0.2">
      <c r="D102" s="651" t="str">
        <f>Translation!B954</f>
        <v>dem Geschäft nach VVG zugeordnet</v>
      </c>
      <c r="E102" s="473">
        <f>-Marktnahe_Bilanz!G138</f>
        <v>0</v>
      </c>
    </row>
    <row r="103" spans="2:5" x14ac:dyDescent="0.2">
      <c r="D103" s="651" t="str">
        <f>Translation!B955</f>
        <v>dem Geschäft nach UVG zugeordnet</v>
      </c>
      <c r="E103" s="473">
        <f>-Marktnahe_Bilanz!G139</f>
        <v>0</v>
      </c>
    </row>
    <row r="105" spans="2:5" ht="18.75" thickBot="1" x14ac:dyDescent="0.25">
      <c r="B105" s="459" t="str">
        <f>Translation!B956</f>
        <v>Vorhandene Reserven nach KVG</v>
      </c>
      <c r="C105" s="460"/>
      <c r="D105" s="461"/>
      <c r="E105" s="443">
        <f ca="1">SUM(E99,E102)</f>
        <v>0</v>
      </c>
    </row>
    <row r="106" spans="2:5" ht="13.5" thickTop="1" x14ac:dyDescent="0.2"/>
  </sheetData>
  <customSheetViews>
    <customSheetView guid="{F15DEFD8-B0F4-4CC3-8896-92BF7E7815B1}" scale="75" showPageBreaks="1" showGridLines="0" fitToPage="1" printArea="1">
      <selection activeCell="D34" sqref="D34"/>
      <pageMargins left="0.47244094488188981" right="0.47244094488188981" top="0.59055118110236227" bottom="0.59055118110236227" header="0.35433070866141736" footer="0.35433070866141736"/>
      <pageSetup paperSize="9" scale="49" orientation="portrait" r:id="rId1"/>
      <headerFooter alignWithMargins="0">
        <oddHeader>&amp;R&amp;"Arial,Fett"&amp;12SST</oddHeader>
        <oddFooter>&amp;L&amp;F / &amp;A&amp;C&amp;P / &amp;N&amp;R&amp;D</oddFooter>
      </headerFooter>
    </customSheetView>
  </customSheetViews>
  <phoneticPr fontId="0" type="noConversion"/>
  <conditionalFormatting sqref="F14">
    <cfRule type="cellIs" dxfId="1" priority="1" stopIfTrue="1" operator="equal">
      <formula>"ok"</formula>
    </cfRule>
    <cfRule type="cellIs" dxfId="0" priority="2" stopIfTrue="1" operator="equal">
      <formula>"Korrektur"</formula>
    </cfRule>
  </conditionalFormatting>
  <hyperlinks>
    <hyperlink ref="A1" location="list_of_sheets!A1" display="list_of_sheets!A1" xr:uid="{00000000-0004-0000-1B00-000000000000}"/>
  </hyperlinks>
  <pageMargins left="0.47244094488188981" right="0.47244094488188981" top="0.59055118110236227" bottom="0.59055118110236227" header="0.35433070866141736" footer="0.35433070866141736"/>
  <pageSetup paperSize="9" scale="49" orientation="portrait" r:id="rId2"/>
  <headerFooter alignWithMargins="0">
    <oddHeader>&amp;R&amp;"Arial,Fett"&amp;12KVG-Solvenztest
Test de solvabilité LAMal</oddHeader>
    <oddFooter>&amp;L&amp;F / &amp;A&amp;C&amp;P /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800000"/>
    <pageSetUpPr fitToPage="1"/>
  </sheetPr>
  <dimension ref="A1:C43"/>
  <sheetViews>
    <sheetView workbookViewId="0"/>
  </sheetViews>
  <sheetFormatPr baseColWidth="10" defaultColWidth="11.42578125" defaultRowHeight="12.75" x14ac:dyDescent="0.2"/>
  <cols>
    <col min="1" max="1" width="11.42578125" customWidth="1"/>
    <col min="2" max="2" width="31.28515625" customWidth="1"/>
    <col min="3" max="3" width="71.42578125" bestFit="1" customWidth="1"/>
    <col min="4" max="4" width="11.42578125" customWidth="1"/>
  </cols>
  <sheetData>
    <row r="1" spans="1:3" ht="21" thickBot="1" x14ac:dyDescent="0.25">
      <c r="A1" s="266">
        <v>3</v>
      </c>
      <c r="B1" s="267" t="str">
        <f>Translation!B37</f>
        <v>Liste der Arbeitsblätter</v>
      </c>
      <c r="C1" s="268"/>
    </row>
    <row r="2" spans="1:3" x14ac:dyDescent="0.2">
      <c r="A2" s="178"/>
      <c r="B2" s="665"/>
    </row>
    <row r="3" spans="1:3" x14ac:dyDescent="0.2">
      <c r="A3" s="178"/>
      <c r="B3" s="665"/>
    </row>
    <row r="4" spans="1:3" x14ac:dyDescent="0.2">
      <c r="A4" s="405" t="s">
        <v>0</v>
      </c>
      <c r="B4" s="406" t="str">
        <f>Translation!B38</f>
        <v>Name des Blattes</v>
      </c>
      <c r="C4" s="275" t="str">
        <f>Translation!B39</f>
        <v>Titel</v>
      </c>
    </row>
    <row r="5" spans="1:3" ht="8.1" customHeight="1" x14ac:dyDescent="0.2">
      <c r="A5" s="46"/>
      <c r="B5" s="1"/>
      <c r="C5" s="13"/>
    </row>
    <row r="6" spans="1:3" x14ac:dyDescent="0.2">
      <c r="A6" s="2185">
        <v>1</v>
      </c>
      <c r="B6" s="118" t="s">
        <v>2</v>
      </c>
      <c r="C6" s="599" t="str">
        <f>Intro!$B$1</f>
        <v>Einleitung</v>
      </c>
    </row>
    <row r="7" spans="1:3" x14ac:dyDescent="0.2">
      <c r="A7" s="2185">
        <v>2</v>
      </c>
      <c r="B7" s="118" t="s">
        <v>23</v>
      </c>
      <c r="C7" s="599" t="str">
        <f>Update!$B$1</f>
        <v>Liste der Aktualisierungen</v>
      </c>
    </row>
    <row r="8" spans="1:3" x14ac:dyDescent="0.2">
      <c r="A8" s="2185">
        <v>3</v>
      </c>
      <c r="B8" s="118" t="s">
        <v>3</v>
      </c>
      <c r="C8" s="599" t="str">
        <f>list_of_sheets!$B$1</f>
        <v>Liste der Arbeitsblätter</v>
      </c>
    </row>
    <row r="9" spans="1:3" x14ac:dyDescent="0.2">
      <c r="A9" s="2185" t="s">
        <v>1175</v>
      </c>
      <c r="B9" s="656" t="s">
        <v>1721</v>
      </c>
      <c r="C9" s="599" t="str">
        <f>Translation!$B$1</f>
        <v>Übersetzungsdaten</v>
      </c>
    </row>
    <row r="10" spans="1:3" x14ac:dyDescent="0.2">
      <c r="A10" s="2185">
        <v>5</v>
      </c>
      <c r="B10" s="118" t="s">
        <v>112</v>
      </c>
      <c r="C10" s="599" t="str">
        <f>Inputparam!$B$1</f>
        <v>Parameter</v>
      </c>
    </row>
    <row r="11" spans="1:3" x14ac:dyDescent="0.2">
      <c r="A11" s="2185">
        <v>6</v>
      </c>
      <c r="B11" s="118" t="s">
        <v>358</v>
      </c>
      <c r="C11" s="666" t="str">
        <f>Fundamental_Data!B1</f>
        <v>Fundamentaldaten</v>
      </c>
    </row>
    <row r="12" spans="1:3" x14ac:dyDescent="0.2">
      <c r="A12" s="2186">
        <v>7</v>
      </c>
      <c r="B12" s="118" t="s">
        <v>338</v>
      </c>
      <c r="C12" s="666" t="str">
        <f>Marktnahe_Bilanz!$B$1</f>
        <v>Marktnahe Gliederung der Aktiven und Passiven</v>
      </c>
    </row>
    <row r="13" spans="1:3" x14ac:dyDescent="0.2">
      <c r="A13" s="2186">
        <v>8</v>
      </c>
      <c r="B13" s="118" t="s">
        <v>2479</v>
      </c>
      <c r="C13" s="599" t="str">
        <f>Vorhandene_Reserven!$B$1</f>
        <v xml:space="preserve">Berechnung der vorhandenen Reserven </v>
      </c>
    </row>
    <row r="14" spans="1:3" x14ac:dyDescent="0.2">
      <c r="A14" s="2187">
        <v>9</v>
      </c>
      <c r="B14" s="118" t="s">
        <v>499</v>
      </c>
      <c r="C14" s="599" t="str">
        <f>'Sensitivitaeten Delta_Market'!$B$1</f>
        <v>Delta-Sensitivitäten</v>
      </c>
    </row>
    <row r="15" spans="1:3" x14ac:dyDescent="0.2">
      <c r="A15" s="2187">
        <v>11</v>
      </c>
      <c r="B15" s="118" t="s">
        <v>139</v>
      </c>
      <c r="C15" s="599" t="str">
        <f>'Market_Risk (Delta Normal)'!$B$1</f>
        <v>Marktrisiko (Delta Normal)</v>
      </c>
    </row>
    <row r="16" spans="1:3" x14ac:dyDescent="0.2">
      <c r="A16" s="2184">
        <v>12</v>
      </c>
      <c r="B16" s="118" t="s">
        <v>4</v>
      </c>
      <c r="C16" s="599" t="str">
        <f>Szenarien_RiskFactors!$B$1</f>
        <v>Szenarien für Risikofaktoren</v>
      </c>
    </row>
    <row r="17" spans="1:3" x14ac:dyDescent="0.2">
      <c r="A17" s="2184" t="s">
        <v>1543</v>
      </c>
      <c r="B17" s="118" t="s">
        <v>1543</v>
      </c>
      <c r="C17" s="599" t="str">
        <f>'BAG 0'!B1</f>
        <v>Inputs für BAG-Szenarien</v>
      </c>
    </row>
    <row r="18" spans="1:3" x14ac:dyDescent="0.2">
      <c r="A18" s="2237" t="s">
        <v>2598</v>
      </c>
      <c r="B18" s="656" t="s">
        <v>2598</v>
      </c>
      <c r="C18" s="599" t="str">
        <f>BAG_Scenarios!B1</f>
        <v>BAG Szenarien</v>
      </c>
    </row>
    <row r="19" spans="1:3" x14ac:dyDescent="0.2">
      <c r="A19" s="2184">
        <v>13</v>
      </c>
      <c r="B19" s="656" t="s">
        <v>501</v>
      </c>
      <c r="C19" s="666" t="str">
        <f>Health_Scen_Aggregation!$B$1</f>
        <v>Aggregation der Szenarien</v>
      </c>
    </row>
    <row r="20" spans="1:3" x14ac:dyDescent="0.2">
      <c r="A20" s="2184">
        <v>14</v>
      </c>
      <c r="B20" s="118" t="s">
        <v>113</v>
      </c>
      <c r="C20" s="599" t="str">
        <f>Scenarios!$B$1</f>
        <v>Szenarien</v>
      </c>
    </row>
    <row r="21" spans="1:3" x14ac:dyDescent="0.2">
      <c r="A21" s="2188">
        <v>15</v>
      </c>
      <c r="B21" s="118" t="s">
        <v>37</v>
      </c>
      <c r="C21" s="599" t="str">
        <f>Credit_Risk!$B$1</f>
        <v>Kreditrisiko</v>
      </c>
    </row>
    <row r="22" spans="1:3" x14ac:dyDescent="0.2">
      <c r="A22" s="2188" t="s">
        <v>1725</v>
      </c>
      <c r="B22" s="656" t="s">
        <v>1960</v>
      </c>
      <c r="C22" s="666" t="str">
        <f>'Input Basel III'!$B$1</f>
        <v>Input Basel III</v>
      </c>
    </row>
    <row r="23" spans="1:3" x14ac:dyDescent="0.2">
      <c r="A23" s="2189">
        <v>36</v>
      </c>
      <c r="B23" s="656" t="s">
        <v>1875</v>
      </c>
      <c r="C23" s="599" t="str">
        <f>Risk_Compensation!B1</f>
        <v xml:space="preserve">Risikoausgleich </v>
      </c>
    </row>
    <row r="24" spans="1:3" x14ac:dyDescent="0.2">
      <c r="A24" s="2189" t="s">
        <v>2342</v>
      </c>
      <c r="B24" s="656" t="s">
        <v>2418</v>
      </c>
      <c r="C24" s="599" t="str">
        <f>Risk_Compensation_calc!B1</f>
        <v>Parametrisierung Risikoausgleich</v>
      </c>
    </row>
    <row r="25" spans="1:3" x14ac:dyDescent="0.2">
      <c r="A25" s="2190">
        <v>37</v>
      </c>
      <c r="B25" s="118" t="s">
        <v>38</v>
      </c>
      <c r="C25" s="599" t="str">
        <f>HE_Insurance_Risk!$B$1</f>
        <v>Versicherungsrisiko</v>
      </c>
    </row>
    <row r="26" spans="1:3" x14ac:dyDescent="0.2">
      <c r="A26" s="2187">
        <v>38</v>
      </c>
      <c r="B26" s="118" t="s">
        <v>39</v>
      </c>
      <c r="C26" s="599" t="str">
        <f>HE_ExpctdRes!$B$1</f>
        <v>Erwartete Finanzmarktrendite</v>
      </c>
    </row>
    <row r="27" spans="1:3" x14ac:dyDescent="0.2">
      <c r="A27" s="2190">
        <v>39</v>
      </c>
      <c r="B27" s="118" t="s">
        <v>40</v>
      </c>
      <c r="C27" s="599" t="str">
        <f>HE_MindesthöheReserven!$B$1</f>
        <v>Berechnung der Mindesthöhe der Reserven</v>
      </c>
    </row>
    <row r="28" spans="1:3" hidden="1" x14ac:dyDescent="0.2">
      <c r="A28" s="2191">
        <v>40</v>
      </c>
      <c r="B28" s="118" t="s">
        <v>500</v>
      </c>
      <c r="C28" s="599" t="s">
        <v>496</v>
      </c>
    </row>
    <row r="29" spans="1:3" x14ac:dyDescent="0.2">
      <c r="A29" s="2185">
        <v>41</v>
      </c>
      <c r="B29" s="118" t="s">
        <v>245</v>
      </c>
      <c r="C29" s="599" t="str">
        <f>'Anleitung_Statut-Marktnah'!$B$1</f>
        <v>Anleitung für die Tabellenblätter 42 und 43</v>
      </c>
    </row>
    <row r="30" spans="1:3" x14ac:dyDescent="0.2">
      <c r="A30" s="2186">
        <v>42</v>
      </c>
      <c r="B30" s="118" t="s">
        <v>36</v>
      </c>
      <c r="C30" s="599" t="str">
        <f>'BewDifferenzen_Statut-Marktnah'!$B$1</f>
        <v>Differenzen zwischen statutarischer und marktnaher Bewertung</v>
      </c>
    </row>
    <row r="31" spans="1:3" x14ac:dyDescent="0.2">
      <c r="A31" s="2192">
        <v>43</v>
      </c>
      <c r="B31" s="1013" t="s">
        <v>2480</v>
      </c>
      <c r="C31" s="1014" t="str">
        <f>Gliederung_VorRes_Stat_Marktnah!$B$1</f>
        <v>Aufgliederung der vorhandenen Reserven</v>
      </c>
    </row>
    <row r="32" spans="1:3" x14ac:dyDescent="0.2">
      <c r="A32" s="672"/>
      <c r="B32" s="1"/>
      <c r="C32" s="1"/>
    </row>
    <row r="33" spans="1:3" x14ac:dyDescent="0.2">
      <c r="A33" s="324"/>
      <c r="B33" s="1"/>
      <c r="C33" s="1"/>
    </row>
    <row r="34" spans="1:3" x14ac:dyDescent="0.2">
      <c r="A34" s="324"/>
      <c r="B34" s="1"/>
      <c r="C34" s="1"/>
    </row>
    <row r="35" spans="1:3" x14ac:dyDescent="0.2">
      <c r="A35" s="672"/>
      <c r="B35" s="1"/>
      <c r="C35" s="1"/>
    </row>
    <row r="36" spans="1:3" s="9" customFormat="1" x14ac:dyDescent="0.2">
      <c r="A36" s="25"/>
      <c r="B36" s="1"/>
      <c r="C36" s="1"/>
    </row>
    <row r="37" spans="1:3" x14ac:dyDescent="0.2">
      <c r="A37" s="27"/>
    </row>
    <row r="38" spans="1:3" x14ac:dyDescent="0.2">
      <c r="A38" s="27"/>
    </row>
    <row r="39" spans="1:3" x14ac:dyDescent="0.2">
      <c r="A39" s="27"/>
    </row>
    <row r="40" spans="1:3" x14ac:dyDescent="0.2">
      <c r="A40" s="27"/>
    </row>
    <row r="41" spans="1:3" x14ac:dyDescent="0.2">
      <c r="A41" s="27"/>
    </row>
    <row r="42" spans="1:3" x14ac:dyDescent="0.2">
      <c r="A42" s="27"/>
    </row>
    <row r="43" spans="1:3" x14ac:dyDescent="0.2">
      <c r="A43" s="27"/>
    </row>
  </sheetData>
  <customSheetViews>
    <customSheetView guid="{F15DEFD8-B0F4-4CC3-8896-92BF7E7815B1}" scale="75" showPageBreaks="1" showGridLines="0" fitToPage="1" printArea="1" hiddenRows="1">
      <selection activeCell="B73" sqref="B73"/>
      <pageMargins left="0.47244094488188981" right="0.47244094488188981" top="0.59055118110236227" bottom="0.59055118110236227" header="0.35433070866141736" footer="0.35433070866141736"/>
      <pageSetup paperSize="9" scale="95" orientation="landscape" r:id="rId1"/>
      <headerFooter alignWithMargins="0">
        <oddHeader>&amp;R&amp;"Arial,Fett"&amp;12SST</oddHeader>
        <oddFooter>&amp;L&amp;F / &amp;A&amp;C&amp;P / &amp;N&amp;R&amp;D</oddFooter>
      </headerFooter>
    </customSheetView>
  </customSheetViews>
  <phoneticPr fontId="11" type="noConversion"/>
  <hyperlinks>
    <hyperlink ref="A6" location="Intro!A1" display="Intro!A1" xr:uid="{00000000-0004-0000-0200-000000000000}"/>
    <hyperlink ref="A7" location="Update!A1" display="Update!A1" xr:uid="{00000000-0004-0000-0200-000001000000}"/>
    <hyperlink ref="A8" location="list_of_sheets!A1" display="list_of_sheets!A1" xr:uid="{00000000-0004-0000-0200-000002000000}"/>
    <hyperlink ref="A9" location="Translation!A1" display="4b" xr:uid="{00000000-0004-0000-0200-000003000000}"/>
    <hyperlink ref="A10" location="Inputparam!A1" display="Inputparam!A1" xr:uid="{00000000-0004-0000-0200-000004000000}"/>
    <hyperlink ref="A11" location="Fundamental_Data!A1" display="Fundamental_Data!A1" xr:uid="{00000000-0004-0000-0200-000005000000}"/>
    <hyperlink ref="A12" location="Marktnahe_Bilanz!A1" display="Marktnahe_Bilanz!A1" xr:uid="{00000000-0004-0000-0200-000006000000}"/>
    <hyperlink ref="A13" location="Vorhandene_Reserven!A1" display="Vorhandene_Reserven!A1" xr:uid="{00000000-0004-0000-0200-000007000000}"/>
    <hyperlink ref="A14" location="'Sensitivitaeten Delta_Market'!A1" display="'Sensitivitaeten Delta_Market'!A1" xr:uid="{00000000-0004-0000-0200-000008000000}"/>
    <hyperlink ref="A15" location="'Market_Risk (Delta Normal)'!A1" display="'Market_Risk (Delta Normal)'!A1" xr:uid="{00000000-0004-0000-0200-000009000000}"/>
    <hyperlink ref="A16" location="Szenarien_RiskFactors!A1" display="Szenarien_RiskFactors!A1" xr:uid="{00000000-0004-0000-0200-00000A000000}"/>
    <hyperlink ref="A17" location="'BAG 0'!A1" display="BAG 0" xr:uid="{00000000-0004-0000-0200-00000B000000}"/>
    <hyperlink ref="A18" location="BAG_Scenarios!A1" display="BAG Scenarios" xr:uid="{00000000-0004-0000-0200-00000C000000}"/>
    <hyperlink ref="A19" location="Health_Scen_Aggregation!A1" display="Health_Scen_Aggregation!A1" xr:uid="{00000000-0004-0000-0200-00000F000000}"/>
    <hyperlink ref="A20" location="Scenarios!A1" display="Scenarios!A1" xr:uid="{00000000-0004-0000-0200-000010000000}"/>
    <hyperlink ref="A21" location="Credit_Risk!A1" display="Credit_Risk!A1" xr:uid="{00000000-0004-0000-0200-000011000000}"/>
    <hyperlink ref="A22" location="'Input Basel III'!A1" display="15b" xr:uid="{00000000-0004-0000-0200-000012000000}"/>
    <hyperlink ref="A23" location="Risk_Compensation!A1" display="Risk_Compensation!A1" xr:uid="{00000000-0004-0000-0200-000014000000}"/>
    <hyperlink ref="A24" location="Risk_Compensation_calc!A1" display="36a" xr:uid="{00000000-0004-0000-0200-000015000000}"/>
    <hyperlink ref="A25" location="HE_Insurance_Risk!A1" display="HE_Insurance_Risk!A1" xr:uid="{00000000-0004-0000-0200-000016000000}"/>
    <hyperlink ref="A26" location="HE_ExpctdRes!A1" display="HE_ExpctdRes!A1" xr:uid="{00000000-0004-0000-0200-000017000000}"/>
    <hyperlink ref="A27" location="HE_MindesthöheReserven!A1" display="HE_MindesthöheReserven!A1" xr:uid="{00000000-0004-0000-0200-000018000000}"/>
    <hyperlink ref="A29" location="'Anleitung_Statut-Marktnah'!A1" display="'Anleitung_Statut-Marktnah'!A1" xr:uid="{00000000-0004-0000-0200-000019000000}"/>
    <hyperlink ref="A30" location="'BewDifferenzen_Statut-Marktnah'!A1" display="'BewDifferenzen_Statut-Marktnah'!A1" xr:uid="{00000000-0004-0000-0200-00001A000000}"/>
    <hyperlink ref="A31" location="Gliederung_VorRes_Stat_Marktnah!A1" display="Gliederung_VorRes_Stat_Marktnah!A1" xr:uid="{00000000-0004-0000-0200-00001B000000}"/>
  </hyperlinks>
  <pageMargins left="0.47244094488188981" right="0.47244094488188981" top="0.75" bottom="0.59055118110236227" header="0.35433070866141736" footer="0.35433070866141736"/>
  <pageSetup paperSize="9" scale="90" orientation="landscape" r:id="rId2"/>
  <headerFooter alignWithMargins="0">
    <oddHeader>&amp;R&amp;"Arial,Fett"&amp;12KVG-Solvenztest
Test de solvabilité LAMal</oddHeader>
    <oddFooter>&amp;L&amp;F / &amp;A&amp;C&amp;P /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00000"/>
    <pageSetUpPr fitToPage="1"/>
  </sheetPr>
  <dimension ref="A1:N987"/>
  <sheetViews>
    <sheetView zoomScale="85" zoomScaleNormal="85" workbookViewId="0"/>
  </sheetViews>
  <sheetFormatPr baseColWidth="10" defaultColWidth="11.42578125" defaultRowHeight="12.75" x14ac:dyDescent="0.2"/>
  <cols>
    <col min="1" max="1" width="14.5703125" style="635" customWidth="1"/>
    <col min="2" max="2" width="60" style="982" customWidth="1"/>
    <col min="3" max="3" width="23.28515625" style="982" customWidth="1"/>
    <col min="4" max="4" width="25.28515625" style="982" customWidth="1"/>
    <col min="5" max="5" width="27.42578125" style="982" customWidth="1"/>
  </cols>
  <sheetData>
    <row r="1" spans="1:5" s="32" customFormat="1" ht="20.25" customHeight="1" thickBot="1" x14ac:dyDescent="0.25">
      <c r="A1" s="2193" t="s">
        <v>1175</v>
      </c>
      <c r="B1" s="996" t="str">
        <f>B40</f>
        <v>Übersetzungsdaten</v>
      </c>
      <c r="C1" s="653"/>
      <c r="D1" s="653"/>
      <c r="E1" s="653"/>
    </row>
    <row r="3" spans="1:5" x14ac:dyDescent="0.2">
      <c r="A3" s="994" t="s">
        <v>315</v>
      </c>
      <c r="B3" s="983" t="str">
        <f>B41</f>
        <v>Sprache</v>
      </c>
      <c r="D3" s="983" t="str">
        <f>B42</f>
        <v>gewählte Sprache</v>
      </c>
      <c r="E3" s="1200">
        <v>1</v>
      </c>
    </row>
    <row r="4" spans="1:5" x14ac:dyDescent="0.2">
      <c r="A4" s="994">
        <v>1</v>
      </c>
      <c r="B4" s="984" t="s">
        <v>1174</v>
      </c>
    </row>
    <row r="5" spans="1:5" x14ac:dyDescent="0.2">
      <c r="A5" s="994">
        <v>2</v>
      </c>
      <c r="B5" s="984" t="s">
        <v>1173</v>
      </c>
    </row>
    <row r="6" spans="1:5" x14ac:dyDescent="0.2">
      <c r="A6" s="994">
        <v>3</v>
      </c>
      <c r="B6" s="984" t="s">
        <v>1172</v>
      </c>
    </row>
    <row r="7" spans="1:5" x14ac:dyDescent="0.2">
      <c r="A7" s="995"/>
    </row>
    <row r="10" spans="1:5" x14ac:dyDescent="0.2">
      <c r="A10" s="983" t="str">
        <f>B44</f>
        <v>Arbeits-blatt</v>
      </c>
      <c r="B10" s="983" t="str">
        <f>B43</f>
        <v>gewählte Übersetzung</v>
      </c>
      <c r="C10" s="983" t="str">
        <f>B4</f>
        <v>deutsch</v>
      </c>
      <c r="D10" s="983" t="str">
        <f>B5</f>
        <v>français</v>
      </c>
      <c r="E10" s="983" t="str">
        <f>B6</f>
        <v>english</v>
      </c>
    </row>
    <row r="11" spans="1:5" x14ac:dyDescent="0.2">
      <c r="A11" s="2346">
        <v>1</v>
      </c>
      <c r="B11" s="983" t="str">
        <f t="shared" ref="B11:B75" si="0">IF(VLOOKUP(A11,A11:E11,language+2)="",VLOOKUP(A11,A11:E11,3),VLOOKUP(A11,A11:E11,language+2))</f>
        <v>Einleitung</v>
      </c>
      <c r="C11" s="936" t="s">
        <v>1171</v>
      </c>
      <c r="D11" s="936" t="s">
        <v>52</v>
      </c>
      <c r="E11" s="936" t="s">
        <v>52</v>
      </c>
    </row>
    <row r="12" spans="1:5" ht="25.5" x14ac:dyDescent="0.2">
      <c r="A12" s="2346">
        <v>1</v>
      </c>
      <c r="B12" s="983" t="str">
        <f>IF(VLOOKUP(A12,A12:E12,language+2)="",VLOOKUP(A12,A12:E12,3),VLOOKUP(A12,A12:E12,language+2))</f>
        <v>Template für den KVG-Solvenztest</v>
      </c>
      <c r="C12" s="936" t="s">
        <v>1185</v>
      </c>
      <c r="D12" s="936" t="s">
        <v>1170</v>
      </c>
      <c r="E12" s="936" t="s">
        <v>1453</v>
      </c>
    </row>
    <row r="13" spans="1:5" ht="25.5" x14ac:dyDescent="0.2">
      <c r="A13" s="2346">
        <v>1</v>
      </c>
      <c r="B13" s="983" t="str">
        <f>IF(VLOOKUP(A13,A13:E13,language+2)="",VLOOKUP(A13,A13:E13,3),VLOOKUP(A13,A13:E13,language+2))</f>
        <v>Version vom 17. Oktober 2024</v>
      </c>
      <c r="C13" s="936" t="s">
        <v>2692</v>
      </c>
      <c r="D13" s="936" t="s">
        <v>2693</v>
      </c>
      <c r="E13" s="936" t="s">
        <v>2694</v>
      </c>
    </row>
    <row r="14" spans="1:5" ht="102" x14ac:dyDescent="0.2">
      <c r="A14" s="2346">
        <v>1</v>
      </c>
      <c r="B14" s="983" t="str">
        <f t="shared" si="0"/>
        <v>Diese Datei entspricht dem elektronischen Formular gemäss Art. 8 der Verordnung des EDI über die Reserven in der sozialen Krankenversicherung (ResV-EDI, 832.102.15).</v>
      </c>
      <c r="C14" s="941" t="s">
        <v>2695</v>
      </c>
      <c r="D14" s="941" t="s">
        <v>2696</v>
      </c>
      <c r="E14" s="941" t="s">
        <v>2697</v>
      </c>
    </row>
    <row r="15" spans="1:5" ht="51" x14ac:dyDescent="0.2">
      <c r="A15" s="2346">
        <v>1</v>
      </c>
      <c r="B15" s="983" t="str">
        <f t="shared" si="0"/>
        <v>Die Mindesthöhe der Reserven setzt sich zusammen aus folgender Aggregation:</v>
      </c>
      <c r="C15" s="941" t="s">
        <v>1464</v>
      </c>
      <c r="D15" s="941" t="s">
        <v>1466</v>
      </c>
      <c r="E15" s="941" t="s">
        <v>1467</v>
      </c>
    </row>
    <row r="16" spans="1:5" ht="51" x14ac:dyDescent="0.2">
      <c r="A16" s="2346">
        <v>1</v>
      </c>
      <c r="B16" s="983" t="str">
        <f t="shared" si="0"/>
        <v>Expected Shortfall des verteilungsbasierten Modells inkl. Szenarien</v>
      </c>
      <c r="C16" s="941" t="s">
        <v>1469</v>
      </c>
      <c r="D16" s="941" t="s">
        <v>1465</v>
      </c>
      <c r="E16" s="941" t="s">
        <v>1474</v>
      </c>
    </row>
    <row r="17" spans="1:5" ht="38.25" x14ac:dyDescent="0.2">
      <c r="A17" s="2346">
        <v>1</v>
      </c>
      <c r="B17" s="983" t="str">
        <f t="shared" si="0"/>
        <v xml:space="preserve">  - für die versicherungstechnischen Risiken</v>
      </c>
      <c r="C17" s="941" t="s">
        <v>1471</v>
      </c>
      <c r="D17" s="941" t="s">
        <v>1472</v>
      </c>
      <c r="E17" s="941" t="s">
        <v>1475</v>
      </c>
    </row>
    <row r="18" spans="1:5" ht="25.5" x14ac:dyDescent="0.2">
      <c r="A18" s="2346">
        <v>1</v>
      </c>
      <c r="B18" s="983" t="str">
        <f t="shared" si="0"/>
        <v xml:space="preserve">  - für die Marktrisiken</v>
      </c>
      <c r="C18" s="941" t="s">
        <v>1470</v>
      </c>
      <c r="D18" s="941" t="s">
        <v>1473</v>
      </c>
      <c r="E18" s="941" t="s">
        <v>1476</v>
      </c>
    </row>
    <row r="19" spans="1:5" ht="25.5" x14ac:dyDescent="0.2">
      <c r="A19" s="2346">
        <v>1</v>
      </c>
      <c r="B19" s="983" t="str">
        <f t="shared" si="0"/>
        <v>Kreditrisiko (festgelegt im Basel-III-Ansatz)</v>
      </c>
      <c r="C19" s="941" t="s">
        <v>2086</v>
      </c>
      <c r="D19" s="941" t="s">
        <v>2087</v>
      </c>
      <c r="E19" s="941" t="s">
        <v>2088</v>
      </c>
    </row>
    <row r="20" spans="1:5" ht="51" x14ac:dyDescent="0.2">
      <c r="A20" s="2346">
        <v>1</v>
      </c>
      <c r="B20" s="983" t="str">
        <f t="shared" si="0"/>
        <v>Die folgenden Farben werden den verschiedenen Bereichen des Solvenztests zugeordnet:</v>
      </c>
      <c r="C20" s="941" t="s">
        <v>1722</v>
      </c>
      <c r="D20" s="941" t="s">
        <v>1723</v>
      </c>
      <c r="E20" s="941" t="s">
        <v>1724</v>
      </c>
    </row>
    <row r="21" spans="1:5" x14ac:dyDescent="0.2">
      <c r="A21" s="2346">
        <v>1</v>
      </c>
      <c r="B21" s="983" t="str">
        <f t="shared" si="0"/>
        <v>Allgemeine Arbeitsblätter</v>
      </c>
      <c r="C21" s="941" t="s">
        <v>1759</v>
      </c>
      <c r="D21" s="941" t="s">
        <v>1760</v>
      </c>
      <c r="E21" s="941" t="s">
        <v>1761</v>
      </c>
    </row>
    <row r="22" spans="1:5" x14ac:dyDescent="0.2">
      <c r="A22" s="2346">
        <v>1</v>
      </c>
      <c r="B22" s="983" t="str">
        <f t="shared" si="0"/>
        <v>Vorhandene Reserven</v>
      </c>
      <c r="C22" s="941" t="s">
        <v>1494</v>
      </c>
      <c r="D22" s="941" t="s">
        <v>886</v>
      </c>
      <c r="E22" s="941" t="s">
        <v>1224</v>
      </c>
    </row>
    <row r="23" spans="1:5" x14ac:dyDescent="0.2">
      <c r="A23" s="2346">
        <v>1</v>
      </c>
      <c r="B23" s="983" t="str">
        <f t="shared" si="0"/>
        <v>Versicherungsrisiko</v>
      </c>
      <c r="C23" s="941" t="s">
        <v>874</v>
      </c>
      <c r="D23" s="941" t="s">
        <v>1609</v>
      </c>
      <c r="E23" s="941" t="s">
        <v>106</v>
      </c>
    </row>
    <row r="24" spans="1:5" x14ac:dyDescent="0.2">
      <c r="A24" s="2346">
        <v>1</v>
      </c>
      <c r="B24" s="983" t="str">
        <f t="shared" si="0"/>
        <v>Marktrisiko</v>
      </c>
      <c r="C24" s="941" t="s">
        <v>339</v>
      </c>
      <c r="D24" s="941" t="s">
        <v>419</v>
      </c>
      <c r="E24" s="941" t="s">
        <v>83</v>
      </c>
    </row>
    <row r="25" spans="1:5" x14ac:dyDescent="0.2">
      <c r="A25" s="2346">
        <v>1</v>
      </c>
      <c r="B25" s="983" t="str">
        <f t="shared" si="0"/>
        <v>Szenarien</v>
      </c>
      <c r="C25" s="941" t="s">
        <v>84</v>
      </c>
      <c r="D25" s="941" t="s">
        <v>476</v>
      </c>
      <c r="E25" s="941" t="s">
        <v>113</v>
      </c>
    </row>
    <row r="26" spans="1:5" x14ac:dyDescent="0.2">
      <c r="A26" s="2346">
        <v>1</v>
      </c>
      <c r="B26" s="983" t="str">
        <f>IF(VLOOKUP(A26,A26:E26,language+2)="",VLOOKUP(A26,A26:E26,3),VLOOKUP(A26,A26:E26,language+2))</f>
        <v>Kreditrisiko</v>
      </c>
      <c r="C26" s="941" t="s">
        <v>81</v>
      </c>
      <c r="D26" s="941" t="s">
        <v>420</v>
      </c>
      <c r="E26" s="941" t="s">
        <v>108</v>
      </c>
    </row>
    <row r="27" spans="1:5" x14ac:dyDescent="0.2">
      <c r="A27" s="2346">
        <v>1</v>
      </c>
      <c r="B27" s="983" t="str">
        <f>IF(VLOOKUP(A27,A27:E27,language+2)="",VLOOKUP(A27,A27:E27,3),VLOOKUP(A27,A27:E27,language+2))</f>
        <v>Risikoausgleich</v>
      </c>
      <c r="C27" s="941" t="s">
        <v>1872</v>
      </c>
      <c r="D27" s="941" t="s">
        <v>1874</v>
      </c>
      <c r="E27" s="941" t="s">
        <v>1873</v>
      </c>
    </row>
    <row r="28" spans="1:5" ht="38.25" x14ac:dyDescent="0.2">
      <c r="A28" s="2346">
        <v>1</v>
      </c>
      <c r="B28" s="983" t="str">
        <f t="shared" si="0"/>
        <v>Input-Felder sind mit folgenden Farben gekennzeichnet:</v>
      </c>
      <c r="C28" s="941" t="s">
        <v>1169</v>
      </c>
      <c r="D28" s="941" t="s">
        <v>1168</v>
      </c>
      <c r="E28" s="941" t="s">
        <v>49</v>
      </c>
    </row>
    <row r="29" spans="1:5" x14ac:dyDescent="0.2">
      <c r="A29" s="2346">
        <v>1</v>
      </c>
      <c r="B29" s="983" t="str">
        <f t="shared" si="0"/>
        <v>Input</v>
      </c>
      <c r="C29" s="941" t="s">
        <v>53</v>
      </c>
      <c r="D29" s="941" t="s">
        <v>53</v>
      </c>
      <c r="E29" s="941" t="s">
        <v>53</v>
      </c>
    </row>
    <row r="30" spans="1:5" x14ac:dyDescent="0.2">
      <c r="A30" s="2346">
        <v>1</v>
      </c>
      <c r="B30" s="983" t="str">
        <f t="shared" si="0"/>
        <v>Parameter-Input BAG</v>
      </c>
      <c r="C30" s="941" t="s">
        <v>1454</v>
      </c>
      <c r="D30" s="941" t="s">
        <v>1455</v>
      </c>
      <c r="E30" s="941" t="s">
        <v>1456</v>
      </c>
    </row>
    <row r="31" spans="1:5" ht="25.5" x14ac:dyDescent="0.2">
      <c r="A31" s="2346">
        <v>1</v>
      </c>
      <c r="B31" s="983" t="str">
        <f t="shared" si="0"/>
        <v>(dürfen nicht geändert werden)</v>
      </c>
      <c r="C31" s="941" t="s">
        <v>1462</v>
      </c>
      <c r="D31" s="941" t="s">
        <v>1463</v>
      </c>
      <c r="E31" s="941" t="s">
        <v>1461</v>
      </c>
    </row>
    <row r="32" spans="1:5" x14ac:dyDescent="0.2">
      <c r="A32" s="2346">
        <v>1</v>
      </c>
      <c r="B32" s="983" t="str">
        <f t="shared" si="0"/>
        <v>Vorzeichenvereinbarung:</v>
      </c>
      <c r="C32" s="941" t="s">
        <v>1459</v>
      </c>
      <c r="D32" s="941" t="s">
        <v>1167</v>
      </c>
      <c r="E32" s="941" t="s">
        <v>50</v>
      </c>
    </row>
    <row r="33" spans="1:5" ht="51" x14ac:dyDescent="0.2">
      <c r="A33" s="2346">
        <v>1</v>
      </c>
      <c r="B33" s="983" t="str">
        <f t="shared" si="0"/>
        <v>Gewinne sind positive, Verluste negative Grössen.</v>
      </c>
      <c r="C33" s="941" t="s">
        <v>1468</v>
      </c>
      <c r="D33" s="941" t="s">
        <v>1166</v>
      </c>
      <c r="E33" s="941" t="s">
        <v>51</v>
      </c>
    </row>
    <row r="34" spans="1:5" ht="51" x14ac:dyDescent="0.2">
      <c r="A34" s="2346">
        <v>1</v>
      </c>
      <c r="B34" s="983" t="str">
        <f t="shared" si="0"/>
        <v>Daher sind VaR (Value at Risk) und ES (Expected Shortfall) negativ.</v>
      </c>
      <c r="C34" s="941" t="s">
        <v>1457</v>
      </c>
      <c r="D34" s="941" t="s">
        <v>1630</v>
      </c>
      <c r="E34" s="941" t="s">
        <v>1458</v>
      </c>
    </row>
    <row r="35" spans="1:5" ht="38.25" x14ac:dyDescent="0.2">
      <c r="A35" s="2346">
        <v>1</v>
      </c>
      <c r="B35" s="983" t="str">
        <f t="shared" si="0"/>
        <v>Die Mindesthöhe der Reserven ist definiert als -ES.</v>
      </c>
      <c r="C35" s="941" t="s">
        <v>1460</v>
      </c>
      <c r="D35" s="941" t="s">
        <v>1626</v>
      </c>
      <c r="E35" s="941" t="s">
        <v>1186</v>
      </c>
    </row>
    <row r="36" spans="1:5" x14ac:dyDescent="0.2">
      <c r="A36" s="2346">
        <v>2</v>
      </c>
      <c r="B36" s="983" t="str">
        <f t="shared" si="0"/>
        <v>Liste der Aktualisierungen</v>
      </c>
      <c r="C36" s="941" t="s">
        <v>1165</v>
      </c>
      <c r="D36" s="941" t="s">
        <v>1164</v>
      </c>
      <c r="E36" s="941" t="s">
        <v>25</v>
      </c>
    </row>
    <row r="37" spans="1:5" x14ac:dyDescent="0.2">
      <c r="A37" s="2346">
        <v>3</v>
      </c>
      <c r="B37" s="983" t="str">
        <f t="shared" si="0"/>
        <v>Liste der Arbeitsblätter</v>
      </c>
      <c r="C37" s="941" t="s">
        <v>1163</v>
      </c>
      <c r="D37" s="941" t="s">
        <v>1162</v>
      </c>
      <c r="E37" s="941" t="s">
        <v>29</v>
      </c>
    </row>
    <row r="38" spans="1:5" x14ac:dyDescent="0.2">
      <c r="A38" s="2346">
        <v>3</v>
      </c>
      <c r="B38" s="983" t="str">
        <f t="shared" si="0"/>
        <v>Name des Blattes</v>
      </c>
      <c r="C38" s="941" t="s">
        <v>1187</v>
      </c>
      <c r="D38" s="941" t="s">
        <v>1161</v>
      </c>
      <c r="E38" s="941" t="s">
        <v>27</v>
      </c>
    </row>
    <row r="39" spans="1:5" x14ac:dyDescent="0.2">
      <c r="A39" s="2346">
        <v>3</v>
      </c>
      <c r="B39" s="983" t="str">
        <f t="shared" si="0"/>
        <v>Titel</v>
      </c>
      <c r="C39" s="941" t="s">
        <v>1</v>
      </c>
      <c r="D39" s="941" t="s">
        <v>1160</v>
      </c>
      <c r="E39" s="941" t="s">
        <v>1188</v>
      </c>
    </row>
    <row r="40" spans="1:5" x14ac:dyDescent="0.2">
      <c r="A40" s="2346" t="s">
        <v>1175</v>
      </c>
      <c r="B40" s="983" t="str">
        <f t="shared" si="0"/>
        <v>Übersetzungsdaten</v>
      </c>
      <c r="C40" s="941" t="s">
        <v>1728</v>
      </c>
      <c r="D40" s="941" t="s">
        <v>1729</v>
      </c>
      <c r="E40" s="941" t="s">
        <v>1727</v>
      </c>
    </row>
    <row r="41" spans="1:5" x14ac:dyDescent="0.2">
      <c r="A41" s="2346" t="s">
        <v>1175</v>
      </c>
      <c r="B41" s="983" t="str">
        <f t="shared" si="0"/>
        <v>Sprache</v>
      </c>
      <c r="C41" s="941" t="s">
        <v>1730</v>
      </c>
      <c r="D41" s="941" t="s">
        <v>1733</v>
      </c>
      <c r="E41" s="941" t="s">
        <v>1180</v>
      </c>
    </row>
    <row r="42" spans="1:5" x14ac:dyDescent="0.2">
      <c r="A42" s="2346" t="s">
        <v>1175</v>
      </c>
      <c r="B42" s="983" t="str">
        <f t="shared" si="0"/>
        <v>gewählte Sprache</v>
      </c>
      <c r="C42" s="941" t="s">
        <v>1731</v>
      </c>
      <c r="D42" s="941" t="s">
        <v>1732</v>
      </c>
      <c r="E42" s="941" t="s">
        <v>1181</v>
      </c>
    </row>
    <row r="43" spans="1:5" x14ac:dyDescent="0.2">
      <c r="A43" s="2346" t="s">
        <v>1175</v>
      </c>
      <c r="B43" s="983" t="str">
        <f t="shared" si="0"/>
        <v>gewählte Übersetzung</v>
      </c>
      <c r="C43" s="941" t="s">
        <v>1734</v>
      </c>
      <c r="D43" s="941" t="s">
        <v>1735</v>
      </c>
      <c r="E43" s="941" t="s">
        <v>1711</v>
      </c>
    </row>
    <row r="44" spans="1:5" x14ac:dyDescent="0.2">
      <c r="A44" s="2346" t="s">
        <v>1175</v>
      </c>
      <c r="B44" s="983" t="str">
        <f t="shared" si="0"/>
        <v>Arbeits-blatt</v>
      </c>
      <c r="C44" s="941" t="s">
        <v>1737</v>
      </c>
      <c r="D44" s="941" t="s">
        <v>1736</v>
      </c>
      <c r="E44" s="941" t="s">
        <v>1738</v>
      </c>
    </row>
    <row r="45" spans="1:5" x14ac:dyDescent="0.2">
      <c r="A45" s="2346">
        <v>5</v>
      </c>
      <c r="B45" s="983" t="str">
        <f t="shared" si="0"/>
        <v>Parameter</v>
      </c>
      <c r="C45" s="941" t="s">
        <v>66</v>
      </c>
      <c r="D45" s="941" t="s">
        <v>1124</v>
      </c>
      <c r="E45" s="941" t="s">
        <v>43</v>
      </c>
    </row>
    <row r="46" spans="1:5" x14ac:dyDescent="0.2">
      <c r="A46" s="2346">
        <v>5</v>
      </c>
      <c r="B46" s="983" t="str">
        <f t="shared" si="0"/>
        <v>Stichtag</v>
      </c>
      <c r="C46" s="941" t="s">
        <v>1159</v>
      </c>
      <c r="D46" s="941" t="s">
        <v>1158</v>
      </c>
      <c r="E46" s="941" t="s">
        <v>361</v>
      </c>
    </row>
    <row r="47" spans="1:5" x14ac:dyDescent="0.2">
      <c r="A47" s="2346">
        <v>5</v>
      </c>
      <c r="B47" s="983" t="str">
        <f t="shared" si="0"/>
        <v>Name des Versicherers</v>
      </c>
      <c r="C47" s="941" t="s">
        <v>1157</v>
      </c>
      <c r="D47" s="941" t="s">
        <v>1156</v>
      </c>
      <c r="E47" s="941" t="s">
        <v>1155</v>
      </c>
    </row>
    <row r="48" spans="1:5" x14ac:dyDescent="0.2">
      <c r="A48" s="2346">
        <v>5</v>
      </c>
      <c r="B48" s="983" t="str">
        <f t="shared" si="0"/>
        <v>BAG-Nummer:</v>
      </c>
      <c r="C48" s="941" t="s">
        <v>750</v>
      </c>
      <c r="D48" s="941" t="s">
        <v>1154</v>
      </c>
      <c r="E48" s="941" t="s">
        <v>1667</v>
      </c>
    </row>
    <row r="49" spans="1:5" x14ac:dyDescent="0.2">
      <c r="A49" s="2346">
        <v>5</v>
      </c>
      <c r="B49" s="983" t="str">
        <f t="shared" si="0"/>
        <v>Name des Versicherers:</v>
      </c>
      <c r="C49" s="941" t="s">
        <v>751</v>
      </c>
      <c r="D49" s="941" t="s">
        <v>1153</v>
      </c>
      <c r="E49" s="941" t="s">
        <v>1477</v>
      </c>
    </row>
    <row r="50" spans="1:5" x14ac:dyDescent="0.2">
      <c r="A50" s="2346">
        <v>5</v>
      </c>
      <c r="B50" s="983" t="str">
        <f t="shared" si="0"/>
        <v>Art des Versicherers</v>
      </c>
      <c r="C50" s="941" t="s">
        <v>1152</v>
      </c>
      <c r="D50" s="941" t="s">
        <v>876</v>
      </c>
      <c r="E50" s="941" t="s">
        <v>45</v>
      </c>
    </row>
    <row r="51" spans="1:5" x14ac:dyDescent="0.2">
      <c r="A51" s="2346">
        <v>5</v>
      </c>
      <c r="B51" s="983" t="str">
        <f t="shared" si="0"/>
        <v>Art des Versicherers:</v>
      </c>
      <c r="C51" s="941" t="s">
        <v>877</v>
      </c>
      <c r="D51" s="941" t="s">
        <v>1151</v>
      </c>
      <c r="E51" s="941" t="s">
        <v>114</v>
      </c>
    </row>
    <row r="52" spans="1:5" x14ac:dyDescent="0.2">
      <c r="A52" s="2346">
        <v>5</v>
      </c>
      <c r="B52" s="983" t="str">
        <f t="shared" si="0"/>
        <v>bitte eingeben</v>
      </c>
      <c r="C52" s="941" t="s">
        <v>1150</v>
      </c>
      <c r="D52" s="941" t="s">
        <v>1635</v>
      </c>
      <c r="E52" s="941" t="s">
        <v>195</v>
      </c>
    </row>
    <row r="53" spans="1:5" x14ac:dyDescent="0.2">
      <c r="A53" s="2346">
        <v>5</v>
      </c>
      <c r="B53" s="983" t="str">
        <f t="shared" si="0"/>
        <v>oder</v>
      </c>
      <c r="C53" s="941" t="s">
        <v>1149</v>
      </c>
      <c r="D53" s="941" t="s">
        <v>1148</v>
      </c>
      <c r="E53" s="941" t="s">
        <v>196</v>
      </c>
    </row>
    <row r="54" spans="1:5" x14ac:dyDescent="0.2">
      <c r="A54" s="2346">
        <v>5</v>
      </c>
      <c r="B54" s="983" t="str">
        <f t="shared" si="0"/>
        <v>Sicherheitsstufe</v>
      </c>
      <c r="C54" s="941" t="s">
        <v>879</v>
      </c>
      <c r="D54" s="941" t="s">
        <v>1147</v>
      </c>
      <c r="E54" s="941" t="s">
        <v>48</v>
      </c>
    </row>
    <row r="55" spans="1:5" x14ac:dyDescent="0.2">
      <c r="A55" s="2346">
        <v>5</v>
      </c>
      <c r="B55" s="983" t="str">
        <f t="shared" si="0"/>
        <v>alpha</v>
      </c>
      <c r="C55" s="941" t="s">
        <v>62</v>
      </c>
      <c r="D55" s="941" t="s">
        <v>62</v>
      </c>
      <c r="E55" s="941" t="s">
        <v>62</v>
      </c>
    </row>
    <row r="56" spans="1:5" x14ac:dyDescent="0.2">
      <c r="A56" s="2346">
        <v>5</v>
      </c>
      <c r="B56" s="983" t="str">
        <f t="shared" si="0"/>
        <v>Sicherheitsstufe</v>
      </c>
      <c r="C56" s="941" t="s">
        <v>879</v>
      </c>
      <c r="D56" s="941" t="s">
        <v>1146</v>
      </c>
      <c r="E56" s="941" t="s">
        <v>47</v>
      </c>
    </row>
    <row r="57" spans="1:5" x14ac:dyDescent="0.2">
      <c r="A57" s="2346">
        <v>6</v>
      </c>
      <c r="B57" s="983" t="str">
        <f t="shared" si="0"/>
        <v>Fundamentaldaten</v>
      </c>
      <c r="C57" s="941" t="s">
        <v>368</v>
      </c>
      <c r="D57" s="941" t="s">
        <v>369</v>
      </c>
      <c r="E57" s="985" t="s">
        <v>752</v>
      </c>
    </row>
    <row r="58" spans="1:5" ht="25.5" x14ac:dyDescent="0.2">
      <c r="A58" s="2346">
        <v>7</v>
      </c>
      <c r="B58" s="983" t="str">
        <f t="shared" si="0"/>
        <v>Marktnahe Gliederung der Aktiven und Passiven</v>
      </c>
      <c r="C58" s="941" t="s">
        <v>1478</v>
      </c>
      <c r="D58" s="941" t="s">
        <v>1479</v>
      </c>
      <c r="E58" s="941" t="s">
        <v>1480</v>
      </c>
    </row>
    <row r="59" spans="1:5" ht="38.25" x14ac:dyDescent="0.2">
      <c r="A59" s="2346">
        <v>7</v>
      </c>
      <c r="B59" s="983" t="str">
        <f t="shared" si="0"/>
        <v>Totale Kontengruppen/Zusammenfassungen (geschützt)</v>
      </c>
      <c r="C59" s="947" t="s">
        <v>118</v>
      </c>
      <c r="D59" s="941" t="s">
        <v>838</v>
      </c>
      <c r="E59" s="941" t="s">
        <v>1189</v>
      </c>
    </row>
    <row r="60" spans="1:5" ht="25.5" x14ac:dyDescent="0.2">
      <c r="A60" s="2346">
        <v>7</v>
      </c>
      <c r="B60" s="983" t="str">
        <f t="shared" si="0"/>
        <v>Totale Klassen (geschützt)</v>
      </c>
      <c r="C60" s="947" t="s">
        <v>119</v>
      </c>
      <c r="D60" s="941" t="s">
        <v>837</v>
      </c>
      <c r="E60" s="941" t="s">
        <v>1190</v>
      </c>
    </row>
    <row r="61" spans="1:5" x14ac:dyDescent="0.2">
      <c r="A61" s="2346">
        <v>7</v>
      </c>
      <c r="B61" s="983" t="str">
        <f t="shared" si="0"/>
        <v>Input</v>
      </c>
      <c r="C61" s="946" t="s">
        <v>53</v>
      </c>
      <c r="D61" s="941" t="s">
        <v>53</v>
      </c>
      <c r="E61" s="941" t="s">
        <v>53</v>
      </c>
    </row>
    <row r="62" spans="1:5" x14ac:dyDescent="0.2">
      <c r="A62" s="2346">
        <v>7</v>
      </c>
      <c r="B62" s="983" t="str">
        <f t="shared" si="0"/>
        <v>Gerechnet (geschützt)</v>
      </c>
      <c r="C62" s="947" t="s">
        <v>120</v>
      </c>
      <c r="D62" s="941" t="s">
        <v>836</v>
      </c>
      <c r="E62" s="941" t="s">
        <v>1191</v>
      </c>
    </row>
    <row r="63" spans="1:5" ht="25.5" x14ac:dyDescent="0.2">
      <c r="A63" s="2346">
        <v>7</v>
      </c>
      <c r="B63" s="983" t="str">
        <f t="shared" si="0"/>
        <v>Marktnaher Wert resp. 
Best Estimate</v>
      </c>
      <c r="C63" s="946" t="s">
        <v>319</v>
      </c>
      <c r="D63" s="941" t="s">
        <v>866</v>
      </c>
      <c r="E63" s="941" t="s">
        <v>1192</v>
      </c>
    </row>
    <row r="64" spans="1:5" ht="38.25" x14ac:dyDescent="0.2">
      <c r="A64" s="2346">
        <v>7</v>
      </c>
      <c r="B64" s="983" t="str">
        <f t="shared" si="0"/>
        <v>Differenzen aufgrund des veränderten Stichtages</v>
      </c>
      <c r="C64" s="947" t="s">
        <v>320</v>
      </c>
      <c r="D64" s="941" t="s">
        <v>370</v>
      </c>
      <c r="E64" s="941" t="s">
        <v>371</v>
      </c>
    </row>
    <row r="65" spans="1:5" ht="25.5" x14ac:dyDescent="0.2">
      <c r="A65" s="2346">
        <v>7</v>
      </c>
      <c r="B65" s="983" t="str">
        <f t="shared" si="0"/>
        <v>Marktnaher Wert resp. 
Best Estimate</v>
      </c>
      <c r="C65" s="947" t="s">
        <v>319</v>
      </c>
      <c r="D65" s="941" t="s">
        <v>866</v>
      </c>
      <c r="E65" s="941" t="s">
        <v>1192</v>
      </c>
    </row>
    <row r="66" spans="1:5" ht="25.5" x14ac:dyDescent="0.2">
      <c r="A66" s="2346">
        <v>7</v>
      </c>
      <c r="B66" s="983" t="str">
        <f t="shared" si="0"/>
        <v>Wert in % aller Aktiven</v>
      </c>
      <c r="C66" s="946" t="s">
        <v>1481</v>
      </c>
      <c r="D66" s="941" t="s">
        <v>372</v>
      </c>
      <c r="E66" s="941" t="s">
        <v>1145</v>
      </c>
    </row>
    <row r="67" spans="1:5" ht="25.5" x14ac:dyDescent="0.2">
      <c r="A67" s="2346">
        <v>7</v>
      </c>
      <c r="B67" s="983" t="str">
        <f t="shared" si="0"/>
        <v>Wert in % des Kernkapitals</v>
      </c>
      <c r="C67" s="946" t="s">
        <v>373</v>
      </c>
      <c r="D67" s="941" t="s">
        <v>374</v>
      </c>
      <c r="E67" s="941" t="s">
        <v>1144</v>
      </c>
    </row>
    <row r="68" spans="1:5" x14ac:dyDescent="0.2">
      <c r="A68" s="2346">
        <v>7</v>
      </c>
      <c r="B68" s="983" t="str">
        <f t="shared" si="0"/>
        <v>Kapitalanlagen</v>
      </c>
      <c r="C68" s="946" t="s">
        <v>122</v>
      </c>
      <c r="D68" s="941" t="s">
        <v>375</v>
      </c>
      <c r="E68" s="941" t="s">
        <v>376</v>
      </c>
    </row>
    <row r="69" spans="1:5" x14ac:dyDescent="0.2">
      <c r="A69" s="2346">
        <v>7</v>
      </c>
      <c r="B69" s="983" t="str">
        <f t="shared" si="0"/>
        <v>Grundstücke und Bauten</v>
      </c>
      <c r="C69" s="946" t="s">
        <v>123</v>
      </c>
      <c r="D69" s="941" t="s">
        <v>377</v>
      </c>
      <c r="E69" s="946" t="s">
        <v>1400</v>
      </c>
    </row>
    <row r="70" spans="1:5" x14ac:dyDescent="0.2">
      <c r="A70" s="2346">
        <v>7</v>
      </c>
      <c r="B70" s="983" t="str">
        <f t="shared" si="0"/>
        <v>Obligationen</v>
      </c>
      <c r="C70" s="946" t="s">
        <v>126</v>
      </c>
      <c r="D70" s="941" t="s">
        <v>378</v>
      </c>
      <c r="E70" s="941" t="s">
        <v>379</v>
      </c>
    </row>
    <row r="71" spans="1:5" ht="25.5" x14ac:dyDescent="0.2">
      <c r="A71" s="2346">
        <v>7</v>
      </c>
      <c r="B71" s="983" t="str">
        <f t="shared" si="0"/>
        <v>Aktien und ähnliche Anlagen</v>
      </c>
      <c r="C71" s="946" t="s">
        <v>127</v>
      </c>
      <c r="D71" s="941" t="s">
        <v>1762</v>
      </c>
      <c r="E71" s="941" t="s">
        <v>380</v>
      </c>
    </row>
    <row r="72" spans="1:5" x14ac:dyDescent="0.2">
      <c r="A72" s="2346">
        <v>7</v>
      </c>
      <c r="B72" s="983" t="str">
        <f t="shared" si="0"/>
        <v>Anteile an Anlagefonds</v>
      </c>
      <c r="C72" s="946" t="s">
        <v>128</v>
      </c>
      <c r="D72" s="941" t="s">
        <v>381</v>
      </c>
      <c r="E72" s="941" t="s">
        <v>382</v>
      </c>
    </row>
    <row r="73" spans="1:5" ht="38.25" x14ac:dyDescent="0.2">
      <c r="A73" s="2346">
        <v>7</v>
      </c>
      <c r="B73" s="983" t="str">
        <f t="shared" si="0"/>
        <v>Derivative Finanzinstrumente (Guthaben)</v>
      </c>
      <c r="C73" s="946" t="s">
        <v>644</v>
      </c>
      <c r="D73" s="941" t="s">
        <v>1717</v>
      </c>
      <c r="E73" s="941" t="s">
        <v>1193</v>
      </c>
    </row>
    <row r="74" spans="1:5" x14ac:dyDescent="0.2">
      <c r="A74" s="2346">
        <v>7</v>
      </c>
      <c r="B74" s="983" t="str">
        <f t="shared" si="0"/>
        <v>Liquide Mittel</v>
      </c>
      <c r="C74" s="946" t="s">
        <v>642</v>
      </c>
      <c r="D74" s="941" t="s">
        <v>385</v>
      </c>
      <c r="E74" s="941" t="s">
        <v>1194</v>
      </c>
    </row>
    <row r="75" spans="1:5" ht="63.75" x14ac:dyDescent="0.2">
      <c r="A75" s="2346">
        <v>7</v>
      </c>
      <c r="B75" s="983" t="str">
        <f t="shared" si="0"/>
        <v>Anlagen in Institutionen, die der Durchführung der sozialen Krankenversicherung dienen</v>
      </c>
      <c r="C75" s="946" t="s">
        <v>643</v>
      </c>
      <c r="D75" s="940" t="s">
        <v>1623</v>
      </c>
      <c r="E75" s="941" t="s">
        <v>1195</v>
      </c>
    </row>
    <row r="76" spans="1:5" ht="51" x14ac:dyDescent="0.2">
      <c r="A76" s="2346">
        <v>7</v>
      </c>
      <c r="B76" s="983" t="str">
        <f t="shared" ref="B76:B139" si="1">IF(VLOOKUP(A76,A76:E76,language+2)="",VLOOKUP(A76,A76:E76,3),VLOOKUP(A76,A76:E76,language+2))</f>
        <v>Übrige Kapitalanlagen (Latente Steuern, Aktiven aus Vorsorgeplänen)</v>
      </c>
      <c r="C76" s="946" t="s">
        <v>645</v>
      </c>
      <c r="D76" s="940" t="s">
        <v>862</v>
      </c>
      <c r="E76" s="941" t="s">
        <v>1196</v>
      </c>
    </row>
    <row r="77" spans="1:5" ht="25.5" x14ac:dyDescent="0.2">
      <c r="A77" s="2346">
        <v>7</v>
      </c>
      <c r="B77" s="983" t="str">
        <f t="shared" si="1"/>
        <v>Total Kapitalanlagen</v>
      </c>
      <c r="C77" s="947" t="s">
        <v>140</v>
      </c>
      <c r="D77" s="940" t="s">
        <v>861</v>
      </c>
      <c r="E77" s="941" t="s">
        <v>1197</v>
      </c>
    </row>
    <row r="78" spans="1:5" x14ac:dyDescent="0.2">
      <c r="A78" s="2346">
        <v>7</v>
      </c>
      <c r="B78" s="983" t="str">
        <f t="shared" si="1"/>
        <v>Übrige Aktiven</v>
      </c>
      <c r="C78" s="946" t="s">
        <v>143</v>
      </c>
      <c r="D78" s="941" t="s">
        <v>383</v>
      </c>
      <c r="E78" s="986" t="s">
        <v>384</v>
      </c>
    </row>
    <row r="79" spans="1:5" ht="51" x14ac:dyDescent="0.2">
      <c r="A79" s="2346">
        <v>7</v>
      </c>
      <c r="B79" s="983" t="str">
        <f t="shared" si="1"/>
        <v>Übriges Anlagevermögen (Immaterielle Anlagen, Sachanlagen)</v>
      </c>
      <c r="C79" s="946" t="s">
        <v>647</v>
      </c>
      <c r="D79" s="940" t="s">
        <v>860</v>
      </c>
      <c r="E79" s="946" t="s">
        <v>1198</v>
      </c>
    </row>
    <row r="80" spans="1:5" x14ac:dyDescent="0.2">
      <c r="A80" s="2346">
        <v>7</v>
      </c>
      <c r="B80" s="983" t="str">
        <f t="shared" si="1"/>
        <v>Umlaufvermögen</v>
      </c>
      <c r="C80" s="946" t="s">
        <v>646</v>
      </c>
      <c r="D80" s="940" t="s">
        <v>859</v>
      </c>
      <c r="E80" s="941" t="s">
        <v>1199</v>
      </c>
    </row>
    <row r="81" spans="1:5" x14ac:dyDescent="0.2">
      <c r="A81" s="2346">
        <v>7</v>
      </c>
      <c r="B81" s="983" t="str">
        <f t="shared" si="1"/>
        <v>Total übrige Aktiven</v>
      </c>
      <c r="C81" s="946" t="s">
        <v>150</v>
      </c>
      <c r="D81" s="940" t="s">
        <v>858</v>
      </c>
      <c r="E81" s="941" t="s">
        <v>1200</v>
      </c>
    </row>
    <row r="82" spans="1:5" ht="25.5" x14ac:dyDescent="0.2">
      <c r="A82" s="2346">
        <v>7</v>
      </c>
      <c r="B82" s="983" t="str">
        <f t="shared" si="1"/>
        <v>dem Geschäft nach KVG zugeordnet</v>
      </c>
      <c r="C82" s="947" t="s">
        <v>639</v>
      </c>
      <c r="D82" s="937" t="s">
        <v>1143</v>
      </c>
      <c r="E82" s="941" t="s">
        <v>1482</v>
      </c>
    </row>
    <row r="83" spans="1:5" ht="25.5" x14ac:dyDescent="0.2">
      <c r="A83" s="2346">
        <v>7</v>
      </c>
      <c r="B83" s="983" t="str">
        <f t="shared" si="1"/>
        <v>dem Geschäft nach VVG zugeordnet</v>
      </c>
      <c r="C83" s="947" t="s">
        <v>640</v>
      </c>
      <c r="D83" s="937" t="s">
        <v>841</v>
      </c>
      <c r="E83" s="941" t="s">
        <v>1483</v>
      </c>
    </row>
    <row r="84" spans="1:5" ht="25.5" x14ac:dyDescent="0.2">
      <c r="A84" s="2346">
        <v>7</v>
      </c>
      <c r="B84" s="983" t="str">
        <f t="shared" si="1"/>
        <v>dem Geschäft nach UVG zugeordnet</v>
      </c>
      <c r="C84" s="947" t="s">
        <v>641</v>
      </c>
      <c r="D84" s="937" t="s">
        <v>840</v>
      </c>
      <c r="E84" s="941" t="s">
        <v>1484</v>
      </c>
    </row>
    <row r="85" spans="1:5" x14ac:dyDescent="0.2">
      <c r="A85" s="2346">
        <v>7</v>
      </c>
      <c r="B85" s="983" t="str">
        <f t="shared" si="1"/>
        <v>Total Aktiven</v>
      </c>
      <c r="C85" s="946" t="s">
        <v>151</v>
      </c>
      <c r="D85" s="937" t="s">
        <v>1142</v>
      </c>
      <c r="E85" s="941" t="s">
        <v>1201</v>
      </c>
    </row>
    <row r="86" spans="1:5" ht="25.5" x14ac:dyDescent="0.2">
      <c r="A86" s="2346">
        <v>7</v>
      </c>
      <c r="B86" s="983" t="str">
        <f t="shared" si="1"/>
        <v>Versicherungstechnische Rückstellungen (netto)</v>
      </c>
      <c r="C86" s="946" t="s">
        <v>154</v>
      </c>
      <c r="D86" s="941" t="s">
        <v>855</v>
      </c>
      <c r="E86" s="941" t="s">
        <v>386</v>
      </c>
    </row>
    <row r="87" spans="1:5" x14ac:dyDescent="0.2">
      <c r="A87" s="2346">
        <v>7</v>
      </c>
      <c r="B87" s="983" t="str">
        <f t="shared" si="1"/>
        <v>Leistungsrückstellungen</v>
      </c>
      <c r="C87" s="946" t="s">
        <v>648</v>
      </c>
      <c r="D87" s="937" t="s">
        <v>854</v>
      </c>
      <c r="E87" s="946" t="s">
        <v>1202</v>
      </c>
    </row>
    <row r="88" spans="1:5" ht="25.5" x14ac:dyDescent="0.2">
      <c r="A88" s="2346">
        <v>7</v>
      </c>
      <c r="B88" s="983" t="str">
        <f t="shared" si="1"/>
        <v>Alterungsrückstellungen und Deckungskapitalien</v>
      </c>
      <c r="C88" s="946" t="s">
        <v>649</v>
      </c>
      <c r="D88" s="937" t="s">
        <v>1639</v>
      </c>
      <c r="E88" s="946" t="s">
        <v>1739</v>
      </c>
    </row>
    <row r="89" spans="1:5" ht="25.5" x14ac:dyDescent="0.2">
      <c r="A89" s="2346">
        <v>7</v>
      </c>
      <c r="B89" s="983" t="str">
        <f t="shared" si="1"/>
        <v>Sonstige technische Rückstellungen</v>
      </c>
      <c r="C89" s="946" t="s">
        <v>745</v>
      </c>
      <c r="D89" s="937" t="s">
        <v>853</v>
      </c>
      <c r="E89" s="946" t="s">
        <v>1203</v>
      </c>
    </row>
    <row r="90" spans="1:5" ht="25.5" x14ac:dyDescent="0.2">
      <c r="A90" s="2346">
        <v>7</v>
      </c>
      <c r="B90" s="983" t="str">
        <f t="shared" si="1"/>
        <v>Schwankungs- und Sicherheitsrückstellungen</v>
      </c>
      <c r="C90" s="946" t="s">
        <v>654</v>
      </c>
      <c r="D90" s="940" t="s">
        <v>1640</v>
      </c>
      <c r="E90" s="946" t="s">
        <v>1204</v>
      </c>
    </row>
    <row r="91" spans="1:5" ht="38.25" x14ac:dyDescent="0.2">
      <c r="A91" s="2346">
        <v>7</v>
      </c>
      <c r="B91" s="983" t="str">
        <f t="shared" si="1"/>
        <v>Total versicherungstechnische Rückstellungen</v>
      </c>
      <c r="C91" s="946" t="s">
        <v>659</v>
      </c>
      <c r="D91" s="940" t="s">
        <v>852</v>
      </c>
      <c r="E91" s="946" t="s">
        <v>1205</v>
      </c>
    </row>
    <row r="92" spans="1:5" ht="25.5" x14ac:dyDescent="0.2">
      <c r="A92" s="2346">
        <v>7</v>
      </c>
      <c r="B92" s="983" t="str">
        <f t="shared" si="1"/>
        <v>Obligatorische Krankenpflegeversicherung</v>
      </c>
      <c r="C92" s="947" t="s">
        <v>650</v>
      </c>
      <c r="D92" s="937" t="s">
        <v>845</v>
      </c>
      <c r="E92" s="941" t="s">
        <v>1206</v>
      </c>
    </row>
    <row r="93" spans="1:5" ht="38.25" x14ac:dyDescent="0.2">
      <c r="A93" s="2346">
        <v>7</v>
      </c>
      <c r="B93" s="983" t="str">
        <f t="shared" si="1"/>
        <v>Einzel-Taggeldversicherung nach KVG</v>
      </c>
      <c r="C93" s="947" t="s">
        <v>651</v>
      </c>
      <c r="D93" s="937" t="s">
        <v>844</v>
      </c>
      <c r="E93" s="941" t="s">
        <v>1485</v>
      </c>
    </row>
    <row r="94" spans="1:5" ht="38.25" x14ac:dyDescent="0.2">
      <c r="A94" s="2346">
        <v>7</v>
      </c>
      <c r="B94" s="983" t="str">
        <f t="shared" si="1"/>
        <v>Kollektiv-Taggeldversicherung nach KVG</v>
      </c>
      <c r="C94" s="947" t="s">
        <v>652</v>
      </c>
      <c r="D94" s="937" t="s">
        <v>843</v>
      </c>
      <c r="E94" s="987" t="s">
        <v>1486</v>
      </c>
    </row>
    <row r="95" spans="1:5" ht="25.5" x14ac:dyDescent="0.2">
      <c r="A95" s="2346">
        <v>7</v>
      </c>
      <c r="B95" s="983" t="str">
        <f t="shared" si="1"/>
        <v>Aktive Rückversicherung nach KVG</v>
      </c>
      <c r="C95" s="946" t="s">
        <v>653</v>
      </c>
      <c r="D95" s="937" t="s">
        <v>842</v>
      </c>
      <c r="E95" s="941" t="s">
        <v>1487</v>
      </c>
    </row>
    <row r="96" spans="1:5" ht="25.5" x14ac:dyDescent="0.2">
      <c r="A96" s="2346">
        <v>7</v>
      </c>
      <c r="B96" s="983" t="str">
        <f t="shared" si="1"/>
        <v>dem Geschäft nach VVG zugeordnet</v>
      </c>
      <c r="C96" s="947" t="s">
        <v>640</v>
      </c>
      <c r="D96" s="937" t="s">
        <v>841</v>
      </c>
      <c r="E96" s="941" t="s">
        <v>1488</v>
      </c>
    </row>
    <row r="97" spans="1:5" ht="25.5" x14ac:dyDescent="0.2">
      <c r="A97" s="2346">
        <v>7</v>
      </c>
      <c r="B97" s="983" t="str">
        <f t="shared" si="1"/>
        <v>dem Geschäft nach UVG zugeordnet</v>
      </c>
      <c r="C97" s="947" t="s">
        <v>641</v>
      </c>
      <c r="D97" s="937" t="s">
        <v>840</v>
      </c>
      <c r="E97" s="941" t="s">
        <v>1489</v>
      </c>
    </row>
    <row r="98" spans="1:5" x14ac:dyDescent="0.2">
      <c r="A98" s="2346">
        <v>7</v>
      </c>
      <c r="B98" s="983" t="str">
        <f t="shared" si="1"/>
        <v>Übriges Fremdkapital</v>
      </c>
      <c r="C98" s="946" t="s">
        <v>655</v>
      </c>
      <c r="D98" s="935" t="s">
        <v>1141</v>
      </c>
      <c r="E98" s="941" t="s">
        <v>1207</v>
      </c>
    </row>
    <row r="99" spans="1:5" ht="25.5" x14ac:dyDescent="0.2">
      <c r="A99" s="2346">
        <v>7</v>
      </c>
      <c r="B99" s="983" t="str">
        <f t="shared" si="1"/>
        <v>Nichtversicherungstechnische Rückstellungen</v>
      </c>
      <c r="C99" s="946" t="s">
        <v>365</v>
      </c>
      <c r="D99" s="940" t="s">
        <v>850</v>
      </c>
      <c r="E99" s="946" t="s">
        <v>1208</v>
      </c>
    </row>
    <row r="100" spans="1:5" ht="25.5" x14ac:dyDescent="0.2">
      <c r="A100" s="2346">
        <v>7</v>
      </c>
      <c r="B100" s="983" t="str">
        <f t="shared" si="1"/>
        <v>Rückstellungen für Risiken in den Kapitalanlagen</v>
      </c>
      <c r="C100" s="946" t="s">
        <v>656</v>
      </c>
      <c r="D100" s="937" t="s">
        <v>849</v>
      </c>
      <c r="E100" s="946" t="s">
        <v>1209</v>
      </c>
    </row>
    <row r="101" spans="1:5" ht="38.25" x14ac:dyDescent="0.2">
      <c r="A101" s="2346">
        <v>7</v>
      </c>
      <c r="B101" s="983" t="str">
        <f t="shared" si="1"/>
        <v>Übrige Verbindlichkeiten (inkl. Rechnungsabgrenzungen)</v>
      </c>
      <c r="C101" s="946" t="s">
        <v>658</v>
      </c>
      <c r="D101" s="937" t="s">
        <v>1624</v>
      </c>
      <c r="E101" s="941" t="s">
        <v>1210</v>
      </c>
    </row>
    <row r="102" spans="1:5" x14ac:dyDescent="0.2">
      <c r="A102" s="2346">
        <v>7</v>
      </c>
      <c r="B102" s="983" t="str">
        <f t="shared" si="1"/>
        <v>Total übrige Passiven</v>
      </c>
      <c r="C102" s="946" t="s">
        <v>657</v>
      </c>
      <c r="D102" s="935" t="s">
        <v>848</v>
      </c>
      <c r="E102" s="946" t="s">
        <v>1211</v>
      </c>
    </row>
    <row r="103" spans="1:5" x14ac:dyDescent="0.2">
      <c r="A103" s="2346">
        <v>7</v>
      </c>
      <c r="B103" s="983" t="str">
        <f t="shared" si="1"/>
        <v>Total Fremdkapital</v>
      </c>
      <c r="C103" s="946" t="s">
        <v>197</v>
      </c>
      <c r="D103" s="937" t="s">
        <v>847</v>
      </c>
      <c r="E103" s="941" t="s">
        <v>1212</v>
      </c>
    </row>
    <row r="104" spans="1:5" ht="25.5" x14ac:dyDescent="0.2">
      <c r="A104" s="2346">
        <v>7</v>
      </c>
      <c r="B104" s="983" t="str">
        <f t="shared" si="1"/>
        <v>Differenz zwischen Aktiven und Fremdkapital</v>
      </c>
      <c r="C104" s="946" t="s">
        <v>660</v>
      </c>
      <c r="D104" s="937" t="s">
        <v>835</v>
      </c>
      <c r="E104" s="941" t="s">
        <v>1213</v>
      </c>
    </row>
    <row r="105" spans="1:5" ht="25.5" x14ac:dyDescent="0.2">
      <c r="A105" s="2346">
        <v>7</v>
      </c>
      <c r="B105" s="983" t="str">
        <f t="shared" si="1"/>
        <v>Aufteilung des Eigenkapitals</v>
      </c>
      <c r="C105" s="946" t="s">
        <v>714</v>
      </c>
      <c r="D105" s="937" t="s">
        <v>1140</v>
      </c>
      <c r="E105" s="941" t="s">
        <v>1214</v>
      </c>
    </row>
    <row r="106" spans="1:5" ht="25.5" x14ac:dyDescent="0.2">
      <c r="A106" s="2346">
        <v>8</v>
      </c>
      <c r="B106" s="983" t="str">
        <f t="shared" si="1"/>
        <v xml:space="preserve">Berechnung der vorhandenen Reserven </v>
      </c>
      <c r="C106" s="941" t="s">
        <v>1139</v>
      </c>
      <c r="D106" s="937" t="s">
        <v>890</v>
      </c>
      <c r="E106" s="941" t="s">
        <v>1215</v>
      </c>
    </row>
    <row r="107" spans="1:5" ht="38.25" x14ac:dyDescent="0.2">
      <c r="A107" s="2346">
        <v>8</v>
      </c>
      <c r="B107" s="983" t="str">
        <f t="shared" si="1"/>
        <v>Totale Kontengruppen/Zusammenfassungen (geschützt)</v>
      </c>
      <c r="C107" s="947" t="s">
        <v>118</v>
      </c>
      <c r="D107" s="941" t="s">
        <v>838</v>
      </c>
      <c r="E107" s="941" t="s">
        <v>1189</v>
      </c>
    </row>
    <row r="108" spans="1:5" ht="25.5" x14ac:dyDescent="0.2">
      <c r="A108" s="2346">
        <v>8</v>
      </c>
      <c r="B108" s="983" t="str">
        <f t="shared" si="1"/>
        <v>Totale Klassen (geschützt)</v>
      </c>
      <c r="C108" s="947" t="s">
        <v>119</v>
      </c>
      <c r="D108" s="941" t="s">
        <v>837</v>
      </c>
      <c r="E108" s="941" t="s">
        <v>1190</v>
      </c>
    </row>
    <row r="109" spans="1:5" x14ac:dyDescent="0.2">
      <c r="A109" s="2346">
        <v>8</v>
      </c>
      <c r="B109" s="983" t="str">
        <f t="shared" si="1"/>
        <v>Input</v>
      </c>
      <c r="C109" s="946" t="s">
        <v>53</v>
      </c>
      <c r="D109" s="941" t="s">
        <v>53</v>
      </c>
      <c r="E109" s="941" t="s">
        <v>53</v>
      </c>
    </row>
    <row r="110" spans="1:5" x14ac:dyDescent="0.2">
      <c r="A110" s="2346">
        <v>8</v>
      </c>
      <c r="B110" s="983" t="str">
        <f t="shared" si="1"/>
        <v>Gerechnet (geschützt)</v>
      </c>
      <c r="C110" s="947" t="s">
        <v>120</v>
      </c>
      <c r="D110" s="941" t="s">
        <v>836</v>
      </c>
      <c r="E110" s="941" t="s">
        <v>1191</v>
      </c>
    </row>
    <row r="111" spans="1:5" x14ac:dyDescent="0.2">
      <c r="A111" s="2346">
        <v>8</v>
      </c>
      <c r="B111" s="983" t="str">
        <f t="shared" si="1"/>
        <v>Betrag</v>
      </c>
      <c r="C111" s="946" t="s">
        <v>183</v>
      </c>
      <c r="D111" s="941" t="s">
        <v>796</v>
      </c>
      <c r="E111" s="941" t="s">
        <v>1216</v>
      </c>
    </row>
    <row r="112" spans="1:5" ht="25.5" x14ac:dyDescent="0.2">
      <c r="A112" s="2346">
        <v>8</v>
      </c>
      <c r="B112" s="983" t="str">
        <f t="shared" si="1"/>
        <v>Differenz zwischen Aktiven und Fremdkapital</v>
      </c>
      <c r="C112" s="946" t="s">
        <v>660</v>
      </c>
      <c r="D112" s="941" t="s">
        <v>835</v>
      </c>
      <c r="E112" s="941" t="s">
        <v>1213</v>
      </c>
    </row>
    <row r="113" spans="1:5" x14ac:dyDescent="0.2">
      <c r="A113" s="2346">
        <v>8</v>
      </c>
      <c r="B113" s="983" t="str">
        <f t="shared" si="1"/>
        <v>Abzüge</v>
      </c>
      <c r="C113" s="946" t="s">
        <v>199</v>
      </c>
      <c r="D113" s="941" t="s">
        <v>396</v>
      </c>
      <c r="E113" s="941" t="s">
        <v>397</v>
      </c>
    </row>
    <row r="114" spans="1:5" ht="25.5" x14ac:dyDescent="0.2">
      <c r="A114" s="2346">
        <v>8</v>
      </c>
      <c r="B114" s="983" t="str">
        <f t="shared" si="1"/>
        <v>Bilanzwert eigene Aktien (-)</v>
      </c>
      <c r="C114" s="946" t="s">
        <v>398</v>
      </c>
      <c r="D114" s="941" t="s">
        <v>399</v>
      </c>
      <c r="E114" s="941" t="s">
        <v>400</v>
      </c>
    </row>
    <row r="115" spans="1:5" ht="25.5" x14ac:dyDescent="0.2">
      <c r="A115" s="2346">
        <v>8</v>
      </c>
      <c r="B115" s="983" t="str">
        <f t="shared" si="1"/>
        <v>Bilanzwert immaterielle Aktiven (-)</v>
      </c>
      <c r="C115" s="946" t="s">
        <v>401</v>
      </c>
      <c r="D115" s="941" t="s">
        <v>402</v>
      </c>
      <c r="E115" s="941" t="s">
        <v>403</v>
      </c>
    </row>
    <row r="116" spans="1:5" ht="63.75" x14ac:dyDescent="0.2">
      <c r="A116" s="2346">
        <v>8</v>
      </c>
      <c r="B116" s="983" t="str">
        <f t="shared" si="1"/>
        <v>Grundstückgewinn-/Handänderungssteuern auf Bewertungsreserven Grundstücke und Bauten (-)</v>
      </c>
      <c r="C116" s="946" t="s">
        <v>404</v>
      </c>
      <c r="D116" s="941" t="s">
        <v>1657</v>
      </c>
      <c r="E116" s="941" t="s">
        <v>1491</v>
      </c>
    </row>
    <row r="117" spans="1:5" ht="38.25" x14ac:dyDescent="0.2">
      <c r="A117" s="2346">
        <v>8</v>
      </c>
      <c r="B117" s="983" t="str">
        <f t="shared" si="1"/>
        <v>vorgesehene Dividenden und Kapitalrückzahlungen (-)</v>
      </c>
      <c r="C117" s="946" t="s">
        <v>1490</v>
      </c>
      <c r="D117" s="941" t="s">
        <v>405</v>
      </c>
      <c r="E117" s="941" t="s">
        <v>406</v>
      </c>
    </row>
    <row r="118" spans="1:5" ht="51" x14ac:dyDescent="0.2">
      <c r="A118" s="2346">
        <v>8</v>
      </c>
      <c r="B118" s="983" t="str">
        <f t="shared" si="1"/>
        <v>sonstige Abzüge (z.B. nicht anrechenbare konzerninterne Darlehen) (-)</v>
      </c>
      <c r="C118" s="946" t="s">
        <v>1492</v>
      </c>
      <c r="D118" s="941" t="s">
        <v>1610</v>
      </c>
      <c r="E118" s="941" t="s">
        <v>1493</v>
      </c>
    </row>
    <row r="119" spans="1:5" x14ac:dyDescent="0.2">
      <c r="A119" s="2346">
        <v>8</v>
      </c>
      <c r="B119" s="983" t="str">
        <f t="shared" si="1"/>
        <v>Kernkapital</v>
      </c>
      <c r="C119" s="946" t="s">
        <v>184</v>
      </c>
      <c r="D119" s="941" t="s">
        <v>804</v>
      </c>
      <c r="E119" s="941" t="s">
        <v>1138</v>
      </c>
    </row>
    <row r="120" spans="1:5" x14ac:dyDescent="0.2">
      <c r="A120" s="2346">
        <v>8</v>
      </c>
      <c r="B120" s="983" t="str">
        <f t="shared" si="1"/>
        <v>Ergänzendes Kapital</v>
      </c>
      <c r="C120" s="946" t="s">
        <v>202</v>
      </c>
      <c r="D120" s="941" t="s">
        <v>407</v>
      </c>
      <c r="E120" s="941" t="s">
        <v>408</v>
      </c>
    </row>
    <row r="121" spans="1:5" ht="25.5" x14ac:dyDescent="0.2">
      <c r="A121" s="2346">
        <v>8</v>
      </c>
      <c r="B121" s="983" t="str">
        <f t="shared" si="1"/>
        <v>Oberes ergänzendes Kapital</v>
      </c>
      <c r="C121" s="946" t="s">
        <v>203</v>
      </c>
      <c r="D121" s="941" t="s">
        <v>409</v>
      </c>
      <c r="E121" s="941" t="s">
        <v>410</v>
      </c>
    </row>
    <row r="122" spans="1:5" ht="25.5" x14ac:dyDescent="0.2">
      <c r="A122" s="2346">
        <v>8</v>
      </c>
      <c r="B122" s="983" t="str">
        <f t="shared" si="1"/>
        <v>Nachrangige Darlehen ohne Befristung</v>
      </c>
      <c r="C122" s="947" t="s">
        <v>204</v>
      </c>
      <c r="D122" s="937" t="s">
        <v>387</v>
      </c>
      <c r="E122" s="941" t="s">
        <v>1217</v>
      </c>
    </row>
    <row r="123" spans="1:5" ht="25.5" x14ac:dyDescent="0.2">
      <c r="A123" s="2346">
        <v>8</v>
      </c>
      <c r="B123" s="983" t="str">
        <f t="shared" si="1"/>
        <v>Nachrangige Anleihen ohne Befristung</v>
      </c>
      <c r="C123" s="947" t="s">
        <v>205</v>
      </c>
      <c r="D123" s="937" t="s">
        <v>388</v>
      </c>
      <c r="E123" s="941" t="s">
        <v>1218</v>
      </c>
    </row>
    <row r="124" spans="1:5" ht="38.25" x14ac:dyDescent="0.2">
      <c r="A124" s="2346">
        <v>8</v>
      </c>
      <c r="B124" s="983" t="str">
        <f t="shared" si="1"/>
        <v>Sonstige hybride Instrumente ohne Befristung</v>
      </c>
      <c r="C124" s="947" t="s">
        <v>206</v>
      </c>
      <c r="D124" s="937" t="s">
        <v>389</v>
      </c>
      <c r="E124" s="941" t="s">
        <v>1219</v>
      </c>
    </row>
    <row r="125" spans="1:5" ht="25.5" x14ac:dyDescent="0.2">
      <c r="A125" s="2346">
        <v>8</v>
      </c>
      <c r="B125" s="983" t="str">
        <f t="shared" si="1"/>
        <v>Unteres ergänzendes Kapital</v>
      </c>
      <c r="C125" s="947" t="s">
        <v>207</v>
      </c>
      <c r="D125" s="941" t="s">
        <v>411</v>
      </c>
      <c r="E125" s="941" t="s">
        <v>412</v>
      </c>
    </row>
    <row r="126" spans="1:5" ht="25.5" x14ac:dyDescent="0.2">
      <c r="A126" s="2346">
        <v>8</v>
      </c>
      <c r="B126" s="983" t="str">
        <f t="shared" si="1"/>
        <v>Nachrangige Darlehen mit Befristung</v>
      </c>
      <c r="C126" s="947" t="s">
        <v>208</v>
      </c>
      <c r="D126" s="937" t="s">
        <v>390</v>
      </c>
      <c r="E126" s="988" t="s">
        <v>391</v>
      </c>
    </row>
    <row r="127" spans="1:5" ht="25.5" x14ac:dyDescent="0.2">
      <c r="A127" s="2346">
        <v>8</v>
      </c>
      <c r="B127" s="983" t="str">
        <f t="shared" si="1"/>
        <v>Nachrangige Anleihen mit Befristung</v>
      </c>
      <c r="C127" s="947" t="s">
        <v>209</v>
      </c>
      <c r="D127" s="937" t="s">
        <v>392</v>
      </c>
      <c r="E127" s="988" t="s">
        <v>393</v>
      </c>
    </row>
    <row r="128" spans="1:5" ht="25.5" x14ac:dyDescent="0.2">
      <c r="A128" s="2346">
        <v>8</v>
      </c>
      <c r="B128" s="983" t="str">
        <f t="shared" si="1"/>
        <v>Sonstige hybride Instrumente mit Befristung</v>
      </c>
      <c r="C128" s="947" t="s">
        <v>210</v>
      </c>
      <c r="D128" s="937" t="s">
        <v>394</v>
      </c>
      <c r="E128" s="988" t="s">
        <v>395</v>
      </c>
    </row>
    <row r="129" spans="1:5" ht="38.25" x14ac:dyDescent="0.2">
      <c r="A129" s="2346">
        <v>8</v>
      </c>
      <c r="B129" s="983" t="str">
        <f t="shared" si="1"/>
        <v>Zusätzliches Kernkapital (keine Differenzgrösse)</v>
      </c>
      <c r="C129" s="946" t="s">
        <v>211</v>
      </c>
      <c r="D129" s="941" t="s">
        <v>413</v>
      </c>
      <c r="E129" s="941" t="s">
        <v>414</v>
      </c>
    </row>
    <row r="130" spans="1:5" ht="51" x14ac:dyDescent="0.2">
      <c r="A130" s="2346">
        <v>8</v>
      </c>
      <c r="B130" s="983" t="str">
        <f t="shared" si="1"/>
        <v>Fremdkapital, das nur in Eigenkapital konvertiert werden kann (Mandatory Convertible)</v>
      </c>
      <c r="C130" s="947" t="s">
        <v>212</v>
      </c>
      <c r="D130" s="941" t="s">
        <v>415</v>
      </c>
      <c r="E130" s="941" t="s">
        <v>416</v>
      </c>
    </row>
    <row r="131" spans="1:5" x14ac:dyDescent="0.2">
      <c r="A131" s="2346">
        <v>8</v>
      </c>
      <c r="B131" s="983" t="str">
        <f t="shared" si="1"/>
        <v>Vorhandene Reserven</v>
      </c>
      <c r="C131" s="941" t="s">
        <v>1494</v>
      </c>
      <c r="D131" s="937" t="s">
        <v>886</v>
      </c>
      <c r="E131" s="941" t="s">
        <v>1224</v>
      </c>
    </row>
    <row r="132" spans="1:5" ht="25.5" x14ac:dyDescent="0.2">
      <c r="A132" s="2346">
        <v>8</v>
      </c>
      <c r="B132" s="983" t="str">
        <f t="shared" si="1"/>
        <v>davon KVG-fremde Anteile</v>
      </c>
      <c r="C132" s="946" t="s">
        <v>715</v>
      </c>
      <c r="D132" s="941" t="s">
        <v>799</v>
      </c>
      <c r="E132" s="941" t="s">
        <v>1495</v>
      </c>
    </row>
    <row r="133" spans="1:5" ht="25.5" x14ac:dyDescent="0.2">
      <c r="A133" s="2346">
        <v>8</v>
      </c>
      <c r="B133" s="983" t="str">
        <f t="shared" si="1"/>
        <v>dem Geschäft nach VVG zugeordnet</v>
      </c>
      <c r="C133" s="946" t="s">
        <v>640</v>
      </c>
      <c r="D133" s="937" t="s">
        <v>841</v>
      </c>
      <c r="E133" s="941" t="s">
        <v>1488</v>
      </c>
    </row>
    <row r="134" spans="1:5" ht="25.5" x14ac:dyDescent="0.2">
      <c r="A134" s="2346">
        <v>8</v>
      </c>
      <c r="B134" s="983" t="str">
        <f t="shared" si="1"/>
        <v>dem Geschäft nach UVG zugeordnet</v>
      </c>
      <c r="C134" s="946" t="s">
        <v>641</v>
      </c>
      <c r="D134" s="937" t="s">
        <v>840</v>
      </c>
      <c r="E134" s="941" t="s">
        <v>1489</v>
      </c>
    </row>
    <row r="135" spans="1:5" ht="38.25" x14ac:dyDescent="0.2">
      <c r="A135" s="2346">
        <v>8</v>
      </c>
      <c r="B135" s="983" t="str">
        <f t="shared" si="1"/>
        <v>Vorhandene Reserven nach KVG und UVG ohne VVG</v>
      </c>
      <c r="C135" s="941" t="s">
        <v>2040</v>
      </c>
      <c r="D135" s="937" t="s">
        <v>2041</v>
      </c>
      <c r="E135" s="941" t="s">
        <v>2042</v>
      </c>
    </row>
    <row r="136" spans="1:5" x14ac:dyDescent="0.2">
      <c r="A136" s="2346">
        <v>9</v>
      </c>
      <c r="B136" s="983" t="str">
        <f t="shared" si="1"/>
        <v>Delta-Sensitivitäten</v>
      </c>
      <c r="C136" s="941" t="s">
        <v>1137</v>
      </c>
      <c r="D136" s="941" t="s">
        <v>1136</v>
      </c>
      <c r="E136" s="941" t="s">
        <v>495</v>
      </c>
    </row>
    <row r="137" spans="1:5" x14ac:dyDescent="0.2">
      <c r="A137" s="2346">
        <v>9</v>
      </c>
      <c r="B137" s="983" t="str">
        <f t="shared" si="1"/>
        <v xml:space="preserve">Hinweise: </v>
      </c>
      <c r="C137" s="941" t="s">
        <v>243</v>
      </c>
      <c r="D137" s="941" t="s">
        <v>1043</v>
      </c>
      <c r="E137" s="941" t="s">
        <v>1220</v>
      </c>
    </row>
    <row r="138" spans="1:5" ht="51" x14ac:dyDescent="0.2">
      <c r="A138" s="2346">
        <v>9</v>
      </c>
      <c r="B138" s="983" t="str">
        <f t="shared" si="1"/>
        <v>- Auswirkungen auf Derivatpositionen sind unter "Aktiven" zu erfassen.</v>
      </c>
      <c r="C138" s="945" t="s">
        <v>367</v>
      </c>
      <c r="D138" s="945" t="s">
        <v>1517</v>
      </c>
      <c r="E138" s="945" t="s">
        <v>1521</v>
      </c>
    </row>
    <row r="139" spans="1:5" ht="51" x14ac:dyDescent="0.2">
      <c r="A139" s="2346">
        <v>9</v>
      </c>
      <c r="B139" s="983" t="str">
        <f t="shared" si="1"/>
        <v>- Auswirkungen auf eingebettete Optionen sind unter "Passiven" zu erfassen.</v>
      </c>
      <c r="C139" s="945" t="s">
        <v>366</v>
      </c>
      <c r="D139" s="945" t="s">
        <v>1522</v>
      </c>
      <c r="E139" s="945" t="s">
        <v>1520</v>
      </c>
    </row>
    <row r="140" spans="1:5" x14ac:dyDescent="0.2">
      <c r="A140" s="2346">
        <v>9</v>
      </c>
      <c r="B140" s="983" t="str">
        <f t="shared" ref="B140:B203" si="2">IF(VLOOKUP(A140,A140:E140,language+2)="",VLOOKUP(A140,A140:E140,3),VLOOKUP(A140,A140:E140,language+2))</f>
        <v>Risikofaktor (RF)</v>
      </c>
      <c r="C140" s="941" t="s">
        <v>1500</v>
      </c>
      <c r="D140" s="941" t="s">
        <v>1499</v>
      </c>
      <c r="E140" s="941" t="s">
        <v>421</v>
      </c>
    </row>
    <row r="141" spans="1:5" x14ac:dyDescent="0.2">
      <c r="A141" s="2346">
        <v>9</v>
      </c>
      <c r="B141" s="983" t="str">
        <f t="shared" si="2"/>
        <v>Auslenkung des RF</v>
      </c>
      <c r="C141" s="941" t="s">
        <v>182</v>
      </c>
      <c r="D141" s="937" t="s">
        <v>1663</v>
      </c>
      <c r="E141" s="941" t="s">
        <v>1221</v>
      </c>
    </row>
    <row r="142" spans="1:5" x14ac:dyDescent="0.2">
      <c r="A142" s="2346">
        <v>9</v>
      </c>
      <c r="B142" s="983" t="str">
        <f t="shared" si="2"/>
        <v>Aktiven</v>
      </c>
      <c r="C142" s="941" t="s">
        <v>121</v>
      </c>
      <c r="D142" s="937" t="s">
        <v>1135</v>
      </c>
      <c r="E142" s="941" t="s">
        <v>1222</v>
      </c>
    </row>
    <row r="143" spans="1:5" x14ac:dyDescent="0.2">
      <c r="A143" s="2346">
        <v>9</v>
      </c>
      <c r="B143" s="983" t="str">
        <f t="shared" si="2"/>
        <v>Passiven</v>
      </c>
      <c r="C143" s="941" t="s">
        <v>287</v>
      </c>
      <c r="D143" s="937" t="s">
        <v>1134</v>
      </c>
      <c r="E143" s="941" t="s">
        <v>1223</v>
      </c>
    </row>
    <row r="144" spans="1:5" ht="25.5" x14ac:dyDescent="0.2">
      <c r="A144" s="2346">
        <v>9</v>
      </c>
      <c r="B144" s="983" t="str">
        <f t="shared" si="2"/>
        <v>Reserven nach KVG und UVG</v>
      </c>
      <c r="C144" s="941" t="s">
        <v>2043</v>
      </c>
      <c r="D144" s="937" t="s">
        <v>2044</v>
      </c>
      <c r="E144" s="941" t="s">
        <v>2045</v>
      </c>
    </row>
    <row r="145" spans="1:5" ht="51" x14ac:dyDescent="0.2">
      <c r="A145" s="2346">
        <v>9</v>
      </c>
      <c r="B145" s="983" t="str">
        <f t="shared" si="2"/>
        <v>Marktnaher Wert der Aktiven mit entsprechendem Risikofaktor</v>
      </c>
      <c r="C145" s="941" t="s">
        <v>746</v>
      </c>
      <c r="D145" s="937" t="s">
        <v>1133</v>
      </c>
      <c r="E145" s="941" t="s">
        <v>1225</v>
      </c>
    </row>
    <row r="146" spans="1:5" ht="38.25" x14ac:dyDescent="0.2">
      <c r="A146" s="2346">
        <v>9</v>
      </c>
      <c r="B146" s="983" t="str">
        <f t="shared" si="2"/>
        <v>Änderungen der dem KVG- und UVG-Geschäft zugeordneten Aktiven</v>
      </c>
      <c r="C146" s="941" t="s">
        <v>2046</v>
      </c>
      <c r="D146" s="937" t="s">
        <v>2047</v>
      </c>
      <c r="E146" s="941" t="s">
        <v>2048</v>
      </c>
    </row>
    <row r="147" spans="1:5" x14ac:dyDescent="0.2">
      <c r="A147" s="2346">
        <v>9</v>
      </c>
      <c r="B147" s="983" t="str">
        <f t="shared" si="2"/>
        <v>Total</v>
      </c>
      <c r="C147" s="941" t="s">
        <v>55</v>
      </c>
      <c r="D147" s="941" t="s">
        <v>55</v>
      </c>
      <c r="E147" s="941" t="s">
        <v>55</v>
      </c>
    </row>
    <row r="148" spans="1:5" ht="51" x14ac:dyDescent="0.2">
      <c r="A148" s="2346">
        <v>9</v>
      </c>
      <c r="B148" s="983" t="str">
        <f t="shared" si="2"/>
        <v>Marktnaher Wert der Passiven mit entsprechendem Risikofaktor</v>
      </c>
      <c r="C148" s="941" t="s">
        <v>747</v>
      </c>
      <c r="D148" s="937" t="s">
        <v>1132</v>
      </c>
      <c r="E148" s="941" t="s">
        <v>1226</v>
      </c>
    </row>
    <row r="149" spans="1:5" ht="38.25" x14ac:dyDescent="0.2">
      <c r="A149" s="2346">
        <v>9</v>
      </c>
      <c r="B149" s="983" t="str">
        <f t="shared" si="2"/>
        <v>Änderungen der dem KVG- und UVG Geschäft zugeordneten Passiven</v>
      </c>
      <c r="C149" s="941" t="s">
        <v>2049</v>
      </c>
      <c r="D149" s="941" t="s">
        <v>2050</v>
      </c>
      <c r="E149" s="941" t="s">
        <v>2051</v>
      </c>
    </row>
    <row r="150" spans="1:5" ht="38.25" x14ac:dyDescent="0.2">
      <c r="A150" s="2346">
        <v>9</v>
      </c>
      <c r="B150" s="983" t="str">
        <f t="shared" si="2"/>
        <v>Änderungen der dem KVG- und UVG Geschäft zugeordneten Reserven</v>
      </c>
      <c r="C150" s="941" t="s">
        <v>2052</v>
      </c>
      <c r="D150" s="941" t="s">
        <v>2053</v>
      </c>
      <c r="E150" s="941" t="s">
        <v>2054</v>
      </c>
    </row>
    <row r="151" spans="1:5" ht="63.75" x14ac:dyDescent="0.2">
      <c r="A151" s="2346">
        <v>9</v>
      </c>
      <c r="B151" s="983" t="str">
        <f t="shared" si="2"/>
        <v>Delta-äquivalente Änderung der Reserven = partielle Ableitung der Reserven nach den Risikofaktoren</v>
      </c>
      <c r="C151" s="941" t="s">
        <v>1504</v>
      </c>
      <c r="D151" s="941" t="s">
        <v>1505</v>
      </c>
      <c r="E151" s="941" t="s">
        <v>1506</v>
      </c>
    </row>
    <row r="152" spans="1:5" ht="25.5" x14ac:dyDescent="0.2">
      <c r="A152" s="2346">
        <v>9</v>
      </c>
      <c r="B152" s="983" t="str">
        <f t="shared" si="2"/>
        <v>dem KVG- und UVG Geschäft zugeordnet</v>
      </c>
      <c r="C152" s="941" t="s">
        <v>2055</v>
      </c>
      <c r="D152" s="941" t="s">
        <v>2056</v>
      </c>
      <c r="E152" s="941" t="s">
        <v>2057</v>
      </c>
    </row>
    <row r="153" spans="1:5" ht="25.5" x14ac:dyDescent="0.2">
      <c r="A153" s="2346">
        <v>9</v>
      </c>
      <c r="B153" s="983" t="str">
        <f t="shared" si="2"/>
        <v>dem übrigen Geschäft zugeordnet</v>
      </c>
      <c r="C153" s="941" t="s">
        <v>1507</v>
      </c>
      <c r="D153" s="941" t="s">
        <v>1508</v>
      </c>
      <c r="E153" s="941" t="s">
        <v>1509</v>
      </c>
    </row>
    <row r="154" spans="1:5" x14ac:dyDescent="0.2">
      <c r="A154" s="2346">
        <v>9</v>
      </c>
      <c r="B154" s="983" t="str">
        <f t="shared" si="2"/>
        <v>Änderungen der Aktiven</v>
      </c>
      <c r="C154" s="941" t="s">
        <v>246</v>
      </c>
      <c r="D154" s="941" t="s">
        <v>1062</v>
      </c>
      <c r="E154" s="941" t="s">
        <v>1091</v>
      </c>
    </row>
    <row r="155" spans="1:5" x14ac:dyDescent="0.2">
      <c r="A155" s="2346">
        <v>9</v>
      </c>
      <c r="B155" s="983" t="str">
        <f t="shared" si="2"/>
        <v>bei Auslenkung des RF</v>
      </c>
      <c r="C155" s="941" t="s">
        <v>247</v>
      </c>
      <c r="D155" s="941" t="s">
        <v>1720</v>
      </c>
      <c r="E155" s="941" t="s">
        <v>1510</v>
      </c>
    </row>
    <row r="156" spans="1:5" x14ac:dyDescent="0.2">
      <c r="A156" s="2346">
        <v>9</v>
      </c>
      <c r="B156" s="983" t="str">
        <f t="shared" si="2"/>
        <v>Änderungen der Passiven</v>
      </c>
      <c r="C156" s="941" t="s">
        <v>124</v>
      </c>
      <c r="D156" s="941" t="s">
        <v>1031</v>
      </c>
      <c r="E156" s="941" t="s">
        <v>1131</v>
      </c>
    </row>
    <row r="157" spans="1:5" x14ac:dyDescent="0.2">
      <c r="A157" s="2346">
        <v>9</v>
      </c>
      <c r="B157" s="983" t="str">
        <f t="shared" si="2"/>
        <v>bei Auslenkung des RF</v>
      </c>
      <c r="C157" s="941" t="s">
        <v>247</v>
      </c>
      <c r="D157" s="941" t="s">
        <v>1720</v>
      </c>
      <c r="E157" s="941" t="s">
        <v>1130</v>
      </c>
    </row>
    <row r="158" spans="1:5" x14ac:dyDescent="0.2">
      <c r="A158" s="2346">
        <v>9</v>
      </c>
      <c r="B158" s="983" t="str">
        <f t="shared" si="2"/>
        <v>Änderungen der Reserven</v>
      </c>
      <c r="C158" s="941" t="s">
        <v>1501</v>
      </c>
      <c r="D158" s="941" t="s">
        <v>1502</v>
      </c>
      <c r="E158" s="941" t="s">
        <v>1503</v>
      </c>
    </row>
    <row r="159" spans="1:5" x14ac:dyDescent="0.2">
      <c r="A159" s="2346">
        <v>9</v>
      </c>
      <c r="B159" s="983" t="str">
        <f t="shared" si="2"/>
        <v>bei Auslenkung des RF</v>
      </c>
      <c r="C159" s="941" t="s">
        <v>247</v>
      </c>
      <c r="D159" s="941" t="s">
        <v>1720</v>
      </c>
      <c r="E159" s="941" t="s">
        <v>1130</v>
      </c>
    </row>
    <row r="160" spans="1:5" x14ac:dyDescent="0.2">
      <c r="A160" s="2346">
        <v>9</v>
      </c>
      <c r="B160" s="983" t="str">
        <f t="shared" si="2"/>
        <v>nach oben</v>
      </c>
      <c r="C160" s="941" t="s">
        <v>248</v>
      </c>
      <c r="D160" s="941" t="s">
        <v>1227</v>
      </c>
      <c r="E160" s="941" t="s">
        <v>1228</v>
      </c>
    </row>
    <row r="161" spans="1:5" x14ac:dyDescent="0.2">
      <c r="A161" s="2346">
        <v>9</v>
      </c>
      <c r="B161" s="983" t="str">
        <f t="shared" si="2"/>
        <v>nach unten</v>
      </c>
      <c r="C161" s="941" t="s">
        <v>249</v>
      </c>
      <c r="D161" s="941" t="s">
        <v>1129</v>
      </c>
      <c r="E161" s="941" t="s">
        <v>1229</v>
      </c>
    </row>
    <row r="162" spans="1:5" x14ac:dyDescent="0.2">
      <c r="A162" s="2346">
        <v>9</v>
      </c>
      <c r="B162" s="983" t="str">
        <f t="shared" si="2"/>
        <v>Mittelwert</v>
      </c>
      <c r="C162" s="941" t="s">
        <v>1128</v>
      </c>
      <c r="D162" s="941" t="s">
        <v>1127</v>
      </c>
      <c r="E162" s="941" t="s">
        <v>1230</v>
      </c>
    </row>
    <row r="163" spans="1:5" ht="25.5" x14ac:dyDescent="0.2">
      <c r="A163" s="2346">
        <v>11</v>
      </c>
      <c r="B163" s="983" t="str">
        <f t="shared" si="2"/>
        <v>Marktrisiko (Delta Normal)</v>
      </c>
      <c r="C163" s="941" t="s">
        <v>1126</v>
      </c>
      <c r="D163" s="941" t="s">
        <v>1125</v>
      </c>
      <c r="E163" s="941" t="s">
        <v>1231</v>
      </c>
    </row>
    <row r="164" spans="1:5" ht="63.75" x14ac:dyDescent="0.2">
      <c r="A164" s="2346">
        <v>11</v>
      </c>
      <c r="B164" s="983" t="str">
        <f t="shared" si="2"/>
        <v>Standardabweichung aufgrund der Variabilität der mulitvariat normalverteilten Risikofaktoren</v>
      </c>
      <c r="C164" s="941" t="s">
        <v>18</v>
      </c>
      <c r="D164" s="941" t="s">
        <v>422</v>
      </c>
      <c r="E164" s="941" t="s">
        <v>423</v>
      </c>
    </row>
    <row r="165" spans="1:5" x14ac:dyDescent="0.2">
      <c r="A165" s="2346">
        <v>11</v>
      </c>
      <c r="B165" s="983" t="str">
        <f t="shared" si="2"/>
        <v>Parameter</v>
      </c>
      <c r="C165" s="941" t="s">
        <v>66</v>
      </c>
      <c r="D165" s="941" t="s">
        <v>1124</v>
      </c>
      <c r="E165" s="941" t="s">
        <v>43</v>
      </c>
    </row>
    <row r="166" spans="1:5" x14ac:dyDescent="0.2">
      <c r="A166" s="2346">
        <v>11</v>
      </c>
      <c r="B166" s="983" t="str">
        <f t="shared" si="2"/>
        <v>Konfidenzniveau (%)</v>
      </c>
      <c r="C166" s="941" t="s">
        <v>213</v>
      </c>
      <c r="D166" s="941" t="s">
        <v>424</v>
      </c>
      <c r="E166" s="941" t="s">
        <v>425</v>
      </c>
    </row>
    <row r="167" spans="1:5" ht="25.5" x14ac:dyDescent="0.2">
      <c r="A167" s="2346">
        <v>11</v>
      </c>
      <c r="B167" s="983" t="str">
        <f t="shared" si="2"/>
        <v>Quantil der Standardnormalverteilung</v>
      </c>
      <c r="C167" s="941" t="s">
        <v>214</v>
      </c>
      <c r="D167" s="941" t="s">
        <v>426</v>
      </c>
      <c r="E167" s="941" t="s">
        <v>427</v>
      </c>
    </row>
    <row r="168" spans="1:5" x14ac:dyDescent="0.2">
      <c r="A168" s="2346">
        <v>11</v>
      </c>
      <c r="B168" s="983" t="str">
        <f t="shared" si="2"/>
        <v>Resultate</v>
      </c>
      <c r="C168" s="941" t="s">
        <v>1123</v>
      </c>
      <c r="D168" s="948" t="s">
        <v>1122</v>
      </c>
      <c r="E168" s="941" t="s">
        <v>17</v>
      </c>
    </row>
    <row r="169" spans="1:5" x14ac:dyDescent="0.2">
      <c r="A169" s="2346">
        <v>11</v>
      </c>
      <c r="B169" s="983" t="str">
        <f t="shared" si="2"/>
        <v>Standardabweichung</v>
      </c>
      <c r="C169" s="941" t="s">
        <v>64</v>
      </c>
      <c r="D169" s="941" t="s">
        <v>875</v>
      </c>
      <c r="E169" s="941" t="s">
        <v>16</v>
      </c>
    </row>
    <row r="170" spans="1:5" x14ac:dyDescent="0.2">
      <c r="A170" s="2346">
        <v>11</v>
      </c>
      <c r="B170" s="983" t="str">
        <f t="shared" si="2"/>
        <v>Alle Risikofaktoren</v>
      </c>
      <c r="C170" s="987" t="s">
        <v>1121</v>
      </c>
      <c r="D170" s="941" t="s">
        <v>1120</v>
      </c>
      <c r="E170" s="941" t="s">
        <v>5</v>
      </c>
    </row>
    <row r="171" spans="1:5" x14ac:dyDescent="0.2">
      <c r="A171" s="2346">
        <v>11</v>
      </c>
      <c r="B171" s="983" t="str">
        <f t="shared" si="2"/>
        <v>Alle Zinssätze</v>
      </c>
      <c r="C171" s="987" t="s">
        <v>900</v>
      </c>
      <c r="D171" s="941" t="s">
        <v>899</v>
      </c>
      <c r="E171" s="941" t="s">
        <v>14</v>
      </c>
    </row>
    <row r="172" spans="1:5" x14ac:dyDescent="0.2">
      <c r="A172" s="2346">
        <v>11</v>
      </c>
      <c r="B172" s="983" t="str">
        <f t="shared" si="2"/>
        <v>Alle, ohne Zinssätze</v>
      </c>
      <c r="C172" s="987" t="s">
        <v>1514</v>
      </c>
      <c r="D172" s="941" t="s">
        <v>1119</v>
      </c>
      <c r="E172" s="941" t="s">
        <v>15</v>
      </c>
    </row>
    <row r="173" spans="1:5" x14ac:dyDescent="0.2">
      <c r="A173" s="2346">
        <v>11</v>
      </c>
      <c r="B173" s="983" t="str">
        <f t="shared" si="2"/>
        <v>Zinssätze CHF</v>
      </c>
      <c r="C173" s="987" t="s">
        <v>1118</v>
      </c>
      <c r="D173" s="941" t="s">
        <v>1117</v>
      </c>
      <c r="E173" s="941" t="s">
        <v>6</v>
      </c>
    </row>
    <row r="174" spans="1:5" x14ac:dyDescent="0.2">
      <c r="A174" s="2346">
        <v>11</v>
      </c>
      <c r="B174" s="983" t="str">
        <f t="shared" si="2"/>
        <v>Zinssätze EUR</v>
      </c>
      <c r="C174" s="987" t="s">
        <v>1116</v>
      </c>
      <c r="D174" s="941" t="s">
        <v>1115</v>
      </c>
      <c r="E174" s="941" t="s">
        <v>7</v>
      </c>
    </row>
    <row r="175" spans="1:5" x14ac:dyDescent="0.2">
      <c r="A175" s="2346">
        <v>11</v>
      </c>
      <c r="B175" s="983" t="str">
        <f t="shared" si="2"/>
        <v>Zinssätze USD</v>
      </c>
      <c r="C175" s="987" t="s">
        <v>1114</v>
      </c>
      <c r="D175" s="941" t="s">
        <v>1113</v>
      </c>
      <c r="E175" s="941" t="s">
        <v>8</v>
      </c>
    </row>
    <row r="176" spans="1:5" x14ac:dyDescent="0.2">
      <c r="A176" s="2346">
        <v>11</v>
      </c>
      <c r="B176" s="983" t="str">
        <f t="shared" si="2"/>
        <v>Zinssätze GBP</v>
      </c>
      <c r="C176" s="987" t="s">
        <v>1112</v>
      </c>
      <c r="D176" s="941" t="s">
        <v>1111</v>
      </c>
      <c r="E176" s="941" t="s">
        <v>9</v>
      </c>
    </row>
    <row r="177" spans="1:5" x14ac:dyDescent="0.2">
      <c r="A177" s="2346">
        <v>11</v>
      </c>
      <c r="B177" s="983" t="str">
        <f t="shared" si="2"/>
        <v>Spreads</v>
      </c>
      <c r="C177" s="941" t="s">
        <v>10</v>
      </c>
      <c r="D177" s="941" t="s">
        <v>10</v>
      </c>
      <c r="E177" s="941" t="s">
        <v>10</v>
      </c>
    </row>
    <row r="178" spans="1:5" x14ac:dyDescent="0.2">
      <c r="A178" s="2346">
        <v>11</v>
      </c>
      <c r="B178" s="983" t="str">
        <f t="shared" si="2"/>
        <v>Fremdwährungen</v>
      </c>
      <c r="C178" s="941" t="s">
        <v>1511</v>
      </c>
      <c r="D178" s="941" t="s">
        <v>1513</v>
      </c>
      <c r="E178" s="941" t="s">
        <v>11</v>
      </c>
    </row>
    <row r="179" spans="1:5" x14ac:dyDescent="0.2">
      <c r="A179" s="2346">
        <v>11</v>
      </c>
      <c r="B179" s="983" t="str">
        <f t="shared" si="2"/>
        <v>Aktien</v>
      </c>
      <c r="C179" s="941" t="s">
        <v>54</v>
      </c>
      <c r="D179" s="941" t="s">
        <v>920</v>
      </c>
      <c r="E179" s="941" t="s">
        <v>12</v>
      </c>
    </row>
    <row r="180" spans="1:5" x14ac:dyDescent="0.2">
      <c r="A180" s="2346">
        <v>11</v>
      </c>
      <c r="B180" s="983" t="str">
        <f t="shared" si="2"/>
        <v>Immobilien</v>
      </c>
      <c r="C180" s="941" t="s">
        <v>1512</v>
      </c>
      <c r="D180" s="941" t="s">
        <v>1650</v>
      </c>
      <c r="E180" s="941" t="s">
        <v>223</v>
      </c>
    </row>
    <row r="181" spans="1:5" x14ac:dyDescent="0.2">
      <c r="A181" s="2346">
        <v>11</v>
      </c>
      <c r="B181" s="983" t="str">
        <f t="shared" si="2"/>
        <v>Hedge Funds</v>
      </c>
      <c r="C181" s="941" t="s">
        <v>134</v>
      </c>
      <c r="D181" s="941" t="s">
        <v>134</v>
      </c>
      <c r="E181" s="941" t="s">
        <v>134</v>
      </c>
    </row>
    <row r="182" spans="1:5" x14ac:dyDescent="0.2">
      <c r="A182" s="2346">
        <v>11</v>
      </c>
      <c r="B182" s="983" t="str">
        <f t="shared" si="2"/>
        <v>Private Equity</v>
      </c>
      <c r="C182" s="935" t="s">
        <v>135</v>
      </c>
      <c r="D182" s="935" t="s">
        <v>135</v>
      </c>
      <c r="E182" s="935" t="s">
        <v>135</v>
      </c>
    </row>
    <row r="183" spans="1:5" x14ac:dyDescent="0.2">
      <c r="A183" s="2346">
        <v>11</v>
      </c>
      <c r="B183" s="983" t="str">
        <f t="shared" si="2"/>
        <v>Beteiligungen</v>
      </c>
      <c r="C183" s="941" t="s">
        <v>224</v>
      </c>
      <c r="D183" s="941" t="s">
        <v>13</v>
      </c>
      <c r="E183" s="935" t="s">
        <v>13</v>
      </c>
    </row>
    <row r="184" spans="1:5" ht="25.5" x14ac:dyDescent="0.2">
      <c r="A184" s="2346">
        <v>11</v>
      </c>
      <c r="B184" s="983" t="str">
        <f t="shared" si="2"/>
        <v>Sensitivität = dRES/d(Risikofaktor)</v>
      </c>
      <c r="C184" s="941" t="s">
        <v>1110</v>
      </c>
      <c r="D184" s="941" t="s">
        <v>1109</v>
      </c>
      <c r="E184" s="941" t="s">
        <v>1232</v>
      </c>
    </row>
    <row r="185" spans="1:5" x14ac:dyDescent="0.2">
      <c r="A185" s="2346">
        <v>11</v>
      </c>
      <c r="B185" s="983" t="str">
        <f t="shared" si="2"/>
        <v xml:space="preserve">Risikofaktor </v>
      </c>
      <c r="C185" s="941" t="s">
        <v>1108</v>
      </c>
      <c r="D185" s="941" t="s">
        <v>1107</v>
      </c>
      <c r="E185" s="941" t="s">
        <v>473</v>
      </c>
    </row>
    <row r="186" spans="1:5" x14ac:dyDescent="0.2">
      <c r="A186" s="2346">
        <v>11</v>
      </c>
      <c r="B186" s="983" t="str">
        <f t="shared" si="2"/>
        <v>Sensitivitäten</v>
      </c>
      <c r="C186" s="941" t="s">
        <v>417</v>
      </c>
      <c r="D186" s="941" t="s">
        <v>418</v>
      </c>
      <c r="E186" s="941" t="s">
        <v>242</v>
      </c>
    </row>
    <row r="187" spans="1:5" x14ac:dyDescent="0.2">
      <c r="A187" s="2346">
        <v>11</v>
      </c>
      <c r="B187" s="983" t="str">
        <f t="shared" si="2"/>
        <v>Jährliche Volatilität</v>
      </c>
      <c r="C187" s="941" t="s">
        <v>1613</v>
      </c>
      <c r="D187" s="941" t="s">
        <v>1607</v>
      </c>
      <c r="E187" s="941" t="s">
        <v>20</v>
      </c>
    </row>
    <row r="188" spans="1:5" ht="25.5" x14ac:dyDescent="0.2">
      <c r="A188" s="2346">
        <v>11</v>
      </c>
      <c r="B188" s="983" t="str">
        <f t="shared" si="2"/>
        <v>historische Volatilität der Risikofaktoren (RF)</v>
      </c>
      <c r="C188" s="941" t="s">
        <v>1612</v>
      </c>
      <c r="D188" s="941" t="s">
        <v>1611</v>
      </c>
      <c r="E188" s="941" t="s">
        <v>225</v>
      </c>
    </row>
    <row r="189" spans="1:5" ht="38.25" x14ac:dyDescent="0.2">
      <c r="A189" s="2346">
        <v>11</v>
      </c>
      <c r="B189" s="983" t="str">
        <f t="shared" si="2"/>
        <v>Änderung der RES bei 1-sigma-Auslenkung des RFs</v>
      </c>
      <c r="C189" s="941" t="s">
        <v>1106</v>
      </c>
      <c r="D189" s="941" t="s">
        <v>1105</v>
      </c>
      <c r="E189" s="941" t="s">
        <v>1233</v>
      </c>
    </row>
    <row r="190" spans="1:5" ht="25.5" x14ac:dyDescent="0.2">
      <c r="A190" s="2346">
        <v>11</v>
      </c>
      <c r="B190" s="983" t="str">
        <f t="shared" si="2"/>
        <v xml:space="preserve">(Zinssätze in Basispunkten, </v>
      </c>
      <c r="C190" s="941" t="s">
        <v>1104</v>
      </c>
      <c r="D190" s="941" t="s">
        <v>1103</v>
      </c>
      <c r="E190" s="941" t="s">
        <v>21</v>
      </c>
    </row>
    <row r="191" spans="1:5" x14ac:dyDescent="0.2">
      <c r="A191" s="2346">
        <v>11</v>
      </c>
      <c r="B191" s="983" t="str">
        <f t="shared" si="2"/>
        <v>Rest in %)</v>
      </c>
      <c r="C191" s="941" t="s">
        <v>1102</v>
      </c>
      <c r="D191" s="941" t="s">
        <v>1101</v>
      </c>
      <c r="E191" s="941" t="s">
        <v>22</v>
      </c>
    </row>
    <row r="192" spans="1:5" x14ac:dyDescent="0.2">
      <c r="A192" s="2346">
        <v>11</v>
      </c>
      <c r="B192" s="983" t="str">
        <f t="shared" si="2"/>
        <v>Korrelationsmatrix</v>
      </c>
      <c r="C192" s="941" t="s">
        <v>67</v>
      </c>
      <c r="D192" s="941" t="s">
        <v>1100</v>
      </c>
      <c r="E192" s="989" t="s">
        <v>19</v>
      </c>
    </row>
    <row r="193" spans="1:5" ht="25.5" x14ac:dyDescent="0.2">
      <c r="A193" s="2346">
        <v>11</v>
      </c>
      <c r="B193" s="983" t="str">
        <f t="shared" si="2"/>
        <v>Standardabweichung mit Matrix in Mio CHF</v>
      </c>
      <c r="C193" s="941" t="s">
        <v>110</v>
      </c>
      <c r="D193" s="941" t="s">
        <v>1099</v>
      </c>
      <c r="E193" s="941" t="s">
        <v>1234</v>
      </c>
    </row>
    <row r="194" spans="1:5" ht="25.5" x14ac:dyDescent="0.2">
      <c r="A194" s="2346">
        <v>11</v>
      </c>
      <c r="B194" s="983" t="str">
        <f t="shared" si="2"/>
        <v>Gesamtstandardabweichung in Mio CHF</v>
      </c>
      <c r="C194" s="941" t="s">
        <v>111</v>
      </c>
      <c r="D194" s="941" t="s">
        <v>1098</v>
      </c>
      <c r="E194" s="941" t="s">
        <v>1235</v>
      </c>
    </row>
    <row r="195" spans="1:5" ht="25.5" x14ac:dyDescent="0.2">
      <c r="A195" s="2346">
        <v>12</v>
      </c>
      <c r="B195" s="983" t="str">
        <f t="shared" si="2"/>
        <v>Szenarien für Risikofaktoren</v>
      </c>
      <c r="C195" s="941" t="s">
        <v>432</v>
      </c>
      <c r="D195" s="941" t="s">
        <v>433</v>
      </c>
      <c r="E195" s="941" t="s">
        <v>252</v>
      </c>
    </row>
    <row r="196" spans="1:5" ht="25.5" x14ac:dyDescent="0.2">
      <c r="A196" s="2346">
        <v>12</v>
      </c>
      <c r="B196" s="983" t="str">
        <f t="shared" si="2"/>
        <v>partielle Ableitungen der Risikofaktoren</v>
      </c>
      <c r="C196" s="941" t="s">
        <v>1176</v>
      </c>
      <c r="D196" s="941" t="s">
        <v>1236</v>
      </c>
      <c r="E196" s="941" t="s">
        <v>1515</v>
      </c>
    </row>
    <row r="197" spans="1:5" ht="25.5" x14ac:dyDescent="0.2">
      <c r="A197" s="2346">
        <v>12</v>
      </c>
      <c r="B197" s="983" t="str">
        <f t="shared" si="2"/>
        <v>Änderung der Reserven [Mio. CHF]</v>
      </c>
      <c r="C197" s="941" t="s">
        <v>1557</v>
      </c>
      <c r="D197" s="941" t="s">
        <v>1558</v>
      </c>
      <c r="E197" s="941" t="s">
        <v>1668</v>
      </c>
    </row>
    <row r="198" spans="1:5" x14ac:dyDescent="0.2">
      <c r="A198" s="2346">
        <v>12</v>
      </c>
      <c r="B198" s="983" t="str">
        <f t="shared" si="2"/>
        <v xml:space="preserve">Hinweise: </v>
      </c>
      <c r="C198" s="941" t="s">
        <v>243</v>
      </c>
      <c r="D198" s="941" t="s">
        <v>1043</v>
      </c>
      <c r="E198" s="941" t="s">
        <v>1220</v>
      </c>
    </row>
    <row r="199" spans="1:5" ht="51" x14ac:dyDescent="0.2">
      <c r="A199" s="2346">
        <v>12</v>
      </c>
      <c r="B199" s="983" t="str">
        <f t="shared" si="2"/>
        <v>- Auswirkungen auf Derivatpositionen sind unter "Aktiven" zu erfassen.</v>
      </c>
      <c r="C199" s="945" t="s">
        <v>367</v>
      </c>
      <c r="D199" s="945" t="s">
        <v>1517</v>
      </c>
      <c r="E199" s="945" t="s">
        <v>1521</v>
      </c>
    </row>
    <row r="200" spans="1:5" ht="51" x14ac:dyDescent="0.2">
      <c r="A200" s="2346">
        <v>12</v>
      </c>
      <c r="B200" s="983" t="str">
        <f t="shared" si="2"/>
        <v>- Auswirkungen auf eingebettete Optionen sind unter "Passiven" zu erfassen.</v>
      </c>
      <c r="C200" s="945" t="s">
        <v>366</v>
      </c>
      <c r="D200" s="945" t="s">
        <v>1522</v>
      </c>
      <c r="E200" s="945" t="s">
        <v>1520</v>
      </c>
    </row>
    <row r="201" spans="1:5" ht="38.25" x14ac:dyDescent="0.2">
      <c r="A201" s="2346">
        <v>12</v>
      </c>
      <c r="B201" s="983" t="str">
        <f t="shared" si="2"/>
        <v>- Die Szenarienzeiträume beziehen sich auf Tagesendwerte.</v>
      </c>
      <c r="C201" s="945" t="s">
        <v>1516</v>
      </c>
      <c r="D201" s="945" t="s">
        <v>1518</v>
      </c>
      <c r="E201" s="945" t="s">
        <v>1519</v>
      </c>
    </row>
    <row r="202" spans="1:5" x14ac:dyDescent="0.2">
      <c r="A202" s="2346">
        <v>12</v>
      </c>
      <c r="B202" s="983" t="str">
        <f t="shared" si="2"/>
        <v>Resultat</v>
      </c>
      <c r="C202" s="941" t="s">
        <v>323</v>
      </c>
      <c r="D202" s="941" t="s">
        <v>497</v>
      </c>
      <c r="E202" s="941" t="s">
        <v>253</v>
      </c>
    </row>
    <row r="203" spans="1:5" x14ac:dyDescent="0.2">
      <c r="A203" s="2346">
        <v>12</v>
      </c>
      <c r="B203" s="983" t="str">
        <f t="shared" si="2"/>
        <v xml:space="preserve">Basisauslenkung </v>
      </c>
      <c r="C203" s="941" t="s">
        <v>269</v>
      </c>
      <c r="D203" s="941" t="s">
        <v>1651</v>
      </c>
      <c r="E203" s="941" t="s">
        <v>434</v>
      </c>
    </row>
    <row r="204" spans="1:5" x14ac:dyDescent="0.2">
      <c r="A204" s="2346">
        <v>12</v>
      </c>
      <c r="B204" s="983" t="str">
        <f t="shared" ref="B204:B309" si="3">IF(VLOOKUP(A204,A204:E204,language+2)="",VLOOKUP(A204,A204:E204,3),VLOOKUP(A204,A204:E204,language+2))</f>
        <v>Equity Drop -60%</v>
      </c>
      <c r="C204" s="941" t="s">
        <v>97</v>
      </c>
      <c r="D204" s="941" t="s">
        <v>30</v>
      </c>
      <c r="E204" s="941" t="s">
        <v>30</v>
      </c>
    </row>
    <row r="205" spans="1:5" ht="25.5" x14ac:dyDescent="0.2">
      <c r="A205" s="2346">
        <v>12</v>
      </c>
      <c r="B205" s="983" t="str">
        <f t="shared" si="3"/>
        <v>Immobilien Crash</v>
      </c>
      <c r="C205" s="941" t="s">
        <v>491</v>
      </c>
      <c r="D205" s="941" t="s">
        <v>435</v>
      </c>
      <c r="E205" s="941" t="s">
        <v>322</v>
      </c>
    </row>
    <row r="206" spans="1:5" x14ac:dyDescent="0.2">
      <c r="A206" s="2346">
        <v>12</v>
      </c>
      <c r="B206" s="983" t="str">
        <f t="shared" si="3"/>
        <v>Aktienmarkt crash (1987)</v>
      </c>
      <c r="C206" s="941" t="s">
        <v>257</v>
      </c>
      <c r="D206" s="941" t="s">
        <v>436</v>
      </c>
      <c r="E206" s="941" t="s">
        <v>340</v>
      </c>
    </row>
    <row r="207" spans="1:5" ht="25.5" x14ac:dyDescent="0.2">
      <c r="A207" s="2346">
        <v>12</v>
      </c>
      <c r="B207" s="983" t="str">
        <f t="shared" si="3"/>
        <v>Nikkei crash (1989/90)</v>
      </c>
      <c r="C207" s="941" t="s">
        <v>185</v>
      </c>
      <c r="D207" s="941" t="s">
        <v>437</v>
      </c>
      <c r="E207" s="941" t="s">
        <v>259</v>
      </c>
    </row>
    <row r="208" spans="1:5" ht="25.5" x14ac:dyDescent="0.2">
      <c r="A208" s="2346">
        <v>12</v>
      </c>
      <c r="B208" s="983" t="str">
        <f t="shared" si="3"/>
        <v>Europäische Währungskrise (1992)</v>
      </c>
      <c r="C208" s="941" t="s">
        <v>261</v>
      </c>
      <c r="D208" s="941" t="s">
        <v>1097</v>
      </c>
      <c r="E208" s="941" t="s">
        <v>345</v>
      </c>
    </row>
    <row r="209" spans="1:5" ht="25.5" x14ac:dyDescent="0.2">
      <c r="A209" s="2346">
        <v>12</v>
      </c>
      <c r="B209" s="983" t="str">
        <f t="shared" si="3"/>
        <v>US Zinskrise (1994)</v>
      </c>
      <c r="C209" s="941" t="s">
        <v>263</v>
      </c>
      <c r="D209" s="941" t="s">
        <v>438</v>
      </c>
      <c r="E209" s="941" t="s">
        <v>344</v>
      </c>
    </row>
    <row r="210" spans="1:5" ht="25.5" x14ac:dyDescent="0.2">
      <c r="A210" s="2346">
        <v>12</v>
      </c>
      <c r="B210" s="983" t="str">
        <f t="shared" si="3"/>
        <v>Russland Krise / LTCM (1998)</v>
      </c>
      <c r="C210" s="941" t="s">
        <v>265</v>
      </c>
      <c r="D210" s="941" t="s">
        <v>439</v>
      </c>
      <c r="E210" s="941" t="s">
        <v>341</v>
      </c>
    </row>
    <row r="211" spans="1:5" ht="25.5" x14ac:dyDescent="0.2">
      <c r="A211" s="2346">
        <v>12</v>
      </c>
      <c r="B211" s="983" t="str">
        <f t="shared" si="3"/>
        <v>Aktienmarkt crash (2000/2001)</v>
      </c>
      <c r="C211" s="941" t="s">
        <v>267</v>
      </c>
      <c r="D211" s="941" t="s">
        <v>1096</v>
      </c>
      <c r="E211" s="941" t="s">
        <v>342</v>
      </c>
    </row>
    <row r="212" spans="1:5" x14ac:dyDescent="0.2">
      <c r="A212" s="2346">
        <v>12</v>
      </c>
      <c r="B212" s="983" t="str">
        <f t="shared" si="3"/>
        <v>Globale Deflation</v>
      </c>
      <c r="C212" s="941" t="s">
        <v>318</v>
      </c>
      <c r="D212" s="941" t="s">
        <v>440</v>
      </c>
      <c r="E212" s="941" t="s">
        <v>343</v>
      </c>
    </row>
    <row r="213" spans="1:5" x14ac:dyDescent="0.2">
      <c r="A213" s="2346">
        <v>12</v>
      </c>
      <c r="B213" s="983" t="str">
        <f t="shared" si="3"/>
        <v>Globale Inflation</v>
      </c>
      <c r="C213" s="941" t="s">
        <v>493</v>
      </c>
      <c r="D213" s="941" t="s">
        <v>1095</v>
      </c>
      <c r="E213" s="941" t="s">
        <v>493</v>
      </c>
    </row>
    <row r="214" spans="1:5" x14ac:dyDescent="0.2">
      <c r="A214" s="2346">
        <v>12</v>
      </c>
      <c r="B214" s="983" t="str">
        <f t="shared" si="3"/>
        <v>Finanzkrise 2008</v>
      </c>
      <c r="C214" s="941" t="s">
        <v>494</v>
      </c>
      <c r="D214" s="941" t="s">
        <v>1094</v>
      </c>
      <c r="E214" s="941" t="s">
        <v>1237</v>
      </c>
    </row>
    <row r="215" spans="1:5" x14ac:dyDescent="0.2">
      <c r="A215" s="2346">
        <v>12</v>
      </c>
      <c r="B215" s="983" t="str">
        <f t="shared" si="3"/>
        <v>Komposit</v>
      </c>
      <c r="C215" s="941" t="s">
        <v>355</v>
      </c>
      <c r="D215" s="941" t="s">
        <v>441</v>
      </c>
      <c r="E215" s="941" t="s">
        <v>441</v>
      </c>
    </row>
    <row r="216" spans="1:5" x14ac:dyDescent="0.2">
      <c r="A216" s="2346">
        <v>12</v>
      </c>
      <c r="B216" s="983" t="str">
        <f t="shared" si="3"/>
        <v>Immobilien</v>
      </c>
      <c r="C216" s="941" t="s">
        <v>1512</v>
      </c>
      <c r="D216" s="941" t="s">
        <v>1650</v>
      </c>
      <c r="E216" s="941" t="s">
        <v>223</v>
      </c>
    </row>
    <row r="217" spans="1:5" ht="25.5" x14ac:dyDescent="0.2">
      <c r="A217" s="2346">
        <v>12</v>
      </c>
      <c r="B217" s="983" t="str">
        <f t="shared" si="3"/>
        <v>Schwächung der Fremdwährungen</v>
      </c>
      <c r="C217" s="941" t="s">
        <v>1669</v>
      </c>
      <c r="D217" s="941" t="s">
        <v>1652</v>
      </c>
      <c r="E217" s="941" t="s">
        <v>356</v>
      </c>
    </row>
    <row r="218" spans="1:5" ht="25.5" x14ac:dyDescent="0.2">
      <c r="A218" s="2346">
        <v>12</v>
      </c>
      <c r="B218" s="983" t="str">
        <f t="shared" si="3"/>
        <v>Stärkung der Fremdwährungen</v>
      </c>
      <c r="C218" s="941" t="s">
        <v>1670</v>
      </c>
      <c r="D218" s="941" t="s">
        <v>1653</v>
      </c>
      <c r="E218" s="941" t="s">
        <v>357</v>
      </c>
    </row>
    <row r="219" spans="1:5" x14ac:dyDescent="0.2">
      <c r="A219" s="2346">
        <v>12</v>
      </c>
      <c r="B219" s="983" t="str">
        <f t="shared" si="3"/>
        <v>Zinssenkung</v>
      </c>
      <c r="C219" s="941" t="s">
        <v>1527</v>
      </c>
      <c r="D219" s="941" t="s">
        <v>1525</v>
      </c>
      <c r="E219" s="941" t="s">
        <v>442</v>
      </c>
    </row>
    <row r="220" spans="1:5" x14ac:dyDescent="0.2">
      <c r="A220" s="2346">
        <v>12</v>
      </c>
      <c r="B220" s="983" t="str">
        <f t="shared" si="3"/>
        <v>Zinsanstieg</v>
      </c>
      <c r="C220" s="941" t="s">
        <v>1526</v>
      </c>
      <c r="D220" s="941" t="s">
        <v>1033</v>
      </c>
      <c r="E220" s="941" t="s">
        <v>443</v>
      </c>
    </row>
    <row r="221" spans="1:5" x14ac:dyDescent="0.2">
      <c r="A221" s="2346">
        <v>12</v>
      </c>
      <c r="B221" s="983" t="str">
        <f t="shared" si="3"/>
        <v>Grippepandemie</v>
      </c>
      <c r="C221" s="941" t="s">
        <v>1093</v>
      </c>
      <c r="D221" s="941" t="s">
        <v>1092</v>
      </c>
      <c r="E221" s="941" t="s">
        <v>661</v>
      </c>
    </row>
    <row r="222" spans="1:5" x14ac:dyDescent="0.2">
      <c r="A222" s="2346">
        <v>12</v>
      </c>
      <c r="B222" s="983" t="str">
        <f t="shared" si="3"/>
        <v>Financial Distress</v>
      </c>
      <c r="C222" s="941" t="s">
        <v>72</v>
      </c>
      <c r="D222" s="941" t="s">
        <v>1032</v>
      </c>
      <c r="E222" s="941" t="s">
        <v>72</v>
      </c>
    </row>
    <row r="223" spans="1:5" x14ac:dyDescent="0.2">
      <c r="A223" s="2346">
        <v>12</v>
      </c>
      <c r="B223" s="983" t="str">
        <f t="shared" si="3"/>
        <v>Risikofaktor (RF)</v>
      </c>
      <c r="C223" s="941" t="s">
        <v>1500</v>
      </c>
      <c r="D223" s="941" t="s">
        <v>1499</v>
      </c>
      <c r="E223" s="941" t="s">
        <v>421</v>
      </c>
    </row>
    <row r="224" spans="1:5" x14ac:dyDescent="0.2">
      <c r="A224" s="2346">
        <v>12</v>
      </c>
      <c r="B224" s="983" t="str">
        <f t="shared" si="3"/>
        <v>Basisauslenkung</v>
      </c>
      <c r="C224" s="941" t="s">
        <v>1528</v>
      </c>
      <c r="D224" s="941" t="s">
        <v>1651</v>
      </c>
      <c r="E224" s="941" t="s">
        <v>434</v>
      </c>
    </row>
    <row r="225" spans="1:5" x14ac:dyDescent="0.2">
      <c r="A225" s="2346">
        <v>12</v>
      </c>
      <c r="B225" s="983" t="str">
        <f t="shared" si="3"/>
        <v>Änderung der Aktiven</v>
      </c>
      <c r="C225" s="941" t="s">
        <v>1524</v>
      </c>
      <c r="D225" s="941" t="s">
        <v>1062</v>
      </c>
      <c r="E225" s="941" t="s">
        <v>1539</v>
      </c>
    </row>
    <row r="226" spans="1:5" ht="25.5" x14ac:dyDescent="0.2">
      <c r="A226" s="2346">
        <v>12</v>
      </c>
      <c r="B226" s="983" t="str">
        <f t="shared" si="3"/>
        <v>bei Auslenkung des RF</v>
      </c>
      <c r="C226" s="941" t="s">
        <v>247</v>
      </c>
      <c r="D226" s="941" t="s">
        <v>1090</v>
      </c>
      <c r="E226" s="941" t="s">
        <v>1510</v>
      </c>
    </row>
    <row r="227" spans="1:5" x14ac:dyDescent="0.2">
      <c r="A227" s="2346">
        <v>12</v>
      </c>
      <c r="B227" s="983" t="str">
        <f t="shared" si="3"/>
        <v>nach oben</v>
      </c>
      <c r="C227" s="941" t="s">
        <v>248</v>
      </c>
      <c r="D227" s="941" t="s">
        <v>1227</v>
      </c>
      <c r="E227" s="941" t="s">
        <v>1228</v>
      </c>
    </row>
    <row r="228" spans="1:5" x14ac:dyDescent="0.2">
      <c r="A228" s="2346">
        <v>12</v>
      </c>
      <c r="B228" s="983" t="str">
        <f t="shared" si="3"/>
        <v>nach unten</v>
      </c>
      <c r="C228" s="941" t="s">
        <v>249</v>
      </c>
      <c r="D228" s="941" t="s">
        <v>1129</v>
      </c>
      <c r="E228" s="941" t="s">
        <v>1229</v>
      </c>
    </row>
    <row r="229" spans="1:5" x14ac:dyDescent="0.2">
      <c r="A229" s="2346">
        <v>12</v>
      </c>
      <c r="B229" s="983" t="str">
        <f t="shared" si="3"/>
        <v>Änderung der Passiven</v>
      </c>
      <c r="C229" s="941" t="s">
        <v>1523</v>
      </c>
      <c r="D229" s="941" t="s">
        <v>1031</v>
      </c>
      <c r="E229" s="941" t="s">
        <v>1243</v>
      </c>
    </row>
    <row r="230" spans="1:5" x14ac:dyDescent="0.2">
      <c r="A230" s="2346">
        <v>12</v>
      </c>
      <c r="B230" s="983" t="str">
        <f t="shared" si="3"/>
        <v>Änderung der Reserven</v>
      </c>
      <c r="C230" s="941" t="s">
        <v>1531</v>
      </c>
      <c r="D230" s="941" t="s">
        <v>1532</v>
      </c>
      <c r="E230" s="941" t="s">
        <v>1244</v>
      </c>
    </row>
    <row r="231" spans="1:5" x14ac:dyDescent="0.2">
      <c r="A231" s="2346">
        <v>12</v>
      </c>
      <c r="B231" s="983" t="str">
        <f t="shared" si="3"/>
        <v>bei Auslenkung des RF</v>
      </c>
      <c r="C231" s="941" t="s">
        <v>247</v>
      </c>
      <c r="D231" s="941" t="s">
        <v>1089</v>
      </c>
      <c r="E231" s="941" t="s">
        <v>1238</v>
      </c>
    </row>
    <row r="232" spans="1:5" x14ac:dyDescent="0.2">
      <c r="A232" s="2346">
        <v>12</v>
      </c>
      <c r="B232" s="983" t="str">
        <f t="shared" si="3"/>
        <v>Mio. CHF</v>
      </c>
      <c r="C232" s="941" t="s">
        <v>98</v>
      </c>
      <c r="D232" s="941" t="s">
        <v>1088</v>
      </c>
      <c r="E232" s="941" t="s">
        <v>1239</v>
      </c>
    </row>
    <row r="233" spans="1:5" x14ac:dyDescent="0.2">
      <c r="A233" s="2346">
        <v>12</v>
      </c>
      <c r="B233" s="983" t="str">
        <f t="shared" si="3"/>
        <v>Auslenkung</v>
      </c>
      <c r="C233" s="941" t="s">
        <v>1530</v>
      </c>
      <c r="D233" s="941" t="s">
        <v>1664</v>
      </c>
      <c r="E233" s="941" t="s">
        <v>1665</v>
      </c>
    </row>
    <row r="234" spans="1:5" x14ac:dyDescent="0.2">
      <c r="A234" s="2346">
        <v>12</v>
      </c>
      <c r="B234" s="983" t="str">
        <f t="shared" si="3"/>
        <v>Änderung der Liabilities</v>
      </c>
      <c r="C234" s="941" t="s">
        <v>1087</v>
      </c>
      <c r="D234" s="941" t="s">
        <v>1031</v>
      </c>
      <c r="E234" s="941" t="s">
        <v>1086</v>
      </c>
    </row>
    <row r="235" spans="1:5" ht="25.5" x14ac:dyDescent="0.2">
      <c r="A235" s="2346">
        <v>12</v>
      </c>
      <c r="B235" s="983" t="str">
        <f t="shared" si="3"/>
        <v>Auslenkung / Basisauslenkung</v>
      </c>
      <c r="C235" s="941" t="s">
        <v>1529</v>
      </c>
      <c r="D235" s="941" t="s">
        <v>1666</v>
      </c>
      <c r="E235" s="941" t="s">
        <v>1750</v>
      </c>
    </row>
    <row r="236" spans="1:5" x14ac:dyDescent="0.2">
      <c r="A236" s="2346">
        <v>12</v>
      </c>
      <c r="B236" s="983" t="str">
        <f t="shared" si="3"/>
        <v>Wert aus Sensitivität</v>
      </c>
      <c r="C236" s="941" t="s">
        <v>1540</v>
      </c>
      <c r="D236" s="941" t="s">
        <v>1541</v>
      </c>
      <c r="E236" s="941" t="s">
        <v>1542</v>
      </c>
    </row>
    <row r="237" spans="1:5" ht="38.25" x14ac:dyDescent="0.2">
      <c r="A237" s="2346">
        <v>12</v>
      </c>
      <c r="B237" s="983" t="str">
        <f t="shared" si="3"/>
        <v>exakter Wert (inkl. sämtlicher nichtlinearer Effekte)</v>
      </c>
      <c r="C237" s="941" t="s">
        <v>1536</v>
      </c>
      <c r="D237" s="941" t="s">
        <v>1537</v>
      </c>
      <c r="E237" s="941" t="s">
        <v>1538</v>
      </c>
    </row>
    <row r="238" spans="1:5" x14ac:dyDescent="0.2">
      <c r="A238" s="2346">
        <v>12</v>
      </c>
      <c r="B238" s="983" t="str">
        <f t="shared" si="3"/>
        <v>Delta-Gamma-Wert</v>
      </c>
      <c r="C238" s="941" t="s">
        <v>1533</v>
      </c>
      <c r="D238" s="941" t="s">
        <v>1534</v>
      </c>
      <c r="E238" s="941" t="s">
        <v>1535</v>
      </c>
    </row>
    <row r="239" spans="1:5" x14ac:dyDescent="0.2">
      <c r="A239" s="2346">
        <v>12</v>
      </c>
      <c r="B239" s="983" t="str">
        <f t="shared" si="3"/>
        <v>Delta-Wert des Szenarios</v>
      </c>
      <c r="C239" s="941" t="s">
        <v>502</v>
      </c>
      <c r="D239" s="941" t="s">
        <v>1085</v>
      </c>
      <c r="E239" s="941" t="s">
        <v>1240</v>
      </c>
    </row>
    <row r="240" spans="1:5" x14ac:dyDescent="0.2">
      <c r="A240" s="2346">
        <v>12</v>
      </c>
      <c r="B240" s="983" t="str">
        <f t="shared" si="3"/>
        <v>Total</v>
      </c>
      <c r="C240" s="941" t="s">
        <v>55</v>
      </c>
      <c r="D240" s="941" t="s">
        <v>55</v>
      </c>
      <c r="E240" s="941" t="s">
        <v>55</v>
      </c>
    </row>
    <row r="241" spans="1:6" ht="25.5" x14ac:dyDescent="0.2">
      <c r="A241" s="2346" t="s">
        <v>1543</v>
      </c>
      <c r="B241" s="983" t="str">
        <f t="shared" si="3"/>
        <v>Inputs für BAG-Szenarien</v>
      </c>
      <c r="C241" s="941" t="s">
        <v>1559</v>
      </c>
      <c r="D241" s="941" t="s">
        <v>1560</v>
      </c>
      <c r="E241" s="941" t="s">
        <v>1561</v>
      </c>
    </row>
    <row r="242" spans="1:6" ht="38.25" x14ac:dyDescent="0.2">
      <c r="A242" s="2346" t="s">
        <v>1543</v>
      </c>
      <c r="B242" s="983" t="str">
        <f t="shared" si="3"/>
        <v>Die Eingaben für die Szenarien beziehen sich nur auf die OKP CH</v>
      </c>
      <c r="C242" s="941" t="s">
        <v>2627</v>
      </c>
      <c r="D242" s="941" t="s">
        <v>2625</v>
      </c>
      <c r="E242" s="941" t="s">
        <v>2626</v>
      </c>
    </row>
    <row r="243" spans="1:6" ht="51" x14ac:dyDescent="0.2">
      <c r="A243" s="2346" t="s">
        <v>1543</v>
      </c>
      <c r="B243" s="983" t="str">
        <f t="shared" si="3"/>
        <v xml:space="preserve">Anzahl Versicherte, Bruttoneueintritte und deren Risikoausgleich und Leistungen </v>
      </c>
      <c r="C243" s="941" t="s">
        <v>2168</v>
      </c>
      <c r="D243" s="941" t="s">
        <v>2171</v>
      </c>
      <c r="E243" s="941" t="s">
        <v>2238</v>
      </c>
    </row>
    <row r="244" spans="1:6" x14ac:dyDescent="0.2">
      <c r="A244" s="2346" t="s">
        <v>1543</v>
      </c>
      <c r="B244" s="983" t="str">
        <f t="shared" si="3"/>
        <v>Versichertengruppe</v>
      </c>
      <c r="C244" s="941" t="s">
        <v>524</v>
      </c>
      <c r="D244" s="941" t="s">
        <v>1058</v>
      </c>
      <c r="E244" s="941" t="s">
        <v>1245</v>
      </c>
    </row>
    <row r="245" spans="1:6" x14ac:dyDescent="0.2">
      <c r="A245" s="2346" t="s">
        <v>1543</v>
      </c>
      <c r="B245" s="983" t="str">
        <f t="shared" si="3"/>
        <v>Kinder</v>
      </c>
      <c r="C245" s="941" t="s">
        <v>539</v>
      </c>
      <c r="D245" s="941" t="s">
        <v>1057</v>
      </c>
      <c r="E245" s="941" t="s">
        <v>1246</v>
      </c>
    </row>
    <row r="246" spans="1:6" ht="38.25" x14ac:dyDescent="0.2">
      <c r="A246" s="2346" t="s">
        <v>1543</v>
      </c>
      <c r="B246" s="983" t="str">
        <f t="shared" si="3"/>
        <v>Jugendliche und Erwachsene mit wählbarer Jahresfranchise von ...</v>
      </c>
      <c r="C246" s="941" t="s">
        <v>538</v>
      </c>
      <c r="D246" s="941" t="s">
        <v>1056</v>
      </c>
      <c r="E246" s="941" t="s">
        <v>1270</v>
      </c>
    </row>
    <row r="247" spans="1:6" x14ac:dyDescent="0.2">
      <c r="A247" s="2346" t="s">
        <v>1543</v>
      </c>
      <c r="B247" s="983" t="str">
        <f t="shared" si="3"/>
        <v>INSGESAMT</v>
      </c>
      <c r="C247" s="941" t="s">
        <v>2103</v>
      </c>
      <c r="D247" s="941" t="s">
        <v>2172</v>
      </c>
      <c r="E247" s="941" t="s">
        <v>498</v>
      </c>
    </row>
    <row r="248" spans="1:6" ht="25.5" x14ac:dyDescent="0.2">
      <c r="A248" s="2346" t="s">
        <v>1543</v>
      </c>
      <c r="B248" s="983" t="str">
        <f t="shared" si="3"/>
        <v>Anzahl Versicherte 2024 (Durchschnittsbestand)</v>
      </c>
      <c r="C248" s="935" t="str">
        <f>"Anzahl Versicherte "&amp;current_year-1&amp;" (Durchschnittsbestand)"</f>
        <v>Anzahl Versicherte 2024 (Durchschnittsbestand)</v>
      </c>
      <c r="D248" s="941" t="str">
        <f>"Nombre d'assurés en "&amp;current_year-1&amp;" (effectif moyen)"</f>
        <v>Nombre d'assurés en 2024 (effectif moyen)</v>
      </c>
      <c r="E248" s="941" t="str">
        <f>"Number of insured "&amp;current_year-1&amp;" (average inventory)"</f>
        <v>Number of insured 2024 (average inventory)</v>
      </c>
    </row>
    <row r="249" spans="1:6" ht="25.5" x14ac:dyDescent="0.2">
      <c r="A249" s="2346" t="s">
        <v>1543</v>
      </c>
      <c r="B249" s="983" t="str">
        <f t="shared" ref="B249" si="4">IF(VLOOKUP(A249,A249:E249,language+2)="",VLOOKUP(A249,A249:E249,3),VLOOKUP(A249,A249:E249,language+2))</f>
        <v>Anzahl Versicherte 2025 (Durchschnittsbestand)</v>
      </c>
      <c r="C249" s="935" t="str">
        <f>"Anzahl Versicherte "&amp;current_year&amp;" (Durchschnittsbestand)"</f>
        <v>Anzahl Versicherte 2025 (Durchschnittsbestand)</v>
      </c>
      <c r="D249" s="941" t="str">
        <f>"Nombre d'assurés en "&amp;current_year&amp;" (effectif moyen)"</f>
        <v>Nombre d'assurés en 2025 (effectif moyen)</v>
      </c>
      <c r="E249" s="941" t="str">
        <f>"Number of insured "&amp;current_year&amp;" (average inventory)"</f>
        <v>Number of insured 2025 (average inventory)</v>
      </c>
    </row>
    <row r="250" spans="1:6" ht="25.5" x14ac:dyDescent="0.2">
      <c r="A250" s="2346" t="s">
        <v>1543</v>
      </c>
      <c r="B250" s="983" t="str">
        <f t="shared" ref="B250:B251" si="5">IF(VLOOKUP(A250,A250:E250,language+2)="",VLOOKUP(A250,A250:E250,3),VLOOKUP(A250,A250:E250,language+2))</f>
        <v>Anzahl Bruttoneueintritte (per 01.01.2025)</v>
      </c>
      <c r="C250" s="935" t="str">
        <f>"Anzahl Bruttoneueintritte (per 01.01."&amp;current_year&amp;")"</f>
        <v>Anzahl Bruttoneueintritte (per 01.01.2025)</v>
      </c>
      <c r="D250" s="941" t="str">
        <f>"Nombre brut de nouveaux assurés au 01.01."&amp;current_year</f>
        <v>Nombre brut de nouveaux assurés au 01.01.2025</v>
      </c>
      <c r="E250" s="941" t="str">
        <f>"Number of gross new entrants at 01.01."&amp;current_year</f>
        <v>Number of gross new entrants at 01.01.2025</v>
      </c>
    </row>
    <row r="251" spans="1:6" ht="51" x14ac:dyDescent="0.2">
      <c r="A251" s="2346" t="s">
        <v>1543</v>
      </c>
      <c r="B251" s="983" t="str">
        <f t="shared" si="5"/>
        <v>Anzahl Bruttoneueintritte per 01.01.2025 (nur ERW und JUG, ohne KIN)</v>
      </c>
      <c r="C251" s="941" t="str">
        <f>"Anzahl Bruttoneueintritte per 01.01."&amp;current_year&amp;" (nur ERW und JUG, ohne KIN)"</f>
        <v>Anzahl Bruttoneueintritte per 01.01.2025 (nur ERW und JUG, ohne KIN)</v>
      </c>
      <c r="D251" s="941" t="str">
        <f>"Nombre brut de nouveaux assurés au 01.01."&amp;current_year&amp;" (seulement adultes et jeunes adultes, sans enfants)"</f>
        <v>Nombre brut de nouveaux assurés au 01.01.2025 (seulement adultes et jeunes adultes, sans enfants)</v>
      </c>
      <c r="E251" s="941" t="str">
        <f>"Number of gross new entrants at 01.01."&amp;current_year&amp;" (adults and young adults, without kids)"</f>
        <v>Number of gross new entrants at 01.01.2025 (adults and young adults, without kids)</v>
      </c>
    </row>
    <row r="252" spans="1:6" ht="25.5" x14ac:dyDescent="0.2">
      <c r="A252" s="2346" t="s">
        <v>1543</v>
      </c>
      <c r="B252" s="983" t="str">
        <f t="shared" si="3"/>
        <v>OKP-Versichertenstruktur 2024</v>
      </c>
      <c r="C252" s="941" t="str">
        <f>"OKP-Versichertenstruktur "&amp;current_year-1</f>
        <v>OKP-Versichertenstruktur 2024</v>
      </c>
      <c r="D252" s="941" t="str">
        <f>"Structure des assurés AOS en "&amp;current_year-1</f>
        <v>Structure des assurés AOS en 2024</v>
      </c>
      <c r="E252" s="941" t="str">
        <f>"Structure of insured under statutory health insurance "&amp;current_year-1</f>
        <v>Structure of insured under statutory health insurance 2024</v>
      </c>
    </row>
    <row r="253" spans="1:6" ht="37.5" customHeight="1" x14ac:dyDescent="0.2">
      <c r="A253" s="2346" t="s">
        <v>1543</v>
      </c>
      <c r="B253" s="983" t="str">
        <f t="shared" ref="B253" si="6">IF(VLOOKUP(A253,A253:E253,language+2)="",VLOOKUP(A253,A253:E253,3),VLOOKUP(A253,A253:E253,language+2))</f>
        <v>Nettoleistungen und Risikoausgleich 2025 in Fr. (verbleibender Bestand)</v>
      </c>
      <c r="C253" s="2415" t="str">
        <f>"Nettoleistungen und Risikoausgleich "&amp;current_year&amp;" in Fr. (verbleibender Bestand)"</f>
        <v>Nettoleistungen und Risikoausgleich 2025 in Fr. (verbleibender Bestand)</v>
      </c>
      <c r="D253" s="941" t="str">
        <f>"Prestations nettes et compensation des risques "&amp;current_year&amp;" en Fr. (effectif restant)"</f>
        <v>Prestations nettes et compensation des risques 2025 en Fr. (effectif restant)</v>
      </c>
      <c r="E253" s="941" t="str">
        <f>"Net benefits and risk compensation in "&amp;current_year&amp;" in CHF (insured staying)"</f>
        <v>Net benefits and risk compensation in 2025 in CHF (insured staying)</v>
      </c>
      <c r="F253" s="2260"/>
    </row>
    <row r="254" spans="1:6" x14ac:dyDescent="0.2">
      <c r="A254" s="2346" t="s">
        <v>1543</v>
      </c>
      <c r="B254" s="983" t="str">
        <f>IF(VLOOKUP(A254,A254:E254,language+2)="",VLOOKUP(A254,A254:E254,3),VLOOKUP(A254,A254:E254,language+2))</f>
        <v>Bruttoprämien 2024</v>
      </c>
      <c r="C254" s="941" t="str">
        <f>"Bruttoprämien "&amp;current_year-1</f>
        <v>Bruttoprämien 2024</v>
      </c>
      <c r="D254" s="941" t="str">
        <f>"Primes brutes en "&amp;current_year-1</f>
        <v>Primes brutes en 2024</v>
      </c>
      <c r="E254" s="941" t="str">
        <f>"Gross premiums "&amp;current_year-1</f>
        <v>Gross premiums 2024</v>
      </c>
    </row>
    <row r="255" spans="1:6" ht="25.5" x14ac:dyDescent="0.2">
      <c r="A255" s="2346" t="s">
        <v>1543</v>
      </c>
      <c r="B255" s="983" t="str">
        <f>IF(VLOOKUP(A255,A255:E255,language+2)="",VLOOKUP(A255,A255:E255,3),VLOOKUP(A255,A255:E255,language+2))</f>
        <v>davon : neuer Bestand (Durchschnitt)</v>
      </c>
      <c r="C255" s="2415" t="s">
        <v>2688</v>
      </c>
      <c r="D255" s="941" t="s">
        <v>2689</v>
      </c>
      <c r="E255" s="941" t="s">
        <v>2684</v>
      </c>
      <c r="F255" s="2260"/>
    </row>
    <row r="256" spans="1:6" ht="25.5" x14ac:dyDescent="0.2">
      <c r="A256" s="2346" t="s">
        <v>1543</v>
      </c>
      <c r="B256" s="983" t="str">
        <f>IF(VLOOKUP(A256,A256:E256,language+2)="",VLOOKUP(A256,A256:E256,3),VLOOKUP(A256,A256:E256,language+2))</f>
        <v>Nettoleistungen sind negativ</v>
      </c>
      <c r="C256" s="941" t="s">
        <v>2145</v>
      </c>
      <c r="D256" s="941" t="s">
        <v>2174</v>
      </c>
      <c r="E256" s="941" t="s">
        <v>2239</v>
      </c>
    </row>
    <row r="257" spans="1:6" ht="38.25" x14ac:dyDescent="0.2">
      <c r="A257" s="2346" t="s">
        <v>1543</v>
      </c>
      <c r="B257" s="983" t="str">
        <f>IF(VLOOKUP(A257,A257:E257,language+2)="",VLOOKUP(A257,A257:E257,3),VLOOKUP(A257,A257:E257,language+2))</f>
        <v>Abgaben negativ/Beiträge positiv</v>
      </c>
      <c r="C257" s="941" t="s">
        <v>2144</v>
      </c>
      <c r="D257" s="941" t="s">
        <v>2173</v>
      </c>
      <c r="E257" s="941" t="s">
        <v>2240</v>
      </c>
    </row>
    <row r="258" spans="1:6" ht="51" x14ac:dyDescent="0.2">
      <c r="A258" s="2346" t="s">
        <v>1543</v>
      </c>
      <c r="B258" s="983" t="str">
        <f t="shared" ref="B258" si="7">IF(VLOOKUP(A258,A258:E258,language+2)="",VLOOKUP(A258,A258:E258,3),VLOOKUP(A258,A258:E258,language+2))</f>
        <v>durch. Nettoleistungen und Risikoausgleich pro Versicherten 2025 (verbleibender Bestand)</v>
      </c>
      <c r="C258" s="941" t="str">
        <f>"durch. Nettoleistungen und Risikoausgleich pro Versicherten "&amp;current_year&amp;" (verbleibender Bestand)"</f>
        <v>durch. Nettoleistungen und Risikoausgleich pro Versicherten 2025 (verbleibender Bestand)</v>
      </c>
      <c r="D258" s="941" t="str">
        <f>"moy. des prestations nettes et compensation des risques par assuré en "&amp;current_year&amp;" (effectif restant)"</f>
        <v>moy. des prestations nettes et compensation des risques par assuré en 2025 (effectif restant)</v>
      </c>
      <c r="E258" s="941" t="str">
        <f>"average net claims  and risk compensation per insured "&amp;current_year&amp;" (insured staying)"</f>
        <v>average net claims  and risk compensation per insured 2025 (insured staying)</v>
      </c>
      <c r="F258" s="2260"/>
    </row>
    <row r="259" spans="1:6" ht="51" x14ac:dyDescent="0.2">
      <c r="A259" s="2346" t="s">
        <v>1543</v>
      </c>
      <c r="B259" s="983" t="str">
        <f t="shared" ref="B259" si="8">IF(VLOOKUP(A259,A259:E259,language+2)="",VLOOKUP(A259,A259:E259,3),VLOOKUP(A259,A259:E259,language+2))</f>
        <v>durch. Nettoleistungen und Risikoausgleich pro Versicherten 2025 (neuer Bestand)</v>
      </c>
      <c r="C259" s="941" t="str">
        <f>"durch. Nettoleistungen und Risikoausgleich pro Versicherten "&amp;current_year&amp;" (neuer Bestand)"</f>
        <v>durch. Nettoleistungen und Risikoausgleich pro Versicherten 2025 (neuer Bestand)</v>
      </c>
      <c r="D259" s="941" t="str">
        <f>"moy. des prestations nettes et compensation des risques par assuré en "&amp;current_year&amp;" (nouvel effectif)"</f>
        <v>moy. des prestations nettes et compensation des risques par assuré en 2025 (nouvel effectif)</v>
      </c>
      <c r="E259" s="941" t="str">
        <f>"average net claims  and risk compensation per insured "&amp;current_year&amp;" (neu insured)"</f>
        <v>average net claims  and risk compensation per insured 2025 (neu insured)</v>
      </c>
      <c r="F259" s="2260"/>
    </row>
    <row r="260" spans="1:6" ht="38.25" x14ac:dyDescent="0.2">
      <c r="A260" s="2346" t="s">
        <v>1543</v>
      </c>
      <c r="B260" s="983" t="str">
        <f t="shared" ref="B260" si="9">IF(VLOOKUP(A260,A260:E260,language+2)="",VLOOKUP(A260,A260:E260,3),VLOOKUP(A260,A260:E260,language+2))</f>
        <v>Einzelschadenrückversicherung (GR Rückversicherung)</v>
      </c>
      <c r="C260" s="941" t="s">
        <v>2104</v>
      </c>
      <c r="D260" s="941" t="s">
        <v>2175</v>
      </c>
      <c r="E260" s="941" t="s">
        <v>2241</v>
      </c>
    </row>
    <row r="261" spans="1:6" ht="25.5" x14ac:dyDescent="0.2">
      <c r="A261" s="2346" t="s">
        <v>1543</v>
      </c>
      <c r="B261" s="983" t="str">
        <f t="shared" ref="B261" si="10">IF(VLOOKUP(A261,A261:E261,language+2)="",VLOOKUP(A261,A261:E261,3),VLOOKUP(A261,A261:E261,language+2))</f>
        <v xml:space="preserve">Selbstbehalt Einzelschaden </v>
      </c>
      <c r="C261" s="941" t="s">
        <v>2105</v>
      </c>
      <c r="D261" s="941" t="s">
        <v>2176</v>
      </c>
      <c r="E261" s="941" t="s">
        <v>2242</v>
      </c>
    </row>
    <row r="262" spans="1:6" x14ac:dyDescent="0.2">
      <c r="A262" s="2346" t="s">
        <v>1543</v>
      </c>
      <c r="B262" s="983" t="str">
        <f t="shared" ref="B262" si="11">IF(VLOOKUP(A262,A262:E262,language+2)="",VLOOKUP(A262,A262:E262,3),VLOOKUP(A262,A262:E262,language+2))</f>
        <v>(Aus Blatt BAG 37)</v>
      </c>
      <c r="C262" s="941" t="s">
        <v>2106</v>
      </c>
      <c r="D262" s="941" t="s">
        <v>2177</v>
      </c>
      <c r="E262" s="941" t="s">
        <v>2243</v>
      </c>
    </row>
    <row r="263" spans="1:6" x14ac:dyDescent="0.2">
      <c r="A263" s="2346" t="s">
        <v>1543</v>
      </c>
      <c r="B263" s="983" t="str">
        <f t="shared" ref="B263" si="12">IF(VLOOKUP(A263,A263:E263,language+2)="",VLOOKUP(A263,A263:E263,3),VLOOKUP(A263,A263:E263,language+2))</f>
        <v>Gesamtleistungslimite</v>
      </c>
      <c r="C263" s="941" t="s">
        <v>2107</v>
      </c>
      <c r="D263" s="941" t="s">
        <v>2178</v>
      </c>
      <c r="E263" s="941" t="s">
        <v>2244</v>
      </c>
    </row>
    <row r="264" spans="1:6" ht="25.5" x14ac:dyDescent="0.2">
      <c r="A264" s="2346" t="s">
        <v>1543</v>
      </c>
      <c r="B264" s="983" t="str">
        <f t="shared" si="3"/>
        <v>Anzahl Erkrankte 2024</v>
      </c>
      <c r="C264" s="941" t="str">
        <f>"Anzahl Erkrankte "&amp;current_year-1</f>
        <v>Anzahl Erkrankte 2024</v>
      </c>
      <c r="D264" s="941" t="str">
        <f>"Nombre de malades en "&amp;current_year-1</f>
        <v>Nombre de malades en 2024</v>
      </c>
      <c r="E264" s="941" t="str">
        <f>"Number of persons falling sick "&amp;current_year-1</f>
        <v>Number of persons falling sick 2024</v>
      </c>
    </row>
    <row r="265" spans="1:6" ht="38.25" x14ac:dyDescent="0.2">
      <c r="A265" s="2346" t="s">
        <v>1543</v>
      </c>
      <c r="B265" s="983" t="str">
        <f t="shared" si="3"/>
        <v>OKP-Versichertenstruktur 2025</v>
      </c>
      <c r="C265" s="941" t="str">
        <f>"OKP-Versichertenstruktur "&amp;current_year</f>
        <v>OKP-Versichertenstruktur 2025</v>
      </c>
      <c r="D265" s="941" t="str">
        <f>"Structure des assurés AOS en "&amp;current_year</f>
        <v>Structure des assurés AOS en 2025</v>
      </c>
      <c r="E265" s="941" t="str">
        <f>"Structure of insured under statutory health insurance system "&amp;current_year</f>
        <v>Structure of insured under statutory health insurance system 2025</v>
      </c>
    </row>
    <row r="266" spans="1:6" x14ac:dyDescent="0.2">
      <c r="A266" s="2346" t="s">
        <v>1543</v>
      </c>
      <c r="B266" s="983" t="str">
        <f t="shared" si="3"/>
        <v>Anzahl Versicherte 2025</v>
      </c>
      <c r="C266" s="935" t="str">
        <f>"Anzahl Versicherte "&amp;current_year</f>
        <v>Anzahl Versicherte 2025</v>
      </c>
      <c r="D266" s="941" t="str">
        <f>"Nombre d'assurés en "&amp;current_year</f>
        <v>Nombre d'assurés en 2025</v>
      </c>
      <c r="E266" s="941" t="str">
        <f>"Number of insured "&amp;current_year</f>
        <v>Number of insured 2025</v>
      </c>
    </row>
    <row r="267" spans="1:6" x14ac:dyDescent="0.2">
      <c r="A267" s="2346" t="s">
        <v>1543</v>
      </c>
      <c r="B267" s="983" t="str">
        <f t="shared" si="3"/>
        <v>Bruttoprämien 2025</v>
      </c>
      <c r="C267" s="935" t="str">
        <f>"Bruttoprämien "&amp;current_year</f>
        <v>Bruttoprämien 2025</v>
      </c>
      <c r="D267" s="941" t="str">
        <f>"Primes brutes en "&amp;current_year</f>
        <v>Primes brutes en 2025</v>
      </c>
      <c r="E267" s="941" t="str">
        <f>"Gross premiums "&amp;current_year</f>
        <v>Gross premiums 2025</v>
      </c>
    </row>
    <row r="268" spans="1:6" ht="38.25" x14ac:dyDescent="0.2">
      <c r="A268" s="2346" t="s">
        <v>1543</v>
      </c>
      <c r="B268" s="983" t="str">
        <f t="shared" si="3"/>
        <v>Geplante Ø Anzahl Versicherte per 2026 (gemäss Strategie)</v>
      </c>
      <c r="C268" s="935" t="str">
        <f>"Geplante Ø Anzahl Versicherte per "&amp;current_year+1&amp;" (gemäss Strategie)"</f>
        <v>Geplante Ø Anzahl Versicherte per 2026 (gemäss Strategie)</v>
      </c>
      <c r="D268" s="941" t="str">
        <f>"Nombre Ø prévu d'assurés en "&amp;current_year+1&amp;" (conformément à la stratégie)"</f>
        <v>Nombre Ø prévu d'assurés en 2026 (conformément à la stratégie)</v>
      </c>
      <c r="E268" s="935" t="str">
        <f>"Planned avg. number of insured per "&amp;current_year+1&amp;" (according to strategy)"</f>
        <v>Planned avg. number of insured per 2026 (according to strategy)</v>
      </c>
    </row>
    <row r="269" spans="1:6" ht="76.5" x14ac:dyDescent="0.2">
      <c r="A269" s="2346" t="s">
        <v>1543</v>
      </c>
      <c r="B269" s="983" t="str">
        <f t="shared" si="3"/>
        <v>Geplante Ø Anzahl Versicherte 2026 gemäss Strategie der Krankenkasse (ohne Zusammenschlüsse/Fusionen)</v>
      </c>
      <c r="C269" s="935" t="str">
        <f>"Geplante Ø Anzahl Versicherte "&amp;current_year+1&amp;" gemäss Strategie der Krankenkasse (ohne Zusammenschlüsse/Fusionen)"</f>
        <v>Geplante Ø Anzahl Versicherte 2026 gemäss Strategie der Krankenkasse (ohne Zusammenschlüsse/Fusionen)</v>
      </c>
      <c r="D269" s="941" t="str">
        <f>"Nombre Ø prévu d'assurés en "&amp;current_year+1&amp;" d'après la stratégie de la caisse-maladie (sans rattachements, ni fusions)"</f>
        <v>Nombre Ø prévu d'assurés en 2026 d'après la stratégie de la caisse-maladie (sans rattachements, ni fusions)</v>
      </c>
      <c r="E269" s="935" t="str">
        <f>"Planned avg. number of insured "&amp;current_year+1&amp;" according to health insurer strategy (without amalgamations/mergers)"</f>
        <v>Planned avg. number of insured 2026 according to health insurer strategy (without amalgamations/mergers)</v>
      </c>
    </row>
    <row r="270" spans="1:6" x14ac:dyDescent="0.2">
      <c r="A270" s="2346" t="s">
        <v>2668</v>
      </c>
      <c r="B270" s="983" t="str">
        <f t="shared" ref="B270" si="13">IF(VLOOKUP(A270,A270:E270,language+2)="",VLOOKUP(A270,A270:E270,3),VLOOKUP(A270,A270:E270,language+2))</f>
        <v>BAG Szenarien</v>
      </c>
      <c r="C270" s="993" t="s">
        <v>2601</v>
      </c>
      <c r="D270" s="993" t="s">
        <v>2599</v>
      </c>
      <c r="E270" s="993" t="s">
        <v>2600</v>
      </c>
    </row>
    <row r="271" spans="1:6" ht="38.25" x14ac:dyDescent="0.2">
      <c r="A271" s="2346" t="s">
        <v>2668</v>
      </c>
      <c r="B271" s="983" t="str">
        <f t="shared" ref="B271:B272" si="14">IF(VLOOKUP(A271,A271:E271,language+2)="",VLOOKUP(A271,A271:E271,3),VLOOKUP(A271,A271:E271,language+2))</f>
        <v xml:space="preserve">BAG 1: ungünstige Risikostruktur des Neugeschäfts </v>
      </c>
      <c r="C271" s="941" t="s">
        <v>2155</v>
      </c>
      <c r="D271" s="941" t="s">
        <v>2179</v>
      </c>
      <c r="E271" s="941" t="s">
        <v>2245</v>
      </c>
    </row>
    <row r="272" spans="1:6" ht="25.5" x14ac:dyDescent="0.2">
      <c r="A272" s="2346">
        <v>14</v>
      </c>
      <c r="B272" s="983" t="str">
        <f t="shared" si="14"/>
        <v>Ungünstige Risikostruktur</v>
      </c>
      <c r="C272" s="941" t="s">
        <v>2669</v>
      </c>
      <c r="D272" s="941" t="s">
        <v>2228</v>
      </c>
      <c r="E272" s="941" t="s">
        <v>2246</v>
      </c>
    </row>
    <row r="273" spans="1:5" ht="25.5" x14ac:dyDescent="0.2">
      <c r="A273" s="2346" t="s">
        <v>2668</v>
      </c>
      <c r="B273" s="983" t="str">
        <f t="shared" ref="B273" si="15">IF(VLOOKUP(A273,A273:E273,language+2)="",VLOOKUP(A273,A273:E273,3),VLOOKUP(A273,A273:E273,language+2))</f>
        <v>Bruttoneueintritte</v>
      </c>
      <c r="C273" s="941" t="s">
        <v>2109</v>
      </c>
      <c r="D273" s="941" t="s">
        <v>2180</v>
      </c>
      <c r="E273" s="941" t="s">
        <v>2247</v>
      </c>
    </row>
    <row r="274" spans="1:5" ht="25.5" x14ac:dyDescent="0.2">
      <c r="A274" s="2346" t="s">
        <v>2668</v>
      </c>
      <c r="B274" s="983" t="str">
        <f t="shared" ref="B274" si="16">IF(VLOOKUP(A274,A274:E274,language+2)="",VLOOKUP(A274,A274:E274,3),VLOOKUP(A274,A274:E274,language+2))</f>
        <v>unterjährige Neueintritte</v>
      </c>
      <c r="C274" s="941" t="s">
        <v>2112</v>
      </c>
      <c r="D274" s="941" t="s">
        <v>2188</v>
      </c>
      <c r="E274" s="941" t="s">
        <v>2248</v>
      </c>
    </row>
    <row r="275" spans="1:5" ht="25.5" x14ac:dyDescent="0.2">
      <c r="A275" s="2346" t="s">
        <v>2668</v>
      </c>
      <c r="B275" s="983" t="str">
        <f t="shared" ref="B275:B279" si="17">IF(VLOOKUP(A275,A275:E275,language+2)="",VLOOKUP(A275,A275:E275,3),VLOOKUP(A275,A275:E275,language+2))</f>
        <v>Anzahl Bruttoneueintritte per 01.01.2025</v>
      </c>
      <c r="C275" s="941" t="str">
        <f>"Anzahl Bruttoneueintritte per 01.01."&amp;current_year</f>
        <v>Anzahl Bruttoneueintritte per 01.01.2025</v>
      </c>
      <c r="D275" s="941" t="str">
        <f>"Nombre brut des nouveaux assurés au 01.01."&amp;current_year</f>
        <v>Nombre brut des nouveaux assurés au 01.01.2025</v>
      </c>
      <c r="E275" s="941" t="str">
        <f>"Number of gross new entrants as at 01.01."&amp;current_year</f>
        <v>Number of gross new entrants as at 01.01.2025</v>
      </c>
    </row>
    <row r="276" spans="1:5" ht="25.5" x14ac:dyDescent="0.2">
      <c r="A276" s="2346" t="s">
        <v>2668</v>
      </c>
      <c r="B276" s="983" t="str">
        <f t="shared" ref="B276" si="18">IF(VLOOKUP(A276,A276:E276,language+2)="",VLOOKUP(A276,A276:E276,3),VLOOKUP(A276,A276:E276,language+2))</f>
        <v>Versichertenwachstum von 2024 auf 2025</v>
      </c>
      <c r="C276" s="941" t="str">
        <f>"Versichertenwachstum von "&amp;current_year-1&amp;" auf "&amp;current_year</f>
        <v>Versichertenwachstum von 2024 auf 2025</v>
      </c>
      <c r="D276" s="941" t="str">
        <f>"Croissance de l'effectif de "&amp;current_year-1&amp;" à "&amp;current_year</f>
        <v>Croissance de l'effectif de 2024 à 2025</v>
      </c>
      <c r="E276" s="941" t="str">
        <f>"growth in insured from "&amp;current_year-1&amp;" to "&amp;current_year</f>
        <v>growth in insured from 2024 to 2025</v>
      </c>
    </row>
    <row r="277" spans="1:5" ht="38.25" x14ac:dyDescent="0.2">
      <c r="A277" s="2346" t="s">
        <v>2668</v>
      </c>
      <c r="B277" s="983" t="str">
        <f t="shared" si="17"/>
        <v>durchschn. NL inkl. RA pro Versicherten</v>
      </c>
      <c r="C277" s="941" t="s">
        <v>2154</v>
      </c>
      <c r="D277" s="941" t="s">
        <v>2181</v>
      </c>
      <c r="E277" s="941" t="s">
        <v>2249</v>
      </c>
    </row>
    <row r="278" spans="1:5" ht="38.25" x14ac:dyDescent="0.2">
      <c r="A278" s="2346" t="s">
        <v>2668</v>
      </c>
      <c r="B278" s="983" t="str">
        <f t="shared" ref="B278" si="19">IF(VLOOKUP(A278,A278:E278,language+2)="",VLOOKUP(A278,A278:E278,3),VLOOKUP(A278,A278:E278,language+2))</f>
        <v>Anzahl unterjährige Neueintritte in Prozent</v>
      </c>
      <c r="C278" s="941" t="s">
        <v>2113</v>
      </c>
      <c r="D278" s="941" t="s">
        <v>2189</v>
      </c>
      <c r="E278" s="941" t="s">
        <v>2250</v>
      </c>
    </row>
    <row r="279" spans="1:5" ht="38.25" x14ac:dyDescent="0.2">
      <c r="A279" s="2346" t="s">
        <v>2668</v>
      </c>
      <c r="B279" s="983" t="str">
        <f t="shared" si="17"/>
        <v>1.20*durchschnittliche Nettoleistung Branche</v>
      </c>
      <c r="C279" s="941" t="s">
        <v>2146</v>
      </c>
      <c r="D279" s="941" t="s">
        <v>2182</v>
      </c>
      <c r="E279" s="941" t="s">
        <v>2251</v>
      </c>
    </row>
    <row r="280" spans="1:5" ht="25.5" x14ac:dyDescent="0.2">
      <c r="A280" s="2346" t="s">
        <v>2668</v>
      </c>
      <c r="B280" s="983" t="str">
        <f t="shared" ref="B280" si="20">IF(VLOOKUP(A280,A280:E280,language+2)="",VLOOKUP(A280,A280:E280,3),VLOOKUP(A280,A280:E280,language+2))</f>
        <v>Anzahl unterjährige Neueintritte</v>
      </c>
      <c r="C280" s="941" t="s">
        <v>2114</v>
      </c>
      <c r="D280" s="941" t="s">
        <v>2190</v>
      </c>
      <c r="E280" s="941" t="s">
        <v>2248</v>
      </c>
    </row>
    <row r="281" spans="1:5" ht="25.5" x14ac:dyDescent="0.2">
      <c r="A281" s="2346" t="s">
        <v>2668</v>
      </c>
      <c r="B281" s="983" t="str">
        <f>IF(VLOOKUP(A281,A281:E281,language+2)="",VLOOKUP(A281,A281:E281,3),VLOOKUP(A281,A281:E281,language+2))</f>
        <v>nicht kalkulierte Zusatzkosten Total</v>
      </c>
      <c r="C281" s="941" t="s">
        <v>2111</v>
      </c>
      <c r="D281" s="941" t="s">
        <v>2183</v>
      </c>
      <c r="E281" s="941" t="s">
        <v>2252</v>
      </c>
    </row>
    <row r="282" spans="1:5" ht="25.5" x14ac:dyDescent="0.2">
      <c r="A282" s="2346" t="s">
        <v>2668</v>
      </c>
      <c r="B282" s="983" t="str">
        <f t="shared" ref="B282" si="21">IF(VLOOKUP(A282,A282:E282,language+2)="",VLOOKUP(A282,A282:E282,3),VLOOKUP(A282,A282:E282,language+2))</f>
        <v>nicht kalkulierte Zusatzkosten in Prozent</v>
      </c>
      <c r="C282" s="941" t="s">
        <v>2110</v>
      </c>
      <c r="D282" s="941" t="s">
        <v>2191</v>
      </c>
      <c r="E282" s="941" t="s">
        <v>2253</v>
      </c>
    </row>
    <row r="283" spans="1:5" ht="25.5" x14ac:dyDescent="0.2">
      <c r="A283" s="2346" t="s">
        <v>2668</v>
      </c>
      <c r="B283" s="983" t="str">
        <f t="shared" ref="B283:B284" si="22">IF(VLOOKUP(A283,A283:E283,language+2)="",VLOOKUP(A283,A283:E283,3),VLOOKUP(A283,A283:E283,language+2))</f>
        <v>Dieses Szenario wird berücksichtigt</v>
      </c>
      <c r="C283" s="941" t="s">
        <v>2184</v>
      </c>
      <c r="D283" s="941" t="s">
        <v>2186</v>
      </c>
      <c r="E283" s="941" t="s">
        <v>2254</v>
      </c>
    </row>
    <row r="284" spans="1:5" ht="25.5" x14ac:dyDescent="0.2">
      <c r="A284" s="2346" t="s">
        <v>2668</v>
      </c>
      <c r="B284" s="983" t="str">
        <f t="shared" si="22"/>
        <v>Dieses Szenario wird nicht berücksichtigt</v>
      </c>
      <c r="C284" s="941" t="s">
        <v>2185</v>
      </c>
      <c r="D284" s="941" t="s">
        <v>2187</v>
      </c>
      <c r="E284" s="941" t="s">
        <v>2255</v>
      </c>
    </row>
    <row r="285" spans="1:5" ht="38.25" x14ac:dyDescent="0.2">
      <c r="A285" s="2346" t="s">
        <v>2668</v>
      </c>
      <c r="B285" s="983" t="str">
        <f t="shared" ref="B285" si="23">IF(VLOOKUP(A285,A285:E285,language+2)="",VLOOKUP(A285,A285:E285,3),VLOOKUP(A285,A285:E285,language+2))</f>
        <v>durchschnittlicher Aufwand (Konto 4) pro Versicherten</v>
      </c>
      <c r="C285" s="941" t="s">
        <v>2536</v>
      </c>
      <c r="D285" s="941" t="s">
        <v>2537</v>
      </c>
      <c r="E285" s="941" t="s">
        <v>2538</v>
      </c>
    </row>
    <row r="286" spans="1:5" ht="38.25" x14ac:dyDescent="0.2">
      <c r="A286" s="2346" t="s">
        <v>2668</v>
      </c>
      <c r="B286" s="983" t="str">
        <f t="shared" ref="B286:B287" si="24">IF(VLOOKUP(A286,A286:E286,language+2)="",VLOOKUP(A286,A286:E286,3),VLOOKUP(A286,A286:E286,language+2))</f>
        <v>BAG 2: unerwartete Zunahme Hochkostenfälle</v>
      </c>
      <c r="C286" s="941" t="s">
        <v>2156</v>
      </c>
      <c r="D286" s="941" t="s">
        <v>2192</v>
      </c>
      <c r="E286" s="941" t="s">
        <v>2256</v>
      </c>
    </row>
    <row r="287" spans="1:5" ht="25.5" x14ac:dyDescent="0.2">
      <c r="A287" s="2346">
        <v>14</v>
      </c>
      <c r="B287" s="983" t="str">
        <f t="shared" si="24"/>
        <v>Zunahme Hochkostenfälle</v>
      </c>
      <c r="C287" s="941" t="s">
        <v>2134</v>
      </c>
      <c r="D287" s="941" t="s">
        <v>2229</v>
      </c>
      <c r="E287" s="941" t="s">
        <v>2257</v>
      </c>
    </row>
    <row r="288" spans="1:5" x14ac:dyDescent="0.2">
      <c r="A288" s="2346" t="s">
        <v>2668</v>
      </c>
      <c r="B288" s="983" t="str">
        <f t="shared" ref="B288" si="25">IF(VLOOKUP(A288,A288:E288,language+2)="",VLOOKUP(A288,A288:E288,3),VLOOKUP(A288,A288:E288,language+2))</f>
        <v>Hochkostenfälle</v>
      </c>
      <c r="C288" s="941" t="s">
        <v>2115</v>
      </c>
      <c r="D288" s="941" t="s">
        <v>2193</v>
      </c>
      <c r="E288" s="941" t="s">
        <v>2258</v>
      </c>
    </row>
    <row r="289" spans="1:5" ht="25.5" x14ac:dyDescent="0.2">
      <c r="A289" s="2346" t="s">
        <v>2668</v>
      </c>
      <c r="B289" s="983" t="str">
        <f t="shared" ref="B289:B292" si="26">IF(VLOOKUP(A289,A289:E289,language+2)="",VLOOKUP(A289,A289:E289,3),VLOOKUP(A289,A289:E289,language+2))</f>
        <v>Anzahl Neueintritte</v>
      </c>
      <c r="C289" s="941" t="s">
        <v>2680</v>
      </c>
      <c r="D289" s="941" t="s">
        <v>2190</v>
      </c>
      <c r="E289" s="941" t="s">
        <v>2681</v>
      </c>
    </row>
    <row r="290" spans="1:5" ht="38.25" x14ac:dyDescent="0.2">
      <c r="A290" s="2346" t="s">
        <v>2668</v>
      </c>
      <c r="B290" s="983" t="str">
        <f t="shared" si="26"/>
        <v>davon Anteil Hochkostenfälle in Prozent</v>
      </c>
      <c r="C290" s="941" t="s">
        <v>2118</v>
      </c>
      <c r="D290" s="941" t="s">
        <v>2194</v>
      </c>
      <c r="E290" s="941" t="s">
        <v>2259</v>
      </c>
    </row>
    <row r="291" spans="1:5" ht="25.5" x14ac:dyDescent="0.2">
      <c r="A291" s="2346" t="s">
        <v>2668</v>
      </c>
      <c r="B291" s="983" t="str">
        <f t="shared" si="26"/>
        <v>davon Anteil Hochkostenfälle absolut</v>
      </c>
      <c r="C291" s="941" t="s">
        <v>2119</v>
      </c>
      <c r="D291" s="941" t="s">
        <v>2195</v>
      </c>
      <c r="E291" s="941" t="s">
        <v>2260</v>
      </c>
    </row>
    <row r="292" spans="1:5" ht="25.5" x14ac:dyDescent="0.2">
      <c r="A292" s="2346" t="s">
        <v>2668</v>
      </c>
      <c r="B292" s="983" t="str">
        <f t="shared" si="26"/>
        <v>Zusatzkosten pro Hochkostenfall</v>
      </c>
      <c r="C292" s="941" t="s">
        <v>2120</v>
      </c>
      <c r="D292" s="941" t="s">
        <v>2196</v>
      </c>
      <c r="E292" s="941" t="s">
        <v>2261</v>
      </c>
    </row>
    <row r="293" spans="1:5" ht="38.25" x14ac:dyDescent="0.2">
      <c r="A293" s="2346" t="s">
        <v>2668</v>
      </c>
      <c r="B293" s="983" t="str">
        <f t="shared" ref="B293:B295" si="27">IF(VLOOKUP(A293,A293:E293,language+2)="",VLOOKUP(A293,A293:E293,3),VLOOKUP(A293,A293:E293,language+2))</f>
        <v>Zusatzkosten pro Hochkostenfall nach Rückversicherung</v>
      </c>
      <c r="C293" s="941" t="s">
        <v>2121</v>
      </c>
      <c r="D293" s="941" t="s">
        <v>2197</v>
      </c>
      <c r="E293" s="941" t="s">
        <v>2262</v>
      </c>
    </row>
    <row r="294" spans="1:5" ht="25.5" x14ac:dyDescent="0.2">
      <c r="A294" s="2346" t="s">
        <v>2668</v>
      </c>
      <c r="B294" s="983" t="str">
        <f t="shared" si="27"/>
        <v>Gesamtleistung der Rückversicherung</v>
      </c>
      <c r="C294" s="941" t="s">
        <v>2122</v>
      </c>
      <c r="D294" s="941" t="s">
        <v>2198</v>
      </c>
      <c r="E294" s="941" t="s">
        <v>2263</v>
      </c>
    </row>
    <row r="295" spans="1:5" x14ac:dyDescent="0.2">
      <c r="A295" s="2346" t="s">
        <v>2668</v>
      </c>
      <c r="B295" s="983" t="str">
        <f t="shared" si="27"/>
        <v>Selbstbehalt</v>
      </c>
      <c r="C295" s="941" t="s">
        <v>2117</v>
      </c>
      <c r="D295" s="941" t="s">
        <v>2199</v>
      </c>
      <c r="E295" s="941" t="s">
        <v>2264</v>
      </c>
    </row>
    <row r="296" spans="1:5" x14ac:dyDescent="0.2">
      <c r="A296" s="2346" t="s">
        <v>2668</v>
      </c>
      <c r="B296" s="983" t="str">
        <f t="shared" ref="B296" si="28">IF(VLOOKUP(A296,A296:E296,language+2)="",VLOOKUP(A296,A296:E296,3),VLOOKUP(A296,A296:E296,language+2))</f>
        <v>GR Versicherung</v>
      </c>
      <c r="C296" s="941" t="s">
        <v>2116</v>
      </c>
      <c r="D296" s="941" t="s">
        <v>2200</v>
      </c>
      <c r="E296" s="941" t="s">
        <v>2265</v>
      </c>
    </row>
    <row r="297" spans="1:5" ht="63.75" x14ac:dyDescent="0.2">
      <c r="A297" s="2346" t="s">
        <v>2668</v>
      </c>
      <c r="B297" s="983" t="str">
        <f t="shared" ref="B297" si="29">IF(VLOOKUP(A297,A297:E297,language+2)="",VLOOKUP(A297,A297:E297,3),VLOOKUP(A297,A297:E297,language+2))</f>
        <v>RA geschätzt aus Anzahl Nettoleistungsfreier Versicherten und RA für Franchise 2500</v>
      </c>
      <c r="C297" s="941" t="s">
        <v>2201</v>
      </c>
      <c r="D297" s="941" t="s">
        <v>2202</v>
      </c>
      <c r="E297" s="941" t="s">
        <v>2266</v>
      </c>
    </row>
    <row r="298" spans="1:5" ht="25.5" x14ac:dyDescent="0.2">
      <c r="A298" s="2346" t="s">
        <v>2668</v>
      </c>
      <c r="B298" s="983" t="str">
        <f t="shared" si="3"/>
        <v>Gesamtwert des Szenarios:</v>
      </c>
      <c r="C298" s="941" t="s">
        <v>526</v>
      </c>
      <c r="D298" s="941" t="s">
        <v>1063</v>
      </c>
      <c r="E298" s="941" t="s">
        <v>1241</v>
      </c>
    </row>
    <row r="299" spans="1:5" ht="12.6" customHeight="1" x14ac:dyDescent="0.2">
      <c r="A299" s="2346" t="s">
        <v>2668</v>
      </c>
      <c r="B299" s="983" t="str">
        <f t="shared" si="3"/>
        <v>Veränderung der Aktiven</v>
      </c>
      <c r="C299" s="941" t="s">
        <v>1552</v>
      </c>
      <c r="D299" s="941" t="s">
        <v>1062</v>
      </c>
      <c r="E299" s="941" t="s">
        <v>1242</v>
      </c>
    </row>
    <row r="300" spans="1:5" x14ac:dyDescent="0.2">
      <c r="A300" s="2346" t="s">
        <v>2668</v>
      </c>
      <c r="B300" s="983" t="str">
        <f t="shared" si="3"/>
        <v>Veränderung der Passiven</v>
      </c>
      <c r="C300" s="941" t="s">
        <v>1553</v>
      </c>
      <c r="D300" s="941" t="s">
        <v>1061</v>
      </c>
      <c r="E300" s="941" t="s">
        <v>1243</v>
      </c>
    </row>
    <row r="301" spans="1:5" x14ac:dyDescent="0.2">
      <c r="A301" s="2346" t="s">
        <v>2668</v>
      </c>
      <c r="B301" s="983" t="str">
        <f>IF(VLOOKUP(A301,A301:E301,language+2)="",VLOOKUP(A301,A301:E301,3),VLOOKUP(A301,A301:E301,language+2))</f>
        <v>Veränderung der Reserven</v>
      </c>
      <c r="C301" s="941" t="s">
        <v>1554</v>
      </c>
      <c r="D301" s="941" t="s">
        <v>1532</v>
      </c>
      <c r="E301" s="941" t="s">
        <v>1244</v>
      </c>
    </row>
    <row r="302" spans="1:5" x14ac:dyDescent="0.2">
      <c r="A302" s="2346" t="s">
        <v>2668</v>
      </c>
      <c r="B302" s="983" t="str">
        <f t="shared" si="3"/>
        <v>Versichertengruppe</v>
      </c>
      <c r="C302" s="941" t="s">
        <v>524</v>
      </c>
      <c r="D302" s="941" t="s">
        <v>1058</v>
      </c>
      <c r="E302" s="941" t="s">
        <v>1245</v>
      </c>
    </row>
    <row r="303" spans="1:5" x14ac:dyDescent="0.2">
      <c r="A303" s="2346" t="s">
        <v>2668</v>
      </c>
      <c r="B303" s="983" t="str">
        <f t="shared" si="3"/>
        <v>Kinder</v>
      </c>
      <c r="C303" s="941" t="s">
        <v>539</v>
      </c>
      <c r="D303" s="941" t="s">
        <v>1057</v>
      </c>
      <c r="E303" s="941" t="s">
        <v>1246</v>
      </c>
    </row>
    <row r="304" spans="1:5" ht="38.25" x14ac:dyDescent="0.2">
      <c r="A304" s="2346" t="s">
        <v>2668</v>
      </c>
      <c r="B304" s="983" t="str">
        <f t="shared" si="3"/>
        <v>Jugendliche und Erwachsene mit wählbarer Jahresfranchise von ...</v>
      </c>
      <c r="C304" s="941" t="s">
        <v>538</v>
      </c>
      <c r="D304" s="941" t="s">
        <v>1555</v>
      </c>
      <c r="E304" s="941" t="s">
        <v>1556</v>
      </c>
    </row>
    <row r="305" spans="1:5" x14ac:dyDescent="0.2">
      <c r="A305" s="2346" t="s">
        <v>2668</v>
      </c>
      <c r="B305" s="983" t="str">
        <f t="shared" si="3"/>
        <v>TOTAL</v>
      </c>
      <c r="C305" s="941" t="s">
        <v>498</v>
      </c>
      <c r="D305" s="941" t="s">
        <v>498</v>
      </c>
      <c r="E305" s="941" t="s">
        <v>498</v>
      </c>
    </row>
    <row r="306" spans="1:5" ht="25.5" x14ac:dyDescent="0.2">
      <c r="A306" s="2346" t="s">
        <v>2668</v>
      </c>
      <c r="B306" s="983" t="str">
        <f t="shared" si="3"/>
        <v>OKP-Versichertenstruktur 2024</v>
      </c>
      <c r="C306" s="935" t="str">
        <f>"OKP-Versichertenstruktur "&amp;current_year-1</f>
        <v>OKP-Versichertenstruktur 2024</v>
      </c>
      <c r="D306" s="941" t="str">
        <f>"Structure des assurés AOS en "&amp;current_year-1</f>
        <v>Structure des assurés AOS en 2024</v>
      </c>
      <c r="E306" s="941" t="str">
        <f>"Statutory health insurance - structure of insured "&amp;current_year-1</f>
        <v>Statutory health insurance - structure of insured 2024</v>
      </c>
    </row>
    <row r="307" spans="1:5" x14ac:dyDescent="0.2">
      <c r="A307" s="2346" t="s">
        <v>2668</v>
      </c>
      <c r="B307" s="983" t="str">
        <f t="shared" si="3"/>
        <v>Anzahl Versicherte 2024</v>
      </c>
      <c r="C307" s="935" t="str">
        <f>"Anzahl Versicherte "&amp;current_year-1</f>
        <v>Anzahl Versicherte 2024</v>
      </c>
      <c r="D307" s="941" t="str">
        <f>"Nombre d'assurés en "&amp;current_year-1</f>
        <v>Nombre d'assurés en 2024</v>
      </c>
      <c r="E307" s="941" t="str">
        <f>"Number of insured "&amp;current_year-1</f>
        <v>Number of insured 2024</v>
      </c>
    </row>
    <row r="308" spans="1:5" x14ac:dyDescent="0.2">
      <c r="A308" s="2346" t="s">
        <v>2668</v>
      </c>
      <c r="B308" s="983" t="str">
        <f t="shared" si="3"/>
        <v>Bruttoprämien 2024</v>
      </c>
      <c r="C308" s="935" t="str">
        <f>"Bruttoprämien "&amp;current_year-1</f>
        <v>Bruttoprämien 2024</v>
      </c>
      <c r="D308" s="941" t="str">
        <f>"Primes brutes en "&amp;current_year-1</f>
        <v>Primes brutes en 2024</v>
      </c>
      <c r="E308" s="941" t="str">
        <f>"Gross premiums "&amp;current_year-1</f>
        <v>Gross premiums 2024</v>
      </c>
    </row>
    <row r="309" spans="1:5" ht="25.5" x14ac:dyDescent="0.2">
      <c r="A309" s="2346" t="s">
        <v>2668</v>
      </c>
      <c r="B309" s="983" t="str">
        <f t="shared" si="3"/>
        <v>Risikoausgleich 2024</v>
      </c>
      <c r="C309" s="935" t="str">
        <f>"Risikoausgleich "&amp;current_year-1</f>
        <v>Risikoausgleich 2024</v>
      </c>
      <c r="D309" s="941" t="str">
        <f>"Compensation des risques en "&amp;current_year-1</f>
        <v>Compensation des risques en 2024</v>
      </c>
      <c r="E309" s="993" t="str">
        <f>"Risk compensation "&amp;current_year-1</f>
        <v>Risk compensation 2024</v>
      </c>
    </row>
    <row r="310" spans="1:5" ht="25.5" x14ac:dyDescent="0.2">
      <c r="A310" s="2346" t="s">
        <v>2668</v>
      </c>
      <c r="B310" s="983" t="str">
        <f t="shared" ref="B310:B369" si="30">IF(VLOOKUP(A310,A310:E310,language+2)="",VLOOKUP(A310,A310:E310,3),VLOOKUP(A310,A310:E310,language+2))</f>
        <v>Anzahl Erkrankte 2024</v>
      </c>
      <c r="C310" s="935" t="str">
        <f>"Anzahl Erkrankte "&amp;current_year-1</f>
        <v>Anzahl Erkrankte 2024</v>
      </c>
      <c r="D310" s="941" t="str">
        <f>"Nombre de malades en "&amp;current_year-1</f>
        <v>Nombre de malades en 2024</v>
      </c>
      <c r="E310" s="993" t="str">
        <f>"Number of individuals falling sick "&amp;current_year-1</f>
        <v>Number of individuals falling sick 2024</v>
      </c>
    </row>
    <row r="311" spans="1:5" ht="25.5" x14ac:dyDescent="0.2">
      <c r="A311" s="2346" t="s">
        <v>2668</v>
      </c>
      <c r="B311" s="983" t="str">
        <f t="shared" si="30"/>
        <v>Anzahl Versicherte ohne Nettoleistungen</v>
      </c>
      <c r="C311" s="935" t="s">
        <v>537</v>
      </c>
      <c r="D311" s="941" t="s">
        <v>1082</v>
      </c>
      <c r="E311" s="993" t="s">
        <v>1247</v>
      </c>
    </row>
    <row r="312" spans="1:5" ht="25.5" x14ac:dyDescent="0.2">
      <c r="A312" s="2346" t="s">
        <v>2668</v>
      </c>
      <c r="B312" s="983" t="str">
        <f t="shared" si="30"/>
        <v>Erkrankungswahrscheinlichkeit</v>
      </c>
      <c r="C312" s="935" t="s">
        <v>536</v>
      </c>
      <c r="D312" s="937" t="s">
        <v>1081</v>
      </c>
      <c r="E312" s="993" t="s">
        <v>1248</v>
      </c>
    </row>
    <row r="313" spans="1:5" x14ac:dyDescent="0.2">
      <c r="A313" s="2346" t="s">
        <v>2668</v>
      </c>
      <c r="B313" s="983" t="str">
        <f t="shared" si="30"/>
        <v>Ø Bruttoprämien</v>
      </c>
      <c r="C313" s="935" t="s">
        <v>535</v>
      </c>
      <c r="D313" s="935" t="s">
        <v>1084</v>
      </c>
      <c r="E313" s="993" t="s">
        <v>1753</v>
      </c>
    </row>
    <row r="314" spans="1:5" x14ac:dyDescent="0.2">
      <c r="A314" s="2346" t="s">
        <v>2668</v>
      </c>
      <c r="B314" s="983" t="str">
        <f t="shared" si="30"/>
        <v>Ø Risikoausgleich</v>
      </c>
      <c r="C314" s="935" t="s">
        <v>534</v>
      </c>
      <c r="D314" s="935" t="s">
        <v>1083</v>
      </c>
      <c r="E314" s="993" t="s">
        <v>1794</v>
      </c>
    </row>
    <row r="315" spans="1:5" ht="25.5" x14ac:dyDescent="0.2">
      <c r="A315" s="2346" t="s">
        <v>2668</v>
      </c>
      <c r="B315" s="983" t="str">
        <f t="shared" si="30"/>
        <v>OKP-Versichertenstruktur 2025</v>
      </c>
      <c r="C315" s="935" t="str">
        <f>"OKP-Versichertenstruktur "&amp;current_year</f>
        <v>OKP-Versichertenstruktur 2025</v>
      </c>
      <c r="D315" s="941" t="str">
        <f>"Structure des assurés AOS en "&amp;current_year</f>
        <v>Structure des assurés AOS en 2025</v>
      </c>
      <c r="E315" s="993" t="str">
        <f>"Statutory health insurance - structure of insured "&amp;current_year</f>
        <v>Statutory health insurance - structure of insured 2025</v>
      </c>
    </row>
    <row r="316" spans="1:5" x14ac:dyDescent="0.2">
      <c r="A316" s="2346" t="s">
        <v>2668</v>
      </c>
      <c r="B316" s="983" t="str">
        <f t="shared" si="30"/>
        <v>Anzahl Versicherte 2025</v>
      </c>
      <c r="C316" s="935" t="str">
        <f>"Anzahl Versicherte "&amp;current_year</f>
        <v>Anzahl Versicherte 2025</v>
      </c>
      <c r="D316" s="941" t="str">
        <f>"Nombre d'assurés en "&amp;current_year</f>
        <v>Nombre d'assurés en 2025</v>
      </c>
      <c r="E316" s="993" t="str">
        <f>"Number of insured "&amp;current_year</f>
        <v>Number of insured 2025</v>
      </c>
    </row>
    <row r="317" spans="1:5" x14ac:dyDescent="0.2">
      <c r="A317" s="2346" t="s">
        <v>2668</v>
      </c>
      <c r="B317" s="983" t="str">
        <f t="shared" si="30"/>
        <v>Bruttoprämien 2025</v>
      </c>
      <c r="C317" s="935" t="str">
        <f>"Bruttoprämien "&amp;current_year</f>
        <v>Bruttoprämien 2025</v>
      </c>
      <c r="D317" s="941" t="str">
        <f>"Primes brutes en "&amp;current_year</f>
        <v>Primes brutes en 2025</v>
      </c>
      <c r="E317" s="993" t="str">
        <f>"Gross premiums "&amp;current_year</f>
        <v>Gross premiums 2025</v>
      </c>
    </row>
    <row r="318" spans="1:5" ht="25.5" x14ac:dyDescent="0.2">
      <c r="A318" s="2346" t="s">
        <v>2668</v>
      </c>
      <c r="B318" s="983" t="str">
        <f t="shared" si="30"/>
        <v>Risikoausgleich 2025</v>
      </c>
      <c r="C318" s="935" t="str">
        <f>"Risikoausgleich "&amp;current_year</f>
        <v>Risikoausgleich 2025</v>
      </c>
      <c r="D318" s="941" t="str">
        <f>"Compensation des risques "&amp;current_year</f>
        <v>Compensation des risques 2025</v>
      </c>
      <c r="E318" s="993" t="str">
        <f>"Risk compensation "&amp;current_year</f>
        <v>Risk compensation 2025</v>
      </c>
    </row>
    <row r="319" spans="1:5" ht="25.5" x14ac:dyDescent="0.2">
      <c r="A319" s="2346" t="s">
        <v>2668</v>
      </c>
      <c r="B319" s="983" t="str">
        <f t="shared" si="30"/>
        <v>Anzahl Erkrankte 2025</v>
      </c>
      <c r="C319" s="935" t="str">
        <f>"Anzahl Erkrankte "&amp;current_year</f>
        <v>Anzahl Erkrankte 2025</v>
      </c>
      <c r="D319" s="941" t="str">
        <f>"Nombre de malades en "&amp;current_year</f>
        <v>Nombre de malades en 2025</v>
      </c>
      <c r="E319" s="941" t="str">
        <f>"Number of individuals falling sick "&amp;current_year</f>
        <v>Number of individuals falling sick 2025</v>
      </c>
    </row>
    <row r="320" spans="1:5" ht="25.5" x14ac:dyDescent="0.2">
      <c r="A320" s="2346" t="s">
        <v>2668</v>
      </c>
      <c r="B320" s="983" t="str">
        <f t="shared" si="30"/>
        <v>Anzahl Versicherte ohne Nettoleistungen</v>
      </c>
      <c r="C320" s="935" t="s">
        <v>537</v>
      </c>
      <c r="D320" s="941" t="s">
        <v>1082</v>
      </c>
      <c r="E320" s="941" t="s">
        <v>1247</v>
      </c>
    </row>
    <row r="321" spans="1:5" ht="25.5" x14ac:dyDescent="0.2">
      <c r="A321" s="2346" t="s">
        <v>2668</v>
      </c>
      <c r="B321" s="983" t="str">
        <f t="shared" si="30"/>
        <v>Erkrankungswahrscheinlichkeit</v>
      </c>
      <c r="C321" s="935" t="s">
        <v>536</v>
      </c>
      <c r="D321" s="937" t="s">
        <v>1081</v>
      </c>
      <c r="E321" s="941" t="s">
        <v>1248</v>
      </c>
    </row>
    <row r="322" spans="1:5" ht="38.25" x14ac:dyDescent="0.2">
      <c r="A322" s="2346" t="s">
        <v>2668</v>
      </c>
      <c r="B322" s="983" t="str">
        <f t="shared" si="30"/>
        <v>Antiselektion der OKP-Versicherten per 2026 (gemäss Szenario)</v>
      </c>
      <c r="C322" s="941" t="str">
        <f>"Antiselektion der OKP-Versicherten per "&amp;current_year+1&amp;" (gemäss Szenario)"</f>
        <v>Antiselektion der OKP-Versicherten per 2026 (gemäss Szenario)</v>
      </c>
      <c r="D322" s="941" t="str">
        <f>"Antisélection des assurés AOS en "&amp;current_year+1&amp;" (conformément au scénario)"</f>
        <v>Antisélection des assurés AOS en 2026 (conformément au scénario)</v>
      </c>
      <c r="E322" s="941" t="str">
        <f>"Anti-selection of insured under statutory health insurance per "&amp;current_year+1&amp;" (according to scenario)"</f>
        <v>Anti-selection of insured under statutory health insurance per 2026 (according to scenario)</v>
      </c>
    </row>
    <row r="323" spans="1:5" ht="25.5" x14ac:dyDescent="0.2">
      <c r="A323" s="2346" t="s">
        <v>2668</v>
      </c>
      <c r="B323" s="983" t="str">
        <f t="shared" si="30"/>
        <v>Verlustpotenzial durch Franchisenoptimierende</v>
      </c>
      <c r="C323" s="935" t="s">
        <v>1654</v>
      </c>
      <c r="D323" s="941" t="s">
        <v>1656</v>
      </c>
      <c r="E323" s="941" t="s">
        <v>1671</v>
      </c>
    </row>
    <row r="324" spans="1:5" ht="25.5" x14ac:dyDescent="0.2">
      <c r="A324" s="2346" t="s">
        <v>2668</v>
      </c>
      <c r="B324" s="983" t="str">
        <f t="shared" si="30"/>
        <v>Verlustpotenzial durch Wechselnde</v>
      </c>
      <c r="C324" s="935" t="s">
        <v>1655</v>
      </c>
      <c r="D324" s="941" t="s">
        <v>1751</v>
      </c>
      <c r="E324" s="941" t="s">
        <v>1672</v>
      </c>
    </row>
    <row r="325" spans="1:5" ht="38.25" x14ac:dyDescent="0.2">
      <c r="A325" s="2346" t="s">
        <v>2668</v>
      </c>
      <c r="B325" s="983" t="str">
        <f t="shared" si="30"/>
        <v>Antiselektion der OKP-Versicherten per 2026 (gemäss Szenario)</v>
      </c>
      <c r="C325" s="935" t="str">
        <f>"Antiselektion der OKP-Versicherten per "&amp;current_year+1&amp;" (gemäss Szenario)"</f>
        <v>Antiselektion der OKP-Versicherten per 2026 (gemäss Szenario)</v>
      </c>
      <c r="D325" s="941" t="str">
        <f>"Antisélection des assurés AOS en "&amp;current_year+1&amp;" (conformément au scénario)"</f>
        <v>Antisélection des assurés AOS en 2026 (conformément au scénario)</v>
      </c>
      <c r="E325" s="941" t="str">
        <f>"Anti-selection of insured under statutory health insurance per "&amp;current_year+1&amp;" (according to scenario)"</f>
        <v>Anti-selection of insured under statutory health insurance per 2026 (according to scenario)</v>
      </c>
    </row>
    <row r="326" spans="1:5" ht="51" x14ac:dyDescent="0.2">
      <c r="A326" s="2346" t="s">
        <v>2668</v>
      </c>
      <c r="B326" s="983" t="str">
        <f t="shared" si="30"/>
        <v>Angenommenes Anpassungsverhalten per 2026 der leistungsfrei gebliebenen Versicherten:</v>
      </c>
      <c r="C326" s="941" t="str">
        <f>"Angenommenes Anpassungsverhalten per "&amp;current_year+1&amp;" der leistungsfrei gebliebenen Versicherten:"</f>
        <v>Angenommenes Anpassungsverhalten per 2026 der leistungsfrei gebliebenen Versicherten:</v>
      </c>
      <c r="D326" s="937" t="str">
        <f>"Adaptation acceptée des assurés en "&amp;current_year+1&amp;" restés sans prestations:"</f>
        <v>Adaptation acceptée des assurés en 2026 restés sans prestations:</v>
      </c>
      <c r="E326" s="941" t="str">
        <f>"Assumed adjustment behaviour of insured as at "&amp;current_year+1&amp;" who have not drawn benefits:"</f>
        <v>Assumed adjustment behaviour of insured as at 2026 who have not drawn benefits:</v>
      </c>
    </row>
    <row r="327" spans="1:5" x14ac:dyDescent="0.2">
      <c r="A327" s="2346" t="s">
        <v>2668</v>
      </c>
      <c r="B327" s="983" t="str">
        <f t="shared" si="30"/>
        <v>es bleiben</v>
      </c>
      <c r="C327" s="941" t="s">
        <v>533</v>
      </c>
      <c r="D327" s="941" t="s">
        <v>1080</v>
      </c>
      <c r="E327" s="941" t="s">
        <v>1249</v>
      </c>
    </row>
    <row r="328" spans="1:5" ht="25.5" x14ac:dyDescent="0.2">
      <c r="A328" s="2346" t="s">
        <v>2668</v>
      </c>
      <c r="B328" s="983" t="str">
        <f t="shared" si="30"/>
        <v>es optimieren die Jahresfranchise</v>
      </c>
      <c r="C328" s="941" t="s">
        <v>532</v>
      </c>
      <c r="D328" s="941" t="s">
        <v>1079</v>
      </c>
      <c r="E328" s="941" t="s">
        <v>1250</v>
      </c>
    </row>
    <row r="329" spans="1:5" x14ac:dyDescent="0.2">
      <c r="A329" s="2346" t="s">
        <v>2668</v>
      </c>
      <c r="B329" s="983" t="str">
        <f t="shared" si="30"/>
        <v>es verlassen</v>
      </c>
      <c r="C329" s="941" t="s">
        <v>531</v>
      </c>
      <c r="D329" s="941" t="s">
        <v>1078</v>
      </c>
      <c r="E329" s="941" t="s">
        <v>1251</v>
      </c>
    </row>
    <row r="330" spans="1:5" x14ac:dyDescent="0.2">
      <c r="A330" s="2346" t="s">
        <v>2668</v>
      </c>
      <c r="B330" s="983" t="str">
        <f t="shared" si="30"/>
        <v>Finanzielle Auswirkungen:</v>
      </c>
      <c r="C330" s="941" t="s">
        <v>516</v>
      </c>
      <c r="D330" s="937" t="s">
        <v>1077</v>
      </c>
      <c r="E330" s="941" t="s">
        <v>1252</v>
      </c>
    </row>
    <row r="331" spans="1:5" ht="25.5" x14ac:dyDescent="0.2">
      <c r="A331" s="2346" t="s">
        <v>2668</v>
      </c>
      <c r="B331" s="983" t="str">
        <f t="shared" si="30"/>
        <v>Effekte der Franchisenoptimierenden:</v>
      </c>
      <c r="C331" s="941" t="s">
        <v>530</v>
      </c>
      <c r="D331" s="937" t="s">
        <v>1608</v>
      </c>
      <c r="E331" s="941" t="s">
        <v>1253</v>
      </c>
    </row>
    <row r="332" spans="1:5" x14ac:dyDescent="0.2">
      <c r="A332" s="2346" t="s">
        <v>2668</v>
      </c>
      <c r="B332" s="983" t="str">
        <f t="shared" si="30"/>
        <v>Δ Bruttoprämien</v>
      </c>
      <c r="C332" s="941" t="s">
        <v>528</v>
      </c>
      <c r="D332" s="941" t="s">
        <v>1076</v>
      </c>
      <c r="E332" s="993" t="s">
        <v>1254</v>
      </c>
    </row>
    <row r="333" spans="1:5" x14ac:dyDescent="0.2">
      <c r="A333" s="2346" t="s">
        <v>2668</v>
      </c>
      <c r="B333" s="983" t="str">
        <f t="shared" si="30"/>
        <v>Δ Risikoausgleich</v>
      </c>
      <c r="C333" s="941" t="s">
        <v>527</v>
      </c>
      <c r="D333" s="941" t="s">
        <v>1075</v>
      </c>
      <c r="E333" s="993" t="s">
        <v>1795</v>
      </c>
    </row>
    <row r="334" spans="1:5" ht="25.5" x14ac:dyDescent="0.2">
      <c r="A334" s="2346" t="s">
        <v>2668</v>
      </c>
      <c r="B334" s="983" t="str">
        <f t="shared" si="30"/>
        <v>Effekte der Wechselnden:</v>
      </c>
      <c r="C334" s="941" t="s">
        <v>529</v>
      </c>
      <c r="D334" s="937" t="s">
        <v>1716</v>
      </c>
      <c r="E334" s="993" t="s">
        <v>1255</v>
      </c>
    </row>
    <row r="335" spans="1:5" x14ac:dyDescent="0.2">
      <c r="A335" s="2346" t="s">
        <v>2668</v>
      </c>
      <c r="B335" s="983" t="str">
        <f t="shared" si="30"/>
        <v>Szenario 2: Proselektion</v>
      </c>
      <c r="C335" s="941" t="s">
        <v>1545</v>
      </c>
      <c r="D335" s="941" t="s">
        <v>1546</v>
      </c>
      <c r="E335" s="993" t="s">
        <v>1547</v>
      </c>
    </row>
    <row r="336" spans="1:5" ht="25.5" x14ac:dyDescent="0.2">
      <c r="A336" s="2346" t="s">
        <v>2668</v>
      </c>
      <c r="B336" s="983" t="str">
        <f t="shared" si="30"/>
        <v>Gesamtwert des Szenarios:</v>
      </c>
      <c r="C336" s="941" t="s">
        <v>526</v>
      </c>
      <c r="D336" s="941" t="s">
        <v>1063</v>
      </c>
      <c r="E336" s="993" t="s">
        <v>1241</v>
      </c>
    </row>
    <row r="337" spans="1:5" ht="76.5" x14ac:dyDescent="0.2">
      <c r="A337" s="2346" t="s">
        <v>2668</v>
      </c>
      <c r="B337" s="983" t="str">
        <f t="shared" si="30"/>
        <v>Geplante Ø Anzahl Versicherte 2026 gemäss Strategie der Krankenkasse (ohne Zusammenschlüsse/Fusionen)</v>
      </c>
      <c r="C337" s="935" t="str">
        <f>"Geplante Ø Anzahl Versicherte "&amp;current_year+1&amp;" gemäss Strategie der Krankenkasse (ohne Zusammenschlüsse/Fusionen)"</f>
        <v>Geplante Ø Anzahl Versicherte 2026 gemäss Strategie der Krankenkasse (ohne Zusammenschlüsse/Fusionen)</v>
      </c>
      <c r="D337" s="941" t="str">
        <f>"Nombre Ø prévu d'assurés en "&amp;current_year+1&amp;" d'après la stratégie de la caisse-maladie (sans rattachement, ni fusions)"</f>
        <v>Nombre Ø prévu d'assurés en 2026 d'après la stratégie de la caisse-maladie (sans rattachement, ni fusions)</v>
      </c>
      <c r="E337" s="993" t="str">
        <f>"Planned avg. number of insured "&amp;current_year+1&amp;" according to health insurer strategy (without amalgamations/mergers)"</f>
        <v>Planned avg. number of insured 2026 according to health insurer strategy (without amalgamations/mergers)</v>
      </c>
    </row>
    <row r="338" spans="1:5" ht="25.5" x14ac:dyDescent="0.2">
      <c r="A338" s="2346" t="s">
        <v>2668</v>
      </c>
      <c r="B338" s="983" t="str">
        <f t="shared" ref="B338" si="31">IF(VLOOKUP(A338,A338:E338,language+2)="",VLOOKUP(A338,A338:E338,3),VLOOKUP(A338,A338:E338,language+2))</f>
        <v>Eintrittswahrscheinlichkeit 0%</v>
      </c>
      <c r="C338" s="935" t="s">
        <v>2123</v>
      </c>
      <c r="D338" s="941" t="s">
        <v>2203</v>
      </c>
      <c r="E338" s="941" t="s">
        <v>2267</v>
      </c>
    </row>
    <row r="339" spans="1:5" ht="38.25" x14ac:dyDescent="0.2">
      <c r="A339" s="2346" t="s">
        <v>2668</v>
      </c>
      <c r="B339" s="983" t="str">
        <f t="shared" si="30"/>
        <v>Geplante Ø Anzahl Versicherte per 2026 (gemäss Strategie)</v>
      </c>
      <c r="C339" s="941" t="str">
        <f>"Geplante Ø Anzahl Versicherte per "&amp;current_year+1&amp;" (gemäss Strategie)"</f>
        <v>Geplante Ø Anzahl Versicherte per 2026 (gemäss Strategie)</v>
      </c>
      <c r="D339" s="941" t="str">
        <f>"Nombre Ø prévu d'assurés en "&amp;current_year+1&amp;" (conformément à la stratégie)"</f>
        <v>Nombre Ø prévu d'assurés en 2026 (conformément à la stratégie)</v>
      </c>
      <c r="E339" s="941" t="str">
        <f>"Planned avg. number of insured per "&amp;current_year+1&amp;" (according to strategy)"</f>
        <v>Planned avg. number of insured per 2026 (according to strategy)</v>
      </c>
    </row>
    <row r="340" spans="1:5" ht="25.5" x14ac:dyDescent="0.2">
      <c r="A340" s="2346" t="s">
        <v>2668</v>
      </c>
      <c r="B340" s="983" t="str">
        <f t="shared" si="30"/>
        <v>Proselektierte Versicherte 2026</v>
      </c>
      <c r="C340" s="935" t="str">
        <f>"Proselektierte Versicherte "&amp;current_year+1</f>
        <v>Proselektierte Versicherte 2026</v>
      </c>
      <c r="D340" s="941" t="str">
        <f>"Assurés prosélectionnés en "&amp;current_year+1</f>
        <v>Assurés prosélectionnés en 2026</v>
      </c>
      <c r="E340" s="941" t="str">
        <f>"Pro-selected insured "&amp;current_year+1</f>
        <v>Pro-selected insured 2026</v>
      </c>
    </row>
    <row r="341" spans="1:5" ht="38.25" x14ac:dyDescent="0.2">
      <c r="A341" s="2346" t="s">
        <v>2668</v>
      </c>
      <c r="B341" s="983" t="str">
        <f t="shared" si="30"/>
        <v>-faches Versichertenwachstum gegenüber Planung</v>
      </c>
      <c r="C341" s="990" t="s">
        <v>782</v>
      </c>
      <c r="D341" s="941" t="s">
        <v>1074</v>
      </c>
      <c r="E341" s="990" t="s">
        <v>1256</v>
      </c>
    </row>
    <row r="342" spans="1:5" ht="25.5" x14ac:dyDescent="0.2">
      <c r="A342" s="2346" t="s">
        <v>2668</v>
      </c>
      <c r="B342" s="983" t="str">
        <f t="shared" si="30"/>
        <v>BAG 5: Unterreservierung</v>
      </c>
      <c r="C342" s="941" t="s">
        <v>2157</v>
      </c>
      <c r="D342" s="941" t="s">
        <v>2204</v>
      </c>
      <c r="E342" s="941" t="s">
        <v>2205</v>
      </c>
    </row>
    <row r="343" spans="1:5" ht="25.5" x14ac:dyDescent="0.2">
      <c r="A343" s="2346" t="s">
        <v>2668</v>
      </c>
      <c r="B343" s="983" t="str">
        <f t="shared" si="30"/>
        <v>Gesamtwert des Szenarios:</v>
      </c>
      <c r="C343" s="941" t="s">
        <v>526</v>
      </c>
      <c r="D343" s="941" t="s">
        <v>1063</v>
      </c>
      <c r="E343" s="941" t="s">
        <v>1241</v>
      </c>
    </row>
    <row r="344" spans="1:5" x14ac:dyDescent="0.2">
      <c r="A344" s="2346" t="s">
        <v>2668</v>
      </c>
      <c r="B344" s="983" t="str">
        <f t="shared" si="30"/>
        <v>Szenario für 2025</v>
      </c>
      <c r="C344" s="941" t="str">
        <f>"Szenario für "&amp;current_year</f>
        <v>Szenario für 2025</v>
      </c>
      <c r="D344" s="941" t="str">
        <f>"Scénario pour "&amp;current_year</f>
        <v>Scénario pour 2025</v>
      </c>
      <c r="E344" s="941" t="str">
        <f>"Scenario for "&amp;current_year</f>
        <v>Scenario for 2025</v>
      </c>
    </row>
    <row r="345" spans="1:5" x14ac:dyDescent="0.2">
      <c r="A345" s="2346" t="s">
        <v>2668</v>
      </c>
      <c r="B345" s="983" t="str">
        <f t="shared" si="30"/>
        <v>per 01.01.2025</v>
      </c>
      <c r="C345" s="945" t="str">
        <f>"per 01.01."&amp;current_year</f>
        <v>per 01.01.2025</v>
      </c>
      <c r="D345" s="941" t="str">
        <f>"au 01.01."&amp;current_year</f>
        <v>au 01.01.2025</v>
      </c>
      <c r="E345" s="945" t="str">
        <f>"per 01.01."&amp;current_year</f>
        <v>per 01.01.2025</v>
      </c>
    </row>
    <row r="346" spans="1:5" x14ac:dyDescent="0.2">
      <c r="A346" s="2346" t="s">
        <v>2668</v>
      </c>
      <c r="B346" s="983" t="str">
        <f t="shared" si="30"/>
        <v>Zuschlag</v>
      </c>
      <c r="C346" s="941" t="s">
        <v>2622</v>
      </c>
      <c r="D346" s="941" t="s">
        <v>2623</v>
      </c>
      <c r="E346" s="941" t="s">
        <v>2624</v>
      </c>
    </row>
    <row r="347" spans="1:5" x14ac:dyDescent="0.2">
      <c r="A347" s="2346" t="s">
        <v>2668</v>
      </c>
      <c r="B347" s="983" t="str">
        <f t="shared" ref="B347" si="32">IF(VLOOKUP(A347,A347:E347,language+2)="",VLOOKUP(A347,A347:E347,3),VLOOKUP(A347,A347:E347,language+2))</f>
        <v>(aus Blatt 7)</v>
      </c>
      <c r="C347" s="941" t="s">
        <v>2206</v>
      </c>
      <c r="D347" s="941" t="s">
        <v>2209</v>
      </c>
      <c r="E347" s="941" t="s">
        <v>2268</v>
      </c>
    </row>
    <row r="348" spans="1:5" ht="25.5" x14ac:dyDescent="0.2">
      <c r="A348" s="2346" t="s">
        <v>2668</v>
      </c>
      <c r="B348" s="983" t="str">
        <f t="shared" si="30"/>
        <v>BAG 6: Konjunkturbaisse</v>
      </c>
      <c r="C348" s="941" t="s">
        <v>2158</v>
      </c>
      <c r="D348" s="941" t="s">
        <v>2207</v>
      </c>
      <c r="E348" s="941" t="s">
        <v>2208</v>
      </c>
    </row>
    <row r="349" spans="1:5" ht="25.5" x14ac:dyDescent="0.2">
      <c r="A349" s="2346" t="s">
        <v>2668</v>
      </c>
      <c r="B349" s="983" t="str">
        <f t="shared" si="30"/>
        <v>Gesamtwert des Szenarios:</v>
      </c>
      <c r="C349" s="941" t="s">
        <v>526</v>
      </c>
      <c r="D349" s="941" t="s">
        <v>1063</v>
      </c>
      <c r="E349" s="941" t="s">
        <v>1241</v>
      </c>
    </row>
    <row r="350" spans="1:5" x14ac:dyDescent="0.2">
      <c r="A350" s="2346" t="s">
        <v>2668</v>
      </c>
      <c r="B350" s="983" t="str">
        <f t="shared" si="30"/>
        <v>Szenario für 2025</v>
      </c>
      <c r="C350" s="941" t="str">
        <f>"Szenario für "&amp;current_year</f>
        <v>Szenario für 2025</v>
      </c>
      <c r="D350" s="941" t="str">
        <f>"Scénario pour "&amp;current_year</f>
        <v>Scénario pour 2025</v>
      </c>
      <c r="E350" s="941" t="str">
        <f>"Scenario for "&amp;current_year</f>
        <v>Scenario for 2025</v>
      </c>
    </row>
    <row r="351" spans="1:5" ht="25.5" x14ac:dyDescent="0.2">
      <c r="A351" s="2346" t="s">
        <v>2668</v>
      </c>
      <c r="B351" s="983" t="str">
        <f t="shared" si="30"/>
        <v>Anstieg der Anzahl der Bezüger</v>
      </c>
      <c r="C351" s="941" t="s">
        <v>711</v>
      </c>
      <c r="D351" s="941" t="s">
        <v>1073</v>
      </c>
      <c r="E351" s="941" t="s">
        <v>1257</v>
      </c>
    </row>
    <row r="352" spans="1:5" ht="38.25" x14ac:dyDescent="0.2">
      <c r="A352" s="2346" t="s">
        <v>2668</v>
      </c>
      <c r="B352" s="983" t="str">
        <f t="shared" si="30"/>
        <v>Erhöhung Taggeldbezugsdauer</v>
      </c>
      <c r="C352" s="941" t="s">
        <v>2126</v>
      </c>
      <c r="D352" s="937" t="s">
        <v>2218</v>
      </c>
      <c r="E352" s="941" t="s">
        <v>1258</v>
      </c>
    </row>
    <row r="353" spans="1:5" ht="25.5" x14ac:dyDescent="0.2">
      <c r="A353" s="2346" t="s">
        <v>2668</v>
      </c>
      <c r="B353" s="983" t="str">
        <f t="shared" si="30"/>
        <v>TOTAL Mengenausweitung</v>
      </c>
      <c r="C353" s="941" t="s">
        <v>2124</v>
      </c>
      <c r="D353" s="937" t="s">
        <v>2220</v>
      </c>
      <c r="E353" s="941" t="s">
        <v>1259</v>
      </c>
    </row>
    <row r="354" spans="1:5" ht="25.5" x14ac:dyDescent="0.2">
      <c r="A354" s="2346" t="s">
        <v>2668</v>
      </c>
      <c r="B354" s="983" t="str">
        <f t="shared" si="30"/>
        <v>Einzel-Taggeld</v>
      </c>
      <c r="C354" s="941" t="s">
        <v>2210</v>
      </c>
      <c r="D354" s="941" t="s">
        <v>2211</v>
      </c>
      <c r="E354" s="941" t="s">
        <v>2212</v>
      </c>
    </row>
    <row r="355" spans="1:5" ht="25.5" x14ac:dyDescent="0.2">
      <c r="A355" s="2346" t="s">
        <v>2668</v>
      </c>
      <c r="B355" s="983" t="str">
        <f t="shared" si="30"/>
        <v>Leistungsvolumen 2025</v>
      </c>
      <c r="C355" s="941" t="str">
        <f>"Leistungsvolumen "&amp;current_year</f>
        <v>Leistungsvolumen 2025</v>
      </c>
      <c r="D355" s="941" t="str">
        <f>"Volume des prestations en "&amp;current_year</f>
        <v>Volume des prestations en 2025</v>
      </c>
      <c r="E355" s="941" t="str">
        <f>"Benefits volume "&amp;current_year</f>
        <v>Benefits volume 2025</v>
      </c>
    </row>
    <row r="356" spans="1:5" ht="25.5" x14ac:dyDescent="0.2">
      <c r="A356" s="2346" t="s">
        <v>2668</v>
      </c>
      <c r="B356" s="983" t="str">
        <f t="shared" si="30"/>
        <v>Mengenausweitung gemäss Szenario</v>
      </c>
      <c r="C356" s="941" t="s">
        <v>2125</v>
      </c>
      <c r="D356" s="941" t="s">
        <v>2216</v>
      </c>
      <c r="E356" s="941" t="s">
        <v>2217</v>
      </c>
    </row>
    <row r="357" spans="1:5" x14ac:dyDescent="0.2">
      <c r="A357" s="2346" t="s">
        <v>2668</v>
      </c>
      <c r="B357" s="983" t="str">
        <f t="shared" si="30"/>
        <v>Total</v>
      </c>
      <c r="C357" s="941" t="s">
        <v>55</v>
      </c>
      <c r="D357" s="941" t="s">
        <v>55</v>
      </c>
      <c r="E357" s="941" t="s">
        <v>55</v>
      </c>
    </row>
    <row r="358" spans="1:5" ht="25.5" x14ac:dyDescent="0.2">
      <c r="A358" s="2346" t="s">
        <v>2668</v>
      </c>
      <c r="B358" s="983" t="str">
        <f t="shared" si="30"/>
        <v>Kollektiv-Taggeld</v>
      </c>
      <c r="C358" s="941" t="s">
        <v>2213</v>
      </c>
      <c r="D358" s="941" t="s">
        <v>2214</v>
      </c>
      <c r="E358" s="941" t="s">
        <v>2215</v>
      </c>
    </row>
    <row r="359" spans="1:5" ht="25.5" x14ac:dyDescent="0.2">
      <c r="A359" s="2346" t="s">
        <v>2668</v>
      </c>
      <c r="B359" s="983" t="str">
        <f t="shared" si="30"/>
        <v>Leistungsvolumen 2025</v>
      </c>
      <c r="C359" s="941" t="str">
        <f>"Leistungsvolumen "&amp;current_year</f>
        <v>Leistungsvolumen 2025</v>
      </c>
      <c r="D359" s="941" t="str">
        <f>"Volume des prestations en "&amp;current_year</f>
        <v>Volume des prestations en 2025</v>
      </c>
      <c r="E359" s="941" t="str">
        <f>"Benefits volume "&amp;current_year</f>
        <v>Benefits volume 2025</v>
      </c>
    </row>
    <row r="360" spans="1:5" ht="25.5" x14ac:dyDescent="0.2">
      <c r="A360" s="2346" t="s">
        <v>2668</v>
      </c>
      <c r="B360" s="983" t="str">
        <f t="shared" si="30"/>
        <v>TOTAL Mengenausweitung</v>
      </c>
      <c r="C360" s="941" t="s">
        <v>2124</v>
      </c>
      <c r="D360" s="941" t="s">
        <v>2219</v>
      </c>
      <c r="E360" s="941" t="str">
        <f>"Volume expansion "&amp;current_year&amp;" according to scenario"</f>
        <v>Volume expansion 2025 according to scenario</v>
      </c>
    </row>
    <row r="361" spans="1:5" x14ac:dyDescent="0.2">
      <c r="A361" s="2346" t="s">
        <v>2668</v>
      </c>
      <c r="B361" s="983" t="str">
        <f t="shared" si="30"/>
        <v>Total</v>
      </c>
      <c r="C361" s="941" t="s">
        <v>55</v>
      </c>
      <c r="D361" s="941" t="s">
        <v>55</v>
      </c>
      <c r="E361" s="941" t="s">
        <v>55</v>
      </c>
    </row>
    <row r="362" spans="1:5" x14ac:dyDescent="0.2">
      <c r="A362" s="2346" t="s">
        <v>2668</v>
      </c>
      <c r="B362" s="983" t="str">
        <f t="shared" si="30"/>
        <v>BAG 7: Grippe-Pandemie</v>
      </c>
      <c r="C362" s="941" t="s">
        <v>2159</v>
      </c>
      <c r="D362" s="941" t="s">
        <v>2224</v>
      </c>
      <c r="E362" s="941" t="s">
        <v>2221</v>
      </c>
    </row>
    <row r="363" spans="1:5" ht="25.5" x14ac:dyDescent="0.2">
      <c r="A363" s="2346" t="s">
        <v>2668</v>
      </c>
      <c r="B363" s="983" t="str">
        <f t="shared" si="30"/>
        <v>Gesamtwert des Szenarios:</v>
      </c>
      <c r="C363" s="941" t="s">
        <v>526</v>
      </c>
      <c r="D363" s="941" t="s">
        <v>1063</v>
      </c>
      <c r="E363" s="941" t="s">
        <v>1241</v>
      </c>
    </row>
    <row r="364" spans="1:5" x14ac:dyDescent="0.2">
      <c r="A364" s="2346" t="s">
        <v>2668</v>
      </c>
      <c r="B364" s="983" t="str">
        <f t="shared" si="30"/>
        <v>Versichertengruppe</v>
      </c>
      <c r="C364" s="941" t="s">
        <v>524</v>
      </c>
      <c r="D364" s="941" t="s">
        <v>1058</v>
      </c>
      <c r="E364" s="941" t="s">
        <v>1245</v>
      </c>
    </row>
    <row r="365" spans="1:5" ht="25.5" x14ac:dyDescent="0.2">
      <c r="A365" s="2346" t="s">
        <v>2668</v>
      </c>
      <c r="B365" s="983" t="str">
        <f t="shared" si="30"/>
        <v>OKP-Versicherte</v>
      </c>
      <c r="C365" s="941" t="s">
        <v>525</v>
      </c>
      <c r="D365" s="941" t="s">
        <v>1072</v>
      </c>
      <c r="E365" s="941" t="s">
        <v>1260</v>
      </c>
    </row>
    <row r="366" spans="1:5" x14ac:dyDescent="0.2">
      <c r="A366" s="2346" t="s">
        <v>2668</v>
      </c>
      <c r="B366" s="983" t="str">
        <f t="shared" si="30"/>
        <v>Erkrankte</v>
      </c>
      <c r="C366" s="941" t="s">
        <v>523</v>
      </c>
      <c r="D366" s="941" t="s">
        <v>1071</v>
      </c>
      <c r="E366" s="941" t="s">
        <v>1261</v>
      </c>
    </row>
    <row r="367" spans="1:5" x14ac:dyDescent="0.2">
      <c r="A367" s="2346" t="s">
        <v>2668</v>
      </c>
      <c r="B367" s="983" t="str">
        <f t="shared" si="30"/>
        <v>Arztbesuche</v>
      </c>
      <c r="C367" s="941" t="s">
        <v>522</v>
      </c>
      <c r="D367" s="941" t="s">
        <v>1070</v>
      </c>
      <c r="E367" s="941" t="s">
        <v>1262</v>
      </c>
    </row>
    <row r="368" spans="1:5" x14ac:dyDescent="0.2">
      <c r="A368" s="2346" t="s">
        <v>2668</v>
      </c>
      <c r="B368" s="983" t="str">
        <f t="shared" si="30"/>
        <v>Hospitalisierungen</v>
      </c>
      <c r="C368" s="941" t="s">
        <v>521</v>
      </c>
      <c r="D368" s="941" t="s">
        <v>1069</v>
      </c>
      <c r="E368" s="941" t="s">
        <v>1069</v>
      </c>
    </row>
    <row r="369" spans="1:5" x14ac:dyDescent="0.2">
      <c r="A369" s="2346" t="s">
        <v>2668</v>
      </c>
      <c r="B369" s="983" t="str">
        <f t="shared" si="30"/>
        <v>Intensivpflegefälle</v>
      </c>
      <c r="C369" s="941" t="s">
        <v>520</v>
      </c>
      <c r="D369" s="937" t="s">
        <v>1068</v>
      </c>
      <c r="E369" s="941" t="s">
        <v>1263</v>
      </c>
    </row>
    <row r="370" spans="1:5" x14ac:dyDescent="0.2">
      <c r="A370" s="2346" t="s">
        <v>2668</v>
      </c>
      <c r="B370" s="983" t="str">
        <f t="shared" ref="B370:B429" si="33">IF(VLOOKUP(A370,A370:E370,language+2)="",VLOOKUP(A370,A370:E370,3),VLOOKUP(A370,A370:E370,language+2))</f>
        <v>Verstorbene</v>
      </c>
      <c r="C370" s="941" t="s">
        <v>519</v>
      </c>
      <c r="D370" s="937" t="s">
        <v>1067</v>
      </c>
      <c r="E370" s="941" t="s">
        <v>1264</v>
      </c>
    </row>
    <row r="371" spans="1:5" x14ac:dyDescent="0.2">
      <c r="A371" s="2346" t="s">
        <v>2668</v>
      </c>
      <c r="B371" s="983" t="str">
        <f t="shared" si="33"/>
        <v>TOTAL</v>
      </c>
      <c r="C371" s="941" t="s">
        <v>498</v>
      </c>
      <c r="D371" s="941" t="s">
        <v>498</v>
      </c>
      <c r="E371" s="941" t="s">
        <v>498</v>
      </c>
    </row>
    <row r="372" spans="1:5" ht="25.5" x14ac:dyDescent="0.2">
      <c r="A372" s="2346" t="s">
        <v>2668</v>
      </c>
      <c r="B372" s="983" t="str">
        <f t="shared" si="33"/>
        <v>Wahrscheinlichkeiten gemäss BAG</v>
      </c>
      <c r="C372" s="941" t="s">
        <v>518</v>
      </c>
      <c r="D372" s="941" t="s">
        <v>1066</v>
      </c>
      <c r="E372" s="941" t="s">
        <v>1673</v>
      </c>
    </row>
    <row r="373" spans="1:5" x14ac:dyDescent="0.2">
      <c r="A373" s="2346" t="s">
        <v>2668</v>
      </c>
      <c r="B373" s="983" t="str">
        <f t="shared" si="33"/>
        <v>Anzahl Betroffene</v>
      </c>
      <c r="C373" s="941" t="s">
        <v>2129</v>
      </c>
      <c r="D373" s="941" t="s">
        <v>2222</v>
      </c>
      <c r="E373" s="941" t="s">
        <v>2223</v>
      </c>
    </row>
    <row r="374" spans="1:5" x14ac:dyDescent="0.2">
      <c r="A374" s="2346" t="s">
        <v>2668</v>
      </c>
      <c r="B374" s="983" t="str">
        <f t="shared" si="33"/>
        <v>Kosten pro Fall</v>
      </c>
      <c r="C374" s="941" t="s">
        <v>517</v>
      </c>
      <c r="D374" s="941" t="s">
        <v>1065</v>
      </c>
      <c r="E374" s="941" t="s">
        <v>1265</v>
      </c>
    </row>
    <row r="375" spans="1:5" x14ac:dyDescent="0.2">
      <c r="A375" s="2346" t="s">
        <v>2668</v>
      </c>
      <c r="B375" s="983" t="str">
        <f t="shared" si="33"/>
        <v>Finanzielle Auswirkungen:</v>
      </c>
      <c r="C375" s="941" t="s">
        <v>516</v>
      </c>
      <c r="D375" s="941" t="s">
        <v>1077</v>
      </c>
      <c r="E375" s="941" t="s">
        <v>1252</v>
      </c>
    </row>
    <row r="376" spans="1:5" ht="25.5" x14ac:dyDescent="0.2">
      <c r="A376" s="2346" t="s">
        <v>2668</v>
      </c>
      <c r="B376" s="983" t="str">
        <f t="shared" si="33"/>
        <v>Medizinische Zusatzkosten</v>
      </c>
      <c r="C376" s="941" t="s">
        <v>720</v>
      </c>
      <c r="D376" s="941" t="s">
        <v>1064</v>
      </c>
      <c r="E376" s="941" t="s">
        <v>1266</v>
      </c>
    </row>
    <row r="377" spans="1:5" ht="38.25" x14ac:dyDescent="0.2">
      <c r="A377" s="2346" t="s">
        <v>2668</v>
      </c>
      <c r="B377" s="983" t="str">
        <f t="shared" si="33"/>
        <v>Δ Assets aufgrund Finanzmarkt-Veränderungen</v>
      </c>
      <c r="C377" s="941" t="s">
        <v>515</v>
      </c>
      <c r="D377" s="937" t="s">
        <v>1060</v>
      </c>
      <c r="E377" s="941" t="s">
        <v>1267</v>
      </c>
    </row>
    <row r="378" spans="1:5" ht="38.25" x14ac:dyDescent="0.2">
      <c r="A378" s="2346" t="s">
        <v>2668</v>
      </c>
      <c r="B378" s="983" t="str">
        <f t="shared" si="33"/>
        <v>Δ Liabilities aufgrund Finanzmarkt-Veränderungen</v>
      </c>
      <c r="C378" s="941" t="s">
        <v>514</v>
      </c>
      <c r="D378" s="937" t="s">
        <v>1059</v>
      </c>
      <c r="E378" s="941" t="s">
        <v>1268</v>
      </c>
    </row>
    <row r="379" spans="1:5" ht="25.5" x14ac:dyDescent="0.2">
      <c r="A379" s="2346" t="s">
        <v>2668</v>
      </c>
      <c r="B379" s="983" t="str">
        <f t="shared" si="33"/>
        <v>Gesamtwert des Szenarios:</v>
      </c>
      <c r="C379" s="941" t="s">
        <v>526</v>
      </c>
      <c r="D379" s="941" t="s">
        <v>1063</v>
      </c>
      <c r="E379" s="941" t="s">
        <v>1241</v>
      </c>
    </row>
    <row r="380" spans="1:5" x14ac:dyDescent="0.2">
      <c r="A380" s="2346" t="s">
        <v>2668</v>
      </c>
      <c r="B380" s="983" t="str">
        <f t="shared" si="33"/>
        <v>Szenario für 2025</v>
      </c>
      <c r="C380" s="941" t="str">
        <f>"Szenario für "&amp;current_year</f>
        <v>Szenario für 2025</v>
      </c>
      <c r="D380" s="941" t="str">
        <f>"Scénario pour "&amp;current_year</f>
        <v>Scénario pour 2025</v>
      </c>
      <c r="E380" s="941" t="str">
        <f>"Scenario for "&amp;current_year</f>
        <v>Scenario for 2025</v>
      </c>
    </row>
    <row r="381" spans="1:5" ht="38.25" x14ac:dyDescent="0.2">
      <c r="A381" s="2346" t="s">
        <v>2668</v>
      </c>
      <c r="B381" s="983" t="str">
        <f t="shared" si="33"/>
        <v>Erwartetes gesamtes OKP-Prämienvolumen der Branche</v>
      </c>
      <c r="C381" s="941" t="s">
        <v>783</v>
      </c>
      <c r="D381" s="941" t="s">
        <v>1636</v>
      </c>
      <c r="E381" s="941" t="s">
        <v>1269</v>
      </c>
    </row>
    <row r="382" spans="1:5" x14ac:dyDescent="0.2">
      <c r="A382" s="2346" t="s">
        <v>2668</v>
      </c>
      <c r="B382" s="983" t="str">
        <f t="shared" si="33"/>
        <v>BAG 3: Financial Distress</v>
      </c>
      <c r="C382" s="941" t="s">
        <v>2663</v>
      </c>
      <c r="D382" s="941" t="s">
        <v>2664</v>
      </c>
      <c r="E382" s="941" t="s">
        <v>2663</v>
      </c>
    </row>
    <row r="383" spans="1:5" x14ac:dyDescent="0.2">
      <c r="A383" s="2346" t="s">
        <v>2668</v>
      </c>
      <c r="B383" s="983" t="str">
        <f t="shared" si="33"/>
        <v>Szenario für 2025</v>
      </c>
      <c r="C383" s="941" t="str">
        <f>"Szenario für "&amp;current_year</f>
        <v>Szenario für 2025</v>
      </c>
      <c r="D383" s="941" t="str">
        <f>"Scénario pour "&amp;current_year</f>
        <v>Scénario pour 2025</v>
      </c>
      <c r="E383" s="941" t="str">
        <f>"Scenario for "&amp;current_year</f>
        <v>Scenario for 2025</v>
      </c>
    </row>
    <row r="384" spans="1:5" ht="38.25" x14ac:dyDescent="0.2">
      <c r="A384" s="2346" t="s">
        <v>2668</v>
      </c>
      <c r="B384" s="983" t="str">
        <f t="shared" si="33"/>
        <v>Δ Assets aufgrund Finanzmarkt-Veränderungen</v>
      </c>
      <c r="C384" s="941" t="s">
        <v>515</v>
      </c>
      <c r="D384" s="937" t="s">
        <v>1060</v>
      </c>
      <c r="E384" s="941" t="s">
        <v>1267</v>
      </c>
    </row>
    <row r="385" spans="1:5" ht="38.25" x14ac:dyDescent="0.2">
      <c r="A385" s="2346" t="s">
        <v>2668</v>
      </c>
      <c r="B385" s="983" t="str">
        <f t="shared" si="33"/>
        <v>Δ Liabilities aufgrund Finanzmarkt-Veränderungen</v>
      </c>
      <c r="C385" s="941" t="s">
        <v>514</v>
      </c>
      <c r="D385" s="937" t="s">
        <v>1059</v>
      </c>
      <c r="E385" s="941" t="s">
        <v>1268</v>
      </c>
    </row>
    <row r="386" spans="1:5" x14ac:dyDescent="0.2">
      <c r="A386" s="2346" t="s">
        <v>2668</v>
      </c>
      <c r="B386" s="983" t="str">
        <f t="shared" ref="B386:B390" si="34">IF(VLOOKUP(A386,A386:E386,language+2)="",VLOOKUP(A386,A386:E386,3),VLOOKUP(A386,A386:E386,language+2))</f>
        <v>Bezahlt von UV</v>
      </c>
      <c r="C386" s="941" t="s">
        <v>2128</v>
      </c>
      <c r="D386" s="937" t="s">
        <v>2225</v>
      </c>
      <c r="E386" s="941" t="s">
        <v>2269</v>
      </c>
    </row>
    <row r="387" spans="1:5" ht="25.5" x14ac:dyDescent="0.2">
      <c r="A387" s="2346" t="s">
        <v>2668</v>
      </c>
      <c r="B387" s="983" t="str">
        <f t="shared" si="34"/>
        <v>BAG 4: Leistungsszenario EU</v>
      </c>
      <c r="C387" s="935" t="s">
        <v>2665</v>
      </c>
      <c r="D387" s="941" t="s">
        <v>2666</v>
      </c>
      <c r="E387" s="941" t="s">
        <v>2667</v>
      </c>
    </row>
    <row r="388" spans="1:5" x14ac:dyDescent="0.2">
      <c r="A388" s="2347">
        <v>14</v>
      </c>
      <c r="B388" s="983" t="str">
        <f t="shared" si="34"/>
        <v>Leistungsszenario EU</v>
      </c>
      <c r="C388" s="935" t="s">
        <v>2617</v>
      </c>
      <c r="D388" s="941" t="s">
        <v>2618</v>
      </c>
      <c r="E388" s="941" t="s">
        <v>2619</v>
      </c>
    </row>
    <row r="389" spans="1:5" ht="25.5" x14ac:dyDescent="0.2">
      <c r="A389" s="2346" t="s">
        <v>2668</v>
      </c>
      <c r="B389" s="983" t="str">
        <f t="shared" si="34"/>
        <v>Erwarteter Schadenaufwand</v>
      </c>
      <c r="C389" s="935" t="s">
        <v>2130</v>
      </c>
      <c r="D389" s="941" t="s">
        <v>2226</v>
      </c>
      <c r="E389" s="941" t="s">
        <v>2270</v>
      </c>
    </row>
    <row r="390" spans="1:5" ht="25.5" x14ac:dyDescent="0.2">
      <c r="A390" s="2346" t="s">
        <v>2668</v>
      </c>
      <c r="B390" s="983" t="str">
        <f t="shared" si="34"/>
        <v>Zusatzkosten TOTAL</v>
      </c>
      <c r="C390" s="941" t="s">
        <v>2131</v>
      </c>
      <c r="D390" s="941" t="s">
        <v>2227</v>
      </c>
      <c r="E390" s="941" t="s">
        <v>2271</v>
      </c>
    </row>
    <row r="391" spans="1:5" x14ac:dyDescent="0.2">
      <c r="A391" s="2346">
        <v>13</v>
      </c>
      <c r="B391" s="983" t="str">
        <f t="shared" si="33"/>
        <v>Aggregation der Szenarien</v>
      </c>
      <c r="C391" s="941" t="s">
        <v>893</v>
      </c>
      <c r="D391" s="941" t="s">
        <v>870</v>
      </c>
      <c r="E391" s="941" t="s">
        <v>1568</v>
      </c>
    </row>
    <row r="392" spans="1:5" ht="51" x14ac:dyDescent="0.2">
      <c r="A392" s="2346">
        <v>13</v>
      </c>
      <c r="B392" s="983" t="str">
        <f t="shared" si="33"/>
        <v>Auswirkungen der Szenarien haben in der Regel ein negatives Vorzeichen.</v>
      </c>
      <c r="C392" s="941" t="s">
        <v>1564</v>
      </c>
      <c r="D392" s="941" t="s">
        <v>1563</v>
      </c>
      <c r="E392" s="941" t="s">
        <v>1565</v>
      </c>
    </row>
    <row r="393" spans="1:5" ht="25.5" x14ac:dyDescent="0.2">
      <c r="A393" s="2346">
        <v>13</v>
      </c>
      <c r="B393" s="983" t="str">
        <f t="shared" si="33"/>
        <v>Aggregation nach Szenarien</v>
      </c>
      <c r="C393" s="941" t="s">
        <v>1570</v>
      </c>
      <c r="D393" s="941" t="s">
        <v>1569</v>
      </c>
      <c r="E393" s="941" t="s">
        <v>218</v>
      </c>
    </row>
    <row r="394" spans="1:5" x14ac:dyDescent="0.2">
      <c r="A394" s="2346">
        <v>13</v>
      </c>
      <c r="B394" s="983" t="str">
        <f t="shared" si="33"/>
        <v>Analytisches Modell</v>
      </c>
      <c r="C394" s="941" t="s">
        <v>894</v>
      </c>
      <c r="D394" s="941" t="s">
        <v>1566</v>
      </c>
      <c r="E394" s="988" t="s">
        <v>1567</v>
      </c>
    </row>
    <row r="395" spans="1:5" ht="25.5" x14ac:dyDescent="0.2">
      <c r="A395" s="2346">
        <v>13</v>
      </c>
      <c r="B395" s="983" t="str">
        <f t="shared" si="33"/>
        <v>Standardabweichung [MCHF]</v>
      </c>
      <c r="C395" s="941" t="s">
        <v>1756</v>
      </c>
      <c r="D395" s="941" t="s">
        <v>1757</v>
      </c>
      <c r="E395" s="941" t="s">
        <v>1758</v>
      </c>
    </row>
    <row r="396" spans="1:5" ht="25.5" x14ac:dyDescent="0.2">
      <c r="A396" s="2346">
        <v>13</v>
      </c>
      <c r="B396" s="983" t="str">
        <f t="shared" si="33"/>
        <v>Verhältnis (ES total / ES ohne Szenarien)</v>
      </c>
      <c r="C396" s="941" t="s">
        <v>327</v>
      </c>
      <c r="D396" s="941" t="s">
        <v>1055</v>
      </c>
      <c r="E396" s="941" t="s">
        <v>1271</v>
      </c>
    </row>
    <row r="397" spans="1:5" ht="38.25" x14ac:dyDescent="0.2">
      <c r="A397" s="2346">
        <v>13</v>
      </c>
      <c r="B397" s="983" t="str">
        <f t="shared" si="33"/>
        <v>Bestimmung des VaR unter Verwendung von Newton/Raphson</v>
      </c>
      <c r="C397" s="941" t="s">
        <v>1054</v>
      </c>
      <c r="D397" s="941" t="s">
        <v>1053</v>
      </c>
      <c r="E397" s="941" t="s">
        <v>137</v>
      </c>
    </row>
    <row r="398" spans="1:5" x14ac:dyDescent="0.2">
      <c r="A398" s="2346">
        <v>13</v>
      </c>
      <c r="B398" s="983" t="str">
        <f t="shared" si="33"/>
        <v xml:space="preserve">Iteration i </v>
      </c>
      <c r="C398" s="941" t="s">
        <v>1052</v>
      </c>
      <c r="D398" s="941" t="s">
        <v>1714</v>
      </c>
      <c r="E398" s="941" t="s">
        <v>1272</v>
      </c>
    </row>
    <row r="399" spans="1:5" x14ac:dyDescent="0.2">
      <c r="A399" s="2346">
        <v>13</v>
      </c>
      <c r="B399" s="983" t="str">
        <f t="shared" si="33"/>
        <v>Szenarioname</v>
      </c>
      <c r="C399" s="941" t="s">
        <v>1051</v>
      </c>
      <c r="D399" s="941" t="s">
        <v>1050</v>
      </c>
      <c r="E399" s="941" t="s">
        <v>217</v>
      </c>
    </row>
    <row r="400" spans="1:5" x14ac:dyDescent="0.2">
      <c r="A400" s="2346">
        <v>13</v>
      </c>
      <c r="B400" s="983" t="str">
        <f t="shared" si="33"/>
        <v>Szenariowirkung [MCHF]</v>
      </c>
      <c r="C400" s="941" t="s">
        <v>1049</v>
      </c>
      <c r="D400" s="941" t="s">
        <v>1048</v>
      </c>
      <c r="E400" s="987" t="s">
        <v>215</v>
      </c>
    </row>
    <row r="401" spans="1:5" x14ac:dyDescent="0.2">
      <c r="A401" s="2346">
        <v>13</v>
      </c>
      <c r="B401" s="983" t="str">
        <f t="shared" si="33"/>
        <v>Szenariogewicht</v>
      </c>
      <c r="C401" s="941" t="s">
        <v>1047</v>
      </c>
      <c r="D401" s="941" t="s">
        <v>1046</v>
      </c>
      <c r="E401" s="935" t="s">
        <v>216</v>
      </c>
    </row>
    <row r="402" spans="1:5" ht="25.5" x14ac:dyDescent="0.2">
      <c r="A402" s="2346">
        <v>13</v>
      </c>
      <c r="B402" s="983" t="str">
        <f t="shared" si="33"/>
        <v>Analytisches Modell 
= Kein Szenario tritt ein.</v>
      </c>
      <c r="C402" s="941" t="s">
        <v>324</v>
      </c>
      <c r="D402" s="941" t="s">
        <v>1571</v>
      </c>
      <c r="E402" s="941" t="s">
        <v>1572</v>
      </c>
    </row>
    <row r="403" spans="1:5" ht="38.25" x14ac:dyDescent="0.2">
      <c r="A403" s="2346">
        <v>13</v>
      </c>
      <c r="B403" s="983" t="str">
        <f t="shared" si="33"/>
        <v>Additiver Beitrag zum Expected Shortfall der Gesamtverteilung [MCHF]</v>
      </c>
      <c r="C403" s="941" t="s">
        <v>1712</v>
      </c>
      <c r="D403" s="941" t="s">
        <v>1713</v>
      </c>
      <c r="E403" s="941" t="s">
        <v>226</v>
      </c>
    </row>
    <row r="404" spans="1:5" x14ac:dyDescent="0.2">
      <c r="A404" s="2346">
        <v>14</v>
      </c>
      <c r="B404" s="983" t="str">
        <f t="shared" si="33"/>
        <v>Szenarien</v>
      </c>
      <c r="C404" s="941" t="s">
        <v>84</v>
      </c>
      <c r="D404" s="941" t="s">
        <v>476</v>
      </c>
      <c r="E404" s="941" t="s">
        <v>113</v>
      </c>
    </row>
    <row r="405" spans="1:5" ht="76.5" x14ac:dyDescent="0.2">
      <c r="A405" s="2346">
        <v>14</v>
      </c>
      <c r="B405" s="983" t="str">
        <f t="shared" si="33"/>
        <v>Dieses Blatt enthält die Eingabe der Auswirkungen der Szenarien und einige der Eintrittswahrscheinlichkeiten.</v>
      </c>
      <c r="C405" s="941" t="s">
        <v>1045</v>
      </c>
      <c r="D405" s="941" t="s">
        <v>1576</v>
      </c>
      <c r="E405" s="941" t="s">
        <v>1273</v>
      </c>
    </row>
    <row r="406" spans="1:5" x14ac:dyDescent="0.2">
      <c r="A406" s="2346">
        <v>14</v>
      </c>
      <c r="B406" s="983" t="str">
        <f t="shared" si="33"/>
        <v xml:space="preserve">Bemerkungen: </v>
      </c>
      <c r="C406" s="941" t="s">
        <v>1044</v>
      </c>
      <c r="D406" s="941" t="s">
        <v>1043</v>
      </c>
      <c r="E406" s="941" t="s">
        <v>1220</v>
      </c>
    </row>
    <row r="407" spans="1:5" ht="51" x14ac:dyDescent="0.2">
      <c r="A407" s="2346">
        <v>14</v>
      </c>
      <c r="B407" s="983" t="str">
        <f t="shared" si="33"/>
        <v>"Änderung der Aktiven" = Wertveränderung der Aktiven aufgrund des Szenarios.</v>
      </c>
      <c r="C407" s="941" t="s">
        <v>1579</v>
      </c>
      <c r="D407" s="941" t="s">
        <v>1580</v>
      </c>
      <c r="E407" s="941" t="s">
        <v>1581</v>
      </c>
    </row>
    <row r="408" spans="1:5" ht="51" x14ac:dyDescent="0.2">
      <c r="A408" s="2346">
        <v>14</v>
      </c>
      <c r="B408" s="983" t="str">
        <f t="shared" si="33"/>
        <v>"Änderung der Passiven" = Wertveränderung der Passiven aufgrund des Szenarios.</v>
      </c>
      <c r="C408" s="941" t="s">
        <v>1582</v>
      </c>
      <c r="D408" s="941" t="s">
        <v>1583</v>
      </c>
      <c r="E408" s="941" t="s">
        <v>1584</v>
      </c>
    </row>
    <row r="409" spans="1:5" ht="38.25" x14ac:dyDescent="0.2">
      <c r="A409" s="2346">
        <v>14</v>
      </c>
      <c r="B409" s="983" t="str">
        <f t="shared" si="33"/>
        <v>"Änderung der Reserven" = "Änderung der Aktiven" - "Änderung der Passiven"</v>
      </c>
      <c r="C409" s="941" t="s">
        <v>1585</v>
      </c>
      <c r="D409" s="941" t="s">
        <v>1586</v>
      </c>
      <c r="E409" s="941" t="s">
        <v>1587</v>
      </c>
    </row>
    <row r="410" spans="1:5" ht="51" x14ac:dyDescent="0.2">
      <c r="A410" s="2346">
        <v>14</v>
      </c>
      <c r="B410" s="983" t="str">
        <f t="shared" si="33"/>
        <v>negatives Vorzeichen der Änderungen: Wert nimmt ab; positives Vorzeichen: Wert nimmt zu.</v>
      </c>
      <c r="C410" s="941" t="s">
        <v>1575</v>
      </c>
      <c r="D410" s="941" t="s">
        <v>1574</v>
      </c>
      <c r="E410" s="941" t="s">
        <v>1573</v>
      </c>
    </row>
    <row r="411" spans="1:5" ht="25.5" x14ac:dyDescent="0.2">
      <c r="A411" s="2346">
        <v>14</v>
      </c>
      <c r="B411" s="983" t="str">
        <f t="shared" si="33"/>
        <v>gewählte Art des Versicherers</v>
      </c>
      <c r="C411" s="941" t="s">
        <v>1588</v>
      </c>
      <c r="D411" s="941" t="s">
        <v>1578</v>
      </c>
      <c r="E411" s="941" t="s">
        <v>1274</v>
      </c>
    </row>
    <row r="412" spans="1:5" x14ac:dyDescent="0.2">
      <c r="A412" s="2346">
        <v>14</v>
      </c>
      <c r="B412" s="983" t="str">
        <f t="shared" si="33"/>
        <v>Szenario</v>
      </c>
      <c r="C412" s="949" t="s">
        <v>102</v>
      </c>
      <c r="D412" s="941" t="s">
        <v>1042</v>
      </c>
      <c r="E412" s="941" t="s">
        <v>1041</v>
      </c>
    </row>
    <row r="413" spans="1:5" ht="25.5" x14ac:dyDescent="0.2">
      <c r="A413" s="2346">
        <v>14</v>
      </c>
      <c r="B413" s="983" t="str">
        <f t="shared" si="33"/>
        <v>Eintritts-wahrscheinlichkeit</v>
      </c>
      <c r="C413" s="950" t="s">
        <v>329</v>
      </c>
      <c r="D413" s="941" t="s">
        <v>474</v>
      </c>
      <c r="E413" s="941" t="s">
        <v>475</v>
      </c>
    </row>
    <row r="414" spans="1:5" ht="38.25" x14ac:dyDescent="0.2">
      <c r="A414" s="2346">
        <v>14</v>
      </c>
      <c r="B414" s="983" t="str">
        <f t="shared" si="33"/>
        <v>Szenario ist relevant für die Mindesthöhe der Reserven</v>
      </c>
      <c r="C414" s="941" t="s">
        <v>1275</v>
      </c>
      <c r="D414" s="937" t="s">
        <v>1276</v>
      </c>
      <c r="E414" s="941" t="s">
        <v>1277</v>
      </c>
    </row>
    <row r="415" spans="1:5" x14ac:dyDescent="0.2">
      <c r="A415" s="2346">
        <v>14</v>
      </c>
      <c r="B415" s="983" t="str">
        <f t="shared" si="33"/>
        <v>Szenario ist relevant für:</v>
      </c>
      <c r="C415" s="941" t="s">
        <v>101</v>
      </c>
      <c r="D415" s="937" t="s">
        <v>1040</v>
      </c>
      <c r="E415" s="941" t="s">
        <v>1278</v>
      </c>
    </row>
    <row r="416" spans="1:5" x14ac:dyDescent="0.2">
      <c r="A416" s="2346">
        <v>14</v>
      </c>
      <c r="B416" s="983" t="str">
        <f t="shared" si="33"/>
        <v>Änderungen</v>
      </c>
      <c r="C416" s="949" t="s">
        <v>86</v>
      </c>
      <c r="D416" s="941" t="s">
        <v>1039</v>
      </c>
      <c r="E416" s="941" t="s">
        <v>1279</v>
      </c>
    </row>
    <row r="417" spans="1:5" ht="38.25" x14ac:dyDescent="0.2">
      <c r="A417" s="2346">
        <v>14</v>
      </c>
      <c r="B417" s="983" t="str">
        <f t="shared" si="33"/>
        <v>Relevanter Wert für die Mindesthöhe der Reserven</v>
      </c>
      <c r="C417" s="949" t="s">
        <v>1280</v>
      </c>
      <c r="D417" s="937" t="s">
        <v>1281</v>
      </c>
      <c r="E417" s="941" t="s">
        <v>1282</v>
      </c>
    </row>
    <row r="418" spans="1:5" x14ac:dyDescent="0.2">
      <c r="A418" s="2346">
        <v>14</v>
      </c>
      <c r="B418" s="983" t="str">
        <f t="shared" si="33"/>
        <v>Beispiel</v>
      </c>
      <c r="C418" s="941" t="s">
        <v>99</v>
      </c>
      <c r="D418" s="941" t="s">
        <v>1038</v>
      </c>
      <c r="E418" s="941" t="s">
        <v>1283</v>
      </c>
    </row>
    <row r="419" spans="1:5" x14ac:dyDescent="0.2">
      <c r="A419" s="2346">
        <v>14</v>
      </c>
      <c r="B419" s="983" t="str">
        <f t="shared" si="33"/>
        <v>Antiselektion</v>
      </c>
      <c r="C419" s="941" t="s">
        <v>540</v>
      </c>
      <c r="D419" s="941" t="s">
        <v>1037</v>
      </c>
      <c r="E419" s="941" t="s">
        <v>1036</v>
      </c>
    </row>
    <row r="420" spans="1:5" x14ac:dyDescent="0.2">
      <c r="A420" s="2346">
        <v>14</v>
      </c>
      <c r="B420" s="983" t="str">
        <f t="shared" si="33"/>
        <v>Unterreservierung</v>
      </c>
      <c r="C420" s="941" t="s">
        <v>74</v>
      </c>
      <c r="D420" s="941" t="s">
        <v>483</v>
      </c>
      <c r="E420" s="941" t="s">
        <v>484</v>
      </c>
    </row>
    <row r="421" spans="1:5" x14ac:dyDescent="0.2">
      <c r="A421" s="2346">
        <v>14</v>
      </c>
      <c r="B421" s="983" t="str">
        <f t="shared" si="33"/>
        <v>Konjunkturbaisse</v>
      </c>
      <c r="C421" s="941" t="s">
        <v>713</v>
      </c>
      <c r="D421" s="941" t="s">
        <v>1035</v>
      </c>
      <c r="E421" s="941" t="s">
        <v>1284</v>
      </c>
    </row>
    <row r="422" spans="1:5" x14ac:dyDescent="0.2">
      <c r="A422" s="2346">
        <v>14</v>
      </c>
      <c r="B422" s="983" t="str">
        <f t="shared" si="33"/>
        <v>Pandemie</v>
      </c>
      <c r="C422" s="941" t="s">
        <v>60</v>
      </c>
      <c r="D422" s="941" t="s">
        <v>477</v>
      </c>
      <c r="E422" s="941" t="s">
        <v>478</v>
      </c>
    </row>
    <row r="423" spans="1:5" x14ac:dyDescent="0.2">
      <c r="A423" s="2346">
        <v>14</v>
      </c>
      <c r="B423" s="983" t="str">
        <f t="shared" si="33"/>
        <v>Hagel</v>
      </c>
      <c r="C423" s="941" t="s">
        <v>70</v>
      </c>
      <c r="D423" s="941" t="s">
        <v>485</v>
      </c>
      <c r="E423" s="941" t="s">
        <v>486</v>
      </c>
    </row>
    <row r="424" spans="1:5" x14ac:dyDescent="0.2">
      <c r="A424" s="2346">
        <v>14</v>
      </c>
      <c r="B424" s="983" t="str">
        <f t="shared" si="33"/>
        <v>Industrie</v>
      </c>
      <c r="C424" s="941" t="s">
        <v>68</v>
      </c>
      <c r="D424" s="941" t="s">
        <v>68</v>
      </c>
      <c r="E424" s="941" t="s">
        <v>487</v>
      </c>
    </row>
    <row r="425" spans="1:5" ht="25.5" x14ac:dyDescent="0.2">
      <c r="A425" s="2346">
        <v>14</v>
      </c>
      <c r="B425" s="983" t="str">
        <f t="shared" si="33"/>
        <v>Ausfall der Rückversicherer</v>
      </c>
      <c r="C425" s="941" t="s">
        <v>71</v>
      </c>
      <c r="D425" s="941" t="s">
        <v>479</v>
      </c>
      <c r="E425" s="941" t="s">
        <v>480</v>
      </c>
    </row>
    <row r="426" spans="1:5" x14ac:dyDescent="0.2">
      <c r="A426" s="2346">
        <v>14</v>
      </c>
      <c r="B426" s="983" t="str">
        <f t="shared" si="33"/>
        <v>Terrorismus</v>
      </c>
      <c r="C426" s="941" t="s">
        <v>73</v>
      </c>
      <c r="D426" s="941" t="s">
        <v>481</v>
      </c>
      <c r="E426" s="941" t="s">
        <v>482</v>
      </c>
    </row>
    <row r="427" spans="1:5" ht="25.5" x14ac:dyDescent="0.2">
      <c r="A427" s="2346">
        <v>14</v>
      </c>
      <c r="B427" s="983" t="str">
        <f t="shared" si="33"/>
        <v>Selber definiertes Szenario</v>
      </c>
      <c r="C427" s="941" t="s">
        <v>80</v>
      </c>
      <c r="D427" s="941" t="s">
        <v>1034</v>
      </c>
      <c r="E427" s="941" t="s">
        <v>1285</v>
      </c>
    </row>
    <row r="428" spans="1:5" x14ac:dyDescent="0.2">
      <c r="A428" s="2346">
        <v>14</v>
      </c>
      <c r="B428" s="983" t="str">
        <f t="shared" si="33"/>
        <v>Komposit</v>
      </c>
      <c r="C428" s="941" t="s">
        <v>355</v>
      </c>
      <c r="D428" s="941" t="s">
        <v>441</v>
      </c>
      <c r="E428" s="941" t="s">
        <v>441</v>
      </c>
    </row>
    <row r="429" spans="1:5" x14ac:dyDescent="0.2">
      <c r="A429" s="2346">
        <v>14</v>
      </c>
      <c r="B429" s="983" t="str">
        <f t="shared" si="33"/>
        <v>Immobilien</v>
      </c>
      <c r="C429" s="986" t="s">
        <v>1512</v>
      </c>
      <c r="D429" s="941" t="s">
        <v>1650</v>
      </c>
      <c r="E429" s="935" t="s">
        <v>223</v>
      </c>
    </row>
    <row r="430" spans="1:5" ht="25.5" x14ac:dyDescent="0.2">
      <c r="A430" s="2346">
        <v>14</v>
      </c>
      <c r="B430" s="983" t="str">
        <f t="shared" ref="B430:B495" si="35">IF(VLOOKUP(A430,A430:E430,language+2)="",VLOOKUP(A430,A430:E430,3),VLOOKUP(A430,A430:E430,language+2))</f>
        <v>Schwächung der Fremdwährungen</v>
      </c>
      <c r="C430" s="941" t="s">
        <v>1669</v>
      </c>
      <c r="D430" s="941" t="s">
        <v>1652</v>
      </c>
      <c r="E430" s="935" t="s">
        <v>356</v>
      </c>
    </row>
    <row r="431" spans="1:5" ht="25.5" x14ac:dyDescent="0.2">
      <c r="A431" s="2346">
        <v>14</v>
      </c>
      <c r="B431" s="983" t="str">
        <f t="shared" si="35"/>
        <v>Stärkung der Fremdwährungen</v>
      </c>
      <c r="C431" s="941" t="s">
        <v>1670</v>
      </c>
      <c r="D431" s="941" t="s">
        <v>1653</v>
      </c>
      <c r="E431" s="935" t="s">
        <v>357</v>
      </c>
    </row>
    <row r="432" spans="1:5" x14ac:dyDescent="0.2">
      <c r="A432" s="2346">
        <v>14</v>
      </c>
      <c r="B432" s="983" t="str">
        <f t="shared" si="35"/>
        <v>Zinssenkung</v>
      </c>
      <c r="C432" s="986" t="s">
        <v>1527</v>
      </c>
      <c r="D432" s="941" t="s">
        <v>1525</v>
      </c>
      <c r="E432" s="935" t="s">
        <v>442</v>
      </c>
    </row>
    <row r="433" spans="1:5" x14ac:dyDescent="0.2">
      <c r="A433" s="2346">
        <v>14</v>
      </c>
      <c r="B433" s="983" t="str">
        <f t="shared" si="35"/>
        <v>Zinsanstieg</v>
      </c>
      <c r="C433" s="986" t="s">
        <v>1526</v>
      </c>
      <c r="D433" s="935" t="s">
        <v>1033</v>
      </c>
      <c r="E433" s="935" t="s">
        <v>443</v>
      </c>
    </row>
    <row r="434" spans="1:5" x14ac:dyDescent="0.2">
      <c r="A434" s="2346">
        <v>14</v>
      </c>
      <c r="B434" s="983" t="str">
        <f t="shared" si="35"/>
        <v>Financial Distress</v>
      </c>
      <c r="C434" s="941" t="s">
        <v>72</v>
      </c>
      <c r="D434" s="941" t="s">
        <v>1032</v>
      </c>
      <c r="E434" s="941" t="s">
        <v>72</v>
      </c>
    </row>
    <row r="435" spans="1:5" x14ac:dyDescent="0.2">
      <c r="A435" s="2346">
        <v>14</v>
      </c>
      <c r="B435" s="983" t="str">
        <f t="shared" si="35"/>
        <v>Änderung der Aktiven</v>
      </c>
      <c r="C435" s="941" t="s">
        <v>1524</v>
      </c>
      <c r="D435" s="941" t="s">
        <v>1577</v>
      </c>
      <c r="E435" s="941" t="s">
        <v>1242</v>
      </c>
    </row>
    <row r="436" spans="1:5" x14ac:dyDescent="0.2">
      <c r="A436" s="2346">
        <v>14</v>
      </c>
      <c r="B436" s="983" t="str">
        <f t="shared" si="35"/>
        <v>Änderung der Passiven</v>
      </c>
      <c r="C436" s="941" t="s">
        <v>1523</v>
      </c>
      <c r="D436" s="941" t="s">
        <v>1031</v>
      </c>
      <c r="E436" s="941" t="s">
        <v>1243</v>
      </c>
    </row>
    <row r="437" spans="1:5" x14ac:dyDescent="0.2">
      <c r="A437" s="2346">
        <v>14</v>
      </c>
      <c r="B437" s="983" t="str">
        <f t="shared" si="35"/>
        <v>Änderung der Reserven</v>
      </c>
      <c r="C437" s="941" t="s">
        <v>1531</v>
      </c>
      <c r="D437" s="941" t="s">
        <v>1532</v>
      </c>
      <c r="E437" s="941" t="s">
        <v>1244</v>
      </c>
    </row>
    <row r="438" spans="1:5" ht="25.5" x14ac:dyDescent="0.2">
      <c r="A438" s="2346">
        <v>14</v>
      </c>
      <c r="B438" s="983" t="str">
        <f t="shared" si="35"/>
        <v>Szenarien basierend auf Risikofaktoren</v>
      </c>
      <c r="C438" s="941" t="s">
        <v>1030</v>
      </c>
      <c r="D438" s="941" t="s">
        <v>1029</v>
      </c>
      <c r="E438" s="941" t="s">
        <v>321</v>
      </c>
    </row>
    <row r="439" spans="1:5" x14ac:dyDescent="0.2">
      <c r="A439" s="2346">
        <v>14</v>
      </c>
      <c r="B439" s="983" t="str">
        <f t="shared" si="35"/>
        <v>Änderung der Reserven</v>
      </c>
      <c r="C439" s="941" t="s">
        <v>1531</v>
      </c>
      <c r="D439" s="941" t="s">
        <v>1532</v>
      </c>
      <c r="E439" s="941" t="s">
        <v>1244</v>
      </c>
    </row>
    <row r="440" spans="1:5" x14ac:dyDescent="0.2">
      <c r="A440" s="2346">
        <v>15</v>
      </c>
      <c r="B440" s="983" t="str">
        <f t="shared" si="35"/>
        <v>Kreditrisiko</v>
      </c>
      <c r="C440" s="941" t="s">
        <v>81</v>
      </c>
      <c r="D440" s="941" t="s">
        <v>420</v>
      </c>
      <c r="E440" s="941" t="s">
        <v>108</v>
      </c>
    </row>
    <row r="441" spans="1:5" ht="38.25" x14ac:dyDescent="0.2">
      <c r="A441" s="2346">
        <v>15</v>
      </c>
      <c r="B441" s="983" t="str">
        <f t="shared" si="35"/>
        <v xml:space="preserve">Kapitalkosten für das Kreditrisiko (Mio. CHF) </v>
      </c>
      <c r="C441" s="941" t="s">
        <v>996</v>
      </c>
      <c r="D441" s="941" t="s">
        <v>995</v>
      </c>
      <c r="E441" s="941" t="s">
        <v>1767</v>
      </c>
    </row>
    <row r="442" spans="1:5" ht="25.5" x14ac:dyDescent="0.2">
      <c r="A442" s="2346">
        <v>15</v>
      </c>
      <c r="B442" s="983" t="str">
        <f t="shared" si="35"/>
        <v>Risikogewichtete Aktiva</v>
      </c>
      <c r="C442" s="951" t="s">
        <v>559</v>
      </c>
      <c r="D442" s="941" t="s">
        <v>994</v>
      </c>
      <c r="E442" s="941" t="s">
        <v>1324</v>
      </c>
    </row>
    <row r="443" spans="1:5" ht="51" x14ac:dyDescent="0.2">
      <c r="A443" s="2346">
        <v>15</v>
      </c>
      <c r="B443" s="983" t="str">
        <f t="shared" si="35"/>
        <v>Positionen, bei denen externe Ratings verwendet werden können (sofern vorhanden)</v>
      </c>
      <c r="C443" s="951" t="s">
        <v>558</v>
      </c>
      <c r="D443" s="941" t="s">
        <v>993</v>
      </c>
      <c r="E443" s="941" t="s">
        <v>1325</v>
      </c>
    </row>
    <row r="444" spans="1:5" ht="25.5" x14ac:dyDescent="0.2">
      <c r="A444" s="2346">
        <v>15</v>
      </c>
      <c r="B444" s="983" t="str">
        <f t="shared" si="35"/>
        <v>1 Zentralregierungen und Zentralbanken</v>
      </c>
      <c r="C444" s="951" t="s">
        <v>557</v>
      </c>
      <c r="D444" s="941" t="s">
        <v>992</v>
      </c>
      <c r="E444" s="941" t="s">
        <v>991</v>
      </c>
    </row>
    <row r="445" spans="1:5" ht="25.5" x14ac:dyDescent="0.2">
      <c r="A445" s="2346">
        <v>15</v>
      </c>
      <c r="B445" s="983" t="str">
        <f t="shared" si="35"/>
        <v>2 Öffentlichrechtliche Körperschaften</v>
      </c>
      <c r="C445" s="951" t="s">
        <v>556</v>
      </c>
      <c r="D445" s="941" t="s">
        <v>990</v>
      </c>
      <c r="E445" s="941" t="s">
        <v>989</v>
      </c>
    </row>
    <row r="446" spans="1:5" ht="38.25" x14ac:dyDescent="0.2">
      <c r="A446" s="2346">
        <v>15</v>
      </c>
      <c r="B446" s="983" t="str">
        <f t="shared" si="35"/>
        <v>3 BIZ, IWF und multilaterale Entwicklungsbanken</v>
      </c>
      <c r="C446" s="951" t="s">
        <v>555</v>
      </c>
      <c r="D446" s="941" t="s">
        <v>988</v>
      </c>
      <c r="E446" s="941" t="s">
        <v>987</v>
      </c>
    </row>
    <row r="447" spans="1:5" ht="25.5" x14ac:dyDescent="0.2">
      <c r="A447" s="2346">
        <v>15</v>
      </c>
      <c r="B447" s="983" t="str">
        <f t="shared" si="35"/>
        <v>4 Banken und Effektenhändler</v>
      </c>
      <c r="C447" s="951" t="s">
        <v>554</v>
      </c>
      <c r="D447" s="941" t="s">
        <v>986</v>
      </c>
      <c r="E447" s="941" t="s">
        <v>985</v>
      </c>
    </row>
    <row r="448" spans="1:5" ht="38.25" x14ac:dyDescent="0.2">
      <c r="A448" s="2346">
        <v>15</v>
      </c>
      <c r="B448" s="983" t="str">
        <f t="shared" si="35"/>
        <v>5 Gemeinschaftseinrichtungen</v>
      </c>
      <c r="C448" s="951" t="s">
        <v>553</v>
      </c>
      <c r="D448" s="941" t="s">
        <v>1763</v>
      </c>
      <c r="E448" s="941" t="s">
        <v>984</v>
      </c>
    </row>
    <row r="449" spans="1:5" ht="25.5" x14ac:dyDescent="0.2">
      <c r="A449" s="2346">
        <v>15</v>
      </c>
      <c r="B449" s="983" t="str">
        <f t="shared" si="35"/>
        <v>6 Börsen und Clearinghäuser</v>
      </c>
      <c r="C449" s="951" t="s">
        <v>552</v>
      </c>
      <c r="D449" s="941" t="s">
        <v>1614</v>
      </c>
      <c r="E449" s="941" t="s">
        <v>983</v>
      </c>
    </row>
    <row r="450" spans="1:5" x14ac:dyDescent="0.2">
      <c r="A450" s="2346">
        <v>15</v>
      </c>
      <c r="B450" s="983" t="str">
        <f t="shared" si="35"/>
        <v xml:space="preserve">7 Unternehmen </v>
      </c>
      <c r="C450" s="951" t="s">
        <v>551</v>
      </c>
      <c r="D450" s="941" t="s">
        <v>982</v>
      </c>
      <c r="E450" s="941" t="s">
        <v>981</v>
      </c>
    </row>
    <row r="451" spans="1:5" x14ac:dyDescent="0.2">
      <c r="A451" s="2346">
        <v>15</v>
      </c>
      <c r="B451" s="983" t="str">
        <f t="shared" si="35"/>
        <v xml:space="preserve">8 Verbriefungen </v>
      </c>
      <c r="C451" s="951" t="s">
        <v>550</v>
      </c>
      <c r="D451" s="941" t="s">
        <v>980</v>
      </c>
      <c r="E451" s="941" t="s">
        <v>979</v>
      </c>
    </row>
    <row r="452" spans="1:5" ht="51" x14ac:dyDescent="0.2">
      <c r="A452" s="2346">
        <v>15</v>
      </c>
      <c r="B452" s="983" t="str">
        <f t="shared" si="35"/>
        <v>Positionen ohne Verwendung externer Ratings (ausser nachrangigen Positionen)</v>
      </c>
      <c r="C452" s="951" t="s">
        <v>549</v>
      </c>
      <c r="D452" s="941" t="s">
        <v>978</v>
      </c>
      <c r="E452" s="992" t="s">
        <v>1326</v>
      </c>
    </row>
    <row r="453" spans="1:5" ht="38.25" x14ac:dyDescent="0.2">
      <c r="A453" s="2346">
        <v>15</v>
      </c>
      <c r="B453" s="983" t="str">
        <f t="shared" si="35"/>
        <v>1 Natürliche Personen und Kleinnunternehmen (Retail)</v>
      </c>
      <c r="C453" s="951" t="s">
        <v>548</v>
      </c>
      <c r="D453" s="941" t="s">
        <v>977</v>
      </c>
      <c r="E453" s="941" t="s">
        <v>976</v>
      </c>
    </row>
    <row r="454" spans="1:5" x14ac:dyDescent="0.2">
      <c r="A454" s="2346">
        <v>15</v>
      </c>
      <c r="B454" s="983" t="str">
        <f t="shared" si="35"/>
        <v>2 Pfandbriefe</v>
      </c>
      <c r="C454" s="951" t="s">
        <v>547</v>
      </c>
      <c r="D454" s="941" t="s">
        <v>975</v>
      </c>
      <c r="E454" s="941" t="s">
        <v>974</v>
      </c>
    </row>
    <row r="455" spans="1:5" ht="38.25" x14ac:dyDescent="0.2">
      <c r="A455" s="2346">
        <v>15</v>
      </c>
      <c r="B455" s="983" t="str">
        <f t="shared" si="35"/>
        <v>3 Direkt und indirekt grundpandgesicherte Positionen</v>
      </c>
      <c r="C455" s="951" t="s">
        <v>546</v>
      </c>
      <c r="D455" s="941" t="s">
        <v>973</v>
      </c>
      <c r="E455" s="941" t="s">
        <v>972</v>
      </c>
    </row>
    <row r="456" spans="1:5" x14ac:dyDescent="0.2">
      <c r="A456" s="2346">
        <v>15</v>
      </c>
      <c r="B456" s="983" t="str">
        <f t="shared" si="35"/>
        <v>4 Nachrangige Positionen</v>
      </c>
      <c r="C456" s="951" t="s">
        <v>545</v>
      </c>
      <c r="D456" s="941" t="s">
        <v>971</v>
      </c>
      <c r="E456" s="941" t="s">
        <v>970</v>
      </c>
    </row>
    <row r="457" spans="1:5" ht="102" x14ac:dyDescent="0.2">
      <c r="A457" s="2346">
        <v>15</v>
      </c>
      <c r="B457" s="983" t="str">
        <f t="shared" si="35"/>
        <v>Nachrangige Positionen gegenüber öffentlichrechtlichen Körperschaften, deren Risikogewicht nach Anhang 2 (SA-CH) oder Anhang 3 (SA-BIZ) höchstens 50 % beträgt</v>
      </c>
      <c r="C457" s="953" t="s">
        <v>577</v>
      </c>
      <c r="D457" s="941" t="s">
        <v>969</v>
      </c>
      <c r="E457" s="941" t="s">
        <v>1320</v>
      </c>
    </row>
    <row r="458" spans="1:5" ht="25.5" x14ac:dyDescent="0.2">
      <c r="A458" s="2346">
        <v>15</v>
      </c>
      <c r="B458" s="983" t="str">
        <f t="shared" si="35"/>
        <v>Übrige nachrangige Positionen</v>
      </c>
      <c r="C458" s="953" t="s">
        <v>576</v>
      </c>
      <c r="D458" s="941" t="s">
        <v>457</v>
      </c>
      <c r="E458" s="941" t="s">
        <v>1321</v>
      </c>
    </row>
    <row r="459" spans="1:5" x14ac:dyDescent="0.2">
      <c r="A459" s="2346">
        <v>15</v>
      </c>
      <c r="B459" s="983" t="str">
        <f t="shared" si="35"/>
        <v>5 Überfällige Positionen</v>
      </c>
      <c r="C459" s="951" t="s">
        <v>544</v>
      </c>
      <c r="D459" s="941" t="s">
        <v>968</v>
      </c>
      <c r="E459" s="941" t="s">
        <v>967</v>
      </c>
    </row>
    <row r="460" spans="1:5" x14ac:dyDescent="0.2">
      <c r="A460" s="2346">
        <v>15</v>
      </c>
      <c r="B460" s="983" t="str">
        <f t="shared" si="35"/>
        <v>6 Übrige Positionen</v>
      </c>
      <c r="C460" s="951" t="s">
        <v>543</v>
      </c>
      <c r="D460" s="941" t="s">
        <v>966</v>
      </c>
      <c r="E460" s="941" t="s">
        <v>965</v>
      </c>
    </row>
    <row r="461" spans="1:5" x14ac:dyDescent="0.2">
      <c r="A461" s="2346">
        <v>15</v>
      </c>
      <c r="B461" s="983" t="str">
        <f t="shared" si="35"/>
        <v>Flüssige Mittel</v>
      </c>
      <c r="C461" s="953" t="s">
        <v>144</v>
      </c>
      <c r="D461" s="941" t="s">
        <v>385</v>
      </c>
      <c r="E461" s="993" t="s">
        <v>1194</v>
      </c>
    </row>
    <row r="462" spans="1:5" ht="51" x14ac:dyDescent="0.2">
      <c r="A462" s="2346">
        <v>15</v>
      </c>
      <c r="B462" s="983" t="str">
        <f t="shared" si="35"/>
        <v>Kreditäquivalente aus Einzahlungs- und Nachschussverpflichtungen</v>
      </c>
      <c r="C462" s="953" t="s">
        <v>460</v>
      </c>
      <c r="D462" s="941" t="s">
        <v>461</v>
      </c>
      <c r="E462" s="941" t="s">
        <v>1327</v>
      </c>
    </row>
    <row r="463" spans="1:5" ht="38.25" x14ac:dyDescent="0.2">
      <c r="A463" s="2346">
        <v>15</v>
      </c>
      <c r="B463" s="983" t="str">
        <f t="shared" si="35"/>
        <v>Übrige Positionen (inkl. Rechnungsbegrenzungsposten)</v>
      </c>
      <c r="C463" s="953" t="s">
        <v>463</v>
      </c>
      <c r="D463" s="941" t="s">
        <v>1661</v>
      </c>
      <c r="E463" s="941" t="s">
        <v>464</v>
      </c>
    </row>
    <row r="464" spans="1:5" ht="38.25" x14ac:dyDescent="0.2">
      <c r="A464" s="2346">
        <v>15</v>
      </c>
      <c r="B464" s="983" t="str">
        <f t="shared" si="35"/>
        <v xml:space="preserve">Summe der risikogewichteten Positionen </v>
      </c>
      <c r="C464" s="951" t="s">
        <v>542</v>
      </c>
      <c r="D464" s="941" t="s">
        <v>964</v>
      </c>
      <c r="E464" s="941" t="s">
        <v>1328</v>
      </c>
    </row>
    <row r="465" spans="1:5" ht="25.5" x14ac:dyDescent="0.2">
      <c r="A465" s="2346">
        <v>15</v>
      </c>
      <c r="B465" s="983" t="str">
        <f t="shared" si="35"/>
        <v>Kapitalbedarf für Kreditrisiko</v>
      </c>
      <c r="C465" s="951" t="s">
        <v>541</v>
      </c>
      <c r="D465" s="941" t="s">
        <v>963</v>
      </c>
      <c r="E465" s="941" t="s">
        <v>1329</v>
      </c>
    </row>
    <row r="466" spans="1:5" x14ac:dyDescent="0.2">
      <c r="A466" s="2347" t="s">
        <v>1725</v>
      </c>
      <c r="B466" s="983" t="str">
        <f t="shared" si="35"/>
        <v>Input Basel III</v>
      </c>
      <c r="C466" s="941" t="s">
        <v>1960</v>
      </c>
      <c r="D466" s="941" t="s">
        <v>1961</v>
      </c>
      <c r="E466" s="941" t="s">
        <v>1960</v>
      </c>
    </row>
    <row r="467" spans="1:5" ht="38.25" x14ac:dyDescent="0.2">
      <c r="A467" s="2347" t="s">
        <v>1725</v>
      </c>
      <c r="B467" s="983" t="str">
        <f t="shared" si="35"/>
        <v>Standardansatz Basel III SA-BIZ - Vereinfachter Ansatz</v>
      </c>
      <c r="C467" s="951" t="s">
        <v>1962</v>
      </c>
      <c r="D467" s="941" t="s">
        <v>1963</v>
      </c>
      <c r="E467" s="941" t="s">
        <v>1964</v>
      </c>
    </row>
    <row r="468" spans="1:5" ht="25.5" x14ac:dyDescent="0.2">
      <c r="A468" s="2347" t="s">
        <v>1725</v>
      </c>
      <c r="B468" s="983" t="str">
        <f t="shared" si="35"/>
        <v>1 Zentralregierungen und Zentralbanken</v>
      </c>
      <c r="C468" s="951" t="s">
        <v>557</v>
      </c>
      <c r="D468" s="941" t="s">
        <v>992</v>
      </c>
      <c r="E468" s="941" t="s">
        <v>991</v>
      </c>
    </row>
    <row r="469" spans="1:5" ht="25.5" x14ac:dyDescent="0.2">
      <c r="A469" s="2347" t="s">
        <v>1725</v>
      </c>
      <c r="B469" s="983" t="str">
        <f t="shared" si="35"/>
        <v>2 Öffentlichrechtliche Körperschaften</v>
      </c>
      <c r="C469" s="951" t="s">
        <v>556</v>
      </c>
      <c r="D469" s="941" t="s">
        <v>990</v>
      </c>
      <c r="E469" s="941" t="s">
        <v>989</v>
      </c>
    </row>
    <row r="470" spans="1:5" x14ac:dyDescent="0.2">
      <c r="A470" s="2347" t="s">
        <v>1725</v>
      </c>
      <c r="B470" s="983" t="str">
        <f t="shared" si="35"/>
        <v>Risikogewicht 0%</v>
      </c>
      <c r="C470" s="951" t="s">
        <v>603</v>
      </c>
      <c r="D470" s="941" t="s">
        <v>1022</v>
      </c>
      <c r="E470" s="941" t="s">
        <v>1286</v>
      </c>
    </row>
    <row r="471" spans="1:5" x14ac:dyDescent="0.2">
      <c r="A471" s="2347" t="s">
        <v>1725</v>
      </c>
      <c r="B471" s="983" t="str">
        <f t="shared" si="35"/>
        <v>Risikogewicht 20%</v>
      </c>
      <c r="C471" s="991" t="s">
        <v>595</v>
      </c>
      <c r="D471" s="941" t="s">
        <v>1018</v>
      </c>
      <c r="E471" s="941" t="s">
        <v>1287</v>
      </c>
    </row>
    <row r="472" spans="1:5" x14ac:dyDescent="0.2">
      <c r="A472" s="2347" t="s">
        <v>1725</v>
      </c>
      <c r="B472" s="983" t="str">
        <f t="shared" si="35"/>
        <v>Risikogewicht 50%</v>
      </c>
      <c r="C472" s="991" t="s">
        <v>594</v>
      </c>
      <c r="D472" s="941" t="s">
        <v>1017</v>
      </c>
      <c r="E472" s="941" t="s">
        <v>1288</v>
      </c>
    </row>
    <row r="473" spans="1:5" ht="25.5" x14ac:dyDescent="0.2">
      <c r="A473" s="2347" t="s">
        <v>1725</v>
      </c>
      <c r="B473" s="983" t="str">
        <f t="shared" si="35"/>
        <v>Risikogewicht 100% (ohne ungeratete Positionen)</v>
      </c>
      <c r="C473" s="951" t="s">
        <v>593</v>
      </c>
      <c r="D473" s="941" t="s">
        <v>1016</v>
      </c>
      <c r="E473" s="941" t="s">
        <v>1289</v>
      </c>
    </row>
    <row r="474" spans="1:5" x14ac:dyDescent="0.2">
      <c r="A474" s="2347" t="s">
        <v>1725</v>
      </c>
      <c r="B474" s="983" t="str">
        <f t="shared" si="35"/>
        <v>Risikogewicht 150%</v>
      </c>
      <c r="C474" s="991" t="s">
        <v>1965</v>
      </c>
      <c r="D474" s="941" t="s">
        <v>1966</v>
      </c>
      <c r="E474" s="941" t="s">
        <v>1967</v>
      </c>
    </row>
    <row r="475" spans="1:5" x14ac:dyDescent="0.2">
      <c r="A475" s="2347" t="s">
        <v>1725</v>
      </c>
      <c r="B475" s="983" t="str">
        <f t="shared" si="35"/>
        <v>Nicht geratet 100%</v>
      </c>
      <c r="C475" s="991" t="s">
        <v>617</v>
      </c>
      <c r="D475" s="941" t="s">
        <v>1021</v>
      </c>
      <c r="E475" s="941" t="s">
        <v>1290</v>
      </c>
    </row>
    <row r="476" spans="1:5" ht="38.25" x14ac:dyDescent="0.2">
      <c r="A476" s="2347" t="s">
        <v>1725</v>
      </c>
      <c r="B476" s="983" t="str">
        <f t="shared" si="35"/>
        <v>3 BIZ, IWF und multilaterale Entwicklungsbanken</v>
      </c>
      <c r="C476" s="951" t="s">
        <v>555</v>
      </c>
      <c r="D476" s="941" t="s">
        <v>988</v>
      </c>
      <c r="E476" s="941" t="s">
        <v>987</v>
      </c>
    </row>
    <row r="477" spans="1:5" x14ac:dyDescent="0.2">
      <c r="A477" s="2347" t="s">
        <v>1725</v>
      </c>
      <c r="B477" s="983" t="str">
        <f t="shared" si="35"/>
        <v>Risikogewicht 20%</v>
      </c>
      <c r="C477" s="991" t="s">
        <v>595</v>
      </c>
      <c r="D477" s="941" t="s">
        <v>1018</v>
      </c>
      <c r="E477" s="941" t="s">
        <v>1287</v>
      </c>
    </row>
    <row r="478" spans="1:5" x14ac:dyDescent="0.2">
      <c r="A478" s="2347" t="s">
        <v>1725</v>
      </c>
      <c r="B478" s="983" t="str">
        <f t="shared" si="35"/>
        <v>Risikogewicht 100%</v>
      </c>
      <c r="C478" s="991" t="s">
        <v>608</v>
      </c>
      <c r="D478" s="941" t="s">
        <v>1025</v>
      </c>
      <c r="E478" s="941" t="s">
        <v>1291</v>
      </c>
    </row>
    <row r="479" spans="1:5" ht="25.5" x14ac:dyDescent="0.2">
      <c r="A479" s="2347" t="s">
        <v>1725</v>
      </c>
      <c r="B479" s="983" t="str">
        <f t="shared" si="35"/>
        <v>Risikogewicht 50% (ohne ungeratete Positionen)</v>
      </c>
      <c r="C479" s="991" t="s">
        <v>609</v>
      </c>
      <c r="D479" s="941" t="s">
        <v>1026</v>
      </c>
      <c r="E479" s="941" t="s">
        <v>1292</v>
      </c>
    </row>
    <row r="480" spans="1:5" x14ac:dyDescent="0.2">
      <c r="A480" s="2347" t="s">
        <v>1725</v>
      </c>
      <c r="B480" s="983" t="str">
        <f t="shared" si="35"/>
        <v>Nicht gerated 50%</v>
      </c>
      <c r="C480" s="991" t="s">
        <v>1028</v>
      </c>
      <c r="D480" s="941" t="s">
        <v>1023</v>
      </c>
      <c r="E480" s="941" t="s">
        <v>1293</v>
      </c>
    </row>
    <row r="481" spans="1:5" ht="25.5" x14ac:dyDescent="0.2">
      <c r="A481" s="2347" t="s">
        <v>1725</v>
      </c>
      <c r="B481" s="983" t="str">
        <f t="shared" si="35"/>
        <v>4 Banken und Effektenhändler</v>
      </c>
      <c r="C481" s="951" t="s">
        <v>554</v>
      </c>
      <c r="D481" s="941" t="s">
        <v>986</v>
      </c>
      <c r="E481" s="941" t="s">
        <v>985</v>
      </c>
    </row>
    <row r="482" spans="1:5" ht="25.5" x14ac:dyDescent="0.2">
      <c r="A482" s="2347" t="s">
        <v>1725</v>
      </c>
      <c r="B482" s="983" t="str">
        <f t="shared" si="35"/>
        <v>Risikogewicht 20% (ohne ungeratete Positionen)</v>
      </c>
      <c r="C482" s="951" t="s">
        <v>610</v>
      </c>
      <c r="D482" s="941" t="s">
        <v>1027</v>
      </c>
      <c r="E482" s="941" t="s">
        <v>1294</v>
      </c>
    </row>
    <row r="483" spans="1:5" ht="25.5" x14ac:dyDescent="0.2">
      <c r="A483" s="2347" t="s">
        <v>1725</v>
      </c>
      <c r="B483" s="983" t="str">
        <f t="shared" si="35"/>
        <v>Risikogewicht 50% (ohne ungeratete Positionen)</v>
      </c>
      <c r="C483" s="951" t="s">
        <v>609</v>
      </c>
      <c r="D483" s="941" t="s">
        <v>1026</v>
      </c>
      <c r="E483" s="941" t="s">
        <v>1295</v>
      </c>
    </row>
    <row r="484" spans="1:5" x14ac:dyDescent="0.2">
      <c r="A484" s="2347" t="s">
        <v>1725</v>
      </c>
      <c r="B484" s="983" t="str">
        <f t="shared" si="35"/>
        <v>Risikogewicht 100%</v>
      </c>
      <c r="C484" s="991" t="s">
        <v>608</v>
      </c>
      <c r="D484" s="941" t="s">
        <v>1025</v>
      </c>
      <c r="E484" s="941" t="s">
        <v>1291</v>
      </c>
    </row>
    <row r="485" spans="1:5" x14ac:dyDescent="0.2">
      <c r="A485" s="2347" t="s">
        <v>1725</v>
      </c>
      <c r="B485" s="983" t="str">
        <f t="shared" si="35"/>
        <v>nicht geratet 20%</v>
      </c>
      <c r="C485" s="991" t="s">
        <v>607</v>
      </c>
      <c r="D485" s="941" t="s">
        <v>1024</v>
      </c>
      <c r="E485" s="941" t="s">
        <v>1296</v>
      </c>
    </row>
    <row r="486" spans="1:5" x14ac:dyDescent="0.2">
      <c r="A486" s="2347" t="s">
        <v>1725</v>
      </c>
      <c r="B486" s="983" t="str">
        <f t="shared" si="35"/>
        <v>nicht geratet 50%</v>
      </c>
      <c r="C486" s="991" t="s">
        <v>606</v>
      </c>
      <c r="D486" s="941" t="s">
        <v>1023</v>
      </c>
      <c r="E486" s="941" t="s">
        <v>1293</v>
      </c>
    </row>
    <row r="487" spans="1:5" ht="38.25" x14ac:dyDescent="0.2">
      <c r="A487" s="2347" t="s">
        <v>1725</v>
      </c>
      <c r="B487" s="983" t="str">
        <f t="shared" si="35"/>
        <v>5 Gemeinschaftseinrichtungen</v>
      </c>
      <c r="C487" s="951" t="s">
        <v>553</v>
      </c>
      <c r="D487" s="941" t="s">
        <v>1764</v>
      </c>
      <c r="E487" s="941" t="s">
        <v>984</v>
      </c>
    </row>
    <row r="488" spans="1:5" x14ac:dyDescent="0.2">
      <c r="A488" s="2347" t="s">
        <v>1725</v>
      </c>
      <c r="B488" s="983" t="str">
        <f t="shared" si="35"/>
        <v>Risikogewicht 20%</v>
      </c>
      <c r="C488" s="991" t="s">
        <v>595</v>
      </c>
      <c r="D488" s="941" t="s">
        <v>1018</v>
      </c>
      <c r="E488" s="941" t="s">
        <v>1287</v>
      </c>
    </row>
    <row r="489" spans="1:5" x14ac:dyDescent="0.2">
      <c r="A489" s="2347" t="s">
        <v>1725</v>
      </c>
      <c r="B489" s="983" t="str">
        <f t="shared" si="35"/>
        <v>Risikogewicht 50%</v>
      </c>
      <c r="C489" s="991" t="s">
        <v>594</v>
      </c>
      <c r="D489" s="941" t="s">
        <v>1017</v>
      </c>
      <c r="E489" s="941" t="s">
        <v>1288</v>
      </c>
    </row>
    <row r="490" spans="1:5" ht="25.5" x14ac:dyDescent="0.2">
      <c r="A490" s="2347" t="s">
        <v>1725</v>
      </c>
      <c r="B490" s="983" t="str">
        <f t="shared" si="35"/>
        <v>Risikogewicht 100% (ohne ungeratete Positionen)</v>
      </c>
      <c r="C490" s="991" t="s">
        <v>593</v>
      </c>
      <c r="D490" s="941" t="s">
        <v>1016</v>
      </c>
      <c r="E490" s="941" t="s">
        <v>1289</v>
      </c>
    </row>
    <row r="491" spans="1:5" x14ac:dyDescent="0.2">
      <c r="A491" s="2347" t="s">
        <v>1725</v>
      </c>
      <c r="B491" s="983" t="str">
        <f t="shared" si="35"/>
        <v>nicht geratet 100%</v>
      </c>
      <c r="C491" s="991" t="s">
        <v>598</v>
      </c>
      <c r="D491" s="941" t="s">
        <v>1021</v>
      </c>
      <c r="E491" s="941" t="s">
        <v>1290</v>
      </c>
    </row>
    <row r="492" spans="1:5" ht="25.5" x14ac:dyDescent="0.2">
      <c r="A492" s="2347" t="s">
        <v>1725</v>
      </c>
      <c r="B492" s="983" t="str">
        <f t="shared" si="35"/>
        <v>6 Börsen und Clearinghäuser</v>
      </c>
      <c r="C492" s="951" t="s">
        <v>552</v>
      </c>
      <c r="D492" s="941" t="s">
        <v>1614</v>
      </c>
      <c r="E492" s="941" t="s">
        <v>983</v>
      </c>
    </row>
    <row r="493" spans="1:5" x14ac:dyDescent="0.2">
      <c r="A493" s="2347" t="s">
        <v>1725</v>
      </c>
      <c r="B493" s="983" t="str">
        <f t="shared" si="35"/>
        <v>Risikogewicht 0%</v>
      </c>
      <c r="C493" s="951" t="s">
        <v>603</v>
      </c>
      <c r="D493" s="941" t="s">
        <v>1022</v>
      </c>
      <c r="E493" s="941" t="s">
        <v>1286</v>
      </c>
    </row>
    <row r="494" spans="1:5" x14ac:dyDescent="0.2">
      <c r="A494" s="2347" t="s">
        <v>1725</v>
      </c>
      <c r="B494" s="983" t="str">
        <f t="shared" si="35"/>
        <v>Risikogewicht 2%</v>
      </c>
      <c r="C494" s="951" t="s">
        <v>1968</v>
      </c>
      <c r="D494" s="941" t="s">
        <v>1969</v>
      </c>
      <c r="E494" s="941" t="s">
        <v>1970</v>
      </c>
    </row>
    <row r="495" spans="1:5" x14ac:dyDescent="0.2">
      <c r="A495" s="2347" t="s">
        <v>1725</v>
      </c>
      <c r="B495" s="983" t="str">
        <f t="shared" si="35"/>
        <v>Risikogewicht 20%</v>
      </c>
      <c r="C495" s="991" t="s">
        <v>595</v>
      </c>
      <c r="D495" s="941" t="s">
        <v>1018</v>
      </c>
      <c r="E495" s="941" t="s">
        <v>1287</v>
      </c>
    </row>
    <row r="496" spans="1:5" x14ac:dyDescent="0.2">
      <c r="A496" s="2347" t="s">
        <v>1725</v>
      </c>
      <c r="B496" s="983" t="str">
        <f t="shared" ref="B496:B640" si="36">IF(VLOOKUP(A496,A496:E496,language+2)="",VLOOKUP(A496,A496:E496,3),VLOOKUP(A496,A496:E496,language+2))</f>
        <v>Risikogewicht 50%</v>
      </c>
      <c r="C496" s="991" t="s">
        <v>594</v>
      </c>
      <c r="D496" s="941" t="s">
        <v>1017</v>
      </c>
      <c r="E496" s="941" t="s">
        <v>1288</v>
      </c>
    </row>
    <row r="497" spans="1:5" ht="25.5" x14ac:dyDescent="0.2">
      <c r="A497" s="2347" t="s">
        <v>1725</v>
      </c>
      <c r="B497" s="983" t="str">
        <f t="shared" si="36"/>
        <v>Risikogewicht 100% (ohne ungeratete Positionen)</v>
      </c>
      <c r="C497" s="991" t="s">
        <v>593</v>
      </c>
      <c r="D497" s="941" t="s">
        <v>1016</v>
      </c>
      <c r="E497" s="941" t="s">
        <v>1289</v>
      </c>
    </row>
    <row r="498" spans="1:5" x14ac:dyDescent="0.2">
      <c r="A498" s="2347" t="s">
        <v>1725</v>
      </c>
      <c r="B498" s="983" t="str">
        <f t="shared" si="36"/>
        <v>nicht geratet 100%</v>
      </c>
      <c r="C498" s="991" t="s">
        <v>598</v>
      </c>
      <c r="D498" s="941" t="s">
        <v>1021</v>
      </c>
      <c r="E498" s="941" t="s">
        <v>1290</v>
      </c>
    </row>
    <row r="499" spans="1:5" x14ac:dyDescent="0.2">
      <c r="A499" s="2347" t="s">
        <v>1725</v>
      </c>
      <c r="B499" s="983" t="str">
        <f t="shared" si="36"/>
        <v xml:space="preserve">7 Unternehmen </v>
      </c>
      <c r="C499" s="951" t="s">
        <v>551</v>
      </c>
      <c r="D499" s="941" t="s">
        <v>982</v>
      </c>
      <c r="E499" s="941" t="s">
        <v>981</v>
      </c>
    </row>
    <row r="500" spans="1:5" x14ac:dyDescent="0.2">
      <c r="A500" s="2347" t="s">
        <v>1725</v>
      </c>
      <c r="B500" s="983" t="str">
        <f t="shared" si="36"/>
        <v>Risikogewicht 20%</v>
      </c>
      <c r="C500" s="991" t="s">
        <v>595</v>
      </c>
      <c r="D500" s="941" t="s">
        <v>1018</v>
      </c>
      <c r="E500" s="941" t="s">
        <v>1287</v>
      </c>
    </row>
    <row r="501" spans="1:5" x14ac:dyDescent="0.2">
      <c r="A501" s="2347" t="s">
        <v>1725</v>
      </c>
      <c r="B501" s="983" t="str">
        <f t="shared" si="36"/>
        <v>Risikogewicht 50%</v>
      </c>
      <c r="C501" s="991" t="s">
        <v>594</v>
      </c>
      <c r="D501" s="941" t="s">
        <v>1017</v>
      </c>
      <c r="E501" s="941" t="s">
        <v>1288</v>
      </c>
    </row>
    <row r="502" spans="1:5" ht="25.5" x14ac:dyDescent="0.2">
      <c r="A502" s="2347" t="s">
        <v>1725</v>
      </c>
      <c r="B502" s="983" t="str">
        <f t="shared" si="36"/>
        <v>Risikogewicht 100% (ohne ungeratete Positionen)</v>
      </c>
      <c r="C502" s="991" t="s">
        <v>593</v>
      </c>
      <c r="D502" s="941" t="s">
        <v>1016</v>
      </c>
      <c r="E502" s="941" t="s">
        <v>1289</v>
      </c>
    </row>
    <row r="503" spans="1:5" x14ac:dyDescent="0.2">
      <c r="A503" s="2347" t="s">
        <v>1725</v>
      </c>
      <c r="B503" s="983" t="str">
        <f t="shared" si="36"/>
        <v>nicht geratet 100%</v>
      </c>
      <c r="C503" s="991" t="s">
        <v>598</v>
      </c>
      <c r="D503" s="941" t="s">
        <v>1021</v>
      </c>
      <c r="E503" s="941" t="s">
        <v>1290</v>
      </c>
    </row>
    <row r="504" spans="1:5" ht="25.5" x14ac:dyDescent="0.2">
      <c r="A504" s="2347" t="s">
        <v>1725</v>
      </c>
      <c r="B504" s="983" t="str">
        <f t="shared" si="36"/>
        <v>Risikogewicht 150% (ohne ungeratete Positionen)</v>
      </c>
      <c r="C504" s="991" t="s">
        <v>597</v>
      </c>
      <c r="D504" s="941" t="s">
        <v>1020</v>
      </c>
      <c r="E504" s="941" t="s">
        <v>1297</v>
      </c>
    </row>
    <row r="505" spans="1:5" x14ac:dyDescent="0.2">
      <c r="A505" s="2347" t="s">
        <v>1725</v>
      </c>
      <c r="B505" s="983" t="str">
        <f t="shared" si="36"/>
        <v>nicht geratet 150%</v>
      </c>
      <c r="C505" s="991" t="s">
        <v>596</v>
      </c>
      <c r="D505" s="941" t="s">
        <v>1019</v>
      </c>
      <c r="E505" s="941" t="s">
        <v>1298</v>
      </c>
    </row>
    <row r="506" spans="1:5" x14ac:dyDescent="0.2">
      <c r="A506" s="2347" t="s">
        <v>1725</v>
      </c>
      <c r="B506" s="983" t="str">
        <f t="shared" si="36"/>
        <v xml:space="preserve">8 Verbriefungen </v>
      </c>
      <c r="C506" s="951" t="s">
        <v>550</v>
      </c>
      <c r="D506" s="941" t="s">
        <v>980</v>
      </c>
      <c r="E506" s="941" t="s">
        <v>979</v>
      </c>
    </row>
    <row r="507" spans="1:5" x14ac:dyDescent="0.2">
      <c r="A507" s="2347" t="s">
        <v>1725</v>
      </c>
      <c r="B507" s="983" t="str">
        <f t="shared" si="36"/>
        <v>Risikogewicht 20%</v>
      </c>
      <c r="C507" s="991" t="s">
        <v>595</v>
      </c>
      <c r="D507" s="941" t="s">
        <v>1018</v>
      </c>
      <c r="E507" s="941" t="s">
        <v>1287</v>
      </c>
    </row>
    <row r="508" spans="1:5" x14ac:dyDescent="0.2">
      <c r="A508" s="2347" t="s">
        <v>1725</v>
      </c>
      <c r="B508" s="983" t="str">
        <f t="shared" si="36"/>
        <v>Risikogewicht 40%</v>
      </c>
      <c r="C508" s="991" t="s">
        <v>1972</v>
      </c>
      <c r="D508" s="941" t="s">
        <v>1973</v>
      </c>
      <c r="E508" s="941" t="s">
        <v>1974</v>
      </c>
    </row>
    <row r="509" spans="1:5" x14ac:dyDescent="0.2">
      <c r="A509" s="2347" t="s">
        <v>1725</v>
      </c>
      <c r="B509" s="983" t="str">
        <f t="shared" si="36"/>
        <v>Risikogewicht 50%</v>
      </c>
      <c r="C509" s="991" t="s">
        <v>594</v>
      </c>
      <c r="D509" s="941" t="s">
        <v>1017</v>
      </c>
      <c r="E509" s="941" t="s">
        <v>1288</v>
      </c>
    </row>
    <row r="510" spans="1:5" ht="25.5" x14ac:dyDescent="0.2">
      <c r="A510" s="2347" t="s">
        <v>1725</v>
      </c>
      <c r="B510" s="983" t="str">
        <f t="shared" si="36"/>
        <v>Risikogewicht 100% (ohne ungeratete Positionen)</v>
      </c>
      <c r="C510" s="991" t="s">
        <v>593</v>
      </c>
      <c r="D510" s="941" t="s">
        <v>1016</v>
      </c>
      <c r="E510" s="941" t="s">
        <v>1289</v>
      </c>
    </row>
    <row r="511" spans="1:5" x14ac:dyDescent="0.2">
      <c r="A511" s="2347" t="s">
        <v>1725</v>
      </c>
      <c r="B511" s="983" t="str">
        <f t="shared" si="36"/>
        <v>Risikogewicht 650%</v>
      </c>
      <c r="C511" s="991" t="s">
        <v>1978</v>
      </c>
      <c r="D511" s="941" t="s">
        <v>1979</v>
      </c>
      <c r="E511" s="941" t="s">
        <v>1980</v>
      </c>
    </row>
    <row r="512" spans="1:5" x14ac:dyDescent="0.2">
      <c r="A512" s="2347" t="s">
        <v>1725</v>
      </c>
      <c r="B512" s="983" t="str">
        <f t="shared" si="36"/>
        <v>Risikogewicht 350%</v>
      </c>
      <c r="C512" s="991" t="s">
        <v>592</v>
      </c>
      <c r="D512" s="941" t="s">
        <v>1015</v>
      </c>
      <c r="E512" s="941" t="s">
        <v>1299</v>
      </c>
    </row>
    <row r="513" spans="1:5" x14ac:dyDescent="0.2">
      <c r="A513" s="2347" t="s">
        <v>1725</v>
      </c>
      <c r="B513" s="983" t="str">
        <f t="shared" si="36"/>
        <v>Risikogewicht 225%</v>
      </c>
      <c r="C513" s="991" t="s">
        <v>1975</v>
      </c>
      <c r="D513" s="941" t="s">
        <v>1976</v>
      </c>
      <c r="E513" s="941" t="s">
        <v>1977</v>
      </c>
    </row>
    <row r="514" spans="1:5" ht="38.25" x14ac:dyDescent="0.2">
      <c r="A514" s="2347" t="s">
        <v>1725</v>
      </c>
      <c r="B514" s="983" t="str">
        <f t="shared" si="36"/>
        <v>Risikogewicht 1250% (ohne ungeratete Positionen)</v>
      </c>
      <c r="C514" s="991" t="s">
        <v>1765</v>
      </c>
      <c r="D514" s="941" t="s">
        <v>1014</v>
      </c>
      <c r="E514" s="941" t="s">
        <v>1300</v>
      </c>
    </row>
    <row r="515" spans="1:5" x14ac:dyDescent="0.2">
      <c r="A515" s="2347" t="s">
        <v>1725</v>
      </c>
      <c r="B515" s="983" t="str">
        <f t="shared" si="36"/>
        <v>nicht geratet 1250%</v>
      </c>
      <c r="C515" s="991" t="s">
        <v>591</v>
      </c>
      <c r="D515" s="941" t="s">
        <v>1013</v>
      </c>
      <c r="E515" s="941" t="s">
        <v>1301</v>
      </c>
    </row>
    <row r="516" spans="1:5" ht="38.25" x14ac:dyDescent="0.2">
      <c r="A516" s="2347" t="s">
        <v>1725</v>
      </c>
      <c r="B516" s="983" t="str">
        <f t="shared" si="36"/>
        <v>Summe der risikogewichteten Positionen vor CRM</v>
      </c>
      <c r="C516" s="951" t="s">
        <v>1589</v>
      </c>
      <c r="D516" s="941" t="s">
        <v>998</v>
      </c>
      <c r="E516" s="941" t="s">
        <v>1302</v>
      </c>
    </row>
    <row r="517" spans="1:5" ht="38.25" x14ac:dyDescent="0.2">
      <c r="A517" s="2347" t="s">
        <v>1725</v>
      </c>
      <c r="B517" s="983" t="str">
        <f t="shared" si="36"/>
        <v>Summe der risikogewichteten Positionen nach CRM</v>
      </c>
      <c r="C517" s="951" t="s">
        <v>1590</v>
      </c>
      <c r="D517" s="941" t="s">
        <v>997</v>
      </c>
      <c r="E517" s="941" t="s">
        <v>1303</v>
      </c>
    </row>
    <row r="518" spans="1:5" x14ac:dyDescent="0.2">
      <c r="A518" s="2347" t="s">
        <v>1725</v>
      </c>
      <c r="B518" s="983" t="str">
        <f t="shared" si="36"/>
        <v>Kategorie</v>
      </c>
      <c r="C518" s="951" t="s">
        <v>567</v>
      </c>
      <c r="D518" s="941" t="s">
        <v>1012</v>
      </c>
      <c r="E518" s="941" t="s">
        <v>1304</v>
      </c>
    </row>
    <row r="519" spans="1:5" x14ac:dyDescent="0.2">
      <c r="A519" s="2347" t="s">
        <v>1725</v>
      </c>
      <c r="B519" s="983" t="str">
        <f t="shared" si="36"/>
        <v>Risikogewicht</v>
      </c>
      <c r="C519" s="951" t="s">
        <v>450</v>
      </c>
      <c r="D519" s="941" t="s">
        <v>451</v>
      </c>
      <c r="E519" s="941" t="s">
        <v>1305</v>
      </c>
    </row>
    <row r="520" spans="1:5" ht="38.25" x14ac:dyDescent="0.2">
      <c r="A520" s="2347" t="s">
        <v>1725</v>
      </c>
      <c r="B520" s="983" t="str">
        <f t="shared" si="36"/>
        <v>Positionen ohne Kreditrisikominderung (CRM)</v>
      </c>
      <c r="C520" s="952" t="s">
        <v>444</v>
      </c>
      <c r="D520" s="937" t="s">
        <v>445</v>
      </c>
      <c r="E520" s="941" t="s">
        <v>446</v>
      </c>
    </row>
    <row r="521" spans="1:5" ht="25.5" x14ac:dyDescent="0.2">
      <c r="A521" s="2347" t="s">
        <v>1725</v>
      </c>
      <c r="B521" s="983" t="str">
        <f t="shared" si="36"/>
        <v xml:space="preserve">Vor Besicherung </v>
      </c>
      <c r="C521" s="952" t="s">
        <v>618</v>
      </c>
      <c r="D521" s="941" t="s">
        <v>1011</v>
      </c>
      <c r="E521" s="941" t="s">
        <v>1306</v>
      </c>
    </row>
    <row r="522" spans="1:5" ht="25.5" x14ac:dyDescent="0.2">
      <c r="A522" s="2347" t="s">
        <v>1725</v>
      </c>
      <c r="B522" s="983" t="str">
        <f t="shared" si="36"/>
        <v>Nach Besicherung</v>
      </c>
      <c r="C522" s="952" t="s">
        <v>562</v>
      </c>
      <c r="D522" s="941" t="s">
        <v>1010</v>
      </c>
      <c r="E522" s="941" t="s">
        <v>1307</v>
      </c>
    </row>
    <row r="523" spans="1:5" ht="25.5" x14ac:dyDescent="0.2">
      <c r="A523" s="2347" t="s">
        <v>1725</v>
      </c>
      <c r="B523" s="983" t="str">
        <f t="shared" si="36"/>
        <v>Besicherte Positionen</v>
      </c>
      <c r="C523" s="952" t="s">
        <v>447</v>
      </c>
      <c r="D523" s="941" t="s">
        <v>448</v>
      </c>
      <c r="E523" s="941" t="s">
        <v>449</v>
      </c>
    </row>
    <row r="524" spans="1:5" ht="25.5" x14ac:dyDescent="0.2">
      <c r="A524" s="2347" t="s">
        <v>1725</v>
      </c>
      <c r="B524" s="983" t="str">
        <f t="shared" si="36"/>
        <v>Vor Garantien und Kreditderivate</v>
      </c>
      <c r="C524" s="952" t="s">
        <v>561</v>
      </c>
      <c r="D524" s="937" t="s">
        <v>1009</v>
      </c>
      <c r="E524" s="941" t="s">
        <v>1308</v>
      </c>
    </row>
    <row r="525" spans="1:5" ht="38.25" x14ac:dyDescent="0.2">
      <c r="A525" s="2347" t="s">
        <v>1725</v>
      </c>
      <c r="B525" s="983" t="str">
        <f t="shared" si="36"/>
        <v>Mit Garantien oder Kred.-Der. besicherte Positionen</v>
      </c>
      <c r="C525" s="952" t="s">
        <v>565</v>
      </c>
      <c r="D525" s="941" t="s">
        <v>1008</v>
      </c>
      <c r="E525" s="941" t="s">
        <v>1309</v>
      </c>
    </row>
    <row r="526" spans="1:5" ht="25.5" x14ac:dyDescent="0.2">
      <c r="A526" s="2347" t="s">
        <v>1725</v>
      </c>
      <c r="B526" s="983" t="str">
        <f t="shared" si="36"/>
        <v>Nach Garantien und Kred.-.Der.</v>
      </c>
      <c r="C526" s="952" t="s">
        <v>560</v>
      </c>
      <c r="D526" s="937" t="s">
        <v>1007</v>
      </c>
      <c r="E526" s="941" t="s">
        <v>1310</v>
      </c>
    </row>
    <row r="527" spans="1:5" ht="25.5" x14ac:dyDescent="0.2">
      <c r="A527" s="2347" t="s">
        <v>1725</v>
      </c>
      <c r="B527" s="983" t="str">
        <f t="shared" si="36"/>
        <v>Risikogew. Positionen vor CRM</v>
      </c>
      <c r="C527" s="952" t="s">
        <v>564</v>
      </c>
      <c r="D527" s="941" t="s">
        <v>1006</v>
      </c>
      <c r="E527" s="941" t="s">
        <v>1311</v>
      </c>
    </row>
    <row r="528" spans="1:5" ht="25.5" x14ac:dyDescent="0.2">
      <c r="A528" s="2347" t="s">
        <v>1725</v>
      </c>
      <c r="B528" s="983" t="str">
        <f t="shared" si="36"/>
        <v>Risikogew. Positionen nach CRM</v>
      </c>
      <c r="C528" s="952" t="s">
        <v>563</v>
      </c>
      <c r="D528" s="941" t="s">
        <v>1005</v>
      </c>
      <c r="E528" s="941" t="s">
        <v>1312</v>
      </c>
    </row>
    <row r="529" spans="1:5" ht="63.75" x14ac:dyDescent="0.2">
      <c r="A529" s="2347" t="s">
        <v>1725</v>
      </c>
      <c r="B529" s="983" t="str">
        <f t="shared" si="36"/>
        <v>Positionsklassen SA-BIZ ohne die Möglichkeit der Verwendung externer Ratings und deren Risikogewichtung</v>
      </c>
      <c r="C529" s="951" t="s">
        <v>590</v>
      </c>
      <c r="D529" s="941" t="s">
        <v>1004</v>
      </c>
      <c r="E529" s="941" t="s">
        <v>452</v>
      </c>
    </row>
    <row r="530" spans="1:5" ht="38.25" x14ac:dyDescent="0.2">
      <c r="A530" s="2347" t="s">
        <v>1725</v>
      </c>
      <c r="B530" s="983" t="str">
        <f t="shared" si="36"/>
        <v>1 Natürliche Personen und Kleinnunternehmen (Retail)</v>
      </c>
      <c r="C530" s="951" t="s">
        <v>548</v>
      </c>
      <c r="D530" s="941" t="s">
        <v>977</v>
      </c>
      <c r="E530" s="941" t="s">
        <v>976</v>
      </c>
    </row>
    <row r="531" spans="1:5" ht="127.5" x14ac:dyDescent="0.2">
      <c r="A531" s="2347" t="s">
        <v>1725</v>
      </c>
      <c r="B531" s="983" t="str">
        <f t="shared" si="36"/>
        <v>Retailpositionen, wenn der Gesamtwert der Positionen nach Art 37 Abs. 1, ohne grundpfandrechtliche Sicherung, gegenüber einer Gegenpartei 1,5 Mio Franken und 1% aller Retailpositionen nicht übersteigt</v>
      </c>
      <c r="C531" s="951" t="s">
        <v>587</v>
      </c>
      <c r="D531" s="937" t="s">
        <v>1003</v>
      </c>
      <c r="E531" s="941" t="s">
        <v>1313</v>
      </c>
    </row>
    <row r="532" spans="1:5" ht="25.5" x14ac:dyDescent="0.2">
      <c r="A532" s="2347" t="s">
        <v>1725</v>
      </c>
      <c r="B532" s="983" t="str">
        <f t="shared" si="36"/>
        <v>Übrige Retailpositionen</v>
      </c>
      <c r="C532" s="951" t="s">
        <v>586</v>
      </c>
      <c r="D532" s="937" t="s">
        <v>453</v>
      </c>
      <c r="E532" s="941" t="s">
        <v>1314</v>
      </c>
    </row>
    <row r="533" spans="1:5" x14ac:dyDescent="0.2">
      <c r="A533" s="2347" t="s">
        <v>1725</v>
      </c>
      <c r="B533" s="983" t="str">
        <f t="shared" si="36"/>
        <v>2 Pfandbriefe</v>
      </c>
      <c r="C533" s="951" t="s">
        <v>547</v>
      </c>
      <c r="D533" s="941" t="s">
        <v>975</v>
      </c>
      <c r="E533" s="941" t="s">
        <v>974</v>
      </c>
    </row>
    <row r="534" spans="1:5" x14ac:dyDescent="0.2">
      <c r="A534" s="2347" t="s">
        <v>1725</v>
      </c>
      <c r="B534" s="983" t="str">
        <f t="shared" si="36"/>
        <v>Inländische Pfandbriefe</v>
      </c>
      <c r="C534" s="991" t="s">
        <v>454</v>
      </c>
      <c r="D534" s="941" t="s">
        <v>455</v>
      </c>
      <c r="E534" s="941" t="s">
        <v>456</v>
      </c>
    </row>
    <row r="535" spans="1:5" ht="38.25" x14ac:dyDescent="0.2">
      <c r="A535" s="2347" t="s">
        <v>1725</v>
      </c>
      <c r="B535" s="983" t="str">
        <f t="shared" si="36"/>
        <v>3 Direkt und indirekt grundpfandgesicherte Positionen</v>
      </c>
      <c r="C535" s="951" t="s">
        <v>709</v>
      </c>
      <c r="D535" s="941" t="s">
        <v>973</v>
      </c>
      <c r="E535" s="941" t="s">
        <v>972</v>
      </c>
    </row>
    <row r="536" spans="1:5" ht="165.75" x14ac:dyDescent="0.2">
      <c r="A536" s="2347" t="s">
        <v>1725</v>
      </c>
      <c r="B536" s="983" t="str">
        <f t="shared" si="36"/>
        <v>Direkt und indirekt grundpfandgesicherte Positionen: Wohnliegenschaften in der Schweiz und im Ausland, bis zwei Drittel des Verkehrswertes, welche die „Richtlinie betreffend Mindestanforderungen bei Hypothekarfinanzierung“ der Schweizerischen Bankiervereinigung einhalten.</v>
      </c>
      <c r="C536" s="1620" t="s">
        <v>2058</v>
      </c>
      <c r="D536" s="941" t="s">
        <v>1998</v>
      </c>
      <c r="E536" s="941" t="s">
        <v>1315</v>
      </c>
    </row>
    <row r="537" spans="1:5" ht="141" customHeight="1" x14ac:dyDescent="0.2">
      <c r="A537" s="2347" t="s">
        <v>1725</v>
      </c>
      <c r="B537" s="983" t="str">
        <f t="shared" si="36"/>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537" s="991" t="s">
        <v>2059</v>
      </c>
      <c r="D537" s="941" t="s">
        <v>1999</v>
      </c>
      <c r="E537" s="941" t="s">
        <v>1984</v>
      </c>
    </row>
    <row r="538" spans="1:5" ht="89.25" x14ac:dyDescent="0.2">
      <c r="A538" s="2347" t="s">
        <v>1725</v>
      </c>
      <c r="B538" s="983" t="str">
        <f t="shared" si="36"/>
        <v>Direkt und indirekt grundpfandgesicherte Positionen: Wohnliegenschaften in der Schweiz und im Ausland, über 80% des Verkehrswertes</v>
      </c>
      <c r="C538" s="991" t="s">
        <v>1981</v>
      </c>
      <c r="D538" s="941" t="s">
        <v>1982</v>
      </c>
      <c r="E538" s="941" t="s">
        <v>1983</v>
      </c>
    </row>
    <row r="539" spans="1:5" ht="89.25" x14ac:dyDescent="0.2">
      <c r="A539" s="2347" t="s">
        <v>1725</v>
      </c>
      <c r="B539" s="983" t="str">
        <f t="shared" si="36"/>
        <v>Direkt und indirekt grundpfandgesicherte Positionen: Landwirtschaftsliegenschaften in der Schweiz, über zwei Drittel des Verkehswertes</v>
      </c>
      <c r="C539" s="991" t="s">
        <v>583</v>
      </c>
      <c r="D539" s="937" t="s">
        <v>1002</v>
      </c>
      <c r="E539" s="941" t="s">
        <v>1316</v>
      </c>
    </row>
    <row r="540" spans="1:5" ht="102" x14ac:dyDescent="0.2">
      <c r="A540" s="2347" t="s">
        <v>1725</v>
      </c>
      <c r="B540" s="983" t="str">
        <f t="shared" si="36"/>
        <v xml:space="preserve">Direkt und indirekt grundpfandgesicherte Positionen: Büro-, Geschäftshäuser und multifunktionale Gewerbeobjekte, bis zur Hälfte des Verkehrswertes </v>
      </c>
      <c r="C540" s="951" t="s">
        <v>582</v>
      </c>
      <c r="D540" s="937" t="s">
        <v>1001</v>
      </c>
      <c r="E540" s="941" t="s">
        <v>1317</v>
      </c>
    </row>
    <row r="541" spans="1:5" ht="89.25" x14ac:dyDescent="0.2">
      <c r="A541" s="2347" t="s">
        <v>1725</v>
      </c>
      <c r="B541" s="983" t="str">
        <f t="shared" si="36"/>
        <v>Direkt und indirekt grundpfandgesicherte Positionen: Grossgewerbliche und industrielle Objekte, bis ein Drittel des Verkehrswertes</v>
      </c>
      <c r="C541" s="991" t="s">
        <v>581</v>
      </c>
      <c r="D541" s="937" t="s">
        <v>1000</v>
      </c>
      <c r="E541" s="941" t="s">
        <v>1318</v>
      </c>
    </row>
    <row r="542" spans="1:5" ht="51" x14ac:dyDescent="0.2">
      <c r="A542" s="2347" t="s">
        <v>1725</v>
      </c>
      <c r="B542" s="983" t="str">
        <f t="shared" si="36"/>
        <v xml:space="preserve">Direkt und indirekt grundpfandgesicherte Positionen: Übrige Liegenschaften </v>
      </c>
      <c r="C542" s="991" t="s">
        <v>580</v>
      </c>
      <c r="D542" s="937" t="s">
        <v>999</v>
      </c>
      <c r="E542" s="941" t="s">
        <v>1319</v>
      </c>
    </row>
    <row r="543" spans="1:5" x14ac:dyDescent="0.2">
      <c r="A543" s="2347" t="s">
        <v>1725</v>
      </c>
      <c r="B543" s="983" t="str">
        <f t="shared" si="36"/>
        <v>4 Nachrangige Positionen</v>
      </c>
      <c r="C543" s="951" t="s">
        <v>545</v>
      </c>
      <c r="D543" s="941" t="s">
        <v>971</v>
      </c>
      <c r="E543" s="941" t="s">
        <v>970</v>
      </c>
    </row>
    <row r="544" spans="1:5" ht="89.25" x14ac:dyDescent="0.2">
      <c r="A544" s="2347" t="s">
        <v>1725</v>
      </c>
      <c r="B544" s="983" t="str">
        <f t="shared" si="36"/>
        <v>Nachrangige Positionen gegenüber öffentlichrechtlichen Körperschaften, deren Risikogewicht nach Anhang 2  (SA-BIZ) höchstens 50 % beträgt</v>
      </c>
      <c r="C544" s="951" t="s">
        <v>1985</v>
      </c>
      <c r="D544" s="937" t="s">
        <v>1986</v>
      </c>
      <c r="E544" s="941" t="s">
        <v>1987</v>
      </c>
    </row>
    <row r="545" spans="1:5" ht="25.5" x14ac:dyDescent="0.2">
      <c r="A545" s="2347" t="s">
        <v>1725</v>
      </c>
      <c r="B545" s="983" t="str">
        <f t="shared" si="36"/>
        <v>Übrige nachrangige Positionen</v>
      </c>
      <c r="C545" s="951" t="s">
        <v>576</v>
      </c>
      <c r="D545" s="937" t="s">
        <v>457</v>
      </c>
      <c r="E545" s="941" t="s">
        <v>1321</v>
      </c>
    </row>
    <row r="546" spans="1:5" x14ac:dyDescent="0.2">
      <c r="A546" s="2347" t="s">
        <v>1725</v>
      </c>
      <c r="B546" s="983" t="str">
        <f t="shared" si="36"/>
        <v>5 Überfällige Positionen</v>
      </c>
      <c r="C546" s="951" t="s">
        <v>544</v>
      </c>
      <c r="D546" s="941" t="s">
        <v>968</v>
      </c>
      <c r="E546" s="941" t="s">
        <v>967</v>
      </c>
    </row>
    <row r="547" spans="1:5" ht="102" x14ac:dyDescent="0.2">
      <c r="A547" s="2347" t="s">
        <v>1725</v>
      </c>
      <c r="B547" s="983" t="str">
        <f t="shared" si="36"/>
        <v>Die um die Einzelwertberichtigungen korrigierten Positionen nach Ziffer 3.1, wobei grundpfandgesicherte Positionen nach den Ziffern 3.2-3.4 als unbesichert gelten</v>
      </c>
      <c r="C547" s="951" t="s">
        <v>1988</v>
      </c>
      <c r="D547" s="937" t="s">
        <v>1989</v>
      </c>
      <c r="E547" s="941" t="s">
        <v>1990</v>
      </c>
    </row>
    <row r="548" spans="1:5" ht="114.75" x14ac:dyDescent="0.2">
      <c r="A548" s="2347" t="s">
        <v>1725</v>
      </c>
      <c r="B548" s="983" t="str">
        <f t="shared" si="36"/>
        <v>Die um die Einzelwertberichtigungen korrigierten unbesicherten Positionsanteile, sofern die Einzelwertberichtigungen mindestens 20 % des ausstehenden Betrags ausmachen</v>
      </c>
      <c r="C548" s="951" t="s">
        <v>571</v>
      </c>
      <c r="D548" s="937" t="s">
        <v>458</v>
      </c>
      <c r="E548" s="941" t="s">
        <v>1322</v>
      </c>
    </row>
    <row r="549" spans="1:5" ht="114.75" x14ac:dyDescent="0.2">
      <c r="A549" s="2347" t="s">
        <v>1725</v>
      </c>
      <c r="B549" s="983" t="str">
        <f t="shared" si="36"/>
        <v>Die um die Einzelwertberichtigungen korrigierten unbesicherten Positionsanteile, sofern die Einzelwertberichtigungen weniger als 20 % des ausstehenden Betrags ausmachen</v>
      </c>
      <c r="C549" s="951" t="s">
        <v>570</v>
      </c>
      <c r="D549" s="937" t="s">
        <v>459</v>
      </c>
      <c r="E549" s="941" t="s">
        <v>1323</v>
      </c>
    </row>
    <row r="550" spans="1:5" x14ac:dyDescent="0.2">
      <c r="A550" s="2347" t="s">
        <v>1725</v>
      </c>
      <c r="B550" s="983" t="str">
        <f t="shared" si="36"/>
        <v>6 Übrige Positionen</v>
      </c>
      <c r="C550" s="951" t="s">
        <v>543</v>
      </c>
      <c r="D550" s="941" t="s">
        <v>966</v>
      </c>
      <c r="E550" s="941" t="s">
        <v>965</v>
      </c>
    </row>
    <row r="551" spans="1:5" ht="57" customHeight="1" x14ac:dyDescent="0.2">
      <c r="A551" s="2347" t="s">
        <v>1725</v>
      </c>
      <c r="B551" s="983" t="str">
        <f t="shared" si="36"/>
        <v xml:space="preserve">Flüssige Mittel, jedoch ohne Positionen unter Blatt "Positionsklassen",  A.) 6.2  </v>
      </c>
      <c r="C551" s="951" t="s">
        <v>2060</v>
      </c>
      <c r="D551" s="941" t="s">
        <v>2000</v>
      </c>
      <c r="E551" s="941" t="s">
        <v>2001</v>
      </c>
    </row>
    <row r="552" spans="1:5" ht="51" x14ac:dyDescent="0.2">
      <c r="A552" s="2347" t="s">
        <v>1725</v>
      </c>
      <c r="B552" s="983" t="str">
        <f t="shared" si="36"/>
        <v>Kreditäquivalente aus Einzahlungs- und Nachschussverpflichtungen</v>
      </c>
      <c r="C552" s="951" t="s">
        <v>460</v>
      </c>
      <c r="D552" s="941" t="s">
        <v>461</v>
      </c>
      <c r="E552" s="941" t="s">
        <v>462</v>
      </c>
    </row>
    <row r="553" spans="1:5" ht="38.25" x14ac:dyDescent="0.2">
      <c r="A553" s="2347" t="s">
        <v>1725</v>
      </c>
      <c r="B553" s="983" t="str">
        <f t="shared" si="36"/>
        <v>Übrige Positionen (inkl. Rechnungsbegrenzungsposten)</v>
      </c>
      <c r="C553" s="951" t="s">
        <v>463</v>
      </c>
      <c r="D553" s="941" t="s">
        <v>1661</v>
      </c>
      <c r="E553" s="941" t="s">
        <v>464</v>
      </c>
    </row>
    <row r="554" spans="1:5" ht="38.25" x14ac:dyDescent="0.2">
      <c r="A554" s="2347" t="s">
        <v>1725</v>
      </c>
      <c r="B554" s="983" t="str">
        <f t="shared" si="36"/>
        <v>Summe der risikogewichteten Positionen vor CRM</v>
      </c>
      <c r="C554" s="951" t="s">
        <v>1589</v>
      </c>
      <c r="D554" s="941" t="s">
        <v>998</v>
      </c>
      <c r="E554" s="941" t="s">
        <v>1302</v>
      </c>
    </row>
    <row r="555" spans="1:5" ht="38.25" x14ac:dyDescent="0.2">
      <c r="A555" s="2347" t="s">
        <v>1725</v>
      </c>
      <c r="B555" s="983" t="str">
        <f t="shared" si="36"/>
        <v>Summe der risikogewichteten Positionen nach CRM</v>
      </c>
      <c r="C555" s="951" t="s">
        <v>1590</v>
      </c>
      <c r="D555" s="941" t="s">
        <v>997</v>
      </c>
      <c r="E555" s="941" t="s">
        <v>1303</v>
      </c>
    </row>
    <row r="556" spans="1:5" ht="25.5" x14ac:dyDescent="0.2">
      <c r="A556" s="2347">
        <v>35</v>
      </c>
      <c r="B556" s="983" t="str">
        <f t="shared" ref="B556" si="37">IF(VLOOKUP(A556,A556:E556,language+2)="",VLOOKUP(A556,A556:E556,3),VLOOKUP(A556,A556:E556,language+2))</f>
        <v>Variations-koeffizienten der Einzelleistungen</v>
      </c>
      <c r="C556" s="951" t="s">
        <v>2413</v>
      </c>
      <c r="D556" s="941" t="s">
        <v>2230</v>
      </c>
      <c r="E556" s="941" t="s">
        <v>2272</v>
      </c>
    </row>
    <row r="557" spans="1:5" x14ac:dyDescent="0.2">
      <c r="A557" s="2347">
        <v>35</v>
      </c>
      <c r="B557" s="983" t="str">
        <f t="shared" ref="B557" si="38">IF(VLOOKUP(A557,A557:E557,language+2)="",VLOOKUP(A557,A557:E557,3),VLOOKUP(A557,A557:E557,language+2))</f>
        <v>Zufallsrisiko</v>
      </c>
      <c r="C557" s="951" t="s">
        <v>2162</v>
      </c>
      <c r="D557" s="941" t="s">
        <v>2231</v>
      </c>
      <c r="E557" s="941" t="s">
        <v>2273</v>
      </c>
    </row>
    <row r="558" spans="1:5" ht="25.5" x14ac:dyDescent="0.2">
      <c r="A558" s="2347">
        <v>36</v>
      </c>
      <c r="B558" s="983" t="str">
        <f t="shared" ref="B558" si="39">IF(VLOOKUP(A558,A558:E558,language+2)="",VLOOKUP(A558,A558:E558,3),VLOOKUP(A558,A558:E558,language+2))</f>
        <v>Parametrisierung Risikoausgleich</v>
      </c>
      <c r="C558" s="951" t="s">
        <v>2441</v>
      </c>
      <c r="D558" s="941" t="s">
        <v>2495</v>
      </c>
      <c r="E558" s="941" t="s">
        <v>2481</v>
      </c>
    </row>
    <row r="559" spans="1:5" x14ac:dyDescent="0.2">
      <c r="A559" s="2347">
        <v>36</v>
      </c>
      <c r="B559" s="983" t="str">
        <f t="shared" si="36"/>
        <v xml:space="preserve">Risikoausgleich </v>
      </c>
      <c r="C559" s="951" t="s">
        <v>1876</v>
      </c>
      <c r="D559" s="941" t="s">
        <v>1874</v>
      </c>
      <c r="E559" s="941" t="s">
        <v>1873</v>
      </c>
    </row>
    <row r="560" spans="1:5" ht="25.5" x14ac:dyDescent="0.2">
      <c r="A560" s="2347">
        <v>36</v>
      </c>
      <c r="B560" s="983" t="str">
        <f t="shared" ref="B560" si="40">IF(VLOOKUP(A560,A560:E560,language+2)="",VLOOKUP(A560,A560:E560,3),VLOOKUP(A560,A560:E560,language+2))</f>
        <v>Erwartungswert Risikoausgleich</v>
      </c>
      <c r="C560" s="951" t="s">
        <v>2167</v>
      </c>
      <c r="D560" s="941" t="s">
        <v>2232</v>
      </c>
      <c r="E560" s="941" t="s">
        <v>2274</v>
      </c>
    </row>
    <row r="561" spans="1:14" ht="25.5" x14ac:dyDescent="0.2">
      <c r="A561" s="2347">
        <v>36</v>
      </c>
      <c r="B561" s="983" t="str">
        <f t="shared" ref="B561" si="41">IF(VLOOKUP(A561,A561:E561,language+2)="",VLOOKUP(A561,A561:E561,3),VLOOKUP(A561,A561:E561,language+2))</f>
        <v>Standardabweichung Risikoausgleich</v>
      </c>
      <c r="C561" s="951" t="s">
        <v>2412</v>
      </c>
      <c r="D561" s="941" t="s">
        <v>1783</v>
      </c>
      <c r="E561" s="941" t="s">
        <v>2546</v>
      </c>
    </row>
    <row r="562" spans="1:14" ht="25.5" x14ac:dyDescent="0.2">
      <c r="A562" s="2347">
        <v>36</v>
      </c>
      <c r="B562" s="983" t="str">
        <f t="shared" ref="B562" si="42">IF(VLOOKUP(A562,A562:E562,language+2)="",VLOOKUP(A562,A562:E562,3),VLOOKUP(A562,A562:E562,language+2))</f>
        <v>Standardabweichung Zufallsrisiko</v>
      </c>
      <c r="C562" s="951" t="s">
        <v>2166</v>
      </c>
      <c r="D562" s="941" t="s">
        <v>2233</v>
      </c>
      <c r="E562" s="941" t="s">
        <v>2275</v>
      </c>
    </row>
    <row r="563" spans="1:14" ht="25.5" x14ac:dyDescent="0.2">
      <c r="A563" s="2347">
        <v>36</v>
      </c>
      <c r="B563" s="983" t="str">
        <f t="shared" ref="B563" si="43">IF(VLOOKUP(A563,A563:E563,language+2)="",VLOOKUP(A563,A563:E563,3),VLOOKUP(A563,A563:E563,language+2))</f>
        <v>Standardabweichung Parameterrisiko</v>
      </c>
      <c r="C563" s="951" t="s">
        <v>2165</v>
      </c>
      <c r="D563" s="941" t="s">
        <v>2234</v>
      </c>
      <c r="E563" s="941" t="s">
        <v>2276</v>
      </c>
    </row>
    <row r="564" spans="1:14" ht="25.5" x14ac:dyDescent="0.2">
      <c r="A564" s="2347">
        <v>36</v>
      </c>
      <c r="B564" s="983" t="str">
        <f t="shared" ref="B564" si="44">IF(VLOOKUP(A564,A564:E564,language+2)="",VLOOKUP(A564,A564:E564,3),VLOOKUP(A564,A564:E564,language+2))</f>
        <v>Variationskoeffizient Parameterrisiko</v>
      </c>
      <c r="C564" s="951" t="s">
        <v>2164</v>
      </c>
      <c r="D564" s="941" t="s">
        <v>471</v>
      </c>
      <c r="E564" s="941" t="s">
        <v>2277</v>
      </c>
    </row>
    <row r="565" spans="1:14" ht="51" x14ac:dyDescent="0.2">
      <c r="A565" s="2347">
        <v>36</v>
      </c>
      <c r="B565" s="983" t="str">
        <f t="shared" ref="B565:B634" si="45">IF(VLOOKUP(A565,A565:E565,language+2)="",VLOOKUP(A565,A565:E565,3),VLOOKUP(A565,A565:E565,language+2))</f>
        <v>Geschätzter Durchschnittsbestand pro Risikoklasse für das Jahr 2025</v>
      </c>
      <c r="C565" s="941" t="str">
        <f>"Geschätzter Durchschnittsbestand pro Risikoklasse für das Jahr "&amp;current_year</f>
        <v>Geschätzter Durchschnittsbestand pro Risikoklasse für das Jahr 2025</v>
      </c>
      <c r="D565" s="941" t="str">
        <f>"Effectif attendu par groupe de risques pour l'année "&amp;current_year</f>
        <v>Effectif attendu par groupe de risques pour l'année 2025</v>
      </c>
      <c r="E565" s="941" t="str">
        <f>"Estimated Inventory per risk class in the year "&amp;current_year</f>
        <v>Estimated Inventory per risk class in the year 2025</v>
      </c>
    </row>
    <row r="566" spans="1:14" ht="51" customHeight="1" x14ac:dyDescent="0.2">
      <c r="A566" s="2347">
        <v>36</v>
      </c>
      <c r="B566" s="983" t="str">
        <f t="shared" si="45"/>
        <v>Geschätzter Durchschnittsbestand pro PCG für das Jahr  2025</v>
      </c>
      <c r="C566" s="941" t="str">
        <f>"Geschätzter Durchschnittsbestand pro PCG für das Jahr  "&amp;current_year</f>
        <v>Geschätzter Durchschnittsbestand pro PCG für das Jahr  2025</v>
      </c>
      <c r="D566" s="941" t="str">
        <f>"Effectif attendu par PCG pour l'année "&amp;current_year</f>
        <v>Effectif attendu par PCG pour l'année 2025</v>
      </c>
      <c r="E566" s="941" t="str">
        <f>"Estimated Inventory per PCG in the year "&amp;current_year</f>
        <v>Estimated Inventory per PCG in the year 2025</v>
      </c>
      <c r="F566" s="2155"/>
      <c r="G566" s="2155"/>
      <c r="H566" s="2155"/>
      <c r="I566" s="2155"/>
      <c r="J566" s="2155"/>
      <c r="K566" s="2155"/>
      <c r="L566" s="2155"/>
      <c r="M566" s="2155"/>
      <c r="N566" s="2155"/>
    </row>
    <row r="567" spans="1:14" ht="63.75" x14ac:dyDescent="0.2">
      <c r="A567" s="2347">
        <v>36</v>
      </c>
      <c r="B567" s="983" t="str">
        <f t="shared" ref="B567:B568" si="46">IF(VLOOKUP(A567,A567:E567,language+2)="",VLOOKUP(A567,A567:E567,3),VLOOKUP(A567,A567:E567,language+2))</f>
        <v>geschätzte Risikoausgleichssätze, pro Monat in CHF (ohne Entlastung junge Erwachsene)</v>
      </c>
      <c r="C567" s="941" t="s">
        <v>2445</v>
      </c>
      <c r="D567" s="941" t="s">
        <v>2237</v>
      </c>
      <c r="E567" s="941" t="s">
        <v>2278</v>
      </c>
    </row>
    <row r="568" spans="1:14" ht="25.5" x14ac:dyDescent="0.2">
      <c r="A568" s="2347">
        <v>36</v>
      </c>
      <c r="B568" s="983" t="str">
        <f t="shared" si="46"/>
        <v xml:space="preserve">PCG-Zuschlag pro Monat in CHF </v>
      </c>
      <c r="C568" s="941" t="s">
        <v>2343</v>
      </c>
      <c r="D568" s="941" t="s">
        <v>2482</v>
      </c>
      <c r="E568" s="941" t="s">
        <v>2524</v>
      </c>
    </row>
    <row r="569" spans="1:14" ht="25.5" x14ac:dyDescent="0.2">
      <c r="A569" s="2347">
        <v>36</v>
      </c>
      <c r="B569" s="983" t="str">
        <f t="shared" ref="B569" si="47">IF(VLOOKUP(A569,A569:E569,language+2)="",VLOOKUP(A569,A569:E569,3),VLOOKUP(A569,A569:E569,language+2))</f>
        <v>Zufallsrisiko des Risikoausgleichs</v>
      </c>
      <c r="C569" s="941" t="s">
        <v>2163</v>
      </c>
      <c r="D569" s="941" t="s">
        <v>2236</v>
      </c>
      <c r="E569" s="941" t="s">
        <v>2279</v>
      </c>
    </row>
    <row r="570" spans="1:14" ht="51" x14ac:dyDescent="0.2">
      <c r="A570" s="2347">
        <v>36</v>
      </c>
      <c r="B570" s="983" t="str">
        <f t="shared" ref="B570" si="48">IF(VLOOKUP(A570,A570:E570,language+2)="",VLOOKUP(A570,A570:E570,3),VLOOKUP(A570,A570:E570,language+2))</f>
        <v>Geschätzter Durchschnittsbestand pro Risikoklasse für das Vorjahr</v>
      </c>
      <c r="C570" s="941" t="s">
        <v>2494</v>
      </c>
      <c r="D570" s="941" t="s">
        <v>2444</v>
      </c>
      <c r="E570" s="941" t="s">
        <v>2280</v>
      </c>
    </row>
    <row r="571" spans="1:14" ht="38.25" x14ac:dyDescent="0.2">
      <c r="A571" s="2347">
        <v>36</v>
      </c>
      <c r="B571" s="983" t="str">
        <f t="shared" ref="B571" si="49">IF(VLOOKUP(A571,A571:E571,language+2)="",VLOOKUP(A571,A571:E571,3),VLOOKUP(A571,A571:E571,language+2))</f>
        <v>Risikoausgleich pro Risikoklasse in Mio. CHF</v>
      </c>
      <c r="C571" s="941" t="s">
        <v>2170</v>
      </c>
      <c r="D571" s="941" t="s">
        <v>2235</v>
      </c>
      <c r="E571" s="941" t="s">
        <v>2281</v>
      </c>
    </row>
    <row r="572" spans="1:14" ht="76.5" x14ac:dyDescent="0.2">
      <c r="A572" s="2347">
        <v>36</v>
      </c>
      <c r="B572" s="983" t="str">
        <f t="shared" si="45"/>
        <v xml:space="preserve">Dieser Input muss zwingenderweise ebenfalls im Blatt Übersicht des Templates Risikoausgleich eingetragen werden. </v>
      </c>
      <c r="C572" s="941" t="s">
        <v>1944</v>
      </c>
      <c r="D572" s="941" t="s">
        <v>1947</v>
      </c>
      <c r="E572" s="941" t="s">
        <v>1945</v>
      </c>
    </row>
    <row r="573" spans="1:14" ht="114.75" x14ac:dyDescent="0.2">
      <c r="A573" s="2347">
        <v>36</v>
      </c>
      <c r="B573" s="983" t="str">
        <f t="shared" si="45"/>
        <v>Im Template Risikoausgleich wird die Standardabweichung des Risikoausgleichs berechnet. Diese muss dann im Blatt HE_Insurance_Risk im entsprechenden Feld eingetragen werden.</v>
      </c>
      <c r="C573" s="941" t="s">
        <v>1951</v>
      </c>
      <c r="D573" s="941" t="s">
        <v>1950</v>
      </c>
      <c r="E573" s="941" t="s">
        <v>1946</v>
      </c>
      <c r="H573" s="9"/>
    </row>
    <row r="574" spans="1:14" x14ac:dyDescent="0.2">
      <c r="A574" s="2347">
        <v>36</v>
      </c>
      <c r="B574" s="983" t="str">
        <f t="shared" si="45"/>
        <v>Legende</v>
      </c>
      <c r="C574" s="941" t="s">
        <v>1919</v>
      </c>
      <c r="D574" s="2172" t="s">
        <v>1920</v>
      </c>
      <c r="E574" s="941" t="s">
        <v>1921</v>
      </c>
    </row>
    <row r="575" spans="1:14" x14ac:dyDescent="0.2">
      <c r="A575" s="2347">
        <v>36</v>
      </c>
      <c r="B575" s="983" t="str">
        <f t="shared" si="45"/>
        <v>Risikogruppe</v>
      </c>
      <c r="C575" s="941" t="s">
        <v>1922</v>
      </c>
      <c r="D575" s="941" t="s">
        <v>1923</v>
      </c>
      <c r="E575" s="941" t="s">
        <v>1924</v>
      </c>
    </row>
    <row r="576" spans="1:14" x14ac:dyDescent="0.2">
      <c r="A576" s="2347">
        <v>36</v>
      </c>
      <c r="B576" s="983" t="str">
        <f t="shared" si="45"/>
        <v>Geschlecht</v>
      </c>
      <c r="C576" s="941" t="s">
        <v>1925</v>
      </c>
      <c r="D576" s="941" t="s">
        <v>1926</v>
      </c>
      <c r="E576" s="941" t="s">
        <v>1927</v>
      </c>
    </row>
    <row r="577" spans="1:5" x14ac:dyDescent="0.2">
      <c r="A577" s="2347">
        <v>36</v>
      </c>
      <c r="B577" s="983" t="str">
        <f t="shared" si="45"/>
        <v>Alter</v>
      </c>
      <c r="C577" s="941" t="s">
        <v>1928</v>
      </c>
      <c r="D577" s="941" t="s">
        <v>1929</v>
      </c>
      <c r="E577" s="941" t="s">
        <v>1929</v>
      </c>
    </row>
    <row r="578" spans="1:5" x14ac:dyDescent="0.2">
      <c r="A578" s="2347">
        <v>36</v>
      </c>
      <c r="B578" s="983" t="str">
        <f t="shared" si="45"/>
        <v>Hospitalisation</v>
      </c>
      <c r="C578" s="941" t="s">
        <v>1930</v>
      </c>
      <c r="D578" s="941" t="s">
        <v>1930</v>
      </c>
      <c r="E578" s="941" t="s">
        <v>1930</v>
      </c>
    </row>
    <row r="579" spans="1:5" x14ac:dyDescent="0.2">
      <c r="A579" s="2347">
        <v>36</v>
      </c>
      <c r="B579" s="983" t="str">
        <f t="shared" si="45"/>
        <v>Ja</v>
      </c>
      <c r="C579" s="941" t="s">
        <v>1931</v>
      </c>
      <c r="D579" s="941" t="s">
        <v>1932</v>
      </c>
      <c r="E579" s="941" t="s">
        <v>1933</v>
      </c>
    </row>
    <row r="580" spans="1:5" x14ac:dyDescent="0.2">
      <c r="A580" s="2347">
        <v>36</v>
      </c>
      <c r="B580" s="983" t="str">
        <f t="shared" si="45"/>
        <v>Nein</v>
      </c>
      <c r="C580" s="941" t="s">
        <v>1934</v>
      </c>
      <c r="D580" s="941" t="s">
        <v>1935</v>
      </c>
      <c r="E580" s="941" t="s">
        <v>1936</v>
      </c>
    </row>
    <row r="581" spans="1:5" x14ac:dyDescent="0.2">
      <c r="A581" s="2347">
        <v>36</v>
      </c>
      <c r="B581" s="983" t="str">
        <f t="shared" si="45"/>
        <v>Risiko-gruppe</v>
      </c>
      <c r="C581" s="941" t="s">
        <v>1937</v>
      </c>
      <c r="D581" s="941" t="s">
        <v>1923</v>
      </c>
      <c r="E581" s="941" t="s">
        <v>1924</v>
      </c>
    </row>
    <row r="582" spans="1:5" x14ac:dyDescent="0.2">
      <c r="A582" s="2347">
        <v>36</v>
      </c>
      <c r="B582" s="983" t="str">
        <f t="shared" ref="B582:B623" si="50">IF(VLOOKUP(A582,A582:E582,language+2)="",VLOOKUP(A582,A582:E582,3),VLOOKUP(A582,A582:E582,language+2))</f>
        <v>Summe</v>
      </c>
      <c r="C582" s="941" t="s">
        <v>1938</v>
      </c>
      <c r="D582" s="941" t="s">
        <v>1939</v>
      </c>
      <c r="E582" s="941" t="s">
        <v>1940</v>
      </c>
    </row>
    <row r="583" spans="1:5" x14ac:dyDescent="0.2">
      <c r="A583" s="2347">
        <v>36</v>
      </c>
      <c r="B583" s="983" t="str">
        <f t="shared" si="50"/>
        <v xml:space="preserve">Kanton </v>
      </c>
      <c r="C583" s="941" t="s">
        <v>1941</v>
      </c>
      <c r="D583" s="941" t="s">
        <v>1942</v>
      </c>
      <c r="E583" s="941" t="s">
        <v>1943</v>
      </c>
    </row>
    <row r="584" spans="1:5" x14ac:dyDescent="0.2">
      <c r="A584" s="2347">
        <v>36</v>
      </c>
      <c r="B584" s="983" t="str">
        <f t="shared" si="50"/>
        <v>Sucht ohne Nikotin</v>
      </c>
      <c r="C584" s="941" t="s">
        <v>2345</v>
      </c>
      <c r="D584" s="941" t="s">
        <v>2448</v>
      </c>
      <c r="E584" s="941" t="s">
        <v>2496</v>
      </c>
    </row>
    <row r="585" spans="1:5" ht="25.5" x14ac:dyDescent="0.2">
      <c r="A585" s="2347">
        <v>36</v>
      </c>
      <c r="B585" s="983" t="str">
        <f t="shared" si="50"/>
        <v>ADHS</v>
      </c>
      <c r="C585" s="941" t="s">
        <v>2347</v>
      </c>
      <c r="D585" s="941" t="s">
        <v>2456</v>
      </c>
      <c r="E585" s="941" t="s">
        <v>2497</v>
      </c>
    </row>
    <row r="586" spans="1:5" x14ac:dyDescent="0.2">
      <c r="A586" s="2347">
        <v>36</v>
      </c>
      <c r="B586" s="983" t="str">
        <f t="shared" si="50"/>
        <v>Autoimmunkrankheiten</v>
      </c>
      <c r="C586" s="941" t="s">
        <v>2349</v>
      </c>
      <c r="D586" s="941" t="s">
        <v>2467</v>
      </c>
      <c r="E586" s="941" t="s">
        <v>2498</v>
      </c>
    </row>
    <row r="587" spans="1:5" x14ac:dyDescent="0.2">
      <c r="A587" s="2347">
        <v>36</v>
      </c>
      <c r="B587" s="983" t="str">
        <f t="shared" si="50"/>
        <v>Alzheimer</v>
      </c>
      <c r="C587" s="941" t="s">
        <v>2351</v>
      </c>
      <c r="D587" s="941" t="s">
        <v>2351</v>
      </c>
      <c r="E587" s="941" t="s">
        <v>2499</v>
      </c>
    </row>
    <row r="588" spans="1:5" x14ac:dyDescent="0.2">
      <c r="A588" s="2347">
        <v>36</v>
      </c>
      <c r="B588" s="983" t="str">
        <f t="shared" si="50"/>
        <v>Asthma</v>
      </c>
      <c r="C588" s="941" t="s">
        <v>2353</v>
      </c>
      <c r="D588" s="941" t="s">
        <v>2449</v>
      </c>
      <c r="E588" s="941" t="s">
        <v>2353</v>
      </c>
    </row>
    <row r="589" spans="1:5" x14ac:dyDescent="0.2">
      <c r="A589" s="2347">
        <v>36</v>
      </c>
      <c r="B589" s="983" t="str">
        <f t="shared" si="50"/>
        <v>Bipolare Störung regulär</v>
      </c>
      <c r="C589" s="941" t="s">
        <v>2355</v>
      </c>
      <c r="D589" s="941" t="s">
        <v>2474</v>
      </c>
      <c r="E589" s="941" t="s">
        <v>2500</v>
      </c>
    </row>
    <row r="590" spans="1:5" x14ac:dyDescent="0.2">
      <c r="A590" s="2347">
        <v>36</v>
      </c>
      <c r="B590" s="983" t="str">
        <f t="shared" si="50"/>
        <v>Herzleiden</v>
      </c>
      <c r="C590" s="941" t="s">
        <v>2357</v>
      </c>
      <c r="D590" s="941" t="s">
        <v>2452</v>
      </c>
      <c r="E590" s="941" t="s">
        <v>2501</v>
      </c>
    </row>
    <row r="591" spans="1:5" ht="25.5" x14ac:dyDescent="0.2">
      <c r="A591" s="2347">
        <v>36</v>
      </c>
      <c r="B591" s="983" t="str">
        <f t="shared" si="50"/>
        <v>COPD / Schweres Asthma</v>
      </c>
      <c r="C591" s="941" t="s">
        <v>2359</v>
      </c>
      <c r="D591" s="941" t="s">
        <v>2450</v>
      </c>
      <c r="E591" s="941" t="s">
        <v>2502</v>
      </c>
    </row>
    <row r="592" spans="1:5" x14ac:dyDescent="0.2">
      <c r="A592" s="2347">
        <v>36</v>
      </c>
      <c r="B592" s="983" t="str">
        <f t="shared" si="50"/>
        <v>Depression</v>
      </c>
      <c r="C592" s="941" t="s">
        <v>2361</v>
      </c>
      <c r="D592" s="941" t="s">
        <v>2458</v>
      </c>
      <c r="E592" s="941" t="s">
        <v>2361</v>
      </c>
    </row>
    <row r="593" spans="1:5" x14ac:dyDescent="0.2">
      <c r="A593" s="2347">
        <v>36</v>
      </c>
      <c r="B593" s="983" t="str">
        <f t="shared" si="50"/>
        <v>Diabetes Typ-I</v>
      </c>
      <c r="C593" s="941" t="s">
        <v>2363</v>
      </c>
      <c r="D593" s="941" t="s">
        <v>2459</v>
      </c>
      <c r="E593" s="941" t="s">
        <v>2503</v>
      </c>
    </row>
    <row r="594" spans="1:5" x14ac:dyDescent="0.2">
      <c r="A594" s="2347">
        <v>36</v>
      </c>
      <c r="B594" s="983" t="str">
        <f t="shared" si="50"/>
        <v>Diabetes Typ-2</v>
      </c>
      <c r="C594" s="941" t="s">
        <v>2365</v>
      </c>
      <c r="D594" s="941" t="s">
        <v>2460</v>
      </c>
      <c r="E594" s="941" t="s">
        <v>2504</v>
      </c>
    </row>
    <row r="595" spans="1:5" x14ac:dyDescent="0.2">
      <c r="A595" s="2347">
        <v>36</v>
      </c>
      <c r="B595" s="983" t="str">
        <f t="shared" si="50"/>
        <v>Epilepsie</v>
      </c>
      <c r="C595" s="941" t="s">
        <v>2367</v>
      </c>
      <c r="D595" s="941" t="s">
        <v>2463</v>
      </c>
      <c r="E595" s="941" t="s">
        <v>2505</v>
      </c>
    </row>
    <row r="596" spans="1:5" x14ac:dyDescent="0.2">
      <c r="A596" s="2347">
        <v>36</v>
      </c>
      <c r="B596" s="983" t="str">
        <f t="shared" si="50"/>
        <v>Glaukom</v>
      </c>
      <c r="C596" s="941" t="s">
        <v>2369</v>
      </c>
      <c r="D596" s="941" t="s">
        <v>2465</v>
      </c>
      <c r="E596" s="941" t="s">
        <v>2506</v>
      </c>
    </row>
    <row r="597" spans="1:5" x14ac:dyDescent="0.2">
      <c r="A597" s="2347">
        <v>36</v>
      </c>
      <c r="B597" s="983" t="str">
        <f t="shared" si="50"/>
        <v>Hohes Cholesterin</v>
      </c>
      <c r="C597" s="941" t="s">
        <v>2371</v>
      </c>
      <c r="D597" s="941" t="s">
        <v>2466</v>
      </c>
      <c r="E597" s="941" t="s">
        <v>2507</v>
      </c>
    </row>
    <row r="598" spans="1:5" x14ac:dyDescent="0.2">
      <c r="A598" s="2347">
        <v>36</v>
      </c>
      <c r="B598" s="983" t="str">
        <f t="shared" si="50"/>
        <v>HIV / AIDS</v>
      </c>
      <c r="C598" s="941" t="s">
        <v>2373</v>
      </c>
      <c r="D598" s="941" t="s">
        <v>2478</v>
      </c>
      <c r="E598" s="941" t="s">
        <v>2373</v>
      </c>
    </row>
    <row r="599" spans="1:5" ht="25.5" x14ac:dyDescent="0.2">
      <c r="A599" s="2347">
        <v>36</v>
      </c>
      <c r="B599" s="983" t="str">
        <f t="shared" si="50"/>
        <v>Hormonsensitive Tumore</v>
      </c>
      <c r="C599" s="941" t="s">
        <v>2375</v>
      </c>
      <c r="D599" s="941" t="s">
        <v>2454</v>
      </c>
      <c r="E599" s="941" t="s">
        <v>2508</v>
      </c>
    </row>
    <row r="600" spans="1:5" x14ac:dyDescent="0.2">
      <c r="A600" s="2347">
        <v>36</v>
      </c>
      <c r="B600" s="983" t="str">
        <f t="shared" si="50"/>
        <v>Krebs</v>
      </c>
      <c r="C600" s="941" t="s">
        <v>2377</v>
      </c>
      <c r="D600" s="941" t="s">
        <v>2451</v>
      </c>
      <c r="E600" s="941" t="s">
        <v>2509</v>
      </c>
    </row>
    <row r="601" spans="1:5" x14ac:dyDescent="0.2">
      <c r="A601" s="2347">
        <v>36</v>
      </c>
      <c r="B601" s="983" t="str">
        <f t="shared" si="50"/>
        <v>Krebs komplex</v>
      </c>
      <c r="C601" s="941" t="s">
        <v>2379</v>
      </c>
      <c r="D601" s="941" t="s">
        <v>2453</v>
      </c>
      <c r="E601" s="941" t="s">
        <v>2451</v>
      </c>
    </row>
    <row r="602" spans="1:5" ht="25.5" x14ac:dyDescent="0.2">
      <c r="A602" s="2347">
        <v>36</v>
      </c>
      <c r="B602" s="983" t="str">
        <f t="shared" si="50"/>
        <v>Morbus Crohn / Colitis ulcerosa</v>
      </c>
      <c r="C602" s="941" t="s">
        <v>2381</v>
      </c>
      <c r="D602" s="941" t="s">
        <v>2468</v>
      </c>
      <c r="E602" s="941" t="s">
        <v>2510</v>
      </c>
    </row>
    <row r="603" spans="1:5" x14ac:dyDescent="0.2">
      <c r="A603" s="2347">
        <v>36</v>
      </c>
      <c r="B603" s="983" t="str">
        <f t="shared" si="50"/>
        <v>Multiple Sklerose</v>
      </c>
      <c r="C603" s="941" t="s">
        <v>2383</v>
      </c>
      <c r="D603" s="941" t="s">
        <v>2473</v>
      </c>
      <c r="E603" s="941" t="s">
        <v>2511</v>
      </c>
    </row>
    <row r="604" spans="1:5" x14ac:dyDescent="0.2">
      <c r="A604" s="2347">
        <v>36</v>
      </c>
      <c r="B604" s="983" t="str">
        <f t="shared" si="50"/>
        <v>Nierenerkrankung</v>
      </c>
      <c r="C604" s="941" t="s">
        <v>2385</v>
      </c>
      <c r="D604" s="941" t="s">
        <v>2469</v>
      </c>
      <c r="E604" s="941" t="s">
        <v>2512</v>
      </c>
    </row>
    <row r="605" spans="1:5" ht="25.5" x14ac:dyDescent="0.2">
      <c r="A605" s="2347">
        <v>36</v>
      </c>
      <c r="B605" s="983" t="str">
        <f t="shared" si="50"/>
        <v>Pulmonale (arterielle) Hypertonie</v>
      </c>
      <c r="C605" s="941" t="s">
        <v>2387</v>
      </c>
      <c r="D605" s="941" t="s">
        <v>2470</v>
      </c>
      <c r="E605" s="941" t="s">
        <v>2513</v>
      </c>
    </row>
    <row r="606" spans="1:5" x14ac:dyDescent="0.2">
      <c r="A606" s="2347">
        <v>36</v>
      </c>
      <c r="B606" s="983" t="str">
        <f t="shared" si="50"/>
        <v>Morbus Parkinson</v>
      </c>
      <c r="C606" s="941" t="s">
        <v>2389</v>
      </c>
      <c r="D606" s="941" t="s">
        <v>2475</v>
      </c>
      <c r="E606" s="941" t="s">
        <v>2514</v>
      </c>
    </row>
    <row r="607" spans="1:5" x14ac:dyDescent="0.2">
      <c r="A607" s="2347">
        <v>36</v>
      </c>
      <c r="B607" s="983" t="str">
        <f t="shared" si="50"/>
        <v>Psoriasis</v>
      </c>
      <c r="C607" s="941" t="s">
        <v>2391</v>
      </c>
      <c r="D607" s="941" t="s">
        <v>2391</v>
      </c>
      <c r="E607" s="941" t="s">
        <v>2391</v>
      </c>
    </row>
    <row r="608" spans="1:5" x14ac:dyDescent="0.2">
      <c r="A608" s="2347">
        <v>36</v>
      </c>
      <c r="B608" s="983" t="str">
        <f t="shared" si="50"/>
        <v>Psychose</v>
      </c>
      <c r="C608" s="941" t="s">
        <v>2393</v>
      </c>
      <c r="D608" s="941" t="s">
        <v>2393</v>
      </c>
      <c r="E608" s="941" t="s">
        <v>2515</v>
      </c>
    </row>
    <row r="609" spans="1:5" x14ac:dyDescent="0.2">
      <c r="A609" s="2347">
        <v>36</v>
      </c>
      <c r="B609" s="983" t="str">
        <f t="shared" si="50"/>
        <v>Rheuma</v>
      </c>
      <c r="C609" s="941" t="s">
        <v>2395</v>
      </c>
      <c r="D609" s="941" t="s">
        <v>2471</v>
      </c>
      <c r="E609" s="941" t="s">
        <v>2516</v>
      </c>
    </row>
    <row r="610" spans="1:5" ht="25.5" x14ac:dyDescent="0.2">
      <c r="A610" s="2347">
        <v>36</v>
      </c>
      <c r="B610" s="983" t="str">
        <f t="shared" si="50"/>
        <v>Chronische Schmerzen ohne Opioide</v>
      </c>
      <c r="C610" s="941" t="s">
        <v>2397</v>
      </c>
      <c r="D610" s="941" t="s">
        <v>2457</v>
      </c>
      <c r="E610" s="941" t="s">
        <v>2517</v>
      </c>
    </row>
    <row r="611" spans="1:5" x14ac:dyDescent="0.2">
      <c r="A611" s="2347">
        <v>36</v>
      </c>
      <c r="B611" s="983" t="str">
        <f t="shared" si="50"/>
        <v>Neuropathischer Schmerz</v>
      </c>
      <c r="C611" s="941" t="s">
        <v>2399</v>
      </c>
      <c r="D611" s="941" t="s">
        <v>2462</v>
      </c>
      <c r="E611" s="941" t="s">
        <v>2518</v>
      </c>
    </row>
    <row r="612" spans="1:5" x14ac:dyDescent="0.2">
      <c r="A612" s="2347">
        <v>36</v>
      </c>
      <c r="B612" s="983" t="str">
        <f t="shared" si="50"/>
        <v>Schilddrüsenerkrankungen</v>
      </c>
      <c r="C612" s="941" t="s">
        <v>2401</v>
      </c>
      <c r="D612" s="941" t="s">
        <v>2476</v>
      </c>
      <c r="E612" s="941" t="s">
        <v>2519</v>
      </c>
    </row>
    <row r="613" spans="1:5" x14ac:dyDescent="0.2">
      <c r="A613" s="2347">
        <v>36</v>
      </c>
      <c r="B613" s="983" t="str">
        <f t="shared" si="50"/>
        <v>Transplantationen</v>
      </c>
      <c r="C613" s="941" t="s">
        <v>2403</v>
      </c>
      <c r="D613" s="941" t="s">
        <v>2477</v>
      </c>
      <c r="E613" s="941" t="s">
        <v>2477</v>
      </c>
    </row>
    <row r="614" spans="1:5" x14ac:dyDescent="0.2">
      <c r="A614" s="2347">
        <v>36</v>
      </c>
      <c r="B614" s="983" t="str">
        <f t="shared" si="50"/>
        <v>Wachstumsstörung</v>
      </c>
      <c r="C614" s="941" t="s">
        <v>2405</v>
      </c>
      <c r="D614" s="941" t="s">
        <v>2455</v>
      </c>
      <c r="E614" s="941" t="s">
        <v>2520</v>
      </c>
    </row>
    <row r="615" spans="1:5" ht="25.5" x14ac:dyDescent="0.2">
      <c r="A615" s="2347">
        <v>36</v>
      </c>
      <c r="B615" s="983" t="str">
        <f t="shared" si="50"/>
        <v>Zystische Fibrose / Pankreasenzyme</v>
      </c>
      <c r="C615" s="941" t="s">
        <v>2407</v>
      </c>
      <c r="D615" s="941" t="s">
        <v>2464</v>
      </c>
      <c r="E615" s="941" t="s">
        <v>2521</v>
      </c>
    </row>
    <row r="616" spans="1:5" ht="38.25" x14ac:dyDescent="0.2">
      <c r="A616" s="2347">
        <v>36</v>
      </c>
      <c r="B616" s="983" t="str">
        <f t="shared" si="50"/>
        <v>Krankheiten des ZN ohne Multiple Sklerose</v>
      </c>
      <c r="C616" s="941" t="s">
        <v>2409</v>
      </c>
      <c r="D616" s="941" t="s">
        <v>2472</v>
      </c>
      <c r="E616" s="941" t="s">
        <v>2522</v>
      </c>
    </row>
    <row r="617" spans="1:5" ht="25.5" x14ac:dyDescent="0.2">
      <c r="A617" s="2347">
        <v>36</v>
      </c>
      <c r="B617" s="983" t="str">
        <f t="shared" si="50"/>
        <v>Diabetes Typ-2 mit Bluthochdruck</v>
      </c>
      <c r="C617" s="941" t="s">
        <v>2411</v>
      </c>
      <c r="D617" s="941" t="s">
        <v>2461</v>
      </c>
      <c r="E617" s="941" t="s">
        <v>2523</v>
      </c>
    </row>
    <row r="618" spans="1:5" ht="63.75" x14ac:dyDescent="0.2">
      <c r="A618" s="2347" t="s">
        <v>2342</v>
      </c>
      <c r="B618" s="983" t="str">
        <f t="shared" si="50"/>
        <v>Geschätzter Durchschnittsbestand der Gesamtbranche pro Risikoklasse für das Jahr  2025</v>
      </c>
      <c r="C618" s="941" t="str">
        <f>"Geschätzter Durchschnittsbestand der Gesamtbranche pro Risikoklasse für das Jahr  "&amp;current_year</f>
        <v>Geschätzter Durchschnittsbestand der Gesamtbranche pro Risikoklasse für das Jahr  2025</v>
      </c>
      <c r="D618" s="941" t="str">
        <f>"Effectif estimé moyen de l'ensemble de la branche par classe de risque pour l'année " &amp;current_year</f>
        <v>Effectif estimé moyen de l'ensemble de la branche par classe de risque pour l'année 2025</v>
      </c>
      <c r="E618" s="941" t="str">
        <f>"Estimated average inventory per risk class in the sector for the year " &amp;current_year</f>
        <v>Estimated average inventory per risk class in the sector for the year 2025</v>
      </c>
    </row>
    <row r="619" spans="1:5" ht="51" x14ac:dyDescent="0.2">
      <c r="A619" s="2347" t="s">
        <v>2342</v>
      </c>
      <c r="B619" s="983" t="str">
        <f t="shared" si="50"/>
        <v>Geschätzter Durchschnittsbestand der Gesamtbranche pro PCG für das Jahr 2025</v>
      </c>
      <c r="C619" s="941" t="str">
        <f>"Geschätzter Durchschnittsbestand der Gesamtbranche pro PCG für das Jahr "&amp;current_year</f>
        <v>Geschätzter Durchschnittsbestand der Gesamtbranche pro PCG für das Jahr 2025</v>
      </c>
      <c r="D619" s="941" t="str">
        <f>"Effectif estimé moyen de l'ensemble de la branche par PCG pour l'année " &amp;current_year</f>
        <v>Effectif estimé moyen de l'ensemble de la branche par PCG pour l'année 2025</v>
      </c>
      <c r="E619" s="941" t="str">
        <f>"Estimated average inventory per PCG in the sector for the year " &amp;current_year</f>
        <v>Estimated average inventory per PCG in the sector for the year 2025</v>
      </c>
    </row>
    <row r="620" spans="1:5" ht="63.75" x14ac:dyDescent="0.2">
      <c r="A620" s="2347" t="s">
        <v>2342</v>
      </c>
      <c r="B620" s="983" t="str">
        <f t="shared" si="50"/>
        <v>Geschätzter Durchschnittsbestand der jungen Erwachsenen der Gesamtbranche pro PCG für das Jahr 2025</v>
      </c>
      <c r="C620" s="941" t="str">
        <f>"Geschätzter Durchschnittsbestand der jungen Erwachsenen der Gesamtbranche pro PCG für das Jahr "&amp;current_year</f>
        <v>Geschätzter Durchschnittsbestand der jungen Erwachsenen der Gesamtbranche pro PCG für das Jahr 2025</v>
      </c>
      <c r="D620" s="941" t="str">
        <f>"Effectif estimé moyen des jeunes adultes de l'ensemble de la branche par PCG pour l'année " &amp;current_year</f>
        <v>Effectif estimé moyen des jeunes adultes de l'ensemble de la branche par PCG pour l'année 2025</v>
      </c>
      <c r="E620" s="941" t="str">
        <f>"Estimated average inventory of young adults per PCG in the sector for the year " &amp;current_year</f>
        <v>Estimated average inventory of young adults per PCG in the sector for the year 2025</v>
      </c>
    </row>
    <row r="621" spans="1:5" ht="25.5" x14ac:dyDescent="0.2">
      <c r="A621" s="2347" t="s">
        <v>2342</v>
      </c>
      <c r="B621" s="983" t="str">
        <f t="shared" si="50"/>
        <v>Risikoausgleich pro PCG in Mio. CHF</v>
      </c>
      <c r="C621" s="941" t="s">
        <v>2419</v>
      </c>
      <c r="D621" s="941" t="s">
        <v>2420</v>
      </c>
      <c r="E621" s="941" t="s">
        <v>2421</v>
      </c>
    </row>
    <row r="622" spans="1:5" ht="38.25" x14ac:dyDescent="0.2">
      <c r="A622" s="2347" t="s">
        <v>2342</v>
      </c>
      <c r="B622" s="983" t="str">
        <f t="shared" si="50"/>
        <v>Risikoausgleich der jungen Erwachsenen pro PCG in Mio. CHF</v>
      </c>
      <c r="C622" s="941" t="s">
        <v>2422</v>
      </c>
      <c r="D622" s="941" t="s">
        <v>2483</v>
      </c>
      <c r="E622" s="941" t="s">
        <v>2525</v>
      </c>
    </row>
    <row r="623" spans="1:5" ht="25.5" x14ac:dyDescent="0.2">
      <c r="A623" s="2347" t="s">
        <v>2342</v>
      </c>
      <c r="B623" s="983" t="str">
        <f t="shared" si="50"/>
        <v>Zufallsrisiko der Risikoausgleichsklassen</v>
      </c>
      <c r="C623" s="941" t="s">
        <v>2427</v>
      </c>
      <c r="D623" s="941" t="s">
        <v>2428</v>
      </c>
      <c r="E623" s="941" t="s">
        <v>2423</v>
      </c>
    </row>
    <row r="624" spans="1:5" x14ac:dyDescent="0.2">
      <c r="A624" s="2347" t="s">
        <v>2342</v>
      </c>
      <c r="B624" s="983" t="str">
        <f t="shared" ref="B624" si="51">IF(VLOOKUP(A624,A624:E624,language+2)="",VLOOKUP(A624,A624:E624,3),VLOOKUP(A624,A624:E624,language+2))</f>
        <v>Zufallsrisiko der PCG</v>
      </c>
      <c r="C624" s="941" t="s">
        <v>2426</v>
      </c>
      <c r="D624" s="941" t="s">
        <v>2425</v>
      </c>
      <c r="E624" s="941" t="s">
        <v>2424</v>
      </c>
    </row>
    <row r="625" spans="1:5" ht="63.75" x14ac:dyDescent="0.2">
      <c r="A625" s="2347" t="s">
        <v>2342</v>
      </c>
      <c r="B625" s="983" t="str">
        <f t="shared" ref="B625" si="52">IF(VLOOKUP(A625,A625:E625,language+2)="",VLOOKUP(A625,A625:E625,3),VLOOKUP(A625,A625:E625,language+2))</f>
        <v>Zahlungen der jungen Erwachsenen der Gesamtbranche in den Risikoausgleich in Mio. CHF</v>
      </c>
      <c r="C625" s="941" t="s">
        <v>2415</v>
      </c>
      <c r="D625" s="941" t="s">
        <v>2485</v>
      </c>
      <c r="E625" s="941" t="s">
        <v>2526</v>
      </c>
    </row>
    <row r="626" spans="1:5" ht="25.5" x14ac:dyDescent="0.2">
      <c r="A626" s="2347" t="s">
        <v>2342</v>
      </c>
      <c r="B626" s="983" t="str">
        <f t="shared" ref="B626" si="53">IF(VLOOKUP(A626,A626:E626,language+2)="",VLOOKUP(A626,A626:E626,3),VLOOKUP(A626,A626:E626,language+2))</f>
        <v>Bestand der Gesamtbranche</v>
      </c>
      <c r="C626" s="941" t="s">
        <v>2429</v>
      </c>
      <c r="D626" s="941" t="s">
        <v>2484</v>
      </c>
      <c r="E626" s="941" t="s">
        <v>2529</v>
      </c>
    </row>
    <row r="627" spans="1:5" x14ac:dyDescent="0.2">
      <c r="A627" s="2347" t="s">
        <v>2342</v>
      </c>
      <c r="B627" s="983" t="str">
        <f t="shared" ref="B627:B628" si="54">IF(VLOOKUP(A627,A627:E627,language+2)="",VLOOKUP(A627,A627:E627,3),VLOOKUP(A627,A627:E627,language+2))</f>
        <v>Junge Erwachsene</v>
      </c>
      <c r="C627" s="941" t="s">
        <v>2527</v>
      </c>
      <c r="D627" s="941" t="s">
        <v>2487</v>
      </c>
      <c r="E627" s="941" t="s">
        <v>2528</v>
      </c>
    </row>
    <row r="628" spans="1:5" x14ac:dyDescent="0.2">
      <c r="A628" s="2347" t="s">
        <v>2342</v>
      </c>
      <c r="B628" s="983" t="str">
        <f t="shared" si="54"/>
        <v>Ewachsene</v>
      </c>
      <c r="C628" s="941" t="s">
        <v>2430</v>
      </c>
      <c r="D628" s="941" t="s">
        <v>2486</v>
      </c>
      <c r="E628" s="941" t="s">
        <v>2530</v>
      </c>
    </row>
    <row r="629" spans="1:5" ht="76.5" x14ac:dyDescent="0.2">
      <c r="A629" s="2347" t="s">
        <v>2342</v>
      </c>
      <c r="B629" s="983" t="str">
        <f t="shared" ref="B629" si="55">IF(VLOOKUP(A629,A629:E629,language+2)="",VLOOKUP(A629,A629:E629,3),VLOOKUP(A629,A629:E629,language+2))</f>
        <v>Entlastung der jungen Erwachsenen bzw. Zusatzbelastung der Erwachsenen in CHF pro Monat</v>
      </c>
      <c r="C629" s="941" t="s">
        <v>2414</v>
      </c>
      <c r="D629" s="941" t="s">
        <v>2488</v>
      </c>
      <c r="E629" s="941" t="s">
        <v>2532</v>
      </c>
    </row>
    <row r="630" spans="1:5" ht="25.5" x14ac:dyDescent="0.2">
      <c r="A630" s="2347" t="s">
        <v>2342</v>
      </c>
      <c r="B630" s="983" t="str">
        <f t="shared" ref="B630" si="56">IF(VLOOKUP(A630,A630:E630,language+2)="",VLOOKUP(A630,A630:E630,3),VLOOKUP(A630,A630:E630,language+2))</f>
        <v>Bestände des Versicherers</v>
      </c>
      <c r="C630" s="941" t="s">
        <v>2416</v>
      </c>
      <c r="D630" s="941" t="s">
        <v>2489</v>
      </c>
      <c r="E630" s="941" t="s">
        <v>2534</v>
      </c>
    </row>
    <row r="631" spans="1:5" ht="38.25" x14ac:dyDescent="0.2">
      <c r="A631" s="2347" t="s">
        <v>2342</v>
      </c>
      <c r="B631" s="983" t="str">
        <f t="shared" ref="B631" si="57">IF(VLOOKUP(A631,A631:E631,language+2)="",VLOOKUP(A631,A631:E631,3),VLOOKUP(A631,A631:E631,language+2))</f>
        <v>Entlastungen bzw. Belastungen des Versicherers in Mio. CHF</v>
      </c>
      <c r="C631" s="941" t="s">
        <v>2417</v>
      </c>
      <c r="D631" s="941" t="s">
        <v>2490</v>
      </c>
      <c r="E631" s="941" t="s">
        <v>2533</v>
      </c>
    </row>
    <row r="632" spans="1:5" ht="44.25" customHeight="1" x14ac:dyDescent="0.2">
      <c r="A632" s="2347" t="s">
        <v>2342</v>
      </c>
      <c r="B632" s="983" t="str">
        <f t="shared" ref="B632:B633" si="58">IF(VLOOKUP(A632,A632:E632,language+2)="",VLOOKUP(A632,A632:E632,3),VLOOKUP(A632,A632:E632,language+2))</f>
        <v>Entlastung der jungen Erwachsenen</v>
      </c>
      <c r="C632" s="941" t="s">
        <v>2433</v>
      </c>
      <c r="D632" s="941" t="s">
        <v>2491</v>
      </c>
      <c r="E632" s="941" t="s">
        <v>2535</v>
      </c>
    </row>
    <row r="633" spans="1:5" ht="25.5" x14ac:dyDescent="0.2">
      <c r="A633" s="2347" t="s">
        <v>2342</v>
      </c>
      <c r="B633" s="983" t="str">
        <f t="shared" si="58"/>
        <v>Modifizierte Gruppendurchschnitte</v>
      </c>
      <c r="C633" s="941" t="s">
        <v>2493</v>
      </c>
      <c r="D633" s="941" t="s">
        <v>2492</v>
      </c>
      <c r="E633" s="941" t="s">
        <v>2531</v>
      </c>
    </row>
    <row r="634" spans="1:5" x14ac:dyDescent="0.2">
      <c r="A634" s="2346">
        <v>37</v>
      </c>
      <c r="B634" s="983" t="str">
        <f t="shared" si="45"/>
        <v>Versicherungsrisiko</v>
      </c>
      <c r="C634" s="941" t="s">
        <v>874</v>
      </c>
      <c r="D634" s="941" t="s">
        <v>873</v>
      </c>
      <c r="E634" s="941" t="s">
        <v>106</v>
      </c>
    </row>
    <row r="635" spans="1:5" ht="216.75" x14ac:dyDescent="0.2">
      <c r="A635" s="2346">
        <v>37</v>
      </c>
      <c r="B635" s="983" t="str">
        <f t="shared" si="36"/>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C635" s="941" t="s">
        <v>962</v>
      </c>
      <c r="D635" s="941" t="s">
        <v>961</v>
      </c>
      <c r="E635" s="941" t="s">
        <v>1330</v>
      </c>
    </row>
    <row r="636" spans="1:5" ht="25.5" x14ac:dyDescent="0.2">
      <c r="A636" s="2346">
        <v>37</v>
      </c>
      <c r="B636" s="983" t="str">
        <f t="shared" si="36"/>
        <v>Versicherungstechnisches Risiko für 2025</v>
      </c>
      <c r="C636" s="941" t="str">
        <f>"Versicherungstechnisches Risiko für "&amp;current_year</f>
        <v>Versicherungstechnisches Risiko für 2025</v>
      </c>
      <c r="D636" s="941" t="str">
        <f>"Risque actuariel pour "&amp;current_year</f>
        <v>Risque actuariel pour 2025</v>
      </c>
      <c r="E636" s="941" t="str">
        <f>"Insurance-related risk for "&amp;current_year</f>
        <v>Insurance-related risk for 2025</v>
      </c>
    </row>
    <row r="637" spans="1:5" x14ac:dyDescent="0.2">
      <c r="A637" s="2346">
        <v>37</v>
      </c>
      <c r="B637" s="983" t="str">
        <f t="shared" si="36"/>
        <v>Erwartungswert</v>
      </c>
      <c r="C637" s="941" t="s">
        <v>85</v>
      </c>
      <c r="D637" s="941" t="s">
        <v>959</v>
      </c>
      <c r="E637" s="941" t="s">
        <v>1331</v>
      </c>
    </row>
    <row r="638" spans="1:5" x14ac:dyDescent="0.2">
      <c r="A638" s="2346">
        <v>37</v>
      </c>
      <c r="B638" s="983" t="str">
        <f t="shared" si="36"/>
        <v>Standardabweichung</v>
      </c>
      <c r="C638" s="941" t="s">
        <v>64</v>
      </c>
      <c r="D638" s="941" t="s">
        <v>875</v>
      </c>
      <c r="E638" s="941" t="s">
        <v>16</v>
      </c>
    </row>
    <row r="639" spans="1:5" x14ac:dyDescent="0.2">
      <c r="A639" s="2346">
        <v>37</v>
      </c>
      <c r="B639" s="983" t="str">
        <f t="shared" si="36"/>
        <v>Value at Risk</v>
      </c>
      <c r="C639" s="941" t="s">
        <v>65</v>
      </c>
      <c r="D639" s="941" t="s">
        <v>65</v>
      </c>
      <c r="E639" s="941" t="s">
        <v>65</v>
      </c>
    </row>
    <row r="640" spans="1:5" x14ac:dyDescent="0.2">
      <c r="A640" s="2346">
        <v>37</v>
      </c>
      <c r="B640" s="983" t="str">
        <f t="shared" si="36"/>
        <v>Expected Shortfall</v>
      </c>
      <c r="C640" s="941" t="s">
        <v>63</v>
      </c>
      <c r="D640" s="941" t="s">
        <v>63</v>
      </c>
      <c r="E640" s="941" t="s">
        <v>63</v>
      </c>
    </row>
    <row r="641" spans="1:5" ht="25.5" x14ac:dyDescent="0.2">
      <c r="A641" s="2346">
        <v>37</v>
      </c>
      <c r="B641" s="983" t="str">
        <f t="shared" ref="B641:B707" si="59">IF(VLOOKUP(A641,A641:E641,language+2)="",VLOOKUP(A641,A641:E641,3),VLOOKUP(A641,A641:E641,language+2))</f>
        <v>Erwartungswert und Standardabweichung</v>
      </c>
      <c r="C641" s="941" t="s">
        <v>26</v>
      </c>
      <c r="D641" s="941" t="s">
        <v>960</v>
      </c>
      <c r="E641" s="941" t="s">
        <v>1332</v>
      </c>
    </row>
    <row r="642" spans="1:5" x14ac:dyDescent="0.2">
      <c r="A642" s="2346">
        <v>37</v>
      </c>
      <c r="B642" s="983" t="str">
        <f t="shared" si="59"/>
        <v>Werte in Mio. CHF</v>
      </c>
      <c r="C642" s="941" t="s">
        <v>141</v>
      </c>
      <c r="D642" s="941" t="s">
        <v>912</v>
      </c>
      <c r="E642" s="941" t="s">
        <v>1954</v>
      </c>
    </row>
    <row r="643" spans="1:5" x14ac:dyDescent="0.2">
      <c r="A643" s="2346">
        <v>37</v>
      </c>
      <c r="B643" s="983" t="str">
        <f t="shared" si="59"/>
        <v>Kollektiv VVG</v>
      </c>
      <c r="C643" s="941" t="s">
        <v>2076</v>
      </c>
      <c r="D643" s="941" t="s">
        <v>2077</v>
      </c>
      <c r="E643" s="941" t="s">
        <v>2078</v>
      </c>
    </row>
    <row r="644" spans="1:5" x14ac:dyDescent="0.2">
      <c r="A644" s="2346">
        <v>37</v>
      </c>
      <c r="B644" s="983" t="str">
        <f t="shared" si="59"/>
        <v>Einzel VVG</v>
      </c>
      <c r="C644" s="941" t="s">
        <v>2081</v>
      </c>
      <c r="D644" s="941" t="s">
        <v>2082</v>
      </c>
      <c r="E644" s="941" t="s">
        <v>2083</v>
      </c>
    </row>
    <row r="645" spans="1:5" x14ac:dyDescent="0.2">
      <c r="A645" s="2346">
        <v>37</v>
      </c>
      <c r="B645" s="983" t="str">
        <f t="shared" si="59"/>
        <v>UVG</v>
      </c>
      <c r="C645" s="941" t="s">
        <v>69</v>
      </c>
      <c r="D645" s="941" t="s">
        <v>466</v>
      </c>
      <c r="E645" s="941" t="s">
        <v>2061</v>
      </c>
    </row>
    <row r="646" spans="1:5" ht="25.5" x14ac:dyDescent="0.2">
      <c r="A646" s="2346">
        <v>37</v>
      </c>
      <c r="B646" s="983" t="str">
        <f t="shared" si="59"/>
        <v>KVG-Taggeld Einzel</v>
      </c>
      <c r="C646" s="941" t="s">
        <v>508</v>
      </c>
      <c r="D646" s="941" t="s">
        <v>906</v>
      </c>
      <c r="E646" s="941" t="s">
        <v>1675</v>
      </c>
    </row>
    <row r="647" spans="1:5" ht="25.5" x14ac:dyDescent="0.2">
      <c r="A647" s="2346">
        <v>37</v>
      </c>
      <c r="B647" s="983" t="str">
        <f t="shared" si="59"/>
        <v>KVG-Taggeld Kollektiv</v>
      </c>
      <c r="C647" s="941" t="s">
        <v>509</v>
      </c>
      <c r="D647" s="941" t="s">
        <v>905</v>
      </c>
      <c r="E647" s="941" t="s">
        <v>1676</v>
      </c>
    </row>
    <row r="648" spans="1:5" ht="25.5" x14ac:dyDescent="0.2">
      <c r="A648" s="2346">
        <v>37</v>
      </c>
      <c r="B648" s="983" t="str">
        <f t="shared" si="59"/>
        <v>Aktive Rück-versicherung KVG</v>
      </c>
      <c r="C648" s="941" t="s">
        <v>740</v>
      </c>
      <c r="D648" s="941" t="s">
        <v>903</v>
      </c>
      <c r="E648" s="941" t="s">
        <v>1677</v>
      </c>
    </row>
    <row r="649" spans="1:5" ht="25.5" x14ac:dyDescent="0.2">
      <c r="A649" s="2346">
        <v>37</v>
      </c>
      <c r="B649" s="983" t="str">
        <f t="shared" si="59"/>
        <v>Total KVG inkl. UVG</v>
      </c>
      <c r="C649" s="941" t="s">
        <v>2062</v>
      </c>
      <c r="D649" s="941" t="s">
        <v>2063</v>
      </c>
      <c r="E649" s="941" t="s">
        <v>2064</v>
      </c>
    </row>
    <row r="650" spans="1:5" ht="25.5" x14ac:dyDescent="0.2">
      <c r="A650" s="2346">
        <v>37</v>
      </c>
      <c r="B650" s="983" t="str">
        <f t="shared" si="59"/>
        <v>Total KVG inkl. UVG und VVG</v>
      </c>
      <c r="C650" s="941" t="s">
        <v>2065</v>
      </c>
      <c r="D650" s="941" t="s">
        <v>2066</v>
      </c>
      <c r="E650" s="941" t="s">
        <v>2067</v>
      </c>
    </row>
    <row r="651" spans="1:5" x14ac:dyDescent="0.2">
      <c r="A651" s="2346">
        <v>37</v>
      </c>
      <c r="B651" s="983" t="str">
        <f t="shared" si="59"/>
        <v>Erwartungswert</v>
      </c>
      <c r="C651" s="941" t="s">
        <v>85</v>
      </c>
      <c r="D651" s="941" t="s">
        <v>959</v>
      </c>
      <c r="E651" s="941" t="s">
        <v>1331</v>
      </c>
    </row>
    <row r="652" spans="1:5" ht="25.5" x14ac:dyDescent="0.2">
      <c r="A652" s="2346">
        <v>37</v>
      </c>
      <c r="B652" s="983" t="str">
        <f t="shared" si="59"/>
        <v>Versicherungstechnische Erträge</v>
      </c>
      <c r="C652" s="941" t="s">
        <v>87</v>
      </c>
      <c r="D652" s="937" t="s">
        <v>467</v>
      </c>
      <c r="E652" s="941" t="s">
        <v>1335</v>
      </c>
    </row>
    <row r="653" spans="1:5" ht="25.5" x14ac:dyDescent="0.2">
      <c r="A653" s="2346">
        <v>37</v>
      </c>
      <c r="B653" s="983" t="str">
        <f t="shared" si="59"/>
        <v>(Erträge: positives Vorzeichen)</v>
      </c>
      <c r="C653" s="941" t="s">
        <v>94</v>
      </c>
      <c r="D653" s="937" t="s">
        <v>958</v>
      </c>
      <c r="E653" s="941" t="s">
        <v>1336</v>
      </c>
    </row>
    <row r="654" spans="1:5" x14ac:dyDescent="0.2">
      <c r="A654" s="2346">
        <v>37</v>
      </c>
      <c r="B654" s="983" t="str">
        <f t="shared" si="59"/>
        <v>Bruttoprämien</v>
      </c>
      <c r="C654" s="941" t="s">
        <v>1593</v>
      </c>
      <c r="D654" s="937" t="s">
        <v>1594</v>
      </c>
      <c r="E654" s="941" t="s">
        <v>1595</v>
      </c>
    </row>
    <row r="655" spans="1:5" x14ac:dyDescent="0.2">
      <c r="A655" s="2346">
        <v>37</v>
      </c>
      <c r="B655" s="983" t="str">
        <f t="shared" si="59"/>
        <v>Erlösminderungen</v>
      </c>
      <c r="C655" s="941" t="s">
        <v>1597</v>
      </c>
      <c r="D655" s="941" t="s">
        <v>1634</v>
      </c>
      <c r="E655" s="941" t="s">
        <v>1596</v>
      </c>
    </row>
    <row r="656" spans="1:5" ht="25.5" x14ac:dyDescent="0.2">
      <c r="A656" s="2346">
        <v>37</v>
      </c>
      <c r="B656" s="983" t="str">
        <f t="shared" si="59"/>
        <v>Verdiente Prämien vor Rückversicherung</v>
      </c>
      <c r="C656" s="941" t="s">
        <v>88</v>
      </c>
      <c r="D656" s="937" t="s">
        <v>957</v>
      </c>
      <c r="E656" s="941" t="s">
        <v>1337</v>
      </c>
    </row>
    <row r="657" spans="1:5" ht="38.25" x14ac:dyDescent="0.2">
      <c r="A657" s="2346">
        <v>37</v>
      </c>
      <c r="B657" s="983" t="str">
        <f t="shared" si="59"/>
        <v>Prämienanteile der passiven Rückversicherung</v>
      </c>
      <c r="C657" s="941" t="s">
        <v>1598</v>
      </c>
      <c r="D657" s="937" t="s">
        <v>1599</v>
      </c>
      <c r="E657" s="941" t="s">
        <v>1600</v>
      </c>
    </row>
    <row r="658" spans="1:5" ht="25.5" x14ac:dyDescent="0.2">
      <c r="A658" s="2346">
        <v>37</v>
      </c>
      <c r="B658" s="983" t="str">
        <f t="shared" si="59"/>
        <v>Verdiente Prämien nach Rückversicherung</v>
      </c>
      <c r="C658" s="941" t="s">
        <v>89</v>
      </c>
      <c r="D658" s="937" t="s">
        <v>956</v>
      </c>
      <c r="E658" s="941" t="s">
        <v>1752</v>
      </c>
    </row>
    <row r="659" spans="1:5" ht="38.25" x14ac:dyDescent="0.2">
      <c r="A659" s="2346">
        <v>37</v>
      </c>
      <c r="B659" s="983" t="str">
        <f t="shared" si="59"/>
        <v>Sonstige versicherungstechnische Erträge</v>
      </c>
      <c r="C659" s="993" t="s">
        <v>90</v>
      </c>
      <c r="D659" s="993" t="s">
        <v>955</v>
      </c>
      <c r="E659" s="993" t="s">
        <v>1338</v>
      </c>
    </row>
    <row r="660" spans="1:5" x14ac:dyDescent="0.2">
      <c r="A660" s="2346">
        <v>37</v>
      </c>
      <c r="B660" s="983" t="str">
        <f t="shared" si="59"/>
        <v>Überschussbeteiligungen</v>
      </c>
      <c r="C660" s="993" t="s">
        <v>708</v>
      </c>
      <c r="D660" s="993" t="s">
        <v>1718</v>
      </c>
      <c r="E660" s="993" t="s">
        <v>1339</v>
      </c>
    </row>
    <row r="661" spans="1:5" ht="25.5" x14ac:dyDescent="0.2">
      <c r="A661" s="2346">
        <v>37</v>
      </c>
      <c r="B661" s="983" t="str">
        <f t="shared" si="59"/>
        <v>Versicherungstechnische Aufwendungen</v>
      </c>
      <c r="C661" s="993" t="s">
        <v>91</v>
      </c>
      <c r="D661" s="993" t="s">
        <v>468</v>
      </c>
      <c r="E661" s="993" t="s">
        <v>1340</v>
      </c>
    </row>
    <row r="662" spans="1:5" ht="25.5" x14ac:dyDescent="0.2">
      <c r="A662" s="2346">
        <v>37</v>
      </c>
      <c r="B662" s="983" t="str">
        <f t="shared" si="59"/>
        <v>(Aufwendungen: positives Vorzeichen)</v>
      </c>
      <c r="C662" s="993" t="s">
        <v>95</v>
      </c>
      <c r="D662" s="993" t="s">
        <v>954</v>
      </c>
      <c r="E662" s="993" t="s">
        <v>1341</v>
      </c>
    </row>
    <row r="663" spans="1:5" ht="25.5" x14ac:dyDescent="0.2">
      <c r="A663" s="2346">
        <v>37</v>
      </c>
      <c r="B663" s="983" t="str">
        <f t="shared" si="59"/>
        <v>Bruttoleistungen (Behandlungsjahr 2025)</v>
      </c>
      <c r="C663" s="993" t="str">
        <f>"Bruttoleistungen (Behandlungsjahr "&amp;current_year&amp;")"</f>
        <v>Bruttoleistungen (Behandlungsjahr 2025)</v>
      </c>
      <c r="D663" s="993" t="str">
        <f>"Prestations brutes (année traitement "&amp;current_year&amp;")"</f>
        <v>Prestations brutes (année traitement 2025)</v>
      </c>
      <c r="E663" s="993" t="str">
        <f>"Gross benefits (treatment year "&amp;current_year&amp;")"</f>
        <v>Gross benefits (treatment year 2025)</v>
      </c>
    </row>
    <row r="664" spans="1:5" ht="25.5" x14ac:dyDescent="0.2">
      <c r="A664" s="2346">
        <v>37</v>
      </c>
      <c r="B664" s="983" t="str">
        <f t="shared" si="59"/>
        <v>Kostenbeteiligungen (Behandlungsjahr 2025)</v>
      </c>
      <c r="C664" s="993" t="str">
        <f>"Kostenbeteiligungen (Behandlungsjahr "&amp;current_year&amp;")"</f>
        <v>Kostenbeteiligungen (Behandlungsjahr 2025)</v>
      </c>
      <c r="D664" s="993" t="str">
        <f>"Participations aux coûts (année traitement "&amp;current_year&amp;")"</f>
        <v>Participations aux coûts (année traitement 2025)</v>
      </c>
      <c r="E664" s="993" t="str">
        <f>"Cost participations (treatment year "&amp;current_year&amp;")"</f>
        <v>Cost participations (treatment year 2025)</v>
      </c>
    </row>
    <row r="665" spans="1:5" ht="25.5" x14ac:dyDescent="0.2">
      <c r="A665" s="2346">
        <v>37</v>
      </c>
      <c r="B665" s="983" t="str">
        <f t="shared" si="59"/>
        <v>Sonstige Leistungen  (Behandlungsjahr 2025)</v>
      </c>
      <c r="C665" s="993" t="str">
        <f>"Sonstige Leistungen  (Behandlungsjahr "&amp;current_year&amp;")"</f>
        <v>Sonstige Leistungen  (Behandlungsjahr 2025)</v>
      </c>
      <c r="D665" s="993" t="str">
        <f>"Autres prestations (année traitement "&amp;current_year&amp;")"</f>
        <v>Autres prestations (année traitement 2025)</v>
      </c>
      <c r="E665" s="993" t="str">
        <f>"Other benefits (treatment year "&amp;current_year&amp;")"</f>
        <v>Other benefits (treatment year 2025)</v>
      </c>
    </row>
    <row r="666" spans="1:5" ht="25.5" x14ac:dyDescent="0.2">
      <c r="A666" s="2346">
        <v>37</v>
      </c>
      <c r="B666" s="983" t="str">
        <f t="shared" si="59"/>
        <v>Leistungen vor Rückversicherung</v>
      </c>
      <c r="C666" s="993" t="s">
        <v>707</v>
      </c>
      <c r="D666" s="993" t="s">
        <v>953</v>
      </c>
      <c r="E666" s="993" t="s">
        <v>1342</v>
      </c>
    </row>
    <row r="667" spans="1:5" ht="38.25" x14ac:dyDescent="0.2">
      <c r="A667" s="2346">
        <v>37</v>
      </c>
      <c r="B667" s="983" t="str">
        <f t="shared" si="59"/>
        <v>Leistungsanteile der passiven Rückversicherung</v>
      </c>
      <c r="C667" s="941" t="s">
        <v>1603</v>
      </c>
      <c r="D667" s="937" t="s">
        <v>1602</v>
      </c>
      <c r="E667" s="941" t="s">
        <v>1601</v>
      </c>
    </row>
    <row r="668" spans="1:5" ht="28.5" customHeight="1" x14ac:dyDescent="0.2">
      <c r="A668" s="2346">
        <v>37</v>
      </c>
      <c r="B668" s="983" t="str">
        <f t="shared" si="59"/>
        <v>Leistungen nach Rückversicherung</v>
      </c>
      <c r="C668" s="941" t="s">
        <v>706</v>
      </c>
      <c r="D668" s="937" t="s">
        <v>952</v>
      </c>
      <c r="E668" s="941" t="s">
        <v>1343</v>
      </c>
    </row>
    <row r="669" spans="1:5" ht="25.5" x14ac:dyDescent="0.2">
      <c r="A669" s="2346">
        <v>37</v>
      </c>
      <c r="B669" s="983" t="str">
        <f t="shared" si="59"/>
        <v xml:space="preserve">Veränderung der Leistungsrückstellungen </v>
      </c>
      <c r="C669" s="941" t="s">
        <v>743</v>
      </c>
      <c r="D669" s="937" t="s">
        <v>951</v>
      </c>
      <c r="E669" s="941" t="s">
        <v>1344</v>
      </c>
    </row>
    <row r="670" spans="1:5" ht="38.25" x14ac:dyDescent="0.2">
      <c r="A670" s="2346">
        <v>37</v>
      </c>
      <c r="B670" s="983" t="str">
        <f t="shared" si="59"/>
        <v>Veränderung der Alterungsrückstellungen und Deckungskapitalien</v>
      </c>
      <c r="C670" s="941" t="s">
        <v>744</v>
      </c>
      <c r="D670" s="937" t="s">
        <v>1641</v>
      </c>
      <c r="E670" s="941" t="s">
        <v>1740</v>
      </c>
    </row>
    <row r="671" spans="1:5" ht="38.25" x14ac:dyDescent="0.2">
      <c r="A671" s="2346">
        <v>37</v>
      </c>
      <c r="B671" s="983" t="str">
        <f t="shared" si="59"/>
        <v>Veränderung der sonstigen technischen Rückstellungen</v>
      </c>
      <c r="C671" s="941" t="s">
        <v>742</v>
      </c>
      <c r="D671" s="937" t="s">
        <v>950</v>
      </c>
      <c r="E671" s="941" t="s">
        <v>1345</v>
      </c>
    </row>
    <row r="672" spans="1:5" ht="25.5" x14ac:dyDescent="0.2">
      <c r="A672" s="2346">
        <v>37</v>
      </c>
      <c r="B672" s="983" t="str">
        <f t="shared" si="59"/>
        <v>Risikoausgleich (2025)</v>
      </c>
      <c r="C672" s="993" t="str">
        <f>"Risikoausgleich ("&amp;current_year&amp;")"</f>
        <v>Risikoausgleich (2025)</v>
      </c>
      <c r="D672" s="993" t="str">
        <f>"Compensation des risques ("&amp;current_year&amp;")"</f>
        <v>Compensation des risques (2025)</v>
      </c>
      <c r="E672" s="993" t="str">
        <f>"Risk compensation ("&amp;current_year&amp;")"</f>
        <v>Risk compensation (2025)</v>
      </c>
    </row>
    <row r="673" spans="1:5" x14ac:dyDescent="0.2">
      <c r="A673" s="2346">
        <v>37</v>
      </c>
      <c r="B673" s="983" t="str">
        <f t="shared" si="59"/>
        <v>Andere Aufwendungen</v>
      </c>
      <c r="C673" s="993" t="s">
        <v>93</v>
      </c>
      <c r="D673" s="993" t="s">
        <v>949</v>
      </c>
      <c r="E673" s="993" t="s">
        <v>1346</v>
      </c>
    </row>
    <row r="674" spans="1:5" ht="38.25" x14ac:dyDescent="0.2">
      <c r="A674" s="2346">
        <v>37</v>
      </c>
      <c r="B674" s="983" t="str">
        <f t="shared" si="59"/>
        <v>Schaden- und Leistungsaufwand für eigene Rechnung</v>
      </c>
      <c r="C674" s="993" t="s">
        <v>1606</v>
      </c>
      <c r="D674" s="993" t="s">
        <v>1605</v>
      </c>
      <c r="E674" s="993" t="s">
        <v>1604</v>
      </c>
    </row>
    <row r="675" spans="1:5" ht="38.25" x14ac:dyDescent="0.2">
      <c r="A675" s="2346">
        <v>37</v>
      </c>
      <c r="B675" s="983" t="str">
        <f t="shared" si="59"/>
        <v>Aufwendungen für den Betrieb, Verwaltungsaufwand</v>
      </c>
      <c r="C675" s="941" t="s">
        <v>92</v>
      </c>
      <c r="D675" s="937" t="s">
        <v>948</v>
      </c>
      <c r="E675" s="941" t="s">
        <v>1347</v>
      </c>
    </row>
    <row r="676" spans="1:5" ht="25.5" x14ac:dyDescent="0.2">
      <c r="A676" s="2346">
        <v>37</v>
      </c>
      <c r="B676" s="983" t="str">
        <f t="shared" si="59"/>
        <v>Versicherungstechnisches Resultat</v>
      </c>
      <c r="C676" s="941" t="s">
        <v>512</v>
      </c>
      <c r="D676" s="937" t="s">
        <v>947</v>
      </c>
      <c r="E676" s="941" t="s">
        <v>1348</v>
      </c>
    </row>
    <row r="677" spans="1:5" ht="38.25" x14ac:dyDescent="0.2">
      <c r="A677" s="2346">
        <v>37</v>
      </c>
      <c r="B677" s="983" t="str">
        <f t="shared" si="59"/>
        <v>Erwartete Anzahl Versicherte (Durschnittbestand)</v>
      </c>
      <c r="C677" s="941" t="s">
        <v>2555</v>
      </c>
      <c r="D677" s="941" t="s">
        <v>2556</v>
      </c>
      <c r="E677" s="941" t="s">
        <v>2557</v>
      </c>
    </row>
    <row r="678" spans="1:5" x14ac:dyDescent="0.2">
      <c r="A678" s="2346">
        <v>37</v>
      </c>
      <c r="B678" s="983" t="str">
        <f t="shared" si="59"/>
        <v>Variabilität</v>
      </c>
      <c r="C678" s="941" t="s">
        <v>96</v>
      </c>
      <c r="D678" s="937" t="s">
        <v>946</v>
      </c>
      <c r="E678" s="941" t="s">
        <v>1349</v>
      </c>
    </row>
    <row r="679" spans="1:5" x14ac:dyDescent="0.2">
      <c r="A679" s="2346">
        <v>37</v>
      </c>
      <c r="B679" s="983" t="str">
        <f t="shared" si="59"/>
        <v>1) Zufallsrisiko</v>
      </c>
      <c r="C679" s="941" t="s">
        <v>513</v>
      </c>
      <c r="D679" s="937" t="s">
        <v>945</v>
      </c>
      <c r="E679" s="941" t="s">
        <v>1350</v>
      </c>
    </row>
    <row r="680" spans="1:5" ht="25.5" x14ac:dyDescent="0.2">
      <c r="A680" s="2346">
        <v>37</v>
      </c>
      <c r="B680" s="983" t="str">
        <f t="shared" si="59"/>
        <v>Anzahl Schadenfälle bzw. Erkrankte</v>
      </c>
      <c r="C680" s="941" t="s">
        <v>786</v>
      </c>
      <c r="D680" s="937" t="s">
        <v>944</v>
      </c>
      <c r="E680" s="941" t="s">
        <v>1351</v>
      </c>
    </row>
    <row r="681" spans="1:5" ht="38.25" x14ac:dyDescent="0.2">
      <c r="A681" s="2346">
        <v>37</v>
      </c>
      <c r="B681" s="983" t="str">
        <f t="shared" si="59"/>
        <v>Erwartete Anzahl Schadenfälle bzw. Erkrankte</v>
      </c>
      <c r="C681" s="941" t="s">
        <v>785</v>
      </c>
      <c r="D681" s="937" t="s">
        <v>943</v>
      </c>
      <c r="E681" s="992" t="s">
        <v>1352</v>
      </c>
    </row>
    <row r="682" spans="1:5" ht="25.5" x14ac:dyDescent="0.2">
      <c r="A682" s="2346">
        <v>37</v>
      </c>
      <c r="B682" s="983" t="str">
        <f t="shared" si="59"/>
        <v>Variationskoeffizient des Einzelschadens</v>
      </c>
      <c r="C682" s="941" t="s">
        <v>103</v>
      </c>
      <c r="D682" s="937" t="s">
        <v>469</v>
      </c>
      <c r="E682" s="941" t="s">
        <v>470</v>
      </c>
    </row>
    <row r="683" spans="1:5" ht="25.5" x14ac:dyDescent="0.2">
      <c r="A683" s="2346">
        <v>37</v>
      </c>
      <c r="B683" s="983" t="str">
        <f t="shared" si="59"/>
        <v>Standardwert (vor Rückversicherung)</v>
      </c>
      <c r="C683" s="941" t="s">
        <v>793</v>
      </c>
      <c r="D683" s="941" t="s">
        <v>1353</v>
      </c>
      <c r="E683" s="941" t="s">
        <v>1354</v>
      </c>
    </row>
    <row r="684" spans="1:5" ht="25.5" x14ac:dyDescent="0.2">
      <c r="A684" s="2346">
        <v>37</v>
      </c>
      <c r="B684" s="983" t="str">
        <f t="shared" si="59"/>
        <v>errechneter Wert nach Rückversicherung</v>
      </c>
      <c r="C684" s="941" t="s">
        <v>632</v>
      </c>
      <c r="D684" s="937" t="s">
        <v>941</v>
      </c>
      <c r="E684" s="941" t="s">
        <v>1358</v>
      </c>
    </row>
    <row r="685" spans="1:5" ht="38.25" x14ac:dyDescent="0.2">
      <c r="A685" s="2346">
        <v>37</v>
      </c>
      <c r="B685" s="983" t="str">
        <f t="shared" si="59"/>
        <v>benutzter Wert (Abweichung vom Standard: begründen)</v>
      </c>
      <c r="C685" s="941" t="s">
        <v>116</v>
      </c>
      <c r="D685" s="941" t="s">
        <v>940</v>
      </c>
      <c r="E685" s="941" t="s">
        <v>1355</v>
      </c>
    </row>
    <row r="686" spans="1:5" ht="38.25" x14ac:dyDescent="0.2">
      <c r="A686" s="2346">
        <v>37</v>
      </c>
      <c r="B686" s="983" t="str">
        <f t="shared" si="59"/>
        <v>Resultat: Variationskoeffizient des Zufallsrisikos</v>
      </c>
      <c r="C686" s="941" t="s">
        <v>1645</v>
      </c>
      <c r="D686" s="941" t="s">
        <v>1646</v>
      </c>
      <c r="E686" s="941" t="s">
        <v>1647</v>
      </c>
    </row>
    <row r="687" spans="1:5" ht="25.5" x14ac:dyDescent="0.2">
      <c r="A687" s="2346">
        <v>37</v>
      </c>
      <c r="B687" s="983" t="str">
        <f t="shared" si="59"/>
        <v>errechneter Wert vor Rückversicherung</v>
      </c>
      <c r="C687" s="941" t="s">
        <v>794</v>
      </c>
      <c r="D687" s="941" t="s">
        <v>1356</v>
      </c>
      <c r="E687" s="941" t="s">
        <v>1357</v>
      </c>
    </row>
    <row r="688" spans="1:5" ht="25.5" x14ac:dyDescent="0.2">
      <c r="A688" s="2346">
        <v>37</v>
      </c>
      <c r="B688" s="983" t="str">
        <f t="shared" si="59"/>
        <v>errechneter Wert nach Rückversicherung</v>
      </c>
      <c r="C688" s="941" t="s">
        <v>632</v>
      </c>
      <c r="D688" s="941" t="s">
        <v>941</v>
      </c>
      <c r="E688" s="941" t="s">
        <v>1358</v>
      </c>
    </row>
    <row r="689" spans="1:5" x14ac:dyDescent="0.2">
      <c r="A689" s="2346">
        <v>37</v>
      </c>
      <c r="B689" s="983" t="str">
        <f t="shared" si="59"/>
        <v>benutzter Wert</v>
      </c>
      <c r="C689" s="941" t="s">
        <v>100</v>
      </c>
      <c r="D689" s="941" t="s">
        <v>465</v>
      </c>
      <c r="E689" s="941" t="s">
        <v>1359</v>
      </c>
    </row>
    <row r="690" spans="1:5" x14ac:dyDescent="0.2">
      <c r="A690" s="2346">
        <v>37</v>
      </c>
      <c r="B690" s="983" t="str">
        <f t="shared" si="59"/>
        <v>2) Parameterrisiko</v>
      </c>
      <c r="C690" s="941" t="s">
        <v>105</v>
      </c>
      <c r="D690" s="941" t="s">
        <v>942</v>
      </c>
      <c r="E690" s="941" t="s">
        <v>1360</v>
      </c>
    </row>
    <row r="691" spans="1:5" ht="25.5" x14ac:dyDescent="0.2">
      <c r="A691" s="2346">
        <v>37</v>
      </c>
      <c r="B691" s="983" t="str">
        <f t="shared" si="59"/>
        <v>Variationskoeffizient des Parameterrisikos</v>
      </c>
      <c r="C691" s="941" t="s">
        <v>104</v>
      </c>
      <c r="D691" s="941" t="s">
        <v>471</v>
      </c>
      <c r="E691" s="941" t="s">
        <v>472</v>
      </c>
    </row>
    <row r="692" spans="1:5" ht="25.5" x14ac:dyDescent="0.2">
      <c r="A692" s="2346">
        <v>37</v>
      </c>
      <c r="B692" s="983" t="str">
        <f t="shared" si="59"/>
        <v>Standardwert (vor Rückversicherung)</v>
      </c>
      <c r="C692" s="941" t="s">
        <v>793</v>
      </c>
      <c r="D692" s="941" t="s">
        <v>1353</v>
      </c>
      <c r="E692" s="941" t="s">
        <v>1354</v>
      </c>
    </row>
    <row r="693" spans="1:5" ht="25.5" customHeight="1" x14ac:dyDescent="0.2">
      <c r="A693" s="2346">
        <v>37</v>
      </c>
      <c r="B693" s="983" t="str">
        <f t="shared" si="59"/>
        <v>errechneter Wert nach Rückversicherung</v>
      </c>
      <c r="C693" s="941" t="s">
        <v>632</v>
      </c>
      <c r="D693" s="937" t="s">
        <v>941</v>
      </c>
      <c r="E693" s="941" t="s">
        <v>1358</v>
      </c>
    </row>
    <row r="694" spans="1:5" ht="51" customHeight="1" x14ac:dyDescent="0.2">
      <c r="A694" s="2346">
        <v>37</v>
      </c>
      <c r="B694" s="983" t="str">
        <f t="shared" si="59"/>
        <v>benutzter Wert (Abweichung vom Standard begründen)</v>
      </c>
      <c r="C694" s="941" t="s">
        <v>142</v>
      </c>
      <c r="D694" s="935" t="s">
        <v>940</v>
      </c>
      <c r="E694" s="941" t="s">
        <v>1361</v>
      </c>
    </row>
    <row r="695" spans="1:5" ht="25.5" customHeight="1" x14ac:dyDescent="0.2">
      <c r="A695" s="2346">
        <v>37</v>
      </c>
      <c r="B695" s="983" t="str">
        <f t="shared" si="59"/>
        <v>3) Zufalls- und Parameterrisiko</v>
      </c>
      <c r="C695" s="941" t="s">
        <v>739</v>
      </c>
      <c r="D695" s="937" t="s">
        <v>939</v>
      </c>
      <c r="E695" s="941" t="s">
        <v>1362</v>
      </c>
    </row>
    <row r="696" spans="1:5" ht="25.5" customHeight="1" x14ac:dyDescent="0.2">
      <c r="A696" s="2346">
        <v>37</v>
      </c>
      <c r="B696" s="983" t="str">
        <f t="shared" si="59"/>
        <v>Variationskoeffizient der jährlichen Leistungen</v>
      </c>
      <c r="C696" s="2343" t="s">
        <v>346</v>
      </c>
      <c r="D696" s="993" t="s">
        <v>938</v>
      </c>
      <c r="E696" s="993" t="s">
        <v>1363</v>
      </c>
    </row>
    <row r="697" spans="1:5" ht="25.5" x14ac:dyDescent="0.2">
      <c r="A697" s="2346">
        <v>37</v>
      </c>
      <c r="B697" s="983" t="str">
        <f t="shared" si="59"/>
        <v>benutzter Variationskoeffizient</v>
      </c>
      <c r="C697" s="2343" t="s">
        <v>347</v>
      </c>
      <c r="D697" s="993" t="s">
        <v>937</v>
      </c>
      <c r="E697" s="993" t="s">
        <v>1364</v>
      </c>
    </row>
    <row r="698" spans="1:5" ht="51" x14ac:dyDescent="0.2">
      <c r="A698" s="2346">
        <v>37</v>
      </c>
      <c r="B698" s="983" t="str">
        <f t="shared" si="59"/>
        <v>Standardabweichung des Schaden- und Leistungsaufwands (ohne Risikoausgleich)</v>
      </c>
      <c r="C698" s="993" t="s">
        <v>1791</v>
      </c>
      <c r="D698" s="993" t="s">
        <v>1792</v>
      </c>
      <c r="E698" s="993" t="s">
        <v>1793</v>
      </c>
    </row>
    <row r="699" spans="1:5" ht="25.5" x14ac:dyDescent="0.2">
      <c r="A699" s="2346">
        <v>37</v>
      </c>
      <c r="B699" s="983" t="str">
        <f t="shared" si="59"/>
        <v xml:space="preserve">Standardabweichung des Risikoausgleichs </v>
      </c>
      <c r="C699" s="2343" t="s">
        <v>1809</v>
      </c>
      <c r="D699" s="993" t="s">
        <v>1783</v>
      </c>
      <c r="E699" s="993" t="s">
        <v>1784</v>
      </c>
    </row>
    <row r="700" spans="1:5" ht="38.25" x14ac:dyDescent="0.2">
      <c r="A700" s="2346">
        <v>37</v>
      </c>
      <c r="B700" s="983" t="str">
        <f t="shared" si="59"/>
        <v>(Aus Blatt Risk_Compensation übertragen)</v>
      </c>
      <c r="C700" s="2343" t="s">
        <v>2539</v>
      </c>
      <c r="D700" s="993" t="s">
        <v>2540</v>
      </c>
      <c r="E700" s="993" t="s">
        <v>2541</v>
      </c>
    </row>
    <row r="701" spans="1:5" ht="63.75" x14ac:dyDescent="0.2">
      <c r="A701" s="2346">
        <v>37</v>
      </c>
      <c r="B701" s="983" t="str">
        <f t="shared" si="59"/>
        <v>Korrelation zwischen Risikoausgleich und Schaden- und Leistungsaufwand ohne Risikoausgleich</v>
      </c>
      <c r="C701" s="993" t="s">
        <v>1785</v>
      </c>
      <c r="D701" s="993" t="s">
        <v>1786</v>
      </c>
      <c r="E701" s="993" t="s">
        <v>1787</v>
      </c>
    </row>
    <row r="702" spans="1:5" ht="38.25" x14ac:dyDescent="0.2">
      <c r="A702" s="2346">
        <v>37</v>
      </c>
      <c r="B702" s="983" t="str">
        <f t="shared" si="59"/>
        <v>Standardabweichung des versicherungstechnischen Risikos</v>
      </c>
      <c r="C702" s="993" t="s">
        <v>1788</v>
      </c>
      <c r="D702" s="993" t="s">
        <v>1789</v>
      </c>
      <c r="E702" s="993" t="s">
        <v>1790</v>
      </c>
    </row>
    <row r="703" spans="1:5" ht="51" x14ac:dyDescent="0.2">
      <c r="A703" s="2346">
        <v>37</v>
      </c>
      <c r="B703" s="983" t="str">
        <f t="shared" si="59"/>
        <v>Werte für die zweite mögliche Methode (siehe technisches Dokument zum SST)</v>
      </c>
      <c r="C703" s="2344" t="s">
        <v>234</v>
      </c>
      <c r="D703" s="993" t="s">
        <v>1615</v>
      </c>
      <c r="E703" s="993" t="s">
        <v>1365</v>
      </c>
    </row>
    <row r="704" spans="1:5" ht="38.25" x14ac:dyDescent="0.2">
      <c r="A704" s="2346">
        <v>37</v>
      </c>
      <c r="B704" s="983" t="str">
        <f t="shared" si="59"/>
        <v>Korrelationen zwischen den betrachteten Branchen</v>
      </c>
      <c r="C704" s="941" t="s">
        <v>235</v>
      </c>
      <c r="D704" s="937" t="s">
        <v>936</v>
      </c>
      <c r="E704" s="941" t="s">
        <v>1366</v>
      </c>
    </row>
    <row r="705" spans="1:5" ht="25.5" x14ac:dyDescent="0.2">
      <c r="A705" s="2346">
        <v>37</v>
      </c>
      <c r="B705" s="983" t="str">
        <f t="shared" si="59"/>
        <v>Passive Rückversicherung KVG</v>
      </c>
      <c r="C705" s="941" t="s">
        <v>741</v>
      </c>
      <c r="D705" s="937" t="s">
        <v>935</v>
      </c>
      <c r="E705" s="941" t="s">
        <v>1678</v>
      </c>
    </row>
    <row r="706" spans="1:5" ht="63.75" x14ac:dyDescent="0.2">
      <c r="A706" s="2346">
        <v>37</v>
      </c>
      <c r="B706" s="983" t="str">
        <f t="shared" si="59"/>
        <v>a) Einzelschadenexzedenten-Rückversicherung (Grossrisiko-Rückversicherung)</v>
      </c>
      <c r="C706" s="941" t="s">
        <v>631</v>
      </c>
      <c r="D706" s="937" t="s">
        <v>934</v>
      </c>
      <c r="E706" s="941" t="s">
        <v>1367</v>
      </c>
    </row>
    <row r="707" spans="1:5" ht="25.5" x14ac:dyDescent="0.2">
      <c r="A707" s="2346">
        <v>37</v>
      </c>
      <c r="B707" s="983" t="str">
        <f t="shared" si="59"/>
        <v>Selbstbehalt Einzelschaden (CHF)</v>
      </c>
      <c r="C707" s="941" t="s">
        <v>623</v>
      </c>
      <c r="D707" s="937" t="s">
        <v>933</v>
      </c>
      <c r="E707" s="941" t="s">
        <v>1368</v>
      </c>
    </row>
    <row r="708" spans="1:5" x14ac:dyDescent="0.2">
      <c r="A708" s="2346">
        <v>37</v>
      </c>
      <c r="B708" s="983" t="str">
        <f t="shared" ref="B708:B773" si="60">IF(VLOOKUP(A708,A708:E708,language+2)="",VLOOKUP(A708,A708:E708,3),VLOOKUP(A708,A708:E708,language+2))</f>
        <v>Berechnung via Weibull-Fit</v>
      </c>
      <c r="C708" s="941" t="s">
        <v>635</v>
      </c>
      <c r="D708" s="937" t="s">
        <v>932</v>
      </c>
      <c r="E708" s="941" t="s">
        <v>1369</v>
      </c>
    </row>
    <row r="709" spans="1:5" ht="63.75" x14ac:dyDescent="0.2">
      <c r="A709" s="2346">
        <v>37</v>
      </c>
      <c r="B709" s="983" t="str">
        <f t="shared" si="60"/>
        <v>b) Summenschadenexzedenten-Rückversicherung (Stopp-Loss-Rückversicherung)</v>
      </c>
      <c r="C709" s="941" t="s">
        <v>633</v>
      </c>
      <c r="D709" s="941" t="s">
        <v>1370</v>
      </c>
      <c r="E709" s="941" t="s">
        <v>1371</v>
      </c>
    </row>
    <row r="710" spans="1:5" x14ac:dyDescent="0.2">
      <c r="A710" s="2346">
        <v>37</v>
      </c>
      <c r="B710" s="983" t="str">
        <f t="shared" si="60"/>
        <v>P Priorität   (Mio. CHF)</v>
      </c>
      <c r="C710" s="941" t="s">
        <v>2148</v>
      </c>
      <c r="D710" s="941" t="s">
        <v>2542</v>
      </c>
      <c r="E710" s="941" t="s">
        <v>2543</v>
      </c>
    </row>
    <row r="711" spans="1:5" x14ac:dyDescent="0.2">
      <c r="A711" s="2346">
        <v>37</v>
      </c>
      <c r="B711" s="983" t="str">
        <f t="shared" si="60"/>
        <v>K Kapazität (Mio. CHF)</v>
      </c>
      <c r="C711" s="941" t="s">
        <v>2147</v>
      </c>
      <c r="D711" s="941" t="s">
        <v>2544</v>
      </c>
      <c r="E711" s="941" t="s">
        <v>2545</v>
      </c>
    </row>
    <row r="712" spans="1:5" ht="38.25" x14ac:dyDescent="0.2">
      <c r="A712" s="2346">
        <v>37</v>
      </c>
      <c r="B712" s="983" t="str">
        <f t="shared" si="60"/>
        <v>Selbstbehalt Schadenvolumen (Mio. CHF)</v>
      </c>
      <c r="C712" s="941" t="s">
        <v>634</v>
      </c>
      <c r="D712" s="941" t="s">
        <v>1616</v>
      </c>
      <c r="E712" s="941" t="s">
        <v>1372</v>
      </c>
    </row>
    <row r="713" spans="1:5" x14ac:dyDescent="0.2">
      <c r="A713" s="2346">
        <v>37</v>
      </c>
      <c r="B713" s="983" t="str">
        <f t="shared" si="60"/>
        <v>Hilfswerte</v>
      </c>
      <c r="C713" s="941" t="s">
        <v>630</v>
      </c>
      <c r="D713" s="941" t="s">
        <v>931</v>
      </c>
      <c r="E713" s="941" t="s">
        <v>1373</v>
      </c>
    </row>
    <row r="714" spans="1:5" x14ac:dyDescent="0.2">
      <c r="A714" s="2346">
        <v>37</v>
      </c>
      <c r="B714" s="983" t="str">
        <f t="shared" si="60"/>
        <v xml:space="preserve">   vor Rückversicherung</v>
      </c>
      <c r="C714" s="941" t="s">
        <v>636</v>
      </c>
      <c r="D714" s="941" t="s">
        <v>929</v>
      </c>
      <c r="E714" s="941" t="s">
        <v>1679</v>
      </c>
    </row>
    <row r="715" spans="1:5" ht="25.5" x14ac:dyDescent="0.2">
      <c r="A715" s="2346">
        <v>37</v>
      </c>
      <c r="B715" s="983" t="str">
        <f t="shared" si="60"/>
        <v xml:space="preserve">   nach Stopp-Loss-Rückversicherung</v>
      </c>
      <c r="C715" s="941" t="s">
        <v>637</v>
      </c>
      <c r="D715" s="941" t="s">
        <v>928</v>
      </c>
      <c r="E715" s="941" t="s">
        <v>1374</v>
      </c>
    </row>
    <row r="716" spans="1:5" x14ac:dyDescent="0.2">
      <c r="A716" s="2346">
        <v>37</v>
      </c>
      <c r="B716" s="983" t="str">
        <f t="shared" si="60"/>
        <v xml:space="preserve">   vor Rückversicherung</v>
      </c>
      <c r="C716" s="941" t="s">
        <v>636</v>
      </c>
      <c r="D716" s="937" t="s">
        <v>929</v>
      </c>
      <c r="E716" s="941" t="s">
        <v>1679</v>
      </c>
    </row>
    <row r="717" spans="1:5" ht="25.5" x14ac:dyDescent="0.2">
      <c r="A717" s="2346">
        <v>37</v>
      </c>
      <c r="B717" s="983" t="str">
        <f t="shared" si="60"/>
        <v xml:space="preserve">   nach Stopp-Loss-Rückversicherung</v>
      </c>
      <c r="C717" s="941" t="s">
        <v>637</v>
      </c>
      <c r="D717" s="937" t="s">
        <v>930</v>
      </c>
      <c r="E717" s="941" t="s">
        <v>1374</v>
      </c>
    </row>
    <row r="718" spans="1:5" x14ac:dyDescent="0.2">
      <c r="A718" s="2346">
        <v>37</v>
      </c>
      <c r="B718" s="983" t="str">
        <f t="shared" si="60"/>
        <v xml:space="preserve">   vor Rückversicherung</v>
      </c>
      <c r="C718" s="941" t="s">
        <v>636</v>
      </c>
      <c r="D718" s="937" t="s">
        <v>929</v>
      </c>
      <c r="E718" s="941" t="s">
        <v>1679</v>
      </c>
    </row>
    <row r="719" spans="1:5" ht="25.5" x14ac:dyDescent="0.2">
      <c r="A719" s="2346">
        <v>37</v>
      </c>
      <c r="B719" s="983" t="str">
        <f t="shared" si="60"/>
        <v xml:space="preserve">   nach Stopp-Loss-Rückversicherung</v>
      </c>
      <c r="C719" s="941" t="s">
        <v>637</v>
      </c>
      <c r="D719" s="937" t="s">
        <v>928</v>
      </c>
      <c r="E719" s="941" t="s">
        <v>1374</v>
      </c>
    </row>
    <row r="720" spans="1:5" ht="38.25" x14ac:dyDescent="0.2">
      <c r="A720" s="2346">
        <v>37</v>
      </c>
      <c r="B720" s="983" t="str">
        <f t="shared" si="60"/>
        <v>Berechnung via gestutzte Normalverteilung und Massenpunkt</v>
      </c>
      <c r="C720" s="941" t="s">
        <v>638</v>
      </c>
      <c r="D720" s="941" t="s">
        <v>927</v>
      </c>
      <c r="E720" s="941" t="s">
        <v>1375</v>
      </c>
    </row>
    <row r="721" spans="1:5" ht="25.5" x14ac:dyDescent="0.2">
      <c r="A721" s="2346">
        <v>38</v>
      </c>
      <c r="B721" s="983" t="str">
        <f t="shared" si="60"/>
        <v>Erwartete Finanzmarktrendite</v>
      </c>
      <c r="C721" s="941" t="s">
        <v>902</v>
      </c>
      <c r="D721" s="941" t="s">
        <v>1649</v>
      </c>
      <c r="E721" s="941" t="s">
        <v>698</v>
      </c>
    </row>
    <row r="722" spans="1:5" ht="63.75" x14ac:dyDescent="0.2">
      <c r="A722" s="2346">
        <v>38</v>
      </c>
      <c r="B722" s="983" t="str">
        <f t="shared" si="60"/>
        <v>Erwartete Finanzmarktrendite auf den Aktiven 2025 (den risikolosen Zinssatz übersteigend)</v>
      </c>
      <c r="C722" s="941" t="str">
        <f>"Erwartete Finanzmarktrendite auf den Aktiven "&amp;current_year&amp;" (den risikolosen Zinssatz übersteigend)"</f>
        <v>Erwartete Finanzmarktrendite auf den Aktiven 2025 (den risikolosen Zinssatz übersteigend)</v>
      </c>
      <c r="D722" s="941" t="str">
        <f>"Rendement attendu du marché financier sur les actifs en "&amp;current_year&amp;" (en plus du rendement sans risque)"</f>
        <v>Rendement attendu du marché financier sur les actifs en 2025 (en plus du rendement sans risque)</v>
      </c>
      <c r="E722" s="941" t="str">
        <f>"expected financial market return on assets in "&amp;current_year&amp;" (in excess of risk free rate)"</f>
        <v>expected financial market return on assets in 2025 (in excess of risk free rate)</v>
      </c>
    </row>
    <row r="723" spans="1:5" x14ac:dyDescent="0.2">
      <c r="A723" s="2346">
        <v>38</v>
      </c>
      <c r="B723" s="983" t="str">
        <f t="shared" si="60"/>
        <v>Anlagenklasse</v>
      </c>
      <c r="C723" s="941" t="s">
        <v>1591</v>
      </c>
      <c r="D723" s="941" t="s">
        <v>926</v>
      </c>
      <c r="E723" s="941" t="s">
        <v>700</v>
      </c>
    </row>
    <row r="724" spans="1:5" x14ac:dyDescent="0.2">
      <c r="A724" s="2346">
        <v>38</v>
      </c>
      <c r="B724" s="983" t="str">
        <f t="shared" si="60"/>
        <v>Renditesatz</v>
      </c>
      <c r="C724" s="941" t="s">
        <v>925</v>
      </c>
      <c r="D724" s="941" t="s">
        <v>924</v>
      </c>
      <c r="E724" s="941" t="s">
        <v>703</v>
      </c>
    </row>
    <row r="725" spans="1:5" x14ac:dyDescent="0.2">
      <c r="A725" s="2346">
        <v>38</v>
      </c>
      <c r="B725" s="983" t="str">
        <f t="shared" si="60"/>
        <v>Marktwert</v>
      </c>
      <c r="C725" s="941" t="s">
        <v>923</v>
      </c>
      <c r="D725" s="941" t="s">
        <v>922</v>
      </c>
      <c r="E725" s="941" t="s">
        <v>705</v>
      </c>
    </row>
    <row r="726" spans="1:5" x14ac:dyDescent="0.2">
      <c r="A726" s="2346">
        <v>38</v>
      </c>
      <c r="B726" s="983" t="str">
        <f t="shared" si="60"/>
        <v xml:space="preserve">Rendite </v>
      </c>
      <c r="C726" s="941" t="s">
        <v>921</v>
      </c>
      <c r="D726" s="941" t="s">
        <v>1766</v>
      </c>
      <c r="E726" s="941" t="s">
        <v>704</v>
      </c>
    </row>
    <row r="727" spans="1:5" x14ac:dyDescent="0.2">
      <c r="A727" s="2346">
        <v>38</v>
      </c>
      <c r="B727" s="983" t="str">
        <f t="shared" si="60"/>
        <v>Immobilien</v>
      </c>
      <c r="C727" s="941" t="s">
        <v>1512</v>
      </c>
      <c r="D727" s="941" t="s">
        <v>1650</v>
      </c>
      <c r="E727" s="941" t="s">
        <v>223</v>
      </c>
    </row>
    <row r="728" spans="1:5" x14ac:dyDescent="0.2">
      <c r="A728" s="2346">
        <v>38</v>
      </c>
      <c r="B728" s="983" t="str">
        <f t="shared" si="60"/>
        <v>Obligationen</v>
      </c>
      <c r="C728" s="941" t="s">
        <v>126</v>
      </c>
      <c r="D728" s="941" t="s">
        <v>378</v>
      </c>
      <c r="E728" s="941" t="s">
        <v>379</v>
      </c>
    </row>
    <row r="729" spans="1:5" x14ac:dyDescent="0.2">
      <c r="A729" s="2346">
        <v>38</v>
      </c>
      <c r="B729" s="983" t="str">
        <f t="shared" si="60"/>
        <v>Aktien</v>
      </c>
      <c r="C729" s="941" t="s">
        <v>54</v>
      </c>
      <c r="D729" s="941" t="s">
        <v>920</v>
      </c>
      <c r="E729" s="941" t="s">
        <v>12</v>
      </c>
    </row>
    <row r="730" spans="1:5" x14ac:dyDescent="0.2">
      <c r="A730" s="2346">
        <v>38</v>
      </c>
      <c r="B730" s="983" t="str">
        <f t="shared" si="60"/>
        <v>Anlagefonds</v>
      </c>
      <c r="C730" s="941" t="s">
        <v>1631</v>
      </c>
      <c r="D730" s="941" t="s">
        <v>919</v>
      </c>
      <c r="E730" s="941" t="s">
        <v>699</v>
      </c>
    </row>
    <row r="731" spans="1:5" ht="25.5" x14ac:dyDescent="0.2">
      <c r="A731" s="2346">
        <v>38</v>
      </c>
      <c r="B731" s="983" t="str">
        <f t="shared" si="60"/>
        <v>andere Anlagen</v>
      </c>
      <c r="C731" s="941" t="s">
        <v>1632</v>
      </c>
      <c r="D731" s="941" t="s">
        <v>918</v>
      </c>
      <c r="E731" s="941" t="s">
        <v>702</v>
      </c>
    </row>
    <row r="732" spans="1:5" x14ac:dyDescent="0.2">
      <c r="A732" s="2346">
        <v>38</v>
      </c>
      <c r="B732" s="983" t="str">
        <f t="shared" si="60"/>
        <v>andere Aktiven</v>
      </c>
      <c r="C732" s="941" t="s">
        <v>1633</v>
      </c>
      <c r="D732" s="941" t="s">
        <v>917</v>
      </c>
      <c r="E732" s="941" t="s">
        <v>701</v>
      </c>
    </row>
    <row r="733" spans="1:5" ht="25.5" x14ac:dyDescent="0.2">
      <c r="A733" s="2346">
        <v>38</v>
      </c>
      <c r="B733" s="983" t="str">
        <f t="shared" si="60"/>
        <v>Total (den risikolosen Zinssatz übersteigend)</v>
      </c>
      <c r="C733" s="941" t="s">
        <v>916</v>
      </c>
      <c r="D733" s="941" t="s">
        <v>915</v>
      </c>
      <c r="E733" s="941" t="s">
        <v>692</v>
      </c>
    </row>
    <row r="734" spans="1:5" ht="25.5" x14ac:dyDescent="0.2">
      <c r="A734" s="2346">
        <v>39</v>
      </c>
      <c r="B734" s="983" t="str">
        <f t="shared" si="60"/>
        <v>KVG-Solvenztest 2025</v>
      </c>
      <c r="C734" s="941" t="str">
        <f>"KVG-Solvenztest "&amp;current_year</f>
        <v>KVG-Solvenztest 2025</v>
      </c>
      <c r="D734" s="941" t="str">
        <f>"Test de solvabilité LAMal "&amp;current_year</f>
        <v>Test de solvabilité LAMal 2025</v>
      </c>
      <c r="E734" s="941" t="str">
        <f>"KVG/LAMal solvency test "&amp;current_year</f>
        <v>KVG/LAMal solvency test 2025</v>
      </c>
    </row>
    <row r="735" spans="1:5" ht="25.5" x14ac:dyDescent="0.2">
      <c r="A735" s="2346">
        <v>39</v>
      </c>
      <c r="B735" s="983" t="str">
        <f t="shared" si="60"/>
        <v>Berechnung der Mindesthöhe der Reserven</v>
      </c>
      <c r="C735" s="941" t="s">
        <v>914</v>
      </c>
      <c r="D735" s="941" t="s">
        <v>913</v>
      </c>
      <c r="E735" s="941" t="s">
        <v>1376</v>
      </c>
    </row>
    <row r="736" spans="1:5" ht="38.25" x14ac:dyDescent="0.2">
      <c r="A736" s="2346">
        <v>39</v>
      </c>
      <c r="B736" s="983" t="str">
        <f t="shared" si="60"/>
        <v>Berechnung der Mindesthöhe der Reserven per 01.01.2025</v>
      </c>
      <c r="C736" s="941" t="str">
        <f>"Berechnung der Mindesthöhe der Reserven per 01.01."&amp;current_year</f>
        <v>Berechnung der Mindesthöhe der Reserven per 01.01.2025</v>
      </c>
      <c r="D736" s="941" t="str">
        <f>"Calcul du montant minimal des réserves au 01.01."&amp;current_year</f>
        <v>Calcul du montant minimal des réserves au 01.01.2025</v>
      </c>
      <c r="E736" s="941" t="str">
        <f>"Calculation of minimum level of reserves per 01.01."&amp;current_year</f>
        <v>Calculation of minimum level of reserves per 01.01.2025</v>
      </c>
    </row>
    <row r="737" spans="1:5" x14ac:dyDescent="0.2">
      <c r="A737" s="2346">
        <v>39</v>
      </c>
      <c r="B737" s="983" t="str">
        <f t="shared" si="60"/>
        <v>Werte in Mio. CHF</v>
      </c>
      <c r="C737" s="941" t="s">
        <v>141</v>
      </c>
      <c r="D737" s="941" t="s">
        <v>912</v>
      </c>
      <c r="E737" s="941" t="s">
        <v>1333</v>
      </c>
    </row>
    <row r="738" spans="1:5" ht="25.5" x14ac:dyDescent="0.2">
      <c r="A738" s="2346">
        <v>39</v>
      </c>
      <c r="B738" s="983" t="str">
        <f t="shared" si="60"/>
        <v>zusätzliche Information</v>
      </c>
      <c r="C738" s="941" t="s">
        <v>911</v>
      </c>
      <c r="D738" s="941" t="s">
        <v>910</v>
      </c>
      <c r="E738" s="941" t="s">
        <v>1377</v>
      </c>
    </row>
    <row r="739" spans="1:5" x14ac:dyDescent="0.2">
      <c r="A739" s="2346">
        <v>39</v>
      </c>
      <c r="B739" s="983" t="str">
        <f t="shared" si="60"/>
        <v>Erwartete Rendite</v>
      </c>
      <c r="C739" s="941" t="s">
        <v>909</v>
      </c>
      <c r="D739" s="941" t="s">
        <v>908</v>
      </c>
      <c r="E739" s="941" t="s">
        <v>697</v>
      </c>
    </row>
    <row r="740" spans="1:5" x14ac:dyDescent="0.2">
      <c r="A740" s="2346">
        <v>39</v>
      </c>
      <c r="B740" s="983" t="str">
        <f t="shared" si="60"/>
        <v>Δ Reserven</v>
      </c>
      <c r="C740" s="941" t="s">
        <v>1627</v>
      </c>
      <c r="D740" s="941" t="s">
        <v>1628</v>
      </c>
      <c r="E740" s="941" t="s">
        <v>1629</v>
      </c>
    </row>
    <row r="741" spans="1:5" x14ac:dyDescent="0.2">
      <c r="A741" s="2346">
        <v>39</v>
      </c>
      <c r="B741" s="983" t="str">
        <f t="shared" si="60"/>
        <v>Expected Shortfall</v>
      </c>
      <c r="C741" s="941" t="s">
        <v>63</v>
      </c>
      <c r="D741" s="941" t="s">
        <v>63</v>
      </c>
      <c r="E741" s="941" t="s">
        <v>63</v>
      </c>
    </row>
    <row r="742" spans="1:5" ht="25.5" x14ac:dyDescent="0.2">
      <c r="A742" s="2346">
        <v>39</v>
      </c>
      <c r="B742" s="983" t="str">
        <f t="shared" si="60"/>
        <v>Mindesthöhe der Reserven</v>
      </c>
      <c r="C742" s="941" t="s">
        <v>1378</v>
      </c>
      <c r="D742" s="941" t="s">
        <v>1379</v>
      </c>
      <c r="E742" s="941" t="s">
        <v>1380</v>
      </c>
    </row>
    <row r="743" spans="1:5" x14ac:dyDescent="0.2">
      <c r="A743" s="2346">
        <v>39</v>
      </c>
      <c r="B743" s="983" t="str">
        <f t="shared" si="60"/>
        <v>Kollektiv VVG</v>
      </c>
      <c r="C743" s="941" t="s">
        <v>2076</v>
      </c>
      <c r="D743" s="941" t="s">
        <v>2077</v>
      </c>
      <c r="E743" s="941" t="s">
        <v>1674</v>
      </c>
    </row>
    <row r="744" spans="1:5" x14ac:dyDescent="0.2">
      <c r="A744" s="2346">
        <v>39</v>
      </c>
      <c r="B744" s="983" t="str">
        <f t="shared" si="60"/>
        <v>Einzel VVG</v>
      </c>
      <c r="C744" s="941" t="s">
        <v>2081</v>
      </c>
      <c r="D744" s="941" t="s">
        <v>2089</v>
      </c>
      <c r="E744" s="941" t="s">
        <v>2083</v>
      </c>
    </row>
    <row r="745" spans="1:5" x14ac:dyDescent="0.2">
      <c r="A745" s="2346">
        <v>39</v>
      </c>
      <c r="B745" s="983" t="str">
        <f t="shared" si="60"/>
        <v>UVG</v>
      </c>
      <c r="C745" s="941" t="s">
        <v>69</v>
      </c>
      <c r="D745" s="941" t="s">
        <v>466</v>
      </c>
      <c r="E745" s="941" t="s">
        <v>2061</v>
      </c>
    </row>
    <row r="746" spans="1:5" ht="25.5" x14ac:dyDescent="0.2">
      <c r="A746" s="2346">
        <v>39</v>
      </c>
      <c r="B746" s="983" t="str">
        <f t="shared" si="60"/>
        <v>KVG-Taggeld Einzel</v>
      </c>
      <c r="C746" s="941" t="s">
        <v>508</v>
      </c>
      <c r="D746" s="941" t="s">
        <v>906</v>
      </c>
      <c r="E746" s="941" t="s">
        <v>1675</v>
      </c>
    </row>
    <row r="747" spans="1:5" ht="25.5" x14ac:dyDescent="0.2">
      <c r="A747" s="2346">
        <v>39</v>
      </c>
      <c r="B747" s="983" t="str">
        <f t="shared" si="60"/>
        <v>KVG-Taggeld Kollektiv</v>
      </c>
      <c r="C747" s="941" t="s">
        <v>509</v>
      </c>
      <c r="D747" s="941" t="s">
        <v>905</v>
      </c>
      <c r="E747" s="941" t="s">
        <v>1676</v>
      </c>
    </row>
    <row r="748" spans="1:5" x14ac:dyDescent="0.2">
      <c r="A748" s="2346">
        <v>39</v>
      </c>
      <c r="B748" s="983" t="str">
        <f t="shared" si="60"/>
        <v>OKP</v>
      </c>
      <c r="C748" s="941" t="s">
        <v>510</v>
      </c>
      <c r="D748" s="941" t="s">
        <v>904</v>
      </c>
      <c r="E748" s="941" t="s">
        <v>1334</v>
      </c>
    </row>
    <row r="749" spans="1:5" ht="25.5" x14ac:dyDescent="0.2">
      <c r="A749" s="2346">
        <v>39</v>
      </c>
      <c r="B749" s="983" t="str">
        <f t="shared" si="60"/>
        <v>Aktive Rückversicherung KVG</v>
      </c>
      <c r="C749" s="941" t="s">
        <v>511</v>
      </c>
      <c r="D749" s="941" t="s">
        <v>903</v>
      </c>
      <c r="E749" s="941" t="s">
        <v>1677</v>
      </c>
    </row>
    <row r="750" spans="1:5" ht="25.5" x14ac:dyDescent="0.2">
      <c r="A750" s="2346">
        <v>39</v>
      </c>
      <c r="B750" s="983" t="str">
        <f t="shared" si="60"/>
        <v>Erwartete Versicherungsrendite</v>
      </c>
      <c r="C750" s="941" t="s">
        <v>907</v>
      </c>
      <c r="D750" s="941" t="s">
        <v>1617</v>
      </c>
      <c r="E750" s="941" t="s">
        <v>1381</v>
      </c>
    </row>
    <row r="751" spans="1:5" x14ac:dyDescent="0.2">
      <c r="A751" s="2346">
        <v>39</v>
      </c>
      <c r="B751" s="983" t="str">
        <f t="shared" si="60"/>
        <v>Kollektiv VVG</v>
      </c>
      <c r="C751" s="941" t="s">
        <v>2076</v>
      </c>
      <c r="D751" s="941" t="s">
        <v>2093</v>
      </c>
      <c r="E751" s="941" t="s">
        <v>2094</v>
      </c>
    </row>
    <row r="752" spans="1:5" x14ac:dyDescent="0.2">
      <c r="A752" s="2346">
        <v>39</v>
      </c>
      <c r="B752" s="983" t="str">
        <f t="shared" si="60"/>
        <v>Einzel VVG</v>
      </c>
      <c r="C752" s="941" t="s">
        <v>2081</v>
      </c>
      <c r="D752" s="941" t="s">
        <v>2095</v>
      </c>
      <c r="E752" s="941" t="s">
        <v>2096</v>
      </c>
    </row>
    <row r="753" spans="1:5" x14ac:dyDescent="0.2">
      <c r="A753" s="2346">
        <v>39</v>
      </c>
      <c r="B753" s="983" t="str">
        <f t="shared" si="60"/>
        <v>UVG</v>
      </c>
      <c r="C753" s="941" t="s">
        <v>69</v>
      </c>
      <c r="D753" s="941" t="s">
        <v>2090</v>
      </c>
      <c r="E753" s="941" t="s">
        <v>2091</v>
      </c>
    </row>
    <row r="754" spans="1:5" ht="25.5" x14ac:dyDescent="0.2">
      <c r="A754" s="2346">
        <v>39</v>
      </c>
      <c r="B754" s="983" t="str">
        <f t="shared" si="60"/>
        <v>KVG-Taggeld Einzel</v>
      </c>
      <c r="C754" s="941" t="s">
        <v>508</v>
      </c>
      <c r="D754" s="941" t="s">
        <v>906</v>
      </c>
      <c r="E754" s="941" t="s">
        <v>1675</v>
      </c>
    </row>
    <row r="755" spans="1:5" ht="25.5" x14ac:dyDescent="0.2">
      <c r="A755" s="2346">
        <v>39</v>
      </c>
      <c r="B755" s="983" t="str">
        <f t="shared" si="60"/>
        <v>KVG-Taggeld Kollektiv</v>
      </c>
      <c r="C755" s="941" t="s">
        <v>509</v>
      </c>
      <c r="D755" s="941" t="s">
        <v>905</v>
      </c>
      <c r="E755" s="941" t="s">
        <v>1676</v>
      </c>
    </row>
    <row r="756" spans="1:5" x14ac:dyDescent="0.2">
      <c r="A756" s="2346">
        <v>39</v>
      </c>
      <c r="B756" s="983" t="str">
        <f t="shared" si="60"/>
        <v>OKP</v>
      </c>
      <c r="C756" s="941" t="s">
        <v>510</v>
      </c>
      <c r="D756" s="941" t="s">
        <v>904</v>
      </c>
      <c r="E756" s="941" t="s">
        <v>1334</v>
      </c>
    </row>
    <row r="757" spans="1:5" ht="25.5" x14ac:dyDescent="0.2">
      <c r="A757" s="2346">
        <v>39</v>
      </c>
      <c r="B757" s="983" t="str">
        <f t="shared" si="60"/>
        <v>Aktive Rückversicherung KVG</v>
      </c>
      <c r="C757" s="941" t="s">
        <v>511</v>
      </c>
      <c r="D757" s="941" t="s">
        <v>903</v>
      </c>
      <c r="E757" s="941" t="s">
        <v>1677</v>
      </c>
    </row>
    <row r="758" spans="1:5" ht="25.5" x14ac:dyDescent="0.2">
      <c r="A758" s="2346">
        <v>39</v>
      </c>
      <c r="B758" s="983" t="str">
        <f t="shared" si="60"/>
        <v>Risikosenkung durch Diversifikation</v>
      </c>
      <c r="C758" s="941" t="s">
        <v>897</v>
      </c>
      <c r="D758" s="941" t="s">
        <v>896</v>
      </c>
      <c r="E758" s="941" t="s">
        <v>32</v>
      </c>
    </row>
    <row r="759" spans="1:5" ht="25.5" x14ac:dyDescent="0.2">
      <c r="A759" s="2346">
        <v>39</v>
      </c>
      <c r="B759" s="983" t="str">
        <f t="shared" si="60"/>
        <v>Expected Shortfall für das Versicherungsrisiko</v>
      </c>
      <c r="C759" s="941" t="s">
        <v>1715</v>
      </c>
      <c r="D759" s="941" t="s">
        <v>1618</v>
      </c>
      <c r="E759" s="941" t="s">
        <v>680</v>
      </c>
    </row>
    <row r="760" spans="1:5" ht="25.5" x14ac:dyDescent="0.2">
      <c r="A760" s="2346">
        <v>39</v>
      </c>
      <c r="B760" s="983" t="str">
        <f t="shared" si="60"/>
        <v>Erwartete Finanzmarktrendite</v>
      </c>
      <c r="C760" s="941" t="s">
        <v>902</v>
      </c>
      <c r="D760" s="941" t="s">
        <v>901</v>
      </c>
      <c r="E760" s="941" t="s">
        <v>698</v>
      </c>
    </row>
    <row r="761" spans="1:5" x14ac:dyDescent="0.2">
      <c r="A761" s="2346">
        <v>39</v>
      </c>
      <c r="B761" s="983" t="str">
        <f t="shared" si="60"/>
        <v>Alle Zinssätze</v>
      </c>
      <c r="C761" s="941" t="s">
        <v>900</v>
      </c>
      <c r="D761" s="941" t="s">
        <v>899</v>
      </c>
      <c r="E761" s="941" t="s">
        <v>14</v>
      </c>
    </row>
    <row r="762" spans="1:5" x14ac:dyDescent="0.2">
      <c r="A762" s="2346">
        <v>39</v>
      </c>
      <c r="B762" s="983" t="str">
        <f t="shared" si="60"/>
        <v>Spreads</v>
      </c>
      <c r="C762" s="941" t="s">
        <v>10</v>
      </c>
      <c r="D762" s="935" t="s">
        <v>10</v>
      </c>
      <c r="E762" s="941" t="s">
        <v>10</v>
      </c>
    </row>
    <row r="763" spans="1:5" x14ac:dyDescent="0.2">
      <c r="A763" s="2346">
        <v>39</v>
      </c>
      <c r="B763" s="983" t="str">
        <f t="shared" si="60"/>
        <v>Fremdwährungen</v>
      </c>
      <c r="C763" s="941" t="s">
        <v>1511</v>
      </c>
      <c r="D763" s="935" t="s">
        <v>1513</v>
      </c>
      <c r="E763" s="941" t="s">
        <v>11</v>
      </c>
    </row>
    <row r="764" spans="1:5" x14ac:dyDescent="0.2">
      <c r="A764" s="2346">
        <v>39</v>
      </c>
      <c r="B764" s="983" t="str">
        <f t="shared" si="60"/>
        <v>Aktien</v>
      </c>
      <c r="C764" s="941" t="s">
        <v>54</v>
      </c>
      <c r="D764" s="941" t="s">
        <v>920</v>
      </c>
      <c r="E764" s="941" t="s">
        <v>12</v>
      </c>
    </row>
    <row r="765" spans="1:5" x14ac:dyDescent="0.2">
      <c r="A765" s="2346">
        <v>39</v>
      </c>
      <c r="B765" s="983" t="str">
        <f t="shared" si="60"/>
        <v>Immobilien</v>
      </c>
      <c r="C765" s="941" t="s">
        <v>1512</v>
      </c>
      <c r="D765" s="935" t="s">
        <v>1650</v>
      </c>
      <c r="E765" s="941" t="s">
        <v>223</v>
      </c>
    </row>
    <row r="766" spans="1:5" x14ac:dyDescent="0.2">
      <c r="A766" s="2346">
        <v>39</v>
      </c>
      <c r="B766" s="983" t="str">
        <f t="shared" si="60"/>
        <v>Hedge Funds</v>
      </c>
      <c r="C766" s="941" t="s">
        <v>134</v>
      </c>
      <c r="D766" s="935" t="s">
        <v>134</v>
      </c>
      <c r="E766" s="941" t="s">
        <v>134</v>
      </c>
    </row>
    <row r="767" spans="1:5" x14ac:dyDescent="0.2">
      <c r="A767" s="2346">
        <v>39</v>
      </c>
      <c r="B767" s="983" t="str">
        <f t="shared" si="60"/>
        <v>Private Equity</v>
      </c>
      <c r="C767" s="941" t="s">
        <v>135</v>
      </c>
      <c r="D767" s="935" t="s">
        <v>135</v>
      </c>
      <c r="E767" s="941" t="s">
        <v>135</v>
      </c>
    </row>
    <row r="768" spans="1:5" x14ac:dyDescent="0.2">
      <c r="A768" s="2346">
        <v>39</v>
      </c>
      <c r="B768" s="983" t="str">
        <f t="shared" si="60"/>
        <v>Beteiligungen</v>
      </c>
      <c r="C768" s="941" t="s">
        <v>224</v>
      </c>
      <c r="D768" s="941" t="s">
        <v>13</v>
      </c>
      <c r="E768" s="941" t="s">
        <v>13</v>
      </c>
    </row>
    <row r="769" spans="1:5" ht="25.5" x14ac:dyDescent="0.2">
      <c r="A769" s="2346">
        <v>39</v>
      </c>
      <c r="B769" s="983" t="str">
        <f t="shared" si="60"/>
        <v>Risikosenkung durch Diversifikation</v>
      </c>
      <c r="C769" s="941" t="s">
        <v>897</v>
      </c>
      <c r="D769" s="941" t="s">
        <v>896</v>
      </c>
      <c r="E769" s="941" t="s">
        <v>32</v>
      </c>
    </row>
    <row r="770" spans="1:5" ht="25.5" x14ac:dyDescent="0.2">
      <c r="A770" s="2346">
        <v>39</v>
      </c>
      <c r="B770" s="983" t="str">
        <f t="shared" si="60"/>
        <v>Expected Shortfall für das Marktrisiko</v>
      </c>
      <c r="C770" s="941" t="s">
        <v>898</v>
      </c>
      <c r="D770" s="941" t="s">
        <v>1619</v>
      </c>
      <c r="E770" s="941" t="s">
        <v>681</v>
      </c>
    </row>
    <row r="771" spans="1:5" ht="25.5" x14ac:dyDescent="0.2">
      <c r="A771" s="2346">
        <v>39</v>
      </c>
      <c r="B771" s="983" t="str">
        <f t="shared" si="60"/>
        <v>Risikosenkung durch Diversifikation</v>
      </c>
      <c r="C771" s="941" t="s">
        <v>897</v>
      </c>
      <c r="D771" s="941" t="s">
        <v>896</v>
      </c>
      <c r="E771" s="941" t="s">
        <v>32</v>
      </c>
    </row>
    <row r="772" spans="1:5" ht="38.25" x14ac:dyDescent="0.2">
      <c r="A772" s="2346">
        <v>39</v>
      </c>
      <c r="B772" s="983" t="str">
        <f t="shared" si="60"/>
        <v>Expected Shortfall für Versicherung- und Marktrisiko</v>
      </c>
      <c r="C772" s="941" t="s">
        <v>895</v>
      </c>
      <c r="D772" s="941" t="s">
        <v>1620</v>
      </c>
      <c r="E772" s="941" t="s">
        <v>682</v>
      </c>
    </row>
    <row r="773" spans="1:5" x14ac:dyDescent="0.2">
      <c r="A773" s="2346">
        <v>39</v>
      </c>
      <c r="B773" s="983" t="str">
        <f t="shared" si="60"/>
        <v>Analytisches Modell</v>
      </c>
      <c r="C773" s="941" t="s">
        <v>894</v>
      </c>
      <c r="D773" s="941" t="s">
        <v>1566</v>
      </c>
      <c r="E773" s="941" t="s">
        <v>684</v>
      </c>
    </row>
    <row r="774" spans="1:5" x14ac:dyDescent="0.2">
      <c r="A774" s="2346">
        <v>39</v>
      </c>
      <c r="B774" s="983" t="str">
        <f t="shared" ref="B774:B839" si="61">IF(VLOOKUP(A774,A774:E774,language+2)="",VLOOKUP(A774,A774:E774,3),VLOOKUP(A774,A774:E774,language+2))</f>
        <v>Aggregation der Szenarien</v>
      </c>
      <c r="C774" s="941" t="s">
        <v>893</v>
      </c>
      <c r="D774" s="941" t="s">
        <v>870</v>
      </c>
      <c r="E774" s="941" t="s">
        <v>686</v>
      </c>
    </row>
    <row r="775" spans="1:5" x14ac:dyDescent="0.2">
      <c r="A775" s="2346">
        <v>39</v>
      </c>
      <c r="B775" s="983" t="str">
        <f t="shared" si="61"/>
        <v>Kreditrisiko</v>
      </c>
      <c r="C775" s="941" t="s">
        <v>81</v>
      </c>
      <c r="D775" s="941" t="s">
        <v>420</v>
      </c>
      <c r="E775" s="941" t="s">
        <v>108</v>
      </c>
    </row>
    <row r="776" spans="1:5" x14ac:dyDescent="0.2">
      <c r="A776" s="2346">
        <v>39</v>
      </c>
      <c r="B776" s="983" t="str">
        <f t="shared" si="61"/>
        <v>Risikomarge</v>
      </c>
      <c r="C776" s="941" t="s">
        <v>892</v>
      </c>
      <c r="D776" s="941" t="s">
        <v>891</v>
      </c>
      <c r="E776" s="941" t="s">
        <v>107</v>
      </c>
    </row>
    <row r="777" spans="1:5" ht="25.5" x14ac:dyDescent="0.2">
      <c r="A777" s="2346">
        <v>39</v>
      </c>
      <c r="B777" s="983" t="str">
        <f t="shared" si="61"/>
        <v>Mindesthöhe der Reserven</v>
      </c>
      <c r="C777" s="941" t="s">
        <v>1378</v>
      </c>
      <c r="D777" s="941" t="s">
        <v>1379</v>
      </c>
      <c r="E777" s="992" t="s">
        <v>1380</v>
      </c>
    </row>
    <row r="778" spans="1:5" ht="38.25" x14ac:dyDescent="0.2">
      <c r="A778" s="2346">
        <v>39</v>
      </c>
      <c r="B778" s="983" t="str">
        <f t="shared" si="61"/>
        <v>Berechnung der vorhandenen Reserven per 01.01.2025</v>
      </c>
      <c r="C778" s="941" t="str">
        <f>"Berechnung der vorhandenen Reserven per 01.01."&amp;current_year</f>
        <v>Berechnung der vorhandenen Reserven per 01.01.2025</v>
      </c>
      <c r="D778" s="941" t="str">
        <f>"Calcul des réserves disponibles au 01.01."&amp;current_year</f>
        <v>Calcul des réserves disponibles au 01.01.2025</v>
      </c>
      <c r="E778" s="941" t="str">
        <f>"Calculation of existing reserves per 01.01."&amp;current_year</f>
        <v>Calculation of existing reserves per 01.01.2025</v>
      </c>
    </row>
    <row r="779" spans="1:5" x14ac:dyDescent="0.2">
      <c r="A779" s="2346">
        <v>39</v>
      </c>
      <c r="B779" s="983" t="str">
        <f t="shared" si="61"/>
        <v>statutarisch</v>
      </c>
      <c r="C779" s="941" t="s">
        <v>687</v>
      </c>
      <c r="D779" s="941" t="s">
        <v>889</v>
      </c>
      <c r="E779" s="941" t="s">
        <v>1382</v>
      </c>
    </row>
    <row r="780" spans="1:5" x14ac:dyDescent="0.2">
      <c r="A780" s="2346">
        <v>39</v>
      </c>
      <c r="B780" s="983" t="str">
        <f t="shared" si="61"/>
        <v>Umlegungen</v>
      </c>
      <c r="C780" s="941" t="s">
        <v>688</v>
      </c>
      <c r="D780" s="941" t="s">
        <v>888</v>
      </c>
      <c r="E780" s="941" t="s">
        <v>1383</v>
      </c>
    </row>
    <row r="781" spans="1:5" x14ac:dyDescent="0.2">
      <c r="A781" s="2346">
        <v>39</v>
      </c>
      <c r="B781" s="983" t="str">
        <f t="shared" si="61"/>
        <v>Bewertungs-differenzen</v>
      </c>
      <c r="C781" s="941" t="s">
        <v>689</v>
      </c>
      <c r="D781" s="941" t="s">
        <v>1637</v>
      </c>
      <c r="E781" s="941" t="s">
        <v>1384</v>
      </c>
    </row>
    <row r="782" spans="1:5" x14ac:dyDescent="0.2">
      <c r="A782" s="2346">
        <v>39</v>
      </c>
      <c r="B782" s="983" t="str">
        <f t="shared" si="61"/>
        <v>veränderter Stichtag</v>
      </c>
      <c r="C782" s="941" t="s">
        <v>696</v>
      </c>
      <c r="D782" s="941" t="s">
        <v>887</v>
      </c>
      <c r="E782" s="941" t="s">
        <v>1385</v>
      </c>
    </row>
    <row r="783" spans="1:5" ht="25.5" x14ac:dyDescent="0.2">
      <c r="A783" s="2346">
        <v>39</v>
      </c>
      <c r="B783" s="983" t="str">
        <f t="shared" si="61"/>
        <v>marktnah
Best Estimate</v>
      </c>
      <c r="C783" s="941" t="s">
        <v>690</v>
      </c>
      <c r="D783" s="941" t="s">
        <v>1726</v>
      </c>
      <c r="E783" s="941" t="s">
        <v>1386</v>
      </c>
    </row>
    <row r="784" spans="1:5" x14ac:dyDescent="0.2">
      <c r="A784" s="2346">
        <v>39</v>
      </c>
      <c r="B784" s="983" t="str">
        <f t="shared" si="61"/>
        <v>Total Aktiven</v>
      </c>
      <c r="C784" s="941" t="s">
        <v>151</v>
      </c>
      <c r="D784" s="941" t="s">
        <v>857</v>
      </c>
      <c r="E784" s="941" t="s">
        <v>1201</v>
      </c>
    </row>
    <row r="785" spans="1:5" x14ac:dyDescent="0.2">
      <c r="A785" s="2346">
        <v>39</v>
      </c>
      <c r="B785" s="983" t="str">
        <f t="shared" si="61"/>
        <v>Total Fremdkapital</v>
      </c>
      <c r="C785" s="941" t="s">
        <v>197</v>
      </c>
      <c r="D785" s="941" t="s">
        <v>847</v>
      </c>
      <c r="E785" s="941" t="s">
        <v>1212</v>
      </c>
    </row>
    <row r="786" spans="1:5" x14ac:dyDescent="0.2">
      <c r="A786" s="2346">
        <v>39</v>
      </c>
      <c r="B786" s="983" t="str">
        <f t="shared" si="61"/>
        <v>Abzüge</v>
      </c>
      <c r="C786" s="941" t="s">
        <v>199</v>
      </c>
      <c r="D786" s="941" t="s">
        <v>396</v>
      </c>
      <c r="E786" s="941" t="s">
        <v>397</v>
      </c>
    </row>
    <row r="787" spans="1:5" x14ac:dyDescent="0.2">
      <c r="A787" s="2346">
        <v>39</v>
      </c>
      <c r="B787" s="983" t="str">
        <f t="shared" si="61"/>
        <v>Ergänzendes Kapital</v>
      </c>
      <c r="C787" s="941" t="s">
        <v>202</v>
      </c>
      <c r="D787" s="941" t="s">
        <v>407</v>
      </c>
      <c r="E787" s="941" t="s">
        <v>408</v>
      </c>
    </row>
    <row r="788" spans="1:5" ht="25.5" x14ac:dyDescent="0.2">
      <c r="A788" s="2346">
        <v>39</v>
      </c>
      <c r="B788" s="983" t="str">
        <f t="shared" si="61"/>
        <v>Zusätzliches Kernkapital</v>
      </c>
      <c r="C788" s="941" t="s">
        <v>238</v>
      </c>
      <c r="D788" s="941" t="s">
        <v>803</v>
      </c>
      <c r="E788" s="941" t="s">
        <v>1387</v>
      </c>
    </row>
    <row r="789" spans="1:5" x14ac:dyDescent="0.2">
      <c r="A789" s="2346">
        <v>39</v>
      </c>
      <c r="B789" s="983" t="str">
        <f t="shared" si="61"/>
        <v>VVG Anteile</v>
      </c>
      <c r="C789" s="941" t="s">
        <v>2068</v>
      </c>
      <c r="D789" s="941" t="s">
        <v>2069</v>
      </c>
      <c r="E789" s="941" t="s">
        <v>2070</v>
      </c>
    </row>
    <row r="790" spans="1:5" ht="25.5" x14ac:dyDescent="0.2">
      <c r="A790" s="2346">
        <v>39</v>
      </c>
      <c r="B790" s="983" t="str">
        <f t="shared" si="61"/>
        <v>Total (Eigenkapital bzw. Reserven)</v>
      </c>
      <c r="C790" s="941" t="s">
        <v>1642</v>
      </c>
      <c r="D790" s="941" t="s">
        <v>1643</v>
      </c>
      <c r="E790" s="941" t="s">
        <v>1388</v>
      </c>
    </row>
    <row r="791" spans="1:5" x14ac:dyDescent="0.2">
      <c r="A791" s="2346">
        <v>39</v>
      </c>
      <c r="B791" s="983" t="str">
        <f t="shared" si="61"/>
        <v>Vorhandene Reserven</v>
      </c>
      <c r="C791" s="941" t="s">
        <v>1494</v>
      </c>
      <c r="D791" s="941" t="s">
        <v>886</v>
      </c>
      <c r="E791" s="941" t="s">
        <v>1224</v>
      </c>
    </row>
    <row r="792" spans="1:5" ht="51" x14ac:dyDescent="0.2">
      <c r="A792" s="2346">
        <v>39</v>
      </c>
      <c r="B792" s="983" t="str">
        <f t="shared" si="61"/>
        <v>Vergleich der vorhandenen Reserven mit der Mindesthöhe der Reserven per 01.01.2025</v>
      </c>
      <c r="C792" s="941" t="str">
        <f>"Vergleich der vorhandenen Reserven mit der Mindesthöhe der Reserven per 01.01."&amp;current_year</f>
        <v>Vergleich der vorhandenen Reserven mit der Mindesthöhe der Reserven per 01.01.2025</v>
      </c>
      <c r="D792" s="941" t="str">
        <f>"Comparaison des réserves disponibles avec le montant minimal des réserves au 01.01."&amp;current_year</f>
        <v>Comparaison des réserves disponibles avec le montant minimal des réserves au 01.01.2025</v>
      </c>
      <c r="E792" s="941" t="str">
        <f>"Comparison of existing reserves with minimum level of reserves per 01.01."&amp;current_year</f>
        <v>Comparison of existing reserves with minimum level of reserves per 01.01.2025</v>
      </c>
    </row>
    <row r="793" spans="1:5" ht="38.25" x14ac:dyDescent="0.2">
      <c r="A793" s="2346">
        <v>39</v>
      </c>
      <c r="B793" s="983" t="str">
        <f t="shared" si="61"/>
        <v>Vorhandene Reserven - Mindesthöhe der Reserven</v>
      </c>
      <c r="C793" s="941" t="s">
        <v>1743</v>
      </c>
      <c r="D793" s="941" t="s">
        <v>885</v>
      </c>
      <c r="E793" s="941" t="s">
        <v>1389</v>
      </c>
    </row>
    <row r="794" spans="1:5" x14ac:dyDescent="0.2">
      <c r="A794" s="2346">
        <v>39</v>
      </c>
      <c r="B794" s="983" t="str">
        <f t="shared" si="61"/>
        <v>statutarisch</v>
      </c>
      <c r="C794" s="992" t="s">
        <v>687</v>
      </c>
      <c r="D794" s="941" t="s">
        <v>889</v>
      </c>
      <c r="E794" s="941" t="s">
        <v>1390</v>
      </c>
    </row>
    <row r="795" spans="1:5" x14ac:dyDescent="0.2">
      <c r="A795" s="2346">
        <v>39</v>
      </c>
      <c r="B795" s="983" t="str">
        <f t="shared" si="61"/>
        <v>Umlegungen</v>
      </c>
      <c r="C795" s="992" t="s">
        <v>688</v>
      </c>
      <c r="D795" s="941" t="s">
        <v>1177</v>
      </c>
      <c r="E795" s="941" t="s">
        <v>1391</v>
      </c>
    </row>
    <row r="796" spans="1:5" x14ac:dyDescent="0.2">
      <c r="A796" s="2346">
        <v>39</v>
      </c>
      <c r="B796" s="983" t="str">
        <f t="shared" si="61"/>
        <v>Bewertungs-differenzen</v>
      </c>
      <c r="C796" s="992" t="s">
        <v>689</v>
      </c>
      <c r="D796" s="941" t="s">
        <v>1637</v>
      </c>
      <c r="E796" s="941" t="s">
        <v>1384</v>
      </c>
    </row>
    <row r="797" spans="1:5" ht="25.5" x14ac:dyDescent="0.2">
      <c r="A797" s="2346">
        <v>39</v>
      </c>
      <c r="B797" s="983" t="str">
        <f t="shared" si="61"/>
        <v>veränderter Stichtag</v>
      </c>
      <c r="C797" s="992" t="s">
        <v>696</v>
      </c>
      <c r="D797" s="941" t="s">
        <v>1392</v>
      </c>
      <c r="E797" s="941" t="s">
        <v>1393</v>
      </c>
    </row>
    <row r="798" spans="1:5" ht="25.5" x14ac:dyDescent="0.2">
      <c r="A798" s="2346">
        <v>39</v>
      </c>
      <c r="B798" s="983" t="str">
        <f t="shared" si="61"/>
        <v>marktnah
Best Estimate</v>
      </c>
      <c r="C798" s="992" t="s">
        <v>690</v>
      </c>
      <c r="D798" s="941" t="s">
        <v>866</v>
      </c>
      <c r="E798" s="941" t="s">
        <v>1192</v>
      </c>
    </row>
    <row r="799" spans="1:5" ht="38.25" x14ac:dyDescent="0.2">
      <c r="A799" s="2346">
        <v>39</v>
      </c>
      <c r="B799" s="983" t="str">
        <f t="shared" si="61"/>
        <v>Vorhandene Reserven / Mindesthöhe der Reserven</v>
      </c>
      <c r="C799" s="941" t="s">
        <v>1744</v>
      </c>
      <c r="D799" s="941" t="s">
        <v>884</v>
      </c>
      <c r="E799" s="941" t="s">
        <v>1394</v>
      </c>
    </row>
    <row r="800" spans="1:5" x14ac:dyDescent="0.2">
      <c r="A800" s="2346">
        <v>39</v>
      </c>
      <c r="B800" s="983" t="str">
        <f t="shared" si="61"/>
        <v>Differenz</v>
      </c>
      <c r="C800" s="941" t="s">
        <v>883</v>
      </c>
      <c r="D800" s="941" t="s">
        <v>882</v>
      </c>
      <c r="E800" s="941" t="s">
        <v>735</v>
      </c>
    </row>
    <row r="801" spans="1:5" x14ac:dyDescent="0.2">
      <c r="A801" s="2346">
        <v>39</v>
      </c>
      <c r="B801" s="983" t="str">
        <f t="shared" si="61"/>
        <v>Ratio</v>
      </c>
      <c r="C801" s="941" t="s">
        <v>691</v>
      </c>
      <c r="D801" s="941" t="s">
        <v>691</v>
      </c>
      <c r="E801" s="941" t="s">
        <v>691</v>
      </c>
    </row>
    <row r="802" spans="1:5" ht="25.5" x14ac:dyDescent="0.2">
      <c r="A802" s="2346">
        <v>39</v>
      </c>
      <c r="B802" s="983" t="str">
        <f t="shared" si="61"/>
        <v>Addendum: Analytisches Modell und Szenarien</v>
      </c>
      <c r="C802" s="941" t="s">
        <v>1621</v>
      </c>
      <c r="D802" s="941" t="s">
        <v>1622</v>
      </c>
      <c r="E802" s="941" t="s">
        <v>718</v>
      </c>
    </row>
    <row r="803" spans="1:5" ht="38.25" x14ac:dyDescent="0.2">
      <c r="A803" s="2346">
        <v>39</v>
      </c>
      <c r="B803" s="983" t="str">
        <f t="shared" si="61"/>
        <v>Zusammenfassung des analytischen Modells und Aggregation mit Szenarien</v>
      </c>
      <c r="C803" s="993" t="s">
        <v>881</v>
      </c>
      <c r="D803" s="993" t="s">
        <v>880</v>
      </c>
      <c r="E803" s="993" t="s">
        <v>717</v>
      </c>
    </row>
    <row r="804" spans="1:5" x14ac:dyDescent="0.2">
      <c r="A804" s="2346">
        <v>39</v>
      </c>
      <c r="B804" s="983" t="str">
        <f t="shared" si="61"/>
        <v>Sicherheitsstufe</v>
      </c>
      <c r="C804" s="993" t="s">
        <v>879</v>
      </c>
      <c r="D804" s="993" t="s">
        <v>878</v>
      </c>
      <c r="E804" s="993" t="s">
        <v>109</v>
      </c>
    </row>
    <row r="805" spans="1:5" x14ac:dyDescent="0.2">
      <c r="A805" s="2346">
        <v>39</v>
      </c>
      <c r="B805" s="983" t="str">
        <f t="shared" si="61"/>
        <v>Art des Versicherers:</v>
      </c>
      <c r="C805" s="993" t="s">
        <v>877</v>
      </c>
      <c r="D805" s="993" t="s">
        <v>876</v>
      </c>
      <c r="E805" s="993" t="s">
        <v>114</v>
      </c>
    </row>
    <row r="806" spans="1:5" x14ac:dyDescent="0.2">
      <c r="A806" s="2346">
        <v>39</v>
      </c>
      <c r="B806" s="983" t="str">
        <f t="shared" si="61"/>
        <v>Standardabweichung</v>
      </c>
      <c r="C806" s="993" t="s">
        <v>64</v>
      </c>
      <c r="D806" s="993" t="s">
        <v>875</v>
      </c>
      <c r="E806" s="993" t="s">
        <v>16</v>
      </c>
    </row>
    <row r="807" spans="1:5" x14ac:dyDescent="0.2">
      <c r="A807" s="2346">
        <v>39</v>
      </c>
      <c r="B807" s="983" t="str">
        <f t="shared" si="61"/>
        <v>Versicherungsrisiko</v>
      </c>
      <c r="C807" s="993" t="s">
        <v>874</v>
      </c>
      <c r="D807" s="993" t="s">
        <v>873</v>
      </c>
      <c r="E807" s="993" t="s">
        <v>693</v>
      </c>
    </row>
    <row r="808" spans="1:5" x14ac:dyDescent="0.2">
      <c r="A808" s="2346">
        <v>39</v>
      </c>
      <c r="B808" s="983" t="str">
        <f t="shared" si="61"/>
        <v>Marktrisiko</v>
      </c>
      <c r="C808" s="993" t="s">
        <v>339</v>
      </c>
      <c r="D808" s="993" t="s">
        <v>419</v>
      </c>
      <c r="E808" s="993" t="s">
        <v>716</v>
      </c>
    </row>
    <row r="809" spans="1:5" x14ac:dyDescent="0.2">
      <c r="A809" s="2346">
        <v>39</v>
      </c>
      <c r="B809" s="983" t="str">
        <f t="shared" si="61"/>
        <v xml:space="preserve">Analytisches Modell </v>
      </c>
      <c r="C809" s="993" t="s">
        <v>872</v>
      </c>
      <c r="D809" s="993" t="s">
        <v>1566</v>
      </c>
      <c r="E809" s="993" t="s">
        <v>694</v>
      </c>
    </row>
    <row r="810" spans="1:5" x14ac:dyDescent="0.2">
      <c r="A810" s="2346">
        <v>39</v>
      </c>
      <c r="B810" s="983" t="str">
        <f>IF(VLOOKUP(A810,A810:E810,language+2)="",VLOOKUP(A810,A810:E810,3),VLOOKUP(A810,A810:E810,language+2))</f>
        <v>Aggregation mit Szenarien</v>
      </c>
      <c r="C810" s="993" t="s">
        <v>871</v>
      </c>
      <c r="D810" s="993" t="s">
        <v>870</v>
      </c>
      <c r="E810" s="993" t="s">
        <v>695</v>
      </c>
    </row>
    <row r="811" spans="1:5" x14ac:dyDescent="0.2">
      <c r="A811" s="2346">
        <v>39</v>
      </c>
      <c r="B811" s="983" t="str">
        <f>IF(VLOOKUP(A811,A811:E811,language+2)="",VLOOKUP(A811,A811:E811,3),VLOOKUP(A811,A811:E811,language+2))</f>
        <v>Ort und Datum:</v>
      </c>
      <c r="C811" s="993" t="s">
        <v>1798</v>
      </c>
      <c r="D811" s="993" t="s">
        <v>1800</v>
      </c>
      <c r="E811" s="993" t="s">
        <v>1802</v>
      </c>
    </row>
    <row r="812" spans="1:5" x14ac:dyDescent="0.2">
      <c r="A812" s="2346">
        <v>39</v>
      </c>
      <c r="B812" s="983" t="str">
        <f>IF(VLOOKUP(A812,A812:E812,language+2)="",VLOOKUP(A812,A812:E812,3),VLOOKUP(A812,A812:E812,language+2))</f>
        <v>Unterschrift:</v>
      </c>
      <c r="C812" s="993" t="s">
        <v>1799</v>
      </c>
      <c r="D812" s="993" t="s">
        <v>1801</v>
      </c>
      <c r="E812" s="993" t="s">
        <v>1801</v>
      </c>
    </row>
    <row r="813" spans="1:5" ht="38.25" x14ac:dyDescent="0.2">
      <c r="A813" s="2346">
        <v>42</v>
      </c>
      <c r="B813" s="983" t="str">
        <f t="shared" si="61"/>
        <v>Differenzen zwischen statutarischer und marktnaher Bewertung</v>
      </c>
      <c r="C813" s="993" t="s">
        <v>125</v>
      </c>
      <c r="D813" s="993" t="s">
        <v>869</v>
      </c>
      <c r="E813" s="993" t="s">
        <v>1395</v>
      </c>
    </row>
    <row r="814" spans="1:5" ht="38.25" x14ac:dyDescent="0.2">
      <c r="A814" s="2346">
        <v>42</v>
      </c>
      <c r="B814" s="983" t="str">
        <f t="shared" si="61"/>
        <v>Totale Kontengruppen/Zusammenfassungen (geschützt)</v>
      </c>
      <c r="C814" s="2345" t="s">
        <v>118</v>
      </c>
      <c r="D814" s="993" t="s">
        <v>838</v>
      </c>
      <c r="E814" s="993" t="s">
        <v>1189</v>
      </c>
    </row>
    <row r="815" spans="1:5" ht="25.5" x14ac:dyDescent="0.2">
      <c r="A815" s="2346">
        <v>42</v>
      </c>
      <c r="B815" s="983" t="str">
        <f t="shared" si="61"/>
        <v>Totale Klassen (geschützt)</v>
      </c>
      <c r="C815" s="947" t="s">
        <v>119</v>
      </c>
      <c r="D815" s="941" t="s">
        <v>837</v>
      </c>
      <c r="E815" s="941" t="s">
        <v>1190</v>
      </c>
    </row>
    <row r="816" spans="1:5" x14ac:dyDescent="0.2">
      <c r="A816" s="2346">
        <v>42</v>
      </c>
      <c r="B816" s="983" t="str">
        <f t="shared" si="61"/>
        <v>Input</v>
      </c>
      <c r="C816" s="946" t="s">
        <v>53</v>
      </c>
      <c r="D816" s="941" t="s">
        <v>53</v>
      </c>
      <c r="E816" s="941" t="s">
        <v>53</v>
      </c>
    </row>
    <row r="817" spans="1:5" x14ac:dyDescent="0.2">
      <c r="A817" s="2346">
        <v>42</v>
      </c>
      <c r="B817" s="983" t="str">
        <f t="shared" si="61"/>
        <v>Gerechnet (geschützt)</v>
      </c>
      <c r="C817" s="947" t="s">
        <v>120</v>
      </c>
      <c r="D817" s="946" t="s">
        <v>836</v>
      </c>
      <c r="E817" s="941" t="s">
        <v>1191</v>
      </c>
    </row>
    <row r="818" spans="1:5" x14ac:dyDescent="0.2">
      <c r="A818" s="2346">
        <v>42</v>
      </c>
      <c r="B818" s="983" t="str">
        <f t="shared" si="61"/>
        <v>Statutarischer Bilanzwert</v>
      </c>
      <c r="C818" s="946" t="s">
        <v>35</v>
      </c>
      <c r="D818" s="941" t="s">
        <v>868</v>
      </c>
      <c r="E818" s="941" t="s">
        <v>1396</v>
      </c>
    </row>
    <row r="819" spans="1:5" ht="25.5" x14ac:dyDescent="0.2">
      <c r="A819" s="2346">
        <v>42</v>
      </c>
      <c r="B819" s="983" t="str">
        <f t="shared" si="61"/>
        <v>Umlegungen
REF</v>
      </c>
      <c r="C819" s="946" t="s">
        <v>1686</v>
      </c>
      <c r="D819" s="946" t="s">
        <v>1687</v>
      </c>
      <c r="E819" s="946" t="s">
        <v>1689</v>
      </c>
    </row>
    <row r="820" spans="1:5" ht="38.25" x14ac:dyDescent="0.2">
      <c r="A820" s="2346">
        <v>42</v>
      </c>
      <c r="B820" s="983" t="str">
        <f t="shared" si="61"/>
        <v>(Hier Zeilenreferenz angeben, auf die umgelegt werden soll.)</v>
      </c>
      <c r="C820" s="946" t="s">
        <v>1708</v>
      </c>
      <c r="D820" s="946" t="s">
        <v>1688</v>
      </c>
      <c r="E820" s="946" t="s">
        <v>1690</v>
      </c>
    </row>
    <row r="821" spans="1:5" ht="25.5" x14ac:dyDescent="0.2">
      <c r="A821" s="2346">
        <v>42</v>
      </c>
      <c r="B821" s="983" t="str">
        <f t="shared" si="61"/>
        <v>Umlegungen
WERT</v>
      </c>
      <c r="C821" s="946" t="s">
        <v>1691</v>
      </c>
      <c r="D821" s="946" t="s">
        <v>1692</v>
      </c>
      <c r="E821" s="946" t="s">
        <v>1694</v>
      </c>
    </row>
    <row r="822" spans="1:5" ht="25.5" x14ac:dyDescent="0.2">
      <c r="A822" s="2346">
        <v>42</v>
      </c>
      <c r="B822" s="983" t="str">
        <f t="shared" si="61"/>
        <v>(umzulegender Anteil von Spalte F)</v>
      </c>
      <c r="C822" s="946" t="s">
        <v>1709</v>
      </c>
      <c r="D822" s="946" t="s">
        <v>1693</v>
      </c>
      <c r="E822" s="946" t="s">
        <v>1695</v>
      </c>
    </row>
    <row r="823" spans="1:5" ht="25.5" x14ac:dyDescent="0.2">
      <c r="A823" s="2346">
        <v>42</v>
      </c>
      <c r="B823" s="983" t="str">
        <f t="shared" si="61"/>
        <v xml:space="preserve">Zwischenspalte
</v>
      </c>
      <c r="C823" s="946" t="s">
        <v>1178</v>
      </c>
      <c r="D823" s="946" t="s">
        <v>1179</v>
      </c>
      <c r="E823" s="941" t="s">
        <v>1397</v>
      </c>
    </row>
    <row r="824" spans="1:5" x14ac:dyDescent="0.2">
      <c r="A824" s="2346">
        <v>42</v>
      </c>
      <c r="B824" s="983" t="str">
        <f t="shared" si="61"/>
        <v>Weitere Umlegungen</v>
      </c>
      <c r="C824" s="946" t="s">
        <v>1696</v>
      </c>
      <c r="D824" s="946" t="s">
        <v>1697</v>
      </c>
      <c r="E824" s="946" t="s">
        <v>1698</v>
      </c>
    </row>
    <row r="825" spans="1:5" ht="25.5" x14ac:dyDescent="0.2">
      <c r="A825" s="2346">
        <v>42</v>
      </c>
      <c r="B825" s="983" t="str">
        <f t="shared" si="61"/>
        <v>(Müssen sich gegenseitig kompensieren.)</v>
      </c>
      <c r="C825" s="946" t="s">
        <v>1699</v>
      </c>
      <c r="D825" s="946" t="s">
        <v>1700</v>
      </c>
      <c r="E825" s="946" t="s">
        <v>1701</v>
      </c>
    </row>
    <row r="826" spans="1:5" ht="25.5" x14ac:dyDescent="0.2">
      <c r="A826" s="2346">
        <v>42</v>
      </c>
      <c r="B826" s="983" t="str">
        <f t="shared" si="61"/>
        <v>Statutarischer Bilanzwert nach Umlegungen</v>
      </c>
      <c r="C826" s="946" t="s">
        <v>42</v>
      </c>
      <c r="D826" s="941" t="s">
        <v>867</v>
      </c>
      <c r="E826" s="941" t="s">
        <v>1398</v>
      </c>
    </row>
    <row r="827" spans="1:5" ht="38.25" x14ac:dyDescent="0.2">
      <c r="A827" s="2346">
        <v>42</v>
      </c>
      <c r="B827" s="983" t="str">
        <f t="shared" si="61"/>
        <v>Bewertungs-differenzen zwischen statutarischem und marktnahem Wert</v>
      </c>
      <c r="C827" s="947" t="s">
        <v>1710</v>
      </c>
      <c r="D827" s="941" t="s">
        <v>1660</v>
      </c>
      <c r="E827" s="941" t="s">
        <v>1399</v>
      </c>
    </row>
    <row r="828" spans="1:5" ht="25.5" x14ac:dyDescent="0.2">
      <c r="A828" s="2346">
        <v>42</v>
      </c>
      <c r="B828" s="983" t="str">
        <f t="shared" si="61"/>
        <v>Marktnaher Wert resp. 
Best Estimate</v>
      </c>
      <c r="C828" s="947" t="s">
        <v>319</v>
      </c>
      <c r="D828" s="941" t="s">
        <v>866</v>
      </c>
      <c r="E828" s="941" t="s">
        <v>1192</v>
      </c>
    </row>
    <row r="829" spans="1:5" x14ac:dyDescent="0.2">
      <c r="A829" s="2346">
        <v>42</v>
      </c>
      <c r="B829" s="983" t="str">
        <f t="shared" si="61"/>
        <v>Kapitalanlagen</v>
      </c>
      <c r="C829" s="946" t="s">
        <v>122</v>
      </c>
      <c r="D829" s="941" t="s">
        <v>865</v>
      </c>
      <c r="E829" s="941" t="s">
        <v>376</v>
      </c>
    </row>
    <row r="830" spans="1:5" x14ac:dyDescent="0.2">
      <c r="A830" s="2346">
        <v>42</v>
      </c>
      <c r="B830" s="983" t="str">
        <f t="shared" si="61"/>
        <v>Grundstücke und Bauten</v>
      </c>
      <c r="C830" s="946" t="s">
        <v>123</v>
      </c>
      <c r="D830" s="941" t="s">
        <v>377</v>
      </c>
      <c r="E830" s="946" t="s">
        <v>1400</v>
      </c>
    </row>
    <row r="831" spans="1:5" x14ac:dyDescent="0.2">
      <c r="A831" s="2346">
        <v>42</v>
      </c>
      <c r="B831" s="983" t="str">
        <f t="shared" si="61"/>
        <v>Obligationen</v>
      </c>
      <c r="C831" s="946" t="s">
        <v>126</v>
      </c>
      <c r="D831" s="941" t="s">
        <v>378</v>
      </c>
      <c r="E831" s="946" t="s">
        <v>379</v>
      </c>
    </row>
    <row r="832" spans="1:5" ht="25.5" x14ac:dyDescent="0.2">
      <c r="A832" s="2346">
        <v>42</v>
      </c>
      <c r="B832" s="983" t="str">
        <f t="shared" si="61"/>
        <v>Aktien und ähnliche Anlagen</v>
      </c>
      <c r="C832" s="946" t="s">
        <v>127</v>
      </c>
      <c r="D832" s="941" t="s">
        <v>1762</v>
      </c>
      <c r="E832" s="946" t="s">
        <v>380</v>
      </c>
    </row>
    <row r="833" spans="1:5" ht="25.5" x14ac:dyDescent="0.2">
      <c r="A833" s="2346">
        <v>42</v>
      </c>
      <c r="B833" s="983" t="str">
        <f t="shared" si="61"/>
        <v>Anteile an Anlagefonds</v>
      </c>
      <c r="C833" s="946" t="s">
        <v>128</v>
      </c>
      <c r="D833" s="941" t="s">
        <v>864</v>
      </c>
      <c r="E833" s="946" t="s">
        <v>1401</v>
      </c>
    </row>
    <row r="834" spans="1:5" ht="38.25" x14ac:dyDescent="0.2">
      <c r="A834" s="2346">
        <v>42</v>
      </c>
      <c r="B834" s="983" t="str">
        <f t="shared" si="61"/>
        <v>Derivative Finanzinstrumente (Guthaben)</v>
      </c>
      <c r="C834" s="946" t="s">
        <v>644</v>
      </c>
      <c r="D834" s="941" t="s">
        <v>863</v>
      </c>
      <c r="E834" s="946" t="s">
        <v>1193</v>
      </c>
    </row>
    <row r="835" spans="1:5" x14ac:dyDescent="0.2">
      <c r="A835" s="2346">
        <v>42</v>
      </c>
      <c r="B835" s="983" t="str">
        <f t="shared" si="61"/>
        <v>Liquide Mittel</v>
      </c>
      <c r="C835" s="946" t="s">
        <v>642</v>
      </c>
      <c r="D835" s="941" t="s">
        <v>385</v>
      </c>
      <c r="E835" s="946" t="s">
        <v>1194</v>
      </c>
    </row>
    <row r="836" spans="1:5" ht="63.75" x14ac:dyDescent="0.2">
      <c r="A836" s="2346">
        <v>42</v>
      </c>
      <c r="B836" s="983" t="str">
        <f t="shared" si="61"/>
        <v>Anlagen in Institutionen, die der Durchführung der sozialen Krankenversicherung dienen</v>
      </c>
      <c r="C836" s="946" t="s">
        <v>643</v>
      </c>
      <c r="D836" s="940" t="s">
        <v>1623</v>
      </c>
      <c r="E836" s="946" t="s">
        <v>1402</v>
      </c>
    </row>
    <row r="837" spans="1:5" ht="51" x14ac:dyDescent="0.2">
      <c r="A837" s="2346">
        <v>42</v>
      </c>
      <c r="B837" s="983" t="str">
        <f t="shared" si="61"/>
        <v>Übrige Kapitalanlagen (Latente Steuern, Aktiven aus Vorsorgeplänen)</v>
      </c>
      <c r="C837" s="946" t="s">
        <v>645</v>
      </c>
      <c r="D837" s="940" t="s">
        <v>862</v>
      </c>
      <c r="E837" s="946" t="s">
        <v>1403</v>
      </c>
    </row>
    <row r="838" spans="1:5" ht="25.5" x14ac:dyDescent="0.2">
      <c r="A838" s="2346">
        <v>42</v>
      </c>
      <c r="B838" s="983" t="str">
        <f t="shared" si="61"/>
        <v>Total Kapitalanlagen</v>
      </c>
      <c r="C838" s="947" t="s">
        <v>140</v>
      </c>
      <c r="D838" s="940" t="s">
        <v>861</v>
      </c>
      <c r="E838" s="947" t="s">
        <v>1197</v>
      </c>
    </row>
    <row r="839" spans="1:5" x14ac:dyDescent="0.2">
      <c r="A839" s="2346">
        <v>42</v>
      </c>
      <c r="B839" s="983" t="str">
        <f t="shared" si="61"/>
        <v>Übrige Aktiven</v>
      </c>
      <c r="C839" s="946" t="s">
        <v>143</v>
      </c>
      <c r="D839" s="937" t="s">
        <v>383</v>
      </c>
      <c r="E839" s="941" t="s">
        <v>384</v>
      </c>
    </row>
    <row r="840" spans="1:5" ht="51" x14ac:dyDescent="0.2">
      <c r="A840" s="2346">
        <v>42</v>
      </c>
      <c r="B840" s="983" t="str">
        <f t="shared" ref="B840:B903" si="62">IF(VLOOKUP(A840,A840:E840,language+2)="",VLOOKUP(A840,A840:E840,3),VLOOKUP(A840,A840:E840,language+2))</f>
        <v>Übriges Anlagevermögen (Immaterielle Anlagen, Sachanlagen)</v>
      </c>
      <c r="C840" s="946" t="s">
        <v>647</v>
      </c>
      <c r="D840" s="940" t="s">
        <v>860</v>
      </c>
      <c r="E840" s="946" t="s">
        <v>1198</v>
      </c>
    </row>
    <row r="841" spans="1:5" x14ac:dyDescent="0.2">
      <c r="A841" s="2346">
        <v>42</v>
      </c>
      <c r="B841" s="983" t="str">
        <f t="shared" si="62"/>
        <v>Umlaufvermögen</v>
      </c>
      <c r="C841" s="946" t="s">
        <v>646</v>
      </c>
      <c r="D841" s="940" t="s">
        <v>859</v>
      </c>
      <c r="E841" s="946" t="s">
        <v>1199</v>
      </c>
    </row>
    <row r="842" spans="1:5" x14ac:dyDescent="0.2">
      <c r="A842" s="2346">
        <v>42</v>
      </c>
      <c r="B842" s="983" t="str">
        <f t="shared" si="62"/>
        <v>Total übrige Aktiven</v>
      </c>
      <c r="C842" s="946" t="s">
        <v>150</v>
      </c>
      <c r="D842" s="941" t="s">
        <v>858</v>
      </c>
      <c r="E842" s="946" t="s">
        <v>1200</v>
      </c>
    </row>
    <row r="843" spans="1:5" x14ac:dyDescent="0.2">
      <c r="A843" s="2346">
        <v>42</v>
      </c>
      <c r="B843" s="983" t="str">
        <f t="shared" si="62"/>
        <v>Total Aktiven</v>
      </c>
      <c r="C843" s="946" t="s">
        <v>151</v>
      </c>
      <c r="D843" s="941" t="s">
        <v>857</v>
      </c>
      <c r="E843" s="941" t="s">
        <v>1201</v>
      </c>
    </row>
    <row r="844" spans="1:5" ht="25.5" x14ac:dyDescent="0.2">
      <c r="A844" s="2346">
        <v>42</v>
      </c>
      <c r="B844" s="983" t="str">
        <f t="shared" si="62"/>
        <v>dem Geschäft nach KVG zugeordnet</v>
      </c>
      <c r="C844" s="947" t="s">
        <v>639</v>
      </c>
      <c r="D844" s="941" t="s">
        <v>856</v>
      </c>
      <c r="E844" s="941" t="s">
        <v>1482</v>
      </c>
    </row>
    <row r="845" spans="1:5" ht="25.5" x14ac:dyDescent="0.2">
      <c r="A845" s="2346">
        <v>42</v>
      </c>
      <c r="B845" s="983" t="str">
        <f t="shared" si="62"/>
        <v>dem Geschäft nach VVG zugeordnet</v>
      </c>
      <c r="C845" s="947" t="s">
        <v>640</v>
      </c>
      <c r="D845" s="941" t="s">
        <v>798</v>
      </c>
      <c r="E845" s="941" t="s">
        <v>1483</v>
      </c>
    </row>
    <row r="846" spans="1:5" ht="25.5" x14ac:dyDescent="0.2">
      <c r="A846" s="2346">
        <v>42</v>
      </c>
      <c r="B846" s="983" t="str">
        <f t="shared" si="62"/>
        <v>dem Geschäft nach UVG zugeordnet</v>
      </c>
      <c r="C846" s="947" t="s">
        <v>641</v>
      </c>
      <c r="D846" s="941" t="s">
        <v>797</v>
      </c>
      <c r="E846" s="941" t="s">
        <v>1484</v>
      </c>
    </row>
    <row r="847" spans="1:5" ht="25.5" x14ac:dyDescent="0.2">
      <c r="A847" s="2346">
        <v>42</v>
      </c>
      <c r="B847" s="983" t="str">
        <f t="shared" si="62"/>
        <v>Versicherungstechnische Rückstellungen (netto)</v>
      </c>
      <c r="C847" s="946" t="s">
        <v>154</v>
      </c>
      <c r="D847" s="941" t="s">
        <v>855</v>
      </c>
      <c r="E847" s="941" t="s">
        <v>386</v>
      </c>
    </row>
    <row r="848" spans="1:5" x14ac:dyDescent="0.2">
      <c r="A848" s="2346">
        <v>42</v>
      </c>
      <c r="B848" s="983" t="str">
        <f t="shared" si="62"/>
        <v>Leistungsrückstellungen</v>
      </c>
      <c r="C848" s="946" t="s">
        <v>648</v>
      </c>
      <c r="D848" s="937" t="s">
        <v>854</v>
      </c>
      <c r="E848" s="946" t="s">
        <v>1404</v>
      </c>
    </row>
    <row r="849" spans="1:5" ht="25.5" x14ac:dyDescent="0.2">
      <c r="A849" s="2346">
        <v>42</v>
      </c>
      <c r="B849" s="983" t="str">
        <f t="shared" si="62"/>
        <v>Alterungsrückstellungen und Deckungskapitalien</v>
      </c>
      <c r="C849" s="946" t="s">
        <v>649</v>
      </c>
      <c r="D849" s="937" t="s">
        <v>1639</v>
      </c>
      <c r="E849" s="946" t="s">
        <v>1739</v>
      </c>
    </row>
    <row r="850" spans="1:5" ht="25.5" x14ac:dyDescent="0.2">
      <c r="A850" s="2346">
        <v>42</v>
      </c>
      <c r="B850" s="983" t="str">
        <f t="shared" si="62"/>
        <v>Sonstige technische Rückstellungen</v>
      </c>
      <c r="C850" s="946" t="s">
        <v>745</v>
      </c>
      <c r="D850" s="937" t="s">
        <v>853</v>
      </c>
      <c r="E850" s="946" t="s">
        <v>1203</v>
      </c>
    </row>
    <row r="851" spans="1:5" ht="25.5" x14ac:dyDescent="0.2">
      <c r="A851" s="2346">
        <v>42</v>
      </c>
      <c r="B851" s="983" t="str">
        <f t="shared" si="62"/>
        <v>Schwankungs- und Sicherheitsrückstellungen</v>
      </c>
      <c r="C851" s="946" t="s">
        <v>654</v>
      </c>
      <c r="D851" s="946" t="s">
        <v>1640</v>
      </c>
      <c r="E851" s="946" t="s">
        <v>1204</v>
      </c>
    </row>
    <row r="852" spans="1:5" ht="38.25" x14ac:dyDescent="0.2">
      <c r="A852" s="2346">
        <v>42</v>
      </c>
      <c r="B852" s="983" t="str">
        <f t="shared" si="62"/>
        <v>Total versicherungstechnische Rückstellungen</v>
      </c>
      <c r="C852" s="946" t="s">
        <v>659</v>
      </c>
      <c r="D852" s="940" t="s">
        <v>852</v>
      </c>
      <c r="E852" s="946" t="s">
        <v>1205</v>
      </c>
    </row>
    <row r="853" spans="1:5" x14ac:dyDescent="0.2">
      <c r="A853" s="2346">
        <v>42</v>
      </c>
      <c r="B853" s="983" t="str">
        <f t="shared" si="62"/>
        <v>Übriges Fremdkapital</v>
      </c>
      <c r="C853" s="946" t="s">
        <v>655</v>
      </c>
      <c r="D853" s="941" t="s">
        <v>851</v>
      </c>
      <c r="E853" s="993" t="s">
        <v>1207</v>
      </c>
    </row>
    <row r="854" spans="1:5" ht="25.5" x14ac:dyDescent="0.2">
      <c r="A854" s="2346">
        <v>42</v>
      </c>
      <c r="B854" s="983" t="str">
        <f t="shared" si="62"/>
        <v>Nichtversicherungstechnische Rückstellungen</v>
      </c>
      <c r="C854" s="946" t="s">
        <v>365</v>
      </c>
      <c r="D854" s="940" t="s">
        <v>850</v>
      </c>
      <c r="E854" s="946" t="s">
        <v>1208</v>
      </c>
    </row>
    <row r="855" spans="1:5" ht="25.5" x14ac:dyDescent="0.2">
      <c r="A855" s="2346">
        <v>42</v>
      </c>
      <c r="B855" s="983" t="str">
        <f t="shared" si="62"/>
        <v>Rückstellungen für Risiken in den Kapitalanlagen</v>
      </c>
      <c r="C855" s="946" t="s">
        <v>656</v>
      </c>
      <c r="D855" s="937" t="s">
        <v>849</v>
      </c>
      <c r="E855" s="946" t="s">
        <v>1209</v>
      </c>
    </row>
    <row r="856" spans="1:5" ht="38.25" x14ac:dyDescent="0.2">
      <c r="A856" s="2346">
        <v>42</v>
      </c>
      <c r="B856" s="983" t="str">
        <f t="shared" si="62"/>
        <v>Übrige Verbindlichkeiten (inkl. Rechnungsabgrenzungen)</v>
      </c>
      <c r="C856" s="946" t="s">
        <v>658</v>
      </c>
      <c r="D856" s="941" t="s">
        <v>1624</v>
      </c>
      <c r="E856" s="946" t="s">
        <v>1405</v>
      </c>
    </row>
    <row r="857" spans="1:5" x14ac:dyDescent="0.2">
      <c r="A857" s="2346">
        <v>42</v>
      </c>
      <c r="B857" s="983" t="str">
        <f t="shared" si="62"/>
        <v>Total übrige Passiven</v>
      </c>
      <c r="C857" s="946" t="s">
        <v>657</v>
      </c>
      <c r="D857" s="935" t="s">
        <v>848</v>
      </c>
      <c r="E857" s="946" t="s">
        <v>1200</v>
      </c>
    </row>
    <row r="858" spans="1:5" x14ac:dyDescent="0.2">
      <c r="A858" s="2346">
        <v>42</v>
      </c>
      <c r="B858" s="983" t="str">
        <f t="shared" si="62"/>
        <v>Total Fremdkapital</v>
      </c>
      <c r="C858" s="946" t="s">
        <v>197</v>
      </c>
      <c r="D858" s="937" t="s">
        <v>847</v>
      </c>
      <c r="E858" s="993" t="s">
        <v>1212</v>
      </c>
    </row>
    <row r="859" spans="1:5" ht="25.5" x14ac:dyDescent="0.2">
      <c r="A859" s="2346">
        <v>42</v>
      </c>
      <c r="B859" s="983" t="str">
        <f t="shared" si="62"/>
        <v>Differenz zwischen Aktiven und Fremdkapital</v>
      </c>
      <c r="C859" s="946" t="s">
        <v>660</v>
      </c>
      <c r="D859" s="937" t="s">
        <v>846</v>
      </c>
      <c r="E859" s="941" t="s">
        <v>1213</v>
      </c>
    </row>
    <row r="860" spans="1:5" ht="25.5" x14ac:dyDescent="0.2">
      <c r="A860" s="2346">
        <v>42</v>
      </c>
      <c r="B860" s="983" t="str">
        <f t="shared" si="62"/>
        <v>Obligatorische Krankenpflegeversicherung</v>
      </c>
      <c r="C860" s="947" t="s">
        <v>650</v>
      </c>
      <c r="D860" s="937" t="s">
        <v>845</v>
      </c>
      <c r="E860" s="941" t="s">
        <v>1334</v>
      </c>
    </row>
    <row r="861" spans="1:5" ht="38.25" x14ac:dyDescent="0.2">
      <c r="A861" s="2346">
        <v>42</v>
      </c>
      <c r="B861" s="983" t="str">
        <f t="shared" si="62"/>
        <v>Einzel-Taggeldversicherung nach KVG</v>
      </c>
      <c r="C861" s="947" t="s">
        <v>651</v>
      </c>
      <c r="D861" s="937" t="s">
        <v>844</v>
      </c>
      <c r="E861" s="941" t="s">
        <v>1485</v>
      </c>
    </row>
    <row r="862" spans="1:5" ht="38.25" x14ac:dyDescent="0.2">
      <c r="A862" s="2346">
        <v>42</v>
      </c>
      <c r="B862" s="983" t="str">
        <f t="shared" si="62"/>
        <v>Kollektiv-Taggeldversicherung nach KVG</v>
      </c>
      <c r="C862" s="947" t="s">
        <v>652</v>
      </c>
      <c r="D862" s="937" t="s">
        <v>843</v>
      </c>
      <c r="E862" s="941" t="s">
        <v>1486</v>
      </c>
    </row>
    <row r="863" spans="1:5" ht="25.5" x14ac:dyDescent="0.2">
      <c r="A863" s="2346">
        <v>42</v>
      </c>
      <c r="B863" s="983" t="str">
        <f t="shared" si="62"/>
        <v>Aktive Rückversicherung nach KVG</v>
      </c>
      <c r="C863" s="946" t="s">
        <v>653</v>
      </c>
      <c r="D863" s="937" t="s">
        <v>842</v>
      </c>
      <c r="E863" s="941" t="s">
        <v>1487</v>
      </c>
    </row>
    <row r="864" spans="1:5" ht="25.5" x14ac:dyDescent="0.2">
      <c r="A864" s="2346">
        <v>42</v>
      </c>
      <c r="B864" s="983" t="str">
        <f t="shared" si="62"/>
        <v>dem Geschäft nach VVG zugeordnet</v>
      </c>
      <c r="C864" s="947" t="s">
        <v>640</v>
      </c>
      <c r="D864" s="937" t="s">
        <v>841</v>
      </c>
      <c r="E864" s="941" t="s">
        <v>1483</v>
      </c>
    </row>
    <row r="865" spans="1:5" ht="25.5" x14ac:dyDescent="0.2">
      <c r="A865" s="2346">
        <v>42</v>
      </c>
      <c r="B865" s="983" t="str">
        <f t="shared" si="62"/>
        <v>dem Geschäft nach UVG zugeordnet</v>
      </c>
      <c r="C865" s="947" t="s">
        <v>641</v>
      </c>
      <c r="D865" s="937" t="s">
        <v>840</v>
      </c>
      <c r="E865" s="941" t="s">
        <v>1484</v>
      </c>
    </row>
    <row r="866" spans="1:5" x14ac:dyDescent="0.2">
      <c r="A866" s="2346">
        <v>42</v>
      </c>
      <c r="B866" s="983" t="str">
        <f t="shared" si="62"/>
        <v>Kontrollzeile</v>
      </c>
      <c r="C866" s="946" t="s">
        <v>1702</v>
      </c>
      <c r="D866" s="941" t="s">
        <v>1703</v>
      </c>
      <c r="E866" s="941" t="s">
        <v>1704</v>
      </c>
    </row>
    <row r="867" spans="1:5" ht="38.25" x14ac:dyDescent="0.2">
      <c r="A867" s="2346">
        <v>42</v>
      </c>
      <c r="B867" s="983" t="str">
        <f t="shared" si="62"/>
        <v>Aktiventotal - Passiventotal = Eigenkapital</v>
      </c>
      <c r="C867" s="946" t="s">
        <v>1706</v>
      </c>
      <c r="D867" s="941" t="s">
        <v>1705</v>
      </c>
      <c r="E867" s="946" t="s">
        <v>1707</v>
      </c>
    </row>
    <row r="868" spans="1:5" ht="25.5" x14ac:dyDescent="0.2">
      <c r="A868" s="2346">
        <v>42</v>
      </c>
      <c r="B868" s="983" t="str">
        <f t="shared" si="62"/>
        <v>Aufteilung des Eigenkapitals</v>
      </c>
      <c r="C868" s="946" t="s">
        <v>714</v>
      </c>
      <c r="D868" s="941" t="s">
        <v>839</v>
      </c>
      <c r="E868" s="941" t="s">
        <v>1406</v>
      </c>
    </row>
    <row r="869" spans="1:5" ht="25.5" x14ac:dyDescent="0.2">
      <c r="A869" s="2346">
        <v>43</v>
      </c>
      <c r="B869" s="983" t="str">
        <f t="shared" si="62"/>
        <v>Aufgliederung der vorhandenen Reserven</v>
      </c>
      <c r="C869" s="941" t="s">
        <v>1680</v>
      </c>
      <c r="D869" s="941" t="s">
        <v>1681</v>
      </c>
      <c r="E869" s="941" t="s">
        <v>1682</v>
      </c>
    </row>
    <row r="870" spans="1:5" ht="38.25" x14ac:dyDescent="0.2">
      <c r="A870" s="2346">
        <v>43</v>
      </c>
      <c r="B870" s="983" t="str">
        <f t="shared" si="62"/>
        <v>Totale Kontengruppen/Zusammenfassungen (geschützt)</v>
      </c>
      <c r="C870" s="947" t="s">
        <v>118</v>
      </c>
      <c r="D870" s="941" t="s">
        <v>838</v>
      </c>
      <c r="E870" s="941" t="s">
        <v>1189</v>
      </c>
    </row>
    <row r="871" spans="1:5" ht="25.5" x14ac:dyDescent="0.2">
      <c r="A871" s="2346">
        <v>43</v>
      </c>
      <c r="B871" s="983" t="str">
        <f t="shared" si="62"/>
        <v>Totale Klassen (geschützt)</v>
      </c>
      <c r="C871" s="947" t="s">
        <v>119</v>
      </c>
      <c r="D871" s="941" t="s">
        <v>837</v>
      </c>
      <c r="E871" s="941" t="s">
        <v>1190</v>
      </c>
    </row>
    <row r="872" spans="1:5" x14ac:dyDescent="0.2">
      <c r="A872" s="2346">
        <v>43</v>
      </c>
      <c r="B872" s="983" t="str">
        <f t="shared" si="62"/>
        <v>Input</v>
      </c>
      <c r="C872" s="946" t="s">
        <v>53</v>
      </c>
      <c r="D872" s="941" t="s">
        <v>53</v>
      </c>
      <c r="E872" s="941" t="s">
        <v>53</v>
      </c>
    </row>
    <row r="873" spans="1:5" x14ac:dyDescent="0.2">
      <c r="A873" s="2346">
        <v>43</v>
      </c>
      <c r="B873" s="983" t="str">
        <f t="shared" si="62"/>
        <v>Gerechnet (geschützt)</v>
      </c>
      <c r="C873" s="947" t="s">
        <v>120</v>
      </c>
      <c r="D873" s="946" t="s">
        <v>836</v>
      </c>
      <c r="E873" s="941" t="s">
        <v>1191</v>
      </c>
    </row>
    <row r="874" spans="1:5" x14ac:dyDescent="0.2">
      <c r="A874" s="2346">
        <v>43</v>
      </c>
      <c r="B874" s="983" t="str">
        <f t="shared" si="62"/>
        <v>Betrag</v>
      </c>
      <c r="C874" s="946" t="s">
        <v>183</v>
      </c>
      <c r="D874" s="941" t="s">
        <v>796</v>
      </c>
      <c r="E874" s="941" t="s">
        <v>1216</v>
      </c>
    </row>
    <row r="875" spans="1:5" ht="25.5" x14ac:dyDescent="0.2">
      <c r="A875" s="2346">
        <v>43</v>
      </c>
      <c r="B875" s="983" t="str">
        <f t="shared" si="62"/>
        <v>Differenz zwischen Aktiven und Fremdkapital</v>
      </c>
      <c r="C875" s="947" t="s">
        <v>660</v>
      </c>
      <c r="D875" s="941" t="s">
        <v>835</v>
      </c>
      <c r="E875" s="941" t="s">
        <v>1213</v>
      </c>
    </row>
    <row r="876" spans="1:5" x14ac:dyDescent="0.2">
      <c r="A876" s="2346">
        <v>43</v>
      </c>
      <c r="B876" s="983" t="str">
        <f t="shared" si="62"/>
        <v>Kernkapital</v>
      </c>
      <c r="C876" s="947" t="s">
        <v>184</v>
      </c>
      <c r="D876" s="941" t="s">
        <v>804</v>
      </c>
      <c r="E876" s="941" t="s">
        <v>1407</v>
      </c>
    </row>
    <row r="877" spans="1:5" x14ac:dyDescent="0.2">
      <c r="A877" s="2346">
        <v>43</v>
      </c>
      <c r="B877" s="983" t="str">
        <f t="shared" si="62"/>
        <v>Vorhandene Reserven</v>
      </c>
      <c r="C877" s="946" t="s">
        <v>1494</v>
      </c>
      <c r="D877" s="941" t="s">
        <v>886</v>
      </c>
      <c r="E877" s="941" t="s">
        <v>1224</v>
      </c>
    </row>
    <row r="878" spans="1:5" x14ac:dyDescent="0.2">
      <c r="A878" s="2346">
        <v>43</v>
      </c>
      <c r="B878" s="983" t="str">
        <f t="shared" si="62"/>
        <v>Nachweis Kernkapital</v>
      </c>
      <c r="C878" s="947" t="s">
        <v>359</v>
      </c>
      <c r="D878" s="937" t="s">
        <v>834</v>
      </c>
      <c r="E878" s="941" t="s">
        <v>1408</v>
      </c>
    </row>
    <row r="879" spans="1:5" x14ac:dyDescent="0.2">
      <c r="A879" s="2346">
        <v>43</v>
      </c>
      <c r="B879" s="983" t="str">
        <f t="shared" si="62"/>
        <v>Abzüge</v>
      </c>
      <c r="C879" s="946" t="s">
        <v>199</v>
      </c>
      <c r="D879" s="941" t="s">
        <v>396</v>
      </c>
      <c r="E879" s="941" t="s">
        <v>397</v>
      </c>
    </row>
    <row r="880" spans="1:5" x14ac:dyDescent="0.2">
      <c r="A880" s="2346">
        <v>43</v>
      </c>
      <c r="B880" s="983" t="str">
        <f t="shared" si="62"/>
        <v>Ergänzendes Kapital</v>
      </c>
      <c r="C880" s="946" t="s">
        <v>202</v>
      </c>
      <c r="D880" s="941" t="s">
        <v>407</v>
      </c>
      <c r="E880" s="941" t="s">
        <v>408</v>
      </c>
    </row>
    <row r="881" spans="1:5" ht="38.25" x14ac:dyDescent="0.2">
      <c r="A881" s="2346">
        <v>43</v>
      </c>
      <c r="B881" s="983" t="str">
        <f t="shared" si="62"/>
        <v>Zusätzliches Kernkapital (keine Differenzgrösse)</v>
      </c>
      <c r="C881" s="946" t="s">
        <v>211</v>
      </c>
      <c r="D881" s="941" t="s">
        <v>413</v>
      </c>
      <c r="E881" s="941" t="s">
        <v>1409</v>
      </c>
    </row>
    <row r="882" spans="1:5" ht="38.25" x14ac:dyDescent="0.2">
      <c r="A882" s="2346">
        <v>43</v>
      </c>
      <c r="B882" s="983" t="str">
        <f t="shared" si="62"/>
        <v>Eingefordertes Aktienkapital/Genossenschaftskapital</v>
      </c>
      <c r="C882" s="946" t="s">
        <v>1452</v>
      </c>
      <c r="D882" s="937" t="s">
        <v>833</v>
      </c>
      <c r="E882" s="941" t="s">
        <v>1410</v>
      </c>
    </row>
    <row r="883" spans="1:5" ht="25.5" x14ac:dyDescent="0.2">
      <c r="A883" s="2346">
        <v>43</v>
      </c>
      <c r="B883" s="983" t="str">
        <f t="shared" si="62"/>
        <v>Partizipationsscheinkapital</v>
      </c>
      <c r="C883" s="946" t="s">
        <v>186</v>
      </c>
      <c r="D883" s="937" t="s">
        <v>832</v>
      </c>
      <c r="E883" s="941" t="s">
        <v>1411</v>
      </c>
    </row>
    <row r="884" spans="1:5" x14ac:dyDescent="0.2">
      <c r="A884" s="2346">
        <v>43</v>
      </c>
      <c r="B884" s="983" t="str">
        <f t="shared" si="62"/>
        <v>Kapitalreserven</v>
      </c>
      <c r="C884" s="946" t="s">
        <v>187</v>
      </c>
      <c r="D884" s="937" t="s">
        <v>831</v>
      </c>
      <c r="E884" s="941" t="s">
        <v>1412</v>
      </c>
    </row>
    <row r="885" spans="1:5" x14ac:dyDescent="0.2">
      <c r="A885" s="2346">
        <v>43</v>
      </c>
      <c r="B885" s="983" t="str">
        <f t="shared" si="62"/>
        <v>Gewinnreserven</v>
      </c>
      <c r="C885" s="946" t="s">
        <v>188</v>
      </c>
      <c r="D885" s="937" t="s">
        <v>830</v>
      </c>
      <c r="E885" s="941" t="s">
        <v>1413</v>
      </c>
    </row>
    <row r="886" spans="1:5" ht="25.5" x14ac:dyDescent="0.2">
      <c r="A886" s="2346">
        <v>43</v>
      </c>
      <c r="B886" s="983" t="str">
        <f t="shared" si="62"/>
        <v>Ergebnisvortrag aus dem Vorjahr</v>
      </c>
      <c r="C886" s="946" t="s">
        <v>189</v>
      </c>
      <c r="D886" s="937" t="s">
        <v>829</v>
      </c>
      <c r="E886" s="941" t="s">
        <v>1414</v>
      </c>
    </row>
    <row r="887" spans="1:5" ht="25.5" x14ac:dyDescent="0.2">
      <c r="A887" s="2346">
        <v>43</v>
      </c>
      <c r="B887" s="983" t="str">
        <f t="shared" si="62"/>
        <v>Ergebnis des Geschäftsjahres</v>
      </c>
      <c r="C887" s="946" t="s">
        <v>190</v>
      </c>
      <c r="D887" s="937" t="s">
        <v>828</v>
      </c>
      <c r="E887" s="941" t="s">
        <v>1415</v>
      </c>
    </row>
    <row r="888" spans="1:5" ht="63.75" x14ac:dyDescent="0.2">
      <c r="A888" s="2346">
        <v>43</v>
      </c>
      <c r="B888" s="983" t="str">
        <f t="shared" si="62"/>
        <v>Bewertungsreserven: (Marktwert Ende Vorjahr - Statutarischer Wert Ende Vorjahr)</v>
      </c>
      <c r="C888" s="946" t="s">
        <v>1592</v>
      </c>
      <c r="D888" s="937" t="s">
        <v>1658</v>
      </c>
      <c r="E888" s="941" t="s">
        <v>1416</v>
      </c>
    </row>
    <row r="889" spans="1:5" ht="25.5" x14ac:dyDescent="0.2">
      <c r="A889" s="2346">
        <v>43</v>
      </c>
      <c r="B889" s="983" t="str">
        <f t="shared" si="62"/>
        <v>- auf Kapitalanlagen</v>
      </c>
      <c r="C889" s="947" t="s">
        <v>666</v>
      </c>
      <c r="D889" s="945" t="s">
        <v>825</v>
      </c>
      <c r="E889" s="947" t="s">
        <v>1417</v>
      </c>
    </row>
    <row r="890" spans="1:5" ht="25.5" x14ac:dyDescent="0.2">
      <c r="A890" s="2346">
        <v>43</v>
      </c>
      <c r="B890" s="983" t="str">
        <f t="shared" si="62"/>
        <v xml:space="preserve">     Grundstücke und Bauten</v>
      </c>
      <c r="C890" s="947" t="s">
        <v>191</v>
      </c>
      <c r="D890" s="945" t="s">
        <v>824</v>
      </c>
      <c r="E890" s="947" t="s">
        <v>1418</v>
      </c>
    </row>
    <row r="891" spans="1:5" x14ac:dyDescent="0.2">
      <c r="A891" s="2346">
        <v>43</v>
      </c>
      <c r="B891" s="983" t="str">
        <f t="shared" si="62"/>
        <v xml:space="preserve">     Obligationen</v>
      </c>
      <c r="C891" s="946" t="s">
        <v>192</v>
      </c>
      <c r="D891" s="945" t="s">
        <v>823</v>
      </c>
      <c r="E891" s="946" t="s">
        <v>1419</v>
      </c>
    </row>
    <row r="892" spans="1:5" ht="25.5" x14ac:dyDescent="0.2">
      <c r="A892" s="2346">
        <v>43</v>
      </c>
      <c r="B892" s="983" t="str">
        <f t="shared" si="62"/>
        <v xml:space="preserve">     Aktien und ähnliche Anlagen</v>
      </c>
      <c r="C892" s="946" t="s">
        <v>193</v>
      </c>
      <c r="D892" s="945" t="s">
        <v>822</v>
      </c>
      <c r="E892" s="946" t="s">
        <v>1420</v>
      </c>
    </row>
    <row r="893" spans="1:5" ht="25.5" x14ac:dyDescent="0.2">
      <c r="A893" s="2346">
        <v>43</v>
      </c>
      <c r="B893" s="983" t="str">
        <f t="shared" si="62"/>
        <v xml:space="preserve">     Anteile an Anlagefonds</v>
      </c>
      <c r="C893" s="946" t="s">
        <v>194</v>
      </c>
      <c r="D893" s="945" t="s">
        <v>821</v>
      </c>
      <c r="E893" s="946" t="s">
        <v>1421</v>
      </c>
    </row>
    <row r="894" spans="1:5" ht="38.25" x14ac:dyDescent="0.2">
      <c r="A894" s="2346">
        <v>43</v>
      </c>
      <c r="B894" s="983" t="str">
        <f t="shared" si="62"/>
        <v xml:space="preserve">     Derivative Finanzinstrumente (Guthaben)</v>
      </c>
      <c r="C894" s="946" t="s">
        <v>662</v>
      </c>
      <c r="D894" s="945" t="s">
        <v>820</v>
      </c>
      <c r="E894" s="946" t="s">
        <v>1422</v>
      </c>
    </row>
    <row r="895" spans="1:5" x14ac:dyDescent="0.2">
      <c r="A895" s="2346">
        <v>43</v>
      </c>
      <c r="B895" s="983" t="str">
        <f t="shared" si="62"/>
        <v xml:space="preserve">     Liquide Mittel</v>
      </c>
      <c r="C895" s="946" t="s">
        <v>663</v>
      </c>
      <c r="D895" s="945" t="s">
        <v>819</v>
      </c>
      <c r="E895" s="946" t="s">
        <v>1423</v>
      </c>
    </row>
    <row r="896" spans="1:5" ht="63.75" x14ac:dyDescent="0.2">
      <c r="A896" s="2346">
        <v>43</v>
      </c>
      <c r="B896" s="983" t="str">
        <f t="shared" si="62"/>
        <v xml:space="preserve">     Anlagen in Institutionen, die der Durchführung der sozialen Krankenversicherung dienen</v>
      </c>
      <c r="C896" s="946" t="s">
        <v>664</v>
      </c>
      <c r="D896" s="939" t="s">
        <v>1625</v>
      </c>
      <c r="E896" s="946" t="s">
        <v>1424</v>
      </c>
    </row>
    <row r="897" spans="1:5" ht="51" x14ac:dyDescent="0.2">
      <c r="A897" s="2346">
        <v>43</v>
      </c>
      <c r="B897" s="983" t="str">
        <f t="shared" si="62"/>
        <v xml:space="preserve">     Übrige Kapitalanlagen (Latente Steuern, Aktiven aus Vorsorgeplänen)</v>
      </c>
      <c r="C897" s="946" t="s">
        <v>665</v>
      </c>
      <c r="D897" s="939" t="s">
        <v>817</v>
      </c>
      <c r="E897" s="946" t="s">
        <v>1425</v>
      </c>
    </row>
    <row r="898" spans="1:5" x14ac:dyDescent="0.2">
      <c r="A898" s="2346">
        <v>43</v>
      </c>
      <c r="B898" s="983" t="str">
        <f t="shared" si="62"/>
        <v>- auf übrigen Aktiven</v>
      </c>
      <c r="C898" s="947" t="s">
        <v>198</v>
      </c>
      <c r="D898" s="939" t="s">
        <v>816</v>
      </c>
      <c r="E898" s="947" t="s">
        <v>1426</v>
      </c>
    </row>
    <row r="899" spans="1:5" ht="51" x14ac:dyDescent="0.2">
      <c r="A899" s="2346">
        <v>43</v>
      </c>
      <c r="B899" s="983" t="str">
        <f t="shared" si="62"/>
        <v xml:space="preserve">     übriges Anlagevermögen (Immaterielle Anlagen, Sachanlagen)</v>
      </c>
      <c r="C899" s="946" t="s">
        <v>667</v>
      </c>
      <c r="D899" s="939" t="s">
        <v>815</v>
      </c>
      <c r="E899" s="946" t="s">
        <v>1427</v>
      </c>
    </row>
    <row r="900" spans="1:5" x14ac:dyDescent="0.2">
      <c r="A900" s="2346">
        <v>43</v>
      </c>
      <c r="B900" s="983" t="str">
        <f t="shared" si="62"/>
        <v xml:space="preserve">     Umlaufvermögen</v>
      </c>
      <c r="C900" s="946" t="s">
        <v>668</v>
      </c>
      <c r="D900" s="939" t="s">
        <v>827</v>
      </c>
      <c r="E900" s="946" t="s">
        <v>1428</v>
      </c>
    </row>
    <row r="901" spans="1:5" ht="38.25" x14ac:dyDescent="0.2">
      <c r="A901" s="2346">
        <v>43</v>
      </c>
      <c r="B901" s="983" t="str">
        <f t="shared" si="62"/>
        <v>- auf versicherungstechnischen Rückstellungen</v>
      </c>
      <c r="C901" s="947" t="s">
        <v>669</v>
      </c>
      <c r="D901" s="945" t="s">
        <v>813</v>
      </c>
      <c r="E901" s="947" t="s">
        <v>1429</v>
      </c>
    </row>
    <row r="902" spans="1:5" ht="25.5" x14ac:dyDescent="0.2">
      <c r="A902" s="2346">
        <v>43</v>
      </c>
      <c r="B902" s="983" t="str">
        <f t="shared" si="62"/>
        <v xml:space="preserve">     Leistungsrückstellungen</v>
      </c>
      <c r="C902" s="946" t="s">
        <v>670</v>
      </c>
      <c r="D902" s="938" t="s">
        <v>812</v>
      </c>
      <c r="E902" s="946" t="s">
        <v>1430</v>
      </c>
    </row>
    <row r="903" spans="1:5" ht="38.25" x14ac:dyDescent="0.2">
      <c r="A903" s="2346">
        <v>43</v>
      </c>
      <c r="B903" s="983" t="str">
        <f t="shared" si="62"/>
        <v xml:space="preserve">     Alterungsrückstellungen und Deckungskapitalien</v>
      </c>
      <c r="C903" s="946" t="s">
        <v>673</v>
      </c>
      <c r="D903" s="938" t="s">
        <v>1644</v>
      </c>
      <c r="E903" s="946" t="s">
        <v>1741</v>
      </c>
    </row>
    <row r="904" spans="1:5" ht="51" x14ac:dyDescent="0.2">
      <c r="A904" s="2346">
        <v>43</v>
      </c>
      <c r="B904" s="983" t="str">
        <f t="shared" ref="B904:B976" si="63">IF(VLOOKUP(A904,A904:E904,language+2)="",VLOOKUP(A904,A904:E904,3),VLOOKUP(A904,A904:E904,language+2))</f>
        <v xml:space="preserve">     Prämienüberträge sowie Rückstellungen für künftige Überschussbeteiligungen</v>
      </c>
      <c r="C904" s="946" t="s">
        <v>671</v>
      </c>
      <c r="D904" s="938" t="s">
        <v>1719</v>
      </c>
      <c r="E904" s="946" t="s">
        <v>1431</v>
      </c>
    </row>
    <row r="905" spans="1:5" ht="25.5" x14ac:dyDescent="0.2">
      <c r="A905" s="2346">
        <v>43</v>
      </c>
      <c r="B905" s="983" t="str">
        <f t="shared" si="63"/>
        <v xml:space="preserve">     Schwankungs- und Sicherheitsrückstellungen</v>
      </c>
      <c r="C905" s="946" t="s">
        <v>672</v>
      </c>
      <c r="D905" s="947" t="s">
        <v>1638</v>
      </c>
      <c r="E905" s="946" t="s">
        <v>1432</v>
      </c>
    </row>
    <row r="906" spans="1:5" ht="25.5" x14ac:dyDescent="0.2">
      <c r="A906" s="2346">
        <v>43</v>
      </c>
      <c r="B906" s="983" t="str">
        <f t="shared" si="63"/>
        <v>- auf übrigem Fremdkapital</v>
      </c>
      <c r="C906" s="947" t="s">
        <v>674</v>
      </c>
      <c r="D906" s="939" t="s">
        <v>811</v>
      </c>
      <c r="E906" s="947" t="s">
        <v>1433</v>
      </c>
    </row>
    <row r="907" spans="1:5" ht="38.25" x14ac:dyDescent="0.2">
      <c r="A907" s="2346">
        <v>43</v>
      </c>
      <c r="B907" s="983" t="str">
        <f t="shared" si="63"/>
        <v xml:space="preserve">     Nichtversicherungstechnische Rückstellungen</v>
      </c>
      <c r="C907" s="946" t="s">
        <v>675</v>
      </c>
      <c r="D907" s="945" t="s">
        <v>810</v>
      </c>
      <c r="E907" s="946" t="s">
        <v>1434</v>
      </c>
    </row>
    <row r="908" spans="1:5" ht="38.25" x14ac:dyDescent="0.2">
      <c r="A908" s="2346">
        <v>43</v>
      </c>
      <c r="B908" s="983" t="str">
        <f t="shared" si="63"/>
        <v xml:space="preserve">     Rückstellungen für Risiken in den Kapitalanlagen</v>
      </c>
      <c r="C908" s="946" t="s">
        <v>676</v>
      </c>
      <c r="D908" s="945" t="s">
        <v>809</v>
      </c>
      <c r="E908" s="946" t="s">
        <v>1435</v>
      </c>
    </row>
    <row r="909" spans="1:5" ht="38.25" x14ac:dyDescent="0.2">
      <c r="A909" s="2346">
        <v>43</v>
      </c>
      <c r="B909" s="983" t="str">
        <f t="shared" si="63"/>
        <v xml:space="preserve">     Übrige Verbindlichkeiten (inkl. Rechnungsabgrenzungen)</v>
      </c>
      <c r="C909" s="946" t="s">
        <v>677</v>
      </c>
      <c r="D909" s="945" t="s">
        <v>1662</v>
      </c>
      <c r="E909" s="946" t="s">
        <v>1436</v>
      </c>
    </row>
    <row r="910" spans="1:5" ht="51" x14ac:dyDescent="0.2">
      <c r="A910" s="2346">
        <v>43</v>
      </c>
      <c r="B910" s="983" t="str">
        <f t="shared" si="63"/>
        <v>Jahreswechseleffekt (Marktwert Anfang Jahr - Marktwert Ende Vorjahr)</v>
      </c>
      <c r="C910" s="946" t="s">
        <v>678</v>
      </c>
      <c r="D910" s="937" t="s">
        <v>826</v>
      </c>
      <c r="E910" s="941" t="s">
        <v>1437</v>
      </c>
    </row>
    <row r="911" spans="1:5" ht="25.5" x14ac:dyDescent="0.2">
      <c r="A911" s="2346">
        <v>43</v>
      </c>
      <c r="B911" s="983" t="str">
        <f t="shared" si="63"/>
        <v>- auf Kapitalanlagen</v>
      </c>
      <c r="C911" s="947" t="s">
        <v>666</v>
      </c>
      <c r="D911" s="945" t="s">
        <v>825</v>
      </c>
      <c r="E911" s="947" t="s">
        <v>1438</v>
      </c>
    </row>
    <row r="912" spans="1:5" ht="25.5" x14ac:dyDescent="0.2">
      <c r="A912" s="2346">
        <v>43</v>
      </c>
      <c r="B912" s="983" t="str">
        <f t="shared" si="63"/>
        <v xml:space="preserve">     Grundstücke und Bauten</v>
      </c>
      <c r="C912" s="947" t="s">
        <v>191</v>
      </c>
      <c r="D912" s="945" t="s">
        <v>824</v>
      </c>
      <c r="E912" s="947" t="s">
        <v>1418</v>
      </c>
    </row>
    <row r="913" spans="1:5" x14ac:dyDescent="0.2">
      <c r="A913" s="2346">
        <v>43</v>
      </c>
      <c r="B913" s="983" t="str">
        <f t="shared" si="63"/>
        <v xml:space="preserve">     Obligationen</v>
      </c>
      <c r="C913" s="946" t="s">
        <v>192</v>
      </c>
      <c r="D913" s="945" t="s">
        <v>823</v>
      </c>
      <c r="E913" s="946" t="s">
        <v>1419</v>
      </c>
    </row>
    <row r="914" spans="1:5" ht="25.5" x14ac:dyDescent="0.2">
      <c r="A914" s="2346">
        <v>43</v>
      </c>
      <c r="B914" s="983" t="str">
        <f t="shared" si="63"/>
        <v xml:space="preserve">     Aktien und ähnliche Anlagen</v>
      </c>
      <c r="C914" s="946" t="s">
        <v>193</v>
      </c>
      <c r="D914" s="945" t="s">
        <v>822</v>
      </c>
      <c r="E914" s="946" t="s">
        <v>1420</v>
      </c>
    </row>
    <row r="915" spans="1:5" ht="25.5" x14ac:dyDescent="0.2">
      <c r="A915" s="2346">
        <v>43</v>
      </c>
      <c r="B915" s="983" t="str">
        <f t="shared" si="63"/>
        <v xml:space="preserve">     Anteile an Anlagefonds</v>
      </c>
      <c r="C915" s="946" t="s">
        <v>194</v>
      </c>
      <c r="D915" s="945" t="s">
        <v>821</v>
      </c>
      <c r="E915" s="946" t="s">
        <v>1421</v>
      </c>
    </row>
    <row r="916" spans="1:5" ht="38.25" x14ac:dyDescent="0.2">
      <c r="A916" s="2346">
        <v>43</v>
      </c>
      <c r="B916" s="983" t="str">
        <f t="shared" si="63"/>
        <v xml:space="preserve">     Derivative Finanzinstrumente (Guthaben)</v>
      </c>
      <c r="C916" s="946" t="s">
        <v>662</v>
      </c>
      <c r="D916" s="945" t="s">
        <v>820</v>
      </c>
      <c r="E916" s="946" t="s">
        <v>1422</v>
      </c>
    </row>
    <row r="917" spans="1:5" x14ac:dyDescent="0.2">
      <c r="A917" s="2346">
        <v>43</v>
      </c>
      <c r="B917" s="983" t="str">
        <f t="shared" si="63"/>
        <v xml:space="preserve">     Liquide Mittel</v>
      </c>
      <c r="C917" s="946" t="s">
        <v>663</v>
      </c>
      <c r="D917" s="945" t="s">
        <v>819</v>
      </c>
      <c r="E917" s="946" t="s">
        <v>1423</v>
      </c>
    </row>
    <row r="918" spans="1:5" ht="63.75" x14ac:dyDescent="0.2">
      <c r="A918" s="2346">
        <v>43</v>
      </c>
      <c r="B918" s="983" t="str">
        <f t="shared" si="63"/>
        <v xml:space="preserve">     Anlagen in Institutionen, die der Durchführung der sozialen Krankenversicherung dienen</v>
      </c>
      <c r="C918" s="946" t="s">
        <v>664</v>
      </c>
      <c r="D918" s="939" t="s">
        <v>818</v>
      </c>
      <c r="E918" s="946" t="s">
        <v>1424</v>
      </c>
    </row>
    <row r="919" spans="1:5" ht="51" x14ac:dyDescent="0.2">
      <c r="A919" s="2346">
        <v>43</v>
      </c>
      <c r="B919" s="983" t="str">
        <f t="shared" si="63"/>
        <v xml:space="preserve">     Übrige Kapitalanlagen (Latente Steuern, Aktiven aus Vorsorgeplänen)</v>
      </c>
      <c r="C919" s="946" t="s">
        <v>665</v>
      </c>
      <c r="D919" s="939" t="s">
        <v>817</v>
      </c>
      <c r="E919" s="946" t="s">
        <v>1425</v>
      </c>
    </row>
    <row r="920" spans="1:5" x14ac:dyDescent="0.2">
      <c r="A920" s="2346">
        <v>43</v>
      </c>
      <c r="B920" s="983" t="str">
        <f t="shared" si="63"/>
        <v>- auf übrigen Aktiven</v>
      </c>
      <c r="C920" s="947" t="s">
        <v>198</v>
      </c>
      <c r="D920" s="939" t="s">
        <v>816</v>
      </c>
      <c r="E920" s="947" t="s">
        <v>1426</v>
      </c>
    </row>
    <row r="921" spans="1:5" ht="51" x14ac:dyDescent="0.2">
      <c r="A921" s="2346">
        <v>43</v>
      </c>
      <c r="B921" s="983" t="str">
        <f t="shared" si="63"/>
        <v xml:space="preserve">     übriges Anlagevermögen (Immaterielle Anlagen, Sachanlagen)</v>
      </c>
      <c r="C921" s="946" t="s">
        <v>667</v>
      </c>
      <c r="D921" s="939" t="s">
        <v>815</v>
      </c>
      <c r="E921" s="946" t="s">
        <v>1427</v>
      </c>
    </row>
    <row r="922" spans="1:5" x14ac:dyDescent="0.2">
      <c r="A922" s="2346">
        <v>43</v>
      </c>
      <c r="B922" s="983" t="str">
        <f t="shared" si="63"/>
        <v xml:space="preserve">     Umlaufvermögen</v>
      </c>
      <c r="C922" s="946" t="s">
        <v>668</v>
      </c>
      <c r="D922" s="939" t="s">
        <v>814</v>
      </c>
      <c r="E922" s="946" t="s">
        <v>1428</v>
      </c>
    </row>
    <row r="923" spans="1:5" ht="38.25" x14ac:dyDescent="0.2">
      <c r="A923" s="2346">
        <v>43</v>
      </c>
      <c r="B923" s="983" t="str">
        <f t="shared" si="63"/>
        <v>- auf versicherungstechnischen Rückstellungen</v>
      </c>
      <c r="C923" s="947" t="s">
        <v>669</v>
      </c>
      <c r="D923" s="945" t="s">
        <v>813</v>
      </c>
      <c r="E923" s="947" t="s">
        <v>1429</v>
      </c>
    </row>
    <row r="924" spans="1:5" ht="25.5" x14ac:dyDescent="0.2">
      <c r="A924" s="2346">
        <v>43</v>
      </c>
      <c r="B924" s="983" t="str">
        <f t="shared" si="63"/>
        <v xml:space="preserve">     Leistungsrückstellungen</v>
      </c>
      <c r="C924" s="946" t="s">
        <v>670</v>
      </c>
      <c r="D924" s="938" t="s">
        <v>812</v>
      </c>
      <c r="E924" s="946" t="s">
        <v>1430</v>
      </c>
    </row>
    <row r="925" spans="1:5" ht="38.25" x14ac:dyDescent="0.2">
      <c r="A925" s="2346">
        <v>43</v>
      </c>
      <c r="B925" s="983" t="str">
        <f t="shared" si="63"/>
        <v xml:space="preserve">     Alterungsrückstellungen und Deckungskapitalien</v>
      </c>
      <c r="C925" s="946" t="s">
        <v>673</v>
      </c>
      <c r="D925" s="938" t="s">
        <v>1644</v>
      </c>
      <c r="E925" s="946" t="s">
        <v>1741</v>
      </c>
    </row>
    <row r="926" spans="1:5" ht="51" x14ac:dyDescent="0.2">
      <c r="A926" s="2346">
        <v>43</v>
      </c>
      <c r="B926" s="983" t="str">
        <f t="shared" si="63"/>
        <v xml:space="preserve">     Prämienüberträge sowie Rückstellungen für künftige Überschussbeteiligungen</v>
      </c>
      <c r="C926" s="946" t="s">
        <v>671</v>
      </c>
      <c r="D926" s="938" t="s">
        <v>1719</v>
      </c>
      <c r="E926" s="946" t="s">
        <v>1431</v>
      </c>
    </row>
    <row r="927" spans="1:5" ht="25.5" x14ac:dyDescent="0.2">
      <c r="A927" s="2346">
        <v>43</v>
      </c>
      <c r="B927" s="983" t="str">
        <f t="shared" si="63"/>
        <v xml:space="preserve">     Schwankungs- und Sicherheitsrückstellungen</v>
      </c>
      <c r="C927" s="946" t="s">
        <v>672</v>
      </c>
      <c r="D927" s="947" t="s">
        <v>1638</v>
      </c>
      <c r="E927" s="946" t="s">
        <v>1742</v>
      </c>
    </row>
    <row r="928" spans="1:5" ht="25.5" x14ac:dyDescent="0.2">
      <c r="A928" s="2346">
        <v>43</v>
      </c>
      <c r="B928" s="983" t="str">
        <f t="shared" si="63"/>
        <v>- auf übrigem Fremdkapital</v>
      </c>
      <c r="C928" s="947" t="s">
        <v>674</v>
      </c>
      <c r="D928" s="939" t="s">
        <v>811</v>
      </c>
      <c r="E928" s="947" t="s">
        <v>1433</v>
      </c>
    </row>
    <row r="929" spans="1:5" ht="38.25" x14ac:dyDescent="0.2">
      <c r="A929" s="2346">
        <v>43</v>
      </c>
      <c r="B929" s="983" t="str">
        <f t="shared" si="63"/>
        <v xml:space="preserve">     Nichtversicherungstechnische Rückstellungen</v>
      </c>
      <c r="C929" s="946" t="s">
        <v>675</v>
      </c>
      <c r="D929" s="945" t="s">
        <v>810</v>
      </c>
      <c r="E929" s="946" t="s">
        <v>1439</v>
      </c>
    </row>
    <row r="930" spans="1:5" ht="38.25" x14ac:dyDescent="0.2">
      <c r="A930" s="2346">
        <v>43</v>
      </c>
      <c r="B930" s="983" t="str">
        <f t="shared" si="63"/>
        <v xml:space="preserve">     Rückstellungen für Risiken in den Kapitalanlagen</v>
      </c>
      <c r="C930" s="946" t="s">
        <v>676</v>
      </c>
      <c r="D930" s="945" t="s">
        <v>809</v>
      </c>
      <c r="E930" s="946" t="s">
        <v>1440</v>
      </c>
    </row>
    <row r="931" spans="1:5" ht="38.25" x14ac:dyDescent="0.2">
      <c r="A931" s="2346">
        <v>43</v>
      </c>
      <c r="B931" s="983" t="str">
        <f t="shared" si="63"/>
        <v xml:space="preserve">     Übrige Verbindlichkeiten (inkl. Rechnungsabgrenzungen)</v>
      </c>
      <c r="C931" s="946" t="s">
        <v>677</v>
      </c>
      <c r="D931" s="945" t="s">
        <v>1662</v>
      </c>
      <c r="E931" s="946" t="s">
        <v>1441</v>
      </c>
    </row>
    <row r="932" spans="1:5" ht="25.5" x14ac:dyDescent="0.2">
      <c r="A932" s="2346">
        <v>43</v>
      </c>
      <c r="B932" s="983" t="str">
        <f t="shared" si="63"/>
        <v>- Bilanzwert eigene Aktien (-)</v>
      </c>
      <c r="C932" s="947" t="s">
        <v>200</v>
      </c>
      <c r="D932" s="938" t="s">
        <v>808</v>
      </c>
      <c r="E932" s="947" t="s">
        <v>1442</v>
      </c>
    </row>
    <row r="933" spans="1:5" ht="25.5" x14ac:dyDescent="0.2">
      <c r="A933" s="2346">
        <v>43</v>
      </c>
      <c r="B933" s="983" t="str">
        <f t="shared" si="63"/>
        <v>- Bilanzwert immaterielle Aktiven (-)</v>
      </c>
      <c r="C933" s="947" t="s">
        <v>201</v>
      </c>
      <c r="D933" s="938" t="s">
        <v>807</v>
      </c>
      <c r="E933" s="947" t="s">
        <v>1443</v>
      </c>
    </row>
    <row r="934" spans="1:5" ht="63.75" x14ac:dyDescent="0.2">
      <c r="A934" s="2346">
        <v>43</v>
      </c>
      <c r="B934" s="983" t="str">
        <f t="shared" si="63"/>
        <v>- Grundstückgewinn-/Handänderungssteuern auf Bewertungsreserven Grundstücke und Bauten (-)</v>
      </c>
      <c r="C934" s="947" t="s">
        <v>679</v>
      </c>
      <c r="D934" s="938" t="s">
        <v>1659</v>
      </c>
      <c r="E934" s="947" t="s">
        <v>1444</v>
      </c>
    </row>
    <row r="935" spans="1:5" ht="38.25" x14ac:dyDescent="0.2">
      <c r="A935" s="2346">
        <v>43</v>
      </c>
      <c r="B935" s="983" t="str">
        <f t="shared" si="63"/>
        <v>- vorgesehene Dividenden und Kapitalrückzahlungen (-)</v>
      </c>
      <c r="C935" s="947" t="s">
        <v>236</v>
      </c>
      <c r="D935" s="938" t="s">
        <v>806</v>
      </c>
      <c r="E935" s="947" t="s">
        <v>1445</v>
      </c>
    </row>
    <row r="936" spans="1:5" ht="51" x14ac:dyDescent="0.2">
      <c r="A936" s="2346">
        <v>43</v>
      </c>
      <c r="B936" s="983" t="str">
        <f t="shared" si="63"/>
        <v>- sonstige Abzüge (z.B. nicht anrechenbare konzerninterne Darlehen) (-)</v>
      </c>
      <c r="C936" s="947" t="s">
        <v>2071</v>
      </c>
      <c r="D936" s="938" t="s">
        <v>805</v>
      </c>
      <c r="E936" s="947" t="s">
        <v>1446</v>
      </c>
    </row>
    <row r="937" spans="1:5" ht="25.5" x14ac:dyDescent="0.2">
      <c r="A937" s="2346">
        <v>43</v>
      </c>
      <c r="B937" s="983" t="str">
        <f t="shared" si="63"/>
        <v>Oberes ergänzendes Kapital</v>
      </c>
      <c r="C937" s="946" t="s">
        <v>203</v>
      </c>
      <c r="D937" s="937" t="s">
        <v>409</v>
      </c>
      <c r="E937" s="941" t="s">
        <v>410</v>
      </c>
    </row>
    <row r="938" spans="1:5" ht="25.5" x14ac:dyDescent="0.2">
      <c r="A938" s="2346">
        <v>43</v>
      </c>
      <c r="B938" s="983" t="str">
        <f t="shared" si="63"/>
        <v>Nachrangige Darlehen ohne Befristung</v>
      </c>
      <c r="C938" s="947" t="s">
        <v>204</v>
      </c>
      <c r="D938" s="937" t="s">
        <v>387</v>
      </c>
      <c r="E938" s="941" t="s">
        <v>1217</v>
      </c>
    </row>
    <row r="939" spans="1:5" ht="25.5" x14ac:dyDescent="0.2">
      <c r="A939" s="2346">
        <v>43</v>
      </c>
      <c r="B939" s="983" t="str">
        <f t="shared" si="63"/>
        <v>Nachrangige Anleihen ohne Befristung</v>
      </c>
      <c r="C939" s="947" t="s">
        <v>205</v>
      </c>
      <c r="D939" s="937" t="s">
        <v>388</v>
      </c>
      <c r="E939" s="941" t="s">
        <v>1218</v>
      </c>
    </row>
    <row r="940" spans="1:5" ht="38.25" x14ac:dyDescent="0.2">
      <c r="A940" s="2346">
        <v>43</v>
      </c>
      <c r="B940" s="983" t="str">
        <f t="shared" si="63"/>
        <v>Sonstige hybride Instrumente ohne Befristung</v>
      </c>
      <c r="C940" s="947" t="s">
        <v>206</v>
      </c>
      <c r="D940" s="937" t="s">
        <v>389</v>
      </c>
      <c r="E940" s="941" t="s">
        <v>1219</v>
      </c>
    </row>
    <row r="941" spans="1:5" ht="25.5" x14ac:dyDescent="0.2">
      <c r="A941" s="2346">
        <v>43</v>
      </c>
      <c r="B941" s="983" t="str">
        <f t="shared" si="63"/>
        <v>Unteres ergänzendes Kapital</v>
      </c>
      <c r="C941" s="947" t="s">
        <v>207</v>
      </c>
      <c r="D941" s="937" t="s">
        <v>411</v>
      </c>
      <c r="E941" s="941" t="s">
        <v>412</v>
      </c>
    </row>
    <row r="942" spans="1:5" ht="25.5" x14ac:dyDescent="0.2">
      <c r="A942" s="2346">
        <v>43</v>
      </c>
      <c r="B942" s="983" t="str">
        <f t="shared" si="63"/>
        <v>Nachrangige Darlehen mit Befristung</v>
      </c>
      <c r="C942" s="947" t="s">
        <v>208</v>
      </c>
      <c r="D942" s="937" t="s">
        <v>390</v>
      </c>
      <c r="E942" s="941" t="s">
        <v>391</v>
      </c>
    </row>
    <row r="943" spans="1:5" ht="25.5" x14ac:dyDescent="0.2">
      <c r="A943" s="2346">
        <v>43</v>
      </c>
      <c r="B943" s="983" t="str">
        <f t="shared" si="63"/>
        <v>Nachrangige Anleihen mit Befristung</v>
      </c>
      <c r="C943" s="947" t="s">
        <v>209</v>
      </c>
      <c r="D943" s="937" t="s">
        <v>392</v>
      </c>
      <c r="E943" s="941" t="s">
        <v>393</v>
      </c>
    </row>
    <row r="944" spans="1:5" ht="25.5" x14ac:dyDescent="0.2">
      <c r="A944" s="2346">
        <v>43</v>
      </c>
      <c r="B944" s="983" t="str">
        <f t="shared" si="63"/>
        <v>Sonstige hybride Instrumente mit Befristung</v>
      </c>
      <c r="C944" s="947" t="s">
        <v>210</v>
      </c>
      <c r="D944" s="937" t="s">
        <v>394</v>
      </c>
      <c r="E944" s="941" t="s">
        <v>395</v>
      </c>
    </row>
    <row r="945" spans="1:5" ht="51" x14ac:dyDescent="0.2">
      <c r="A945" s="2346">
        <v>43</v>
      </c>
      <c r="B945" s="983" t="str">
        <f t="shared" si="63"/>
        <v>Fremdkapital, das nur in Eigenkapital konvertiert werden kann (Mandatory Convertible)</v>
      </c>
      <c r="C945" s="947" t="s">
        <v>212</v>
      </c>
      <c r="D945" s="937" t="s">
        <v>415</v>
      </c>
      <c r="E945" s="941" t="s">
        <v>1447</v>
      </c>
    </row>
    <row r="946" spans="1:5" x14ac:dyDescent="0.2">
      <c r="A946" s="2346">
        <v>43</v>
      </c>
      <c r="B946" s="983" t="str">
        <f t="shared" si="63"/>
        <v>Nachweise</v>
      </c>
      <c r="C946" s="946" t="s">
        <v>237</v>
      </c>
      <c r="D946" s="941" t="s">
        <v>795</v>
      </c>
      <c r="E946" s="941" t="s">
        <v>1448</v>
      </c>
    </row>
    <row r="947" spans="1:5" x14ac:dyDescent="0.2">
      <c r="A947" s="2346">
        <v>43</v>
      </c>
      <c r="B947" s="983" t="str">
        <f t="shared" si="63"/>
        <v xml:space="preserve">Kernkapital </v>
      </c>
      <c r="C947" s="947" t="s">
        <v>360</v>
      </c>
      <c r="D947" s="941" t="s">
        <v>804</v>
      </c>
      <c r="E947" s="941" t="s">
        <v>1407</v>
      </c>
    </row>
    <row r="948" spans="1:5" ht="25.5" x14ac:dyDescent="0.2">
      <c r="A948" s="2346">
        <v>43</v>
      </c>
      <c r="B948" s="983" t="str">
        <f t="shared" si="63"/>
        <v>Zusätzliches Kernkapital</v>
      </c>
      <c r="C948" s="946" t="s">
        <v>238</v>
      </c>
      <c r="D948" s="941" t="s">
        <v>803</v>
      </c>
      <c r="E948" s="941" t="s">
        <v>1409</v>
      </c>
    </row>
    <row r="949" spans="1:5" ht="38.25" x14ac:dyDescent="0.2">
      <c r="A949" s="2346">
        <v>43</v>
      </c>
      <c r="B949" s="983" t="str">
        <f t="shared" si="63"/>
        <v>TOTAL ANRECHENBARES KERNKAPITAL</v>
      </c>
      <c r="C949" s="947" t="s">
        <v>239</v>
      </c>
      <c r="D949" s="937" t="s">
        <v>802</v>
      </c>
      <c r="E949" s="941" t="s">
        <v>1449</v>
      </c>
    </row>
    <row r="950" spans="1:5" ht="38.25" x14ac:dyDescent="0.2">
      <c r="A950" s="2346">
        <v>43</v>
      </c>
      <c r="B950" s="983" t="str">
        <f t="shared" si="63"/>
        <v>TOTAL OBERES ERGÄNZENDES KAPITAL</v>
      </c>
      <c r="C950" s="946" t="s">
        <v>240</v>
      </c>
      <c r="D950" s="941" t="s">
        <v>801</v>
      </c>
      <c r="E950" s="941" t="s">
        <v>1450</v>
      </c>
    </row>
    <row r="951" spans="1:5" ht="38.25" x14ac:dyDescent="0.2">
      <c r="A951" s="2346">
        <v>43</v>
      </c>
      <c r="B951" s="983" t="str">
        <f t="shared" si="63"/>
        <v>TOTAL UNTERES ERGÄNZENDES KAPITAL</v>
      </c>
      <c r="C951" s="947" t="s">
        <v>241</v>
      </c>
      <c r="D951" s="941" t="s">
        <v>800</v>
      </c>
      <c r="E951" s="941" t="s">
        <v>1451</v>
      </c>
    </row>
    <row r="952" spans="1:5" ht="25.5" x14ac:dyDescent="0.2">
      <c r="A952" s="2346">
        <v>43</v>
      </c>
      <c r="B952" s="983" t="str">
        <f t="shared" si="63"/>
        <v>TOTAL VORHANDENE RESERVEN</v>
      </c>
      <c r="C952" s="947" t="s">
        <v>1683</v>
      </c>
      <c r="D952" s="941" t="s">
        <v>1684</v>
      </c>
      <c r="E952" s="941" t="s">
        <v>1685</v>
      </c>
    </row>
    <row r="953" spans="1:5" ht="25.5" x14ac:dyDescent="0.2">
      <c r="A953" s="2346">
        <v>43</v>
      </c>
      <c r="B953" s="983" t="str">
        <f t="shared" si="63"/>
        <v>davon KVG-fremde Anteile</v>
      </c>
      <c r="C953" s="946" t="s">
        <v>715</v>
      </c>
      <c r="D953" s="941" t="s">
        <v>799</v>
      </c>
      <c r="E953" s="941" t="s">
        <v>1495</v>
      </c>
    </row>
    <row r="954" spans="1:5" ht="25.5" x14ac:dyDescent="0.2">
      <c r="A954" s="2346">
        <v>43</v>
      </c>
      <c r="B954" s="983" t="str">
        <f t="shared" si="63"/>
        <v>dem Geschäft nach VVG zugeordnet</v>
      </c>
      <c r="C954" s="946" t="s">
        <v>640</v>
      </c>
      <c r="D954" s="941" t="s">
        <v>798</v>
      </c>
      <c r="E954" s="941" t="s">
        <v>1483</v>
      </c>
    </row>
    <row r="955" spans="1:5" ht="25.5" x14ac:dyDescent="0.2">
      <c r="A955" s="2346">
        <v>43</v>
      </c>
      <c r="B955" s="983" t="str">
        <f t="shared" si="63"/>
        <v>dem Geschäft nach UVG zugeordnet</v>
      </c>
      <c r="C955" s="946" t="s">
        <v>641</v>
      </c>
      <c r="D955" s="941" t="s">
        <v>797</v>
      </c>
      <c r="E955" s="941" t="s">
        <v>1484</v>
      </c>
    </row>
    <row r="956" spans="1:5" ht="25.5" x14ac:dyDescent="0.2">
      <c r="A956" s="2346">
        <v>43</v>
      </c>
      <c r="B956" s="983" t="str">
        <f t="shared" si="63"/>
        <v>Vorhandene Reserven nach KVG</v>
      </c>
      <c r="C956" s="946" t="s">
        <v>1496</v>
      </c>
      <c r="D956" s="941" t="s">
        <v>1497</v>
      </c>
      <c r="E956" s="941" t="s">
        <v>1498</v>
      </c>
    </row>
    <row r="957" spans="1:5" ht="25.5" x14ac:dyDescent="0.2">
      <c r="A957" s="2346">
        <v>43</v>
      </c>
      <c r="B957" s="983" t="str">
        <f t="shared" si="63"/>
        <v>davon KVG-fremde Anteile</v>
      </c>
      <c r="C957" s="946" t="s">
        <v>715</v>
      </c>
      <c r="D957" s="941" t="s">
        <v>799</v>
      </c>
      <c r="E957" s="987" t="s">
        <v>1495</v>
      </c>
    </row>
    <row r="958" spans="1:5" ht="25.5" x14ac:dyDescent="0.2">
      <c r="A958" s="2346">
        <v>43</v>
      </c>
      <c r="B958" s="983" t="str">
        <f t="shared" si="63"/>
        <v>dem Geschäft nach VVG zugeordnet</v>
      </c>
      <c r="C958" s="946" t="s">
        <v>640</v>
      </c>
      <c r="D958" s="941" t="s">
        <v>798</v>
      </c>
      <c r="E958" s="941" t="s">
        <v>1483</v>
      </c>
    </row>
    <row r="959" spans="1:5" ht="25.5" x14ac:dyDescent="0.2">
      <c r="A959" s="2346">
        <v>43</v>
      </c>
      <c r="B959" s="983" t="str">
        <f t="shared" si="63"/>
        <v>dem Geschäft nach UVG zugeordnet</v>
      </c>
      <c r="C959" s="946" t="s">
        <v>641</v>
      </c>
      <c r="D959" s="941" t="s">
        <v>797</v>
      </c>
      <c r="E959" s="941" t="s">
        <v>1484</v>
      </c>
    </row>
    <row r="960" spans="1:5" x14ac:dyDescent="0.2">
      <c r="A960" s="2346">
        <v>43</v>
      </c>
      <c r="B960" s="983" t="str">
        <f t="shared" si="63"/>
        <v>Betrag</v>
      </c>
      <c r="C960" s="946" t="s">
        <v>183</v>
      </c>
      <c r="D960" s="935" t="s">
        <v>796</v>
      </c>
      <c r="E960" s="946" t="s">
        <v>1216</v>
      </c>
    </row>
    <row r="961" spans="1:9" x14ac:dyDescent="0.2">
      <c r="A961" s="2346">
        <v>43</v>
      </c>
      <c r="B961" s="983" t="str">
        <f t="shared" si="63"/>
        <v>Nachweise</v>
      </c>
      <c r="C961" s="946" t="s">
        <v>237</v>
      </c>
      <c r="D961" s="935" t="s">
        <v>795</v>
      </c>
      <c r="E961" s="935" t="s">
        <v>1448</v>
      </c>
    </row>
    <row r="962" spans="1:9" ht="38.25" x14ac:dyDescent="0.2">
      <c r="A962" s="2346">
        <v>43</v>
      </c>
      <c r="B962" s="983" t="str">
        <f t="shared" si="63"/>
        <v>Zusätzliches Kernkapital (keine Differenzgrösse)</v>
      </c>
      <c r="C962" s="946" t="s">
        <v>211</v>
      </c>
      <c r="D962" s="941" t="s">
        <v>413</v>
      </c>
      <c r="E962" s="941" t="s">
        <v>1409</v>
      </c>
    </row>
    <row r="963" spans="1:9" ht="39" customHeight="1" x14ac:dyDescent="0.2">
      <c r="A963" s="2348" t="s">
        <v>2602</v>
      </c>
      <c r="B963" s="983" t="str">
        <f t="shared" si="63"/>
        <v>Anzahl Bruttoneueintritte per 01.01.2025 - (KIN)</v>
      </c>
      <c r="C963" s="946" t="str">
        <f>"Anzahl Bruttoneueintritte per 01.01."&amp;current_year&amp;" - (KIN)"</f>
        <v>Anzahl Bruttoneueintritte per 01.01.2025 - (KIN)</v>
      </c>
      <c r="D963" s="935" t="str">
        <f>"Nombre brut de nouveaux assurés au 01.01."&amp;current_year&amp;" (KIN)"</f>
        <v>Nombre brut de nouveaux assurés au 01.01.2025 (KIN)</v>
      </c>
      <c r="E963" s="946" t="str">
        <f>"Number of gross new entrants as at 01.01."&amp;current_year&amp;" - (KIN)"</f>
        <v>Number of gross new entrants as at 01.01.2025 - (KIN)</v>
      </c>
      <c r="F963" s="2260"/>
      <c r="I963" s="23"/>
    </row>
    <row r="964" spans="1:9" ht="38.25" x14ac:dyDescent="0.2">
      <c r="A964" s="2348" t="s">
        <v>2602</v>
      </c>
      <c r="B964" s="983" t="str">
        <f t="shared" si="63"/>
        <v>Anzahl Bruttoneueintritte per 01.01.2025 - (JUG+ERW)</v>
      </c>
      <c r="C964" s="946" t="str">
        <f>"Anzahl Bruttoneueintritte per 01.01."&amp;current_year&amp;" - (JUG+ERW)"</f>
        <v>Anzahl Bruttoneueintritte per 01.01.2025 - (JUG+ERW)</v>
      </c>
      <c r="D964" s="941" t="str">
        <f>"Nombre de nouvelles entrées brutes au 01.01."&amp;current_year&amp;" - (JUG+ERW)"</f>
        <v>Nombre de nouvelles entrées brutes au 01.01.2025 - (JUG+ERW)</v>
      </c>
      <c r="E964" s="941" t="str">
        <f>"Number of gross new entrants as at 01.01."&amp;current_year&amp;" - (JUG+ERW)"</f>
        <v>Number of gross new entrants as at 01.01.2025 - (JUG+ERW)</v>
      </c>
      <c r="F964" s="2260"/>
    </row>
    <row r="965" spans="1:9" ht="38.25" x14ac:dyDescent="0.2">
      <c r="A965" s="2348" t="s">
        <v>2602</v>
      </c>
      <c r="B965" s="983" t="str">
        <f t="shared" si="63"/>
        <v>durchsch. NL pro Versicherten - (KIN) (Kasse)</v>
      </c>
      <c r="C965" s="946" t="s">
        <v>2652</v>
      </c>
      <c r="D965" s="935" t="s">
        <v>2630</v>
      </c>
      <c r="E965" s="946" t="s">
        <v>2632</v>
      </c>
      <c r="F965" s="2260"/>
    </row>
    <row r="966" spans="1:9" ht="25.5" x14ac:dyDescent="0.2">
      <c r="A966" s="2348" t="s">
        <v>2602</v>
      </c>
      <c r="B966" s="983" t="str">
        <f t="shared" si="63"/>
        <v>1.20*durchschn. NL pro Versicherten - (KIN) (CH)</v>
      </c>
      <c r="C966" s="946" t="s">
        <v>2653</v>
      </c>
      <c r="D966" s="941" t="s">
        <v>2631</v>
      </c>
      <c r="E966" s="941" t="s">
        <v>2633</v>
      </c>
      <c r="F966" s="2260"/>
    </row>
    <row r="967" spans="1:9" ht="38.25" x14ac:dyDescent="0.2">
      <c r="A967" s="2348" t="s">
        <v>2602</v>
      </c>
      <c r="B967" s="983" t="str">
        <f t="shared" si="63"/>
        <v>durchschn. NL+RA pro Versicherten - (JUG+ERW) (Kasse)</v>
      </c>
      <c r="C967" s="946" t="s">
        <v>2654</v>
      </c>
      <c r="D967" s="935" t="s">
        <v>2634</v>
      </c>
      <c r="E967" s="946" t="s">
        <v>2635</v>
      </c>
      <c r="F967" s="2260"/>
    </row>
    <row r="968" spans="1:9" ht="38.25" x14ac:dyDescent="0.2">
      <c r="A968" s="2348" t="s">
        <v>2602</v>
      </c>
      <c r="B968" s="983" t="str">
        <f t="shared" si="63"/>
        <v>1.2*durchschn. NL+RA pro Versicherten - (JUG+ERW) (CH)</v>
      </c>
      <c r="C968" s="946" t="s">
        <v>2655</v>
      </c>
      <c r="D968" s="941" t="s">
        <v>2636</v>
      </c>
      <c r="E968" s="941" t="s">
        <v>2637</v>
      </c>
      <c r="F968" s="2260"/>
    </row>
    <row r="969" spans="1:9" ht="51" x14ac:dyDescent="0.2">
      <c r="A969" s="2348" t="s">
        <v>2602</v>
      </c>
      <c r="B969" s="983" t="str">
        <f t="shared" si="63"/>
        <v>Durchschnittliche Nettoleistungen und Risikoausgleichsbeträge (NL+RA) pro Franchise</v>
      </c>
      <c r="C969" s="946" t="s">
        <v>2607</v>
      </c>
      <c r="D969" s="935" t="s">
        <v>2603</v>
      </c>
      <c r="E969" s="946" t="s">
        <v>2638</v>
      </c>
      <c r="F969" s="2260"/>
    </row>
    <row r="970" spans="1:9" ht="51" x14ac:dyDescent="0.2">
      <c r="A970" s="2348" t="s">
        <v>2602</v>
      </c>
      <c r="B970" s="983" t="str">
        <f t="shared" si="63"/>
        <v>Durchschnittliche Nettoleistungen und Risikoausgleichsbeträge (NL+RA) pro Kanton</v>
      </c>
      <c r="C970" s="946" t="s">
        <v>2606</v>
      </c>
      <c r="D970" s="941" t="s">
        <v>2605</v>
      </c>
      <c r="E970" s="941" t="s">
        <v>2639</v>
      </c>
      <c r="F970" s="2260"/>
    </row>
    <row r="971" spans="1:9" ht="25.5" x14ac:dyDescent="0.2">
      <c r="A971" s="2348" t="s">
        <v>2602</v>
      </c>
      <c r="B971" s="983" t="str">
        <f t="shared" si="63"/>
        <v>Kantonale Kostenfaktoren</v>
      </c>
      <c r="C971" s="946" t="s">
        <v>2610</v>
      </c>
      <c r="D971" s="935" t="s">
        <v>2611</v>
      </c>
      <c r="E971" s="946" t="s">
        <v>2640</v>
      </c>
      <c r="F971" s="2260"/>
    </row>
    <row r="972" spans="1:9" ht="38.25" x14ac:dyDescent="0.2">
      <c r="A972" s="2348" t="s">
        <v>2602</v>
      </c>
      <c r="B972" s="983" t="str">
        <f t="shared" si="63"/>
        <v>Kostenfaktor in Bezug auf die kantonale Versichertenstruktur</v>
      </c>
      <c r="C972" s="946" t="s">
        <v>2604</v>
      </c>
      <c r="D972" s="941" t="s">
        <v>2597</v>
      </c>
      <c r="E972" s="941" t="s">
        <v>2641</v>
      </c>
      <c r="F972" s="2260"/>
    </row>
    <row r="973" spans="1:9" x14ac:dyDescent="0.2">
      <c r="A973" s="2348" t="s">
        <v>2602</v>
      </c>
      <c r="B973" s="983" t="str">
        <f t="shared" si="63"/>
        <v>Teuerung 2024</v>
      </c>
      <c r="C973" s="946" t="str">
        <f>"Teuerung "&amp;current_year-1</f>
        <v>Teuerung 2024</v>
      </c>
      <c r="D973" s="941" t="str">
        <f>"Renchérissement "&amp;current_year-1</f>
        <v>Renchérissement 2024</v>
      </c>
      <c r="E973" s="946" t="str">
        <f>"Costs increase "&amp;current_year-1</f>
        <v>Costs increase 2024</v>
      </c>
      <c r="F973" s="2260"/>
    </row>
    <row r="974" spans="1:9" x14ac:dyDescent="0.2">
      <c r="A974" s="2348" t="s">
        <v>2602</v>
      </c>
      <c r="B974" s="983" t="str">
        <f t="shared" si="63"/>
        <v>Teuerung 2025</v>
      </c>
      <c r="C974" s="946" t="str">
        <f>"Teuerung "&amp;current_year</f>
        <v>Teuerung 2025</v>
      </c>
      <c r="D974" s="941" t="str">
        <f>"Renchérissement "&amp;current_year</f>
        <v>Renchérissement 2025</v>
      </c>
      <c r="E974" s="941" t="str">
        <f>"Costs increase "&amp;current_year</f>
        <v>Costs increase 2025</v>
      </c>
      <c r="F974" s="2260"/>
    </row>
    <row r="975" spans="1:9" ht="41.25" customHeight="1" x14ac:dyDescent="0.2">
      <c r="A975" s="2341" t="s">
        <v>1543</v>
      </c>
      <c r="B975" s="983" t="str">
        <f t="shared" si="63"/>
        <v>Nettoleistungen und Risikoausgleich 2025 in Fr. (neuer Bestand)</v>
      </c>
      <c r="C975" s="946" t="str">
        <f>"Nettoleistungen und Risikoausgleich "&amp;current_year&amp;" in Fr. (neuer Bestand)"</f>
        <v>Nettoleistungen und Risikoausgleich 2025 in Fr. (neuer Bestand)</v>
      </c>
      <c r="D975" s="941" t="str">
        <f>"Prestations nettes et compensation des risques "&amp;current_year&amp;" en Fr. (nouvel effectif)"</f>
        <v>Prestations nettes et compensation des risques 2025 en Fr. (nouvel effectif)</v>
      </c>
      <c r="E975" s="946" t="str">
        <f>"Net claims and risk compensation in "&amp;current_year&amp;" in CHF (new insured)"</f>
        <v>Net claims and risk compensation in 2025 in CHF (new insured)</v>
      </c>
      <c r="F975" s="2260"/>
    </row>
    <row r="976" spans="1:9" ht="25.5" x14ac:dyDescent="0.2">
      <c r="A976" s="2341" t="s">
        <v>1543</v>
      </c>
      <c r="B976" s="983" t="str">
        <f t="shared" si="63"/>
        <v>davon : verbleibender Bestand (Durchschnitt)</v>
      </c>
      <c r="C976" s="2415" t="s">
        <v>2685</v>
      </c>
      <c r="D976" s="941" t="s">
        <v>2686</v>
      </c>
      <c r="E976" s="941" t="s">
        <v>2687</v>
      </c>
      <c r="F976" s="2260"/>
    </row>
    <row r="977" spans="1:6" ht="51" x14ac:dyDescent="0.2">
      <c r="A977" s="2341" t="s">
        <v>1543</v>
      </c>
      <c r="B977" s="983" t="str">
        <f t="shared" ref="B977:B983" si="64">IF(VLOOKUP(A977,A977:E977,language+2)="",VLOOKUP(A977,A977:E977,3),VLOOKUP(A977,A977:E977,language+2))</f>
        <v>Anzahl Bruttoneueintritte per 01.01.2025 (nur JUG und ERW, ohne KIN)</v>
      </c>
      <c r="C977" s="946" t="str">
        <f>"Anzahl Bruttoneueintritte per 01.01."&amp;current_year&amp;" (nur JUG und ERW, ohne KIN)"</f>
        <v>Anzahl Bruttoneueintritte per 01.01.2025 (nur JUG und ERW, ohne KIN)</v>
      </c>
      <c r="D977" s="941" t="str">
        <f>"Nombre brut de nouveaux assurés au 01.01."&amp;current_year&amp;" (seulement JUG et ERW, sans KIN)"</f>
        <v>Nombre brut de nouveaux assurés au 01.01.2025 (seulement JUG et ERW, sans KIN)</v>
      </c>
      <c r="E977" s="946" t="str">
        <f>"Number of gross new entrants as at 01.01."&amp;current_year&amp;" (only JUG and ERW, without KIN)"</f>
        <v>Number of gross new entrants as at 01.01.2025 (only JUG and ERW, without KIN)</v>
      </c>
      <c r="F977" s="2260"/>
    </row>
    <row r="978" spans="1:6" ht="25.5" x14ac:dyDescent="0.2">
      <c r="A978" s="2341" t="s">
        <v>1543</v>
      </c>
      <c r="B978" s="983" t="str">
        <f t="shared" si="64"/>
        <v>Prämienvolumen des Vorjahres</v>
      </c>
      <c r="C978" s="946" t="s">
        <v>2621</v>
      </c>
      <c r="D978" s="941" t="s">
        <v>2620</v>
      </c>
      <c r="E978" s="941" t="s">
        <v>2642</v>
      </c>
      <c r="F978" s="2260"/>
    </row>
    <row r="979" spans="1:6" ht="63.75" x14ac:dyDescent="0.2">
      <c r="A979" s="2341">
        <v>38</v>
      </c>
      <c r="B979" s="983" t="str">
        <f t="shared" si="64"/>
        <v>Erwartete Versicherungsrendite für das Behandlungsjahr 2025 (OKP) - (nicht zur Berechnung verwendet)</v>
      </c>
      <c r="C979" s="946" t="str">
        <f>"Erwartete Versicherungsrendite für das Behandlungsjahr "&amp;current_year&amp;" (OKP) - (nicht zur Berechnung verwendet)"</f>
        <v>Erwartete Versicherungsrendite für das Behandlungsjahr 2025 (OKP) - (nicht zur Berechnung verwendet)</v>
      </c>
      <c r="D979" s="941" t="str">
        <f>"Rendement attendu d'assurance pour l'année de traitement "&amp;current_year&amp;" (AOS) - (pas utilisé pour le calcul)"</f>
        <v>Rendement attendu d'assurance pour l'année de traitement 2025 (AOS) - (pas utilisé pour le calcul)</v>
      </c>
      <c r="E979" s="946" t="str">
        <f>"Expected insurance return for treatment year "&amp;current_year&amp;" (OKP) - (not used for caculation)"</f>
        <v>Expected insurance return for treatment year 2025 (OKP) - (not used for caculation)</v>
      </c>
      <c r="F979" s="2260"/>
    </row>
    <row r="980" spans="1:6" ht="38.25" x14ac:dyDescent="0.2">
      <c r="A980" s="2341">
        <v>38</v>
      </c>
      <c r="B980" s="983" t="str">
        <f t="shared" si="64"/>
        <v>Combined Ratio 2025 (bei der Prämiengenehmigung erwartet)</v>
      </c>
      <c r="C980" s="946" t="str">
        <f>"Combined Ratio "&amp;current_year&amp;" (bei der Prämiengenehmigung erwartet)"</f>
        <v>Combined Ratio 2025 (bei der Prämiengenehmigung erwartet)</v>
      </c>
      <c r="D980" s="941" t="str">
        <f>"Combined ratio "&amp;current_year&amp;" (attendu à l'approbation des primes)"</f>
        <v>Combined ratio 2025 (attendu à l'approbation des primes)</v>
      </c>
      <c r="E980" s="941" t="str">
        <f>"Combined ratio "&amp;current_year&amp;" (expected at premium approval)"</f>
        <v>Combined ratio 2025 (expected at premium approval)</v>
      </c>
      <c r="F980" s="2260"/>
    </row>
    <row r="981" spans="1:6" ht="25.5" x14ac:dyDescent="0.2">
      <c r="A981" s="2341">
        <v>38</v>
      </c>
      <c r="B981" s="983" t="str">
        <f t="shared" si="64"/>
        <v>Unerwartete Teuerung 2024</v>
      </c>
      <c r="C981" s="941" t="str">
        <f>"Unerwartete Teuerung "&amp;current_year-1</f>
        <v>Unerwartete Teuerung 2024</v>
      </c>
      <c r="D981" s="941" t="str">
        <f>"Renchérissement innattendu "&amp;current_year-1</f>
        <v>Renchérissement innattendu 2024</v>
      </c>
      <c r="E981" s="941" t="str">
        <f>"Unexpected costs increase "&amp;current_year-1</f>
        <v>Unexpected costs increase 2024</v>
      </c>
      <c r="F981" s="2260"/>
    </row>
    <row r="982" spans="1:6" ht="25.5" x14ac:dyDescent="0.2">
      <c r="A982" s="2341">
        <v>38</v>
      </c>
      <c r="B982" s="983" t="str">
        <f t="shared" si="64"/>
        <v>OKP CH</v>
      </c>
      <c r="C982" s="941" t="s">
        <v>2612</v>
      </c>
      <c r="D982" s="941" t="s">
        <v>2613</v>
      </c>
      <c r="E982" s="993" t="s">
        <v>2643</v>
      </c>
      <c r="F982" s="2260"/>
    </row>
    <row r="983" spans="1:6" ht="25.5" x14ac:dyDescent="0.2">
      <c r="A983" s="2341">
        <v>38</v>
      </c>
      <c r="B983" s="983" t="str">
        <f t="shared" si="64"/>
        <v>OKP EU</v>
      </c>
      <c r="C983" s="941" t="s">
        <v>2169</v>
      </c>
      <c r="D983" s="941" t="s">
        <v>2614</v>
      </c>
      <c r="E983" s="993" t="s">
        <v>2644</v>
      </c>
      <c r="F983" s="2260"/>
    </row>
    <row r="984" spans="1:6" ht="25.5" x14ac:dyDescent="0.2">
      <c r="A984" s="2341" t="s">
        <v>2602</v>
      </c>
      <c r="B984" s="983" t="str">
        <f>IF(VLOOKUP(A984,A984:E984,language+2)="",VLOOKUP(A984,A984:E984,3),VLOOKUP(A984,A984:E984,language+2))</f>
        <v>nicht kalkulierte Zusatzkosten Total - (KIN)</v>
      </c>
      <c r="C984" s="941" t="s">
        <v>2608</v>
      </c>
      <c r="D984" s="941" t="s">
        <v>2648</v>
      </c>
      <c r="E984" s="993" t="s">
        <v>2649</v>
      </c>
    </row>
    <row r="985" spans="1:6" ht="38.25" x14ac:dyDescent="0.2">
      <c r="A985" s="2341" t="s">
        <v>2602</v>
      </c>
      <c r="B985" s="983" t="str">
        <f>IF(VLOOKUP(A985,A985:E985,language+2)="",VLOOKUP(A985,A985:E985,3),VLOOKUP(A985,A985:E985,language+2))</f>
        <v>nicht kalkulierte Zusatzkosten - (JUG+ERW)</v>
      </c>
      <c r="C985" s="941" t="s">
        <v>2609</v>
      </c>
      <c r="D985" s="941" t="s">
        <v>2650</v>
      </c>
      <c r="E985" s="993" t="s">
        <v>2651</v>
      </c>
    </row>
    <row r="986" spans="1:6" x14ac:dyDescent="0.2">
      <c r="A986" s="2341" t="s">
        <v>2602</v>
      </c>
      <c r="B986" s="983" t="str">
        <f>IF(VLOOKUP(A986,A986:E986,language+2)="",VLOOKUP(A986,A986:E986,3),VLOOKUP(A986,A986:E986,language+2))</f>
        <v>Teuerung 2024</v>
      </c>
      <c r="C986" s="941" t="str">
        <f>"Teuerung "&amp;current_year-1</f>
        <v>Teuerung 2024</v>
      </c>
      <c r="D986" s="941" t="str">
        <f>"Renchérissement " &amp; current_year-1</f>
        <v>Renchérissement 2024</v>
      </c>
      <c r="E986" s="993" t="str">
        <f>"Costs increase "&amp;current_year-1</f>
        <v>Costs increase 2024</v>
      </c>
    </row>
    <row r="987" spans="1:6" x14ac:dyDescent="0.2">
      <c r="A987" s="2341" t="s">
        <v>2602</v>
      </c>
      <c r="B987" s="983" t="str">
        <f>IF(VLOOKUP(A987,A987:E987,language+2)="",VLOOKUP(A987,A987:E987,3),VLOOKUP(A987,A987:E987,language+2))</f>
        <v>Teuerung 2025</v>
      </c>
      <c r="C987" s="941" t="str">
        <f>"Teuerung "&amp;current_year</f>
        <v>Teuerung 2025</v>
      </c>
      <c r="D987" s="941" t="str">
        <f>"Renchérissement " &amp; current_year</f>
        <v>Renchérissement 2025</v>
      </c>
      <c r="E987" s="993" t="str">
        <f>"Costs increase "&amp;current_year</f>
        <v>Costs increase 2025</v>
      </c>
    </row>
  </sheetData>
  <protectedRanges>
    <protectedRange sqref="C355:C356 C359:C360" name="Bereich1"/>
    <protectedRange sqref="C354 C361 C357:C358" name="Bereich1_2"/>
  </protectedRanges>
  <autoFilter ref="C10:E10" xr:uid="{00000000-0009-0000-0000-000003000000}"/>
  <customSheetViews>
    <customSheetView guid="{F15DEFD8-B0F4-4CC3-8896-92BF7E7815B1}" scale="75">
      <selection activeCell="I17" sqref="I17"/>
      <pageMargins left="0.78740157499999996" right="0.78740157499999996" top="0.984251969" bottom="0.984251969" header="0.4921259845" footer="0.4921259845"/>
      <pageSetup paperSize="9" orientation="portrait" r:id="rId1"/>
      <headerFooter alignWithMargins="0"/>
    </customSheetView>
  </customSheetViews>
  <hyperlinks>
    <hyperlink ref="D168" r:id="rId2" display="http://dict.leo.org/frde?lp=frde&amp;p=Ci4HO3kMAA&amp;search=r%C3%A9sultat&amp;trestr=0x8001" xr:uid="{00000000-0004-0000-0300-000000000000}"/>
    <hyperlink ref="D574" location="/search=l%C3%A9gende&amp;searchLoc=0&amp;resultOrder=basic&amp;multiwordShowSingle=on" display="/search=l%C3%A9gende&amp;searchLoc=0&amp;resultOrder=basic&amp;multiwordShowSingle=on" xr:uid="{00000000-0004-0000-0300-000001000000}"/>
    <hyperlink ref="A1" location="list_of_sheets!A1" display="4b" xr:uid="{00000000-0004-0000-0300-000002000000}"/>
  </hyperlinks>
  <pageMargins left="0.78740157480314965" right="0.78740157480314965" top="0.98425196850393704" bottom="0.98425196850393704" header="0.51181102362204722" footer="0.51181102362204722"/>
  <pageSetup paperSize="9" scale="61" fitToHeight="30" orientation="portrait" r:id="rId3"/>
  <headerFooter alignWithMargins="0">
    <oddHeader>&amp;R&amp;"Arial,Fett"&amp;12KVG-Solvenztest
Test de solvabilité LAMal</oddHeader>
    <oddFooter>&amp;L&amp;F / &amp;A&amp;C&amp;P /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800000"/>
    <pageSetUpPr autoPageBreaks="0" fitToPage="1"/>
  </sheetPr>
  <dimension ref="A1:IV53"/>
  <sheetViews>
    <sheetView workbookViewId="0"/>
  </sheetViews>
  <sheetFormatPr baseColWidth="10" defaultColWidth="5.5703125" defaultRowHeight="12.75" x14ac:dyDescent="0.2"/>
  <cols>
    <col min="1" max="1" width="5.5703125" customWidth="1"/>
    <col min="2" max="2" width="20.42578125" customWidth="1"/>
    <col min="3" max="3" width="12.5703125" bestFit="1" customWidth="1"/>
    <col min="4" max="4" width="9.28515625" bestFit="1" customWidth="1"/>
    <col min="5" max="5" width="9.42578125" bestFit="1" customWidth="1"/>
    <col min="6" max="6" width="12.5703125" customWidth="1"/>
    <col min="7" max="7" width="7" customWidth="1"/>
    <col min="8" max="8" width="7.42578125" customWidth="1"/>
    <col min="9" max="9" width="8.5703125" customWidth="1"/>
    <col min="10" max="10" width="7.5703125" customWidth="1"/>
    <col min="11" max="12" width="7" customWidth="1"/>
    <col min="13" max="52" width="6" customWidth="1"/>
  </cols>
  <sheetData>
    <row r="1" spans="1:256" s="268" customFormat="1" ht="21" thickBot="1" x14ac:dyDescent="0.25">
      <c r="A1" s="2193">
        <v>5</v>
      </c>
      <c r="B1" s="267" t="str">
        <f>Translation!B45</f>
        <v>Parameter</v>
      </c>
      <c r="K1" s="323"/>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row>
    <row r="2" spans="1:256" s="326" customFormat="1" ht="20.100000000000001" customHeight="1" x14ac:dyDescent="0.2">
      <c r="A2" s="325"/>
      <c r="B2" s="178" t="str">
        <f>Inputparam!C8</f>
        <v xml:space="preserve">0000 </v>
      </c>
    </row>
    <row r="3" spans="1:256" x14ac:dyDescent="0.2">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row>
    <row r="4" spans="1:256" ht="15.75" x14ac:dyDescent="0.25">
      <c r="A4" s="9"/>
      <c r="B4" s="119" t="str">
        <f>Translation!B46</f>
        <v>Stichtag</v>
      </c>
      <c r="C4" s="1582" t="str">
        <f>"01.01."&amp; current_year</f>
        <v>01.01.2025</v>
      </c>
      <c r="D4" s="650"/>
      <c r="E4" s="649"/>
      <c r="F4" s="649"/>
      <c r="G4" s="119"/>
      <c r="H4" s="119"/>
      <c r="I4" s="119"/>
      <c r="J4" s="119"/>
      <c r="K4" s="11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row>
    <row r="5" spans="1:256" x14ac:dyDescent="0.2">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row>
    <row r="6" spans="1:256" ht="15.75" x14ac:dyDescent="0.25">
      <c r="B6" s="119" t="str">
        <f>Translation!B47</f>
        <v>Name des Versicherers</v>
      </c>
      <c r="C6" s="122"/>
      <c r="D6" s="122"/>
      <c r="E6" s="122"/>
      <c r="F6" s="122"/>
      <c r="G6" s="119"/>
      <c r="H6" s="119"/>
      <c r="I6" s="119"/>
      <c r="J6" s="119"/>
      <c r="K6" s="119"/>
    </row>
    <row r="7" spans="1:256" ht="8.1" customHeight="1" x14ac:dyDescent="0.2">
      <c r="B7" s="19"/>
    </row>
    <row r="8" spans="1:256" x14ac:dyDescent="0.2">
      <c r="B8" s="19" t="str">
        <f>Translation!B47</f>
        <v>Name des Versicherers</v>
      </c>
      <c r="C8" s="1021" t="str">
        <f>TEXT(C9, "0000 ")&amp;C10</f>
        <v xml:space="preserve">0000 </v>
      </c>
      <c r="D8" s="118"/>
      <c r="E8" s="118"/>
      <c r="F8" s="118"/>
      <c r="G8" s="118"/>
      <c r="H8" s="118"/>
      <c r="I8" s="118"/>
      <c r="J8" s="118"/>
      <c r="K8" s="924"/>
    </row>
    <row r="9" spans="1:256" x14ac:dyDescent="0.2">
      <c r="B9" s="19" t="str">
        <f>Translation!B48</f>
        <v>BAG-Nummer:</v>
      </c>
      <c r="C9" s="925"/>
    </row>
    <row r="10" spans="1:256" x14ac:dyDescent="0.2">
      <c r="A10" s="9"/>
      <c r="B10" s="19" t="str">
        <f>Translation!B49</f>
        <v>Name des Versicherers:</v>
      </c>
      <c r="C10" s="904"/>
      <c r="D10" s="130"/>
      <c r="E10" s="130"/>
      <c r="F10" s="130"/>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row>
    <row r="11" spans="1:256" ht="15.75" x14ac:dyDescent="0.25">
      <c r="B11" s="119" t="str">
        <f>Translation!B50</f>
        <v>Art des Versicherers</v>
      </c>
      <c r="C11" s="122"/>
      <c r="D11" s="122"/>
      <c r="E11" s="122"/>
      <c r="F11" s="122"/>
      <c r="G11" s="119"/>
      <c r="H11" s="119"/>
      <c r="I11" s="119"/>
      <c r="J11" s="119"/>
      <c r="K11" s="119"/>
    </row>
    <row r="12" spans="1:256" ht="8.1" customHeight="1" x14ac:dyDescent="0.2">
      <c r="B12" s="19"/>
    </row>
    <row r="13" spans="1:256" x14ac:dyDescent="0.2">
      <c r="B13" s="19" t="str">
        <f>Translation!B51</f>
        <v>Art des Versicherers:</v>
      </c>
      <c r="C13" s="1022" t="s">
        <v>354</v>
      </c>
      <c r="E13" s="528" t="str">
        <f>IF(AND(NOT(ISBLANK(C13)),type_i_of_insurer=0),"! Wrong input !","")</f>
        <v/>
      </c>
      <c r="F13" s="528"/>
      <c r="K13" s="277" t="str">
        <f>UPPER(C13)</f>
        <v>HEALTH</v>
      </c>
    </row>
    <row r="14" spans="1:256" s="9" customFormat="1" ht="8.1" customHeight="1" x14ac:dyDescent="0.2">
      <c r="B14" s="20"/>
      <c r="C14" s="1"/>
      <c r="K14" s="486"/>
    </row>
    <row r="15" spans="1:256" x14ac:dyDescent="0.2">
      <c r="B15" s="19"/>
      <c r="C15" s="19" t="str">
        <f>Translation!B52</f>
        <v>bitte eingeben</v>
      </c>
      <c r="D15" s="25" t="s">
        <v>352</v>
      </c>
      <c r="E15" t="str">
        <f>Translation!B53</f>
        <v>oder</v>
      </c>
      <c r="K15" s="277"/>
    </row>
    <row r="16" spans="1:256" x14ac:dyDescent="0.2">
      <c r="B16" s="19"/>
      <c r="D16" s="25" t="s">
        <v>353</v>
      </c>
      <c r="E16" t="str">
        <f>Translation!B53</f>
        <v>oder</v>
      </c>
      <c r="K16" s="277"/>
    </row>
    <row r="17" spans="1:56" x14ac:dyDescent="0.2">
      <c r="D17" s="487" t="s">
        <v>354</v>
      </c>
      <c r="K17" s="27">
        <f>IF(C13="LIFE",1,0)+IF(OR(C13="NONLIFE",C13="NON LIFE",C13="NON-LIFE"),2,0)+IF(C13="HEALTH",3,0)</f>
        <v>3</v>
      </c>
    </row>
    <row r="18" spans="1:56" x14ac:dyDescent="0.2">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row>
    <row r="19" spans="1:56" x14ac:dyDescent="0.2">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row>
    <row r="20" spans="1:56" ht="15.75" x14ac:dyDescent="0.25">
      <c r="B20" s="119" t="str">
        <f>"Zero coupon rates z(t) at 31.12.2024 in percent"</f>
        <v>Zero coupon rates z(t) at 31.12.2024 in percent</v>
      </c>
      <c r="C20" s="122"/>
      <c r="D20" s="122"/>
      <c r="E20" s="122"/>
      <c r="F20" s="122"/>
      <c r="G20" s="119"/>
      <c r="H20" s="119"/>
      <c r="I20" s="119"/>
      <c r="J20" s="119"/>
      <c r="K20" s="598" t="s">
        <v>24</v>
      </c>
    </row>
    <row r="21" spans="1:56" x14ac:dyDescent="0.2">
      <c r="B21" s="23" t="s">
        <v>1775</v>
      </c>
    </row>
    <row r="22" spans="1:56" ht="8.1" customHeight="1" x14ac:dyDescent="0.2"/>
    <row r="23" spans="1:56" s="38" customFormat="1" ht="15.75" customHeight="1" x14ac:dyDescent="0.2">
      <c r="A23" s="2201"/>
      <c r="B23" s="125" t="s">
        <v>75</v>
      </c>
      <c r="C23" s="124">
        <v>1</v>
      </c>
      <c r="D23" s="123">
        <f t="shared" ref="D23:AI23" si="0">1+C23</f>
        <v>2</v>
      </c>
      <c r="E23" s="123">
        <f t="shared" si="0"/>
        <v>3</v>
      </c>
      <c r="F23" s="123">
        <f t="shared" si="0"/>
        <v>4</v>
      </c>
      <c r="G23" s="123">
        <f t="shared" si="0"/>
        <v>5</v>
      </c>
      <c r="H23" s="123">
        <f t="shared" si="0"/>
        <v>6</v>
      </c>
      <c r="I23" s="123">
        <f t="shared" si="0"/>
        <v>7</v>
      </c>
      <c r="J23" s="123">
        <f t="shared" si="0"/>
        <v>8</v>
      </c>
      <c r="K23" s="123">
        <f t="shared" si="0"/>
        <v>9</v>
      </c>
      <c r="L23" s="123">
        <f t="shared" si="0"/>
        <v>10</v>
      </c>
      <c r="M23" s="123">
        <f t="shared" si="0"/>
        <v>11</v>
      </c>
      <c r="N23" s="123">
        <f t="shared" si="0"/>
        <v>12</v>
      </c>
      <c r="O23" s="123">
        <f t="shared" si="0"/>
        <v>13</v>
      </c>
      <c r="P23" s="123">
        <f t="shared" si="0"/>
        <v>14</v>
      </c>
      <c r="Q23" s="123">
        <f t="shared" si="0"/>
        <v>15</v>
      </c>
      <c r="R23" s="123">
        <f t="shared" si="0"/>
        <v>16</v>
      </c>
      <c r="S23" s="123">
        <f t="shared" si="0"/>
        <v>17</v>
      </c>
      <c r="T23" s="123">
        <f t="shared" si="0"/>
        <v>18</v>
      </c>
      <c r="U23" s="123">
        <f t="shared" si="0"/>
        <v>19</v>
      </c>
      <c r="V23" s="123">
        <f t="shared" si="0"/>
        <v>20</v>
      </c>
      <c r="W23" s="123">
        <f t="shared" si="0"/>
        <v>21</v>
      </c>
      <c r="X23" s="123">
        <f t="shared" si="0"/>
        <v>22</v>
      </c>
      <c r="Y23" s="123">
        <f t="shared" si="0"/>
        <v>23</v>
      </c>
      <c r="Z23" s="123">
        <f t="shared" si="0"/>
        <v>24</v>
      </c>
      <c r="AA23" s="123">
        <f t="shared" si="0"/>
        <v>25</v>
      </c>
      <c r="AB23" s="123">
        <f t="shared" si="0"/>
        <v>26</v>
      </c>
      <c r="AC23" s="123">
        <f t="shared" si="0"/>
        <v>27</v>
      </c>
      <c r="AD23" s="123">
        <f t="shared" si="0"/>
        <v>28</v>
      </c>
      <c r="AE23" s="123">
        <f t="shared" si="0"/>
        <v>29</v>
      </c>
      <c r="AF23" s="123">
        <f t="shared" si="0"/>
        <v>30</v>
      </c>
      <c r="AG23" s="123">
        <f t="shared" si="0"/>
        <v>31</v>
      </c>
      <c r="AH23" s="123">
        <f t="shared" si="0"/>
        <v>32</v>
      </c>
      <c r="AI23" s="123">
        <f t="shared" si="0"/>
        <v>33</v>
      </c>
      <c r="AJ23" s="123">
        <f t="shared" ref="AJ23:AZ23" si="1">1+AI23</f>
        <v>34</v>
      </c>
      <c r="AK23" s="123">
        <f t="shared" si="1"/>
        <v>35</v>
      </c>
      <c r="AL23" s="123">
        <f t="shared" si="1"/>
        <v>36</v>
      </c>
      <c r="AM23" s="123">
        <f t="shared" si="1"/>
        <v>37</v>
      </c>
      <c r="AN23" s="123">
        <f t="shared" si="1"/>
        <v>38</v>
      </c>
      <c r="AO23" s="123">
        <f t="shared" si="1"/>
        <v>39</v>
      </c>
      <c r="AP23" s="123">
        <f t="shared" si="1"/>
        <v>40</v>
      </c>
      <c r="AQ23" s="123">
        <f t="shared" si="1"/>
        <v>41</v>
      </c>
      <c r="AR23" s="123">
        <f t="shared" si="1"/>
        <v>42</v>
      </c>
      <c r="AS23" s="123">
        <f t="shared" si="1"/>
        <v>43</v>
      </c>
      <c r="AT23" s="123">
        <f t="shared" si="1"/>
        <v>44</v>
      </c>
      <c r="AU23" s="123">
        <f t="shared" si="1"/>
        <v>45</v>
      </c>
      <c r="AV23" s="123">
        <f t="shared" si="1"/>
        <v>46</v>
      </c>
      <c r="AW23" s="123">
        <f t="shared" si="1"/>
        <v>47</v>
      </c>
      <c r="AX23" s="123">
        <f t="shared" si="1"/>
        <v>48</v>
      </c>
      <c r="AY23" s="123">
        <f t="shared" si="1"/>
        <v>49</v>
      </c>
      <c r="AZ23" s="123">
        <f t="shared" si="1"/>
        <v>50</v>
      </c>
    </row>
    <row r="24" spans="1:56" x14ac:dyDescent="0.2">
      <c r="A24" s="2202"/>
      <c r="B24" s="127" t="s">
        <v>79</v>
      </c>
      <c r="C24" s="2221">
        <v>9.1420006628673001E-2</v>
      </c>
      <c r="D24" s="2221">
        <v>4.0545125003177418E-3</v>
      </c>
      <c r="E24" s="2221">
        <v>2.5688580647931225E-2</v>
      </c>
      <c r="F24" s="2221">
        <v>7.1238121760042183E-2</v>
      </c>
      <c r="G24" s="2221">
        <v>0.12102185850064728</v>
      </c>
      <c r="H24" s="2221">
        <v>0.16900319963351063</v>
      </c>
      <c r="I24" s="2221">
        <v>0.2130446566205757</v>
      </c>
      <c r="J24" s="2221">
        <v>0.25242676210057713</v>
      </c>
      <c r="K24" s="2221">
        <v>0.28702449550792597</v>
      </c>
      <c r="L24" s="2221">
        <v>0.31698122566639064</v>
      </c>
      <c r="M24" s="2221">
        <v>0.34106051021147721</v>
      </c>
      <c r="N24" s="2221">
        <v>0.36073302415180475</v>
      </c>
      <c r="O24" s="2221">
        <v>0.37765677721910418</v>
      </c>
      <c r="P24" s="2221">
        <v>0.39301092012267169</v>
      </c>
      <c r="Q24" s="2221">
        <v>0.40766116217987314</v>
      </c>
      <c r="R24" s="2221">
        <v>0.42214444521131433</v>
      </c>
      <c r="S24" s="2221">
        <v>0.43643573557035076</v>
      </c>
      <c r="T24" s="2221">
        <v>0.4504254371872296</v>
      </c>
      <c r="U24" s="2221">
        <v>0.46404082764701649</v>
      </c>
      <c r="V24" s="2221">
        <v>0.47723540291886302</v>
      </c>
      <c r="W24" s="2221">
        <v>0.48998143201393063</v>
      </c>
      <c r="X24" s="2221">
        <v>0.50226467835305932</v>
      </c>
      <c r="Y24" s="2221">
        <v>0.51408061087023782</v>
      </c>
      <c r="Z24" s="2221">
        <v>0.52543165616536491</v>
      </c>
      <c r="AA24" s="2221">
        <v>0.53632518866413292</v>
      </c>
      <c r="AB24" s="2221">
        <v>0.54677205062152456</v>
      </c>
      <c r="AC24" s="2221">
        <v>0.5567854567914754</v>
      </c>
      <c r="AD24" s="2221">
        <v>0.5663801811167879</v>
      </c>
      <c r="AE24" s="2221">
        <v>0.57557195196213939</v>
      </c>
      <c r="AF24" s="2221">
        <v>0.58437700270335124</v>
      </c>
      <c r="AG24" s="2221">
        <v>0.59281173878198423</v>
      </c>
      <c r="AH24" s="2221">
        <v>0.6008924925281045</v>
      </c>
      <c r="AI24" s="2221">
        <v>0.60863534440147582</v>
      </c>
      <c r="AJ24" s="2221">
        <v>0.61605599464953364</v>
      </c>
      <c r="AK24" s="2221">
        <v>0.62316967331097484</v>
      </c>
      <c r="AL24" s="2221">
        <v>0.62999107940411303</v>
      </c>
      <c r="AM24" s="2221">
        <v>0.63653434231369932</v>
      </c>
      <c r="AN24" s="2221">
        <v>0.64281300002382302</v>
      </c>
      <c r="AO24" s="2221">
        <v>0.64883999008129578</v>
      </c>
      <c r="AP24" s="2221">
        <v>0.65462765011627955</v>
      </c>
      <c r="AQ24" s="2221">
        <v>0.66018772546705407</v>
      </c>
      <c r="AR24" s="2221">
        <v>0.66553138201039808</v>
      </c>
      <c r="AS24" s="2221">
        <v>0.67066922272747131</v>
      </c>
      <c r="AT24" s="2221">
        <v>0.67561130686695225</v>
      </c>
      <c r="AU24" s="2221">
        <v>0.68036717082569087</v>
      </c>
      <c r="AV24" s="2221">
        <v>0.6849458500687966</v>
      </c>
      <c r="AW24" s="2221">
        <v>0.68935590156873339</v>
      </c>
      <c r="AX24" s="2221">
        <v>0.69360542636642819</v>
      </c>
      <c r="AY24" s="2221">
        <v>0.69770209195467725</v>
      </c>
      <c r="AZ24" s="2221">
        <v>0.70165315425989583</v>
      </c>
    </row>
    <row r="25" spans="1:56" s="9" customFormat="1" x14ac:dyDescent="0.2">
      <c r="A25" s="2202"/>
      <c r="B25" s="131" t="s">
        <v>76</v>
      </c>
      <c r="C25" s="1215">
        <v>2.0420000000001881</v>
      </c>
      <c r="D25" s="1216">
        <v>1.8940000000001511</v>
      </c>
      <c r="E25" s="1216">
        <v>1.8890000000001406</v>
      </c>
      <c r="F25" s="1216">
        <v>1.9200000000001438</v>
      </c>
      <c r="G25" s="1216">
        <v>1.9480000000001274</v>
      </c>
      <c r="H25" s="1216">
        <v>1.9740000000001423</v>
      </c>
      <c r="I25" s="1216">
        <v>1.9980000000001441</v>
      </c>
      <c r="J25" s="1216">
        <v>2.0230000000001302</v>
      </c>
      <c r="K25" s="1216">
        <v>2.047000000000132</v>
      </c>
      <c r="L25" s="1216">
        <v>2.0700000000001051</v>
      </c>
      <c r="M25" s="1216">
        <v>2.09098223325348</v>
      </c>
      <c r="N25" s="1216">
        <v>2.1085813934141662</v>
      </c>
      <c r="O25" s="1216">
        <v>2.1217651108195623</v>
      </c>
      <c r="P25" s="1216">
        <v>2.1297696106594266</v>
      </c>
      <c r="Q25" s="1216">
        <v>2.1320000000000894</v>
      </c>
      <c r="R25" s="1216">
        <v>2.1281734028127719</v>
      </c>
      <c r="S25" s="1216">
        <v>2.118794981119021</v>
      </c>
      <c r="T25" s="1216">
        <v>2.1043999367520883</v>
      </c>
      <c r="U25" s="1216">
        <v>2.0853757852443922</v>
      </c>
      <c r="V25" s="1216">
        <v>2.0620000000000971</v>
      </c>
      <c r="W25" s="1216">
        <v>2.0347565513568977</v>
      </c>
      <c r="X25" s="1216">
        <v>2.0051049078744221</v>
      </c>
      <c r="Y25" s="1216">
        <v>1.9744541149917527</v>
      </c>
      <c r="Z25" s="1216">
        <v>1.943919016696305</v>
      </c>
      <c r="AA25" s="1216">
        <v>1.9143831105737252</v>
      </c>
      <c r="AB25" s="1216">
        <v>1.8865487377537127</v>
      </c>
      <c r="AC25" s="1216">
        <v>1.8609775359372804</v>
      </c>
      <c r="AD25" s="1216">
        <v>1.8381233436827182</v>
      </c>
      <c r="AE25" s="1216">
        <v>1.8183592342499555</v>
      </c>
      <c r="AF25" s="1216">
        <v>1.8020000000000591</v>
      </c>
      <c r="AG25" s="1216">
        <v>1.7891703787293212</v>
      </c>
      <c r="AH25" s="1216">
        <v>1.7794123855361832</v>
      </c>
      <c r="AI25" s="1216">
        <v>1.7722116273286126</v>
      </c>
      <c r="AJ25" s="1216">
        <v>1.7671409187577591</v>
      </c>
      <c r="AK25" s="1216">
        <v>1.7638443646788238</v>
      </c>
      <c r="AL25" s="1216">
        <v>1.7620246219666846</v>
      </c>
      <c r="AM25" s="1216">
        <v>1.7614326452239037</v>
      </c>
      <c r="AN25" s="1216">
        <v>1.7618593865562193</v>
      </c>
      <c r="AO25" s="1216">
        <v>1.763129042611089</v>
      </c>
      <c r="AP25" s="1216">
        <v>1.7650935342335528</v>
      </c>
      <c r="AQ25" s="1216">
        <v>1.7676279736917655</v>
      </c>
      <c r="AR25" s="1216">
        <v>1.7706269273846553</v>
      </c>
      <c r="AS25" s="1216">
        <v>1.7740013225360229</v>
      </c>
      <c r="AT25" s="1216">
        <v>1.7776758777005464</v>
      </c>
      <c r="AU25" s="1216">
        <v>1.7815869612314295</v>
      </c>
      <c r="AV25" s="1216">
        <v>1.7856808008650749</v>
      </c>
      <c r="AW25" s="1216">
        <v>1.7899119825129262</v>
      </c>
      <c r="AX25" s="1216">
        <v>1.7942421881518955</v>
      </c>
      <c r="AY25" s="1216">
        <v>1.7986391320777173</v>
      </c>
      <c r="AZ25" s="1216">
        <v>1.8030756622676281</v>
      </c>
    </row>
    <row r="26" spans="1:56" s="9" customFormat="1" x14ac:dyDescent="0.2">
      <c r="A26" s="2202"/>
      <c r="B26" s="126" t="s">
        <v>77</v>
      </c>
      <c r="C26" s="1217">
        <v>4.1759000000014312</v>
      </c>
      <c r="D26" s="1218">
        <v>4.0755978084781042</v>
      </c>
      <c r="E26" s="1218">
        <v>4.0523287909896011</v>
      </c>
      <c r="F26" s="1218">
        <v>4.0389874311639318</v>
      </c>
      <c r="G26" s="1218">
        <v>4.036239472180303</v>
      </c>
      <c r="H26" s="1218">
        <v>4.0421468754170631</v>
      </c>
      <c r="I26" s="1218">
        <v>4.0485532654243039</v>
      </c>
      <c r="J26" s="1218">
        <v>4.0559944310448515</v>
      </c>
      <c r="K26" s="1218">
        <v>4.0641821654694654</v>
      </c>
      <c r="L26" s="1218">
        <v>4.0743689655504012</v>
      </c>
      <c r="M26" s="1218">
        <v>4.0876748897950455</v>
      </c>
      <c r="N26" s="1218">
        <v>4.1020725661557123</v>
      </c>
      <c r="O26" s="1218">
        <v>4.1154287078137175</v>
      </c>
      <c r="P26" s="1218">
        <v>4.1261464558041805</v>
      </c>
      <c r="Q26" s="1218">
        <v>4.1329672663369399</v>
      </c>
      <c r="R26" s="1218">
        <v>4.1351256359462019</v>
      </c>
      <c r="S26" s="1218">
        <v>4.1329924135625529</v>
      </c>
      <c r="T26" s="1218">
        <v>4.127055279683467</v>
      </c>
      <c r="U26" s="1218">
        <v>4.1176590425643367</v>
      </c>
      <c r="V26" s="1218">
        <v>4.105039835842339</v>
      </c>
      <c r="W26" s="1218">
        <v>4.0893868727392313</v>
      </c>
      <c r="X26" s="1218">
        <v>4.0709603591996713</v>
      </c>
      <c r="Y26" s="1218">
        <v>4.0499762519157212</v>
      </c>
      <c r="Z26" s="1218">
        <v>4.0265827582917746</v>
      </c>
      <c r="AA26" s="1218">
        <v>4.000873483491163</v>
      </c>
      <c r="AB26" s="1218">
        <v>3.9728976948818273</v>
      </c>
      <c r="AC26" s="1218">
        <v>3.9426684992117211</v>
      </c>
      <c r="AD26" s="1218">
        <v>3.910169508891248</v>
      </c>
      <c r="AE26" s="1218">
        <v>3.8753604218604298</v>
      </c>
      <c r="AF26" s="1218">
        <v>3.8381818318133698</v>
      </c>
      <c r="AG26" s="1218">
        <v>3.798722263032972</v>
      </c>
      <c r="AH26" s="1218">
        <v>3.7576624877151632</v>
      </c>
      <c r="AI26" s="1218">
        <v>3.7157155467689273</v>
      </c>
      <c r="AJ26" s="1218">
        <v>3.673471872361378</v>
      </c>
      <c r="AK26" s="1218">
        <v>3.6314176153020572</v>
      </c>
      <c r="AL26" s="1218">
        <v>3.589950697803701</v>
      </c>
      <c r="AM26" s="1218">
        <v>3.5493948305141743</v>
      </c>
      <c r="AN26" s="1218">
        <v>3.5100117124146513</v>
      </c>
      <c r="AO26" s="1218">
        <v>3.47201161657269</v>
      </c>
      <c r="AP26" s="1218">
        <v>3.4355625510611443</v>
      </c>
      <c r="AQ26" s="1218">
        <v>3.4007981712574242</v>
      </c>
      <c r="AR26" s="1218">
        <v>3.3678246067384343</v>
      </c>
      <c r="AS26" s="1218">
        <v>3.3367263530722502</v>
      </c>
      <c r="AT26" s="1218">
        <v>3.3075713662076289</v>
      </c>
      <c r="AU26" s="1218">
        <v>3.2804154851961975</v>
      </c>
      <c r="AV26" s="1218">
        <v>3.2553062979794767</v>
      </c>
      <c r="AW26" s="1218">
        <v>3.2322865552518065</v>
      </c>
      <c r="AX26" s="1218">
        <v>3.2113972292586945</v>
      </c>
      <c r="AY26" s="1218">
        <v>3.1926803080906119</v>
      </c>
      <c r="AZ26" s="1218">
        <v>3.176181411884027</v>
      </c>
    </row>
    <row r="27" spans="1:56" s="9" customFormat="1" x14ac:dyDescent="0.2">
      <c r="A27" s="2202"/>
      <c r="B27" s="126" t="s">
        <v>152</v>
      </c>
      <c r="C27" s="1217">
        <v>4.4558800000001231</v>
      </c>
      <c r="D27" s="1218">
        <v>4.2645796685589321</v>
      </c>
      <c r="E27" s="1218">
        <v>4.154955289228135</v>
      </c>
      <c r="F27" s="1218">
        <v>4.083659199331402</v>
      </c>
      <c r="G27" s="1218">
        <v>4.0388246301482411</v>
      </c>
      <c r="H27" s="1218">
        <v>4.0165244285765178</v>
      </c>
      <c r="I27" s="1218">
        <v>4.0142485073837442</v>
      </c>
      <c r="J27" s="1218">
        <v>4.0256532432265235</v>
      </c>
      <c r="K27" s="1218">
        <v>4.0467883309640129</v>
      </c>
      <c r="L27" s="1218">
        <v>4.0718573287258142</v>
      </c>
      <c r="M27" s="1218">
        <v>4.1025481956807219</v>
      </c>
      <c r="N27" s="1218">
        <v>4.136279920335606</v>
      </c>
      <c r="O27" s="1218">
        <v>4.1699736846904534</v>
      </c>
      <c r="P27" s="1218">
        <v>4.2014141189400167</v>
      </c>
      <c r="Q27" s="1218">
        <v>4.2289297880090171</v>
      </c>
      <c r="R27" s="1218">
        <v>4.2515335165052459</v>
      </c>
      <c r="S27" s="1218">
        <v>4.2696713229831706</v>
      </c>
      <c r="T27" s="1218">
        <v>4.283961326210628</v>
      </c>
      <c r="U27" s="1218">
        <v>4.2948698417401454</v>
      </c>
      <c r="V27" s="1218">
        <v>4.3027479940922042</v>
      </c>
      <c r="W27" s="1218">
        <v>4.3078411997494293</v>
      </c>
      <c r="X27" s="1218">
        <v>4.3102634094466241</v>
      </c>
      <c r="Y27" s="1218">
        <v>4.3100680300525163</v>
      </c>
      <c r="Z27" s="1218">
        <v>4.3072731282616461</v>
      </c>
      <c r="AA27" s="1218">
        <v>4.3018669202518067</v>
      </c>
      <c r="AB27" s="1218">
        <v>4.2938121414151542</v>
      </c>
      <c r="AC27" s="1218">
        <v>4.2830496531619078</v>
      </c>
      <c r="AD27" s="1218">
        <v>4.2695015534389702</v>
      </c>
      <c r="AE27" s="1218">
        <v>4.2530739951749386</v>
      </c>
      <c r="AF27" s="1218">
        <v>4.2336598722955143</v>
      </c>
      <c r="AG27" s="1218">
        <v>4.2113004048243141</v>
      </c>
      <c r="AH27" s="1218">
        <v>4.1866221121046321</v>
      </c>
      <c r="AI27" s="1218">
        <v>4.1602961347582346</v>
      </c>
      <c r="AJ27" s="1218">
        <v>4.1328861370260483</v>
      </c>
      <c r="AK27" s="1218">
        <v>4.1048642214654318</v>
      </c>
      <c r="AL27" s="1218">
        <v>4.0766247215008766</v>
      </c>
      <c r="AM27" s="1218">
        <v>4.0484961549300147</v>
      </c>
      <c r="AN27" s="1218">
        <v>4.020751579393167</v>
      </c>
      <c r="AO27" s="1218">
        <v>3.9936175585186806</v>
      </c>
      <c r="AP27" s="1218">
        <v>3.967281921698973</v>
      </c>
      <c r="AQ27" s="1218">
        <v>3.9419004791685808</v>
      </c>
      <c r="AR27" s="1218">
        <v>3.9176028359710013</v>
      </c>
      <c r="AS27" s="1218">
        <v>3.8944974327468573</v>
      </c>
      <c r="AT27" s="1218">
        <v>3.8726759276072498</v>
      </c>
      <c r="AU27" s="1218">
        <v>3.852217021422133</v>
      </c>
      <c r="AV27" s="1218">
        <v>3.8331898185248292</v>
      </c>
      <c r="AW27" s="1218">
        <v>3.8156568060573326</v>
      </c>
      <c r="AX27" s="1218">
        <v>3.7996765279511902</v>
      </c>
      <c r="AY27" s="1218">
        <v>3.785306023898416</v>
      </c>
      <c r="AZ27" s="1218">
        <v>3.7726030996992677</v>
      </c>
    </row>
    <row r="28" spans="1:56" x14ac:dyDescent="0.2">
      <c r="C28" s="663"/>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663"/>
      <c r="AQ28" s="663"/>
      <c r="AR28" s="663"/>
      <c r="AS28" s="663"/>
      <c r="AT28" s="663"/>
      <c r="AU28" s="663"/>
      <c r="AV28" s="663"/>
      <c r="AW28" s="663"/>
      <c r="AX28" s="663"/>
      <c r="AY28" s="663"/>
      <c r="AZ28" s="663"/>
    </row>
    <row r="30" spans="1:56" ht="15.75" x14ac:dyDescent="0.25">
      <c r="B30" s="119" t="s">
        <v>28</v>
      </c>
      <c r="C30" s="119"/>
      <c r="D30" s="119"/>
      <c r="E30" s="119"/>
      <c r="F30" s="1377" t="s">
        <v>115</v>
      </c>
      <c r="G30" s="119"/>
      <c r="H30" s="119"/>
      <c r="I30" s="119"/>
      <c r="J30" s="119"/>
      <c r="K30" s="119"/>
    </row>
    <row r="32" spans="1:56" x14ac:dyDescent="0.2">
      <c r="A32" s="2201"/>
      <c r="B32" s="125" t="s">
        <v>75</v>
      </c>
      <c r="C32" s="124">
        <v>1</v>
      </c>
      <c r="D32" s="123">
        <f t="shared" ref="D32:AZ32" si="2">1+C32</f>
        <v>2</v>
      </c>
      <c r="E32" s="123">
        <f t="shared" si="2"/>
        <v>3</v>
      </c>
      <c r="F32" s="123">
        <f t="shared" si="2"/>
        <v>4</v>
      </c>
      <c r="G32" s="123">
        <f t="shared" si="2"/>
        <v>5</v>
      </c>
      <c r="H32" s="123">
        <f t="shared" si="2"/>
        <v>6</v>
      </c>
      <c r="I32" s="123">
        <f t="shared" si="2"/>
        <v>7</v>
      </c>
      <c r="J32" s="123">
        <f t="shared" si="2"/>
        <v>8</v>
      </c>
      <c r="K32" s="123">
        <f t="shared" si="2"/>
        <v>9</v>
      </c>
      <c r="L32" s="123">
        <f t="shared" si="2"/>
        <v>10</v>
      </c>
      <c r="M32" s="123">
        <f t="shared" si="2"/>
        <v>11</v>
      </c>
      <c r="N32" s="123">
        <f t="shared" si="2"/>
        <v>12</v>
      </c>
      <c r="O32" s="123">
        <f t="shared" si="2"/>
        <v>13</v>
      </c>
      <c r="P32" s="123">
        <f t="shared" si="2"/>
        <v>14</v>
      </c>
      <c r="Q32" s="123">
        <f t="shared" si="2"/>
        <v>15</v>
      </c>
      <c r="R32" s="123">
        <f t="shared" si="2"/>
        <v>16</v>
      </c>
      <c r="S32" s="123">
        <f t="shared" si="2"/>
        <v>17</v>
      </c>
      <c r="T32" s="123">
        <f t="shared" si="2"/>
        <v>18</v>
      </c>
      <c r="U32" s="123">
        <f t="shared" si="2"/>
        <v>19</v>
      </c>
      <c r="V32" s="123">
        <f t="shared" si="2"/>
        <v>20</v>
      </c>
      <c r="W32" s="123">
        <f t="shared" si="2"/>
        <v>21</v>
      </c>
      <c r="X32" s="123">
        <f t="shared" si="2"/>
        <v>22</v>
      </c>
      <c r="Y32" s="123">
        <f t="shared" si="2"/>
        <v>23</v>
      </c>
      <c r="Z32" s="123">
        <f t="shared" si="2"/>
        <v>24</v>
      </c>
      <c r="AA32" s="123">
        <f t="shared" si="2"/>
        <v>25</v>
      </c>
      <c r="AB32" s="123">
        <f t="shared" si="2"/>
        <v>26</v>
      </c>
      <c r="AC32" s="123">
        <f t="shared" si="2"/>
        <v>27</v>
      </c>
      <c r="AD32" s="123">
        <f t="shared" si="2"/>
        <v>28</v>
      </c>
      <c r="AE32" s="123">
        <f t="shared" si="2"/>
        <v>29</v>
      </c>
      <c r="AF32" s="123">
        <f t="shared" si="2"/>
        <v>30</v>
      </c>
      <c r="AG32" s="123">
        <f t="shared" si="2"/>
        <v>31</v>
      </c>
      <c r="AH32" s="123">
        <f t="shared" si="2"/>
        <v>32</v>
      </c>
      <c r="AI32" s="123">
        <f t="shared" si="2"/>
        <v>33</v>
      </c>
      <c r="AJ32" s="123">
        <f t="shared" si="2"/>
        <v>34</v>
      </c>
      <c r="AK32" s="123">
        <f t="shared" si="2"/>
        <v>35</v>
      </c>
      <c r="AL32" s="123">
        <f t="shared" si="2"/>
        <v>36</v>
      </c>
      <c r="AM32" s="123">
        <f t="shared" si="2"/>
        <v>37</v>
      </c>
      <c r="AN32" s="123">
        <f t="shared" si="2"/>
        <v>38</v>
      </c>
      <c r="AO32" s="123">
        <f t="shared" si="2"/>
        <v>39</v>
      </c>
      <c r="AP32" s="123">
        <f t="shared" si="2"/>
        <v>40</v>
      </c>
      <c r="AQ32" s="123">
        <f t="shared" si="2"/>
        <v>41</v>
      </c>
      <c r="AR32" s="123">
        <f t="shared" si="2"/>
        <v>42</v>
      </c>
      <c r="AS32" s="123">
        <f t="shared" si="2"/>
        <v>43</v>
      </c>
      <c r="AT32" s="123">
        <f t="shared" si="2"/>
        <v>44</v>
      </c>
      <c r="AU32" s="123">
        <f t="shared" si="2"/>
        <v>45</v>
      </c>
      <c r="AV32" s="123">
        <f t="shared" si="2"/>
        <v>46</v>
      </c>
      <c r="AW32" s="123">
        <f t="shared" si="2"/>
        <v>47</v>
      </c>
      <c r="AX32" s="123">
        <f t="shared" si="2"/>
        <v>48</v>
      </c>
      <c r="AY32" s="123">
        <f t="shared" si="2"/>
        <v>49</v>
      </c>
      <c r="AZ32" s="123">
        <f t="shared" si="2"/>
        <v>50</v>
      </c>
    </row>
    <row r="33" spans="1:256" s="273" customFormat="1" x14ac:dyDescent="0.2">
      <c r="A33" s="2202"/>
      <c r="B33" s="127" t="s">
        <v>79</v>
      </c>
      <c r="C33" s="272">
        <f>(1+C24/100)^(-C$23)</f>
        <v>0.99908663493211891</v>
      </c>
      <c r="D33" s="272">
        <f t="shared" ref="D33:AZ33" si="3">(1+D24/100)^(-D$23)</f>
        <v>0.99991891468144845</v>
      </c>
      <c r="E33" s="272">
        <f t="shared" si="3"/>
        <v>0.99922973835301299</v>
      </c>
      <c r="F33" s="272">
        <f t="shared" si="3"/>
        <v>0.99715554277811003</v>
      </c>
      <c r="G33" s="272">
        <f t="shared" si="3"/>
        <v>0.99397081462190939</v>
      </c>
      <c r="H33" s="272">
        <f t="shared" si="3"/>
        <v>0.98991951910088871</v>
      </c>
      <c r="I33" s="272">
        <f t="shared" si="3"/>
        <v>0.98521315256170905</v>
      </c>
      <c r="J33" s="272">
        <f t="shared" si="3"/>
        <v>0.98003333158862449</v>
      </c>
      <c r="K33" s="272">
        <f t="shared" si="3"/>
        <v>0.97453465094250991</v>
      </c>
      <c r="L33" s="272">
        <f t="shared" si="3"/>
        <v>0.96884756615968104</v>
      </c>
      <c r="M33" s="272">
        <f t="shared" si="3"/>
        <v>0.9632398584812204</v>
      </c>
      <c r="N33" s="272">
        <f t="shared" si="3"/>
        <v>0.9577101797207217</v>
      </c>
      <c r="O33" s="272">
        <f t="shared" si="3"/>
        <v>0.952178360979276</v>
      </c>
      <c r="P33" s="272">
        <f t="shared" si="3"/>
        <v>0.94656684170382122</v>
      </c>
      <c r="Q33" s="272">
        <f t="shared" si="3"/>
        <v>0.94079984055255106</v>
      </c>
      <c r="R33" s="272">
        <f t="shared" si="3"/>
        <v>0.93482031330906956</v>
      </c>
      <c r="S33" s="272">
        <f t="shared" si="3"/>
        <v>0.92864138262637042</v>
      </c>
      <c r="T33" s="272">
        <f t="shared" si="3"/>
        <v>0.92229095998916422</v>
      </c>
      <c r="U33" s="272">
        <f t="shared" si="3"/>
        <v>0.91579400889776597</v>
      </c>
      <c r="V33" s="272">
        <f t="shared" si="3"/>
        <v>0.90917284989273572</v>
      </c>
      <c r="W33" s="272">
        <f t="shared" si="3"/>
        <v>0.90244743407453587</v>
      </c>
      <c r="X33" s="272">
        <f t="shared" si="3"/>
        <v>0.89563558837165724</v>
      </c>
      <c r="Y33" s="272">
        <f t="shared" si="3"/>
        <v>0.88875323547488194</v>
      </c>
      <c r="Z33" s="272">
        <f t="shared" si="3"/>
        <v>0.88181459105389404</v>
      </c>
      <c r="AA33" s="272">
        <f t="shared" si="3"/>
        <v>0.87483234060230497</v>
      </c>
      <c r="AB33" s="272">
        <f t="shared" si="3"/>
        <v>0.86781779801496683</v>
      </c>
      <c r="AC33" s="272">
        <f t="shared" si="3"/>
        <v>0.86078104778408959</v>
      </c>
      <c r="AD33" s="272">
        <f t="shared" si="3"/>
        <v>0.85373107250584801</v>
      </c>
      <c r="AE33" s="272">
        <f t="shared" si="3"/>
        <v>0.84667586721456878</v>
      </c>
      <c r="AF33" s="272">
        <f t="shared" si="3"/>
        <v>0.83962254190479568</v>
      </c>
      <c r="AG33" s="272">
        <f t="shared" si="3"/>
        <v>0.83257741346114755</v>
      </c>
      <c r="AH33" s="272">
        <f t="shared" si="3"/>
        <v>0.82554608808986318</v>
      </c>
      <c r="AI33" s="272">
        <f t="shared" si="3"/>
        <v>0.81853353523288996</v>
      </c>
      <c r="AJ33" s="272">
        <f t="shared" si="3"/>
        <v>0.81154415384431522</v>
      </c>
      <c r="AK33" s="272">
        <f t="shared" si="3"/>
        <v>0.80458183181769016</v>
      </c>
      <c r="AL33" s="272">
        <f t="shared" si="3"/>
        <v>0.79764999927184632</v>
      </c>
      <c r="AM33" s="272">
        <f t="shared" si="3"/>
        <v>0.79075167632925702</v>
      </c>
      <c r="AN33" s="272">
        <f t="shared" si="3"/>
        <v>0.78388951595585654</v>
      </c>
      <c r="AO33" s="272">
        <f t="shared" si="3"/>
        <v>0.77706584237236898</v>
      </c>
      <c r="AP33" s="272">
        <f t="shared" si="3"/>
        <v>0.77028268549441903</v>
      </c>
      <c r="AQ33" s="272">
        <f t="shared" si="3"/>
        <v>0.76354181181168057</v>
      </c>
      <c r="AR33" s="272">
        <f t="shared" si="3"/>
        <v>0.75684475207375235</v>
      </c>
      <c r="AS33" s="272">
        <f t="shared" si="3"/>
        <v>0.7501928261126326</v>
      </c>
      <c r="AT33" s="272">
        <f t="shared" si="3"/>
        <v>0.74358716509749112</v>
      </c>
      <c r="AU33" s="272">
        <f t="shared" si="3"/>
        <v>0.73702873148697468</v>
      </c>
      <c r="AV33" s="272">
        <f t="shared" si="3"/>
        <v>0.73051833691682944</v>
      </c>
      <c r="AW33" s="272">
        <f t="shared" si="3"/>
        <v>0.724056658236094</v>
      </c>
      <c r="AX33" s="272">
        <f t="shared" si="3"/>
        <v>0.71764425188317849</v>
      </c>
      <c r="AY33" s="272">
        <f t="shared" si="3"/>
        <v>0.71128156677315779</v>
      </c>
      <c r="AZ33" s="272">
        <f t="shared" si="3"/>
        <v>0.70496895585018027</v>
      </c>
    </row>
    <row r="34" spans="1:256" s="273" customFormat="1" x14ac:dyDescent="0.2">
      <c r="A34" s="2202"/>
      <c r="B34" s="131" t="s">
        <v>76</v>
      </c>
      <c r="C34" s="274">
        <f t="shared" ref="C34:AZ34" si="4">(1+C25/100)^(-C$23)</f>
        <v>0.97998863213186549</v>
      </c>
      <c r="D34" s="274">
        <f t="shared" si="4"/>
        <v>0.9631696230059561</v>
      </c>
      <c r="E34" s="274">
        <f t="shared" si="4"/>
        <v>0.94540544768531931</v>
      </c>
      <c r="F34" s="274">
        <f t="shared" si="4"/>
        <v>0.92674945656159802</v>
      </c>
      <c r="G34" s="274">
        <f t="shared" si="4"/>
        <v>0.90804307062023049</v>
      </c>
      <c r="H34" s="274">
        <f t="shared" si="4"/>
        <v>0.88933066850380715</v>
      </c>
      <c r="I34" s="274">
        <f t="shared" si="4"/>
        <v>0.87067967663808232</v>
      </c>
      <c r="J34" s="274">
        <f t="shared" si="4"/>
        <v>0.8519523025986705</v>
      </c>
      <c r="K34" s="274">
        <f t="shared" si="4"/>
        <v>0.83329317385205148</v>
      </c>
      <c r="L34" s="274">
        <f t="shared" si="4"/>
        <v>0.81473965028939743</v>
      </c>
      <c r="M34" s="274">
        <f t="shared" si="4"/>
        <v>0.79641383394429566</v>
      </c>
      <c r="N34" s="274">
        <f t="shared" si="4"/>
        <v>0.77849009210566766</v>
      </c>
      <c r="O34" s="274">
        <f t="shared" si="4"/>
        <v>0.76113542385878807</v>
      </c>
      <c r="P34" s="274">
        <f t="shared" si="4"/>
        <v>0.74450405774592421</v>
      </c>
      <c r="Q34" s="274">
        <f t="shared" si="4"/>
        <v>0.72873973701053951</v>
      </c>
      <c r="R34" s="274">
        <f t="shared" si="4"/>
        <v>0.71395521211748714</v>
      </c>
      <c r="S34" s="274">
        <f t="shared" si="4"/>
        <v>0.70016986654466529</v>
      </c>
      <c r="T34" s="274">
        <f t="shared" si="4"/>
        <v>0.68738455227246409</v>
      </c>
      <c r="U34" s="274">
        <f t="shared" si="4"/>
        <v>0.67560506353813421</v>
      </c>
      <c r="V34" s="274">
        <f t="shared" si="4"/>
        <v>0.66484209647438008</v>
      </c>
      <c r="W34" s="274">
        <f t="shared" si="4"/>
        <v>0.65507226911562089</v>
      </c>
      <c r="X34" s="274">
        <f t="shared" si="4"/>
        <v>0.6461272381426677</v>
      </c>
      <c r="Y34" s="274">
        <f t="shared" si="4"/>
        <v>0.63781987713816835</v>
      </c>
      <c r="Z34" s="274">
        <f t="shared" si="4"/>
        <v>0.629982082324691</v>
      </c>
      <c r="AA34" s="274">
        <f t="shared" si="4"/>
        <v>0.62246222280640107</v>
      </c>
      <c r="AB34" s="274">
        <f t="shared" si="4"/>
        <v>0.61512285569726266</v>
      </c>
      <c r="AC34" s="274">
        <f t="shared" si="4"/>
        <v>0.60783867368190903</v>
      </c>
      <c r="AD34" s="274">
        <f t="shared" si="4"/>
        <v>0.60049465607145658</v>
      </c>
      <c r="AE34" s="274">
        <f t="shared" si="4"/>
        <v>0.592984397517066</v>
      </c>
      <c r="AF34" s="274">
        <f t="shared" si="4"/>
        <v>0.58520859127492841</v>
      </c>
      <c r="AG34" s="274">
        <f t="shared" si="4"/>
        <v>0.57710014572598978</v>
      </c>
      <c r="AH34" s="274">
        <f t="shared" si="4"/>
        <v>0.56869832108160423</v>
      </c>
      <c r="AI34" s="274">
        <f t="shared" si="4"/>
        <v>0.56006185281068432</v>
      </c>
      <c r="AJ34" s="274">
        <f t="shared" si="4"/>
        <v>0.55124225676865346</v>
      </c>
      <c r="AK34" s="274">
        <f t="shared" si="4"/>
        <v>0.5422846629141439</v>
      </c>
      <c r="AL34" s="274">
        <f t="shared" si="4"/>
        <v>0.53322855378323764</v>
      </c>
      <c r="AM34" s="274">
        <f t="shared" si="4"/>
        <v>0.52410841858043122</v>
      </c>
      <c r="AN34" s="274">
        <f t="shared" si="4"/>
        <v>0.5149543325076662</v>
      </c>
      <c r="AO34" s="274">
        <f t="shared" si="4"/>
        <v>0.50579246985638859</v>
      </c>
      <c r="AP34" s="274">
        <f t="shared" si="4"/>
        <v>0.49664555841575181</v>
      </c>
      <c r="AQ34" s="274">
        <f t="shared" si="4"/>
        <v>0.48753328188930434</v>
      </c>
      <c r="AR34" s="274">
        <f t="shared" si="4"/>
        <v>0.47847263624965874</v>
      </c>
      <c r="AS34" s="274">
        <f t="shared" si="4"/>
        <v>0.46947824528483872</v>
      </c>
      <c r="AT34" s="274">
        <f t="shared" si="4"/>
        <v>0.46056263999109193</v>
      </c>
      <c r="AU34" s="274">
        <f t="shared" si="4"/>
        <v>0.45173650593647596</v>
      </c>
      <c r="AV34" s="274">
        <f t="shared" si="4"/>
        <v>0.44300890224934647</v>
      </c>
      <c r="AW34" s="274">
        <f t="shared" si="4"/>
        <v>0.43438745546937924</v>
      </c>
      <c r="AX34" s="274">
        <f t="shared" si="4"/>
        <v>0.42587853112966972</v>
      </c>
      <c r="AY34" s="274">
        <f t="shared" si="4"/>
        <v>0.41748738561151544</v>
      </c>
      <c r="AZ34" s="274">
        <f t="shared" si="4"/>
        <v>0.40921830052366892</v>
      </c>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273" customFormat="1" x14ac:dyDescent="0.2">
      <c r="A35" s="2202"/>
      <c r="B35" s="126" t="s">
        <v>77</v>
      </c>
      <c r="C35" s="274">
        <f t="shared" ref="C35:AZ35" si="5">(1+C26/100)^(-C$23)</f>
        <v>0.95991491314208588</v>
      </c>
      <c r="D35" s="274">
        <f t="shared" si="5"/>
        <v>0.92321355363852842</v>
      </c>
      <c r="E35" s="274">
        <f t="shared" si="5"/>
        <v>0.8876557818547931</v>
      </c>
      <c r="F35" s="274">
        <f t="shared" si="5"/>
        <v>0.85352359836349279</v>
      </c>
      <c r="G35" s="274">
        <f t="shared" si="5"/>
        <v>0.82049657347894556</v>
      </c>
      <c r="H35" s="274">
        <f t="shared" si="5"/>
        <v>0.78839555883636603</v>
      </c>
      <c r="I35" s="274">
        <f t="shared" si="5"/>
        <v>0.75743902664850071</v>
      </c>
      <c r="J35" s="274">
        <f t="shared" si="5"/>
        <v>0.72755054110801776</v>
      </c>
      <c r="K35" s="274">
        <f t="shared" si="5"/>
        <v>0.69869642429899514</v>
      </c>
      <c r="L35" s="274">
        <f t="shared" si="5"/>
        <v>0.67075224808587808</v>
      </c>
      <c r="M35" s="274">
        <f t="shared" si="5"/>
        <v>0.64358752725463864</v>
      </c>
      <c r="N35" s="274">
        <f t="shared" si="5"/>
        <v>0.61728750834570023</v>
      </c>
      <c r="O35" s="274">
        <f t="shared" si="5"/>
        <v>0.59197560169183017</v>
      </c>
      <c r="P35" s="274">
        <f t="shared" si="5"/>
        <v>0.5677574662693351</v>
      </c>
      <c r="Q35" s="274">
        <f t="shared" si="5"/>
        <v>0.54472379060059883</v>
      </c>
      <c r="R35" s="274">
        <f t="shared" si="5"/>
        <v>0.52293062265472745</v>
      </c>
      <c r="S35" s="274">
        <f t="shared" si="5"/>
        <v>0.50234036040932051</v>
      </c>
      <c r="T35" s="274">
        <f t="shared" si="5"/>
        <v>0.48289803662025738</v>
      </c>
      <c r="U35" s="274">
        <f t="shared" si="5"/>
        <v>0.46455431201200731</v>
      </c>
      <c r="V35" s="274">
        <f t="shared" si="5"/>
        <v>0.44726499171396222</v>
      </c>
      <c r="W35" s="274">
        <f t="shared" si="5"/>
        <v>0.43098736861589126</v>
      </c>
      <c r="X35" s="274">
        <f t="shared" si="5"/>
        <v>0.41567090901888371</v>
      </c>
      <c r="Y35" s="274">
        <f t="shared" si="5"/>
        <v>0.40126782247999909</v>
      </c>
      <c r="Z35" s="274">
        <f t="shared" si="5"/>
        <v>0.38773591036241356</v>
      </c>
      <c r="AA35" s="274">
        <f t="shared" si="5"/>
        <v>0.37503804683059544</v>
      </c>
      <c r="AB35" s="274">
        <f t="shared" si="5"/>
        <v>0.36314172907407577</v>
      </c>
      <c r="AC35" s="274">
        <f t="shared" si="5"/>
        <v>0.35201868885543353</v>
      </c>
      <c r="AD35" s="274">
        <f t="shared" si="5"/>
        <v>0.34164455848629799</v>
      </c>
      <c r="AE35" s="274">
        <f t="shared" si="5"/>
        <v>0.33199858522194398</v>
      </c>
      <c r="AF35" s="274">
        <f t="shared" si="5"/>
        <v>0.32306338884594132</v>
      </c>
      <c r="AG35" s="274">
        <f t="shared" si="5"/>
        <v>0.31480945531060173</v>
      </c>
      <c r="AH35" s="274">
        <f t="shared" si="5"/>
        <v>0.30715265041178147</v>
      </c>
      <c r="AI35" s="274">
        <f t="shared" si="5"/>
        <v>0.3000055284439776</v>
      </c>
      <c r="AJ35" s="274">
        <f t="shared" si="5"/>
        <v>0.293291954321103</v>
      </c>
      <c r="AK35" s="274">
        <f t="shared" si="5"/>
        <v>0.28694564125606647</v>
      </c>
      <c r="AL35" s="274">
        <f t="shared" si="5"/>
        <v>0.28090886860751485</v>
      </c>
      <c r="AM35" s="274">
        <f t="shared" si="5"/>
        <v>0.27513135752664525</v>
      </c>
      <c r="AN35" s="274">
        <f t="shared" si="5"/>
        <v>0.26956928478265446</v>
      </c>
      <c r="AO35" s="274">
        <f t="shared" si="5"/>
        <v>0.26418441755271094</v>
      </c>
      <c r="AP35" s="274">
        <f t="shared" si="5"/>
        <v>0.25894335407260821</v>
      </c>
      <c r="AQ35" s="274">
        <f t="shared" si="5"/>
        <v>0.25381685689425376</v>
      </c>
      <c r="AR35" s="274">
        <f t="shared" si="5"/>
        <v>0.24877926711754544</v>
      </c>
      <c r="AS35" s="274">
        <f t="shared" si="5"/>
        <v>0.24380798938531636</v>
      </c>
      <c r="AT35" s="274">
        <f t="shared" si="5"/>
        <v>0.23888303867535443</v>
      </c>
      <c r="AU35" s="274">
        <f t="shared" si="5"/>
        <v>0.23398664101447192</v>
      </c>
      <c r="AV35" s="274">
        <f t="shared" si="5"/>
        <v>0.22910288119546751</v>
      </c>
      <c r="AW35" s="274">
        <f t="shared" si="5"/>
        <v>0.22421739141477831</v>
      </c>
      <c r="AX35" s="274">
        <f t="shared" si="5"/>
        <v>0.21931707548140653</v>
      </c>
      <c r="AY35" s="274">
        <f t="shared" si="5"/>
        <v>0.21438986388908196</v>
      </c>
      <c r="AZ35" s="274">
        <f t="shared" si="5"/>
        <v>0.20942449560465776</v>
      </c>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273" customFormat="1" x14ac:dyDescent="0.2">
      <c r="A36" s="2202"/>
      <c r="B36" s="126" t="s">
        <v>152</v>
      </c>
      <c r="C36" s="274">
        <f t="shared" ref="C36:AZ36" si="6">(1+C27/100)^(-C$23)</f>
        <v>0.95734198974724904</v>
      </c>
      <c r="D36" s="274">
        <f t="shared" si="6"/>
        <v>0.91986989658364327</v>
      </c>
      <c r="E36" s="274">
        <f t="shared" si="6"/>
        <v>0.88503447765691545</v>
      </c>
      <c r="F36" s="274">
        <f t="shared" si="6"/>
        <v>0.85205924289890966</v>
      </c>
      <c r="G36" s="274">
        <f t="shared" si="6"/>
        <v>0.82039464000104134</v>
      </c>
      <c r="H36" s="274">
        <f t="shared" si="6"/>
        <v>0.78956151208674297</v>
      </c>
      <c r="I36" s="274">
        <f t="shared" si="6"/>
        <v>0.75918942529285249</v>
      </c>
      <c r="J36" s="274">
        <f t="shared" si="6"/>
        <v>0.72924991390625904</v>
      </c>
      <c r="K36" s="274">
        <f t="shared" si="6"/>
        <v>0.69974835737380703</v>
      </c>
      <c r="L36" s="274">
        <f t="shared" si="6"/>
        <v>0.67091414286329543</v>
      </c>
      <c r="M36" s="274">
        <f t="shared" si="6"/>
        <v>0.64257679474709362</v>
      </c>
      <c r="N36" s="274">
        <f t="shared" si="6"/>
        <v>0.6148586528297465</v>
      </c>
      <c r="O36" s="274">
        <f t="shared" si="6"/>
        <v>0.58795866095016935</v>
      </c>
      <c r="P36" s="274">
        <f t="shared" si="6"/>
        <v>0.56204284118132342</v>
      </c>
      <c r="Q36" s="274">
        <f t="shared" si="6"/>
        <v>0.53724925574141358</v>
      </c>
      <c r="R36" s="274">
        <f t="shared" si="6"/>
        <v>0.51366593682942085</v>
      </c>
      <c r="S36" s="274">
        <f t="shared" si="6"/>
        <v>0.49126284880493082</v>
      </c>
      <c r="T36" s="274">
        <f t="shared" si="6"/>
        <v>0.46998569748377489</v>
      </c>
      <c r="U36" s="274">
        <f t="shared" si="6"/>
        <v>0.44978401562293024</v>
      </c>
      <c r="V36" s="274">
        <f t="shared" si="6"/>
        <v>0.43061086858394032</v>
      </c>
      <c r="W36" s="274">
        <f t="shared" si="6"/>
        <v>0.41242397133943764</v>
      </c>
      <c r="X36" s="274">
        <f t="shared" si="6"/>
        <v>0.39518920571494315</v>
      </c>
      <c r="Y36" s="274">
        <f t="shared" si="6"/>
        <v>0.37887569073479388</v>
      </c>
      <c r="Z36" s="274">
        <f t="shared" si="6"/>
        <v>0.3634542852435112</v>
      </c>
      <c r="AA36" s="274">
        <f t="shared" si="6"/>
        <v>0.34889757384599945</v>
      </c>
      <c r="AB36" s="274">
        <f t="shared" si="6"/>
        <v>0.33517985331955047</v>
      </c>
      <c r="AC36" s="274">
        <f t="shared" si="6"/>
        <v>0.32227711996779762</v>
      </c>
      <c r="AD36" s="274">
        <f t="shared" si="6"/>
        <v>0.31016705833580321</v>
      </c>
      <c r="AE36" s="274">
        <f t="shared" si="6"/>
        <v>0.29882903166281827</v>
      </c>
      <c r="AF36" s="274">
        <f t="shared" si="6"/>
        <v>0.28824407441353361</v>
      </c>
      <c r="AG36" s="274">
        <f t="shared" si="6"/>
        <v>0.27838172778264564</v>
      </c>
      <c r="AH36" s="274">
        <f t="shared" si="6"/>
        <v>0.26916423400066658</v>
      </c>
      <c r="AI36" s="274">
        <f t="shared" si="6"/>
        <v>0.26051168234395372</v>
      </c>
      <c r="AJ36" s="274">
        <f t="shared" si="6"/>
        <v>0.2523545942226032</v>
      </c>
      <c r="AK36" s="274">
        <f t="shared" si="6"/>
        <v>0.24463254171907334</v>
      </c>
      <c r="AL36" s="274">
        <f t="shared" si="6"/>
        <v>0.23729294429117925</v>
      </c>
      <c r="AM36" s="274">
        <f t="shared" si="6"/>
        <v>0.23029002067650917</v>
      </c>
      <c r="AN36" s="274">
        <f t="shared" si="6"/>
        <v>0.22358387597738338</v>
      </c>
      <c r="AO36" s="274">
        <f t="shared" si="6"/>
        <v>0.21713970647044931</v>
      </c>
      <c r="AP36" s="274">
        <f t="shared" si="6"/>
        <v>0.2109271069210143</v>
      </c>
      <c r="AQ36" s="274">
        <f t="shared" si="6"/>
        <v>0.20491946713155945</v>
      </c>
      <c r="AR36" s="274">
        <f t="shared" si="6"/>
        <v>0.19909344615306476</v>
      </c>
      <c r="AS36" s="274">
        <f t="shared" si="6"/>
        <v>0.19342851406905714</v>
      </c>
      <c r="AT36" s="274">
        <f t="shared" si="6"/>
        <v>0.187906552553365</v>
      </c>
      <c r="AU36" s="274">
        <f t="shared" si="6"/>
        <v>0.18251150652783557</v>
      </c>
      <c r="AV36" s="274">
        <f t="shared" si="6"/>
        <v>0.17722908022708006</v>
      </c>
      <c r="AW36" s="274">
        <f t="shared" si="6"/>
        <v>0.17204647183191429</v>
      </c>
      <c r="AX36" s="274">
        <f t="shared" si="6"/>
        <v>0.16695214157795152</v>
      </c>
      <c r="AY36" s="274">
        <f t="shared" si="6"/>
        <v>0.16193560889461014</v>
      </c>
      <c r="AZ36" s="274">
        <f t="shared" si="6"/>
        <v>0.15698727469504803</v>
      </c>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9" spans="1:256" ht="15.75" x14ac:dyDescent="0.25">
      <c r="B39" s="119" t="str">
        <f>"Foreign exchange rates at 31.12.2024"</f>
        <v>Foreign exchange rates at 31.12.2024</v>
      </c>
      <c r="C39" s="122"/>
      <c r="D39" s="122"/>
      <c r="E39" s="122"/>
      <c r="F39" s="122"/>
      <c r="G39" s="119"/>
      <c r="H39" s="119"/>
      <c r="I39" s="119"/>
      <c r="J39" s="119"/>
      <c r="K39" s="119"/>
    </row>
    <row r="40" spans="1:256" ht="7.5" customHeight="1" x14ac:dyDescent="0.2"/>
    <row r="41" spans="1:256" x14ac:dyDescent="0.2">
      <c r="A41" s="2202"/>
      <c r="B41" s="9"/>
      <c r="C41" s="128" t="s">
        <v>56</v>
      </c>
      <c r="D41" s="128" t="s">
        <v>58</v>
      </c>
      <c r="E41" s="128" t="s">
        <v>57</v>
      </c>
      <c r="F41" s="128" t="s">
        <v>59</v>
      </c>
    </row>
    <row r="42" spans="1:256" x14ac:dyDescent="0.2">
      <c r="A42" s="2202"/>
      <c r="B42" s="20"/>
      <c r="C42" s="2409">
        <v>0.94008000000000003</v>
      </c>
      <c r="D42" s="2409">
        <v>0.90739999999999998</v>
      </c>
      <c r="E42" s="2409">
        <v>1.1355999999999999</v>
      </c>
      <c r="F42" s="2409">
        <v>5.7620000000000006E-3</v>
      </c>
    </row>
    <row r="43" spans="1:256" x14ac:dyDescent="0.2">
      <c r="B43" s="20"/>
      <c r="C43" s="664"/>
      <c r="D43" s="664"/>
      <c r="E43" s="664"/>
      <c r="F43" s="664"/>
      <c r="G43" s="9"/>
    </row>
    <row r="44" spans="1:256" x14ac:dyDescent="0.2">
      <c r="B44" s="20"/>
      <c r="C44" s="9"/>
      <c r="D44" s="9"/>
      <c r="E44" s="9"/>
      <c r="F44" s="9"/>
      <c r="G44" s="9"/>
    </row>
    <row r="45" spans="1:256" ht="15.75" hidden="1" x14ac:dyDescent="0.25">
      <c r="B45" s="119" t="s">
        <v>44</v>
      </c>
      <c r="C45" s="122"/>
      <c r="D45" s="122"/>
      <c r="E45" s="122"/>
      <c r="F45" s="122"/>
      <c r="G45" s="119"/>
      <c r="H45" s="119"/>
      <c r="I45" s="119"/>
      <c r="J45" s="119"/>
      <c r="K45" s="119"/>
    </row>
    <row r="46" spans="1:256" ht="8.1" hidden="1" customHeight="1" x14ac:dyDescent="0.2">
      <c r="B46" s="19"/>
    </row>
    <row r="47" spans="1:256" hidden="1" x14ac:dyDescent="0.2">
      <c r="B47" s="20" t="s">
        <v>46</v>
      </c>
      <c r="C47" s="129">
        <v>0.06</v>
      </c>
    </row>
    <row r="48" spans="1:256" hidden="1" x14ac:dyDescent="0.2">
      <c r="B48" s="19"/>
    </row>
    <row r="49" spans="2:11" hidden="1" x14ac:dyDescent="0.2"/>
    <row r="50" spans="2:11" ht="15.75" x14ac:dyDescent="0.25">
      <c r="B50" s="119" t="str">
        <f>Translation!B54</f>
        <v>Sicherheitsstufe</v>
      </c>
      <c r="C50" s="122"/>
      <c r="D50" s="122"/>
      <c r="E50" s="122"/>
      <c r="F50" s="122"/>
      <c r="G50" s="119"/>
      <c r="H50" s="119"/>
      <c r="I50" s="119"/>
      <c r="J50" s="119"/>
      <c r="K50" s="119"/>
    </row>
    <row r="51" spans="2:11" ht="8.1" customHeight="1" x14ac:dyDescent="0.2"/>
    <row r="52" spans="2:11" x14ac:dyDescent="0.2">
      <c r="B52" s="19" t="str">
        <f>Translation!B55</f>
        <v>alpha</v>
      </c>
      <c r="C52" s="1214">
        <v>0.01</v>
      </c>
    </row>
    <row r="53" spans="2:11" x14ac:dyDescent="0.2">
      <c r="B53" s="19" t="str">
        <f>Translation!B56</f>
        <v>Sicherheitsstufe</v>
      </c>
      <c r="C53" s="129">
        <f>1-C52</f>
        <v>0.99</v>
      </c>
    </row>
  </sheetData>
  <customSheetViews>
    <customSheetView guid="{F15DEFD8-B0F4-4CC3-8896-92BF7E7815B1}" scale="75" showGridLines="0" fitToPage="1" printArea="1" hiddenRows="1">
      <pane xSplit="2" topLeftCell="C1" activePane="topRight" state="frozen"/>
      <selection pane="topRight" activeCell="E68" sqref="E68"/>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400-000000000000}"/>
  </hyperlinks>
  <pageMargins left="0.47244094488188981" right="0.47244094488188981" top="1.01" bottom="0.59055118110236227" header="0.35433070866141736" footer="0.35433070866141736"/>
  <pageSetup paperSize="9" fitToWidth="2" orientation="landscape" r:id="rId2"/>
  <headerFooter alignWithMargins="0">
    <oddHeader>&amp;R&amp;"Arial,Fett"&amp;12KVG-Solvenztest
Test de solvabilité LAMal</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tabColor rgb="FF800000"/>
    <pageSetUpPr fitToPage="1"/>
  </sheetPr>
  <dimension ref="A1:AJ7801"/>
  <sheetViews>
    <sheetView zoomScale="85" zoomScaleNormal="85" workbookViewId="0"/>
  </sheetViews>
  <sheetFormatPr baseColWidth="10" defaultColWidth="11.42578125" defaultRowHeight="12.75" x14ac:dyDescent="0.2"/>
  <cols>
    <col min="1" max="1" width="5.5703125" style="1028" customWidth="1"/>
    <col min="2" max="2" width="12.5703125" style="1577" customWidth="1"/>
    <col min="3" max="3" width="24" style="1155" customWidth="1"/>
    <col min="4" max="4" width="99.42578125" style="1156" customWidth="1"/>
    <col min="5" max="7" width="40.5703125" style="1157" customWidth="1"/>
    <col min="8" max="8" width="33.5703125" style="1157" customWidth="1"/>
    <col min="9" max="20" width="11.42578125" style="1027"/>
    <col min="21" max="16384" width="11.42578125" style="1028"/>
  </cols>
  <sheetData>
    <row r="1" spans="1:23" s="1025" customFormat="1" ht="21" thickBot="1" x14ac:dyDescent="0.3">
      <c r="A1" s="2193">
        <v>6</v>
      </c>
      <c r="B1" s="1023" t="str">
        <f>Translation!B57</f>
        <v>Fundamentaldaten</v>
      </c>
      <c r="C1" s="1023"/>
      <c r="D1" s="1219"/>
      <c r="E1" s="1219"/>
      <c r="F1" s="1219"/>
      <c r="G1" s="1219"/>
      <c r="H1" s="1219"/>
      <c r="I1" s="1024"/>
      <c r="J1" s="1024"/>
      <c r="K1" s="1024"/>
      <c r="L1" s="1024"/>
      <c r="M1" s="1024"/>
      <c r="N1" s="1024"/>
      <c r="O1" s="1024"/>
      <c r="P1" s="1024"/>
      <c r="Q1" s="1024"/>
      <c r="R1" s="1024"/>
      <c r="S1" s="1024"/>
      <c r="T1" s="1024"/>
    </row>
    <row r="2" spans="1:23" s="1025" customFormat="1" ht="8.1" customHeight="1" x14ac:dyDescent="0.25">
      <c r="B2" s="1573"/>
      <c r="C2" s="1477"/>
      <c r="D2" s="1478"/>
      <c r="E2" s="1026"/>
      <c r="F2" s="1026"/>
      <c r="G2" s="1026"/>
      <c r="H2" s="1026"/>
      <c r="I2" s="1024"/>
      <c r="J2" s="1024"/>
      <c r="K2" s="1024"/>
      <c r="L2" s="1024"/>
      <c r="M2" s="1024"/>
      <c r="N2" s="1024"/>
      <c r="O2" s="1024"/>
      <c r="P2" s="1024"/>
      <c r="Q2" s="1024"/>
      <c r="R2" s="1024"/>
      <c r="S2" s="1024"/>
      <c r="T2" s="1024"/>
    </row>
    <row r="3" spans="1:23" s="1025" customFormat="1" ht="22.5" customHeight="1" x14ac:dyDescent="0.25">
      <c r="B3" s="1573" t="str">
        <f>name_of_insurer</f>
        <v xml:space="preserve">0000 </v>
      </c>
      <c r="C3" s="1479"/>
      <c r="D3" s="1478"/>
      <c r="E3" s="1026"/>
      <c r="F3" s="1026"/>
      <c r="G3" s="1026"/>
      <c r="H3" s="1026"/>
      <c r="I3" s="1024"/>
      <c r="J3" s="1024"/>
      <c r="K3" s="1024"/>
      <c r="L3" s="1024"/>
      <c r="M3" s="1024"/>
      <c r="N3" s="1024"/>
      <c r="O3" s="1024"/>
      <c r="P3" s="1024"/>
      <c r="Q3" s="1024"/>
      <c r="R3" s="1024"/>
      <c r="S3" s="1024"/>
      <c r="T3" s="1024"/>
    </row>
    <row r="4" spans="1:23" s="1025" customFormat="1" ht="8.1" customHeight="1" x14ac:dyDescent="0.25">
      <c r="B4" s="1573"/>
      <c r="C4" s="1479"/>
      <c r="D4" s="1478"/>
      <c r="E4" s="1026"/>
      <c r="F4" s="1026"/>
      <c r="G4" s="1026"/>
      <c r="H4" s="1026"/>
      <c r="I4" s="1024"/>
      <c r="J4" s="1024"/>
      <c r="K4" s="1024"/>
      <c r="L4" s="1024"/>
      <c r="M4" s="1024"/>
      <c r="N4" s="1024"/>
      <c r="O4" s="1024"/>
      <c r="P4" s="1024"/>
      <c r="Q4" s="1024"/>
      <c r="R4" s="1024"/>
      <c r="S4" s="1024"/>
      <c r="T4" s="1024"/>
    </row>
    <row r="5" spans="1:23" s="1027" customFormat="1" ht="13.5" thickBot="1" x14ac:dyDescent="0.25">
      <c r="B5" s="1574" t="s">
        <v>787</v>
      </c>
      <c r="C5" s="1480" t="s">
        <v>788</v>
      </c>
      <c r="D5" s="1480" t="s">
        <v>789</v>
      </c>
      <c r="E5" s="1481" t="s">
        <v>790</v>
      </c>
      <c r="F5" s="1480" t="s">
        <v>791</v>
      </c>
      <c r="G5" s="1480" t="s">
        <v>792</v>
      </c>
      <c r="H5" s="1480" t="s">
        <v>2645</v>
      </c>
    </row>
    <row r="6" spans="1:23" ht="21" thickBot="1" x14ac:dyDescent="0.25">
      <c r="B6" s="1029">
        <f>Intro!$A$1</f>
        <v>1</v>
      </c>
      <c r="C6" s="1030" t="str">
        <f>Intro!$B$1</f>
        <v>Einleitung</v>
      </c>
      <c r="D6" s="1031" t="str">
        <f>Intro!$C$4</f>
        <v>Template für den KVG-Solvenztest</v>
      </c>
      <c r="E6" s="1032"/>
      <c r="F6" s="1032"/>
      <c r="G6" s="1032"/>
      <c r="H6" s="1482">
        <f>Fundamental_Data!current_year</f>
        <v>2025</v>
      </c>
      <c r="U6" s="1027"/>
      <c r="V6" s="1027"/>
      <c r="W6" s="1027"/>
    </row>
    <row r="7" spans="1:23" ht="12.75" customHeight="1" thickBot="1" x14ac:dyDescent="0.25">
      <c r="B7" s="1033"/>
      <c r="C7" s="1033"/>
      <c r="D7" s="1034"/>
      <c r="E7" s="1483"/>
      <c r="F7" s="1484"/>
      <c r="G7" s="1484"/>
      <c r="H7" s="1035"/>
      <c r="U7" s="1027"/>
      <c r="V7" s="1027"/>
      <c r="W7" s="1027"/>
    </row>
    <row r="8" spans="1:23" ht="12.75" customHeight="1" x14ac:dyDescent="0.2">
      <c r="B8" s="1036">
        <f>Inputparam!$A$1</f>
        <v>5</v>
      </c>
      <c r="C8" s="1037" t="str">
        <f>Inputparam!$B$1</f>
        <v>Parameter</v>
      </c>
      <c r="D8" s="1038" t="str">
        <f>Inputparam!$B$9</f>
        <v>BAG-Nummer:</v>
      </c>
      <c r="E8" s="1039"/>
      <c r="F8" s="1039"/>
      <c r="G8" s="1040"/>
      <c r="H8" s="1041">
        <f>Inputparam!$C$9</f>
        <v>0</v>
      </c>
      <c r="U8" s="1027"/>
      <c r="V8" s="1027"/>
      <c r="W8" s="1027"/>
    </row>
    <row r="9" spans="1:23" ht="12.75" customHeight="1" x14ac:dyDescent="0.2">
      <c r="B9" s="1042">
        <f>Inputparam!$A$1</f>
        <v>5</v>
      </c>
      <c r="C9" s="1043" t="str">
        <f>Inputparam!$B$1</f>
        <v>Parameter</v>
      </c>
      <c r="D9" s="1044" t="str">
        <f>Inputparam!$B$10</f>
        <v>Name des Versicherers:</v>
      </c>
      <c r="E9" s="1045"/>
      <c r="F9" s="1046"/>
      <c r="G9" s="1047"/>
      <c r="H9" s="1048">
        <f>Inputparam!$C$10</f>
        <v>0</v>
      </c>
      <c r="U9" s="1027"/>
      <c r="V9" s="1027"/>
      <c r="W9" s="1027"/>
    </row>
    <row r="10" spans="1:23" ht="12.75" customHeight="1" thickBot="1" x14ac:dyDescent="0.25">
      <c r="B10" s="1049">
        <f>Inputparam!$A$1</f>
        <v>5</v>
      </c>
      <c r="C10" s="1050" t="str">
        <f>Inputparam!$B$1</f>
        <v>Parameter</v>
      </c>
      <c r="D10" s="1051" t="str">
        <f>Inputparam!$B$52</f>
        <v>alpha</v>
      </c>
      <c r="E10" s="1052"/>
      <c r="F10" s="1053"/>
      <c r="G10" s="1054"/>
      <c r="H10" s="1485">
        <f>Inputparam!$C$52</f>
        <v>0.01</v>
      </c>
      <c r="U10" s="1027"/>
      <c r="V10" s="1027"/>
      <c r="W10" s="1027"/>
    </row>
    <row r="11" spans="1:23" ht="12.75" customHeight="1" thickBot="1" x14ac:dyDescent="0.25">
      <c r="A11" s="1034"/>
      <c r="B11" s="1575"/>
      <c r="C11" s="1034"/>
      <c r="D11" s="1034"/>
      <c r="E11" s="1483"/>
      <c r="F11" s="1484"/>
      <c r="G11" s="1484"/>
      <c r="H11" s="1035"/>
      <c r="U11" s="1027"/>
      <c r="V11" s="1027"/>
      <c r="W11" s="1027"/>
    </row>
    <row r="12" spans="1:23" ht="12.75" customHeight="1" x14ac:dyDescent="0.2">
      <c r="B12" s="1036">
        <f>Marktnahe_Bilanz!$A$1</f>
        <v>7</v>
      </c>
      <c r="C12" s="1037" t="str">
        <f>Marktnahe_Bilanz!$B$1</f>
        <v>Marktnahe Gliederung der Aktiven und Passiven</v>
      </c>
      <c r="D12" s="1055" t="str">
        <f>Marktnahe_Bilanz!$C$13</f>
        <v>Grundstücke und Bauten</v>
      </c>
      <c r="E12" s="1486"/>
      <c r="F12" s="1055">
        <f>Marktnahe_Bilanz!$E$7</f>
        <v>45657</v>
      </c>
      <c r="G12" s="1056"/>
      <c r="H12" s="1057">
        <f>Marktnahe_Bilanz!$E13</f>
        <v>0</v>
      </c>
      <c r="U12" s="1027"/>
      <c r="V12" s="1027"/>
      <c r="W12" s="1027"/>
    </row>
    <row r="13" spans="1:23" ht="12.75" customHeight="1" x14ac:dyDescent="0.2">
      <c r="B13" s="1042">
        <f>Marktnahe_Bilanz!$A$1</f>
        <v>7</v>
      </c>
      <c r="C13" s="1043" t="str">
        <f>Marktnahe_Bilanz!$B$1</f>
        <v>Marktnahe Gliederung der Aktiven und Passiven</v>
      </c>
      <c r="D13" s="1058" t="str">
        <f>Marktnahe_Bilanz!$C$13</f>
        <v>Grundstücke und Bauten</v>
      </c>
      <c r="E13" s="1045" t="str">
        <f>Marktnahe_Bilanz!$D14</f>
        <v>dem Geschäft nach KVG zugeordnet</v>
      </c>
      <c r="F13" s="1058">
        <f>Marktnahe_Bilanz!$E$7</f>
        <v>45657</v>
      </c>
      <c r="G13" s="1059"/>
      <c r="H13" s="1060">
        <f>Marktnahe_Bilanz!$E14</f>
        <v>0</v>
      </c>
      <c r="U13" s="1027"/>
      <c r="V13" s="1027"/>
      <c r="W13" s="1027"/>
    </row>
    <row r="14" spans="1:23" ht="12.75" customHeight="1" x14ac:dyDescent="0.2">
      <c r="B14" s="1042">
        <f>Marktnahe_Bilanz!$A$1</f>
        <v>7</v>
      </c>
      <c r="C14" s="1043" t="str">
        <f>Marktnahe_Bilanz!$B$1</f>
        <v>Marktnahe Gliederung der Aktiven und Passiven</v>
      </c>
      <c r="D14" s="1058" t="str">
        <f>Marktnahe_Bilanz!$C$13</f>
        <v>Grundstücke und Bauten</v>
      </c>
      <c r="E14" s="1045" t="str">
        <f>Marktnahe_Bilanz!$D15</f>
        <v>dem Geschäft nach VVG zugeordnet</v>
      </c>
      <c r="F14" s="1058">
        <f>Marktnahe_Bilanz!$E$7</f>
        <v>45657</v>
      </c>
      <c r="G14" s="1059"/>
      <c r="H14" s="1060">
        <f>Marktnahe_Bilanz!$E15</f>
        <v>0</v>
      </c>
      <c r="U14" s="1027"/>
      <c r="V14" s="1027"/>
      <c r="W14" s="1027"/>
    </row>
    <row r="15" spans="1:23" ht="12.75" customHeight="1" x14ac:dyDescent="0.2">
      <c r="B15" s="1042">
        <f>Marktnahe_Bilanz!$A$1</f>
        <v>7</v>
      </c>
      <c r="C15" s="1043" t="str">
        <f>Marktnahe_Bilanz!$B$1</f>
        <v>Marktnahe Gliederung der Aktiven und Passiven</v>
      </c>
      <c r="D15" s="1058" t="str">
        <f>Marktnahe_Bilanz!$C$13</f>
        <v>Grundstücke und Bauten</v>
      </c>
      <c r="E15" s="1045" t="str">
        <f>Marktnahe_Bilanz!$D16</f>
        <v>dem Geschäft nach UVG zugeordnet</v>
      </c>
      <c r="F15" s="1058">
        <f>Marktnahe_Bilanz!$E$7</f>
        <v>45657</v>
      </c>
      <c r="G15" s="1059"/>
      <c r="H15" s="1060">
        <f>Marktnahe_Bilanz!$E16</f>
        <v>0</v>
      </c>
      <c r="U15" s="1027"/>
      <c r="V15" s="1027"/>
      <c r="W15" s="1027"/>
    </row>
    <row r="16" spans="1:23" ht="12.75" customHeight="1" x14ac:dyDescent="0.2">
      <c r="B16" s="1042"/>
      <c r="C16" s="1043"/>
      <c r="D16" s="1058"/>
      <c r="E16" s="1045"/>
      <c r="F16" s="1058"/>
      <c r="G16" s="1059"/>
      <c r="H16" s="1061"/>
      <c r="U16" s="1027"/>
      <c r="V16" s="1027"/>
      <c r="W16" s="1027"/>
    </row>
    <row r="17" spans="2:23" ht="25.5" x14ac:dyDescent="0.2">
      <c r="B17" s="1042">
        <f>Marktnahe_Bilanz!$A$1</f>
        <v>7</v>
      </c>
      <c r="C17" s="1043" t="str">
        <f>Marktnahe_Bilanz!$B$1</f>
        <v>Marktnahe Gliederung der Aktiven und Passiven</v>
      </c>
      <c r="D17" s="1058" t="str">
        <f>Marktnahe_Bilanz!$C$18</f>
        <v>Obligationen</v>
      </c>
      <c r="E17" s="1045"/>
      <c r="F17" s="1058">
        <f>Marktnahe_Bilanz!$E$7</f>
        <v>45657</v>
      </c>
      <c r="G17" s="1059"/>
      <c r="H17" s="1062">
        <f>Marktnahe_Bilanz!$E18</f>
        <v>0</v>
      </c>
      <c r="U17" s="1027"/>
      <c r="V17" s="1027"/>
      <c r="W17" s="1027"/>
    </row>
    <row r="18" spans="2:23" ht="12.75" customHeight="1" x14ac:dyDescent="0.2">
      <c r="B18" s="1042">
        <f>Marktnahe_Bilanz!$A$1</f>
        <v>7</v>
      </c>
      <c r="C18" s="1043" t="str">
        <f>Marktnahe_Bilanz!$B$1</f>
        <v>Marktnahe Gliederung der Aktiven und Passiven</v>
      </c>
      <c r="D18" s="1058" t="str">
        <f>Marktnahe_Bilanz!$C$18</f>
        <v>Obligationen</v>
      </c>
      <c r="E18" s="1045" t="str">
        <f>Marktnahe_Bilanz!$D19</f>
        <v>dem Geschäft nach KVG zugeordnet</v>
      </c>
      <c r="F18" s="1058">
        <f>Marktnahe_Bilanz!$E$7</f>
        <v>45657</v>
      </c>
      <c r="G18" s="1059"/>
      <c r="H18" s="1060">
        <f>Marktnahe_Bilanz!$E19</f>
        <v>0</v>
      </c>
      <c r="U18" s="1027"/>
      <c r="V18" s="1027"/>
      <c r="W18" s="1027"/>
    </row>
    <row r="19" spans="2:23" ht="12.75" customHeight="1" x14ac:dyDescent="0.2">
      <c r="B19" s="1042">
        <f>Marktnahe_Bilanz!$A$1</f>
        <v>7</v>
      </c>
      <c r="C19" s="1043" t="str">
        <f>Marktnahe_Bilanz!$B$1</f>
        <v>Marktnahe Gliederung der Aktiven und Passiven</v>
      </c>
      <c r="D19" s="1058" t="str">
        <f>Marktnahe_Bilanz!$C$18</f>
        <v>Obligationen</v>
      </c>
      <c r="E19" s="1045" t="str">
        <f>Marktnahe_Bilanz!$D20</f>
        <v>dem Geschäft nach VVG zugeordnet</v>
      </c>
      <c r="F19" s="1058">
        <f>Marktnahe_Bilanz!$E$7</f>
        <v>45657</v>
      </c>
      <c r="G19" s="1059"/>
      <c r="H19" s="1060">
        <f>Marktnahe_Bilanz!$E20</f>
        <v>0</v>
      </c>
      <c r="U19" s="1027"/>
      <c r="V19" s="1027"/>
      <c r="W19" s="1027"/>
    </row>
    <row r="20" spans="2:23" ht="12.75" customHeight="1" x14ac:dyDescent="0.2">
      <c r="B20" s="1042">
        <f>Marktnahe_Bilanz!$A$1</f>
        <v>7</v>
      </c>
      <c r="C20" s="1043" t="str">
        <f>Marktnahe_Bilanz!$B$1</f>
        <v>Marktnahe Gliederung der Aktiven und Passiven</v>
      </c>
      <c r="D20" s="1058" t="str">
        <f>Marktnahe_Bilanz!$C$18</f>
        <v>Obligationen</v>
      </c>
      <c r="E20" s="1045" t="str">
        <f>Marktnahe_Bilanz!$D21</f>
        <v>dem Geschäft nach UVG zugeordnet</v>
      </c>
      <c r="F20" s="1058">
        <f>Marktnahe_Bilanz!$E$7</f>
        <v>45657</v>
      </c>
      <c r="G20" s="1059"/>
      <c r="H20" s="1060">
        <f>Marktnahe_Bilanz!$E21</f>
        <v>0</v>
      </c>
      <c r="U20" s="1027"/>
      <c r="V20" s="1027"/>
      <c r="W20" s="1027"/>
    </row>
    <row r="21" spans="2:23" ht="12.75" customHeight="1" x14ac:dyDescent="0.2">
      <c r="B21" s="1042"/>
      <c r="C21" s="1043"/>
      <c r="D21" s="1058"/>
      <c r="E21" s="1045"/>
      <c r="F21" s="1058"/>
      <c r="G21" s="1059"/>
      <c r="H21" s="1061"/>
      <c r="U21" s="1027"/>
      <c r="V21" s="1027"/>
      <c r="W21" s="1027"/>
    </row>
    <row r="22" spans="2:23" ht="25.5" x14ac:dyDescent="0.2">
      <c r="B22" s="1042">
        <f>Marktnahe_Bilanz!$A$1</f>
        <v>7</v>
      </c>
      <c r="C22" s="1043" t="str">
        <f>Marktnahe_Bilanz!$B$1</f>
        <v>Marktnahe Gliederung der Aktiven und Passiven</v>
      </c>
      <c r="D22" s="1058" t="str">
        <f>Marktnahe_Bilanz!$C$23</f>
        <v>Aktien und ähnliche Anlagen</v>
      </c>
      <c r="E22" s="1045"/>
      <c r="F22" s="1058">
        <f>Marktnahe_Bilanz!$E$7</f>
        <v>45657</v>
      </c>
      <c r="G22" s="1059"/>
      <c r="H22" s="1062">
        <f>Marktnahe_Bilanz!$E23</f>
        <v>0</v>
      </c>
      <c r="U22" s="1027"/>
      <c r="V22" s="1027"/>
      <c r="W22" s="1027"/>
    </row>
    <row r="23" spans="2:23" ht="25.5" x14ac:dyDescent="0.2">
      <c r="B23" s="1042">
        <f>Marktnahe_Bilanz!$A$1</f>
        <v>7</v>
      </c>
      <c r="C23" s="1043" t="str">
        <f>Marktnahe_Bilanz!$B$1</f>
        <v>Marktnahe Gliederung der Aktiven und Passiven</v>
      </c>
      <c r="D23" s="1058" t="str">
        <f>Marktnahe_Bilanz!$C$23</f>
        <v>Aktien und ähnliche Anlagen</v>
      </c>
      <c r="E23" s="1045" t="str">
        <f>Marktnahe_Bilanz!$D24</f>
        <v>dem Geschäft nach KVG zugeordnet</v>
      </c>
      <c r="F23" s="1058">
        <f>Marktnahe_Bilanz!$E$7</f>
        <v>45657</v>
      </c>
      <c r="G23" s="1059"/>
      <c r="H23" s="1060">
        <f>Marktnahe_Bilanz!$E24</f>
        <v>0</v>
      </c>
      <c r="U23" s="1027"/>
      <c r="V23" s="1027"/>
      <c r="W23" s="1027"/>
    </row>
    <row r="24" spans="2:23" ht="25.5" x14ac:dyDescent="0.2">
      <c r="B24" s="1042">
        <f>Marktnahe_Bilanz!$A$1</f>
        <v>7</v>
      </c>
      <c r="C24" s="1043" t="str">
        <f>Marktnahe_Bilanz!$B$1</f>
        <v>Marktnahe Gliederung der Aktiven und Passiven</v>
      </c>
      <c r="D24" s="1058" t="str">
        <f>Marktnahe_Bilanz!$C$23</f>
        <v>Aktien und ähnliche Anlagen</v>
      </c>
      <c r="E24" s="1045" t="str">
        <f>Marktnahe_Bilanz!$D25</f>
        <v>dem Geschäft nach VVG zugeordnet</v>
      </c>
      <c r="F24" s="1058">
        <f>Marktnahe_Bilanz!$E$7</f>
        <v>45657</v>
      </c>
      <c r="G24" s="1059"/>
      <c r="H24" s="1060">
        <f>Marktnahe_Bilanz!$E25</f>
        <v>0</v>
      </c>
      <c r="U24" s="1027"/>
      <c r="V24" s="1027"/>
      <c r="W24" s="1027"/>
    </row>
    <row r="25" spans="2:23" ht="25.5" x14ac:dyDescent="0.2">
      <c r="B25" s="1042">
        <f>Marktnahe_Bilanz!$A$1</f>
        <v>7</v>
      </c>
      <c r="C25" s="1043" t="str">
        <f>Marktnahe_Bilanz!$B$1</f>
        <v>Marktnahe Gliederung der Aktiven und Passiven</v>
      </c>
      <c r="D25" s="1058" t="str">
        <f>Marktnahe_Bilanz!$C$23</f>
        <v>Aktien und ähnliche Anlagen</v>
      </c>
      <c r="E25" s="1045" t="str">
        <f>Marktnahe_Bilanz!$D26</f>
        <v>dem Geschäft nach UVG zugeordnet</v>
      </c>
      <c r="F25" s="1058">
        <f>Marktnahe_Bilanz!$E$7</f>
        <v>45657</v>
      </c>
      <c r="G25" s="1059"/>
      <c r="H25" s="1060">
        <f>Marktnahe_Bilanz!$E26</f>
        <v>0</v>
      </c>
      <c r="U25" s="1027"/>
      <c r="V25" s="1027"/>
      <c r="W25" s="1027"/>
    </row>
    <row r="26" spans="2:23" x14ac:dyDescent="0.2">
      <c r="B26" s="1042"/>
      <c r="C26" s="1043"/>
      <c r="D26" s="1058"/>
      <c r="E26" s="1045"/>
      <c r="F26" s="1058"/>
      <c r="G26" s="1059"/>
      <c r="H26" s="1061"/>
      <c r="U26" s="1027"/>
      <c r="V26" s="1027"/>
      <c r="W26" s="1027"/>
    </row>
    <row r="27" spans="2:23" ht="25.5" x14ac:dyDescent="0.2">
      <c r="B27" s="1042">
        <f>Marktnahe_Bilanz!$A$1</f>
        <v>7</v>
      </c>
      <c r="C27" s="1043" t="str">
        <f>Marktnahe_Bilanz!$B$1</f>
        <v>Marktnahe Gliederung der Aktiven und Passiven</v>
      </c>
      <c r="D27" s="1058" t="str">
        <f>Marktnahe_Bilanz!$C$28</f>
        <v>Anteile an Anlagefonds</v>
      </c>
      <c r="E27" s="1045"/>
      <c r="F27" s="1058">
        <f>Marktnahe_Bilanz!$E$7</f>
        <v>45657</v>
      </c>
      <c r="G27" s="1059"/>
      <c r="H27" s="1062">
        <f>Marktnahe_Bilanz!$E28</f>
        <v>0</v>
      </c>
      <c r="U27" s="1027"/>
      <c r="V27" s="1027"/>
      <c r="W27" s="1027"/>
    </row>
    <row r="28" spans="2:23" ht="12.75" customHeight="1" x14ac:dyDescent="0.2">
      <c r="B28" s="1042">
        <f>Marktnahe_Bilanz!$A$1</f>
        <v>7</v>
      </c>
      <c r="C28" s="1043" t="str">
        <f>Marktnahe_Bilanz!$B$1</f>
        <v>Marktnahe Gliederung der Aktiven und Passiven</v>
      </c>
      <c r="D28" s="1058" t="str">
        <f>Marktnahe_Bilanz!$C$28</f>
        <v>Anteile an Anlagefonds</v>
      </c>
      <c r="E28" s="1045" t="str">
        <f>Marktnahe_Bilanz!$D29</f>
        <v>dem Geschäft nach KVG zugeordnet</v>
      </c>
      <c r="F28" s="1058">
        <f>Marktnahe_Bilanz!$E$7</f>
        <v>45657</v>
      </c>
      <c r="G28" s="1059"/>
      <c r="H28" s="1060">
        <f>Marktnahe_Bilanz!$E29</f>
        <v>0</v>
      </c>
      <c r="U28" s="1027"/>
      <c r="V28" s="1027"/>
      <c r="W28" s="1027"/>
    </row>
    <row r="29" spans="2:23" ht="12.75" customHeight="1" x14ac:dyDescent="0.2">
      <c r="B29" s="1042">
        <f>Marktnahe_Bilanz!$A$1</f>
        <v>7</v>
      </c>
      <c r="C29" s="1043" t="str">
        <f>Marktnahe_Bilanz!$B$1</f>
        <v>Marktnahe Gliederung der Aktiven und Passiven</v>
      </c>
      <c r="D29" s="1058" t="str">
        <f>Marktnahe_Bilanz!$C$28</f>
        <v>Anteile an Anlagefonds</v>
      </c>
      <c r="E29" s="1045" t="str">
        <f>Marktnahe_Bilanz!$D30</f>
        <v>dem Geschäft nach VVG zugeordnet</v>
      </c>
      <c r="F29" s="1058">
        <f>Marktnahe_Bilanz!$E$7</f>
        <v>45657</v>
      </c>
      <c r="G29" s="1059"/>
      <c r="H29" s="1060">
        <f>Marktnahe_Bilanz!$E30</f>
        <v>0</v>
      </c>
      <c r="U29" s="1027"/>
      <c r="V29" s="1027"/>
      <c r="W29" s="1027"/>
    </row>
    <row r="30" spans="2:23" ht="12.75" customHeight="1" x14ac:dyDescent="0.2">
      <c r="B30" s="1042">
        <f>Marktnahe_Bilanz!$A$1</f>
        <v>7</v>
      </c>
      <c r="C30" s="1043" t="str">
        <f>Marktnahe_Bilanz!$B$1</f>
        <v>Marktnahe Gliederung der Aktiven und Passiven</v>
      </c>
      <c r="D30" s="1058" t="str">
        <f>Marktnahe_Bilanz!$C$28</f>
        <v>Anteile an Anlagefonds</v>
      </c>
      <c r="E30" s="1045" t="str">
        <f>Marktnahe_Bilanz!$D31</f>
        <v>dem Geschäft nach UVG zugeordnet</v>
      </c>
      <c r="F30" s="1058">
        <f>Marktnahe_Bilanz!$E$7</f>
        <v>45657</v>
      </c>
      <c r="G30" s="1059"/>
      <c r="H30" s="1060">
        <f>Marktnahe_Bilanz!$E31</f>
        <v>0</v>
      </c>
      <c r="U30" s="1027"/>
      <c r="V30" s="1027"/>
      <c r="W30" s="1027"/>
    </row>
    <row r="31" spans="2:23" ht="12.75" customHeight="1" x14ac:dyDescent="0.2">
      <c r="B31" s="1042"/>
      <c r="C31" s="1043"/>
      <c r="D31" s="1058"/>
      <c r="E31" s="1045"/>
      <c r="F31" s="1058"/>
      <c r="G31" s="1059"/>
      <c r="H31" s="1061"/>
      <c r="U31" s="1027"/>
      <c r="V31" s="1027"/>
      <c r="W31" s="1027"/>
    </row>
    <row r="32" spans="2:23" ht="12.75" customHeight="1" x14ac:dyDescent="0.2">
      <c r="B32" s="1042">
        <f>Marktnahe_Bilanz!$A$1</f>
        <v>7</v>
      </c>
      <c r="C32" s="1043" t="str">
        <f>Marktnahe_Bilanz!$B$1</f>
        <v>Marktnahe Gliederung der Aktiven und Passiven</v>
      </c>
      <c r="D32" s="1058" t="str">
        <f>Marktnahe_Bilanz!$C$33</f>
        <v>Derivative Finanzinstrumente (Guthaben)</v>
      </c>
      <c r="E32" s="1045"/>
      <c r="F32" s="1058">
        <f>Marktnahe_Bilanz!$E$7</f>
        <v>45657</v>
      </c>
      <c r="G32" s="1059"/>
      <c r="H32" s="1062">
        <f>Marktnahe_Bilanz!$E33</f>
        <v>0</v>
      </c>
      <c r="U32" s="1027"/>
      <c r="V32" s="1027"/>
      <c r="W32" s="1027"/>
    </row>
    <row r="33" spans="2:23" ht="12.75" customHeight="1" x14ac:dyDescent="0.2">
      <c r="B33" s="1042">
        <f>Marktnahe_Bilanz!$A$1</f>
        <v>7</v>
      </c>
      <c r="C33" s="1043" t="str">
        <f>Marktnahe_Bilanz!$B$1</f>
        <v>Marktnahe Gliederung der Aktiven und Passiven</v>
      </c>
      <c r="D33" s="1058" t="str">
        <f>Marktnahe_Bilanz!$C$33</f>
        <v>Derivative Finanzinstrumente (Guthaben)</v>
      </c>
      <c r="E33" s="1045" t="str">
        <f>Marktnahe_Bilanz!$D34</f>
        <v>dem Geschäft nach KVG zugeordnet</v>
      </c>
      <c r="F33" s="1058">
        <f>Marktnahe_Bilanz!$E$7</f>
        <v>45657</v>
      </c>
      <c r="G33" s="1059"/>
      <c r="H33" s="1060">
        <f>Marktnahe_Bilanz!$E34</f>
        <v>0</v>
      </c>
      <c r="U33" s="1027"/>
      <c r="V33" s="1027"/>
      <c r="W33" s="1027"/>
    </row>
    <row r="34" spans="2:23" ht="12.75" customHeight="1" x14ac:dyDescent="0.2">
      <c r="B34" s="1042">
        <f>Marktnahe_Bilanz!$A$1</f>
        <v>7</v>
      </c>
      <c r="C34" s="1043" t="str">
        <f>Marktnahe_Bilanz!$B$1</f>
        <v>Marktnahe Gliederung der Aktiven und Passiven</v>
      </c>
      <c r="D34" s="1058" t="str">
        <f>Marktnahe_Bilanz!$C$33</f>
        <v>Derivative Finanzinstrumente (Guthaben)</v>
      </c>
      <c r="E34" s="1045" t="str">
        <f>Marktnahe_Bilanz!$D35</f>
        <v>dem Geschäft nach VVG zugeordnet</v>
      </c>
      <c r="F34" s="1058">
        <f>Marktnahe_Bilanz!$E$7</f>
        <v>45657</v>
      </c>
      <c r="G34" s="1059"/>
      <c r="H34" s="1060">
        <f>Marktnahe_Bilanz!$E35</f>
        <v>0</v>
      </c>
      <c r="U34" s="1027"/>
      <c r="V34" s="1027"/>
      <c r="W34" s="1027"/>
    </row>
    <row r="35" spans="2:23" ht="12.75" customHeight="1" x14ac:dyDescent="0.2">
      <c r="B35" s="1042">
        <f>Marktnahe_Bilanz!$A$1</f>
        <v>7</v>
      </c>
      <c r="C35" s="1043" t="str">
        <f>Marktnahe_Bilanz!$B$1</f>
        <v>Marktnahe Gliederung der Aktiven und Passiven</v>
      </c>
      <c r="D35" s="1058" t="str">
        <f>Marktnahe_Bilanz!$C$33</f>
        <v>Derivative Finanzinstrumente (Guthaben)</v>
      </c>
      <c r="E35" s="1045" t="str">
        <f>Marktnahe_Bilanz!$D36</f>
        <v>dem Geschäft nach UVG zugeordnet</v>
      </c>
      <c r="F35" s="1058">
        <f>Marktnahe_Bilanz!$E$7</f>
        <v>45657</v>
      </c>
      <c r="G35" s="1059"/>
      <c r="H35" s="1060">
        <f>Marktnahe_Bilanz!$E36</f>
        <v>0</v>
      </c>
      <c r="U35" s="1027"/>
      <c r="V35" s="1027"/>
      <c r="W35" s="1027"/>
    </row>
    <row r="36" spans="2:23" x14ac:dyDescent="0.2">
      <c r="B36" s="1042"/>
      <c r="C36" s="1043"/>
      <c r="D36" s="1058"/>
      <c r="E36" s="1045"/>
      <c r="F36" s="1058"/>
      <c r="G36" s="1059"/>
      <c r="H36" s="1061"/>
      <c r="U36" s="1027"/>
      <c r="V36" s="1027"/>
      <c r="W36" s="1027"/>
    </row>
    <row r="37" spans="2:23" ht="25.5" x14ac:dyDescent="0.2">
      <c r="B37" s="1042">
        <f>Marktnahe_Bilanz!$A$1</f>
        <v>7</v>
      </c>
      <c r="C37" s="1043" t="str">
        <f>Marktnahe_Bilanz!$B$1</f>
        <v>Marktnahe Gliederung der Aktiven und Passiven</v>
      </c>
      <c r="D37" s="1058" t="str">
        <f>Marktnahe_Bilanz!$C$38</f>
        <v>Liquide Mittel</v>
      </c>
      <c r="E37" s="1045"/>
      <c r="F37" s="1058">
        <f>Marktnahe_Bilanz!$E$7</f>
        <v>45657</v>
      </c>
      <c r="G37" s="1059"/>
      <c r="H37" s="1062">
        <f>Marktnahe_Bilanz!$E38</f>
        <v>0</v>
      </c>
      <c r="U37" s="1027"/>
      <c r="V37" s="1027"/>
      <c r="W37" s="1027"/>
    </row>
    <row r="38" spans="2:23" ht="25.5" x14ac:dyDescent="0.2">
      <c r="B38" s="1042">
        <f>Marktnahe_Bilanz!$A$1</f>
        <v>7</v>
      </c>
      <c r="C38" s="1043" t="str">
        <f>Marktnahe_Bilanz!$B$1</f>
        <v>Marktnahe Gliederung der Aktiven und Passiven</v>
      </c>
      <c r="D38" s="1058" t="str">
        <f>Marktnahe_Bilanz!$C$38</f>
        <v>Liquide Mittel</v>
      </c>
      <c r="E38" s="1045" t="str">
        <f>Marktnahe_Bilanz!$D39</f>
        <v>dem Geschäft nach KVG zugeordnet</v>
      </c>
      <c r="F38" s="1058">
        <f>Marktnahe_Bilanz!$E$7</f>
        <v>45657</v>
      </c>
      <c r="G38" s="1059"/>
      <c r="H38" s="1060">
        <f>Marktnahe_Bilanz!$E39</f>
        <v>0</v>
      </c>
      <c r="U38" s="1027"/>
      <c r="V38" s="1027"/>
      <c r="W38" s="1027"/>
    </row>
    <row r="39" spans="2:23" ht="25.5" x14ac:dyDescent="0.2">
      <c r="B39" s="1042">
        <f>Marktnahe_Bilanz!$A$1</f>
        <v>7</v>
      </c>
      <c r="C39" s="1043" t="str">
        <f>Marktnahe_Bilanz!$B$1</f>
        <v>Marktnahe Gliederung der Aktiven und Passiven</v>
      </c>
      <c r="D39" s="1058" t="str">
        <f>Marktnahe_Bilanz!$C$38</f>
        <v>Liquide Mittel</v>
      </c>
      <c r="E39" s="1045" t="str">
        <f>Marktnahe_Bilanz!$D40</f>
        <v>dem Geschäft nach VVG zugeordnet</v>
      </c>
      <c r="F39" s="1058">
        <f>Marktnahe_Bilanz!$E$7</f>
        <v>45657</v>
      </c>
      <c r="G39" s="1059"/>
      <c r="H39" s="1060">
        <f>Marktnahe_Bilanz!$E40</f>
        <v>0</v>
      </c>
      <c r="U39" s="1027"/>
      <c r="V39" s="1027"/>
      <c r="W39" s="1027"/>
    </row>
    <row r="40" spans="2:23" s="1064" customFormat="1" ht="25.5" x14ac:dyDescent="0.2">
      <c r="B40" s="1042">
        <f>Marktnahe_Bilanz!$A$1</f>
        <v>7</v>
      </c>
      <c r="C40" s="1043" t="str">
        <f>Marktnahe_Bilanz!$B$1</f>
        <v>Marktnahe Gliederung der Aktiven und Passiven</v>
      </c>
      <c r="D40" s="1058" t="str">
        <f>Marktnahe_Bilanz!$C$38</f>
        <v>Liquide Mittel</v>
      </c>
      <c r="E40" s="1045" t="str">
        <f>Marktnahe_Bilanz!$D41</f>
        <v>dem Geschäft nach UVG zugeordnet</v>
      </c>
      <c r="F40" s="1058">
        <f>Marktnahe_Bilanz!$E$7</f>
        <v>45657</v>
      </c>
      <c r="G40" s="1059"/>
      <c r="H40" s="1060">
        <f>Marktnahe_Bilanz!$E41</f>
        <v>0</v>
      </c>
      <c r="I40" s="1063"/>
      <c r="J40" s="1063"/>
      <c r="K40" s="1063"/>
      <c r="L40" s="1063"/>
      <c r="M40" s="1063"/>
      <c r="N40" s="1063"/>
      <c r="O40" s="1063"/>
      <c r="P40" s="1063"/>
      <c r="Q40" s="1063"/>
      <c r="R40" s="1063"/>
      <c r="S40" s="1063"/>
      <c r="T40" s="1063"/>
      <c r="U40" s="1063"/>
      <c r="V40" s="1063"/>
      <c r="W40" s="1063"/>
    </row>
    <row r="41" spans="2:23" s="1064" customFormat="1" x14ac:dyDescent="0.2">
      <c r="B41" s="1042"/>
      <c r="C41" s="1043"/>
      <c r="D41" s="1058"/>
      <c r="E41" s="1045"/>
      <c r="F41" s="1058"/>
      <c r="G41" s="1059"/>
      <c r="H41" s="1061"/>
      <c r="I41" s="1063"/>
      <c r="J41" s="1063"/>
      <c r="K41" s="1063"/>
      <c r="L41" s="1063"/>
      <c r="M41" s="1063"/>
      <c r="N41" s="1063"/>
      <c r="O41" s="1063"/>
      <c r="P41" s="1063"/>
      <c r="Q41" s="1063"/>
      <c r="R41" s="1063"/>
      <c r="S41" s="1063"/>
      <c r="T41" s="1063"/>
      <c r="U41" s="1063"/>
      <c r="V41" s="1063"/>
      <c r="W41" s="1063"/>
    </row>
    <row r="42" spans="2:23" ht="12.75" customHeight="1" x14ac:dyDescent="0.2">
      <c r="B42" s="1042">
        <f>Marktnahe_Bilanz!$A$1</f>
        <v>7</v>
      </c>
      <c r="C42" s="1043" t="str">
        <f>Marktnahe_Bilanz!$B$1</f>
        <v>Marktnahe Gliederung der Aktiven und Passiven</v>
      </c>
      <c r="D42" s="1058" t="str">
        <f>Marktnahe_Bilanz!$C$43</f>
        <v>Anlagen in Institutionen, die der Durchführung der sozialen Krankenversicherung dienen</v>
      </c>
      <c r="E42" s="1045"/>
      <c r="F42" s="1058">
        <f>Marktnahe_Bilanz!$E$7</f>
        <v>45657</v>
      </c>
      <c r="G42" s="1059"/>
      <c r="H42" s="1062">
        <f>Marktnahe_Bilanz!$E43</f>
        <v>0</v>
      </c>
      <c r="U42" s="1027"/>
      <c r="V42" s="1027"/>
      <c r="W42" s="1027"/>
    </row>
    <row r="43" spans="2:23" ht="12.75" customHeight="1" x14ac:dyDescent="0.2">
      <c r="B43" s="1042">
        <f>Marktnahe_Bilanz!$A$1</f>
        <v>7</v>
      </c>
      <c r="C43" s="1043" t="str">
        <f>Marktnahe_Bilanz!$B$1</f>
        <v>Marktnahe Gliederung der Aktiven und Passiven</v>
      </c>
      <c r="D43" s="1058" t="str">
        <f>Marktnahe_Bilanz!$C$43</f>
        <v>Anlagen in Institutionen, die der Durchführung der sozialen Krankenversicherung dienen</v>
      </c>
      <c r="E43" s="1045" t="str">
        <f>Marktnahe_Bilanz!$D44</f>
        <v>dem Geschäft nach KVG zugeordnet</v>
      </c>
      <c r="F43" s="1058">
        <f>Marktnahe_Bilanz!$E$7</f>
        <v>45657</v>
      </c>
      <c r="G43" s="1059"/>
      <c r="H43" s="1060">
        <f>Marktnahe_Bilanz!$E44</f>
        <v>0</v>
      </c>
      <c r="U43" s="1027"/>
      <c r="V43" s="1027"/>
      <c r="W43" s="1027"/>
    </row>
    <row r="44" spans="2:23" ht="12.75" customHeight="1" x14ac:dyDescent="0.2">
      <c r="B44" s="1042">
        <f>Marktnahe_Bilanz!$A$1</f>
        <v>7</v>
      </c>
      <c r="C44" s="1043" t="str">
        <f>Marktnahe_Bilanz!$B$1</f>
        <v>Marktnahe Gliederung der Aktiven und Passiven</v>
      </c>
      <c r="D44" s="1058" t="str">
        <f>Marktnahe_Bilanz!$C$43</f>
        <v>Anlagen in Institutionen, die der Durchführung der sozialen Krankenversicherung dienen</v>
      </c>
      <c r="E44" s="1045" t="str">
        <f>Marktnahe_Bilanz!$D45</f>
        <v>dem Geschäft nach VVG zugeordnet</v>
      </c>
      <c r="F44" s="1058">
        <f>Marktnahe_Bilanz!$E$7</f>
        <v>45657</v>
      </c>
      <c r="G44" s="1059"/>
      <c r="H44" s="1060">
        <f>Marktnahe_Bilanz!$E45</f>
        <v>0</v>
      </c>
      <c r="U44" s="1027"/>
      <c r="V44" s="1027"/>
      <c r="W44" s="1027"/>
    </row>
    <row r="45" spans="2:23" ht="12.75" customHeight="1" x14ac:dyDescent="0.2">
      <c r="B45" s="1042">
        <f>Marktnahe_Bilanz!$A$1</f>
        <v>7</v>
      </c>
      <c r="C45" s="1043" t="str">
        <f>Marktnahe_Bilanz!$B$1</f>
        <v>Marktnahe Gliederung der Aktiven und Passiven</v>
      </c>
      <c r="D45" s="1058" t="str">
        <f>Marktnahe_Bilanz!$C$43</f>
        <v>Anlagen in Institutionen, die der Durchführung der sozialen Krankenversicherung dienen</v>
      </c>
      <c r="E45" s="1045" t="str">
        <f>Marktnahe_Bilanz!$D46</f>
        <v>dem Geschäft nach UVG zugeordnet</v>
      </c>
      <c r="F45" s="1058">
        <f>Marktnahe_Bilanz!$E$7</f>
        <v>45657</v>
      </c>
      <c r="G45" s="1059"/>
      <c r="H45" s="1060">
        <f>Marktnahe_Bilanz!$E46</f>
        <v>0</v>
      </c>
      <c r="U45" s="1027"/>
      <c r="V45" s="1027"/>
      <c r="W45" s="1027"/>
    </row>
    <row r="46" spans="2:23" s="1064" customFormat="1" x14ac:dyDescent="0.2">
      <c r="B46" s="1042"/>
      <c r="C46" s="1043"/>
      <c r="D46" s="1058"/>
      <c r="E46" s="1045"/>
      <c r="F46" s="1058"/>
      <c r="G46" s="1059"/>
      <c r="H46" s="1061"/>
      <c r="I46" s="1063"/>
      <c r="J46" s="1063"/>
      <c r="K46" s="1063"/>
      <c r="L46" s="1063"/>
      <c r="M46" s="1063"/>
      <c r="N46" s="1063"/>
      <c r="O46" s="1063"/>
      <c r="P46" s="1063"/>
      <c r="Q46" s="1063"/>
      <c r="R46" s="1063"/>
      <c r="S46" s="1063"/>
      <c r="T46" s="1063"/>
      <c r="U46" s="1063"/>
      <c r="V46" s="1063"/>
      <c r="W46" s="1063"/>
    </row>
    <row r="47" spans="2:23" ht="12.75" customHeight="1" x14ac:dyDescent="0.2">
      <c r="B47" s="1042">
        <f>Marktnahe_Bilanz!$A$1</f>
        <v>7</v>
      </c>
      <c r="C47" s="1043" t="str">
        <f>Marktnahe_Bilanz!$B$1</f>
        <v>Marktnahe Gliederung der Aktiven und Passiven</v>
      </c>
      <c r="D47" s="1058" t="str">
        <f>Marktnahe_Bilanz!$C$48</f>
        <v>Übrige Kapitalanlagen (Latente Steuern, Aktiven aus Vorsorgeplänen)</v>
      </c>
      <c r="E47" s="1045"/>
      <c r="F47" s="1058">
        <f>Marktnahe_Bilanz!$E$7</f>
        <v>45657</v>
      </c>
      <c r="G47" s="1059"/>
      <c r="H47" s="1062">
        <f>Marktnahe_Bilanz!$E48</f>
        <v>0</v>
      </c>
      <c r="U47" s="1027"/>
      <c r="V47" s="1027"/>
      <c r="W47" s="1027"/>
    </row>
    <row r="48" spans="2:23" ht="12.75" customHeight="1" x14ac:dyDescent="0.2">
      <c r="B48" s="1042">
        <f>Marktnahe_Bilanz!$A$1</f>
        <v>7</v>
      </c>
      <c r="C48" s="1043" t="str">
        <f>Marktnahe_Bilanz!$B$1</f>
        <v>Marktnahe Gliederung der Aktiven und Passiven</v>
      </c>
      <c r="D48" s="1058" t="str">
        <f>Marktnahe_Bilanz!$C$48</f>
        <v>Übrige Kapitalanlagen (Latente Steuern, Aktiven aus Vorsorgeplänen)</v>
      </c>
      <c r="E48" s="1045" t="str">
        <f>Marktnahe_Bilanz!$D49</f>
        <v>dem Geschäft nach KVG zugeordnet</v>
      </c>
      <c r="F48" s="1058">
        <f>Marktnahe_Bilanz!$E$7</f>
        <v>45657</v>
      </c>
      <c r="G48" s="1059"/>
      <c r="H48" s="1060">
        <f>Marktnahe_Bilanz!$E49</f>
        <v>0</v>
      </c>
      <c r="U48" s="1027"/>
      <c r="V48" s="1027"/>
      <c r="W48" s="1027"/>
    </row>
    <row r="49" spans="2:23" ht="12.75" customHeight="1" x14ac:dyDescent="0.2">
      <c r="B49" s="1042">
        <f>Marktnahe_Bilanz!$A$1</f>
        <v>7</v>
      </c>
      <c r="C49" s="1043" t="str">
        <f>Marktnahe_Bilanz!$B$1</f>
        <v>Marktnahe Gliederung der Aktiven und Passiven</v>
      </c>
      <c r="D49" s="1058" t="str">
        <f>Marktnahe_Bilanz!$C$48</f>
        <v>Übrige Kapitalanlagen (Latente Steuern, Aktiven aus Vorsorgeplänen)</v>
      </c>
      <c r="E49" s="1045" t="str">
        <f>Marktnahe_Bilanz!$D50</f>
        <v>dem Geschäft nach VVG zugeordnet</v>
      </c>
      <c r="F49" s="1058">
        <f>Marktnahe_Bilanz!$E$7</f>
        <v>45657</v>
      </c>
      <c r="G49" s="1059"/>
      <c r="H49" s="1060">
        <f>Marktnahe_Bilanz!$E50</f>
        <v>0</v>
      </c>
      <c r="U49" s="1027"/>
      <c r="V49" s="1027"/>
      <c r="W49" s="1027"/>
    </row>
    <row r="50" spans="2:23" ht="12.75" customHeight="1" x14ac:dyDescent="0.2">
      <c r="B50" s="1042">
        <f>Marktnahe_Bilanz!$A$1</f>
        <v>7</v>
      </c>
      <c r="C50" s="1043" t="str">
        <f>Marktnahe_Bilanz!$B$1</f>
        <v>Marktnahe Gliederung der Aktiven und Passiven</v>
      </c>
      <c r="D50" s="1058" t="str">
        <f>Marktnahe_Bilanz!$C$48</f>
        <v>Übrige Kapitalanlagen (Latente Steuern, Aktiven aus Vorsorgeplänen)</v>
      </c>
      <c r="E50" s="1045" t="str">
        <f>Marktnahe_Bilanz!$D51</f>
        <v>dem Geschäft nach UVG zugeordnet</v>
      </c>
      <c r="F50" s="1058">
        <f>Marktnahe_Bilanz!$E$7</f>
        <v>45657</v>
      </c>
      <c r="G50" s="1059"/>
      <c r="H50" s="1060">
        <f>Marktnahe_Bilanz!$E51</f>
        <v>0</v>
      </c>
      <c r="U50" s="1027"/>
      <c r="V50" s="1027"/>
      <c r="W50" s="1027"/>
    </row>
    <row r="51" spans="2:23" s="1064" customFormat="1" x14ac:dyDescent="0.2">
      <c r="B51" s="1042"/>
      <c r="C51" s="1043"/>
      <c r="D51" s="1058"/>
      <c r="E51" s="1045"/>
      <c r="F51" s="1058"/>
      <c r="G51" s="1059"/>
      <c r="H51" s="1061"/>
      <c r="I51" s="1063"/>
      <c r="J51" s="1063"/>
      <c r="K51" s="1063"/>
      <c r="L51" s="1063"/>
      <c r="M51" s="1063"/>
      <c r="N51" s="1063"/>
      <c r="O51" s="1063"/>
      <c r="P51" s="1063"/>
      <c r="Q51" s="1063"/>
      <c r="R51" s="1063"/>
      <c r="S51" s="1063"/>
      <c r="T51" s="1063"/>
      <c r="U51" s="1063"/>
      <c r="V51" s="1063"/>
      <c r="W51" s="1063"/>
    </row>
    <row r="52" spans="2:23" s="1064" customFormat="1" ht="25.5" x14ac:dyDescent="0.2">
      <c r="B52" s="1042">
        <f>Marktnahe_Bilanz!$A$1</f>
        <v>7</v>
      </c>
      <c r="C52" s="1043" t="str">
        <f>Marktnahe_Bilanz!$B$1</f>
        <v>Marktnahe Gliederung der Aktiven und Passiven</v>
      </c>
      <c r="D52" s="1058" t="str">
        <f>Marktnahe_Bilanz!$C$53</f>
        <v>Total Kapitalanlagen</v>
      </c>
      <c r="E52" s="1045"/>
      <c r="F52" s="1058">
        <f>Marktnahe_Bilanz!$E$7</f>
        <v>45657</v>
      </c>
      <c r="G52" s="1059"/>
      <c r="H52" s="1065">
        <f>Marktnahe_Bilanz!$E53</f>
        <v>0</v>
      </c>
      <c r="I52" s="1063"/>
      <c r="J52" s="1063"/>
      <c r="K52" s="1063"/>
      <c r="L52" s="1063"/>
      <c r="M52" s="1063"/>
      <c r="N52" s="1063"/>
      <c r="O52" s="1063"/>
      <c r="P52" s="1063"/>
      <c r="Q52" s="1063"/>
      <c r="R52" s="1063"/>
      <c r="S52" s="1063"/>
      <c r="T52" s="1063"/>
      <c r="U52" s="1063"/>
      <c r="V52" s="1063"/>
      <c r="W52" s="1063"/>
    </row>
    <row r="53" spans="2:23" s="1064" customFormat="1" x14ac:dyDescent="0.2">
      <c r="B53" s="1042"/>
      <c r="C53" s="1043"/>
      <c r="D53" s="1058"/>
      <c r="E53" s="1045"/>
      <c r="F53" s="1058"/>
      <c r="G53" s="1059"/>
      <c r="H53" s="1061"/>
      <c r="I53" s="1063"/>
      <c r="J53" s="1063"/>
      <c r="K53" s="1063"/>
      <c r="L53" s="1063"/>
      <c r="M53" s="1063"/>
      <c r="N53" s="1063"/>
      <c r="O53" s="1063"/>
      <c r="P53" s="1063"/>
      <c r="Q53" s="1063"/>
      <c r="R53" s="1063"/>
      <c r="S53" s="1063"/>
      <c r="T53" s="1063"/>
      <c r="U53" s="1063"/>
      <c r="V53" s="1063"/>
      <c r="W53" s="1063"/>
    </row>
    <row r="54" spans="2:23" ht="12.75" customHeight="1" x14ac:dyDescent="0.2">
      <c r="B54" s="1042">
        <f>Marktnahe_Bilanz!$A$1</f>
        <v>7</v>
      </c>
      <c r="C54" s="1043" t="str">
        <f>Marktnahe_Bilanz!$B$1</f>
        <v>Marktnahe Gliederung der Aktiven und Passiven</v>
      </c>
      <c r="D54" s="1058" t="str">
        <f>Marktnahe_Bilanz!$C$57</f>
        <v>Übriges Anlagevermögen (Immaterielle Anlagen, Sachanlagen)</v>
      </c>
      <c r="E54" s="1045"/>
      <c r="F54" s="1058">
        <f>Marktnahe_Bilanz!$E$7</f>
        <v>45657</v>
      </c>
      <c r="G54" s="1059"/>
      <c r="H54" s="1062">
        <f>Marktnahe_Bilanz!$E57</f>
        <v>0</v>
      </c>
      <c r="U54" s="1027"/>
      <c r="V54" s="1027"/>
      <c r="W54" s="1027"/>
    </row>
    <row r="55" spans="2:23" ht="12.75" customHeight="1" x14ac:dyDescent="0.2">
      <c r="B55" s="1042">
        <f>Marktnahe_Bilanz!$A$1</f>
        <v>7</v>
      </c>
      <c r="C55" s="1043" t="str">
        <f>Marktnahe_Bilanz!$B$1</f>
        <v>Marktnahe Gliederung der Aktiven und Passiven</v>
      </c>
      <c r="D55" s="1058" t="str">
        <f>Marktnahe_Bilanz!$C$57</f>
        <v>Übriges Anlagevermögen (Immaterielle Anlagen, Sachanlagen)</v>
      </c>
      <c r="E55" s="1045" t="str">
        <f>Marktnahe_Bilanz!$D58</f>
        <v>dem Geschäft nach KVG zugeordnet</v>
      </c>
      <c r="F55" s="1058">
        <f>Marktnahe_Bilanz!$E$7</f>
        <v>45657</v>
      </c>
      <c r="G55" s="1059"/>
      <c r="H55" s="1060">
        <f>Marktnahe_Bilanz!$E58</f>
        <v>0</v>
      </c>
      <c r="U55" s="1027"/>
      <c r="V55" s="1027"/>
      <c r="W55" s="1027"/>
    </row>
    <row r="56" spans="2:23" ht="12.75" customHeight="1" x14ac:dyDescent="0.2">
      <c r="B56" s="1042">
        <f>Marktnahe_Bilanz!$A$1</f>
        <v>7</v>
      </c>
      <c r="C56" s="1043" t="str">
        <f>Marktnahe_Bilanz!$B$1</f>
        <v>Marktnahe Gliederung der Aktiven und Passiven</v>
      </c>
      <c r="D56" s="1058" t="str">
        <f>Marktnahe_Bilanz!$C$57</f>
        <v>Übriges Anlagevermögen (Immaterielle Anlagen, Sachanlagen)</v>
      </c>
      <c r="E56" s="1045" t="str">
        <f>Marktnahe_Bilanz!$D59</f>
        <v>dem Geschäft nach VVG zugeordnet</v>
      </c>
      <c r="F56" s="1058">
        <f>Marktnahe_Bilanz!$E$7</f>
        <v>45657</v>
      </c>
      <c r="G56" s="1059"/>
      <c r="H56" s="1060">
        <f>Marktnahe_Bilanz!$E59</f>
        <v>0</v>
      </c>
      <c r="U56" s="1027"/>
      <c r="V56" s="1027"/>
      <c r="W56" s="1027"/>
    </row>
    <row r="57" spans="2:23" ht="12.75" customHeight="1" x14ac:dyDescent="0.2">
      <c r="B57" s="1042">
        <f>Marktnahe_Bilanz!$A$1</f>
        <v>7</v>
      </c>
      <c r="C57" s="1043" t="str">
        <f>Marktnahe_Bilanz!$B$1</f>
        <v>Marktnahe Gliederung der Aktiven und Passiven</v>
      </c>
      <c r="D57" s="1058" t="str">
        <f>Marktnahe_Bilanz!$C$57</f>
        <v>Übriges Anlagevermögen (Immaterielle Anlagen, Sachanlagen)</v>
      </c>
      <c r="E57" s="1045" t="str">
        <f>Marktnahe_Bilanz!$D60</f>
        <v>dem Geschäft nach UVG zugeordnet</v>
      </c>
      <c r="F57" s="1058">
        <f>Marktnahe_Bilanz!$E$7</f>
        <v>45657</v>
      </c>
      <c r="G57" s="1059"/>
      <c r="H57" s="1060">
        <f>Marktnahe_Bilanz!$E60</f>
        <v>0</v>
      </c>
      <c r="U57" s="1027"/>
      <c r="V57" s="1027"/>
      <c r="W57" s="1027"/>
    </row>
    <row r="58" spans="2:23" x14ac:dyDescent="0.2">
      <c r="B58" s="1042"/>
      <c r="C58" s="1043"/>
      <c r="D58" s="1058"/>
      <c r="E58" s="1045"/>
      <c r="F58" s="1058"/>
      <c r="G58" s="1059"/>
      <c r="H58" s="1061"/>
      <c r="U58" s="1027"/>
      <c r="V58" s="1027"/>
      <c r="W58" s="1027"/>
    </row>
    <row r="59" spans="2:23" ht="25.5" x14ac:dyDescent="0.2">
      <c r="B59" s="1042">
        <f>Marktnahe_Bilanz!$A$1</f>
        <v>7</v>
      </c>
      <c r="C59" s="1043" t="str">
        <f>Marktnahe_Bilanz!$B$1</f>
        <v>Marktnahe Gliederung der Aktiven und Passiven</v>
      </c>
      <c r="D59" s="1058" t="str">
        <f>Marktnahe_Bilanz!$C$62</f>
        <v>Umlaufvermögen</v>
      </c>
      <c r="E59" s="1045"/>
      <c r="F59" s="1058">
        <f>Marktnahe_Bilanz!$E$7</f>
        <v>45657</v>
      </c>
      <c r="G59" s="1059"/>
      <c r="H59" s="1062">
        <f>Marktnahe_Bilanz!$E62</f>
        <v>0</v>
      </c>
      <c r="U59" s="1027"/>
      <c r="V59" s="1027"/>
      <c r="W59" s="1027"/>
    </row>
    <row r="60" spans="2:23" ht="12.75" customHeight="1" x14ac:dyDescent="0.2">
      <c r="B60" s="1042">
        <f>Marktnahe_Bilanz!$A$1</f>
        <v>7</v>
      </c>
      <c r="C60" s="1043" t="str">
        <f>Marktnahe_Bilanz!$B$1</f>
        <v>Marktnahe Gliederung der Aktiven und Passiven</v>
      </c>
      <c r="D60" s="1058" t="str">
        <f>Marktnahe_Bilanz!$C$62</f>
        <v>Umlaufvermögen</v>
      </c>
      <c r="E60" s="1045" t="str">
        <f>Marktnahe_Bilanz!$D63</f>
        <v>dem Geschäft nach KVG zugeordnet</v>
      </c>
      <c r="F60" s="1058">
        <f>Marktnahe_Bilanz!$E$7</f>
        <v>45657</v>
      </c>
      <c r="G60" s="1059"/>
      <c r="H60" s="1060">
        <f>Marktnahe_Bilanz!$E63</f>
        <v>0</v>
      </c>
      <c r="U60" s="1027"/>
      <c r="V60" s="1027"/>
      <c r="W60" s="1027"/>
    </row>
    <row r="61" spans="2:23" ht="12.75" customHeight="1" x14ac:dyDescent="0.2">
      <c r="B61" s="1042">
        <f>Marktnahe_Bilanz!$A$1</f>
        <v>7</v>
      </c>
      <c r="C61" s="1043" t="str">
        <f>Marktnahe_Bilanz!$B$1</f>
        <v>Marktnahe Gliederung der Aktiven und Passiven</v>
      </c>
      <c r="D61" s="1058" t="str">
        <f>Marktnahe_Bilanz!$C$62</f>
        <v>Umlaufvermögen</v>
      </c>
      <c r="E61" s="1045" t="str">
        <f>Marktnahe_Bilanz!$D64</f>
        <v>dem Geschäft nach VVG zugeordnet</v>
      </c>
      <c r="F61" s="1058">
        <f>Marktnahe_Bilanz!$E$7</f>
        <v>45657</v>
      </c>
      <c r="G61" s="1059"/>
      <c r="H61" s="1060">
        <f>Marktnahe_Bilanz!$E64</f>
        <v>0</v>
      </c>
      <c r="U61" s="1027"/>
      <c r="V61" s="1027"/>
      <c r="W61" s="1027"/>
    </row>
    <row r="62" spans="2:23" ht="12.75" customHeight="1" x14ac:dyDescent="0.2">
      <c r="B62" s="1042">
        <f>Marktnahe_Bilanz!$A$1</f>
        <v>7</v>
      </c>
      <c r="C62" s="1043" t="str">
        <f>Marktnahe_Bilanz!$B$1</f>
        <v>Marktnahe Gliederung der Aktiven und Passiven</v>
      </c>
      <c r="D62" s="1058" t="str">
        <f>Marktnahe_Bilanz!$C$62</f>
        <v>Umlaufvermögen</v>
      </c>
      <c r="E62" s="1045" t="str">
        <f>Marktnahe_Bilanz!$D65</f>
        <v>dem Geschäft nach UVG zugeordnet</v>
      </c>
      <c r="F62" s="1058">
        <f>Marktnahe_Bilanz!$E$7</f>
        <v>45657</v>
      </c>
      <c r="G62" s="1059"/>
      <c r="H62" s="1060">
        <f>Marktnahe_Bilanz!$E65</f>
        <v>0</v>
      </c>
      <c r="U62" s="1027"/>
      <c r="V62" s="1027"/>
      <c r="W62" s="1027"/>
    </row>
    <row r="63" spans="2:23" x14ac:dyDescent="0.2">
      <c r="B63" s="1042"/>
      <c r="C63" s="1043"/>
      <c r="D63" s="1058"/>
      <c r="E63" s="1045"/>
      <c r="F63" s="1058"/>
      <c r="G63" s="1059"/>
      <c r="H63" s="1061"/>
      <c r="U63" s="1027"/>
      <c r="V63" s="1027"/>
      <c r="W63" s="1027"/>
    </row>
    <row r="64" spans="2:23" ht="25.5" x14ac:dyDescent="0.2">
      <c r="B64" s="1042">
        <f>Marktnahe_Bilanz!$A$1</f>
        <v>7</v>
      </c>
      <c r="C64" s="1043" t="str">
        <f>Marktnahe_Bilanz!$B$1</f>
        <v>Marktnahe Gliederung der Aktiven und Passiven</v>
      </c>
      <c r="D64" s="1058" t="str">
        <f>Marktnahe_Bilanz!$C67</f>
        <v>Total übrige Aktiven</v>
      </c>
      <c r="E64" s="1045"/>
      <c r="F64" s="1058">
        <f>Marktnahe_Bilanz!$E$7</f>
        <v>45657</v>
      </c>
      <c r="G64" s="1059"/>
      <c r="H64" s="1065">
        <f>Marktnahe_Bilanz!$E67</f>
        <v>0</v>
      </c>
      <c r="U64" s="1027"/>
      <c r="V64" s="1027"/>
      <c r="W64" s="1027"/>
    </row>
    <row r="65" spans="2:23" x14ac:dyDescent="0.2">
      <c r="B65" s="1042"/>
      <c r="C65" s="1043"/>
      <c r="D65" s="1058"/>
      <c r="E65" s="1045"/>
      <c r="F65" s="1058"/>
      <c r="G65" s="1059"/>
      <c r="H65" s="1066"/>
      <c r="U65" s="1027"/>
      <c r="V65" s="1027"/>
      <c r="W65" s="1027"/>
    </row>
    <row r="66" spans="2:23" ht="25.5" x14ac:dyDescent="0.2">
      <c r="B66" s="1042">
        <f>Marktnahe_Bilanz!$A$1</f>
        <v>7</v>
      </c>
      <c r="C66" s="1067" t="str">
        <f>Marktnahe_Bilanz!$B$1</f>
        <v>Marktnahe Gliederung der Aktiven und Passiven</v>
      </c>
      <c r="D66" s="1058" t="str">
        <f>Marktnahe_Bilanz!$B$69</f>
        <v>Total Aktiven</v>
      </c>
      <c r="E66" s="1045"/>
      <c r="F66" s="1058">
        <f>Marktnahe_Bilanz!$E$7</f>
        <v>45657</v>
      </c>
      <c r="G66" s="1059"/>
      <c r="H66" s="1065">
        <f>Marktnahe_Bilanz!$E69</f>
        <v>0</v>
      </c>
      <c r="U66" s="1027"/>
      <c r="V66" s="1027"/>
      <c r="W66" s="1027"/>
    </row>
    <row r="67" spans="2:23" x14ac:dyDescent="0.2">
      <c r="B67" s="1042"/>
      <c r="C67" s="1043"/>
      <c r="D67" s="1058"/>
      <c r="E67" s="1045"/>
      <c r="F67" s="1058"/>
      <c r="G67" s="1059"/>
      <c r="H67" s="1068"/>
      <c r="U67" s="1027"/>
      <c r="V67" s="1027"/>
      <c r="W67" s="1027"/>
    </row>
    <row r="68" spans="2:23" x14ac:dyDescent="0.2">
      <c r="B68" s="1042"/>
      <c r="C68" s="1043"/>
      <c r="D68" s="1058"/>
      <c r="E68" s="1045"/>
      <c r="F68" s="1058"/>
      <c r="G68" s="1059"/>
      <c r="H68" s="1061"/>
      <c r="U68" s="1027"/>
      <c r="V68" s="1027"/>
      <c r="W68" s="1027"/>
    </row>
    <row r="69" spans="2:23" ht="25.5" x14ac:dyDescent="0.2">
      <c r="B69" s="1042">
        <f>Marktnahe_Bilanz!$A$1</f>
        <v>7</v>
      </c>
      <c r="C69" s="1043" t="str">
        <f>Marktnahe_Bilanz!$B$1</f>
        <v>Marktnahe Gliederung der Aktiven und Passiven</v>
      </c>
      <c r="D69" s="1058" t="str">
        <f>Marktnahe_Bilanz!$C$74</f>
        <v>Leistungsrückstellungen</v>
      </c>
      <c r="E69" s="1045"/>
      <c r="F69" s="1058">
        <f>Marktnahe_Bilanz!$E$7</f>
        <v>45657</v>
      </c>
      <c r="G69" s="1059"/>
      <c r="H69" s="1069">
        <f>Marktnahe_Bilanz!$E74</f>
        <v>0</v>
      </c>
      <c r="U69" s="1027"/>
      <c r="V69" s="1027"/>
      <c r="W69" s="1027"/>
    </row>
    <row r="70" spans="2:23" ht="12.75" customHeight="1" x14ac:dyDescent="0.2">
      <c r="B70" s="1042">
        <f>Marktnahe_Bilanz!$A$1</f>
        <v>7</v>
      </c>
      <c r="C70" s="1043" t="str">
        <f>Marktnahe_Bilanz!$B$1</f>
        <v>Marktnahe Gliederung der Aktiven und Passiven</v>
      </c>
      <c r="D70" s="1058" t="str">
        <f>Marktnahe_Bilanz!$C$74</f>
        <v>Leistungsrückstellungen</v>
      </c>
      <c r="E70" s="1045" t="str">
        <f>Marktnahe_Bilanz!$D75</f>
        <v>Obligatorische Krankenpflegeversicherung</v>
      </c>
      <c r="F70" s="1058">
        <f>Marktnahe_Bilanz!$E$7</f>
        <v>45657</v>
      </c>
      <c r="G70" s="1059"/>
      <c r="H70" s="1060">
        <f>Marktnahe_Bilanz!$E75</f>
        <v>0</v>
      </c>
      <c r="U70" s="1027"/>
      <c r="V70" s="1027"/>
      <c r="W70" s="1027"/>
    </row>
    <row r="71" spans="2:23" ht="12.75" customHeight="1" x14ac:dyDescent="0.2">
      <c r="B71" s="1042">
        <f>Marktnahe_Bilanz!$A$1</f>
        <v>7</v>
      </c>
      <c r="C71" s="1043" t="str">
        <f>Marktnahe_Bilanz!$B$1</f>
        <v>Marktnahe Gliederung der Aktiven und Passiven</v>
      </c>
      <c r="D71" s="1058" t="str">
        <f>Marktnahe_Bilanz!$C$74</f>
        <v>Leistungsrückstellungen</v>
      </c>
      <c r="E71" s="1045" t="str">
        <f>Marktnahe_Bilanz!$D76</f>
        <v>Einzel-Taggeldversicherung nach KVG</v>
      </c>
      <c r="F71" s="1058">
        <f>Marktnahe_Bilanz!$E$7</f>
        <v>45657</v>
      </c>
      <c r="G71" s="1059"/>
      <c r="H71" s="1060">
        <f>Marktnahe_Bilanz!$E76</f>
        <v>0</v>
      </c>
      <c r="U71" s="1027"/>
      <c r="V71" s="1027"/>
      <c r="W71" s="1027"/>
    </row>
    <row r="72" spans="2:23" ht="12.75" customHeight="1" x14ac:dyDescent="0.2">
      <c r="B72" s="1042">
        <f>Marktnahe_Bilanz!$A$1</f>
        <v>7</v>
      </c>
      <c r="C72" s="1043" t="str">
        <f>Marktnahe_Bilanz!$B$1</f>
        <v>Marktnahe Gliederung der Aktiven und Passiven</v>
      </c>
      <c r="D72" s="1058" t="str">
        <f>Marktnahe_Bilanz!$C$74</f>
        <v>Leistungsrückstellungen</v>
      </c>
      <c r="E72" s="1045" t="str">
        <f>Marktnahe_Bilanz!$D77</f>
        <v>Kollektiv-Taggeldversicherung nach KVG</v>
      </c>
      <c r="F72" s="1058">
        <f>Marktnahe_Bilanz!$E$7</f>
        <v>45657</v>
      </c>
      <c r="G72" s="1059"/>
      <c r="H72" s="1060">
        <f>Marktnahe_Bilanz!$E77</f>
        <v>0</v>
      </c>
      <c r="U72" s="1027"/>
      <c r="V72" s="1027"/>
      <c r="W72" s="1027"/>
    </row>
    <row r="73" spans="2:23" ht="12.75" customHeight="1" x14ac:dyDescent="0.2">
      <c r="B73" s="1042">
        <f>Marktnahe_Bilanz!$A$1</f>
        <v>7</v>
      </c>
      <c r="C73" s="1043" t="str">
        <f>Marktnahe_Bilanz!$B$1</f>
        <v>Marktnahe Gliederung der Aktiven und Passiven</v>
      </c>
      <c r="D73" s="1058" t="str">
        <f>Marktnahe_Bilanz!$C$74</f>
        <v>Leistungsrückstellungen</v>
      </c>
      <c r="E73" s="1045" t="str">
        <f>Marktnahe_Bilanz!$D78</f>
        <v>Aktive Rückversicherung nach KVG</v>
      </c>
      <c r="F73" s="1058">
        <f>Marktnahe_Bilanz!$E$7</f>
        <v>45657</v>
      </c>
      <c r="G73" s="1059"/>
      <c r="H73" s="1060">
        <f>Marktnahe_Bilanz!$E78</f>
        <v>0</v>
      </c>
      <c r="U73" s="1027"/>
      <c r="V73" s="1027"/>
      <c r="W73" s="1027"/>
    </row>
    <row r="74" spans="2:23" ht="12.75" customHeight="1" x14ac:dyDescent="0.2">
      <c r="B74" s="1042">
        <f>Marktnahe_Bilanz!$A$1</f>
        <v>7</v>
      </c>
      <c r="C74" s="1043" t="str">
        <f>Marktnahe_Bilanz!$B$1</f>
        <v>Marktnahe Gliederung der Aktiven und Passiven</v>
      </c>
      <c r="D74" s="1058" t="str">
        <f>Marktnahe_Bilanz!$C$74</f>
        <v>Leistungsrückstellungen</v>
      </c>
      <c r="E74" s="1045" t="str">
        <f>Marktnahe_Bilanz!$D79</f>
        <v>dem Geschäft nach VVG zugeordnet</v>
      </c>
      <c r="F74" s="1058">
        <f>Marktnahe_Bilanz!$E$7</f>
        <v>45657</v>
      </c>
      <c r="G74" s="1059"/>
      <c r="H74" s="1060">
        <f>Marktnahe_Bilanz!$E79</f>
        <v>0</v>
      </c>
      <c r="U74" s="1027"/>
      <c r="V74" s="1027"/>
      <c r="W74" s="1027"/>
    </row>
    <row r="75" spans="2:23" ht="12.75" customHeight="1" x14ac:dyDescent="0.2">
      <c r="B75" s="1042">
        <f>Marktnahe_Bilanz!$A$1</f>
        <v>7</v>
      </c>
      <c r="C75" s="1043" t="str">
        <f>Marktnahe_Bilanz!$B$1</f>
        <v>Marktnahe Gliederung der Aktiven und Passiven</v>
      </c>
      <c r="D75" s="1058" t="str">
        <f>Marktnahe_Bilanz!$C$74</f>
        <v>Leistungsrückstellungen</v>
      </c>
      <c r="E75" s="1045" t="str">
        <f>Marktnahe_Bilanz!$D80</f>
        <v>dem Geschäft nach UVG zugeordnet</v>
      </c>
      <c r="F75" s="1058">
        <f>Marktnahe_Bilanz!$E$7</f>
        <v>45657</v>
      </c>
      <c r="G75" s="1059"/>
      <c r="H75" s="1060">
        <f>Marktnahe_Bilanz!$E80</f>
        <v>0</v>
      </c>
      <c r="U75" s="1027"/>
      <c r="V75" s="1027"/>
      <c r="W75" s="1027"/>
    </row>
    <row r="76" spans="2:23" x14ac:dyDescent="0.2">
      <c r="B76" s="1042"/>
      <c r="C76" s="1043"/>
      <c r="D76" s="1058"/>
      <c r="E76" s="1045"/>
      <c r="F76" s="1058"/>
      <c r="G76" s="1059"/>
      <c r="H76" s="1061"/>
      <c r="U76" s="1027"/>
      <c r="V76" s="1027"/>
      <c r="W76" s="1027"/>
    </row>
    <row r="77" spans="2:23" ht="25.5" x14ac:dyDescent="0.2">
      <c r="B77" s="1042">
        <f>Marktnahe_Bilanz!$A$1</f>
        <v>7</v>
      </c>
      <c r="C77" s="1043" t="str">
        <f>Marktnahe_Bilanz!$B$1</f>
        <v>Marktnahe Gliederung der Aktiven und Passiven</v>
      </c>
      <c r="D77" s="1058" t="str">
        <f>Marktnahe_Bilanz!$C$82</f>
        <v>Alterungsrückstellungen und Deckungskapitalien</v>
      </c>
      <c r="E77" s="1045"/>
      <c r="F77" s="1058">
        <f>Marktnahe_Bilanz!$E$7</f>
        <v>45657</v>
      </c>
      <c r="G77" s="1059"/>
      <c r="H77" s="1069">
        <f>Marktnahe_Bilanz!$E82</f>
        <v>0</v>
      </c>
      <c r="U77" s="1027"/>
      <c r="V77" s="1027"/>
      <c r="W77" s="1027"/>
    </row>
    <row r="78" spans="2:23" ht="12.75" customHeight="1" x14ac:dyDescent="0.2">
      <c r="B78" s="1042">
        <f>Marktnahe_Bilanz!$A$1</f>
        <v>7</v>
      </c>
      <c r="C78" s="1043" t="str">
        <f>Marktnahe_Bilanz!$B$1</f>
        <v>Marktnahe Gliederung der Aktiven und Passiven</v>
      </c>
      <c r="D78" s="1058" t="str">
        <f>Marktnahe_Bilanz!$C$82</f>
        <v>Alterungsrückstellungen und Deckungskapitalien</v>
      </c>
      <c r="E78" s="1045" t="str">
        <f>Marktnahe_Bilanz!$D83</f>
        <v>Obligatorische Krankenpflegeversicherung</v>
      </c>
      <c r="F78" s="1058">
        <f>Marktnahe_Bilanz!$E$7</f>
        <v>45657</v>
      </c>
      <c r="G78" s="1059"/>
      <c r="H78" s="1060">
        <f>Marktnahe_Bilanz!$E83</f>
        <v>0</v>
      </c>
      <c r="U78" s="1027"/>
      <c r="V78" s="1027"/>
      <c r="W78" s="1027"/>
    </row>
    <row r="79" spans="2:23" ht="12.75" customHeight="1" x14ac:dyDescent="0.2">
      <c r="B79" s="1042">
        <f>Marktnahe_Bilanz!$A$1</f>
        <v>7</v>
      </c>
      <c r="C79" s="1043" t="str">
        <f>Marktnahe_Bilanz!$B$1</f>
        <v>Marktnahe Gliederung der Aktiven und Passiven</v>
      </c>
      <c r="D79" s="1058" t="str">
        <f>Marktnahe_Bilanz!$C$82</f>
        <v>Alterungsrückstellungen und Deckungskapitalien</v>
      </c>
      <c r="E79" s="1045" t="str">
        <f>Marktnahe_Bilanz!$D84</f>
        <v>Einzel-Taggeldversicherung nach KVG</v>
      </c>
      <c r="F79" s="1058">
        <f>Marktnahe_Bilanz!$E$7</f>
        <v>45657</v>
      </c>
      <c r="G79" s="1059"/>
      <c r="H79" s="1060">
        <f>Marktnahe_Bilanz!$E84</f>
        <v>0</v>
      </c>
      <c r="U79" s="1027"/>
      <c r="V79" s="1027"/>
      <c r="W79" s="1027"/>
    </row>
    <row r="80" spans="2:23" ht="12.75" customHeight="1" x14ac:dyDescent="0.2">
      <c r="B80" s="1042">
        <f>Marktnahe_Bilanz!$A$1</f>
        <v>7</v>
      </c>
      <c r="C80" s="1043" t="str">
        <f>Marktnahe_Bilanz!$B$1</f>
        <v>Marktnahe Gliederung der Aktiven und Passiven</v>
      </c>
      <c r="D80" s="1058" t="str">
        <f>Marktnahe_Bilanz!$C$82</f>
        <v>Alterungsrückstellungen und Deckungskapitalien</v>
      </c>
      <c r="E80" s="1045" t="str">
        <f>Marktnahe_Bilanz!$D85</f>
        <v>Kollektiv-Taggeldversicherung nach KVG</v>
      </c>
      <c r="F80" s="1058">
        <f>Marktnahe_Bilanz!$E$7</f>
        <v>45657</v>
      </c>
      <c r="G80" s="1059"/>
      <c r="H80" s="1060">
        <f>Marktnahe_Bilanz!$E85</f>
        <v>0</v>
      </c>
      <c r="U80" s="1027"/>
      <c r="V80" s="1027"/>
      <c r="W80" s="1027"/>
    </row>
    <row r="81" spans="2:23" ht="12.75" customHeight="1" x14ac:dyDescent="0.2">
      <c r="B81" s="1042">
        <f>Marktnahe_Bilanz!$A$1</f>
        <v>7</v>
      </c>
      <c r="C81" s="1043" t="str">
        <f>Marktnahe_Bilanz!$B$1</f>
        <v>Marktnahe Gliederung der Aktiven und Passiven</v>
      </c>
      <c r="D81" s="1058" t="str">
        <f>Marktnahe_Bilanz!$C$82</f>
        <v>Alterungsrückstellungen und Deckungskapitalien</v>
      </c>
      <c r="E81" s="1045" t="str">
        <f>Marktnahe_Bilanz!$D86</f>
        <v>Aktive Rückversicherung nach KVG</v>
      </c>
      <c r="F81" s="1058">
        <f>Marktnahe_Bilanz!$E$7</f>
        <v>45657</v>
      </c>
      <c r="G81" s="1059"/>
      <c r="H81" s="1060">
        <f>Marktnahe_Bilanz!$E86</f>
        <v>0</v>
      </c>
      <c r="U81" s="1027"/>
      <c r="V81" s="1027"/>
      <c r="W81" s="1027"/>
    </row>
    <row r="82" spans="2:23" ht="12.75" customHeight="1" x14ac:dyDescent="0.2">
      <c r="B82" s="1042">
        <f>Marktnahe_Bilanz!$A$1</f>
        <v>7</v>
      </c>
      <c r="C82" s="1043" t="str">
        <f>Marktnahe_Bilanz!$B$1</f>
        <v>Marktnahe Gliederung der Aktiven und Passiven</v>
      </c>
      <c r="D82" s="1058" t="str">
        <f>Marktnahe_Bilanz!$C$82</f>
        <v>Alterungsrückstellungen und Deckungskapitalien</v>
      </c>
      <c r="E82" s="1045" t="str">
        <f>Marktnahe_Bilanz!$D87</f>
        <v>dem Geschäft nach VVG zugeordnet</v>
      </c>
      <c r="F82" s="1058">
        <f>Marktnahe_Bilanz!$E$7</f>
        <v>45657</v>
      </c>
      <c r="G82" s="1059"/>
      <c r="H82" s="1060">
        <f>Marktnahe_Bilanz!$E87</f>
        <v>0</v>
      </c>
      <c r="U82" s="1027"/>
      <c r="V82" s="1027"/>
      <c r="W82" s="1027"/>
    </row>
    <row r="83" spans="2:23" ht="12.75" customHeight="1" x14ac:dyDescent="0.2">
      <c r="B83" s="1042">
        <f>Marktnahe_Bilanz!$A$1</f>
        <v>7</v>
      </c>
      <c r="C83" s="1043" t="str">
        <f>Marktnahe_Bilanz!$B$1</f>
        <v>Marktnahe Gliederung der Aktiven und Passiven</v>
      </c>
      <c r="D83" s="1058" t="str">
        <f>Marktnahe_Bilanz!$C$82</f>
        <v>Alterungsrückstellungen und Deckungskapitalien</v>
      </c>
      <c r="E83" s="1045" t="str">
        <f>Marktnahe_Bilanz!$D88</f>
        <v>dem Geschäft nach UVG zugeordnet</v>
      </c>
      <c r="F83" s="1058">
        <f>Marktnahe_Bilanz!$E$7</f>
        <v>45657</v>
      </c>
      <c r="G83" s="1059"/>
      <c r="H83" s="1060">
        <f>Marktnahe_Bilanz!$E88</f>
        <v>0</v>
      </c>
      <c r="U83" s="1027"/>
      <c r="V83" s="1027"/>
      <c r="W83" s="1027"/>
    </row>
    <row r="84" spans="2:23" x14ac:dyDescent="0.2">
      <c r="B84" s="1042"/>
      <c r="C84" s="1043"/>
      <c r="D84" s="1058"/>
      <c r="E84" s="1045"/>
      <c r="F84" s="1058"/>
      <c r="G84" s="1059"/>
      <c r="H84" s="1061"/>
      <c r="U84" s="1027"/>
      <c r="V84" s="1027"/>
      <c r="W84" s="1027"/>
    </row>
    <row r="85" spans="2:23" ht="25.5" x14ac:dyDescent="0.2">
      <c r="B85" s="1042">
        <f>Marktnahe_Bilanz!$A$1</f>
        <v>7</v>
      </c>
      <c r="C85" s="1043" t="str">
        <f>Marktnahe_Bilanz!$B$1</f>
        <v>Marktnahe Gliederung der Aktiven und Passiven</v>
      </c>
      <c r="D85" s="1058" t="str">
        <f>Marktnahe_Bilanz!$C$90</f>
        <v>Sonstige technische Rückstellungen</v>
      </c>
      <c r="E85" s="1045"/>
      <c r="F85" s="1058">
        <f>Marktnahe_Bilanz!$E$7</f>
        <v>45657</v>
      </c>
      <c r="G85" s="1059"/>
      <c r="H85" s="1069">
        <f>Marktnahe_Bilanz!$E90</f>
        <v>0</v>
      </c>
      <c r="U85" s="1027"/>
      <c r="V85" s="1027"/>
      <c r="W85" s="1027"/>
    </row>
    <row r="86" spans="2:23" ht="12.75" customHeight="1" x14ac:dyDescent="0.2">
      <c r="B86" s="1042">
        <f>Marktnahe_Bilanz!$A$1</f>
        <v>7</v>
      </c>
      <c r="C86" s="1043" t="str">
        <f>Marktnahe_Bilanz!$B$1</f>
        <v>Marktnahe Gliederung der Aktiven und Passiven</v>
      </c>
      <c r="D86" s="1058" t="str">
        <f>Marktnahe_Bilanz!$C$90</f>
        <v>Sonstige technische Rückstellungen</v>
      </c>
      <c r="E86" s="1045" t="str">
        <f>Marktnahe_Bilanz!$D91</f>
        <v>Obligatorische Krankenpflegeversicherung</v>
      </c>
      <c r="F86" s="1058">
        <f>Marktnahe_Bilanz!$E$7</f>
        <v>45657</v>
      </c>
      <c r="G86" s="1059"/>
      <c r="H86" s="1060">
        <f>Marktnahe_Bilanz!$E91</f>
        <v>0</v>
      </c>
      <c r="U86" s="1027"/>
      <c r="V86" s="1027"/>
      <c r="W86" s="1027"/>
    </row>
    <row r="87" spans="2:23" ht="12.75" customHeight="1" x14ac:dyDescent="0.2">
      <c r="B87" s="1042">
        <f>Marktnahe_Bilanz!$A$1</f>
        <v>7</v>
      </c>
      <c r="C87" s="1043" t="str">
        <f>Marktnahe_Bilanz!$B$1</f>
        <v>Marktnahe Gliederung der Aktiven und Passiven</v>
      </c>
      <c r="D87" s="1058" t="str">
        <f>Marktnahe_Bilanz!$C$90</f>
        <v>Sonstige technische Rückstellungen</v>
      </c>
      <c r="E87" s="1045" t="str">
        <f>Marktnahe_Bilanz!$D92</f>
        <v>Einzel-Taggeldversicherung nach KVG</v>
      </c>
      <c r="F87" s="1058">
        <f>Marktnahe_Bilanz!$E$7</f>
        <v>45657</v>
      </c>
      <c r="G87" s="1059"/>
      <c r="H87" s="1060">
        <f>Marktnahe_Bilanz!$E92</f>
        <v>0</v>
      </c>
      <c r="U87" s="1027"/>
      <c r="V87" s="1027"/>
      <c r="W87" s="1027"/>
    </row>
    <row r="88" spans="2:23" ht="12.75" customHeight="1" x14ac:dyDescent="0.2">
      <c r="B88" s="1042">
        <f>Marktnahe_Bilanz!$A$1</f>
        <v>7</v>
      </c>
      <c r="C88" s="1043" t="str">
        <f>Marktnahe_Bilanz!$B$1</f>
        <v>Marktnahe Gliederung der Aktiven und Passiven</v>
      </c>
      <c r="D88" s="1058" t="str">
        <f>Marktnahe_Bilanz!$C$90</f>
        <v>Sonstige technische Rückstellungen</v>
      </c>
      <c r="E88" s="1045" t="str">
        <f>Marktnahe_Bilanz!$D93</f>
        <v>Kollektiv-Taggeldversicherung nach KVG</v>
      </c>
      <c r="F88" s="1058">
        <f>Marktnahe_Bilanz!$E$7</f>
        <v>45657</v>
      </c>
      <c r="G88" s="1059"/>
      <c r="H88" s="1060">
        <f>Marktnahe_Bilanz!$E93</f>
        <v>0</v>
      </c>
      <c r="U88" s="1027"/>
      <c r="V88" s="1027"/>
      <c r="W88" s="1027"/>
    </row>
    <row r="89" spans="2:23" ht="12.75" customHeight="1" x14ac:dyDescent="0.2">
      <c r="B89" s="1042">
        <f>Marktnahe_Bilanz!$A$1</f>
        <v>7</v>
      </c>
      <c r="C89" s="1043" t="str">
        <f>Marktnahe_Bilanz!$B$1</f>
        <v>Marktnahe Gliederung der Aktiven und Passiven</v>
      </c>
      <c r="D89" s="1058" t="str">
        <f>Marktnahe_Bilanz!$C$90</f>
        <v>Sonstige technische Rückstellungen</v>
      </c>
      <c r="E89" s="1045" t="str">
        <f>Marktnahe_Bilanz!$D94</f>
        <v>Aktive Rückversicherung nach KVG</v>
      </c>
      <c r="F89" s="1058">
        <f>Marktnahe_Bilanz!$E$7</f>
        <v>45657</v>
      </c>
      <c r="G89" s="1059"/>
      <c r="H89" s="1060">
        <f>Marktnahe_Bilanz!$E94</f>
        <v>0</v>
      </c>
      <c r="U89" s="1027"/>
      <c r="V89" s="1027"/>
      <c r="W89" s="1027"/>
    </row>
    <row r="90" spans="2:23" ht="12.75" customHeight="1" x14ac:dyDescent="0.2">
      <c r="B90" s="1042">
        <f>Marktnahe_Bilanz!$A$1</f>
        <v>7</v>
      </c>
      <c r="C90" s="1043" t="str">
        <f>Marktnahe_Bilanz!$B$1</f>
        <v>Marktnahe Gliederung der Aktiven und Passiven</v>
      </c>
      <c r="D90" s="1058" t="str">
        <f>Marktnahe_Bilanz!$C$90</f>
        <v>Sonstige technische Rückstellungen</v>
      </c>
      <c r="E90" s="1045" t="str">
        <f>Marktnahe_Bilanz!$D95</f>
        <v>dem Geschäft nach VVG zugeordnet</v>
      </c>
      <c r="F90" s="1058">
        <f>Marktnahe_Bilanz!$E$7</f>
        <v>45657</v>
      </c>
      <c r="G90" s="1059"/>
      <c r="H90" s="1060">
        <f>Marktnahe_Bilanz!$E95</f>
        <v>0</v>
      </c>
      <c r="U90" s="1027"/>
      <c r="V90" s="1027"/>
      <c r="W90" s="1027"/>
    </row>
    <row r="91" spans="2:23" ht="12.75" customHeight="1" x14ac:dyDescent="0.2">
      <c r="B91" s="1042">
        <f>Marktnahe_Bilanz!$A$1</f>
        <v>7</v>
      </c>
      <c r="C91" s="1043" t="str">
        <f>Marktnahe_Bilanz!$B$1</f>
        <v>Marktnahe Gliederung der Aktiven und Passiven</v>
      </c>
      <c r="D91" s="1058" t="str">
        <f>Marktnahe_Bilanz!$C$90</f>
        <v>Sonstige technische Rückstellungen</v>
      </c>
      <c r="E91" s="1045" t="str">
        <f>Marktnahe_Bilanz!$D96</f>
        <v>dem Geschäft nach UVG zugeordnet</v>
      </c>
      <c r="F91" s="1058">
        <f>Marktnahe_Bilanz!$E$7</f>
        <v>45657</v>
      </c>
      <c r="G91" s="1059"/>
      <c r="H91" s="1060">
        <f>Marktnahe_Bilanz!$E96</f>
        <v>0</v>
      </c>
      <c r="U91" s="1027"/>
      <c r="V91" s="1027"/>
      <c r="W91" s="1027"/>
    </row>
    <row r="92" spans="2:23" x14ac:dyDescent="0.2">
      <c r="B92" s="1042"/>
      <c r="C92" s="1043"/>
      <c r="D92" s="1058"/>
      <c r="E92" s="1045"/>
      <c r="F92" s="1058"/>
      <c r="G92" s="1059"/>
      <c r="H92" s="1066"/>
      <c r="U92" s="1027"/>
      <c r="V92" s="1027"/>
      <c r="W92" s="1027"/>
    </row>
    <row r="93" spans="2:23" ht="12.75" customHeight="1" x14ac:dyDescent="0.2">
      <c r="B93" s="1042">
        <f>Marktnahe_Bilanz!$A$1</f>
        <v>7</v>
      </c>
      <c r="C93" s="1043" t="str">
        <f>Marktnahe_Bilanz!$B$1</f>
        <v>Marktnahe Gliederung der Aktiven und Passiven</v>
      </c>
      <c r="D93" s="1058" t="str">
        <f>Marktnahe_Bilanz!$C$98</f>
        <v>Schwankungs- und Sicherheitsrückstellungen</v>
      </c>
      <c r="E93" s="1045"/>
      <c r="F93" s="1058">
        <f>Marktnahe_Bilanz!$E$7</f>
        <v>45657</v>
      </c>
      <c r="G93" s="1059"/>
      <c r="H93" s="1062">
        <f>Marktnahe_Bilanz!$E98</f>
        <v>0</v>
      </c>
      <c r="U93" s="1027"/>
      <c r="V93" s="1027"/>
      <c r="W93" s="1027"/>
    </row>
    <row r="94" spans="2:23" ht="12.75" customHeight="1" x14ac:dyDescent="0.2">
      <c r="B94" s="1042">
        <f>Marktnahe_Bilanz!$A$1</f>
        <v>7</v>
      </c>
      <c r="C94" s="1043" t="str">
        <f>Marktnahe_Bilanz!$B$1</f>
        <v>Marktnahe Gliederung der Aktiven und Passiven</v>
      </c>
      <c r="D94" s="1058" t="str">
        <f>Marktnahe_Bilanz!$C$98</f>
        <v>Schwankungs- und Sicherheitsrückstellungen</v>
      </c>
      <c r="E94" s="1045" t="str">
        <f>Marktnahe_Bilanz!$D99</f>
        <v>Obligatorische Krankenpflegeversicherung</v>
      </c>
      <c r="F94" s="1058">
        <f>Marktnahe_Bilanz!$E$7</f>
        <v>45657</v>
      </c>
      <c r="G94" s="1059"/>
      <c r="H94" s="1060">
        <f>Marktnahe_Bilanz!$E99</f>
        <v>0</v>
      </c>
      <c r="U94" s="1027"/>
      <c r="V94" s="1027"/>
      <c r="W94" s="1027"/>
    </row>
    <row r="95" spans="2:23" ht="12.75" customHeight="1" x14ac:dyDescent="0.2">
      <c r="B95" s="1042">
        <f>Marktnahe_Bilanz!$A$1</f>
        <v>7</v>
      </c>
      <c r="C95" s="1043" t="str">
        <f>Marktnahe_Bilanz!$B$1</f>
        <v>Marktnahe Gliederung der Aktiven und Passiven</v>
      </c>
      <c r="D95" s="1058" t="str">
        <f>Marktnahe_Bilanz!$C$98</f>
        <v>Schwankungs- und Sicherheitsrückstellungen</v>
      </c>
      <c r="E95" s="1045" t="str">
        <f>Marktnahe_Bilanz!$D100</f>
        <v>Einzel-Taggeldversicherung nach KVG</v>
      </c>
      <c r="F95" s="1058">
        <f>Marktnahe_Bilanz!$E$7</f>
        <v>45657</v>
      </c>
      <c r="G95" s="1059"/>
      <c r="H95" s="1060">
        <f>Marktnahe_Bilanz!$E100</f>
        <v>0</v>
      </c>
      <c r="U95" s="1027"/>
      <c r="V95" s="1027"/>
      <c r="W95" s="1027"/>
    </row>
    <row r="96" spans="2:23" ht="12.75" customHeight="1" x14ac:dyDescent="0.2">
      <c r="B96" s="1042">
        <f>Marktnahe_Bilanz!$A$1</f>
        <v>7</v>
      </c>
      <c r="C96" s="1043" t="str">
        <f>Marktnahe_Bilanz!$B$1</f>
        <v>Marktnahe Gliederung der Aktiven und Passiven</v>
      </c>
      <c r="D96" s="1058" t="str">
        <f>Marktnahe_Bilanz!$C$98</f>
        <v>Schwankungs- und Sicherheitsrückstellungen</v>
      </c>
      <c r="E96" s="1045" t="str">
        <f>Marktnahe_Bilanz!$D101</f>
        <v>Kollektiv-Taggeldversicherung nach KVG</v>
      </c>
      <c r="F96" s="1058">
        <f>Marktnahe_Bilanz!$E$7</f>
        <v>45657</v>
      </c>
      <c r="G96" s="1059"/>
      <c r="H96" s="1060">
        <f>Marktnahe_Bilanz!$E101</f>
        <v>0</v>
      </c>
      <c r="U96" s="1027"/>
      <c r="V96" s="1027"/>
      <c r="W96" s="1027"/>
    </row>
    <row r="97" spans="2:23" ht="12.75" customHeight="1" x14ac:dyDescent="0.2">
      <c r="B97" s="1042">
        <f>Marktnahe_Bilanz!$A$1</f>
        <v>7</v>
      </c>
      <c r="C97" s="1043" t="str">
        <f>Marktnahe_Bilanz!$B$1</f>
        <v>Marktnahe Gliederung der Aktiven und Passiven</v>
      </c>
      <c r="D97" s="1058" t="str">
        <f>Marktnahe_Bilanz!$C$98</f>
        <v>Schwankungs- und Sicherheitsrückstellungen</v>
      </c>
      <c r="E97" s="1045" t="str">
        <f>Marktnahe_Bilanz!$D102</f>
        <v>Aktive Rückversicherung nach KVG</v>
      </c>
      <c r="F97" s="1058">
        <f>Marktnahe_Bilanz!$E$7</f>
        <v>45657</v>
      </c>
      <c r="G97" s="1059"/>
      <c r="H97" s="1060">
        <f>Marktnahe_Bilanz!$E102</f>
        <v>0</v>
      </c>
      <c r="U97" s="1027"/>
      <c r="V97" s="1027"/>
      <c r="W97" s="1027"/>
    </row>
    <row r="98" spans="2:23" ht="12.75" customHeight="1" x14ac:dyDescent="0.2">
      <c r="B98" s="1042">
        <f>Marktnahe_Bilanz!$A$1</f>
        <v>7</v>
      </c>
      <c r="C98" s="1043" t="str">
        <f>Marktnahe_Bilanz!$B$1</f>
        <v>Marktnahe Gliederung der Aktiven und Passiven</v>
      </c>
      <c r="D98" s="1058" t="str">
        <f>Marktnahe_Bilanz!$C$98</f>
        <v>Schwankungs- und Sicherheitsrückstellungen</v>
      </c>
      <c r="E98" s="1045" t="str">
        <f>Marktnahe_Bilanz!$D103</f>
        <v>dem Geschäft nach VVG zugeordnet</v>
      </c>
      <c r="F98" s="1058">
        <f>Marktnahe_Bilanz!$E$7</f>
        <v>45657</v>
      </c>
      <c r="G98" s="1059"/>
      <c r="H98" s="1060">
        <f>Marktnahe_Bilanz!$E103</f>
        <v>0</v>
      </c>
      <c r="U98" s="1027"/>
      <c r="V98" s="1027"/>
      <c r="W98" s="1027"/>
    </row>
    <row r="99" spans="2:23" ht="12.75" customHeight="1" x14ac:dyDescent="0.2">
      <c r="B99" s="1042">
        <f>Marktnahe_Bilanz!$A$1</f>
        <v>7</v>
      </c>
      <c r="C99" s="1043" t="str">
        <f>Marktnahe_Bilanz!$B$1</f>
        <v>Marktnahe Gliederung der Aktiven und Passiven</v>
      </c>
      <c r="D99" s="1058" t="str">
        <f>Marktnahe_Bilanz!$C$98</f>
        <v>Schwankungs- und Sicherheitsrückstellungen</v>
      </c>
      <c r="E99" s="1045" t="str">
        <f>Marktnahe_Bilanz!$D104</f>
        <v>dem Geschäft nach UVG zugeordnet</v>
      </c>
      <c r="F99" s="1058">
        <f>Marktnahe_Bilanz!$E$7</f>
        <v>45657</v>
      </c>
      <c r="G99" s="1059"/>
      <c r="H99" s="1060">
        <f>Marktnahe_Bilanz!$E104</f>
        <v>0</v>
      </c>
      <c r="U99" s="1027"/>
      <c r="V99" s="1027"/>
      <c r="W99" s="1027"/>
    </row>
    <row r="100" spans="2:23" x14ac:dyDescent="0.2">
      <c r="B100" s="1042"/>
      <c r="C100" s="1043"/>
      <c r="D100" s="1058"/>
      <c r="E100" s="1045"/>
      <c r="F100" s="1058"/>
      <c r="G100" s="1059"/>
      <c r="H100" s="1061"/>
      <c r="U100" s="1027"/>
      <c r="V100" s="1027"/>
      <c r="W100" s="1027"/>
    </row>
    <row r="101" spans="2:23" ht="25.5" x14ac:dyDescent="0.2">
      <c r="B101" s="1042">
        <f>Marktnahe_Bilanz!$A$1</f>
        <v>7</v>
      </c>
      <c r="C101" s="1043" t="str">
        <f>Marktnahe_Bilanz!$B$1</f>
        <v>Marktnahe Gliederung der Aktiven und Passiven</v>
      </c>
      <c r="D101" s="1058" t="str">
        <f>Marktnahe_Bilanz!$C$106</f>
        <v>Total versicherungstechnische Rückstellungen</v>
      </c>
      <c r="E101" s="1045"/>
      <c r="F101" s="1058">
        <f>Marktnahe_Bilanz!$E$7</f>
        <v>45657</v>
      </c>
      <c r="G101" s="1059"/>
      <c r="H101" s="1065">
        <f>Marktnahe_Bilanz!$E106</f>
        <v>0</v>
      </c>
      <c r="U101" s="1027"/>
      <c r="V101" s="1027"/>
      <c r="W101" s="1027"/>
    </row>
    <row r="102" spans="2:23" x14ac:dyDescent="0.2">
      <c r="B102" s="1042"/>
      <c r="C102" s="1043"/>
      <c r="D102" s="1058"/>
      <c r="E102" s="1045"/>
      <c r="F102" s="1058"/>
      <c r="G102" s="1059"/>
      <c r="H102" s="1061"/>
      <c r="U102" s="1027"/>
      <c r="V102" s="1027"/>
      <c r="W102" s="1027"/>
    </row>
    <row r="103" spans="2:23" ht="12.75" customHeight="1" x14ac:dyDescent="0.2">
      <c r="B103" s="1042">
        <f>Marktnahe_Bilanz!$A$1</f>
        <v>7</v>
      </c>
      <c r="C103" s="1043" t="str">
        <f>Marktnahe_Bilanz!$B$1</f>
        <v>Marktnahe Gliederung der Aktiven und Passiven</v>
      </c>
      <c r="D103" s="1058" t="str">
        <f>Marktnahe_Bilanz!$C$111</f>
        <v>Nichtversicherungstechnische Rückstellungen</v>
      </c>
      <c r="E103" s="1045"/>
      <c r="F103" s="1058">
        <f>Marktnahe_Bilanz!$E$7</f>
        <v>45657</v>
      </c>
      <c r="G103" s="1059"/>
      <c r="H103" s="1062">
        <f>Marktnahe_Bilanz!$E111</f>
        <v>0</v>
      </c>
      <c r="U103" s="1027"/>
      <c r="V103" s="1027"/>
      <c r="W103" s="1027"/>
    </row>
    <row r="104" spans="2:23" ht="12.75" customHeight="1" x14ac:dyDescent="0.2">
      <c r="B104" s="1042">
        <f>Marktnahe_Bilanz!$A$1</f>
        <v>7</v>
      </c>
      <c r="C104" s="1043" t="str">
        <f>Marktnahe_Bilanz!$B$1</f>
        <v>Marktnahe Gliederung der Aktiven und Passiven</v>
      </c>
      <c r="D104" s="1058" t="str">
        <f>Marktnahe_Bilanz!$C$111</f>
        <v>Nichtversicherungstechnische Rückstellungen</v>
      </c>
      <c r="E104" s="1045" t="str">
        <f>Marktnahe_Bilanz!$D112</f>
        <v>dem Geschäft nach KVG zugeordnet</v>
      </c>
      <c r="F104" s="1058">
        <f>Marktnahe_Bilanz!$E$7</f>
        <v>45657</v>
      </c>
      <c r="G104" s="1059"/>
      <c r="H104" s="1060">
        <f>Marktnahe_Bilanz!$E112</f>
        <v>0</v>
      </c>
      <c r="U104" s="1027"/>
      <c r="V104" s="1027"/>
      <c r="W104" s="1027"/>
    </row>
    <row r="105" spans="2:23" ht="12.75" customHeight="1" x14ac:dyDescent="0.2">
      <c r="B105" s="1042">
        <f>Marktnahe_Bilanz!$A$1</f>
        <v>7</v>
      </c>
      <c r="C105" s="1043" t="str">
        <f>Marktnahe_Bilanz!$B$1</f>
        <v>Marktnahe Gliederung der Aktiven und Passiven</v>
      </c>
      <c r="D105" s="1058" t="str">
        <f>Marktnahe_Bilanz!$C$111</f>
        <v>Nichtversicherungstechnische Rückstellungen</v>
      </c>
      <c r="E105" s="1045" t="str">
        <f>Marktnahe_Bilanz!$D113</f>
        <v>dem Geschäft nach VVG zugeordnet</v>
      </c>
      <c r="F105" s="1058">
        <f>Marktnahe_Bilanz!$E$7</f>
        <v>45657</v>
      </c>
      <c r="G105" s="1059"/>
      <c r="H105" s="1060">
        <f>Marktnahe_Bilanz!$E113</f>
        <v>0</v>
      </c>
      <c r="U105" s="1027"/>
      <c r="V105" s="1027"/>
      <c r="W105" s="1027"/>
    </row>
    <row r="106" spans="2:23" ht="12.75" customHeight="1" x14ac:dyDescent="0.2">
      <c r="B106" s="1042">
        <f>Marktnahe_Bilanz!$A$1</f>
        <v>7</v>
      </c>
      <c r="C106" s="1043" t="str">
        <f>Marktnahe_Bilanz!$B$1</f>
        <v>Marktnahe Gliederung der Aktiven und Passiven</v>
      </c>
      <c r="D106" s="1058" t="str">
        <f>Marktnahe_Bilanz!$C$111</f>
        <v>Nichtversicherungstechnische Rückstellungen</v>
      </c>
      <c r="E106" s="1045" t="str">
        <f>Marktnahe_Bilanz!$D114</f>
        <v>dem Geschäft nach UVG zugeordnet</v>
      </c>
      <c r="F106" s="1058">
        <f>Marktnahe_Bilanz!$E$7</f>
        <v>45657</v>
      </c>
      <c r="G106" s="1059"/>
      <c r="H106" s="1060">
        <f>Marktnahe_Bilanz!$E114</f>
        <v>0</v>
      </c>
      <c r="U106" s="1027"/>
      <c r="V106" s="1027"/>
      <c r="W106" s="1027"/>
    </row>
    <row r="107" spans="2:23" x14ac:dyDescent="0.2">
      <c r="B107" s="1042"/>
      <c r="C107" s="1043"/>
      <c r="D107" s="1058"/>
      <c r="E107" s="1045"/>
      <c r="F107" s="1058"/>
      <c r="G107" s="1059"/>
      <c r="H107" s="1061"/>
      <c r="U107" s="1027"/>
      <c r="V107" s="1027"/>
      <c r="W107" s="1027"/>
    </row>
    <row r="108" spans="2:23" ht="12.75" customHeight="1" x14ac:dyDescent="0.2">
      <c r="B108" s="1042">
        <f>Marktnahe_Bilanz!$A$1</f>
        <v>7</v>
      </c>
      <c r="C108" s="1043" t="str">
        <f>Marktnahe_Bilanz!$B$1</f>
        <v>Marktnahe Gliederung der Aktiven und Passiven</v>
      </c>
      <c r="D108" s="1058" t="str">
        <f>Marktnahe_Bilanz!$C$116</f>
        <v>Rückstellungen für Risiken in den Kapitalanlagen</v>
      </c>
      <c r="E108" s="1045"/>
      <c r="F108" s="1058">
        <f>Marktnahe_Bilanz!$E$7</f>
        <v>45657</v>
      </c>
      <c r="G108" s="1059"/>
      <c r="H108" s="1062">
        <f>Marktnahe_Bilanz!$E116</f>
        <v>0</v>
      </c>
      <c r="U108" s="1027"/>
      <c r="V108" s="1027"/>
      <c r="W108" s="1027"/>
    </row>
    <row r="109" spans="2:23" ht="12.75" customHeight="1" x14ac:dyDescent="0.2">
      <c r="B109" s="1042">
        <f>Marktnahe_Bilanz!$A$1</f>
        <v>7</v>
      </c>
      <c r="C109" s="1043" t="str">
        <f>Marktnahe_Bilanz!$B$1</f>
        <v>Marktnahe Gliederung der Aktiven und Passiven</v>
      </c>
      <c r="D109" s="1058" t="str">
        <f>Marktnahe_Bilanz!$C$116</f>
        <v>Rückstellungen für Risiken in den Kapitalanlagen</v>
      </c>
      <c r="E109" s="1045" t="str">
        <f>Marktnahe_Bilanz!$D117</f>
        <v>dem Geschäft nach KVG zugeordnet</v>
      </c>
      <c r="F109" s="1058">
        <f>Marktnahe_Bilanz!$E$7</f>
        <v>45657</v>
      </c>
      <c r="G109" s="1059"/>
      <c r="H109" s="1060">
        <f>Marktnahe_Bilanz!$E117</f>
        <v>0</v>
      </c>
      <c r="U109" s="1027"/>
      <c r="V109" s="1027"/>
      <c r="W109" s="1027"/>
    </row>
    <row r="110" spans="2:23" ht="12.75" customHeight="1" x14ac:dyDescent="0.2">
      <c r="B110" s="1042">
        <f>Marktnahe_Bilanz!$A$1</f>
        <v>7</v>
      </c>
      <c r="C110" s="1043" t="str">
        <f>Marktnahe_Bilanz!$B$1</f>
        <v>Marktnahe Gliederung der Aktiven und Passiven</v>
      </c>
      <c r="D110" s="1058" t="str">
        <f>Marktnahe_Bilanz!$C$116</f>
        <v>Rückstellungen für Risiken in den Kapitalanlagen</v>
      </c>
      <c r="E110" s="1045" t="str">
        <f>Marktnahe_Bilanz!$D118</f>
        <v>dem Geschäft nach VVG zugeordnet</v>
      </c>
      <c r="F110" s="1058">
        <f>Marktnahe_Bilanz!$E$7</f>
        <v>45657</v>
      </c>
      <c r="G110" s="1059"/>
      <c r="H110" s="1060">
        <f>Marktnahe_Bilanz!$E118</f>
        <v>0</v>
      </c>
      <c r="U110" s="1027"/>
      <c r="V110" s="1027"/>
      <c r="W110" s="1027"/>
    </row>
    <row r="111" spans="2:23" ht="12.75" customHeight="1" x14ac:dyDescent="0.2">
      <c r="B111" s="1042">
        <f>Marktnahe_Bilanz!$A$1</f>
        <v>7</v>
      </c>
      <c r="C111" s="1043" t="str">
        <f>Marktnahe_Bilanz!$B$1</f>
        <v>Marktnahe Gliederung der Aktiven und Passiven</v>
      </c>
      <c r="D111" s="1058" t="str">
        <f>Marktnahe_Bilanz!$C$116</f>
        <v>Rückstellungen für Risiken in den Kapitalanlagen</v>
      </c>
      <c r="E111" s="1045" t="str">
        <f>Marktnahe_Bilanz!$D119</f>
        <v>dem Geschäft nach UVG zugeordnet</v>
      </c>
      <c r="F111" s="1058">
        <f>Marktnahe_Bilanz!$E$7</f>
        <v>45657</v>
      </c>
      <c r="G111" s="1059"/>
      <c r="H111" s="1060">
        <f>Marktnahe_Bilanz!$E119</f>
        <v>0</v>
      </c>
      <c r="U111" s="1027"/>
      <c r="V111" s="1027"/>
      <c r="W111" s="1027"/>
    </row>
    <row r="112" spans="2:23" x14ac:dyDescent="0.2">
      <c r="B112" s="1042"/>
      <c r="C112" s="1043"/>
      <c r="D112" s="1058"/>
      <c r="E112" s="1045"/>
      <c r="F112" s="1058"/>
      <c r="G112" s="1059"/>
      <c r="H112" s="1061"/>
      <c r="U112" s="1027"/>
      <c r="V112" s="1027"/>
      <c r="W112" s="1027"/>
    </row>
    <row r="113" spans="2:23" ht="12.75" customHeight="1" x14ac:dyDescent="0.2">
      <c r="B113" s="1042">
        <f>Marktnahe_Bilanz!$A$1</f>
        <v>7</v>
      </c>
      <c r="C113" s="1043" t="str">
        <f>Marktnahe_Bilanz!$B$1</f>
        <v>Marktnahe Gliederung der Aktiven und Passiven</v>
      </c>
      <c r="D113" s="1058" t="str">
        <f>Marktnahe_Bilanz!$C$121</f>
        <v>Übrige Verbindlichkeiten (inkl. Rechnungsabgrenzungen)</v>
      </c>
      <c r="E113" s="1045"/>
      <c r="F113" s="1058">
        <f>Marktnahe_Bilanz!$E$7</f>
        <v>45657</v>
      </c>
      <c r="G113" s="1059"/>
      <c r="H113" s="1062">
        <f>Marktnahe_Bilanz!$E121</f>
        <v>0</v>
      </c>
      <c r="U113" s="1027"/>
      <c r="V113" s="1027"/>
      <c r="W113" s="1027"/>
    </row>
    <row r="114" spans="2:23" ht="12.75" customHeight="1" x14ac:dyDescent="0.2">
      <c r="B114" s="1042">
        <f>Marktnahe_Bilanz!$A$1</f>
        <v>7</v>
      </c>
      <c r="C114" s="1043" t="str">
        <f>Marktnahe_Bilanz!$B$1</f>
        <v>Marktnahe Gliederung der Aktiven und Passiven</v>
      </c>
      <c r="D114" s="1058" t="str">
        <f>Marktnahe_Bilanz!$C$121</f>
        <v>Übrige Verbindlichkeiten (inkl. Rechnungsabgrenzungen)</v>
      </c>
      <c r="E114" s="1045" t="str">
        <f>Marktnahe_Bilanz!$D122</f>
        <v>dem Geschäft nach KVG zugeordnet</v>
      </c>
      <c r="F114" s="1058">
        <f>Marktnahe_Bilanz!$E$7</f>
        <v>45657</v>
      </c>
      <c r="G114" s="1059"/>
      <c r="H114" s="1060">
        <f>Marktnahe_Bilanz!$E122</f>
        <v>0</v>
      </c>
      <c r="U114" s="1027"/>
      <c r="V114" s="1027"/>
      <c r="W114" s="1027"/>
    </row>
    <row r="115" spans="2:23" ht="12.75" customHeight="1" x14ac:dyDescent="0.2">
      <c r="B115" s="1042">
        <f>Marktnahe_Bilanz!$A$1</f>
        <v>7</v>
      </c>
      <c r="C115" s="1043" t="str">
        <f>Marktnahe_Bilanz!$B$1</f>
        <v>Marktnahe Gliederung der Aktiven und Passiven</v>
      </c>
      <c r="D115" s="1058" t="str">
        <f>Marktnahe_Bilanz!$C$121</f>
        <v>Übrige Verbindlichkeiten (inkl. Rechnungsabgrenzungen)</v>
      </c>
      <c r="E115" s="1045" t="str">
        <f>Marktnahe_Bilanz!$D123</f>
        <v>dem Geschäft nach VVG zugeordnet</v>
      </c>
      <c r="F115" s="1058">
        <f>Marktnahe_Bilanz!$E$7</f>
        <v>45657</v>
      </c>
      <c r="G115" s="1059"/>
      <c r="H115" s="1060">
        <f>Marktnahe_Bilanz!$E123</f>
        <v>0</v>
      </c>
      <c r="U115" s="1027"/>
      <c r="V115" s="1027"/>
      <c r="W115" s="1027"/>
    </row>
    <row r="116" spans="2:23" ht="12.75" customHeight="1" x14ac:dyDescent="0.2">
      <c r="B116" s="1042">
        <f>Marktnahe_Bilanz!$A$1</f>
        <v>7</v>
      </c>
      <c r="C116" s="1043" t="str">
        <f>Marktnahe_Bilanz!$B$1</f>
        <v>Marktnahe Gliederung der Aktiven und Passiven</v>
      </c>
      <c r="D116" s="1058" t="str">
        <f>Marktnahe_Bilanz!$C$121</f>
        <v>Übrige Verbindlichkeiten (inkl. Rechnungsabgrenzungen)</v>
      </c>
      <c r="E116" s="1045" t="str">
        <f>Marktnahe_Bilanz!$D124</f>
        <v>dem Geschäft nach UVG zugeordnet</v>
      </c>
      <c r="F116" s="1058">
        <f>Marktnahe_Bilanz!$E$7</f>
        <v>45657</v>
      </c>
      <c r="G116" s="1059"/>
      <c r="H116" s="1060">
        <f>Marktnahe_Bilanz!$E124</f>
        <v>0</v>
      </c>
      <c r="U116" s="1027"/>
      <c r="V116" s="1027"/>
      <c r="W116" s="1027"/>
    </row>
    <row r="117" spans="2:23" x14ac:dyDescent="0.2">
      <c r="B117" s="1042"/>
      <c r="C117" s="1043"/>
      <c r="D117" s="1058"/>
      <c r="E117" s="1045"/>
      <c r="F117" s="1058"/>
      <c r="G117" s="1059"/>
      <c r="H117" s="1061"/>
      <c r="U117" s="1027"/>
      <c r="V117" s="1027"/>
      <c r="W117" s="1027"/>
    </row>
    <row r="118" spans="2:23" ht="25.5" x14ac:dyDescent="0.2">
      <c r="B118" s="1042">
        <f>Marktnahe_Bilanz!$A$1</f>
        <v>7</v>
      </c>
      <c r="C118" s="1043" t="str">
        <f>Marktnahe_Bilanz!$B$1</f>
        <v>Marktnahe Gliederung der Aktiven und Passiven</v>
      </c>
      <c r="D118" s="1058" t="str">
        <f>Marktnahe_Bilanz!$C126</f>
        <v>Total übrige Passiven</v>
      </c>
      <c r="E118" s="1045"/>
      <c r="F118" s="1058">
        <f>Marktnahe_Bilanz!$E$7</f>
        <v>45657</v>
      </c>
      <c r="G118" s="1059"/>
      <c r="H118" s="1065">
        <f>Marktnahe_Bilanz!$E126</f>
        <v>0</v>
      </c>
      <c r="U118" s="1027"/>
      <c r="V118" s="1027"/>
      <c r="W118" s="1027"/>
    </row>
    <row r="119" spans="2:23" x14ac:dyDescent="0.2">
      <c r="B119" s="1042"/>
      <c r="C119" s="1043"/>
      <c r="D119" s="1058"/>
      <c r="E119" s="1045"/>
      <c r="F119" s="1058"/>
      <c r="G119" s="1059"/>
      <c r="H119" s="1061"/>
      <c r="U119" s="1027"/>
      <c r="V119" s="1027"/>
      <c r="W119" s="1027"/>
    </row>
    <row r="120" spans="2:23" ht="25.5" x14ac:dyDescent="0.2">
      <c r="B120" s="1042">
        <f>Marktnahe_Bilanz!$A$1</f>
        <v>7</v>
      </c>
      <c r="C120" s="1043" t="str">
        <f>Marktnahe_Bilanz!$B$1</f>
        <v>Marktnahe Gliederung der Aktiven und Passiven</v>
      </c>
      <c r="D120" s="1058" t="str">
        <f>Marktnahe_Bilanz!$B$128</f>
        <v>Total Fremdkapital</v>
      </c>
      <c r="E120" s="1045"/>
      <c r="F120" s="1058">
        <f>Marktnahe_Bilanz!$E$7</f>
        <v>45657</v>
      </c>
      <c r="G120" s="1059"/>
      <c r="H120" s="1065">
        <f>Marktnahe_Bilanz!$E128</f>
        <v>0</v>
      </c>
      <c r="U120" s="1027"/>
      <c r="V120" s="1027"/>
      <c r="W120" s="1027"/>
    </row>
    <row r="121" spans="2:23" x14ac:dyDescent="0.2">
      <c r="B121" s="1042"/>
      <c r="C121" s="1043"/>
      <c r="D121" s="1058"/>
      <c r="E121" s="1045"/>
      <c r="F121" s="1058"/>
      <c r="G121" s="1059"/>
      <c r="H121" s="1061"/>
      <c r="U121" s="1027"/>
      <c r="V121" s="1027"/>
      <c r="W121" s="1027"/>
    </row>
    <row r="122" spans="2:23" ht="25.5" x14ac:dyDescent="0.2">
      <c r="B122" s="1042">
        <f>Marktnahe_Bilanz!$A$1</f>
        <v>7</v>
      </c>
      <c r="C122" s="1043" t="str">
        <f>Marktnahe_Bilanz!$B$1</f>
        <v>Marktnahe Gliederung der Aktiven und Passiven</v>
      </c>
      <c r="D122" s="1058" t="str">
        <f>Marktnahe_Bilanz!$B$130</f>
        <v>Differenz zwischen Aktiven und Fremdkapital</v>
      </c>
      <c r="E122" s="1045"/>
      <c r="F122" s="1058">
        <f>Marktnahe_Bilanz!$E$7</f>
        <v>45657</v>
      </c>
      <c r="G122" s="1059"/>
      <c r="H122" s="1065">
        <f>Marktnahe_Bilanz!$E130</f>
        <v>0</v>
      </c>
      <c r="U122" s="1027"/>
      <c r="V122" s="1027"/>
      <c r="W122" s="1027"/>
    </row>
    <row r="123" spans="2:23" x14ac:dyDescent="0.2">
      <c r="B123" s="1042"/>
      <c r="C123" s="1043"/>
      <c r="D123" s="1058"/>
      <c r="E123" s="1045"/>
      <c r="F123" s="1058"/>
      <c r="G123" s="1059"/>
      <c r="H123" s="1061"/>
      <c r="U123" s="1027"/>
      <c r="V123" s="1027"/>
      <c r="W123" s="1027"/>
    </row>
    <row r="124" spans="2:23" x14ac:dyDescent="0.2">
      <c r="B124" s="1042"/>
      <c r="C124" s="1043"/>
      <c r="D124" s="1058"/>
      <c r="E124" s="1045"/>
      <c r="F124" s="1058"/>
      <c r="G124" s="1059"/>
      <c r="H124" s="1061"/>
      <c r="U124" s="1027"/>
      <c r="V124" s="1027"/>
      <c r="W124" s="1027"/>
    </row>
    <row r="125" spans="2:23" x14ac:dyDescent="0.2">
      <c r="B125" s="1042"/>
      <c r="C125" s="1043"/>
      <c r="D125" s="1058"/>
      <c r="E125" s="1045"/>
      <c r="F125" s="1058"/>
      <c r="G125" s="1059"/>
      <c r="H125" s="1068"/>
      <c r="U125" s="1027"/>
      <c r="V125" s="1027"/>
      <c r="W125" s="1027"/>
    </row>
    <row r="126" spans="2:23" ht="25.5" x14ac:dyDescent="0.2">
      <c r="B126" s="1042">
        <f>Marktnahe_Bilanz!$A$1</f>
        <v>7</v>
      </c>
      <c r="C126" s="1043" t="str">
        <f>Marktnahe_Bilanz!$B$1</f>
        <v>Marktnahe Gliederung der Aktiven und Passiven</v>
      </c>
      <c r="D126" s="1058" t="str">
        <f>Marktnahe_Bilanz!$B$136</f>
        <v>Aufteilung des Eigenkapitals</v>
      </c>
      <c r="E126" s="1045"/>
      <c r="F126" s="1058">
        <f>Marktnahe_Bilanz!$E$7</f>
        <v>45657</v>
      </c>
      <c r="G126" s="1059"/>
      <c r="H126" s="1065">
        <f>Marktnahe_Bilanz!$E136</f>
        <v>0</v>
      </c>
      <c r="U126" s="1027"/>
      <c r="V126" s="1027"/>
      <c r="W126" s="1027"/>
    </row>
    <row r="127" spans="2:23" ht="25.5" x14ac:dyDescent="0.2">
      <c r="B127" s="1042">
        <f>Marktnahe_Bilanz!$A$1</f>
        <v>7</v>
      </c>
      <c r="C127" s="1043" t="str">
        <f>Marktnahe_Bilanz!$B$1</f>
        <v>Marktnahe Gliederung der Aktiven und Passiven</v>
      </c>
      <c r="D127" s="1058" t="str">
        <f>Marktnahe_Bilanz!$B$136</f>
        <v>Aufteilung des Eigenkapitals</v>
      </c>
      <c r="E127" s="1045" t="str">
        <f>Marktnahe_Bilanz!$D137</f>
        <v>dem Geschäft nach KVG zugeordnet</v>
      </c>
      <c r="F127" s="1058">
        <f>Marktnahe_Bilanz!$E$7</f>
        <v>45657</v>
      </c>
      <c r="G127" s="1059"/>
      <c r="H127" s="1487">
        <f>Marktnahe_Bilanz!$E137</f>
        <v>0</v>
      </c>
      <c r="U127" s="1027"/>
      <c r="V127" s="1027"/>
      <c r="W127" s="1027"/>
    </row>
    <row r="128" spans="2:23" ht="25.5" x14ac:dyDescent="0.2">
      <c r="B128" s="1042">
        <f>Marktnahe_Bilanz!$A$1</f>
        <v>7</v>
      </c>
      <c r="C128" s="1043" t="str">
        <f>Marktnahe_Bilanz!$B$1</f>
        <v>Marktnahe Gliederung der Aktiven und Passiven</v>
      </c>
      <c r="D128" s="1058" t="str">
        <f>Marktnahe_Bilanz!$B$136</f>
        <v>Aufteilung des Eigenkapitals</v>
      </c>
      <c r="E128" s="1045" t="str">
        <f>Marktnahe_Bilanz!$D138</f>
        <v>dem Geschäft nach VVG zugeordnet</v>
      </c>
      <c r="F128" s="1058">
        <f>Marktnahe_Bilanz!$E$7</f>
        <v>45657</v>
      </c>
      <c r="G128" s="1059"/>
      <c r="H128" s="1487">
        <f>Marktnahe_Bilanz!$E138</f>
        <v>0</v>
      </c>
      <c r="U128" s="1027"/>
      <c r="V128" s="1027"/>
      <c r="W128" s="1027"/>
    </row>
    <row r="129" spans="2:23" ht="25.5" x14ac:dyDescent="0.2">
      <c r="B129" s="1042">
        <f>Marktnahe_Bilanz!$A$1</f>
        <v>7</v>
      </c>
      <c r="C129" s="1043" t="str">
        <f>Marktnahe_Bilanz!$B$1</f>
        <v>Marktnahe Gliederung der Aktiven und Passiven</v>
      </c>
      <c r="D129" s="1058" t="str">
        <f>Marktnahe_Bilanz!$B$136</f>
        <v>Aufteilung des Eigenkapitals</v>
      </c>
      <c r="E129" s="1045" t="str">
        <f>Marktnahe_Bilanz!$D139</f>
        <v>dem Geschäft nach UVG zugeordnet</v>
      </c>
      <c r="F129" s="1058">
        <f>Marktnahe_Bilanz!$E$7</f>
        <v>45657</v>
      </c>
      <c r="G129" s="1059"/>
      <c r="H129" s="1487">
        <f>Marktnahe_Bilanz!$E139</f>
        <v>0</v>
      </c>
      <c r="U129" s="1027"/>
      <c r="V129" s="1027"/>
      <c r="W129" s="1027"/>
    </row>
    <row r="130" spans="2:23" x14ac:dyDescent="0.2">
      <c r="B130" s="1042"/>
      <c r="C130" s="1043"/>
      <c r="D130" s="1058"/>
      <c r="E130" s="1045"/>
      <c r="F130" s="1058"/>
      <c r="G130" s="1059"/>
      <c r="H130" s="1061"/>
      <c r="U130" s="1027"/>
      <c r="V130" s="1027"/>
      <c r="W130" s="1027"/>
    </row>
    <row r="131" spans="2:23" x14ac:dyDescent="0.2">
      <c r="B131" s="1042"/>
      <c r="C131" s="1043"/>
      <c r="D131" s="1058"/>
      <c r="E131" s="1045"/>
      <c r="F131" s="1058"/>
      <c r="G131" s="1059"/>
      <c r="H131" s="1061"/>
      <c r="U131" s="1027"/>
      <c r="V131" s="1027"/>
      <c r="W131" s="1027"/>
    </row>
    <row r="132" spans="2:23" x14ac:dyDescent="0.2">
      <c r="B132" s="1042"/>
      <c r="C132" s="1043"/>
      <c r="D132" s="1058"/>
      <c r="E132" s="1045"/>
      <c r="F132" s="1058"/>
      <c r="G132" s="1059"/>
      <c r="H132" s="1061"/>
      <c r="U132" s="1027"/>
      <c r="V132" s="1027"/>
      <c r="W132" s="1027"/>
    </row>
    <row r="133" spans="2:23" x14ac:dyDescent="0.2">
      <c r="B133" s="1042"/>
      <c r="C133" s="1043"/>
      <c r="D133" s="1058"/>
      <c r="E133" s="1045"/>
      <c r="F133" s="1058"/>
      <c r="G133" s="1059"/>
      <c r="H133" s="1061"/>
      <c r="U133" s="1027"/>
      <c r="V133" s="1027"/>
      <c r="W133" s="1027"/>
    </row>
    <row r="134" spans="2:23" ht="25.5" x14ac:dyDescent="0.2">
      <c r="B134" s="1042">
        <f>Marktnahe_Bilanz!$A$1</f>
        <v>7</v>
      </c>
      <c r="C134" s="1043" t="str">
        <f>Marktnahe_Bilanz!$B$1</f>
        <v>Marktnahe Gliederung der Aktiven und Passiven</v>
      </c>
      <c r="D134" s="1058" t="str">
        <f>Marktnahe_Bilanz!$C$13</f>
        <v>Grundstücke und Bauten</v>
      </c>
      <c r="E134" s="1488"/>
      <c r="F134" s="1058" t="str">
        <f>Marktnahe_Bilanz!$G$7</f>
        <v>01.01.2025</v>
      </c>
      <c r="G134" s="1059"/>
      <c r="H134" s="1062">
        <f>Marktnahe_Bilanz!$G13</f>
        <v>0</v>
      </c>
      <c r="U134" s="1027"/>
      <c r="V134" s="1027"/>
      <c r="W134" s="1027"/>
    </row>
    <row r="135" spans="2:23" ht="12.75" customHeight="1" x14ac:dyDescent="0.2">
      <c r="B135" s="1042">
        <f>Marktnahe_Bilanz!$A$1</f>
        <v>7</v>
      </c>
      <c r="C135" s="1043" t="str">
        <f>Marktnahe_Bilanz!$B$1</f>
        <v>Marktnahe Gliederung der Aktiven und Passiven</v>
      </c>
      <c r="D135" s="1058" t="str">
        <f>Marktnahe_Bilanz!$C$13</f>
        <v>Grundstücke und Bauten</v>
      </c>
      <c r="E135" s="1045" t="str">
        <f>Marktnahe_Bilanz!$D14</f>
        <v>dem Geschäft nach KVG zugeordnet</v>
      </c>
      <c r="F135" s="1058" t="str">
        <f>Marktnahe_Bilanz!$G$7</f>
        <v>01.01.2025</v>
      </c>
      <c r="G135" s="1059"/>
      <c r="H135" s="1060">
        <f>Marktnahe_Bilanz!$G14</f>
        <v>0</v>
      </c>
      <c r="U135" s="1027"/>
      <c r="V135" s="1027"/>
      <c r="W135" s="1027"/>
    </row>
    <row r="136" spans="2:23" ht="12.75" customHeight="1" x14ac:dyDescent="0.2">
      <c r="B136" s="1042">
        <f>Marktnahe_Bilanz!$A$1</f>
        <v>7</v>
      </c>
      <c r="C136" s="1043" t="str">
        <f>Marktnahe_Bilanz!$B$1</f>
        <v>Marktnahe Gliederung der Aktiven und Passiven</v>
      </c>
      <c r="D136" s="1058" t="str">
        <f>Marktnahe_Bilanz!$C$13</f>
        <v>Grundstücke und Bauten</v>
      </c>
      <c r="E136" s="1045" t="str">
        <f>Marktnahe_Bilanz!$D15</f>
        <v>dem Geschäft nach VVG zugeordnet</v>
      </c>
      <c r="F136" s="1058" t="str">
        <f>Marktnahe_Bilanz!$G$7</f>
        <v>01.01.2025</v>
      </c>
      <c r="G136" s="1059"/>
      <c r="H136" s="1060">
        <f>Marktnahe_Bilanz!$G15</f>
        <v>0</v>
      </c>
      <c r="U136" s="1027"/>
      <c r="V136" s="1027"/>
      <c r="W136" s="1027"/>
    </row>
    <row r="137" spans="2:23" ht="12.75" customHeight="1" x14ac:dyDescent="0.2">
      <c r="B137" s="1042">
        <f>Marktnahe_Bilanz!$A$1</f>
        <v>7</v>
      </c>
      <c r="C137" s="1043" t="str">
        <f>Marktnahe_Bilanz!$B$1</f>
        <v>Marktnahe Gliederung der Aktiven und Passiven</v>
      </c>
      <c r="D137" s="1058" t="str">
        <f>Marktnahe_Bilanz!$C$13</f>
        <v>Grundstücke und Bauten</v>
      </c>
      <c r="E137" s="1045" t="str">
        <f>Marktnahe_Bilanz!$D16</f>
        <v>dem Geschäft nach UVG zugeordnet</v>
      </c>
      <c r="F137" s="1058" t="str">
        <f>Marktnahe_Bilanz!$G$7</f>
        <v>01.01.2025</v>
      </c>
      <c r="G137" s="1059"/>
      <c r="H137" s="1060">
        <f>Marktnahe_Bilanz!$G16</f>
        <v>0</v>
      </c>
      <c r="U137" s="1027"/>
      <c r="V137" s="1027"/>
      <c r="W137" s="1027"/>
    </row>
    <row r="138" spans="2:23" ht="12.75" customHeight="1" x14ac:dyDescent="0.2">
      <c r="B138" s="1042"/>
      <c r="C138" s="1043"/>
      <c r="D138" s="1058"/>
      <c r="E138" s="1045"/>
      <c r="F138" s="1058"/>
      <c r="G138" s="1059"/>
      <c r="H138" s="1061"/>
      <c r="U138" s="1027"/>
      <c r="V138" s="1027"/>
      <c r="W138" s="1027"/>
    </row>
    <row r="139" spans="2:23" ht="25.5" x14ac:dyDescent="0.2">
      <c r="B139" s="1042">
        <f>Marktnahe_Bilanz!$A$1</f>
        <v>7</v>
      </c>
      <c r="C139" s="1043" t="str">
        <f>Marktnahe_Bilanz!$B$1</f>
        <v>Marktnahe Gliederung der Aktiven und Passiven</v>
      </c>
      <c r="D139" s="1058" t="str">
        <f>Marktnahe_Bilanz!$C$18</f>
        <v>Obligationen</v>
      </c>
      <c r="E139" s="1045"/>
      <c r="F139" s="1058" t="str">
        <f>Marktnahe_Bilanz!$G$7</f>
        <v>01.01.2025</v>
      </c>
      <c r="G139" s="1059"/>
      <c r="H139" s="1062">
        <f>Marktnahe_Bilanz!$G18</f>
        <v>0</v>
      </c>
      <c r="U139" s="1027"/>
      <c r="V139" s="1027"/>
      <c r="W139" s="1027"/>
    </row>
    <row r="140" spans="2:23" ht="12.75" customHeight="1" x14ac:dyDescent="0.2">
      <c r="B140" s="1042">
        <f>Marktnahe_Bilanz!$A$1</f>
        <v>7</v>
      </c>
      <c r="C140" s="1043" t="str">
        <f>Marktnahe_Bilanz!$B$1</f>
        <v>Marktnahe Gliederung der Aktiven und Passiven</v>
      </c>
      <c r="D140" s="1058" t="str">
        <f>Marktnahe_Bilanz!$C$18</f>
        <v>Obligationen</v>
      </c>
      <c r="E140" s="1045" t="str">
        <f>Marktnahe_Bilanz!$D19</f>
        <v>dem Geschäft nach KVG zugeordnet</v>
      </c>
      <c r="F140" s="1058" t="str">
        <f>Marktnahe_Bilanz!$G$7</f>
        <v>01.01.2025</v>
      </c>
      <c r="G140" s="1059"/>
      <c r="H140" s="1060">
        <f>Marktnahe_Bilanz!$G19</f>
        <v>0</v>
      </c>
      <c r="U140" s="1027"/>
      <c r="V140" s="1027"/>
      <c r="W140" s="1027"/>
    </row>
    <row r="141" spans="2:23" ht="12.75" customHeight="1" x14ac:dyDescent="0.2">
      <c r="B141" s="1042">
        <f>Marktnahe_Bilanz!$A$1</f>
        <v>7</v>
      </c>
      <c r="C141" s="1043" t="str">
        <f>Marktnahe_Bilanz!$B$1</f>
        <v>Marktnahe Gliederung der Aktiven und Passiven</v>
      </c>
      <c r="D141" s="1058" t="str">
        <f>Marktnahe_Bilanz!$C$18</f>
        <v>Obligationen</v>
      </c>
      <c r="E141" s="1045" t="str">
        <f>Marktnahe_Bilanz!$D20</f>
        <v>dem Geschäft nach VVG zugeordnet</v>
      </c>
      <c r="F141" s="1058" t="str">
        <f>Marktnahe_Bilanz!$G$7</f>
        <v>01.01.2025</v>
      </c>
      <c r="G141" s="1059"/>
      <c r="H141" s="1060">
        <f>Marktnahe_Bilanz!$G20</f>
        <v>0</v>
      </c>
      <c r="U141" s="1027"/>
      <c r="V141" s="1027"/>
      <c r="W141" s="1027"/>
    </row>
    <row r="142" spans="2:23" ht="12.75" customHeight="1" x14ac:dyDescent="0.2">
      <c r="B142" s="1042">
        <f>Marktnahe_Bilanz!$A$1</f>
        <v>7</v>
      </c>
      <c r="C142" s="1043" t="str">
        <f>Marktnahe_Bilanz!$B$1</f>
        <v>Marktnahe Gliederung der Aktiven und Passiven</v>
      </c>
      <c r="D142" s="1058" t="str">
        <f>Marktnahe_Bilanz!$C$18</f>
        <v>Obligationen</v>
      </c>
      <c r="E142" s="1045" t="str">
        <f>Marktnahe_Bilanz!$D21</f>
        <v>dem Geschäft nach UVG zugeordnet</v>
      </c>
      <c r="F142" s="1058" t="str">
        <f>Marktnahe_Bilanz!$G$7</f>
        <v>01.01.2025</v>
      </c>
      <c r="G142" s="1059"/>
      <c r="H142" s="1060">
        <f>Marktnahe_Bilanz!$G21</f>
        <v>0</v>
      </c>
      <c r="U142" s="1027"/>
      <c r="V142" s="1027"/>
      <c r="W142" s="1027"/>
    </row>
    <row r="143" spans="2:23" ht="12.75" customHeight="1" x14ac:dyDescent="0.2">
      <c r="B143" s="1042"/>
      <c r="C143" s="1043"/>
      <c r="D143" s="1058"/>
      <c r="E143" s="1045"/>
      <c r="F143" s="1058"/>
      <c r="G143" s="1059"/>
      <c r="H143" s="1061"/>
      <c r="U143" s="1027"/>
      <c r="V143" s="1027"/>
      <c r="W143" s="1027"/>
    </row>
    <row r="144" spans="2:23" ht="25.5" x14ac:dyDescent="0.2">
      <c r="B144" s="1042">
        <f>Marktnahe_Bilanz!$A$1</f>
        <v>7</v>
      </c>
      <c r="C144" s="1043" t="str">
        <f>Marktnahe_Bilanz!$B$1</f>
        <v>Marktnahe Gliederung der Aktiven und Passiven</v>
      </c>
      <c r="D144" s="1058" t="str">
        <f>Marktnahe_Bilanz!$C$23</f>
        <v>Aktien und ähnliche Anlagen</v>
      </c>
      <c r="E144" s="1045"/>
      <c r="F144" s="1058" t="str">
        <f>Marktnahe_Bilanz!$G$7</f>
        <v>01.01.2025</v>
      </c>
      <c r="G144" s="1059"/>
      <c r="H144" s="1062">
        <f>Marktnahe_Bilanz!$G23</f>
        <v>0</v>
      </c>
      <c r="U144" s="1027"/>
      <c r="V144" s="1027"/>
      <c r="W144" s="1027"/>
    </row>
    <row r="145" spans="2:23" ht="25.5" x14ac:dyDescent="0.2">
      <c r="B145" s="1042">
        <f>Marktnahe_Bilanz!$A$1</f>
        <v>7</v>
      </c>
      <c r="C145" s="1043" t="str">
        <f>Marktnahe_Bilanz!$B$1</f>
        <v>Marktnahe Gliederung der Aktiven und Passiven</v>
      </c>
      <c r="D145" s="1058" t="str">
        <f>Marktnahe_Bilanz!$C$23</f>
        <v>Aktien und ähnliche Anlagen</v>
      </c>
      <c r="E145" s="1045" t="str">
        <f>Marktnahe_Bilanz!$D24</f>
        <v>dem Geschäft nach KVG zugeordnet</v>
      </c>
      <c r="F145" s="1058" t="str">
        <f>Marktnahe_Bilanz!$G$7</f>
        <v>01.01.2025</v>
      </c>
      <c r="G145" s="1059"/>
      <c r="H145" s="1060">
        <f>Marktnahe_Bilanz!$G24</f>
        <v>0</v>
      </c>
      <c r="U145" s="1027"/>
      <c r="V145" s="1027"/>
      <c r="W145" s="1027"/>
    </row>
    <row r="146" spans="2:23" ht="25.5" x14ac:dyDescent="0.2">
      <c r="B146" s="1042">
        <f>Marktnahe_Bilanz!$A$1</f>
        <v>7</v>
      </c>
      <c r="C146" s="1043" t="str">
        <f>Marktnahe_Bilanz!$B$1</f>
        <v>Marktnahe Gliederung der Aktiven und Passiven</v>
      </c>
      <c r="D146" s="1058" t="str">
        <f>Marktnahe_Bilanz!$C$23</f>
        <v>Aktien und ähnliche Anlagen</v>
      </c>
      <c r="E146" s="1045" t="str">
        <f>Marktnahe_Bilanz!$D25</f>
        <v>dem Geschäft nach VVG zugeordnet</v>
      </c>
      <c r="F146" s="1058" t="str">
        <f>Marktnahe_Bilanz!$G$7</f>
        <v>01.01.2025</v>
      </c>
      <c r="G146" s="1059"/>
      <c r="H146" s="1060">
        <f>Marktnahe_Bilanz!$G25</f>
        <v>0</v>
      </c>
      <c r="U146" s="1027"/>
      <c r="V146" s="1027"/>
      <c r="W146" s="1027"/>
    </row>
    <row r="147" spans="2:23" ht="25.5" x14ac:dyDescent="0.2">
      <c r="B147" s="1042">
        <f>Marktnahe_Bilanz!$A$1</f>
        <v>7</v>
      </c>
      <c r="C147" s="1043" t="str">
        <f>Marktnahe_Bilanz!$B$1</f>
        <v>Marktnahe Gliederung der Aktiven und Passiven</v>
      </c>
      <c r="D147" s="1058" t="str">
        <f>Marktnahe_Bilanz!$C$23</f>
        <v>Aktien und ähnliche Anlagen</v>
      </c>
      <c r="E147" s="1045" t="str">
        <f>Marktnahe_Bilanz!$D26</f>
        <v>dem Geschäft nach UVG zugeordnet</v>
      </c>
      <c r="F147" s="1058" t="str">
        <f>Marktnahe_Bilanz!$G$7</f>
        <v>01.01.2025</v>
      </c>
      <c r="G147" s="1059"/>
      <c r="H147" s="1060">
        <f>Marktnahe_Bilanz!$G26</f>
        <v>0</v>
      </c>
      <c r="U147" s="1027"/>
      <c r="V147" s="1027"/>
      <c r="W147" s="1027"/>
    </row>
    <row r="148" spans="2:23" x14ac:dyDescent="0.2">
      <c r="B148" s="1042"/>
      <c r="C148" s="1043"/>
      <c r="D148" s="1058"/>
      <c r="E148" s="1045"/>
      <c r="F148" s="1058"/>
      <c r="G148" s="1059"/>
      <c r="H148" s="1061"/>
      <c r="U148" s="1027"/>
      <c r="V148" s="1027"/>
      <c r="W148" s="1027"/>
    </row>
    <row r="149" spans="2:23" ht="25.5" x14ac:dyDescent="0.2">
      <c r="B149" s="1042">
        <f>Marktnahe_Bilanz!$A$1</f>
        <v>7</v>
      </c>
      <c r="C149" s="1043" t="str">
        <f>Marktnahe_Bilanz!$B$1</f>
        <v>Marktnahe Gliederung der Aktiven und Passiven</v>
      </c>
      <c r="D149" s="1058" t="str">
        <f>Marktnahe_Bilanz!$C$28</f>
        <v>Anteile an Anlagefonds</v>
      </c>
      <c r="E149" s="1045"/>
      <c r="F149" s="1058" t="str">
        <f>Marktnahe_Bilanz!$G$7</f>
        <v>01.01.2025</v>
      </c>
      <c r="G149" s="1059"/>
      <c r="H149" s="1062">
        <f>Marktnahe_Bilanz!$G28</f>
        <v>0</v>
      </c>
      <c r="U149" s="1027"/>
      <c r="V149" s="1027"/>
      <c r="W149" s="1027"/>
    </row>
    <row r="150" spans="2:23" ht="12.75" customHeight="1" x14ac:dyDescent="0.2">
      <c r="B150" s="1042">
        <f>Marktnahe_Bilanz!$A$1</f>
        <v>7</v>
      </c>
      <c r="C150" s="1043" t="str">
        <f>Marktnahe_Bilanz!$B$1</f>
        <v>Marktnahe Gliederung der Aktiven und Passiven</v>
      </c>
      <c r="D150" s="1058" t="str">
        <f>Marktnahe_Bilanz!$C$28</f>
        <v>Anteile an Anlagefonds</v>
      </c>
      <c r="E150" s="1045" t="str">
        <f>Marktnahe_Bilanz!$D29</f>
        <v>dem Geschäft nach KVG zugeordnet</v>
      </c>
      <c r="F150" s="1058" t="str">
        <f>Marktnahe_Bilanz!$G$7</f>
        <v>01.01.2025</v>
      </c>
      <c r="G150" s="1059"/>
      <c r="H150" s="1060">
        <f>Marktnahe_Bilanz!$G29</f>
        <v>0</v>
      </c>
      <c r="U150" s="1027"/>
      <c r="V150" s="1027"/>
      <c r="W150" s="1027"/>
    </row>
    <row r="151" spans="2:23" ht="12.75" customHeight="1" x14ac:dyDescent="0.2">
      <c r="B151" s="1042">
        <f>Marktnahe_Bilanz!$A$1</f>
        <v>7</v>
      </c>
      <c r="C151" s="1043" t="str">
        <f>Marktnahe_Bilanz!$B$1</f>
        <v>Marktnahe Gliederung der Aktiven und Passiven</v>
      </c>
      <c r="D151" s="1058" t="str">
        <f>Marktnahe_Bilanz!$C$28</f>
        <v>Anteile an Anlagefonds</v>
      </c>
      <c r="E151" s="1045" t="str">
        <f>Marktnahe_Bilanz!$D30</f>
        <v>dem Geschäft nach VVG zugeordnet</v>
      </c>
      <c r="F151" s="1058" t="str">
        <f>Marktnahe_Bilanz!$G$7</f>
        <v>01.01.2025</v>
      </c>
      <c r="G151" s="1059"/>
      <c r="H151" s="1060">
        <f>Marktnahe_Bilanz!$G30</f>
        <v>0</v>
      </c>
      <c r="U151" s="1027"/>
      <c r="V151" s="1027"/>
      <c r="W151" s="1027"/>
    </row>
    <row r="152" spans="2:23" ht="12.75" customHeight="1" x14ac:dyDescent="0.2">
      <c r="B152" s="1042">
        <f>Marktnahe_Bilanz!$A$1</f>
        <v>7</v>
      </c>
      <c r="C152" s="1043" t="str">
        <f>Marktnahe_Bilanz!$B$1</f>
        <v>Marktnahe Gliederung der Aktiven und Passiven</v>
      </c>
      <c r="D152" s="1058" t="str">
        <f>Marktnahe_Bilanz!$C$28</f>
        <v>Anteile an Anlagefonds</v>
      </c>
      <c r="E152" s="1045" t="str">
        <f>Marktnahe_Bilanz!$D31</f>
        <v>dem Geschäft nach UVG zugeordnet</v>
      </c>
      <c r="F152" s="1058" t="str">
        <f>Marktnahe_Bilanz!$G$7</f>
        <v>01.01.2025</v>
      </c>
      <c r="G152" s="1059"/>
      <c r="H152" s="1060">
        <f>Marktnahe_Bilanz!$G31</f>
        <v>0</v>
      </c>
      <c r="U152" s="1027"/>
      <c r="V152" s="1027"/>
      <c r="W152" s="1027"/>
    </row>
    <row r="153" spans="2:23" ht="12.75" customHeight="1" x14ac:dyDescent="0.2">
      <c r="B153" s="1042"/>
      <c r="C153" s="1043"/>
      <c r="D153" s="1058"/>
      <c r="E153" s="1045"/>
      <c r="F153" s="1058"/>
      <c r="G153" s="1059"/>
      <c r="H153" s="1061"/>
      <c r="U153" s="1027"/>
      <c r="V153" s="1027"/>
      <c r="W153" s="1027"/>
    </row>
    <row r="154" spans="2:23" ht="12.75" customHeight="1" x14ac:dyDescent="0.2">
      <c r="B154" s="1042">
        <f>Marktnahe_Bilanz!$A$1</f>
        <v>7</v>
      </c>
      <c r="C154" s="1043" t="str">
        <f>Marktnahe_Bilanz!$B$1</f>
        <v>Marktnahe Gliederung der Aktiven und Passiven</v>
      </c>
      <c r="D154" s="1058" t="str">
        <f>Marktnahe_Bilanz!$C$33</f>
        <v>Derivative Finanzinstrumente (Guthaben)</v>
      </c>
      <c r="E154" s="1045"/>
      <c r="F154" s="1058" t="str">
        <f>Marktnahe_Bilanz!$G$7</f>
        <v>01.01.2025</v>
      </c>
      <c r="G154" s="1059"/>
      <c r="H154" s="1062">
        <f>Marktnahe_Bilanz!$G33</f>
        <v>0</v>
      </c>
      <c r="U154" s="1027"/>
      <c r="V154" s="1027"/>
      <c r="W154" s="1027"/>
    </row>
    <row r="155" spans="2:23" ht="12.75" customHeight="1" x14ac:dyDescent="0.2">
      <c r="B155" s="1042">
        <f>Marktnahe_Bilanz!$A$1</f>
        <v>7</v>
      </c>
      <c r="C155" s="1043" t="str">
        <f>Marktnahe_Bilanz!$B$1</f>
        <v>Marktnahe Gliederung der Aktiven und Passiven</v>
      </c>
      <c r="D155" s="1058" t="str">
        <f>Marktnahe_Bilanz!$C$33</f>
        <v>Derivative Finanzinstrumente (Guthaben)</v>
      </c>
      <c r="E155" s="1045" t="str">
        <f>Marktnahe_Bilanz!$D34</f>
        <v>dem Geschäft nach KVG zugeordnet</v>
      </c>
      <c r="F155" s="1058" t="str">
        <f>Marktnahe_Bilanz!$G$7</f>
        <v>01.01.2025</v>
      </c>
      <c r="G155" s="1059"/>
      <c r="H155" s="1060">
        <f>Marktnahe_Bilanz!$G34</f>
        <v>0</v>
      </c>
      <c r="U155" s="1027"/>
      <c r="V155" s="1027"/>
      <c r="W155" s="1027"/>
    </row>
    <row r="156" spans="2:23" ht="12.75" customHeight="1" x14ac:dyDescent="0.2">
      <c r="B156" s="1042">
        <f>Marktnahe_Bilanz!$A$1</f>
        <v>7</v>
      </c>
      <c r="C156" s="1043" t="str">
        <f>Marktnahe_Bilanz!$B$1</f>
        <v>Marktnahe Gliederung der Aktiven und Passiven</v>
      </c>
      <c r="D156" s="1058" t="str">
        <f>Marktnahe_Bilanz!$C$33</f>
        <v>Derivative Finanzinstrumente (Guthaben)</v>
      </c>
      <c r="E156" s="1045" t="str">
        <f>Marktnahe_Bilanz!$D35</f>
        <v>dem Geschäft nach VVG zugeordnet</v>
      </c>
      <c r="F156" s="1058" t="str">
        <f>Marktnahe_Bilanz!$G$7</f>
        <v>01.01.2025</v>
      </c>
      <c r="G156" s="1059"/>
      <c r="H156" s="1060">
        <f>Marktnahe_Bilanz!$G35</f>
        <v>0</v>
      </c>
      <c r="U156" s="1027"/>
      <c r="V156" s="1027"/>
      <c r="W156" s="1027"/>
    </row>
    <row r="157" spans="2:23" ht="12.75" customHeight="1" x14ac:dyDescent="0.2">
      <c r="B157" s="1042">
        <f>Marktnahe_Bilanz!$A$1</f>
        <v>7</v>
      </c>
      <c r="C157" s="1043" t="str">
        <f>Marktnahe_Bilanz!$B$1</f>
        <v>Marktnahe Gliederung der Aktiven und Passiven</v>
      </c>
      <c r="D157" s="1058" t="str">
        <f>Marktnahe_Bilanz!$C$33</f>
        <v>Derivative Finanzinstrumente (Guthaben)</v>
      </c>
      <c r="E157" s="1045" t="str">
        <f>Marktnahe_Bilanz!$D36</f>
        <v>dem Geschäft nach UVG zugeordnet</v>
      </c>
      <c r="F157" s="1058" t="str">
        <f>Marktnahe_Bilanz!$G$7</f>
        <v>01.01.2025</v>
      </c>
      <c r="G157" s="1059"/>
      <c r="H157" s="1060">
        <f>Marktnahe_Bilanz!$G36</f>
        <v>0</v>
      </c>
      <c r="U157" s="1027"/>
      <c r="V157" s="1027"/>
      <c r="W157" s="1027"/>
    </row>
    <row r="158" spans="2:23" x14ac:dyDescent="0.2">
      <c r="B158" s="1042"/>
      <c r="C158" s="1043"/>
      <c r="D158" s="1058"/>
      <c r="E158" s="1045"/>
      <c r="F158" s="1058"/>
      <c r="G158" s="1059"/>
      <c r="H158" s="1061"/>
      <c r="U158" s="1027"/>
      <c r="V158" s="1027"/>
      <c r="W158" s="1027"/>
    </row>
    <row r="159" spans="2:23" ht="25.5" x14ac:dyDescent="0.2">
      <c r="B159" s="1042">
        <f>Marktnahe_Bilanz!$A$1</f>
        <v>7</v>
      </c>
      <c r="C159" s="1043" t="str">
        <f>Marktnahe_Bilanz!$B$1</f>
        <v>Marktnahe Gliederung der Aktiven und Passiven</v>
      </c>
      <c r="D159" s="1058" t="str">
        <f>Marktnahe_Bilanz!$C$38</f>
        <v>Liquide Mittel</v>
      </c>
      <c r="E159" s="1045"/>
      <c r="F159" s="1058" t="str">
        <f>Marktnahe_Bilanz!$G$7</f>
        <v>01.01.2025</v>
      </c>
      <c r="G159" s="1059"/>
      <c r="H159" s="1062">
        <f>Marktnahe_Bilanz!$G38</f>
        <v>0</v>
      </c>
      <c r="U159" s="1027"/>
      <c r="V159" s="1027"/>
      <c r="W159" s="1027"/>
    </row>
    <row r="160" spans="2:23" ht="25.5" x14ac:dyDescent="0.2">
      <c r="B160" s="1042">
        <f>Marktnahe_Bilanz!$A$1</f>
        <v>7</v>
      </c>
      <c r="C160" s="1043" t="str">
        <f>Marktnahe_Bilanz!$B$1</f>
        <v>Marktnahe Gliederung der Aktiven und Passiven</v>
      </c>
      <c r="D160" s="1058" t="str">
        <f>Marktnahe_Bilanz!$C$38</f>
        <v>Liquide Mittel</v>
      </c>
      <c r="E160" s="1045" t="str">
        <f>Marktnahe_Bilanz!$D39</f>
        <v>dem Geschäft nach KVG zugeordnet</v>
      </c>
      <c r="F160" s="1058" t="str">
        <f>Marktnahe_Bilanz!$G$7</f>
        <v>01.01.2025</v>
      </c>
      <c r="G160" s="1059"/>
      <c r="H160" s="1060">
        <f>Marktnahe_Bilanz!$G39</f>
        <v>0</v>
      </c>
      <c r="U160" s="1027"/>
      <c r="V160" s="1027"/>
      <c r="W160" s="1027"/>
    </row>
    <row r="161" spans="2:23" ht="25.5" x14ac:dyDescent="0.2">
      <c r="B161" s="1042">
        <f>Marktnahe_Bilanz!$A$1</f>
        <v>7</v>
      </c>
      <c r="C161" s="1043" t="str">
        <f>Marktnahe_Bilanz!$B$1</f>
        <v>Marktnahe Gliederung der Aktiven und Passiven</v>
      </c>
      <c r="D161" s="1058" t="str">
        <f>Marktnahe_Bilanz!$C$38</f>
        <v>Liquide Mittel</v>
      </c>
      <c r="E161" s="1045" t="str">
        <f>Marktnahe_Bilanz!$D40</f>
        <v>dem Geschäft nach VVG zugeordnet</v>
      </c>
      <c r="F161" s="1058" t="str">
        <f>Marktnahe_Bilanz!$G$7</f>
        <v>01.01.2025</v>
      </c>
      <c r="G161" s="1059"/>
      <c r="H161" s="1060">
        <f>Marktnahe_Bilanz!$G40</f>
        <v>0</v>
      </c>
      <c r="U161" s="1027"/>
      <c r="V161" s="1027"/>
      <c r="W161" s="1027"/>
    </row>
    <row r="162" spans="2:23" s="1064" customFormat="1" ht="25.5" x14ac:dyDescent="0.2">
      <c r="B162" s="1042">
        <f>Marktnahe_Bilanz!$A$1</f>
        <v>7</v>
      </c>
      <c r="C162" s="1043" t="str">
        <f>Marktnahe_Bilanz!$B$1</f>
        <v>Marktnahe Gliederung der Aktiven und Passiven</v>
      </c>
      <c r="D162" s="1058" t="str">
        <f>Marktnahe_Bilanz!$C$38</f>
        <v>Liquide Mittel</v>
      </c>
      <c r="E162" s="1045" t="str">
        <f>Marktnahe_Bilanz!$D41</f>
        <v>dem Geschäft nach UVG zugeordnet</v>
      </c>
      <c r="F162" s="1058" t="str">
        <f>Marktnahe_Bilanz!$G$7</f>
        <v>01.01.2025</v>
      </c>
      <c r="G162" s="1059"/>
      <c r="H162" s="1060">
        <f>Marktnahe_Bilanz!$G41</f>
        <v>0</v>
      </c>
      <c r="I162" s="1063"/>
      <c r="J162" s="1063"/>
      <c r="K162" s="1063"/>
      <c r="L162" s="1063"/>
      <c r="M162" s="1063"/>
      <c r="N162" s="1063"/>
      <c r="O162" s="1063"/>
      <c r="P162" s="1063"/>
      <c r="Q162" s="1063"/>
      <c r="R162" s="1063"/>
      <c r="S162" s="1063"/>
      <c r="T162" s="1063"/>
      <c r="U162" s="1063"/>
      <c r="V162" s="1063"/>
      <c r="W162" s="1063"/>
    </row>
    <row r="163" spans="2:23" s="1064" customFormat="1" x14ac:dyDescent="0.2">
      <c r="B163" s="1042"/>
      <c r="C163" s="1043"/>
      <c r="D163" s="1058"/>
      <c r="E163" s="1045"/>
      <c r="F163" s="1058"/>
      <c r="G163" s="1059"/>
      <c r="H163" s="1061"/>
      <c r="I163" s="1063"/>
      <c r="J163" s="1063"/>
      <c r="K163" s="1063"/>
      <c r="L163" s="1063"/>
      <c r="M163" s="1063"/>
      <c r="N163" s="1063"/>
      <c r="O163" s="1063"/>
      <c r="P163" s="1063"/>
      <c r="Q163" s="1063"/>
      <c r="R163" s="1063"/>
      <c r="S163" s="1063"/>
      <c r="T163" s="1063"/>
      <c r="U163" s="1063"/>
      <c r="V163" s="1063"/>
      <c r="W163" s="1063"/>
    </row>
    <row r="164" spans="2:23" ht="12.75" customHeight="1" x14ac:dyDescent="0.2">
      <c r="B164" s="1042">
        <f>Marktnahe_Bilanz!$A$1</f>
        <v>7</v>
      </c>
      <c r="C164" s="1043" t="str">
        <f>Marktnahe_Bilanz!$B$1</f>
        <v>Marktnahe Gliederung der Aktiven und Passiven</v>
      </c>
      <c r="D164" s="1058" t="str">
        <f>Marktnahe_Bilanz!$C$43</f>
        <v>Anlagen in Institutionen, die der Durchführung der sozialen Krankenversicherung dienen</v>
      </c>
      <c r="E164" s="1045"/>
      <c r="F164" s="1058" t="str">
        <f>Marktnahe_Bilanz!$G$7</f>
        <v>01.01.2025</v>
      </c>
      <c r="G164" s="1059"/>
      <c r="H164" s="1062">
        <f>Marktnahe_Bilanz!$G43</f>
        <v>0</v>
      </c>
      <c r="U164" s="1027"/>
      <c r="V164" s="1027"/>
      <c r="W164" s="1027"/>
    </row>
    <row r="165" spans="2:23" ht="12.75" customHeight="1" x14ac:dyDescent="0.2">
      <c r="B165" s="1042">
        <f>Marktnahe_Bilanz!$A$1</f>
        <v>7</v>
      </c>
      <c r="C165" s="1043" t="str">
        <f>Marktnahe_Bilanz!$B$1</f>
        <v>Marktnahe Gliederung der Aktiven und Passiven</v>
      </c>
      <c r="D165" s="1058" t="str">
        <f>Marktnahe_Bilanz!$C$43</f>
        <v>Anlagen in Institutionen, die der Durchführung der sozialen Krankenversicherung dienen</v>
      </c>
      <c r="E165" s="1045" t="str">
        <f>Marktnahe_Bilanz!$D44</f>
        <v>dem Geschäft nach KVG zugeordnet</v>
      </c>
      <c r="F165" s="1058" t="str">
        <f>Marktnahe_Bilanz!$G$7</f>
        <v>01.01.2025</v>
      </c>
      <c r="G165" s="1059"/>
      <c r="H165" s="1060">
        <f>Marktnahe_Bilanz!$G44</f>
        <v>0</v>
      </c>
      <c r="U165" s="1027"/>
      <c r="V165" s="1027"/>
      <c r="W165" s="1027"/>
    </row>
    <row r="166" spans="2:23" ht="12.75" customHeight="1" x14ac:dyDescent="0.2">
      <c r="B166" s="1042">
        <f>Marktnahe_Bilanz!$A$1</f>
        <v>7</v>
      </c>
      <c r="C166" s="1043" t="str">
        <f>Marktnahe_Bilanz!$B$1</f>
        <v>Marktnahe Gliederung der Aktiven und Passiven</v>
      </c>
      <c r="D166" s="1058" t="str">
        <f>Marktnahe_Bilanz!$C$43</f>
        <v>Anlagen in Institutionen, die der Durchführung der sozialen Krankenversicherung dienen</v>
      </c>
      <c r="E166" s="1045" t="str">
        <f>Marktnahe_Bilanz!$D45</f>
        <v>dem Geschäft nach VVG zugeordnet</v>
      </c>
      <c r="F166" s="1058" t="str">
        <f>Marktnahe_Bilanz!$G$7</f>
        <v>01.01.2025</v>
      </c>
      <c r="G166" s="1059"/>
      <c r="H166" s="1060">
        <f>Marktnahe_Bilanz!$G45</f>
        <v>0</v>
      </c>
      <c r="U166" s="1027"/>
      <c r="V166" s="1027"/>
      <c r="W166" s="1027"/>
    </row>
    <row r="167" spans="2:23" ht="12.75" customHeight="1" x14ac:dyDescent="0.2">
      <c r="B167" s="1042">
        <f>Marktnahe_Bilanz!$A$1</f>
        <v>7</v>
      </c>
      <c r="C167" s="1043" t="str">
        <f>Marktnahe_Bilanz!$B$1</f>
        <v>Marktnahe Gliederung der Aktiven und Passiven</v>
      </c>
      <c r="D167" s="1058" t="str">
        <f>Marktnahe_Bilanz!$C$43</f>
        <v>Anlagen in Institutionen, die der Durchführung der sozialen Krankenversicherung dienen</v>
      </c>
      <c r="E167" s="1045" t="str">
        <f>Marktnahe_Bilanz!$D46</f>
        <v>dem Geschäft nach UVG zugeordnet</v>
      </c>
      <c r="F167" s="1058" t="str">
        <f>Marktnahe_Bilanz!$G$7</f>
        <v>01.01.2025</v>
      </c>
      <c r="G167" s="1059"/>
      <c r="H167" s="1060">
        <f>Marktnahe_Bilanz!$G46</f>
        <v>0</v>
      </c>
      <c r="U167" s="1027"/>
      <c r="V167" s="1027"/>
      <c r="W167" s="1027"/>
    </row>
    <row r="168" spans="2:23" s="1064" customFormat="1" x14ac:dyDescent="0.2">
      <c r="B168" s="1042"/>
      <c r="C168" s="1043"/>
      <c r="D168" s="1058"/>
      <c r="E168" s="1045"/>
      <c r="F168" s="1058"/>
      <c r="G168" s="1059"/>
      <c r="H168" s="1061"/>
      <c r="I168" s="1063"/>
      <c r="J168" s="1063"/>
      <c r="K168" s="1063"/>
      <c r="L168" s="1063"/>
      <c r="M168" s="1063"/>
      <c r="N168" s="1063"/>
      <c r="O168" s="1063"/>
      <c r="P168" s="1063"/>
      <c r="Q168" s="1063"/>
      <c r="R168" s="1063"/>
      <c r="S168" s="1063"/>
      <c r="T168" s="1063"/>
      <c r="U168" s="1063"/>
      <c r="V168" s="1063"/>
      <c r="W168" s="1063"/>
    </row>
    <row r="169" spans="2:23" ht="12.75" customHeight="1" x14ac:dyDescent="0.2">
      <c r="B169" s="1042">
        <f>Marktnahe_Bilanz!$A$1</f>
        <v>7</v>
      </c>
      <c r="C169" s="1043" t="str">
        <f>Marktnahe_Bilanz!$B$1</f>
        <v>Marktnahe Gliederung der Aktiven und Passiven</v>
      </c>
      <c r="D169" s="1058" t="str">
        <f>Marktnahe_Bilanz!$C$48</f>
        <v>Übrige Kapitalanlagen (Latente Steuern, Aktiven aus Vorsorgeplänen)</v>
      </c>
      <c r="E169" s="1045"/>
      <c r="F169" s="1058" t="str">
        <f>Marktnahe_Bilanz!$G$7</f>
        <v>01.01.2025</v>
      </c>
      <c r="G169" s="1059"/>
      <c r="H169" s="1062">
        <f>Marktnahe_Bilanz!$G48</f>
        <v>0</v>
      </c>
      <c r="U169" s="1027"/>
      <c r="V169" s="1027"/>
      <c r="W169" s="1027"/>
    </row>
    <row r="170" spans="2:23" ht="12.75" customHeight="1" x14ac:dyDescent="0.2">
      <c r="B170" s="1042">
        <f>Marktnahe_Bilanz!$A$1</f>
        <v>7</v>
      </c>
      <c r="C170" s="1043" t="str">
        <f>Marktnahe_Bilanz!$B$1</f>
        <v>Marktnahe Gliederung der Aktiven und Passiven</v>
      </c>
      <c r="D170" s="1058" t="str">
        <f>Marktnahe_Bilanz!$C$48</f>
        <v>Übrige Kapitalanlagen (Latente Steuern, Aktiven aus Vorsorgeplänen)</v>
      </c>
      <c r="E170" s="1045" t="str">
        <f>Marktnahe_Bilanz!$D49</f>
        <v>dem Geschäft nach KVG zugeordnet</v>
      </c>
      <c r="F170" s="1058" t="str">
        <f>Marktnahe_Bilanz!$G$7</f>
        <v>01.01.2025</v>
      </c>
      <c r="G170" s="1059"/>
      <c r="H170" s="1060">
        <f>Marktnahe_Bilanz!$G49</f>
        <v>0</v>
      </c>
      <c r="U170" s="1027"/>
      <c r="V170" s="1027"/>
      <c r="W170" s="1027"/>
    </row>
    <row r="171" spans="2:23" ht="12.75" customHeight="1" x14ac:dyDescent="0.2">
      <c r="B171" s="1042">
        <f>Marktnahe_Bilanz!$A$1</f>
        <v>7</v>
      </c>
      <c r="C171" s="1043" t="str">
        <f>Marktnahe_Bilanz!$B$1</f>
        <v>Marktnahe Gliederung der Aktiven und Passiven</v>
      </c>
      <c r="D171" s="1058" t="str">
        <f>Marktnahe_Bilanz!$C$48</f>
        <v>Übrige Kapitalanlagen (Latente Steuern, Aktiven aus Vorsorgeplänen)</v>
      </c>
      <c r="E171" s="1045" t="str">
        <f>Marktnahe_Bilanz!$D50</f>
        <v>dem Geschäft nach VVG zugeordnet</v>
      </c>
      <c r="F171" s="1058" t="str">
        <f>Marktnahe_Bilanz!$G$7</f>
        <v>01.01.2025</v>
      </c>
      <c r="G171" s="1059"/>
      <c r="H171" s="1060">
        <f>Marktnahe_Bilanz!$G50</f>
        <v>0</v>
      </c>
      <c r="U171" s="1027"/>
      <c r="V171" s="1027"/>
      <c r="W171" s="1027"/>
    </row>
    <row r="172" spans="2:23" ht="12.75" customHeight="1" x14ac:dyDescent="0.2">
      <c r="B172" s="1042">
        <f>Marktnahe_Bilanz!$A$1</f>
        <v>7</v>
      </c>
      <c r="C172" s="1043" t="str">
        <f>Marktnahe_Bilanz!$B$1</f>
        <v>Marktnahe Gliederung der Aktiven und Passiven</v>
      </c>
      <c r="D172" s="1058" t="str">
        <f>Marktnahe_Bilanz!$C$48</f>
        <v>Übrige Kapitalanlagen (Latente Steuern, Aktiven aus Vorsorgeplänen)</v>
      </c>
      <c r="E172" s="1045" t="str">
        <f>Marktnahe_Bilanz!$D51</f>
        <v>dem Geschäft nach UVG zugeordnet</v>
      </c>
      <c r="F172" s="1058" t="str">
        <f>Marktnahe_Bilanz!$G$7</f>
        <v>01.01.2025</v>
      </c>
      <c r="G172" s="1059"/>
      <c r="H172" s="1060">
        <f>Marktnahe_Bilanz!$G51</f>
        <v>0</v>
      </c>
      <c r="U172" s="1027"/>
      <c r="V172" s="1027"/>
      <c r="W172" s="1027"/>
    </row>
    <row r="173" spans="2:23" s="1064" customFormat="1" x14ac:dyDescent="0.2">
      <c r="B173" s="1042"/>
      <c r="C173" s="1043"/>
      <c r="D173" s="1058"/>
      <c r="E173" s="1045"/>
      <c r="F173" s="1058"/>
      <c r="G173" s="1059"/>
      <c r="H173" s="1061"/>
      <c r="I173" s="1063"/>
      <c r="J173" s="1063"/>
      <c r="K173" s="1063"/>
      <c r="L173" s="1063"/>
      <c r="M173" s="1063"/>
      <c r="N173" s="1063"/>
      <c r="O173" s="1063"/>
      <c r="P173" s="1063"/>
      <c r="Q173" s="1063"/>
      <c r="R173" s="1063"/>
      <c r="S173" s="1063"/>
      <c r="T173" s="1063"/>
      <c r="U173" s="1063"/>
      <c r="V173" s="1063"/>
      <c r="W173" s="1063"/>
    </row>
    <row r="174" spans="2:23" s="1064" customFormat="1" ht="25.5" x14ac:dyDescent="0.2">
      <c r="B174" s="1042">
        <f>Marktnahe_Bilanz!$A$1</f>
        <v>7</v>
      </c>
      <c r="C174" s="1043" t="str">
        <f>Marktnahe_Bilanz!$B$1</f>
        <v>Marktnahe Gliederung der Aktiven und Passiven</v>
      </c>
      <c r="D174" s="1058" t="str">
        <f>Marktnahe_Bilanz!$C$53</f>
        <v>Total Kapitalanlagen</v>
      </c>
      <c r="E174" s="1045"/>
      <c r="F174" s="1058" t="str">
        <f>Marktnahe_Bilanz!$G$7</f>
        <v>01.01.2025</v>
      </c>
      <c r="G174" s="1059"/>
      <c r="H174" s="1065">
        <f>Marktnahe_Bilanz!$G53</f>
        <v>0</v>
      </c>
      <c r="I174" s="1063"/>
      <c r="J174" s="1063"/>
      <c r="K174" s="1063"/>
      <c r="L174" s="1063"/>
      <c r="M174" s="1063"/>
      <c r="N174" s="1063"/>
      <c r="O174" s="1063"/>
      <c r="P174" s="1063"/>
      <c r="Q174" s="1063"/>
      <c r="R174" s="1063"/>
      <c r="S174" s="1063"/>
      <c r="T174" s="1063"/>
      <c r="U174" s="1063"/>
      <c r="V174" s="1063"/>
      <c r="W174" s="1063"/>
    </row>
    <row r="175" spans="2:23" s="1064" customFormat="1" x14ac:dyDescent="0.2">
      <c r="B175" s="1042"/>
      <c r="C175" s="1043"/>
      <c r="D175" s="1058"/>
      <c r="E175" s="1045"/>
      <c r="F175" s="1058"/>
      <c r="G175" s="1059"/>
      <c r="H175" s="1061"/>
      <c r="I175" s="1063"/>
      <c r="J175" s="1063"/>
      <c r="K175" s="1063"/>
      <c r="L175" s="1063"/>
      <c r="M175" s="1063"/>
      <c r="N175" s="1063"/>
      <c r="O175" s="1063"/>
      <c r="P175" s="1063"/>
      <c r="Q175" s="1063"/>
      <c r="R175" s="1063"/>
      <c r="S175" s="1063"/>
      <c r="T175" s="1063"/>
      <c r="U175" s="1063"/>
      <c r="V175" s="1063"/>
      <c r="W175" s="1063"/>
    </row>
    <row r="176" spans="2:23" ht="12.75" customHeight="1" x14ac:dyDescent="0.2">
      <c r="B176" s="1042">
        <f>Marktnahe_Bilanz!$A$1</f>
        <v>7</v>
      </c>
      <c r="C176" s="1043" t="str">
        <f>Marktnahe_Bilanz!$B$1</f>
        <v>Marktnahe Gliederung der Aktiven und Passiven</v>
      </c>
      <c r="D176" s="1058" t="str">
        <f>Marktnahe_Bilanz!$C$57</f>
        <v>Übriges Anlagevermögen (Immaterielle Anlagen, Sachanlagen)</v>
      </c>
      <c r="E176" s="1045"/>
      <c r="F176" s="1058" t="str">
        <f>Marktnahe_Bilanz!$G$7</f>
        <v>01.01.2025</v>
      </c>
      <c r="G176" s="1059"/>
      <c r="H176" s="1062">
        <f>Marktnahe_Bilanz!$G57</f>
        <v>0</v>
      </c>
      <c r="U176" s="1027"/>
      <c r="V176" s="1027"/>
      <c r="W176" s="1027"/>
    </row>
    <row r="177" spans="2:23" ht="12.75" customHeight="1" x14ac:dyDescent="0.2">
      <c r="B177" s="1042">
        <f>Marktnahe_Bilanz!$A$1</f>
        <v>7</v>
      </c>
      <c r="C177" s="1043" t="str">
        <f>Marktnahe_Bilanz!$B$1</f>
        <v>Marktnahe Gliederung der Aktiven und Passiven</v>
      </c>
      <c r="D177" s="1058" t="str">
        <f>Marktnahe_Bilanz!$C$57</f>
        <v>Übriges Anlagevermögen (Immaterielle Anlagen, Sachanlagen)</v>
      </c>
      <c r="E177" s="1045" t="str">
        <f>Marktnahe_Bilanz!$D58</f>
        <v>dem Geschäft nach KVG zugeordnet</v>
      </c>
      <c r="F177" s="1058" t="str">
        <f>Marktnahe_Bilanz!$G$7</f>
        <v>01.01.2025</v>
      </c>
      <c r="G177" s="1059"/>
      <c r="H177" s="1060">
        <f>Marktnahe_Bilanz!$G58</f>
        <v>0</v>
      </c>
      <c r="U177" s="1027"/>
      <c r="V177" s="1027"/>
      <c r="W177" s="1027"/>
    </row>
    <row r="178" spans="2:23" ht="12.75" customHeight="1" x14ac:dyDescent="0.2">
      <c r="B178" s="1042">
        <f>Marktnahe_Bilanz!$A$1</f>
        <v>7</v>
      </c>
      <c r="C178" s="1043" t="str">
        <f>Marktnahe_Bilanz!$B$1</f>
        <v>Marktnahe Gliederung der Aktiven und Passiven</v>
      </c>
      <c r="D178" s="1058" t="str">
        <f>Marktnahe_Bilanz!$C$57</f>
        <v>Übriges Anlagevermögen (Immaterielle Anlagen, Sachanlagen)</v>
      </c>
      <c r="E178" s="1045" t="str">
        <f>Marktnahe_Bilanz!$D59</f>
        <v>dem Geschäft nach VVG zugeordnet</v>
      </c>
      <c r="F178" s="1058" t="str">
        <f>Marktnahe_Bilanz!$G$7</f>
        <v>01.01.2025</v>
      </c>
      <c r="G178" s="1059"/>
      <c r="H178" s="1060">
        <f>Marktnahe_Bilanz!$G59</f>
        <v>0</v>
      </c>
      <c r="U178" s="1027"/>
      <c r="V178" s="1027"/>
      <c r="W178" s="1027"/>
    </row>
    <row r="179" spans="2:23" ht="12.75" customHeight="1" x14ac:dyDescent="0.2">
      <c r="B179" s="1042">
        <f>Marktnahe_Bilanz!$A$1</f>
        <v>7</v>
      </c>
      <c r="C179" s="1043" t="str">
        <f>Marktnahe_Bilanz!$B$1</f>
        <v>Marktnahe Gliederung der Aktiven und Passiven</v>
      </c>
      <c r="D179" s="1058" t="str">
        <f>Marktnahe_Bilanz!$C$57</f>
        <v>Übriges Anlagevermögen (Immaterielle Anlagen, Sachanlagen)</v>
      </c>
      <c r="E179" s="1045" t="str">
        <f>Marktnahe_Bilanz!$D60</f>
        <v>dem Geschäft nach UVG zugeordnet</v>
      </c>
      <c r="F179" s="1058" t="str">
        <f>Marktnahe_Bilanz!$G$7</f>
        <v>01.01.2025</v>
      </c>
      <c r="G179" s="1059"/>
      <c r="H179" s="1060">
        <f>Marktnahe_Bilanz!$G60</f>
        <v>0</v>
      </c>
      <c r="U179" s="1027"/>
      <c r="V179" s="1027"/>
      <c r="W179" s="1027"/>
    </row>
    <row r="180" spans="2:23" x14ac:dyDescent="0.2">
      <c r="B180" s="1042"/>
      <c r="C180" s="1043"/>
      <c r="D180" s="1058"/>
      <c r="E180" s="1045"/>
      <c r="F180" s="1058"/>
      <c r="G180" s="1059"/>
      <c r="H180" s="1061"/>
      <c r="U180" s="1027"/>
      <c r="V180" s="1027"/>
      <c r="W180" s="1027"/>
    </row>
    <row r="181" spans="2:23" ht="25.5" x14ac:dyDescent="0.2">
      <c r="B181" s="1042">
        <f>Marktnahe_Bilanz!$A$1</f>
        <v>7</v>
      </c>
      <c r="C181" s="1043" t="str">
        <f>Marktnahe_Bilanz!$B$1</f>
        <v>Marktnahe Gliederung der Aktiven und Passiven</v>
      </c>
      <c r="D181" s="1058" t="str">
        <f>Marktnahe_Bilanz!$C$62</f>
        <v>Umlaufvermögen</v>
      </c>
      <c r="E181" s="1045"/>
      <c r="F181" s="1058" t="str">
        <f>Marktnahe_Bilanz!$G$7</f>
        <v>01.01.2025</v>
      </c>
      <c r="G181" s="1059"/>
      <c r="H181" s="1062">
        <f>Marktnahe_Bilanz!$G62</f>
        <v>0</v>
      </c>
      <c r="U181" s="1027"/>
      <c r="V181" s="1027"/>
      <c r="W181" s="1027"/>
    </row>
    <row r="182" spans="2:23" ht="12.75" customHeight="1" x14ac:dyDescent="0.2">
      <c r="B182" s="1042">
        <f>Marktnahe_Bilanz!$A$1</f>
        <v>7</v>
      </c>
      <c r="C182" s="1043" t="str">
        <f>Marktnahe_Bilanz!$B$1</f>
        <v>Marktnahe Gliederung der Aktiven und Passiven</v>
      </c>
      <c r="D182" s="1058" t="str">
        <f>Marktnahe_Bilanz!$C$62</f>
        <v>Umlaufvermögen</v>
      </c>
      <c r="E182" s="1045" t="str">
        <f>Marktnahe_Bilanz!$D63</f>
        <v>dem Geschäft nach KVG zugeordnet</v>
      </c>
      <c r="F182" s="1058" t="str">
        <f>Marktnahe_Bilanz!$G$7</f>
        <v>01.01.2025</v>
      </c>
      <c r="G182" s="1059"/>
      <c r="H182" s="1060">
        <f>Marktnahe_Bilanz!$G63</f>
        <v>0</v>
      </c>
      <c r="U182" s="1027"/>
      <c r="V182" s="1027"/>
      <c r="W182" s="1027"/>
    </row>
    <row r="183" spans="2:23" ht="12.75" customHeight="1" x14ac:dyDescent="0.2">
      <c r="B183" s="1042">
        <f>Marktnahe_Bilanz!$A$1</f>
        <v>7</v>
      </c>
      <c r="C183" s="1043" t="str">
        <f>Marktnahe_Bilanz!$B$1</f>
        <v>Marktnahe Gliederung der Aktiven und Passiven</v>
      </c>
      <c r="D183" s="1058" t="str">
        <f>Marktnahe_Bilanz!$C$62</f>
        <v>Umlaufvermögen</v>
      </c>
      <c r="E183" s="1045" t="str">
        <f>Marktnahe_Bilanz!$D64</f>
        <v>dem Geschäft nach VVG zugeordnet</v>
      </c>
      <c r="F183" s="1058" t="str">
        <f>Marktnahe_Bilanz!$G$7</f>
        <v>01.01.2025</v>
      </c>
      <c r="G183" s="1059"/>
      <c r="H183" s="1060">
        <f>Marktnahe_Bilanz!$G64</f>
        <v>0</v>
      </c>
      <c r="U183" s="1027"/>
      <c r="V183" s="1027"/>
      <c r="W183" s="1027"/>
    </row>
    <row r="184" spans="2:23" ht="12.75" customHeight="1" x14ac:dyDescent="0.2">
      <c r="B184" s="1042">
        <f>Marktnahe_Bilanz!$A$1</f>
        <v>7</v>
      </c>
      <c r="C184" s="1043" t="str">
        <f>Marktnahe_Bilanz!$B$1</f>
        <v>Marktnahe Gliederung der Aktiven und Passiven</v>
      </c>
      <c r="D184" s="1058" t="str">
        <f>Marktnahe_Bilanz!$C$62</f>
        <v>Umlaufvermögen</v>
      </c>
      <c r="E184" s="1045" t="str">
        <f>Marktnahe_Bilanz!$D65</f>
        <v>dem Geschäft nach UVG zugeordnet</v>
      </c>
      <c r="F184" s="1058" t="str">
        <f>Marktnahe_Bilanz!$G$7</f>
        <v>01.01.2025</v>
      </c>
      <c r="G184" s="1059"/>
      <c r="H184" s="1060">
        <f>Marktnahe_Bilanz!$G65</f>
        <v>0</v>
      </c>
      <c r="U184" s="1027"/>
      <c r="V184" s="1027"/>
      <c r="W184" s="1027"/>
    </row>
    <row r="185" spans="2:23" x14ac:dyDescent="0.2">
      <c r="B185" s="1042"/>
      <c r="C185" s="1043"/>
      <c r="D185" s="1058"/>
      <c r="E185" s="1045"/>
      <c r="F185" s="1058"/>
      <c r="G185" s="1059"/>
      <c r="H185" s="1061"/>
      <c r="U185" s="1027"/>
      <c r="V185" s="1027"/>
      <c r="W185" s="1027"/>
    </row>
    <row r="186" spans="2:23" ht="25.5" x14ac:dyDescent="0.2">
      <c r="B186" s="1042">
        <f>Marktnahe_Bilanz!$A$1</f>
        <v>7</v>
      </c>
      <c r="C186" s="1043" t="str">
        <f>Marktnahe_Bilanz!$B$1</f>
        <v>Marktnahe Gliederung der Aktiven und Passiven</v>
      </c>
      <c r="D186" s="1058" t="str">
        <f>Marktnahe_Bilanz!$C$67</f>
        <v>Total übrige Aktiven</v>
      </c>
      <c r="E186" s="1045"/>
      <c r="F186" s="1058" t="str">
        <f>Marktnahe_Bilanz!$G$7</f>
        <v>01.01.2025</v>
      </c>
      <c r="G186" s="1059"/>
      <c r="H186" s="1065">
        <f>Marktnahe_Bilanz!$G67</f>
        <v>0</v>
      </c>
      <c r="U186" s="1027"/>
      <c r="V186" s="1027"/>
      <c r="W186" s="1027"/>
    </row>
    <row r="187" spans="2:23" x14ac:dyDescent="0.2">
      <c r="B187" s="1042"/>
      <c r="C187" s="1043"/>
      <c r="D187" s="1058"/>
      <c r="E187" s="1045"/>
      <c r="F187" s="1058"/>
      <c r="G187" s="1059"/>
      <c r="H187" s="1066"/>
      <c r="U187" s="1027"/>
      <c r="V187" s="1027"/>
      <c r="W187" s="1027"/>
    </row>
    <row r="188" spans="2:23" ht="25.5" x14ac:dyDescent="0.2">
      <c r="B188" s="1042">
        <f>Marktnahe_Bilanz!$A$1</f>
        <v>7</v>
      </c>
      <c r="C188" s="1067" t="str">
        <f>Marktnahe_Bilanz!$B$1</f>
        <v>Marktnahe Gliederung der Aktiven und Passiven</v>
      </c>
      <c r="D188" s="1058" t="str">
        <f>Marktnahe_Bilanz!$B$69</f>
        <v>Total Aktiven</v>
      </c>
      <c r="E188" s="1045"/>
      <c r="F188" s="1058" t="str">
        <f>Marktnahe_Bilanz!$G$7</f>
        <v>01.01.2025</v>
      </c>
      <c r="G188" s="1059"/>
      <c r="H188" s="1065">
        <f>Marktnahe_Bilanz!$G69</f>
        <v>0</v>
      </c>
      <c r="U188" s="1027"/>
      <c r="V188" s="1027"/>
      <c r="W188" s="1027"/>
    </row>
    <row r="189" spans="2:23" x14ac:dyDescent="0.2">
      <c r="B189" s="1042"/>
      <c r="C189" s="1043"/>
      <c r="D189" s="1058"/>
      <c r="E189" s="1045"/>
      <c r="F189" s="1058"/>
      <c r="G189" s="1059"/>
      <c r="H189" s="1068"/>
      <c r="U189" s="1027"/>
      <c r="V189" s="1027"/>
      <c r="W189" s="1027"/>
    </row>
    <row r="190" spans="2:23" x14ac:dyDescent="0.2">
      <c r="B190" s="1042"/>
      <c r="C190" s="1043"/>
      <c r="D190" s="1058"/>
      <c r="E190" s="1045"/>
      <c r="F190" s="1058"/>
      <c r="G190" s="1059"/>
      <c r="H190" s="1061"/>
      <c r="U190" s="1027"/>
      <c r="V190" s="1027"/>
      <c r="W190" s="1027"/>
    </row>
    <row r="191" spans="2:23" ht="25.5" x14ac:dyDescent="0.2">
      <c r="B191" s="1042">
        <f>Marktnahe_Bilanz!$A$1</f>
        <v>7</v>
      </c>
      <c r="C191" s="1043" t="str">
        <f>Marktnahe_Bilanz!$B$1</f>
        <v>Marktnahe Gliederung der Aktiven und Passiven</v>
      </c>
      <c r="D191" s="1058" t="str">
        <f>Marktnahe_Bilanz!$C$74</f>
        <v>Leistungsrückstellungen</v>
      </c>
      <c r="E191" s="1045"/>
      <c r="F191" s="1058" t="str">
        <f>Marktnahe_Bilanz!$G$7</f>
        <v>01.01.2025</v>
      </c>
      <c r="G191" s="1059"/>
      <c r="H191" s="1069">
        <f>Marktnahe_Bilanz!$G74</f>
        <v>0</v>
      </c>
      <c r="U191" s="1027"/>
      <c r="V191" s="1027"/>
      <c r="W191" s="1027"/>
    </row>
    <row r="192" spans="2:23" ht="12.75" customHeight="1" x14ac:dyDescent="0.2">
      <c r="B192" s="1042">
        <f>Marktnahe_Bilanz!$A$1</f>
        <v>7</v>
      </c>
      <c r="C192" s="1043" t="str">
        <f>Marktnahe_Bilanz!$B$1</f>
        <v>Marktnahe Gliederung der Aktiven und Passiven</v>
      </c>
      <c r="D192" s="1058" t="str">
        <f>Marktnahe_Bilanz!$C$74</f>
        <v>Leistungsrückstellungen</v>
      </c>
      <c r="E192" s="1045" t="str">
        <f>Marktnahe_Bilanz!$D75</f>
        <v>Obligatorische Krankenpflegeversicherung</v>
      </c>
      <c r="F192" s="1058" t="str">
        <f>Marktnahe_Bilanz!$G$7</f>
        <v>01.01.2025</v>
      </c>
      <c r="G192" s="1059"/>
      <c r="H192" s="1060">
        <f>Marktnahe_Bilanz!$G75</f>
        <v>0</v>
      </c>
      <c r="U192" s="1027"/>
      <c r="V192" s="1027"/>
      <c r="W192" s="1027"/>
    </row>
    <row r="193" spans="2:23" ht="12.75" customHeight="1" x14ac:dyDescent="0.2">
      <c r="B193" s="1042">
        <f>Marktnahe_Bilanz!$A$1</f>
        <v>7</v>
      </c>
      <c r="C193" s="1043" t="str">
        <f>Marktnahe_Bilanz!$B$1</f>
        <v>Marktnahe Gliederung der Aktiven und Passiven</v>
      </c>
      <c r="D193" s="1058" t="str">
        <f>Marktnahe_Bilanz!$C$74</f>
        <v>Leistungsrückstellungen</v>
      </c>
      <c r="E193" s="1045" t="str">
        <f>Marktnahe_Bilanz!$D76</f>
        <v>Einzel-Taggeldversicherung nach KVG</v>
      </c>
      <c r="F193" s="1058" t="str">
        <f>Marktnahe_Bilanz!$G$7</f>
        <v>01.01.2025</v>
      </c>
      <c r="G193" s="1059"/>
      <c r="H193" s="1060">
        <f>Marktnahe_Bilanz!$G76</f>
        <v>0</v>
      </c>
      <c r="U193" s="1027"/>
      <c r="V193" s="1027"/>
      <c r="W193" s="1027"/>
    </row>
    <row r="194" spans="2:23" ht="12.75" customHeight="1" x14ac:dyDescent="0.2">
      <c r="B194" s="1042">
        <f>Marktnahe_Bilanz!$A$1</f>
        <v>7</v>
      </c>
      <c r="C194" s="1043" t="str">
        <f>Marktnahe_Bilanz!$B$1</f>
        <v>Marktnahe Gliederung der Aktiven und Passiven</v>
      </c>
      <c r="D194" s="1058" t="str">
        <f>Marktnahe_Bilanz!$C$74</f>
        <v>Leistungsrückstellungen</v>
      </c>
      <c r="E194" s="1045" t="str">
        <f>Marktnahe_Bilanz!$D77</f>
        <v>Kollektiv-Taggeldversicherung nach KVG</v>
      </c>
      <c r="F194" s="1058" t="str">
        <f>Marktnahe_Bilanz!$G$7</f>
        <v>01.01.2025</v>
      </c>
      <c r="G194" s="1059"/>
      <c r="H194" s="1060">
        <f>Marktnahe_Bilanz!$G77</f>
        <v>0</v>
      </c>
      <c r="U194" s="1027"/>
      <c r="V194" s="1027"/>
      <c r="W194" s="1027"/>
    </row>
    <row r="195" spans="2:23" ht="12.75" customHeight="1" x14ac:dyDescent="0.2">
      <c r="B195" s="1042">
        <f>Marktnahe_Bilanz!$A$1</f>
        <v>7</v>
      </c>
      <c r="C195" s="1043" t="str">
        <f>Marktnahe_Bilanz!$B$1</f>
        <v>Marktnahe Gliederung der Aktiven und Passiven</v>
      </c>
      <c r="D195" s="1058" t="str">
        <f>Marktnahe_Bilanz!$C$74</f>
        <v>Leistungsrückstellungen</v>
      </c>
      <c r="E195" s="1045" t="str">
        <f>Marktnahe_Bilanz!$D78</f>
        <v>Aktive Rückversicherung nach KVG</v>
      </c>
      <c r="F195" s="1058" t="str">
        <f>Marktnahe_Bilanz!$G$7</f>
        <v>01.01.2025</v>
      </c>
      <c r="G195" s="1059"/>
      <c r="H195" s="1060">
        <f>Marktnahe_Bilanz!$G78</f>
        <v>0</v>
      </c>
      <c r="U195" s="1027"/>
      <c r="V195" s="1027"/>
      <c r="W195" s="1027"/>
    </row>
    <row r="196" spans="2:23" ht="12.75" customHeight="1" x14ac:dyDescent="0.2">
      <c r="B196" s="1042">
        <f>Marktnahe_Bilanz!$A$1</f>
        <v>7</v>
      </c>
      <c r="C196" s="1043" t="str">
        <f>Marktnahe_Bilanz!$B$1</f>
        <v>Marktnahe Gliederung der Aktiven und Passiven</v>
      </c>
      <c r="D196" s="1058" t="str">
        <f>Marktnahe_Bilanz!$C$74</f>
        <v>Leistungsrückstellungen</v>
      </c>
      <c r="E196" s="1045" t="str">
        <f>Marktnahe_Bilanz!$D79</f>
        <v>dem Geschäft nach VVG zugeordnet</v>
      </c>
      <c r="F196" s="1058" t="str">
        <f>Marktnahe_Bilanz!$G$7</f>
        <v>01.01.2025</v>
      </c>
      <c r="G196" s="1059"/>
      <c r="H196" s="1060">
        <f>Marktnahe_Bilanz!$G79</f>
        <v>0</v>
      </c>
      <c r="U196" s="1027"/>
      <c r="V196" s="1027"/>
      <c r="W196" s="1027"/>
    </row>
    <row r="197" spans="2:23" ht="12.75" customHeight="1" x14ac:dyDescent="0.2">
      <c r="B197" s="1042">
        <f>Marktnahe_Bilanz!$A$1</f>
        <v>7</v>
      </c>
      <c r="C197" s="1043" t="str">
        <f>Marktnahe_Bilanz!$B$1</f>
        <v>Marktnahe Gliederung der Aktiven und Passiven</v>
      </c>
      <c r="D197" s="1058" t="str">
        <f>Marktnahe_Bilanz!$C$74</f>
        <v>Leistungsrückstellungen</v>
      </c>
      <c r="E197" s="1045" t="str">
        <f>Marktnahe_Bilanz!$D80</f>
        <v>dem Geschäft nach UVG zugeordnet</v>
      </c>
      <c r="F197" s="1058" t="str">
        <f>Marktnahe_Bilanz!$G$7</f>
        <v>01.01.2025</v>
      </c>
      <c r="G197" s="1059"/>
      <c r="H197" s="1060">
        <f>Marktnahe_Bilanz!$G80</f>
        <v>0</v>
      </c>
      <c r="U197" s="1027"/>
      <c r="V197" s="1027"/>
      <c r="W197" s="1027"/>
    </row>
    <row r="198" spans="2:23" x14ac:dyDescent="0.2">
      <c r="B198" s="1042"/>
      <c r="C198" s="1043"/>
      <c r="D198" s="1058"/>
      <c r="E198" s="1045"/>
      <c r="F198" s="1058"/>
      <c r="G198" s="1059"/>
      <c r="H198" s="1061"/>
      <c r="U198" s="1027"/>
      <c r="V198" s="1027"/>
      <c r="W198" s="1027"/>
    </row>
    <row r="199" spans="2:23" ht="25.5" x14ac:dyDescent="0.2">
      <c r="B199" s="1042">
        <f>Marktnahe_Bilanz!$A$1</f>
        <v>7</v>
      </c>
      <c r="C199" s="1043" t="str">
        <f>Marktnahe_Bilanz!$B$1</f>
        <v>Marktnahe Gliederung der Aktiven und Passiven</v>
      </c>
      <c r="D199" s="1058" t="str">
        <f>Marktnahe_Bilanz!$C$82</f>
        <v>Alterungsrückstellungen und Deckungskapitalien</v>
      </c>
      <c r="E199" s="1045"/>
      <c r="F199" s="1058" t="str">
        <f>Marktnahe_Bilanz!$G$7</f>
        <v>01.01.2025</v>
      </c>
      <c r="G199" s="1059"/>
      <c r="H199" s="1069">
        <f>Marktnahe_Bilanz!$G82</f>
        <v>0</v>
      </c>
      <c r="U199" s="1027"/>
      <c r="V199" s="1027"/>
      <c r="W199" s="1027"/>
    </row>
    <row r="200" spans="2:23" ht="12.75" customHeight="1" x14ac:dyDescent="0.2">
      <c r="B200" s="1042">
        <f>Marktnahe_Bilanz!$A$1</f>
        <v>7</v>
      </c>
      <c r="C200" s="1043" t="str">
        <f>Marktnahe_Bilanz!$B$1</f>
        <v>Marktnahe Gliederung der Aktiven und Passiven</v>
      </c>
      <c r="D200" s="1058" t="str">
        <f>Marktnahe_Bilanz!$C$82</f>
        <v>Alterungsrückstellungen und Deckungskapitalien</v>
      </c>
      <c r="E200" s="1045" t="str">
        <f>Marktnahe_Bilanz!$D83</f>
        <v>Obligatorische Krankenpflegeversicherung</v>
      </c>
      <c r="F200" s="1058" t="str">
        <f>Marktnahe_Bilanz!$G$7</f>
        <v>01.01.2025</v>
      </c>
      <c r="G200" s="1059"/>
      <c r="H200" s="1060">
        <f>Marktnahe_Bilanz!$G83</f>
        <v>0</v>
      </c>
      <c r="U200" s="1027"/>
      <c r="V200" s="1027"/>
      <c r="W200" s="1027"/>
    </row>
    <row r="201" spans="2:23" ht="12.75" customHeight="1" x14ac:dyDescent="0.2">
      <c r="B201" s="1042">
        <f>Marktnahe_Bilanz!$A$1</f>
        <v>7</v>
      </c>
      <c r="C201" s="1043" t="str">
        <f>Marktnahe_Bilanz!$B$1</f>
        <v>Marktnahe Gliederung der Aktiven und Passiven</v>
      </c>
      <c r="D201" s="1058" t="str">
        <f>Marktnahe_Bilanz!$C$82</f>
        <v>Alterungsrückstellungen und Deckungskapitalien</v>
      </c>
      <c r="E201" s="1045" t="str">
        <f>Marktnahe_Bilanz!$D84</f>
        <v>Einzel-Taggeldversicherung nach KVG</v>
      </c>
      <c r="F201" s="1058" t="str">
        <f>Marktnahe_Bilanz!$G$7</f>
        <v>01.01.2025</v>
      </c>
      <c r="G201" s="1059"/>
      <c r="H201" s="1060">
        <f>Marktnahe_Bilanz!$G84</f>
        <v>0</v>
      </c>
      <c r="U201" s="1027"/>
      <c r="V201" s="1027"/>
      <c r="W201" s="1027"/>
    </row>
    <row r="202" spans="2:23" ht="12.75" customHeight="1" x14ac:dyDescent="0.2">
      <c r="B202" s="1042">
        <f>Marktnahe_Bilanz!$A$1</f>
        <v>7</v>
      </c>
      <c r="C202" s="1043" t="str">
        <f>Marktnahe_Bilanz!$B$1</f>
        <v>Marktnahe Gliederung der Aktiven und Passiven</v>
      </c>
      <c r="D202" s="1058" t="str">
        <f>Marktnahe_Bilanz!$C$82</f>
        <v>Alterungsrückstellungen und Deckungskapitalien</v>
      </c>
      <c r="E202" s="1045" t="str">
        <f>Marktnahe_Bilanz!$D85</f>
        <v>Kollektiv-Taggeldversicherung nach KVG</v>
      </c>
      <c r="F202" s="1058" t="str">
        <f>Marktnahe_Bilanz!$G$7</f>
        <v>01.01.2025</v>
      </c>
      <c r="G202" s="1059"/>
      <c r="H202" s="1060">
        <f>Marktnahe_Bilanz!$G85</f>
        <v>0</v>
      </c>
      <c r="U202" s="1027"/>
      <c r="V202" s="1027"/>
      <c r="W202" s="1027"/>
    </row>
    <row r="203" spans="2:23" ht="12.75" customHeight="1" x14ac:dyDescent="0.2">
      <c r="B203" s="1042">
        <f>Marktnahe_Bilanz!$A$1</f>
        <v>7</v>
      </c>
      <c r="C203" s="1043" t="str">
        <f>Marktnahe_Bilanz!$B$1</f>
        <v>Marktnahe Gliederung der Aktiven und Passiven</v>
      </c>
      <c r="D203" s="1058" t="str">
        <f>Marktnahe_Bilanz!$C$82</f>
        <v>Alterungsrückstellungen und Deckungskapitalien</v>
      </c>
      <c r="E203" s="1045" t="str">
        <f>Marktnahe_Bilanz!$D86</f>
        <v>Aktive Rückversicherung nach KVG</v>
      </c>
      <c r="F203" s="1058" t="str">
        <f>Marktnahe_Bilanz!$G$7</f>
        <v>01.01.2025</v>
      </c>
      <c r="G203" s="1059"/>
      <c r="H203" s="1060">
        <f>Marktnahe_Bilanz!$G86</f>
        <v>0</v>
      </c>
      <c r="U203" s="1027"/>
      <c r="V203" s="1027"/>
      <c r="W203" s="1027"/>
    </row>
    <row r="204" spans="2:23" ht="12.75" customHeight="1" x14ac:dyDescent="0.2">
      <c r="B204" s="1042">
        <f>Marktnahe_Bilanz!$A$1</f>
        <v>7</v>
      </c>
      <c r="C204" s="1043" t="str">
        <f>Marktnahe_Bilanz!$B$1</f>
        <v>Marktnahe Gliederung der Aktiven und Passiven</v>
      </c>
      <c r="D204" s="1058" t="str">
        <f>Marktnahe_Bilanz!$C$82</f>
        <v>Alterungsrückstellungen und Deckungskapitalien</v>
      </c>
      <c r="E204" s="1045" t="str">
        <f>Marktnahe_Bilanz!$D87</f>
        <v>dem Geschäft nach VVG zugeordnet</v>
      </c>
      <c r="F204" s="1058" t="str">
        <f>Marktnahe_Bilanz!$G$7</f>
        <v>01.01.2025</v>
      </c>
      <c r="G204" s="1059"/>
      <c r="H204" s="1060">
        <f>Marktnahe_Bilanz!$G87</f>
        <v>0</v>
      </c>
      <c r="U204" s="1027"/>
      <c r="V204" s="1027"/>
      <c r="W204" s="1027"/>
    </row>
    <row r="205" spans="2:23" ht="12.75" customHeight="1" x14ac:dyDescent="0.2">
      <c r="B205" s="1042">
        <f>Marktnahe_Bilanz!$A$1</f>
        <v>7</v>
      </c>
      <c r="C205" s="1043" t="str">
        <f>Marktnahe_Bilanz!$B$1</f>
        <v>Marktnahe Gliederung der Aktiven und Passiven</v>
      </c>
      <c r="D205" s="1058" t="str">
        <f>Marktnahe_Bilanz!$C$82</f>
        <v>Alterungsrückstellungen und Deckungskapitalien</v>
      </c>
      <c r="E205" s="1045" t="str">
        <f>Marktnahe_Bilanz!$D88</f>
        <v>dem Geschäft nach UVG zugeordnet</v>
      </c>
      <c r="F205" s="1058" t="str">
        <f>Marktnahe_Bilanz!$G$7</f>
        <v>01.01.2025</v>
      </c>
      <c r="G205" s="1059"/>
      <c r="H205" s="1060">
        <f>Marktnahe_Bilanz!$G88</f>
        <v>0</v>
      </c>
      <c r="U205" s="1027"/>
      <c r="V205" s="1027"/>
      <c r="W205" s="1027"/>
    </row>
    <row r="206" spans="2:23" x14ac:dyDescent="0.2">
      <c r="B206" s="1042"/>
      <c r="C206" s="1043"/>
      <c r="D206" s="1058"/>
      <c r="E206" s="1045"/>
      <c r="F206" s="1058"/>
      <c r="G206" s="1059"/>
      <c r="H206" s="1061"/>
      <c r="U206" s="1027"/>
      <c r="V206" s="1027"/>
      <c r="W206" s="1027"/>
    </row>
    <row r="207" spans="2:23" ht="25.5" x14ac:dyDescent="0.2">
      <c r="B207" s="1042">
        <f>Marktnahe_Bilanz!$A$1</f>
        <v>7</v>
      </c>
      <c r="C207" s="1043" t="str">
        <f>Marktnahe_Bilanz!$B$1</f>
        <v>Marktnahe Gliederung der Aktiven und Passiven</v>
      </c>
      <c r="D207" s="1058" t="str">
        <f>Marktnahe_Bilanz!$C$90</f>
        <v>Sonstige technische Rückstellungen</v>
      </c>
      <c r="E207" s="1045"/>
      <c r="F207" s="1058" t="str">
        <f>Marktnahe_Bilanz!$G$7</f>
        <v>01.01.2025</v>
      </c>
      <c r="G207" s="1059"/>
      <c r="H207" s="1069">
        <f>Marktnahe_Bilanz!$G90</f>
        <v>0</v>
      </c>
      <c r="U207" s="1027"/>
      <c r="V207" s="1027"/>
      <c r="W207" s="1027"/>
    </row>
    <row r="208" spans="2:23" ht="12.75" customHeight="1" x14ac:dyDescent="0.2">
      <c r="B208" s="1042">
        <f>Marktnahe_Bilanz!$A$1</f>
        <v>7</v>
      </c>
      <c r="C208" s="1043" t="str">
        <f>Marktnahe_Bilanz!$B$1</f>
        <v>Marktnahe Gliederung der Aktiven und Passiven</v>
      </c>
      <c r="D208" s="1058" t="str">
        <f>Marktnahe_Bilanz!$C$90</f>
        <v>Sonstige technische Rückstellungen</v>
      </c>
      <c r="E208" s="1045" t="str">
        <f>Marktnahe_Bilanz!$D91</f>
        <v>Obligatorische Krankenpflegeversicherung</v>
      </c>
      <c r="F208" s="1058" t="str">
        <f>Marktnahe_Bilanz!$G$7</f>
        <v>01.01.2025</v>
      </c>
      <c r="G208" s="1059"/>
      <c r="H208" s="1060">
        <f>Marktnahe_Bilanz!$G91</f>
        <v>0</v>
      </c>
      <c r="U208" s="1027"/>
      <c r="V208" s="1027"/>
      <c r="W208" s="1027"/>
    </row>
    <row r="209" spans="2:23" ht="12.75" customHeight="1" x14ac:dyDescent="0.2">
      <c r="B209" s="1042">
        <f>Marktnahe_Bilanz!$A$1</f>
        <v>7</v>
      </c>
      <c r="C209" s="1043" t="str">
        <f>Marktnahe_Bilanz!$B$1</f>
        <v>Marktnahe Gliederung der Aktiven und Passiven</v>
      </c>
      <c r="D209" s="1058" t="str">
        <f>Marktnahe_Bilanz!$C$90</f>
        <v>Sonstige technische Rückstellungen</v>
      </c>
      <c r="E209" s="1045" t="str">
        <f>Marktnahe_Bilanz!$D92</f>
        <v>Einzel-Taggeldversicherung nach KVG</v>
      </c>
      <c r="F209" s="1058" t="str">
        <f>Marktnahe_Bilanz!$G$7</f>
        <v>01.01.2025</v>
      </c>
      <c r="G209" s="1059"/>
      <c r="H209" s="1060">
        <f>Marktnahe_Bilanz!$G92</f>
        <v>0</v>
      </c>
      <c r="U209" s="1027"/>
      <c r="V209" s="1027"/>
      <c r="W209" s="1027"/>
    </row>
    <row r="210" spans="2:23" ht="12.75" customHeight="1" x14ac:dyDescent="0.2">
      <c r="B210" s="1042">
        <f>Marktnahe_Bilanz!$A$1</f>
        <v>7</v>
      </c>
      <c r="C210" s="1043" t="str">
        <f>Marktnahe_Bilanz!$B$1</f>
        <v>Marktnahe Gliederung der Aktiven und Passiven</v>
      </c>
      <c r="D210" s="1058" t="str">
        <f>Marktnahe_Bilanz!$C$90</f>
        <v>Sonstige technische Rückstellungen</v>
      </c>
      <c r="E210" s="1045" t="str">
        <f>Marktnahe_Bilanz!$D93</f>
        <v>Kollektiv-Taggeldversicherung nach KVG</v>
      </c>
      <c r="F210" s="1058" t="str">
        <f>Marktnahe_Bilanz!$G$7</f>
        <v>01.01.2025</v>
      </c>
      <c r="G210" s="1059"/>
      <c r="H210" s="1060">
        <f>Marktnahe_Bilanz!$G93</f>
        <v>0</v>
      </c>
      <c r="U210" s="1027"/>
      <c r="V210" s="1027"/>
      <c r="W210" s="1027"/>
    </row>
    <row r="211" spans="2:23" ht="12.75" customHeight="1" x14ac:dyDescent="0.2">
      <c r="B211" s="1042">
        <f>Marktnahe_Bilanz!$A$1</f>
        <v>7</v>
      </c>
      <c r="C211" s="1043" t="str">
        <f>Marktnahe_Bilanz!$B$1</f>
        <v>Marktnahe Gliederung der Aktiven und Passiven</v>
      </c>
      <c r="D211" s="1058" t="str">
        <f>Marktnahe_Bilanz!$C$90</f>
        <v>Sonstige technische Rückstellungen</v>
      </c>
      <c r="E211" s="1045" t="str">
        <f>Marktnahe_Bilanz!$D94</f>
        <v>Aktive Rückversicherung nach KVG</v>
      </c>
      <c r="F211" s="1058" t="str">
        <f>Marktnahe_Bilanz!$G$7</f>
        <v>01.01.2025</v>
      </c>
      <c r="G211" s="1059"/>
      <c r="H211" s="1060">
        <f>Marktnahe_Bilanz!$G94</f>
        <v>0</v>
      </c>
      <c r="U211" s="1027"/>
      <c r="V211" s="1027"/>
      <c r="W211" s="1027"/>
    </row>
    <row r="212" spans="2:23" ht="12.75" customHeight="1" x14ac:dyDescent="0.2">
      <c r="B212" s="1042">
        <f>Marktnahe_Bilanz!$A$1</f>
        <v>7</v>
      </c>
      <c r="C212" s="1043" t="str">
        <f>Marktnahe_Bilanz!$B$1</f>
        <v>Marktnahe Gliederung der Aktiven und Passiven</v>
      </c>
      <c r="D212" s="1058" t="str">
        <f>Marktnahe_Bilanz!$C$90</f>
        <v>Sonstige technische Rückstellungen</v>
      </c>
      <c r="E212" s="1045" t="str">
        <f>Marktnahe_Bilanz!$D95</f>
        <v>dem Geschäft nach VVG zugeordnet</v>
      </c>
      <c r="F212" s="1058" t="str">
        <f>Marktnahe_Bilanz!$G$7</f>
        <v>01.01.2025</v>
      </c>
      <c r="G212" s="1059"/>
      <c r="H212" s="1060">
        <f>Marktnahe_Bilanz!$G95</f>
        <v>0</v>
      </c>
      <c r="U212" s="1027"/>
      <c r="V212" s="1027"/>
      <c r="W212" s="1027"/>
    </row>
    <row r="213" spans="2:23" ht="12.75" customHeight="1" x14ac:dyDescent="0.2">
      <c r="B213" s="1042">
        <f>Marktnahe_Bilanz!$A$1</f>
        <v>7</v>
      </c>
      <c r="C213" s="1043" t="str">
        <f>Marktnahe_Bilanz!$B$1</f>
        <v>Marktnahe Gliederung der Aktiven und Passiven</v>
      </c>
      <c r="D213" s="1058" t="str">
        <f>Marktnahe_Bilanz!$C$90</f>
        <v>Sonstige technische Rückstellungen</v>
      </c>
      <c r="E213" s="1045" t="str">
        <f>Marktnahe_Bilanz!$D96</f>
        <v>dem Geschäft nach UVG zugeordnet</v>
      </c>
      <c r="F213" s="1058" t="str">
        <f>Marktnahe_Bilanz!$G$7</f>
        <v>01.01.2025</v>
      </c>
      <c r="G213" s="1059"/>
      <c r="H213" s="1060">
        <f>Marktnahe_Bilanz!$G96</f>
        <v>0</v>
      </c>
      <c r="U213" s="1027"/>
      <c r="V213" s="1027"/>
      <c r="W213" s="1027"/>
    </row>
    <row r="214" spans="2:23" ht="25.5" x14ac:dyDescent="0.2">
      <c r="B214" s="1042">
        <f>Marktnahe_Bilanz!$A$1</f>
        <v>7</v>
      </c>
      <c r="C214" s="1043" t="str">
        <f>Marktnahe_Bilanz!$B$1</f>
        <v>Marktnahe Gliederung der Aktiven und Passiven</v>
      </c>
      <c r="D214" s="1058"/>
      <c r="E214" s="1045"/>
      <c r="F214" s="1058" t="str">
        <f>Marktnahe_Bilanz!$G$7</f>
        <v>01.01.2025</v>
      </c>
      <c r="G214" s="1059"/>
      <c r="H214" s="1061"/>
      <c r="U214" s="1027"/>
      <c r="V214" s="1027"/>
      <c r="W214" s="1027"/>
    </row>
    <row r="215" spans="2:23" ht="12.75" customHeight="1" x14ac:dyDescent="0.2">
      <c r="B215" s="1042">
        <f>Marktnahe_Bilanz!$A$1</f>
        <v>7</v>
      </c>
      <c r="C215" s="1043" t="str">
        <f>Marktnahe_Bilanz!$B$1</f>
        <v>Marktnahe Gliederung der Aktiven und Passiven</v>
      </c>
      <c r="D215" s="1058" t="str">
        <f>Marktnahe_Bilanz!$C$98</f>
        <v>Schwankungs- und Sicherheitsrückstellungen</v>
      </c>
      <c r="E215" s="1045"/>
      <c r="F215" s="1058" t="str">
        <f>Marktnahe_Bilanz!$G$7</f>
        <v>01.01.2025</v>
      </c>
      <c r="G215" s="1059"/>
      <c r="H215" s="1062">
        <f>Marktnahe_Bilanz!$G98</f>
        <v>0</v>
      </c>
      <c r="U215" s="1027"/>
      <c r="V215" s="1027"/>
      <c r="W215" s="1027"/>
    </row>
    <row r="216" spans="2:23" ht="12.75" customHeight="1" x14ac:dyDescent="0.2">
      <c r="B216" s="1042">
        <f>Marktnahe_Bilanz!$A$1</f>
        <v>7</v>
      </c>
      <c r="C216" s="1043" t="str">
        <f>Marktnahe_Bilanz!$B$1</f>
        <v>Marktnahe Gliederung der Aktiven und Passiven</v>
      </c>
      <c r="D216" s="1058" t="str">
        <f>Marktnahe_Bilanz!$C$98</f>
        <v>Schwankungs- und Sicherheitsrückstellungen</v>
      </c>
      <c r="E216" s="1045" t="str">
        <f>Marktnahe_Bilanz!$D99</f>
        <v>Obligatorische Krankenpflegeversicherung</v>
      </c>
      <c r="F216" s="1058" t="str">
        <f>Marktnahe_Bilanz!$G$7</f>
        <v>01.01.2025</v>
      </c>
      <c r="G216" s="1059"/>
      <c r="H216" s="1060">
        <f>Marktnahe_Bilanz!$G99</f>
        <v>0</v>
      </c>
      <c r="U216" s="1027"/>
      <c r="V216" s="1027"/>
      <c r="W216" s="1027"/>
    </row>
    <row r="217" spans="2:23" ht="12.75" customHeight="1" x14ac:dyDescent="0.2">
      <c r="B217" s="1042">
        <f>Marktnahe_Bilanz!$A$1</f>
        <v>7</v>
      </c>
      <c r="C217" s="1043" t="str">
        <f>Marktnahe_Bilanz!$B$1</f>
        <v>Marktnahe Gliederung der Aktiven und Passiven</v>
      </c>
      <c r="D217" s="1058" t="str">
        <f>Marktnahe_Bilanz!$C$98</f>
        <v>Schwankungs- und Sicherheitsrückstellungen</v>
      </c>
      <c r="E217" s="1045" t="str">
        <f>Marktnahe_Bilanz!$D100</f>
        <v>Einzel-Taggeldversicherung nach KVG</v>
      </c>
      <c r="F217" s="1058" t="str">
        <f>Marktnahe_Bilanz!$G$7</f>
        <v>01.01.2025</v>
      </c>
      <c r="G217" s="1059"/>
      <c r="H217" s="1060">
        <f>Marktnahe_Bilanz!$G100</f>
        <v>0</v>
      </c>
      <c r="U217" s="1027"/>
      <c r="V217" s="1027"/>
      <c r="W217" s="1027"/>
    </row>
    <row r="218" spans="2:23" ht="12.75" customHeight="1" x14ac:dyDescent="0.2">
      <c r="B218" s="1042">
        <f>Marktnahe_Bilanz!$A$1</f>
        <v>7</v>
      </c>
      <c r="C218" s="1043" t="str">
        <f>Marktnahe_Bilanz!$B$1</f>
        <v>Marktnahe Gliederung der Aktiven und Passiven</v>
      </c>
      <c r="D218" s="1058" t="str">
        <f>Marktnahe_Bilanz!$C$98</f>
        <v>Schwankungs- und Sicherheitsrückstellungen</v>
      </c>
      <c r="E218" s="1045" t="str">
        <f>Marktnahe_Bilanz!$D101</f>
        <v>Kollektiv-Taggeldversicherung nach KVG</v>
      </c>
      <c r="F218" s="1058" t="str">
        <f>Marktnahe_Bilanz!$G$7</f>
        <v>01.01.2025</v>
      </c>
      <c r="G218" s="1059"/>
      <c r="H218" s="1060">
        <f>Marktnahe_Bilanz!$G101</f>
        <v>0</v>
      </c>
      <c r="U218" s="1027"/>
      <c r="V218" s="1027"/>
      <c r="W218" s="1027"/>
    </row>
    <row r="219" spans="2:23" ht="12.75" customHeight="1" x14ac:dyDescent="0.2">
      <c r="B219" s="1042">
        <f>Marktnahe_Bilanz!$A$1</f>
        <v>7</v>
      </c>
      <c r="C219" s="1043" t="str">
        <f>Marktnahe_Bilanz!$B$1</f>
        <v>Marktnahe Gliederung der Aktiven und Passiven</v>
      </c>
      <c r="D219" s="1058" t="str">
        <f>Marktnahe_Bilanz!$C$98</f>
        <v>Schwankungs- und Sicherheitsrückstellungen</v>
      </c>
      <c r="E219" s="1045" t="str">
        <f>Marktnahe_Bilanz!$D102</f>
        <v>Aktive Rückversicherung nach KVG</v>
      </c>
      <c r="F219" s="1058" t="str">
        <f>Marktnahe_Bilanz!$G$7</f>
        <v>01.01.2025</v>
      </c>
      <c r="G219" s="1059"/>
      <c r="H219" s="1060">
        <f>Marktnahe_Bilanz!$G102</f>
        <v>0</v>
      </c>
      <c r="U219" s="1027"/>
      <c r="V219" s="1027"/>
      <c r="W219" s="1027"/>
    </row>
    <row r="220" spans="2:23" ht="12.75" customHeight="1" x14ac:dyDescent="0.2">
      <c r="B220" s="1042">
        <f>Marktnahe_Bilanz!$A$1</f>
        <v>7</v>
      </c>
      <c r="C220" s="1043" t="str">
        <f>Marktnahe_Bilanz!$B$1</f>
        <v>Marktnahe Gliederung der Aktiven und Passiven</v>
      </c>
      <c r="D220" s="1058" t="str">
        <f>Marktnahe_Bilanz!$C$98</f>
        <v>Schwankungs- und Sicherheitsrückstellungen</v>
      </c>
      <c r="E220" s="1045" t="str">
        <f>Marktnahe_Bilanz!$D103</f>
        <v>dem Geschäft nach VVG zugeordnet</v>
      </c>
      <c r="F220" s="1058" t="str">
        <f>Marktnahe_Bilanz!$G$7</f>
        <v>01.01.2025</v>
      </c>
      <c r="G220" s="1059"/>
      <c r="H220" s="1060">
        <f>Marktnahe_Bilanz!$G103</f>
        <v>0</v>
      </c>
      <c r="U220" s="1027"/>
      <c r="V220" s="1027"/>
      <c r="W220" s="1027"/>
    </row>
    <row r="221" spans="2:23" ht="12.75" customHeight="1" x14ac:dyDescent="0.2">
      <c r="B221" s="1042">
        <f>Marktnahe_Bilanz!$A$1</f>
        <v>7</v>
      </c>
      <c r="C221" s="1043" t="str">
        <f>Marktnahe_Bilanz!$B$1</f>
        <v>Marktnahe Gliederung der Aktiven und Passiven</v>
      </c>
      <c r="D221" s="1058" t="str">
        <f>Marktnahe_Bilanz!$C$98</f>
        <v>Schwankungs- und Sicherheitsrückstellungen</v>
      </c>
      <c r="E221" s="1045" t="str">
        <f>Marktnahe_Bilanz!$D104</f>
        <v>dem Geschäft nach UVG zugeordnet</v>
      </c>
      <c r="F221" s="1058" t="str">
        <f>Marktnahe_Bilanz!$G$7</f>
        <v>01.01.2025</v>
      </c>
      <c r="G221" s="1059"/>
      <c r="H221" s="1060">
        <f>Marktnahe_Bilanz!$G104</f>
        <v>0</v>
      </c>
      <c r="U221" s="1027"/>
      <c r="V221" s="1027"/>
      <c r="W221" s="1027"/>
    </row>
    <row r="222" spans="2:23" x14ac:dyDescent="0.2">
      <c r="B222" s="1042"/>
      <c r="C222" s="1043"/>
      <c r="D222" s="1058"/>
      <c r="E222" s="1045"/>
      <c r="F222" s="1058"/>
      <c r="G222" s="1059"/>
      <c r="H222" s="1061"/>
      <c r="U222" s="1027"/>
      <c r="V222" s="1027"/>
      <c r="W222" s="1027"/>
    </row>
    <row r="223" spans="2:23" ht="25.5" x14ac:dyDescent="0.2">
      <c r="B223" s="1042">
        <f>Marktnahe_Bilanz!$A$1</f>
        <v>7</v>
      </c>
      <c r="C223" s="1043" t="str">
        <f>Marktnahe_Bilanz!$B$1</f>
        <v>Marktnahe Gliederung der Aktiven und Passiven</v>
      </c>
      <c r="D223" s="1058" t="str">
        <f>Marktnahe_Bilanz!$C$106</f>
        <v>Total versicherungstechnische Rückstellungen</v>
      </c>
      <c r="E223" s="1045"/>
      <c r="F223" s="1058" t="str">
        <f>Marktnahe_Bilanz!$G$7</f>
        <v>01.01.2025</v>
      </c>
      <c r="G223" s="1059"/>
      <c r="H223" s="1065">
        <f>Marktnahe_Bilanz!$G106</f>
        <v>0</v>
      </c>
      <c r="U223" s="1027"/>
      <c r="V223" s="1027"/>
      <c r="W223" s="1027"/>
    </row>
    <row r="224" spans="2:23" x14ac:dyDescent="0.2">
      <c r="B224" s="1042"/>
      <c r="C224" s="1043"/>
      <c r="D224" s="1058"/>
      <c r="E224" s="1045"/>
      <c r="F224" s="1058"/>
      <c r="G224" s="1059"/>
      <c r="H224" s="1061"/>
      <c r="U224" s="1027"/>
      <c r="V224" s="1027"/>
      <c r="W224" s="1027"/>
    </row>
    <row r="225" spans="2:23" ht="12.75" customHeight="1" x14ac:dyDescent="0.2">
      <c r="B225" s="1042">
        <f>Marktnahe_Bilanz!$A$1</f>
        <v>7</v>
      </c>
      <c r="C225" s="1043" t="str">
        <f>Marktnahe_Bilanz!$B$1</f>
        <v>Marktnahe Gliederung der Aktiven und Passiven</v>
      </c>
      <c r="D225" s="1058" t="str">
        <f>Marktnahe_Bilanz!$C$111</f>
        <v>Nichtversicherungstechnische Rückstellungen</v>
      </c>
      <c r="E225" s="1045"/>
      <c r="F225" s="1058" t="str">
        <f>Marktnahe_Bilanz!$G$7</f>
        <v>01.01.2025</v>
      </c>
      <c r="G225" s="1059"/>
      <c r="H225" s="1062">
        <f>Marktnahe_Bilanz!$G111</f>
        <v>0</v>
      </c>
      <c r="U225" s="1027"/>
      <c r="V225" s="1027"/>
      <c r="W225" s="1027"/>
    </row>
    <row r="226" spans="2:23" ht="12.75" customHeight="1" x14ac:dyDescent="0.2">
      <c r="B226" s="1042">
        <f>Marktnahe_Bilanz!$A$1</f>
        <v>7</v>
      </c>
      <c r="C226" s="1043" t="str">
        <f>Marktnahe_Bilanz!$B$1</f>
        <v>Marktnahe Gliederung der Aktiven und Passiven</v>
      </c>
      <c r="D226" s="1058" t="str">
        <f>Marktnahe_Bilanz!$C$111</f>
        <v>Nichtversicherungstechnische Rückstellungen</v>
      </c>
      <c r="E226" s="1045" t="str">
        <f>Marktnahe_Bilanz!$D112</f>
        <v>dem Geschäft nach KVG zugeordnet</v>
      </c>
      <c r="F226" s="1058" t="str">
        <f>Marktnahe_Bilanz!$G$7</f>
        <v>01.01.2025</v>
      </c>
      <c r="G226" s="1059"/>
      <c r="H226" s="1060">
        <f>Marktnahe_Bilanz!$G112</f>
        <v>0</v>
      </c>
      <c r="U226" s="1027"/>
      <c r="V226" s="1027"/>
      <c r="W226" s="1027"/>
    </row>
    <row r="227" spans="2:23" ht="12.75" customHeight="1" x14ac:dyDescent="0.2">
      <c r="B227" s="1042">
        <f>Marktnahe_Bilanz!$A$1</f>
        <v>7</v>
      </c>
      <c r="C227" s="1043" t="str">
        <f>Marktnahe_Bilanz!$B$1</f>
        <v>Marktnahe Gliederung der Aktiven und Passiven</v>
      </c>
      <c r="D227" s="1058" t="str">
        <f>Marktnahe_Bilanz!$C$111</f>
        <v>Nichtversicherungstechnische Rückstellungen</v>
      </c>
      <c r="E227" s="1045" t="str">
        <f>Marktnahe_Bilanz!$D113</f>
        <v>dem Geschäft nach VVG zugeordnet</v>
      </c>
      <c r="F227" s="1058" t="str">
        <f>Marktnahe_Bilanz!$G$7</f>
        <v>01.01.2025</v>
      </c>
      <c r="G227" s="1059"/>
      <c r="H227" s="1060">
        <f>Marktnahe_Bilanz!$G113</f>
        <v>0</v>
      </c>
      <c r="U227" s="1027"/>
      <c r="V227" s="1027"/>
      <c r="W227" s="1027"/>
    </row>
    <row r="228" spans="2:23" ht="12.75" customHeight="1" x14ac:dyDescent="0.2">
      <c r="B228" s="1042">
        <f>Marktnahe_Bilanz!$A$1</f>
        <v>7</v>
      </c>
      <c r="C228" s="1043" t="str">
        <f>Marktnahe_Bilanz!$B$1</f>
        <v>Marktnahe Gliederung der Aktiven und Passiven</v>
      </c>
      <c r="D228" s="1058" t="str">
        <f>Marktnahe_Bilanz!$C$111</f>
        <v>Nichtversicherungstechnische Rückstellungen</v>
      </c>
      <c r="E228" s="1045" t="str">
        <f>Marktnahe_Bilanz!$D114</f>
        <v>dem Geschäft nach UVG zugeordnet</v>
      </c>
      <c r="F228" s="1058" t="str">
        <f>Marktnahe_Bilanz!$G$7</f>
        <v>01.01.2025</v>
      </c>
      <c r="G228" s="1059"/>
      <c r="H228" s="1060">
        <f>Marktnahe_Bilanz!$G114</f>
        <v>0</v>
      </c>
      <c r="U228" s="1027"/>
      <c r="V228" s="1027"/>
      <c r="W228" s="1027"/>
    </row>
    <row r="229" spans="2:23" x14ac:dyDescent="0.2">
      <c r="B229" s="1042"/>
      <c r="C229" s="1043"/>
      <c r="D229" s="1058"/>
      <c r="E229" s="1045"/>
      <c r="F229" s="1058"/>
      <c r="G229" s="1059"/>
      <c r="H229" s="1061"/>
      <c r="U229" s="1027"/>
      <c r="V229" s="1027"/>
      <c r="W229" s="1027"/>
    </row>
    <row r="230" spans="2:23" ht="12.75" customHeight="1" x14ac:dyDescent="0.2">
      <c r="B230" s="1042">
        <f>Marktnahe_Bilanz!$A$1</f>
        <v>7</v>
      </c>
      <c r="C230" s="1043" t="str">
        <f>Marktnahe_Bilanz!$B$1</f>
        <v>Marktnahe Gliederung der Aktiven und Passiven</v>
      </c>
      <c r="D230" s="1058" t="str">
        <f>Marktnahe_Bilanz!$C$116</f>
        <v>Rückstellungen für Risiken in den Kapitalanlagen</v>
      </c>
      <c r="E230" s="1045"/>
      <c r="F230" s="1058" t="str">
        <f>Marktnahe_Bilanz!$G$7</f>
        <v>01.01.2025</v>
      </c>
      <c r="G230" s="1059"/>
      <c r="H230" s="1062">
        <f>Marktnahe_Bilanz!$G116</f>
        <v>0</v>
      </c>
      <c r="U230" s="1027"/>
      <c r="V230" s="1027"/>
      <c r="W230" s="1027"/>
    </row>
    <row r="231" spans="2:23" ht="12.75" customHeight="1" x14ac:dyDescent="0.2">
      <c r="B231" s="1042">
        <f>Marktnahe_Bilanz!$A$1</f>
        <v>7</v>
      </c>
      <c r="C231" s="1043" t="str">
        <f>Marktnahe_Bilanz!$B$1</f>
        <v>Marktnahe Gliederung der Aktiven und Passiven</v>
      </c>
      <c r="D231" s="1058" t="str">
        <f>Marktnahe_Bilanz!$C$116</f>
        <v>Rückstellungen für Risiken in den Kapitalanlagen</v>
      </c>
      <c r="E231" s="1045" t="str">
        <f>Marktnahe_Bilanz!$D117</f>
        <v>dem Geschäft nach KVG zugeordnet</v>
      </c>
      <c r="F231" s="1058" t="str">
        <f>Marktnahe_Bilanz!$G$7</f>
        <v>01.01.2025</v>
      </c>
      <c r="G231" s="1059"/>
      <c r="H231" s="1060">
        <f>Marktnahe_Bilanz!$G117</f>
        <v>0</v>
      </c>
      <c r="U231" s="1027"/>
      <c r="V231" s="1027"/>
      <c r="W231" s="1027"/>
    </row>
    <row r="232" spans="2:23" ht="12.75" customHeight="1" x14ac:dyDescent="0.2">
      <c r="B232" s="1042">
        <f>Marktnahe_Bilanz!$A$1</f>
        <v>7</v>
      </c>
      <c r="C232" s="1043" t="str">
        <f>Marktnahe_Bilanz!$B$1</f>
        <v>Marktnahe Gliederung der Aktiven und Passiven</v>
      </c>
      <c r="D232" s="1058" t="str">
        <f>Marktnahe_Bilanz!$C$116</f>
        <v>Rückstellungen für Risiken in den Kapitalanlagen</v>
      </c>
      <c r="E232" s="1045" t="str">
        <f>Marktnahe_Bilanz!$D118</f>
        <v>dem Geschäft nach VVG zugeordnet</v>
      </c>
      <c r="F232" s="1058" t="str">
        <f>Marktnahe_Bilanz!$G$7</f>
        <v>01.01.2025</v>
      </c>
      <c r="G232" s="1059"/>
      <c r="H232" s="1060">
        <f>Marktnahe_Bilanz!$G118</f>
        <v>0</v>
      </c>
      <c r="U232" s="1027"/>
      <c r="V232" s="1027"/>
      <c r="W232" s="1027"/>
    </row>
    <row r="233" spans="2:23" ht="12.75" customHeight="1" x14ac:dyDescent="0.2">
      <c r="B233" s="1042">
        <f>Marktnahe_Bilanz!$A$1</f>
        <v>7</v>
      </c>
      <c r="C233" s="1043" t="str">
        <f>Marktnahe_Bilanz!$B$1</f>
        <v>Marktnahe Gliederung der Aktiven und Passiven</v>
      </c>
      <c r="D233" s="1058" t="str">
        <f>Marktnahe_Bilanz!$C$116</f>
        <v>Rückstellungen für Risiken in den Kapitalanlagen</v>
      </c>
      <c r="E233" s="1045" t="str">
        <f>Marktnahe_Bilanz!$D119</f>
        <v>dem Geschäft nach UVG zugeordnet</v>
      </c>
      <c r="F233" s="1058" t="str">
        <f>Marktnahe_Bilanz!$G$7</f>
        <v>01.01.2025</v>
      </c>
      <c r="G233" s="1059"/>
      <c r="H233" s="1060">
        <f>Marktnahe_Bilanz!$G119</f>
        <v>0</v>
      </c>
      <c r="U233" s="1027"/>
      <c r="V233" s="1027"/>
      <c r="W233" s="1027"/>
    </row>
    <row r="234" spans="2:23" x14ac:dyDescent="0.2">
      <c r="B234" s="1042"/>
      <c r="C234" s="1043"/>
      <c r="D234" s="1058"/>
      <c r="E234" s="1045"/>
      <c r="F234" s="1058"/>
      <c r="G234" s="1059"/>
      <c r="H234" s="1061"/>
      <c r="U234" s="1027"/>
      <c r="V234" s="1027"/>
      <c r="W234" s="1027"/>
    </row>
    <row r="235" spans="2:23" ht="12.75" customHeight="1" x14ac:dyDescent="0.2">
      <c r="B235" s="1042">
        <f>Marktnahe_Bilanz!$A$1</f>
        <v>7</v>
      </c>
      <c r="C235" s="1043" t="str">
        <f>Marktnahe_Bilanz!$B$1</f>
        <v>Marktnahe Gliederung der Aktiven und Passiven</v>
      </c>
      <c r="D235" s="1058" t="str">
        <f>Marktnahe_Bilanz!$C$121</f>
        <v>Übrige Verbindlichkeiten (inkl. Rechnungsabgrenzungen)</v>
      </c>
      <c r="E235" s="1045"/>
      <c r="F235" s="1058" t="str">
        <f>Marktnahe_Bilanz!$G$7</f>
        <v>01.01.2025</v>
      </c>
      <c r="G235" s="1059"/>
      <c r="H235" s="1062">
        <f>Marktnahe_Bilanz!$G121</f>
        <v>0</v>
      </c>
      <c r="U235" s="1027"/>
      <c r="V235" s="1027"/>
      <c r="W235" s="1027"/>
    </row>
    <row r="236" spans="2:23" ht="12.75" customHeight="1" x14ac:dyDescent="0.2">
      <c r="B236" s="1042">
        <f>Marktnahe_Bilanz!$A$1</f>
        <v>7</v>
      </c>
      <c r="C236" s="1043" t="str">
        <f>Marktnahe_Bilanz!$B$1</f>
        <v>Marktnahe Gliederung der Aktiven und Passiven</v>
      </c>
      <c r="D236" s="1058" t="str">
        <f>Marktnahe_Bilanz!$C$121</f>
        <v>Übrige Verbindlichkeiten (inkl. Rechnungsabgrenzungen)</v>
      </c>
      <c r="E236" s="1045" t="str">
        <f>Marktnahe_Bilanz!$D122</f>
        <v>dem Geschäft nach KVG zugeordnet</v>
      </c>
      <c r="F236" s="1058" t="str">
        <f>Marktnahe_Bilanz!$G$7</f>
        <v>01.01.2025</v>
      </c>
      <c r="G236" s="1059"/>
      <c r="H236" s="1060">
        <f>Marktnahe_Bilanz!$G122</f>
        <v>0</v>
      </c>
      <c r="U236" s="1027"/>
      <c r="V236" s="1027"/>
      <c r="W236" s="1027"/>
    </row>
    <row r="237" spans="2:23" ht="12.75" customHeight="1" x14ac:dyDescent="0.2">
      <c r="B237" s="1042">
        <f>Marktnahe_Bilanz!$A$1</f>
        <v>7</v>
      </c>
      <c r="C237" s="1043" t="str">
        <f>Marktnahe_Bilanz!$B$1</f>
        <v>Marktnahe Gliederung der Aktiven und Passiven</v>
      </c>
      <c r="D237" s="1058" t="str">
        <f>Marktnahe_Bilanz!$C$121</f>
        <v>Übrige Verbindlichkeiten (inkl. Rechnungsabgrenzungen)</v>
      </c>
      <c r="E237" s="1045" t="str">
        <f>Marktnahe_Bilanz!$D123</f>
        <v>dem Geschäft nach VVG zugeordnet</v>
      </c>
      <c r="F237" s="1058" t="str">
        <f>Marktnahe_Bilanz!$G$7</f>
        <v>01.01.2025</v>
      </c>
      <c r="G237" s="1059"/>
      <c r="H237" s="1060">
        <f>Marktnahe_Bilanz!$G123</f>
        <v>0</v>
      </c>
      <c r="U237" s="1027"/>
      <c r="V237" s="1027"/>
      <c r="W237" s="1027"/>
    </row>
    <row r="238" spans="2:23" ht="12.75" customHeight="1" x14ac:dyDescent="0.2">
      <c r="B238" s="1042">
        <f>Marktnahe_Bilanz!$A$1</f>
        <v>7</v>
      </c>
      <c r="C238" s="1043" t="str">
        <f>Marktnahe_Bilanz!$B$1</f>
        <v>Marktnahe Gliederung der Aktiven und Passiven</v>
      </c>
      <c r="D238" s="1058" t="str">
        <f>Marktnahe_Bilanz!$C$121</f>
        <v>Übrige Verbindlichkeiten (inkl. Rechnungsabgrenzungen)</v>
      </c>
      <c r="E238" s="1045" t="str">
        <f>Marktnahe_Bilanz!$D124</f>
        <v>dem Geschäft nach UVG zugeordnet</v>
      </c>
      <c r="F238" s="1058" t="str">
        <f>Marktnahe_Bilanz!$G$7</f>
        <v>01.01.2025</v>
      </c>
      <c r="G238" s="1059"/>
      <c r="H238" s="1060">
        <f>Marktnahe_Bilanz!$G124</f>
        <v>0</v>
      </c>
      <c r="U238" s="1027"/>
      <c r="V238" s="1027"/>
      <c r="W238" s="1027"/>
    </row>
    <row r="239" spans="2:23" x14ac:dyDescent="0.2">
      <c r="B239" s="1042"/>
      <c r="C239" s="1043"/>
      <c r="D239" s="1058"/>
      <c r="E239" s="1045"/>
      <c r="F239" s="1058"/>
      <c r="G239" s="1059"/>
      <c r="H239" s="1061"/>
      <c r="U239" s="1027"/>
      <c r="V239" s="1027"/>
      <c r="W239" s="1027"/>
    </row>
    <row r="240" spans="2:23" ht="25.5" x14ac:dyDescent="0.2">
      <c r="B240" s="1042">
        <f>Marktnahe_Bilanz!$A$1</f>
        <v>7</v>
      </c>
      <c r="C240" s="1043" t="str">
        <f>Marktnahe_Bilanz!$B$1</f>
        <v>Marktnahe Gliederung der Aktiven und Passiven</v>
      </c>
      <c r="D240" s="1058" t="str">
        <f>Marktnahe_Bilanz!$C$126</f>
        <v>Total übrige Passiven</v>
      </c>
      <c r="E240" s="1045"/>
      <c r="F240" s="1058" t="str">
        <f>Marktnahe_Bilanz!$G$7</f>
        <v>01.01.2025</v>
      </c>
      <c r="G240" s="1059"/>
      <c r="H240" s="1065">
        <f>Marktnahe_Bilanz!$G126</f>
        <v>0</v>
      </c>
      <c r="U240" s="1027"/>
      <c r="V240" s="1027"/>
      <c r="W240" s="1027"/>
    </row>
    <row r="241" spans="1:23" x14ac:dyDescent="0.2">
      <c r="B241" s="1042"/>
      <c r="C241" s="1043"/>
      <c r="D241" s="1058"/>
      <c r="E241" s="1045"/>
      <c r="F241" s="1058"/>
      <c r="G241" s="1059"/>
      <c r="H241" s="1061"/>
      <c r="U241" s="1027"/>
      <c r="V241" s="1027"/>
      <c r="W241" s="1027"/>
    </row>
    <row r="242" spans="1:23" ht="25.5" x14ac:dyDescent="0.2">
      <c r="B242" s="1042">
        <f>Marktnahe_Bilanz!$A$1</f>
        <v>7</v>
      </c>
      <c r="C242" s="1043" t="str">
        <f>Marktnahe_Bilanz!$B$1</f>
        <v>Marktnahe Gliederung der Aktiven und Passiven</v>
      </c>
      <c r="D242" s="1058" t="str">
        <f>Marktnahe_Bilanz!$B$128</f>
        <v>Total Fremdkapital</v>
      </c>
      <c r="E242" s="1045"/>
      <c r="F242" s="1058" t="str">
        <f>Marktnahe_Bilanz!$G$7</f>
        <v>01.01.2025</v>
      </c>
      <c r="G242" s="1059"/>
      <c r="H242" s="1065">
        <f>Marktnahe_Bilanz!$G128</f>
        <v>0</v>
      </c>
      <c r="U242" s="1027"/>
      <c r="V242" s="1027"/>
      <c r="W242" s="1027"/>
    </row>
    <row r="243" spans="1:23" x14ac:dyDescent="0.2">
      <c r="B243" s="1042"/>
      <c r="C243" s="1043"/>
      <c r="D243" s="1058"/>
      <c r="E243" s="1045"/>
      <c r="F243" s="1058"/>
      <c r="G243" s="1059"/>
      <c r="H243" s="1061"/>
      <c r="U243" s="1027"/>
      <c r="V243" s="1027"/>
      <c r="W243" s="1027"/>
    </row>
    <row r="244" spans="1:23" ht="25.5" x14ac:dyDescent="0.2">
      <c r="B244" s="1042">
        <f>Marktnahe_Bilanz!$A$1</f>
        <v>7</v>
      </c>
      <c r="C244" s="1043" t="str">
        <f>Marktnahe_Bilanz!$B$1</f>
        <v>Marktnahe Gliederung der Aktiven und Passiven</v>
      </c>
      <c r="D244" s="1058" t="str">
        <f>Marktnahe_Bilanz!$B$130</f>
        <v>Differenz zwischen Aktiven und Fremdkapital</v>
      </c>
      <c r="E244" s="1045"/>
      <c r="F244" s="1058" t="str">
        <f>Marktnahe_Bilanz!$G$7</f>
        <v>01.01.2025</v>
      </c>
      <c r="G244" s="1059"/>
      <c r="H244" s="1065">
        <f>Marktnahe_Bilanz!$G130</f>
        <v>0</v>
      </c>
      <c r="U244" s="1027"/>
      <c r="V244" s="1027"/>
      <c r="W244" s="1027"/>
    </row>
    <row r="245" spans="1:23" x14ac:dyDescent="0.2">
      <c r="B245" s="1042"/>
      <c r="C245" s="1043"/>
      <c r="D245" s="1058"/>
      <c r="E245" s="1045"/>
      <c r="F245" s="1058"/>
      <c r="G245" s="1059"/>
      <c r="H245" s="1061"/>
      <c r="U245" s="1027"/>
      <c r="V245" s="1027"/>
      <c r="W245" s="1027"/>
    </row>
    <row r="246" spans="1:23" x14ac:dyDescent="0.2">
      <c r="B246" s="1042"/>
      <c r="C246" s="1043"/>
      <c r="D246" s="1058"/>
      <c r="E246" s="1045"/>
      <c r="F246" s="1058"/>
      <c r="G246" s="1059"/>
      <c r="H246" s="1061"/>
      <c r="U246" s="1027"/>
      <c r="V246" s="1027"/>
      <c r="W246" s="1027"/>
    </row>
    <row r="247" spans="1:23" x14ac:dyDescent="0.2">
      <c r="B247" s="1042"/>
      <c r="C247" s="1043"/>
      <c r="D247" s="1058"/>
      <c r="E247" s="1045"/>
      <c r="F247" s="1058"/>
      <c r="G247" s="1059"/>
      <c r="H247" s="1068"/>
      <c r="U247" s="1027"/>
      <c r="V247" s="1027"/>
      <c r="W247" s="1027"/>
    </row>
    <row r="248" spans="1:23" ht="25.5" x14ac:dyDescent="0.2">
      <c r="B248" s="1042">
        <f>Marktnahe_Bilanz!$A$1</f>
        <v>7</v>
      </c>
      <c r="C248" s="1043" t="str">
        <f>Marktnahe_Bilanz!$B$1</f>
        <v>Marktnahe Gliederung der Aktiven und Passiven</v>
      </c>
      <c r="D248" s="1058" t="str">
        <f>Marktnahe_Bilanz!$B$136</f>
        <v>Aufteilung des Eigenkapitals</v>
      </c>
      <c r="E248" s="1045"/>
      <c r="F248" s="1058" t="str">
        <f>Marktnahe_Bilanz!$G$7</f>
        <v>01.01.2025</v>
      </c>
      <c r="G248" s="1059"/>
      <c r="H248" s="1065">
        <f>Marktnahe_Bilanz!$G136</f>
        <v>0</v>
      </c>
      <c r="U248" s="1027"/>
      <c r="V248" s="1027"/>
      <c r="W248" s="1027"/>
    </row>
    <row r="249" spans="1:23" ht="25.5" x14ac:dyDescent="0.2">
      <c r="B249" s="1042">
        <f>Marktnahe_Bilanz!$A$1</f>
        <v>7</v>
      </c>
      <c r="C249" s="1043" t="str">
        <f>Marktnahe_Bilanz!$B$1</f>
        <v>Marktnahe Gliederung der Aktiven und Passiven</v>
      </c>
      <c r="D249" s="1058" t="str">
        <f>Marktnahe_Bilanz!$B$136</f>
        <v>Aufteilung des Eigenkapitals</v>
      </c>
      <c r="E249" s="1045" t="str">
        <f>Marktnahe_Bilanz!$D137</f>
        <v>dem Geschäft nach KVG zugeordnet</v>
      </c>
      <c r="F249" s="1058" t="str">
        <f>Marktnahe_Bilanz!$G$7</f>
        <v>01.01.2025</v>
      </c>
      <c r="G249" s="1059"/>
      <c r="H249" s="1487">
        <f>Marktnahe_Bilanz!$G137</f>
        <v>0</v>
      </c>
      <c r="U249" s="1027"/>
      <c r="V249" s="1027"/>
      <c r="W249" s="1027"/>
    </row>
    <row r="250" spans="1:23" ht="25.5" x14ac:dyDescent="0.2">
      <c r="B250" s="1042">
        <f>Marktnahe_Bilanz!$A$1</f>
        <v>7</v>
      </c>
      <c r="C250" s="1043" t="str">
        <f>Marktnahe_Bilanz!$B$1</f>
        <v>Marktnahe Gliederung der Aktiven und Passiven</v>
      </c>
      <c r="D250" s="1058" t="str">
        <f>Marktnahe_Bilanz!$B$136</f>
        <v>Aufteilung des Eigenkapitals</v>
      </c>
      <c r="E250" s="1045" t="str">
        <f>Marktnahe_Bilanz!$D138</f>
        <v>dem Geschäft nach VVG zugeordnet</v>
      </c>
      <c r="F250" s="1058" t="str">
        <f>Marktnahe_Bilanz!$G$7</f>
        <v>01.01.2025</v>
      </c>
      <c r="G250" s="1059"/>
      <c r="H250" s="1487">
        <f>Marktnahe_Bilanz!$G138</f>
        <v>0</v>
      </c>
      <c r="U250" s="1027"/>
      <c r="V250" s="1027"/>
      <c r="W250" s="1027"/>
    </row>
    <row r="251" spans="1:23" ht="26.25" thickBot="1" x14ac:dyDescent="0.25">
      <c r="B251" s="1070">
        <f>Marktnahe_Bilanz!$A$1</f>
        <v>7</v>
      </c>
      <c r="C251" s="1071" t="str">
        <f>Marktnahe_Bilanz!$B$1</f>
        <v>Marktnahe Gliederung der Aktiven und Passiven</v>
      </c>
      <c r="D251" s="1072" t="str">
        <f>Marktnahe_Bilanz!$B$136</f>
        <v>Aufteilung des Eigenkapitals</v>
      </c>
      <c r="E251" s="1489" t="str">
        <f>Marktnahe_Bilanz!$D139</f>
        <v>dem Geschäft nach UVG zugeordnet</v>
      </c>
      <c r="F251" s="1072" t="str">
        <f>Marktnahe_Bilanz!$G$7</f>
        <v>01.01.2025</v>
      </c>
      <c r="G251" s="1073"/>
      <c r="H251" s="1490">
        <f>Marktnahe_Bilanz!$G139</f>
        <v>0</v>
      </c>
      <c r="U251" s="1027"/>
      <c r="V251" s="1027"/>
      <c r="W251" s="1027"/>
    </row>
    <row r="252" spans="1:23" ht="12.75" customHeight="1" thickBot="1" x14ac:dyDescent="0.25">
      <c r="A252" s="1074"/>
      <c r="B252" s="1576"/>
      <c r="C252" s="1075"/>
      <c r="D252" s="1075"/>
      <c r="E252" s="1483"/>
      <c r="F252" s="1484"/>
      <c r="G252" s="1484"/>
      <c r="H252" s="1035"/>
      <c r="U252" s="1027"/>
      <c r="V252" s="1027"/>
      <c r="W252" s="1027"/>
    </row>
    <row r="253" spans="1:23" x14ac:dyDescent="0.2">
      <c r="B253" s="1491">
        <f>'Sensitivitaeten Delta_Market'!$A$1</f>
        <v>9</v>
      </c>
      <c r="C253" s="1486" t="str">
        <f>'Sensitivitaeten Delta_Market'!$B$1</f>
        <v>Delta-Sensitivitäten</v>
      </c>
      <c r="D253" s="1492" t="str">
        <f>'Sensitivitaeten Delta_Market'!$F$9</f>
        <v>Marktnaher Wert der Aktiven mit entsprechendem Risikofaktor</v>
      </c>
      <c r="E253" s="1486" t="str">
        <f>'Sensitivitaeten Delta_Market'!$F$11</f>
        <v>dem KVG- und UVG Geschäft zugeordnet</v>
      </c>
      <c r="F253" s="1625" t="s">
        <v>428</v>
      </c>
      <c r="G253" s="1617" t="s">
        <v>2301</v>
      </c>
      <c r="H253" s="1626"/>
      <c r="U253" s="1027"/>
      <c r="V253" s="1027"/>
      <c r="W253" s="1027"/>
    </row>
    <row r="254" spans="1:23" x14ac:dyDescent="0.2">
      <c r="B254" s="1493">
        <f>'Sensitivitaeten Delta_Market'!$A$1</f>
        <v>9</v>
      </c>
      <c r="C254" s="1488" t="str">
        <f>'Sensitivitaeten Delta_Market'!$B$1</f>
        <v>Delta-Sensitivitäten</v>
      </c>
      <c r="D254" s="1494" t="str">
        <f>'Sensitivitaeten Delta_Market'!$F$9</f>
        <v>Marktnaher Wert der Aktiven mit entsprechendem Risikofaktor</v>
      </c>
      <c r="E254" s="1488" t="str">
        <f>'Sensitivitaeten Delta_Market'!$F$11</f>
        <v>dem KVG- und UVG Geschäft zugeordnet</v>
      </c>
      <c r="F254" s="1494" t="str">
        <f>'Sensitivitaeten Delta_Market'!$B17</f>
        <v>CHF Zeros  2 Y</v>
      </c>
      <c r="G254" s="1494"/>
      <c r="H254" s="1077">
        <f>'Sensitivitaeten Delta_Market'!$F17</f>
        <v>0</v>
      </c>
      <c r="U254" s="1027"/>
      <c r="V254" s="1027"/>
      <c r="W254" s="1027"/>
    </row>
    <row r="255" spans="1:23" x14ac:dyDescent="0.2">
      <c r="B255" s="1493">
        <f>'Sensitivitaeten Delta_Market'!$A$1</f>
        <v>9</v>
      </c>
      <c r="C255" s="1488" t="str">
        <f>'Sensitivitaeten Delta_Market'!$B$1</f>
        <v>Delta-Sensitivitäten</v>
      </c>
      <c r="D255" s="1494" t="str">
        <f>'Sensitivitaeten Delta_Market'!$F$9</f>
        <v>Marktnaher Wert der Aktiven mit entsprechendem Risikofaktor</v>
      </c>
      <c r="E255" s="1488" t="str">
        <f>'Sensitivitaeten Delta_Market'!$F$11</f>
        <v>dem KVG- und UVG Geschäft zugeordnet</v>
      </c>
      <c r="F255" s="1625" t="s">
        <v>2302</v>
      </c>
      <c r="G255" s="1617" t="s">
        <v>2301</v>
      </c>
      <c r="H255" s="1626"/>
      <c r="U255" s="1027"/>
      <c r="V255" s="1027"/>
      <c r="W255" s="1027"/>
    </row>
    <row r="256" spans="1:23" x14ac:dyDescent="0.2">
      <c r="B256" s="1493">
        <f>'Sensitivitaeten Delta_Market'!$A$1</f>
        <v>9</v>
      </c>
      <c r="C256" s="1488" t="str">
        <f>'Sensitivitaeten Delta_Market'!$B$1</f>
        <v>Delta-Sensitivitäten</v>
      </c>
      <c r="D256" s="1494" t="str">
        <f>'Sensitivitaeten Delta_Market'!$F$9</f>
        <v>Marktnaher Wert der Aktiven mit entsprechendem Risikofaktor</v>
      </c>
      <c r="E256" s="1488" t="str">
        <f>'Sensitivitaeten Delta_Market'!$F$11</f>
        <v>dem KVG- und UVG Geschäft zugeordnet</v>
      </c>
      <c r="F256" s="1625" t="s">
        <v>2303</v>
      </c>
      <c r="G256" s="1617" t="s">
        <v>2301</v>
      </c>
      <c r="H256" s="1626"/>
      <c r="U256" s="1027"/>
      <c r="V256" s="1027"/>
      <c r="W256" s="1027"/>
    </row>
    <row r="257" spans="2:23" x14ac:dyDescent="0.2">
      <c r="B257" s="1493">
        <f>'Sensitivitaeten Delta_Market'!$A$1</f>
        <v>9</v>
      </c>
      <c r="C257" s="1488" t="str">
        <f>'Sensitivitaeten Delta_Market'!$B$1</f>
        <v>Delta-Sensitivitäten</v>
      </c>
      <c r="D257" s="1494" t="str">
        <f>'Sensitivitaeten Delta_Market'!$F$9</f>
        <v>Marktnaher Wert der Aktiven mit entsprechendem Risikofaktor</v>
      </c>
      <c r="E257" s="1488" t="str">
        <f>'Sensitivitaeten Delta_Market'!$F$11</f>
        <v>dem KVG- und UVG Geschäft zugeordnet</v>
      </c>
      <c r="F257" s="1625" t="s">
        <v>2304</v>
      </c>
      <c r="G257" s="1617" t="s">
        <v>2301</v>
      </c>
      <c r="H257" s="1626"/>
      <c r="U257" s="1027"/>
      <c r="V257" s="1027"/>
      <c r="W257" s="1027"/>
    </row>
    <row r="258" spans="2:23" x14ac:dyDescent="0.2">
      <c r="B258" s="1493">
        <f>'Sensitivitaeten Delta_Market'!$A$1</f>
        <v>9</v>
      </c>
      <c r="C258" s="1488" t="str">
        <f>'Sensitivitaeten Delta_Market'!$B$1</f>
        <v>Delta-Sensitivitäten</v>
      </c>
      <c r="D258" s="1494" t="str">
        <f>'Sensitivitaeten Delta_Market'!$F$9</f>
        <v>Marktnaher Wert der Aktiven mit entsprechendem Risikofaktor</v>
      </c>
      <c r="E258" s="1488" t="str">
        <f>'Sensitivitaeten Delta_Market'!$F$11</f>
        <v>dem KVG- und UVG Geschäft zugeordnet</v>
      </c>
      <c r="F258" s="1625" t="s">
        <v>2305</v>
      </c>
      <c r="G258" s="1617" t="s">
        <v>2301</v>
      </c>
      <c r="H258" s="1626"/>
      <c r="U258" s="1027"/>
      <c r="V258" s="1027"/>
      <c r="W258" s="1027"/>
    </row>
    <row r="259" spans="2:23" x14ac:dyDescent="0.2">
      <c r="B259" s="1493">
        <f>'Sensitivitaeten Delta_Market'!$A$1</f>
        <v>9</v>
      </c>
      <c r="C259" s="1488" t="str">
        <f>'Sensitivitaeten Delta_Market'!$B$1</f>
        <v>Delta-Sensitivitäten</v>
      </c>
      <c r="D259" s="1494" t="str">
        <f>'Sensitivitaeten Delta_Market'!$F$9</f>
        <v>Marktnaher Wert der Aktiven mit entsprechendem Risikofaktor</v>
      </c>
      <c r="E259" s="1488" t="str">
        <f>'Sensitivitaeten Delta_Market'!$F$11</f>
        <v>dem KVG- und UVG Geschäft zugeordnet</v>
      </c>
      <c r="F259" s="1625" t="s">
        <v>2307</v>
      </c>
      <c r="G259" s="1617" t="s">
        <v>2301</v>
      </c>
      <c r="H259" s="1626"/>
      <c r="U259" s="1027"/>
      <c r="V259" s="1027"/>
      <c r="W259" s="1027"/>
    </row>
    <row r="260" spans="2:23" x14ac:dyDescent="0.2">
      <c r="B260" s="1493">
        <f>'Sensitivitaeten Delta_Market'!$A$1</f>
        <v>9</v>
      </c>
      <c r="C260" s="1488" t="str">
        <f>'Sensitivitaeten Delta_Market'!$B$1</f>
        <v>Delta-Sensitivitäten</v>
      </c>
      <c r="D260" s="1494" t="str">
        <f>'Sensitivitaeten Delta_Market'!$F$9</f>
        <v>Marktnaher Wert der Aktiven mit entsprechendem Risikofaktor</v>
      </c>
      <c r="E260" s="1488" t="str">
        <f>'Sensitivitaeten Delta_Market'!$F$11</f>
        <v>dem KVG- und UVG Geschäft zugeordnet</v>
      </c>
      <c r="F260" s="1625" t="s">
        <v>2306</v>
      </c>
      <c r="G260" s="1617" t="s">
        <v>2301</v>
      </c>
      <c r="H260" s="1626"/>
      <c r="U260" s="1027"/>
      <c r="V260" s="1027"/>
      <c r="W260" s="1027"/>
    </row>
    <row r="261" spans="2:23" x14ac:dyDescent="0.2">
      <c r="B261" s="1493">
        <f>'Sensitivitaeten Delta_Market'!$A$1</f>
        <v>9</v>
      </c>
      <c r="C261" s="1488" t="str">
        <f>'Sensitivitaeten Delta_Market'!$B$1</f>
        <v>Delta-Sensitivitäten</v>
      </c>
      <c r="D261" s="1494" t="str">
        <f>'Sensitivitaeten Delta_Market'!$F$9</f>
        <v>Marktnaher Wert der Aktiven mit entsprechendem Risikofaktor</v>
      </c>
      <c r="E261" s="1488" t="str">
        <f>'Sensitivitaeten Delta_Market'!$F$11</f>
        <v>dem KVG- und UVG Geschäft zugeordnet</v>
      </c>
      <c r="F261" s="1625" t="s">
        <v>2308</v>
      </c>
      <c r="G261" s="1617" t="s">
        <v>2301</v>
      </c>
      <c r="H261" s="1626"/>
      <c r="U261" s="1027"/>
      <c r="V261" s="1027"/>
      <c r="W261" s="1027"/>
    </row>
    <row r="262" spans="2:23" x14ac:dyDescent="0.2">
      <c r="B262" s="1493">
        <f>'Sensitivitaeten Delta_Market'!$A$1</f>
        <v>9</v>
      </c>
      <c r="C262" s="1488" t="str">
        <f>'Sensitivitaeten Delta_Market'!$B$1</f>
        <v>Delta-Sensitivitäten</v>
      </c>
      <c r="D262" s="1494" t="str">
        <f>'Sensitivitaeten Delta_Market'!$F$9</f>
        <v>Marktnaher Wert der Aktiven mit entsprechendem Risikofaktor</v>
      </c>
      <c r="E262" s="1488" t="str">
        <f>'Sensitivitaeten Delta_Market'!$F$11</f>
        <v>dem KVG- und UVG Geschäft zugeordnet</v>
      </c>
      <c r="F262" s="1495" t="str">
        <f>'Sensitivitaeten Delta_Market'!$B18</f>
        <v>CHF Zeros  10 Y</v>
      </c>
      <c r="G262" s="1494"/>
      <c r="H262" s="1077">
        <f>'Sensitivitaeten Delta_Market'!$F18</f>
        <v>0</v>
      </c>
      <c r="U262" s="1027"/>
      <c r="V262" s="1027"/>
      <c r="W262" s="1027"/>
    </row>
    <row r="263" spans="2:23" x14ac:dyDescent="0.2">
      <c r="B263" s="1493">
        <f>'Sensitivitaeten Delta_Market'!$A$1</f>
        <v>9</v>
      </c>
      <c r="C263" s="1488" t="str">
        <f>'Sensitivitaeten Delta_Market'!$B$1</f>
        <v>Delta-Sensitivitäten</v>
      </c>
      <c r="D263" s="1494" t="str">
        <f>'Sensitivitaeten Delta_Market'!$F$9</f>
        <v>Marktnaher Wert der Aktiven mit entsprechendem Risikofaktor</v>
      </c>
      <c r="E263" s="1488" t="str">
        <f>'Sensitivitaeten Delta_Market'!$F$11</f>
        <v>dem KVG- und UVG Geschäft zugeordnet</v>
      </c>
      <c r="F263" s="1625" t="s">
        <v>2309</v>
      </c>
      <c r="G263" s="1617" t="s">
        <v>2301</v>
      </c>
      <c r="H263" s="1626"/>
      <c r="U263" s="1027"/>
      <c r="V263" s="1027"/>
      <c r="W263" s="1027"/>
    </row>
    <row r="264" spans="2:23" x14ac:dyDescent="0.2">
      <c r="B264" s="1493">
        <f>'Sensitivitaeten Delta_Market'!$A$1</f>
        <v>9</v>
      </c>
      <c r="C264" s="1488" t="str">
        <f>'Sensitivitaeten Delta_Market'!$B$1</f>
        <v>Delta-Sensitivitäten</v>
      </c>
      <c r="D264" s="1494" t="str">
        <f>'Sensitivitaeten Delta_Market'!$F$9</f>
        <v>Marktnaher Wert der Aktiven mit entsprechendem Risikofaktor</v>
      </c>
      <c r="E264" s="1488" t="str">
        <f>'Sensitivitaeten Delta_Market'!$F$11</f>
        <v>dem KVG- und UVG Geschäft zugeordnet</v>
      </c>
      <c r="F264" s="1625" t="s">
        <v>2310</v>
      </c>
      <c r="G264" s="1617" t="s">
        <v>2301</v>
      </c>
      <c r="H264" s="1626"/>
      <c r="U264" s="1027"/>
      <c r="V264" s="1027"/>
      <c r="W264" s="1027"/>
    </row>
    <row r="265" spans="2:23" x14ac:dyDescent="0.2">
      <c r="B265" s="1493">
        <f>'Sensitivitaeten Delta_Market'!$A$1</f>
        <v>9</v>
      </c>
      <c r="C265" s="1488" t="str">
        <f>'Sensitivitaeten Delta_Market'!$B$1</f>
        <v>Delta-Sensitivitäten</v>
      </c>
      <c r="D265" s="1494" t="str">
        <f>'Sensitivitaeten Delta_Market'!$F$9</f>
        <v>Marktnaher Wert der Aktiven mit entsprechendem Risikofaktor</v>
      </c>
      <c r="E265" s="1488" t="str">
        <f>'Sensitivitaeten Delta_Market'!$F$11</f>
        <v>dem KVG- und UVG Geschäft zugeordnet</v>
      </c>
      <c r="F265" s="1495" t="str">
        <f>'Sensitivitaeten Delta_Market'!$B19</f>
        <v>CHF Zeros  30 Y</v>
      </c>
      <c r="G265" s="1494"/>
      <c r="H265" s="1077">
        <f>'Sensitivitaeten Delta_Market'!$F19</f>
        <v>0</v>
      </c>
      <c r="U265" s="1027"/>
      <c r="V265" s="1027"/>
      <c r="W265" s="1027"/>
    </row>
    <row r="266" spans="2:23" x14ac:dyDescent="0.2">
      <c r="B266" s="1493">
        <f>'Sensitivitaeten Delta_Market'!$A$1</f>
        <v>9</v>
      </c>
      <c r="C266" s="1488" t="str">
        <f>'Sensitivitaeten Delta_Market'!$B$1</f>
        <v>Delta-Sensitivitäten</v>
      </c>
      <c r="D266" s="1494" t="str">
        <f>'Sensitivitaeten Delta_Market'!$F$9</f>
        <v>Marktnaher Wert der Aktiven mit entsprechendem Risikofaktor</v>
      </c>
      <c r="E266" s="1488" t="str">
        <f>'Sensitivitaeten Delta_Market'!$F$11</f>
        <v>dem KVG- und UVG Geschäft zugeordnet</v>
      </c>
      <c r="F266" s="1625" t="s">
        <v>429</v>
      </c>
      <c r="G266" s="1617" t="s">
        <v>2301</v>
      </c>
      <c r="H266" s="1626"/>
      <c r="U266" s="1027"/>
      <c r="V266" s="1027"/>
      <c r="W266" s="1027"/>
    </row>
    <row r="267" spans="2:23" x14ac:dyDescent="0.2">
      <c r="B267" s="1493">
        <f>'Sensitivitaeten Delta_Market'!$A$1</f>
        <v>9</v>
      </c>
      <c r="C267" s="1488" t="str">
        <f>'Sensitivitaeten Delta_Market'!$B$1</f>
        <v>Delta-Sensitivitäten</v>
      </c>
      <c r="D267" s="1494" t="str">
        <f>'Sensitivitaeten Delta_Market'!$F$9</f>
        <v>Marktnaher Wert der Aktiven mit entsprechendem Risikofaktor</v>
      </c>
      <c r="E267" s="1488" t="str">
        <f>'Sensitivitaeten Delta_Market'!$F$11</f>
        <v>dem KVG- und UVG Geschäft zugeordnet</v>
      </c>
      <c r="F267" s="1625" t="s">
        <v>2311</v>
      </c>
      <c r="G267" s="1617" t="s">
        <v>2301</v>
      </c>
      <c r="H267" s="1626"/>
      <c r="U267" s="1027"/>
      <c r="V267" s="1027"/>
      <c r="W267" s="1027"/>
    </row>
    <row r="268" spans="2:23" x14ac:dyDescent="0.2">
      <c r="B268" s="1493">
        <f>'Sensitivitaeten Delta_Market'!$A$1</f>
        <v>9</v>
      </c>
      <c r="C268" s="1488" t="str">
        <f>'Sensitivitaeten Delta_Market'!$B$1</f>
        <v>Delta-Sensitivitäten</v>
      </c>
      <c r="D268" s="1494" t="str">
        <f>'Sensitivitaeten Delta_Market'!$F$9</f>
        <v>Marktnaher Wert der Aktiven mit entsprechendem Risikofaktor</v>
      </c>
      <c r="E268" s="1488" t="str">
        <f>'Sensitivitaeten Delta_Market'!$F$11</f>
        <v>dem KVG- und UVG Geschäft zugeordnet</v>
      </c>
      <c r="F268" s="1625" t="s">
        <v>2312</v>
      </c>
      <c r="G268" s="1617" t="s">
        <v>2301</v>
      </c>
      <c r="H268" s="1626"/>
      <c r="U268" s="1027"/>
      <c r="V268" s="1027"/>
      <c r="W268" s="1027"/>
    </row>
    <row r="269" spans="2:23" x14ac:dyDescent="0.2">
      <c r="B269" s="1493">
        <f>'Sensitivitaeten Delta_Market'!$A$1</f>
        <v>9</v>
      </c>
      <c r="C269" s="1488" t="str">
        <f>'Sensitivitaeten Delta_Market'!$B$1</f>
        <v>Delta-Sensitivitäten</v>
      </c>
      <c r="D269" s="1494" t="str">
        <f>'Sensitivitaeten Delta_Market'!$F$9</f>
        <v>Marktnaher Wert der Aktiven mit entsprechendem Risikofaktor</v>
      </c>
      <c r="E269" s="1488" t="str">
        <f>'Sensitivitaeten Delta_Market'!$F$11</f>
        <v>dem KVG- und UVG Geschäft zugeordnet</v>
      </c>
      <c r="F269" s="1625" t="s">
        <v>2313</v>
      </c>
      <c r="G269" s="1617" t="s">
        <v>2301</v>
      </c>
      <c r="H269" s="1626"/>
      <c r="U269" s="1027"/>
      <c r="V269" s="1027"/>
      <c r="W269" s="1027"/>
    </row>
    <row r="270" spans="2:23" x14ac:dyDescent="0.2">
      <c r="B270" s="1493">
        <f>'Sensitivitaeten Delta_Market'!$A$1</f>
        <v>9</v>
      </c>
      <c r="C270" s="1488" t="str">
        <f>'Sensitivitaeten Delta_Market'!$B$1</f>
        <v>Delta-Sensitivitäten</v>
      </c>
      <c r="D270" s="1494" t="str">
        <f>'Sensitivitaeten Delta_Market'!$F$9</f>
        <v>Marktnaher Wert der Aktiven mit entsprechendem Risikofaktor</v>
      </c>
      <c r="E270" s="1488" t="str">
        <f>'Sensitivitaeten Delta_Market'!$F$11</f>
        <v>dem KVG- und UVG Geschäft zugeordnet</v>
      </c>
      <c r="F270" s="1625" t="s">
        <v>2314</v>
      </c>
      <c r="G270" s="1617" t="s">
        <v>2301</v>
      </c>
      <c r="H270" s="1626"/>
      <c r="U270" s="1027"/>
      <c r="V270" s="1027"/>
      <c r="W270" s="1027"/>
    </row>
    <row r="271" spans="2:23" x14ac:dyDescent="0.2">
      <c r="B271" s="1493">
        <f>'Sensitivitaeten Delta_Market'!$A$1</f>
        <v>9</v>
      </c>
      <c r="C271" s="1488" t="str">
        <f>'Sensitivitaeten Delta_Market'!$B$1</f>
        <v>Delta-Sensitivitäten</v>
      </c>
      <c r="D271" s="1494" t="str">
        <f>'Sensitivitaeten Delta_Market'!$F$9</f>
        <v>Marktnaher Wert der Aktiven mit entsprechendem Risikofaktor</v>
      </c>
      <c r="E271" s="1488" t="str">
        <f>'Sensitivitaeten Delta_Market'!$F$11</f>
        <v>dem KVG- und UVG Geschäft zugeordnet</v>
      </c>
      <c r="F271" s="1625" t="s">
        <v>2315</v>
      </c>
      <c r="G271" s="1617" t="s">
        <v>2301</v>
      </c>
      <c r="H271" s="1626"/>
      <c r="U271" s="1027"/>
      <c r="V271" s="1027"/>
      <c r="W271" s="1027"/>
    </row>
    <row r="272" spans="2:23" x14ac:dyDescent="0.2">
      <c r="B272" s="1493">
        <f>'Sensitivitaeten Delta_Market'!$A$1</f>
        <v>9</v>
      </c>
      <c r="C272" s="1488" t="str">
        <f>'Sensitivitaeten Delta_Market'!$B$1</f>
        <v>Delta-Sensitivitäten</v>
      </c>
      <c r="D272" s="1494" t="str">
        <f>'Sensitivitaeten Delta_Market'!$F$9</f>
        <v>Marktnaher Wert der Aktiven mit entsprechendem Risikofaktor</v>
      </c>
      <c r="E272" s="1488" t="str">
        <f>'Sensitivitaeten Delta_Market'!$F$11</f>
        <v>dem KVG- und UVG Geschäft zugeordnet</v>
      </c>
      <c r="F272" s="1625" t="s">
        <v>2316</v>
      </c>
      <c r="G272" s="1617" t="s">
        <v>2301</v>
      </c>
      <c r="H272" s="1626"/>
      <c r="U272" s="1027"/>
      <c r="V272" s="1027"/>
      <c r="W272" s="1027"/>
    </row>
    <row r="273" spans="2:23" x14ac:dyDescent="0.2">
      <c r="B273" s="1493">
        <f>'Sensitivitaeten Delta_Market'!$A$1</f>
        <v>9</v>
      </c>
      <c r="C273" s="1488" t="str">
        <f>'Sensitivitaeten Delta_Market'!$B$1</f>
        <v>Delta-Sensitivitäten</v>
      </c>
      <c r="D273" s="1494" t="str">
        <f>'Sensitivitaeten Delta_Market'!$F$9</f>
        <v>Marktnaher Wert der Aktiven mit entsprechendem Risikofaktor</v>
      </c>
      <c r="E273" s="1488" t="str">
        <f>'Sensitivitaeten Delta_Market'!$F$11</f>
        <v>dem KVG- und UVG Geschäft zugeordnet</v>
      </c>
      <c r="F273" s="1625" t="s">
        <v>2317</v>
      </c>
      <c r="G273" s="1617" t="s">
        <v>2301</v>
      </c>
      <c r="H273" s="1626"/>
      <c r="U273" s="1027"/>
      <c r="V273" s="1027"/>
      <c r="W273" s="1027"/>
    </row>
    <row r="274" spans="2:23" x14ac:dyDescent="0.2">
      <c r="B274" s="1493">
        <f>'Sensitivitaeten Delta_Market'!$A$1</f>
        <v>9</v>
      </c>
      <c r="C274" s="1488" t="str">
        <f>'Sensitivitaeten Delta_Market'!$B$1</f>
        <v>Delta-Sensitivitäten</v>
      </c>
      <c r="D274" s="1494" t="str">
        <f>'Sensitivitaeten Delta_Market'!$F$9</f>
        <v>Marktnaher Wert der Aktiven mit entsprechendem Risikofaktor</v>
      </c>
      <c r="E274" s="1488" t="str">
        <f>'Sensitivitaeten Delta_Market'!$F$11</f>
        <v>dem KVG- und UVG Geschäft zugeordnet</v>
      </c>
      <c r="F274" s="1625" t="s">
        <v>2318</v>
      </c>
      <c r="G274" s="1617" t="s">
        <v>2301</v>
      </c>
      <c r="H274" s="1626"/>
      <c r="U274" s="1027"/>
      <c r="V274" s="1027"/>
      <c r="W274" s="1027"/>
    </row>
    <row r="275" spans="2:23" x14ac:dyDescent="0.2">
      <c r="B275" s="1493">
        <f>'Sensitivitaeten Delta_Market'!$A$1</f>
        <v>9</v>
      </c>
      <c r="C275" s="1488" t="str">
        <f>'Sensitivitaeten Delta_Market'!$B$1</f>
        <v>Delta-Sensitivitäten</v>
      </c>
      <c r="D275" s="1494" t="str">
        <f>'Sensitivitaeten Delta_Market'!$F$9</f>
        <v>Marktnaher Wert der Aktiven mit entsprechendem Risikofaktor</v>
      </c>
      <c r="E275" s="1488" t="str">
        <f>'Sensitivitaeten Delta_Market'!$F$11</f>
        <v>dem KVG- und UVG Geschäft zugeordnet</v>
      </c>
      <c r="F275" s="1625" t="s">
        <v>2319</v>
      </c>
      <c r="G275" s="1617" t="s">
        <v>2301</v>
      </c>
      <c r="H275" s="1626"/>
      <c r="U275" s="1027"/>
      <c r="V275" s="1027"/>
      <c r="W275" s="1027"/>
    </row>
    <row r="276" spans="2:23" x14ac:dyDescent="0.2">
      <c r="B276" s="1493">
        <f>'Sensitivitaeten Delta_Market'!$A$1</f>
        <v>9</v>
      </c>
      <c r="C276" s="1488" t="str">
        <f>'Sensitivitaeten Delta_Market'!$B$1</f>
        <v>Delta-Sensitivitäten</v>
      </c>
      <c r="D276" s="1494" t="str">
        <f>'Sensitivitaeten Delta_Market'!$F$9</f>
        <v>Marktnaher Wert der Aktiven mit entsprechendem Risikofaktor</v>
      </c>
      <c r="E276" s="1488" t="str">
        <f>'Sensitivitaeten Delta_Market'!$F$11</f>
        <v>dem KVG- und UVG Geschäft zugeordnet</v>
      </c>
      <c r="F276" s="1495" t="str">
        <f>'Sensitivitaeten Delta_Market'!$B20</f>
        <v>EUR Zeros  2 Y</v>
      </c>
      <c r="G276" s="1494"/>
      <c r="H276" s="1077">
        <f>'Sensitivitaeten Delta_Market'!$F20</f>
        <v>0</v>
      </c>
      <c r="U276" s="1027"/>
      <c r="V276" s="1027"/>
      <c r="W276" s="1027"/>
    </row>
    <row r="277" spans="2:23" x14ac:dyDescent="0.2">
      <c r="B277" s="1493">
        <f>'Sensitivitaeten Delta_Market'!$A$1</f>
        <v>9</v>
      </c>
      <c r="C277" s="1488" t="str">
        <f>'Sensitivitaeten Delta_Market'!$B$1</f>
        <v>Delta-Sensitivitäten</v>
      </c>
      <c r="D277" s="1494" t="str">
        <f>'Sensitivitaeten Delta_Market'!$F$9</f>
        <v>Marktnaher Wert der Aktiven mit entsprechendem Risikofaktor</v>
      </c>
      <c r="E277" s="1488" t="str">
        <f>'Sensitivitaeten Delta_Market'!$F$11</f>
        <v>dem KVG- und UVG Geschäft zugeordnet</v>
      </c>
      <c r="F277" s="1495" t="str">
        <f>'Sensitivitaeten Delta_Market'!$B21</f>
        <v>EUR Zeros  10 Y</v>
      </c>
      <c r="G277" s="1494"/>
      <c r="H277" s="1077">
        <f>'Sensitivitaeten Delta_Market'!$F21</f>
        <v>0</v>
      </c>
      <c r="U277" s="1027"/>
      <c r="V277" s="1027"/>
      <c r="W277" s="1027"/>
    </row>
    <row r="278" spans="2:23" x14ac:dyDescent="0.2">
      <c r="B278" s="1493">
        <f>'Sensitivitaeten Delta_Market'!$A$1</f>
        <v>9</v>
      </c>
      <c r="C278" s="1488" t="str">
        <f>'Sensitivitaeten Delta_Market'!$B$1</f>
        <v>Delta-Sensitivitäten</v>
      </c>
      <c r="D278" s="1494" t="str">
        <f>'Sensitivitaeten Delta_Market'!$F$9</f>
        <v>Marktnaher Wert der Aktiven mit entsprechendem Risikofaktor</v>
      </c>
      <c r="E278" s="1488" t="str">
        <f>'Sensitivitaeten Delta_Market'!$F$11</f>
        <v>dem KVG- und UVG Geschäft zugeordnet</v>
      </c>
      <c r="F278" s="1495" t="str">
        <f>'Sensitivitaeten Delta_Market'!$B22</f>
        <v>EUR Zeros  30 Y</v>
      </c>
      <c r="G278" s="1494"/>
      <c r="H278" s="1077">
        <f>'Sensitivitaeten Delta_Market'!$F22</f>
        <v>0</v>
      </c>
      <c r="U278" s="1027"/>
      <c r="V278" s="1027"/>
      <c r="W278" s="1027"/>
    </row>
    <row r="279" spans="2:23" x14ac:dyDescent="0.2">
      <c r="B279" s="1493">
        <f>'Sensitivitaeten Delta_Market'!$A$1</f>
        <v>9</v>
      </c>
      <c r="C279" s="1488" t="str">
        <f>'Sensitivitaeten Delta_Market'!$B$1</f>
        <v>Delta-Sensitivitäten</v>
      </c>
      <c r="D279" s="1494" t="str">
        <f>'Sensitivitaeten Delta_Market'!$F$9</f>
        <v>Marktnaher Wert der Aktiven mit entsprechendem Risikofaktor</v>
      </c>
      <c r="E279" s="1488" t="str">
        <f>'Sensitivitaeten Delta_Market'!$F$11</f>
        <v>dem KVG- und UVG Geschäft zugeordnet</v>
      </c>
      <c r="F279" s="1494" t="str">
        <f>'Sensitivitaeten Delta_Market'!$B23</f>
        <v>USD Zeros  3 Y</v>
      </c>
      <c r="G279" s="1494"/>
      <c r="H279" s="1077">
        <f>'Sensitivitaeten Delta_Market'!$F23</f>
        <v>0</v>
      </c>
      <c r="U279" s="1027"/>
      <c r="V279" s="1027"/>
      <c r="W279" s="1027"/>
    </row>
    <row r="280" spans="2:23" x14ac:dyDescent="0.2">
      <c r="B280" s="1493">
        <f>'Sensitivitaeten Delta_Market'!$A$1</f>
        <v>9</v>
      </c>
      <c r="C280" s="1488" t="str">
        <f>'Sensitivitaeten Delta_Market'!$B$1</f>
        <v>Delta-Sensitivitäten</v>
      </c>
      <c r="D280" s="1494" t="str">
        <f>'Sensitivitaeten Delta_Market'!$F$9</f>
        <v>Marktnaher Wert der Aktiven mit entsprechendem Risikofaktor</v>
      </c>
      <c r="E280" s="1488" t="str">
        <f>'Sensitivitaeten Delta_Market'!$F$11</f>
        <v>dem KVG- und UVG Geschäft zugeordnet</v>
      </c>
      <c r="F280" s="1494" t="str">
        <f>'Sensitivitaeten Delta_Market'!$B24</f>
        <v>USD Zeros  10 Y</v>
      </c>
      <c r="G280" s="1494"/>
      <c r="H280" s="1077">
        <f>'Sensitivitaeten Delta_Market'!$F24</f>
        <v>0</v>
      </c>
      <c r="U280" s="1027"/>
      <c r="V280" s="1027"/>
      <c r="W280" s="1027"/>
    </row>
    <row r="281" spans="2:23" x14ac:dyDescent="0.2">
      <c r="B281" s="1493">
        <f>'Sensitivitaeten Delta_Market'!$A$1</f>
        <v>9</v>
      </c>
      <c r="C281" s="1488" t="str">
        <f>'Sensitivitaeten Delta_Market'!$B$1</f>
        <v>Delta-Sensitivitäten</v>
      </c>
      <c r="D281" s="1494" t="str">
        <f>'Sensitivitaeten Delta_Market'!$F$9</f>
        <v>Marktnaher Wert der Aktiven mit entsprechendem Risikofaktor</v>
      </c>
      <c r="E281" s="1488" t="str">
        <f>'Sensitivitaeten Delta_Market'!$F$11</f>
        <v>dem KVG- und UVG Geschäft zugeordnet</v>
      </c>
      <c r="F281" s="1494" t="str">
        <f>'Sensitivitaeten Delta_Market'!$B25</f>
        <v>USD Zeros  30 Y</v>
      </c>
      <c r="G281" s="1494"/>
      <c r="H281" s="1077">
        <f>'Sensitivitaeten Delta_Market'!$F25</f>
        <v>0</v>
      </c>
      <c r="U281" s="1027"/>
      <c r="V281" s="1027"/>
      <c r="W281" s="1027"/>
    </row>
    <row r="282" spans="2:23" x14ac:dyDescent="0.2">
      <c r="B282" s="1493">
        <f>'Sensitivitaeten Delta_Market'!$A$1</f>
        <v>9</v>
      </c>
      <c r="C282" s="1488" t="str">
        <f>'Sensitivitaeten Delta_Market'!$B$1</f>
        <v>Delta-Sensitivitäten</v>
      </c>
      <c r="D282" s="1494" t="str">
        <f>'Sensitivitaeten Delta_Market'!$F$9</f>
        <v>Marktnaher Wert der Aktiven mit entsprechendem Risikofaktor</v>
      </c>
      <c r="E282" s="1488" t="str">
        <f>'Sensitivitaeten Delta_Market'!$F$11</f>
        <v>dem KVG- und UVG Geschäft zugeordnet</v>
      </c>
      <c r="F282" s="1625" t="s">
        <v>430</v>
      </c>
      <c r="G282" s="1617" t="s">
        <v>2301</v>
      </c>
      <c r="H282" s="1626"/>
      <c r="U282" s="1027"/>
      <c r="V282" s="1027"/>
      <c r="W282" s="1027"/>
    </row>
    <row r="283" spans="2:23" x14ac:dyDescent="0.2">
      <c r="B283" s="1493">
        <f>'Sensitivitaeten Delta_Market'!$A$1</f>
        <v>9</v>
      </c>
      <c r="C283" s="1488" t="str">
        <f>'Sensitivitaeten Delta_Market'!$B$1</f>
        <v>Delta-Sensitivitäten</v>
      </c>
      <c r="D283" s="1494" t="str">
        <f>'Sensitivitaeten Delta_Market'!$F$9</f>
        <v>Marktnaher Wert der Aktiven mit entsprechendem Risikofaktor</v>
      </c>
      <c r="E283" s="1488" t="str">
        <f>'Sensitivitaeten Delta_Market'!$F$11</f>
        <v>dem KVG- und UVG Geschäft zugeordnet</v>
      </c>
      <c r="F283" s="1625" t="s">
        <v>2329</v>
      </c>
      <c r="G283" s="1617" t="s">
        <v>2301</v>
      </c>
      <c r="H283" s="1626"/>
      <c r="U283" s="1027"/>
      <c r="V283" s="1027"/>
      <c r="W283" s="1027"/>
    </row>
    <row r="284" spans="2:23" x14ac:dyDescent="0.2">
      <c r="B284" s="1493">
        <f>'Sensitivitaeten Delta_Market'!$A$1</f>
        <v>9</v>
      </c>
      <c r="C284" s="1488" t="str">
        <f>'Sensitivitaeten Delta_Market'!$B$1</f>
        <v>Delta-Sensitivitäten</v>
      </c>
      <c r="D284" s="1494" t="str">
        <f>'Sensitivitaeten Delta_Market'!$F$9</f>
        <v>Marktnaher Wert der Aktiven mit entsprechendem Risikofaktor</v>
      </c>
      <c r="E284" s="1488" t="str">
        <f>'Sensitivitaeten Delta_Market'!$F$11</f>
        <v>dem KVG- und UVG Geschäft zugeordnet</v>
      </c>
      <c r="F284" s="1625" t="s">
        <v>2330</v>
      </c>
      <c r="G284" s="1617" t="s">
        <v>2301</v>
      </c>
      <c r="H284" s="1626"/>
      <c r="U284" s="1027"/>
      <c r="V284" s="1027"/>
      <c r="W284" s="1027"/>
    </row>
    <row r="285" spans="2:23" x14ac:dyDescent="0.2">
      <c r="B285" s="1493">
        <f>'Sensitivitaeten Delta_Market'!$A$1</f>
        <v>9</v>
      </c>
      <c r="C285" s="1488" t="str">
        <f>'Sensitivitaeten Delta_Market'!$B$1</f>
        <v>Delta-Sensitivitäten</v>
      </c>
      <c r="D285" s="1494" t="str">
        <f>'Sensitivitaeten Delta_Market'!$F$9</f>
        <v>Marktnaher Wert der Aktiven mit entsprechendem Risikofaktor</v>
      </c>
      <c r="E285" s="1488" t="str">
        <f>'Sensitivitaeten Delta_Market'!$F$11</f>
        <v>dem KVG- und UVG Geschäft zugeordnet</v>
      </c>
      <c r="F285" s="1625" t="s">
        <v>2331</v>
      </c>
      <c r="G285" s="1617" t="s">
        <v>2301</v>
      </c>
      <c r="H285" s="1626"/>
      <c r="U285" s="1027"/>
      <c r="V285" s="1027"/>
      <c r="W285" s="1027"/>
    </row>
    <row r="286" spans="2:23" x14ac:dyDescent="0.2">
      <c r="B286" s="1493">
        <f>'Sensitivitaeten Delta_Market'!$A$1</f>
        <v>9</v>
      </c>
      <c r="C286" s="1488" t="str">
        <f>'Sensitivitaeten Delta_Market'!$B$1</f>
        <v>Delta-Sensitivitäten</v>
      </c>
      <c r="D286" s="1494" t="str">
        <f>'Sensitivitaeten Delta_Market'!$F$9</f>
        <v>Marktnaher Wert der Aktiven mit entsprechendem Risikofaktor</v>
      </c>
      <c r="E286" s="1488" t="str">
        <f>'Sensitivitaeten Delta_Market'!$F$11</f>
        <v>dem KVG- und UVG Geschäft zugeordnet</v>
      </c>
      <c r="F286" s="1625" t="s">
        <v>2332</v>
      </c>
      <c r="G286" s="1617" t="s">
        <v>2301</v>
      </c>
      <c r="H286" s="1626"/>
      <c r="U286" s="1027"/>
      <c r="V286" s="1027"/>
      <c r="W286" s="1027"/>
    </row>
    <row r="287" spans="2:23" x14ac:dyDescent="0.2">
      <c r="B287" s="1493">
        <f>'Sensitivitaeten Delta_Market'!$A$1</f>
        <v>9</v>
      </c>
      <c r="C287" s="1488" t="str">
        <f>'Sensitivitaeten Delta_Market'!$B$1</f>
        <v>Delta-Sensitivitäten</v>
      </c>
      <c r="D287" s="1494" t="str">
        <f>'Sensitivitaeten Delta_Market'!$F$9</f>
        <v>Marktnaher Wert der Aktiven mit entsprechendem Risikofaktor</v>
      </c>
      <c r="E287" s="1488" t="str">
        <f>'Sensitivitaeten Delta_Market'!$F$11</f>
        <v>dem KVG- und UVG Geschäft zugeordnet</v>
      </c>
      <c r="F287" s="1625" t="s">
        <v>2333</v>
      </c>
      <c r="G287" s="1617" t="s">
        <v>2301</v>
      </c>
      <c r="H287" s="1626"/>
      <c r="U287" s="1027"/>
      <c r="V287" s="1027"/>
      <c r="W287" s="1027"/>
    </row>
    <row r="288" spans="2:23" x14ac:dyDescent="0.2">
      <c r="B288" s="1493">
        <f>'Sensitivitaeten Delta_Market'!$A$1</f>
        <v>9</v>
      </c>
      <c r="C288" s="1488" t="str">
        <f>'Sensitivitaeten Delta_Market'!$B$1</f>
        <v>Delta-Sensitivitäten</v>
      </c>
      <c r="D288" s="1494" t="str">
        <f>'Sensitivitaeten Delta_Market'!$F$9</f>
        <v>Marktnaher Wert der Aktiven mit entsprechendem Risikofaktor</v>
      </c>
      <c r="E288" s="1488" t="str">
        <f>'Sensitivitaeten Delta_Market'!$F$11</f>
        <v>dem KVG- und UVG Geschäft zugeordnet</v>
      </c>
      <c r="F288" s="1625" t="s">
        <v>2334</v>
      </c>
      <c r="G288" s="1617" t="s">
        <v>2301</v>
      </c>
      <c r="H288" s="1626"/>
      <c r="U288" s="1027"/>
      <c r="V288" s="1027"/>
      <c r="W288" s="1027"/>
    </row>
    <row r="289" spans="2:23" x14ac:dyDescent="0.2">
      <c r="B289" s="1493">
        <f>'Sensitivitaeten Delta_Market'!$A$1</f>
        <v>9</v>
      </c>
      <c r="C289" s="1488" t="str">
        <f>'Sensitivitaeten Delta_Market'!$B$1</f>
        <v>Delta-Sensitivitäten</v>
      </c>
      <c r="D289" s="1494" t="str">
        <f>'Sensitivitaeten Delta_Market'!$F$9</f>
        <v>Marktnaher Wert der Aktiven mit entsprechendem Risikofaktor</v>
      </c>
      <c r="E289" s="1488" t="str">
        <f>'Sensitivitaeten Delta_Market'!$F$11</f>
        <v>dem KVG- und UVG Geschäft zugeordnet</v>
      </c>
      <c r="F289" s="1625" t="s">
        <v>2335</v>
      </c>
      <c r="G289" s="1617" t="s">
        <v>2301</v>
      </c>
      <c r="H289" s="1626"/>
      <c r="U289" s="1027"/>
      <c r="V289" s="1027"/>
      <c r="W289" s="1027"/>
    </row>
    <row r="290" spans="2:23" x14ac:dyDescent="0.2">
      <c r="B290" s="1493">
        <f>'Sensitivitaeten Delta_Market'!$A$1</f>
        <v>9</v>
      </c>
      <c r="C290" s="1488" t="str">
        <f>'Sensitivitaeten Delta_Market'!$B$1</f>
        <v>Delta-Sensitivitäten</v>
      </c>
      <c r="D290" s="1494" t="str">
        <f>'Sensitivitaeten Delta_Market'!$F$9</f>
        <v>Marktnaher Wert der Aktiven mit entsprechendem Risikofaktor</v>
      </c>
      <c r="E290" s="1488" t="str">
        <f>'Sensitivitaeten Delta_Market'!$F$11</f>
        <v>dem KVG- und UVG Geschäft zugeordnet</v>
      </c>
      <c r="F290" s="1625" t="s">
        <v>2336</v>
      </c>
      <c r="G290" s="1617" t="s">
        <v>2301</v>
      </c>
      <c r="H290" s="1626"/>
      <c r="U290" s="1027"/>
      <c r="V290" s="1027"/>
      <c r="W290" s="1027"/>
    </row>
    <row r="291" spans="2:23" x14ac:dyDescent="0.2">
      <c r="B291" s="1493">
        <f>'Sensitivitaeten Delta_Market'!$A$1</f>
        <v>9</v>
      </c>
      <c r="C291" s="1488" t="str">
        <f>'Sensitivitaeten Delta_Market'!$B$1</f>
        <v>Delta-Sensitivitäten</v>
      </c>
      <c r="D291" s="1494" t="str">
        <f>'Sensitivitaeten Delta_Market'!$F$9</f>
        <v>Marktnaher Wert der Aktiven mit entsprechendem Risikofaktor</v>
      </c>
      <c r="E291" s="1488" t="str">
        <f>'Sensitivitaeten Delta_Market'!$F$11</f>
        <v>dem KVG- und UVG Geschäft zugeordnet</v>
      </c>
      <c r="F291" s="1625" t="s">
        <v>2337</v>
      </c>
      <c r="G291" s="1617" t="s">
        <v>2301</v>
      </c>
      <c r="H291" s="1626"/>
      <c r="U291" s="1027"/>
      <c r="V291" s="1027"/>
      <c r="W291" s="1027"/>
    </row>
    <row r="292" spans="2:23" x14ac:dyDescent="0.2">
      <c r="B292" s="1493">
        <f>'Sensitivitaeten Delta_Market'!$A$1</f>
        <v>9</v>
      </c>
      <c r="C292" s="1488" t="str">
        <f>'Sensitivitaeten Delta_Market'!$B$1</f>
        <v>Delta-Sensitivitäten</v>
      </c>
      <c r="D292" s="1494" t="str">
        <f>'Sensitivitaeten Delta_Market'!$F$9</f>
        <v>Marktnaher Wert der Aktiven mit entsprechendem Risikofaktor</v>
      </c>
      <c r="E292" s="1488" t="str">
        <f>'Sensitivitaeten Delta_Market'!$F$11</f>
        <v>dem KVG- und UVG Geschäft zugeordnet</v>
      </c>
      <c r="F292" s="1494" t="str">
        <f>'Sensitivitaeten Delta_Market'!$B26</f>
        <v>GBP Zeros  2 Y</v>
      </c>
      <c r="G292" s="1494"/>
      <c r="H292" s="1077">
        <f>'Sensitivitaeten Delta_Market'!$F26</f>
        <v>0</v>
      </c>
      <c r="U292" s="1027"/>
      <c r="V292" s="1027"/>
      <c r="W292" s="1027"/>
    </row>
    <row r="293" spans="2:23" x14ac:dyDescent="0.2">
      <c r="B293" s="1493">
        <f>'Sensitivitaeten Delta_Market'!$A$1</f>
        <v>9</v>
      </c>
      <c r="C293" s="1488" t="str">
        <f>'Sensitivitaeten Delta_Market'!$B$1</f>
        <v>Delta-Sensitivitäten</v>
      </c>
      <c r="D293" s="1494" t="str">
        <f>'Sensitivitaeten Delta_Market'!$F$9</f>
        <v>Marktnaher Wert der Aktiven mit entsprechendem Risikofaktor</v>
      </c>
      <c r="E293" s="1488" t="str">
        <f>'Sensitivitaeten Delta_Market'!$F$11</f>
        <v>dem KVG- und UVG Geschäft zugeordnet</v>
      </c>
      <c r="F293" s="1494" t="str">
        <f>'Sensitivitaeten Delta_Market'!$B27</f>
        <v>GBP Zeros  10 Y</v>
      </c>
      <c r="G293" s="1494"/>
      <c r="H293" s="1077">
        <f>'Sensitivitaeten Delta_Market'!$F27</f>
        <v>0</v>
      </c>
      <c r="U293" s="1027"/>
      <c r="V293" s="1027"/>
      <c r="W293" s="1027"/>
    </row>
    <row r="294" spans="2:23" x14ac:dyDescent="0.2">
      <c r="B294" s="1493">
        <f>'Sensitivitaeten Delta_Market'!$A$1</f>
        <v>9</v>
      </c>
      <c r="C294" s="1488" t="str">
        <f>'Sensitivitaeten Delta_Market'!$B$1</f>
        <v>Delta-Sensitivitäten</v>
      </c>
      <c r="D294" s="1494" t="str">
        <f>'Sensitivitaeten Delta_Market'!$F$9</f>
        <v>Marktnaher Wert der Aktiven mit entsprechendem Risikofaktor</v>
      </c>
      <c r="E294" s="1488" t="str">
        <f>'Sensitivitaeten Delta_Market'!$F$11</f>
        <v>dem KVG- und UVG Geschäft zugeordnet</v>
      </c>
      <c r="F294" s="1494" t="str">
        <f>'Sensitivitaeten Delta_Market'!$B28</f>
        <v>GBP Zeros  30 Y</v>
      </c>
      <c r="G294" s="1494"/>
      <c r="H294" s="1077">
        <f>'Sensitivitaeten Delta_Market'!$F28</f>
        <v>0</v>
      </c>
      <c r="U294" s="1027"/>
      <c r="V294" s="1027"/>
      <c r="W294" s="1027"/>
    </row>
    <row r="295" spans="2:23" x14ac:dyDescent="0.2">
      <c r="B295" s="1493">
        <f>'Sensitivitaeten Delta_Market'!$A$1</f>
        <v>9</v>
      </c>
      <c r="C295" s="1488" t="str">
        <f>'Sensitivitaeten Delta_Market'!$B$1</f>
        <v>Delta-Sensitivitäten</v>
      </c>
      <c r="D295" s="1494" t="str">
        <f>'Sensitivitaeten Delta_Market'!$F$9</f>
        <v>Marktnaher Wert der Aktiven mit entsprechendem Risikofaktor</v>
      </c>
      <c r="E295" s="1488" t="str">
        <f>'Sensitivitaeten Delta_Market'!$F$11</f>
        <v>dem KVG- und UVG Geschäft zugeordnet</v>
      </c>
      <c r="F295" s="1625" t="s">
        <v>431</v>
      </c>
      <c r="G295" s="1617" t="s">
        <v>2301</v>
      </c>
      <c r="H295" s="1626"/>
      <c r="U295" s="1027"/>
      <c r="V295" s="1027"/>
      <c r="W295" s="1027"/>
    </row>
    <row r="296" spans="2:23" x14ac:dyDescent="0.2">
      <c r="B296" s="1493">
        <f>'Sensitivitaeten Delta_Market'!$A$1</f>
        <v>9</v>
      </c>
      <c r="C296" s="1488" t="str">
        <f>'Sensitivitaeten Delta_Market'!$B$1</f>
        <v>Delta-Sensitivitäten</v>
      </c>
      <c r="D296" s="1494" t="str">
        <f>'Sensitivitaeten Delta_Market'!$F$9</f>
        <v>Marktnaher Wert der Aktiven mit entsprechendem Risikofaktor</v>
      </c>
      <c r="E296" s="1488" t="str">
        <f>'Sensitivitaeten Delta_Market'!$F$11</f>
        <v>dem KVG- und UVG Geschäft zugeordnet</v>
      </c>
      <c r="F296" s="1625" t="s">
        <v>2320</v>
      </c>
      <c r="G296" s="1617" t="s">
        <v>2301</v>
      </c>
      <c r="H296" s="1626"/>
      <c r="U296" s="1027"/>
      <c r="V296" s="1027"/>
      <c r="W296" s="1027"/>
    </row>
    <row r="297" spans="2:23" x14ac:dyDescent="0.2">
      <c r="B297" s="1493">
        <f>'Sensitivitaeten Delta_Market'!$A$1</f>
        <v>9</v>
      </c>
      <c r="C297" s="1488" t="str">
        <f>'Sensitivitaeten Delta_Market'!$B$1</f>
        <v>Delta-Sensitivitäten</v>
      </c>
      <c r="D297" s="1494" t="str">
        <f>'Sensitivitaeten Delta_Market'!$F$9</f>
        <v>Marktnaher Wert der Aktiven mit entsprechendem Risikofaktor</v>
      </c>
      <c r="E297" s="1488" t="str">
        <f>'Sensitivitaeten Delta_Market'!$F$11</f>
        <v>dem KVG- und UVG Geschäft zugeordnet</v>
      </c>
      <c r="F297" s="1625" t="s">
        <v>2321</v>
      </c>
      <c r="G297" s="1617" t="s">
        <v>2301</v>
      </c>
      <c r="H297" s="1626"/>
      <c r="U297" s="1027"/>
      <c r="V297" s="1027"/>
      <c r="W297" s="1027"/>
    </row>
    <row r="298" spans="2:23" x14ac:dyDescent="0.2">
      <c r="B298" s="1493">
        <f>'Sensitivitaeten Delta_Market'!$A$1</f>
        <v>9</v>
      </c>
      <c r="C298" s="1488" t="str">
        <f>'Sensitivitaeten Delta_Market'!$B$1</f>
        <v>Delta-Sensitivitäten</v>
      </c>
      <c r="D298" s="1494" t="str">
        <f>'Sensitivitaeten Delta_Market'!$F$9</f>
        <v>Marktnaher Wert der Aktiven mit entsprechendem Risikofaktor</v>
      </c>
      <c r="E298" s="1488" t="str">
        <f>'Sensitivitaeten Delta_Market'!$F$11</f>
        <v>dem KVG- und UVG Geschäft zugeordnet</v>
      </c>
      <c r="F298" s="1625" t="s">
        <v>2322</v>
      </c>
      <c r="G298" s="1617" t="s">
        <v>2301</v>
      </c>
      <c r="H298" s="1626"/>
      <c r="U298" s="1027"/>
      <c r="V298" s="1027"/>
      <c r="W298" s="1027"/>
    </row>
    <row r="299" spans="2:23" x14ac:dyDescent="0.2">
      <c r="B299" s="1493">
        <f>'Sensitivitaeten Delta_Market'!$A$1</f>
        <v>9</v>
      </c>
      <c r="C299" s="1488" t="str">
        <f>'Sensitivitaeten Delta_Market'!$B$1</f>
        <v>Delta-Sensitivitäten</v>
      </c>
      <c r="D299" s="1494" t="str">
        <f>'Sensitivitaeten Delta_Market'!$F$9</f>
        <v>Marktnaher Wert der Aktiven mit entsprechendem Risikofaktor</v>
      </c>
      <c r="E299" s="1488" t="str">
        <f>'Sensitivitaeten Delta_Market'!$F$11</f>
        <v>dem KVG- und UVG Geschäft zugeordnet</v>
      </c>
      <c r="F299" s="1625" t="s">
        <v>2323</v>
      </c>
      <c r="G299" s="1617" t="s">
        <v>2301</v>
      </c>
      <c r="H299" s="1626"/>
      <c r="U299" s="1027"/>
      <c r="V299" s="1027"/>
      <c r="W299" s="1027"/>
    </row>
    <row r="300" spans="2:23" x14ac:dyDescent="0.2">
      <c r="B300" s="1493">
        <f>'Sensitivitaeten Delta_Market'!$A$1</f>
        <v>9</v>
      </c>
      <c r="C300" s="1488" t="str">
        <f>'Sensitivitaeten Delta_Market'!$B$1</f>
        <v>Delta-Sensitivitäten</v>
      </c>
      <c r="D300" s="1494" t="str">
        <f>'Sensitivitaeten Delta_Market'!$F$9</f>
        <v>Marktnaher Wert der Aktiven mit entsprechendem Risikofaktor</v>
      </c>
      <c r="E300" s="1488" t="str">
        <f>'Sensitivitaeten Delta_Market'!$F$11</f>
        <v>dem KVG- und UVG Geschäft zugeordnet</v>
      </c>
      <c r="F300" s="1625" t="s">
        <v>2324</v>
      </c>
      <c r="G300" s="1617" t="s">
        <v>2301</v>
      </c>
      <c r="H300" s="1626"/>
      <c r="U300" s="1027"/>
      <c r="V300" s="1027"/>
      <c r="W300" s="1027"/>
    </row>
    <row r="301" spans="2:23" x14ac:dyDescent="0.2">
      <c r="B301" s="1493">
        <f>'Sensitivitaeten Delta_Market'!$A$1</f>
        <v>9</v>
      </c>
      <c r="C301" s="1488" t="str">
        <f>'Sensitivitaeten Delta_Market'!$B$1</f>
        <v>Delta-Sensitivitäten</v>
      </c>
      <c r="D301" s="1494" t="str">
        <f>'Sensitivitaeten Delta_Market'!$F$9</f>
        <v>Marktnaher Wert der Aktiven mit entsprechendem Risikofaktor</v>
      </c>
      <c r="E301" s="1488" t="str">
        <f>'Sensitivitaeten Delta_Market'!$F$11</f>
        <v>dem KVG- und UVG Geschäft zugeordnet</v>
      </c>
      <c r="F301" s="1625" t="s">
        <v>2325</v>
      </c>
      <c r="G301" s="1617" t="s">
        <v>2301</v>
      </c>
      <c r="H301" s="1626"/>
      <c r="U301" s="1027"/>
      <c r="V301" s="1027"/>
      <c r="W301" s="1027"/>
    </row>
    <row r="302" spans="2:23" x14ac:dyDescent="0.2">
      <c r="B302" s="1493">
        <f>'Sensitivitaeten Delta_Market'!$A$1</f>
        <v>9</v>
      </c>
      <c r="C302" s="1488" t="str">
        <f>'Sensitivitaeten Delta_Market'!$B$1</f>
        <v>Delta-Sensitivitäten</v>
      </c>
      <c r="D302" s="1494" t="str">
        <f>'Sensitivitaeten Delta_Market'!$F$9</f>
        <v>Marktnaher Wert der Aktiven mit entsprechendem Risikofaktor</v>
      </c>
      <c r="E302" s="1488" t="str">
        <f>'Sensitivitaeten Delta_Market'!$F$11</f>
        <v>dem KVG- und UVG Geschäft zugeordnet</v>
      </c>
      <c r="F302" s="1625" t="s">
        <v>2326</v>
      </c>
      <c r="G302" s="1617" t="s">
        <v>2301</v>
      </c>
      <c r="H302" s="1626"/>
      <c r="U302" s="1027"/>
      <c r="V302" s="1027"/>
      <c r="W302" s="1027"/>
    </row>
    <row r="303" spans="2:23" x14ac:dyDescent="0.2">
      <c r="B303" s="1493">
        <f>'Sensitivitaeten Delta_Market'!$A$1</f>
        <v>9</v>
      </c>
      <c r="C303" s="1488" t="str">
        <f>'Sensitivitaeten Delta_Market'!$B$1</f>
        <v>Delta-Sensitivitäten</v>
      </c>
      <c r="D303" s="1494" t="str">
        <f>'Sensitivitaeten Delta_Market'!$F$9</f>
        <v>Marktnaher Wert der Aktiven mit entsprechendem Risikofaktor</v>
      </c>
      <c r="E303" s="1488" t="str">
        <f>'Sensitivitaeten Delta_Market'!$F$11</f>
        <v>dem KVG- und UVG Geschäft zugeordnet</v>
      </c>
      <c r="F303" s="1625" t="s">
        <v>2327</v>
      </c>
      <c r="G303" s="1617" t="s">
        <v>2301</v>
      </c>
      <c r="H303" s="1626"/>
      <c r="U303" s="1027"/>
      <c r="V303" s="1027"/>
      <c r="W303" s="1027"/>
    </row>
    <row r="304" spans="2:23" x14ac:dyDescent="0.2">
      <c r="B304" s="1493">
        <f>'Sensitivitaeten Delta_Market'!$A$1</f>
        <v>9</v>
      </c>
      <c r="C304" s="1488" t="str">
        <f>'Sensitivitaeten Delta_Market'!$B$1</f>
        <v>Delta-Sensitivitäten</v>
      </c>
      <c r="D304" s="1494" t="str">
        <f>'Sensitivitaeten Delta_Market'!$F$9</f>
        <v>Marktnaher Wert der Aktiven mit entsprechendem Risikofaktor</v>
      </c>
      <c r="E304" s="1488" t="str">
        <f>'Sensitivitaeten Delta_Market'!$F$11</f>
        <v>dem KVG- und UVG Geschäft zugeordnet</v>
      </c>
      <c r="F304" s="1625" t="s">
        <v>2328</v>
      </c>
      <c r="G304" s="1617" t="s">
        <v>2301</v>
      </c>
      <c r="H304" s="1626"/>
      <c r="U304" s="1027"/>
      <c r="V304" s="1027"/>
      <c r="W304" s="1027"/>
    </row>
    <row r="305" spans="2:23" x14ac:dyDescent="0.2">
      <c r="B305" s="1493">
        <f>'Sensitivitaeten Delta_Market'!$A$1</f>
        <v>9</v>
      </c>
      <c r="C305" s="1488" t="str">
        <f>'Sensitivitaeten Delta_Market'!$B$1</f>
        <v>Delta-Sensitivitäten</v>
      </c>
      <c r="D305" s="1494" t="str">
        <f>'Sensitivitaeten Delta_Market'!$F$9</f>
        <v>Marktnaher Wert der Aktiven mit entsprechendem Risikofaktor</v>
      </c>
      <c r="E305" s="1488" t="str">
        <f>'Sensitivitaeten Delta_Market'!$F$11</f>
        <v>dem KVG- und UVG Geschäft zugeordnet</v>
      </c>
      <c r="F305" s="1495" t="str">
        <f>'Sensitivitaeten Delta_Market'!$B29</f>
        <v>Implizite Zinsvolatilität</v>
      </c>
      <c r="G305" s="1494"/>
      <c r="H305" s="1077">
        <f>'Sensitivitaeten Delta_Market'!$F29</f>
        <v>0</v>
      </c>
      <c r="U305" s="1027"/>
      <c r="V305" s="1027"/>
      <c r="W305" s="1027"/>
    </row>
    <row r="306" spans="2:23" x14ac:dyDescent="0.2">
      <c r="B306" s="1493">
        <f>'Sensitivitaeten Delta_Market'!$A$1</f>
        <v>9</v>
      </c>
      <c r="C306" s="1488" t="str">
        <f>'Sensitivitaeten Delta_Market'!$B$1</f>
        <v>Delta-Sensitivitäten</v>
      </c>
      <c r="D306" s="1494" t="str">
        <f>'Sensitivitaeten Delta_Market'!$F$9</f>
        <v>Marktnaher Wert der Aktiven mit entsprechendem Risikofaktor</v>
      </c>
      <c r="E306" s="1488" t="str">
        <f>'Sensitivitaeten Delta_Market'!$F$11</f>
        <v>dem KVG- und UVG Geschäft zugeordnet</v>
      </c>
      <c r="F306" s="1495" t="str">
        <f>'Sensitivitaeten Delta_Market'!$B30</f>
        <v>Credit Spread USA   AAA</v>
      </c>
      <c r="G306" s="1494"/>
      <c r="H306" s="1077">
        <f>'Sensitivitaeten Delta_Market'!$F30</f>
        <v>0</v>
      </c>
      <c r="U306" s="1027"/>
      <c r="V306" s="1027"/>
      <c r="W306" s="1027"/>
    </row>
    <row r="307" spans="2:23" x14ac:dyDescent="0.2">
      <c r="B307" s="1493">
        <f>'Sensitivitaeten Delta_Market'!$A$1</f>
        <v>9</v>
      </c>
      <c r="C307" s="1488" t="str">
        <f>'Sensitivitaeten Delta_Market'!$B$1</f>
        <v>Delta-Sensitivitäten</v>
      </c>
      <c r="D307" s="1494" t="str">
        <f>'Sensitivitaeten Delta_Market'!$F$9</f>
        <v>Marktnaher Wert der Aktiven mit entsprechendem Risikofaktor</v>
      </c>
      <c r="E307" s="1488" t="str">
        <f>'Sensitivitaeten Delta_Market'!$F$11</f>
        <v>dem KVG- und UVG Geschäft zugeordnet</v>
      </c>
      <c r="F307" s="1495" t="str">
        <f>'Sensitivitaeten Delta_Market'!$B31</f>
        <v>Credit Spread USA   AA</v>
      </c>
      <c r="G307" s="1494"/>
      <c r="H307" s="1077">
        <f>'Sensitivitaeten Delta_Market'!$F31</f>
        <v>0</v>
      </c>
      <c r="U307" s="1027"/>
      <c r="V307" s="1027"/>
      <c r="W307" s="1027"/>
    </row>
    <row r="308" spans="2:23" x14ac:dyDescent="0.2">
      <c r="B308" s="1493">
        <f>'Sensitivitaeten Delta_Market'!$A$1</f>
        <v>9</v>
      </c>
      <c r="C308" s="1488" t="str">
        <f>'Sensitivitaeten Delta_Market'!$B$1</f>
        <v>Delta-Sensitivitäten</v>
      </c>
      <c r="D308" s="1494" t="str">
        <f>'Sensitivitaeten Delta_Market'!$F$9</f>
        <v>Marktnaher Wert der Aktiven mit entsprechendem Risikofaktor</v>
      </c>
      <c r="E308" s="1488" t="str">
        <f>'Sensitivitaeten Delta_Market'!$F$11</f>
        <v>dem KVG- und UVG Geschäft zugeordnet</v>
      </c>
      <c r="F308" s="1495" t="str">
        <f>'Sensitivitaeten Delta_Market'!$B32</f>
        <v>Credit Spread USA   A</v>
      </c>
      <c r="G308" s="1494"/>
      <c r="H308" s="1077">
        <f>'Sensitivitaeten Delta_Market'!$F32</f>
        <v>0</v>
      </c>
      <c r="U308" s="1027"/>
      <c r="V308" s="1027"/>
      <c r="W308" s="1027"/>
    </row>
    <row r="309" spans="2:23" x14ac:dyDescent="0.2">
      <c r="B309" s="1493">
        <f>'Sensitivitaeten Delta_Market'!$A$1</f>
        <v>9</v>
      </c>
      <c r="C309" s="1488" t="str">
        <f>'Sensitivitaeten Delta_Market'!$B$1</f>
        <v>Delta-Sensitivitäten</v>
      </c>
      <c r="D309" s="1494" t="str">
        <f>'Sensitivitaeten Delta_Market'!$F$9</f>
        <v>Marktnaher Wert der Aktiven mit entsprechendem Risikofaktor</v>
      </c>
      <c r="E309" s="1488" t="str">
        <f>'Sensitivitaeten Delta_Market'!$F$11</f>
        <v>dem KVG- und UVG Geschäft zugeordnet</v>
      </c>
      <c r="F309" s="1495" t="str">
        <f>'Sensitivitaeten Delta_Market'!$B33</f>
        <v>Credit Spread USA   BBB</v>
      </c>
      <c r="G309" s="1494"/>
      <c r="H309" s="1077">
        <f>'Sensitivitaeten Delta_Market'!$F33</f>
        <v>0</v>
      </c>
      <c r="U309" s="1027"/>
      <c r="V309" s="1027"/>
      <c r="W309" s="1027"/>
    </row>
    <row r="310" spans="2:23" x14ac:dyDescent="0.2">
      <c r="B310" s="1493">
        <f>'Sensitivitaeten Delta_Market'!$A$1</f>
        <v>9</v>
      </c>
      <c r="C310" s="1488" t="str">
        <f>'Sensitivitaeten Delta_Market'!$B$1</f>
        <v>Delta-Sensitivitäten</v>
      </c>
      <c r="D310" s="1494" t="str">
        <f>'Sensitivitaeten Delta_Market'!$F$9</f>
        <v>Marktnaher Wert der Aktiven mit entsprechendem Risikofaktor</v>
      </c>
      <c r="E310" s="1488" t="str">
        <f>'Sensitivitaeten Delta_Market'!$F$11</f>
        <v>dem KVG- und UVG Geschäft zugeordnet</v>
      </c>
      <c r="F310" s="1495" t="str">
        <f>'Sensitivitaeten Delta_Market'!$B34</f>
        <v>Credit Spread   BB</v>
      </c>
      <c r="G310" s="1494"/>
      <c r="H310" s="1077">
        <f>'Sensitivitaeten Delta_Market'!$F34</f>
        <v>0</v>
      </c>
      <c r="U310" s="1027"/>
      <c r="V310" s="1027"/>
      <c r="W310" s="1027"/>
    </row>
    <row r="311" spans="2:23" x14ac:dyDescent="0.2">
      <c r="B311" s="1493">
        <f>'Sensitivitaeten Delta_Market'!$A$1</f>
        <v>9</v>
      </c>
      <c r="C311" s="1488" t="str">
        <f>'Sensitivitaeten Delta_Market'!$B$1</f>
        <v>Delta-Sensitivitäten</v>
      </c>
      <c r="D311" s="1494" t="str">
        <f>'Sensitivitaeten Delta_Market'!$F$9</f>
        <v>Marktnaher Wert der Aktiven mit entsprechendem Risikofaktor</v>
      </c>
      <c r="E311" s="1488" t="str">
        <f>'Sensitivitaeten Delta_Market'!$F$11</f>
        <v>dem KVG- und UVG Geschäft zugeordnet</v>
      </c>
      <c r="F311" s="1625" t="s">
        <v>2100</v>
      </c>
      <c r="G311" s="1617" t="s">
        <v>2101</v>
      </c>
      <c r="H311" s="1626"/>
      <c r="U311" s="1027"/>
      <c r="V311" s="1027"/>
      <c r="W311" s="1027"/>
    </row>
    <row r="312" spans="2:23" x14ac:dyDescent="0.2">
      <c r="B312" s="1493">
        <f>'Sensitivitaeten Delta_Market'!$A$1</f>
        <v>9</v>
      </c>
      <c r="C312" s="1488" t="str">
        <f>'Sensitivitaeten Delta_Market'!$B$1</f>
        <v>Delta-Sensitivitäten</v>
      </c>
      <c r="D312" s="1494" t="str">
        <f>'Sensitivitaeten Delta_Market'!$F$9</f>
        <v>Marktnaher Wert der Aktiven mit entsprechendem Risikofaktor</v>
      </c>
      <c r="E312" s="1488" t="str">
        <f>'Sensitivitaeten Delta_Market'!$F$11</f>
        <v>dem KVG- und UVG Geschäft zugeordnet</v>
      </c>
      <c r="F312" s="1495" t="str">
        <f>'Sensitivitaeten Delta_Market'!$B35</f>
        <v>Credit Spread Europa   AA</v>
      </c>
      <c r="G312" s="1494"/>
      <c r="H312" s="1077">
        <f>'Sensitivitaeten Delta_Market'!$F35</f>
        <v>0</v>
      </c>
      <c r="U312" s="1027"/>
      <c r="V312" s="1027"/>
      <c r="W312" s="1027"/>
    </row>
    <row r="313" spans="2:23" x14ac:dyDescent="0.2">
      <c r="B313" s="1493">
        <f>'Sensitivitaeten Delta_Market'!$A$1</f>
        <v>9</v>
      </c>
      <c r="C313" s="1488" t="str">
        <f>'Sensitivitaeten Delta_Market'!$B$1</f>
        <v>Delta-Sensitivitäten</v>
      </c>
      <c r="D313" s="1494" t="str">
        <f>'Sensitivitaeten Delta_Market'!$F$9</f>
        <v>Marktnaher Wert der Aktiven mit entsprechendem Risikofaktor</v>
      </c>
      <c r="E313" s="1488" t="str">
        <f>'Sensitivitaeten Delta_Market'!$F$11</f>
        <v>dem KVG- und UVG Geschäft zugeordnet</v>
      </c>
      <c r="F313" s="1495" t="str">
        <f>'Sensitivitaeten Delta_Market'!$B36</f>
        <v>Credit Spread Europa   A</v>
      </c>
      <c r="G313" s="1494"/>
      <c r="H313" s="1077">
        <f>'Sensitivitaeten Delta_Market'!$F36</f>
        <v>0</v>
      </c>
      <c r="U313" s="1027"/>
      <c r="V313" s="1027"/>
      <c r="W313" s="1027"/>
    </row>
    <row r="314" spans="2:23" x14ac:dyDescent="0.2">
      <c r="B314" s="1493">
        <f>'Sensitivitaeten Delta_Market'!$A$1</f>
        <v>9</v>
      </c>
      <c r="C314" s="1488" t="str">
        <f>'Sensitivitaeten Delta_Market'!$B$1</f>
        <v>Delta-Sensitivitäten</v>
      </c>
      <c r="D314" s="1494" t="str">
        <f>'Sensitivitaeten Delta_Market'!$F$9</f>
        <v>Marktnaher Wert der Aktiven mit entsprechendem Risikofaktor</v>
      </c>
      <c r="E314" s="1488" t="str">
        <f>'Sensitivitaeten Delta_Market'!$F$11</f>
        <v>dem KVG- und UVG Geschäft zugeordnet</v>
      </c>
      <c r="F314" s="1495" t="str">
        <f>'Sensitivitaeten Delta_Market'!$B37</f>
        <v>Credit Spread Europa   BBB</v>
      </c>
      <c r="G314" s="1494"/>
      <c r="H314" s="1077">
        <f>'Sensitivitaeten Delta_Market'!$F37</f>
        <v>0</v>
      </c>
      <c r="U314" s="1027"/>
      <c r="V314" s="1027"/>
      <c r="W314" s="1027"/>
    </row>
    <row r="315" spans="2:23" x14ac:dyDescent="0.2">
      <c r="B315" s="1493">
        <f>'Sensitivitaeten Delta_Market'!$A$1</f>
        <v>9</v>
      </c>
      <c r="C315" s="1488" t="str">
        <f>'Sensitivitaeten Delta_Market'!$B$1</f>
        <v>Delta-Sensitivitäten</v>
      </c>
      <c r="D315" s="1494" t="str">
        <f>'Sensitivitaeten Delta_Market'!$F$9</f>
        <v>Marktnaher Wert der Aktiven mit entsprechendem Risikofaktor</v>
      </c>
      <c r="E315" s="1488" t="str">
        <f>'Sensitivitaeten Delta_Market'!$F$11</f>
        <v>dem KVG- und UVG Geschäft zugeordnet</v>
      </c>
      <c r="F315" s="1495" t="str">
        <f>'Sensitivitaeten Delta_Market'!$B41</f>
        <v>Swap-Government Spread</v>
      </c>
      <c r="G315" s="1494"/>
      <c r="H315" s="1077">
        <f>'Sensitivitaeten Delta_Market'!$F41</f>
        <v>0</v>
      </c>
      <c r="U315" s="1027"/>
      <c r="V315" s="1027"/>
      <c r="W315" s="1027"/>
    </row>
    <row r="316" spans="2:23" x14ac:dyDescent="0.2">
      <c r="B316" s="1493">
        <f>'Sensitivitaeten Delta_Market'!$A$1</f>
        <v>9</v>
      </c>
      <c r="C316" s="1488" t="str">
        <f>'Sensitivitaeten Delta_Market'!$B$1</f>
        <v>Delta-Sensitivitäten</v>
      </c>
      <c r="D316" s="1494" t="str">
        <f>'Sensitivitaeten Delta_Market'!$F$9</f>
        <v>Marktnaher Wert der Aktiven mit entsprechendem Risikofaktor</v>
      </c>
      <c r="E316" s="1488" t="str">
        <f>'Sensitivitaeten Delta_Market'!$F$11</f>
        <v>dem KVG- und UVG Geschäft zugeordnet</v>
      </c>
      <c r="F316" s="1495" t="str">
        <f>'Sensitivitaeten Delta_Market'!$B42</f>
        <v>Wechselkurs   EUR/CHF</v>
      </c>
      <c r="G316" s="1494"/>
      <c r="H316" s="1077">
        <f>'Sensitivitaeten Delta_Market'!$F42</f>
        <v>0</v>
      </c>
      <c r="U316" s="1027"/>
      <c r="V316" s="1027"/>
      <c r="W316" s="1027"/>
    </row>
    <row r="317" spans="2:23" x14ac:dyDescent="0.2">
      <c r="B317" s="1493">
        <f>'Sensitivitaeten Delta_Market'!$A$1</f>
        <v>9</v>
      </c>
      <c r="C317" s="1488" t="str">
        <f>'Sensitivitaeten Delta_Market'!$B$1</f>
        <v>Delta-Sensitivitäten</v>
      </c>
      <c r="D317" s="1494" t="str">
        <f>'Sensitivitaeten Delta_Market'!$F$9</f>
        <v>Marktnaher Wert der Aktiven mit entsprechendem Risikofaktor</v>
      </c>
      <c r="E317" s="1488" t="str">
        <f>'Sensitivitaeten Delta_Market'!$F$11</f>
        <v>dem KVG- und UVG Geschäft zugeordnet</v>
      </c>
      <c r="F317" s="1495" t="str">
        <f>'Sensitivitaeten Delta_Market'!$B43</f>
        <v>Wechselkurs   USD/CHF</v>
      </c>
      <c r="G317" s="1494"/>
      <c r="H317" s="1077">
        <f>'Sensitivitaeten Delta_Market'!$F43</f>
        <v>0</v>
      </c>
      <c r="U317" s="1027"/>
      <c r="V317" s="1027"/>
      <c r="W317" s="1027"/>
    </row>
    <row r="318" spans="2:23" x14ac:dyDescent="0.2">
      <c r="B318" s="1493">
        <f>'Sensitivitaeten Delta_Market'!$A$1</f>
        <v>9</v>
      </c>
      <c r="C318" s="1488" t="str">
        <f>'Sensitivitaeten Delta_Market'!$B$1</f>
        <v>Delta-Sensitivitäten</v>
      </c>
      <c r="D318" s="1494" t="str">
        <f>'Sensitivitaeten Delta_Market'!$F$9</f>
        <v>Marktnaher Wert der Aktiven mit entsprechendem Risikofaktor</v>
      </c>
      <c r="E318" s="1488" t="str">
        <f>'Sensitivitaeten Delta_Market'!$F$11</f>
        <v>dem KVG- und UVG Geschäft zugeordnet</v>
      </c>
      <c r="F318" s="1495" t="str">
        <f>'Sensitivitaeten Delta_Market'!$B44</f>
        <v>Wechselkurs   GBP/CHF</v>
      </c>
      <c r="G318" s="1494"/>
      <c r="H318" s="1077">
        <f>'Sensitivitaeten Delta_Market'!$F44</f>
        <v>0</v>
      </c>
      <c r="U318" s="1027"/>
      <c r="V318" s="1027"/>
      <c r="W318" s="1027"/>
    </row>
    <row r="319" spans="2:23" x14ac:dyDescent="0.2">
      <c r="B319" s="1493">
        <f>'Sensitivitaeten Delta_Market'!$A$1</f>
        <v>9</v>
      </c>
      <c r="C319" s="1488" t="str">
        <f>'Sensitivitaeten Delta_Market'!$B$1</f>
        <v>Delta-Sensitivitäten</v>
      </c>
      <c r="D319" s="1494" t="str">
        <f>'Sensitivitaeten Delta_Market'!$F$9</f>
        <v>Marktnaher Wert der Aktiven mit entsprechendem Risikofaktor</v>
      </c>
      <c r="E319" s="1488" t="str">
        <f>'Sensitivitaeten Delta_Market'!$F$11</f>
        <v>dem KVG- und UVG Geschäft zugeordnet</v>
      </c>
      <c r="F319" s="1495" t="str">
        <f>'Sensitivitaeten Delta_Market'!$B45</f>
        <v>Wechselkurs   JPY/CHF</v>
      </c>
      <c r="G319" s="1494"/>
      <c r="H319" s="1077">
        <f>'Sensitivitaeten Delta_Market'!$F45</f>
        <v>0</v>
      </c>
      <c r="U319" s="1027"/>
      <c r="V319" s="1027"/>
      <c r="W319" s="1027"/>
    </row>
    <row r="320" spans="2:23" x14ac:dyDescent="0.2">
      <c r="B320" s="1493">
        <f>'Sensitivitaeten Delta_Market'!$A$1</f>
        <v>9</v>
      </c>
      <c r="C320" s="1488" t="str">
        <f>'Sensitivitaeten Delta_Market'!$B$1</f>
        <v>Delta-Sensitivitäten</v>
      </c>
      <c r="D320" s="1494" t="str">
        <f>'Sensitivitaeten Delta_Market'!$F$9</f>
        <v>Marktnaher Wert der Aktiven mit entsprechendem Risikofaktor</v>
      </c>
      <c r="E320" s="1488" t="str">
        <f>'Sensitivitaeten Delta_Market'!$F$11</f>
        <v>dem KVG- und UVG Geschäft zugeordnet</v>
      </c>
      <c r="F320" s="1495" t="str">
        <f>'Sensitivitaeten Delta_Market'!$B46</f>
        <v xml:space="preserve">Implizite FX-Volatilität </v>
      </c>
      <c r="G320" s="1494"/>
      <c r="H320" s="1077">
        <f>'Sensitivitaeten Delta_Market'!$F46</f>
        <v>0</v>
      </c>
      <c r="U320" s="1027"/>
      <c r="V320" s="1027"/>
      <c r="W320" s="1027"/>
    </row>
    <row r="321" spans="2:23" x14ac:dyDescent="0.2">
      <c r="B321" s="1493">
        <f>'Sensitivitaeten Delta_Market'!$A$1</f>
        <v>9</v>
      </c>
      <c r="C321" s="1488" t="str">
        <f>'Sensitivitaeten Delta_Market'!$B$1</f>
        <v>Delta-Sensitivitäten</v>
      </c>
      <c r="D321" s="1494" t="str">
        <f>'Sensitivitaeten Delta_Market'!$F$9</f>
        <v>Marktnaher Wert der Aktiven mit entsprechendem Risikofaktor</v>
      </c>
      <c r="E321" s="1488" t="str">
        <f>'Sensitivitaeten Delta_Market'!$F$11</f>
        <v>dem KVG- und UVG Geschäft zugeordnet</v>
      </c>
      <c r="F321" s="1495" t="str">
        <f>'Sensitivitaeten Delta_Market'!$B47</f>
        <v>Aktien Schweiz</v>
      </c>
      <c r="G321" s="1494"/>
      <c r="H321" s="1077">
        <f>'Sensitivitaeten Delta_Market'!$F47</f>
        <v>0</v>
      </c>
      <c r="U321" s="1027"/>
      <c r="V321" s="1027"/>
      <c r="W321" s="1027"/>
    </row>
    <row r="322" spans="2:23" x14ac:dyDescent="0.2">
      <c r="B322" s="1493">
        <f>'Sensitivitaeten Delta_Market'!$A$1</f>
        <v>9</v>
      </c>
      <c r="C322" s="1488" t="str">
        <f>'Sensitivitaeten Delta_Market'!$B$1</f>
        <v>Delta-Sensitivitäten</v>
      </c>
      <c r="D322" s="1494" t="str">
        <f>'Sensitivitaeten Delta_Market'!$F$9</f>
        <v>Marktnaher Wert der Aktiven mit entsprechendem Risikofaktor</v>
      </c>
      <c r="E322" s="1488" t="str">
        <f>'Sensitivitaeten Delta_Market'!$F$11</f>
        <v>dem KVG- und UVG Geschäft zugeordnet</v>
      </c>
      <c r="F322" s="1495" t="str">
        <f>'Sensitivitaeten Delta_Market'!$B48</f>
        <v>Aktien EMU</v>
      </c>
      <c r="G322" s="1494"/>
      <c r="H322" s="1077">
        <f>'Sensitivitaeten Delta_Market'!$F48</f>
        <v>0</v>
      </c>
      <c r="U322" s="1027"/>
      <c r="V322" s="1027"/>
      <c r="W322" s="1027"/>
    </row>
    <row r="323" spans="2:23" x14ac:dyDescent="0.2">
      <c r="B323" s="1493">
        <f>'Sensitivitaeten Delta_Market'!$A$1</f>
        <v>9</v>
      </c>
      <c r="C323" s="1488" t="str">
        <f>'Sensitivitaeten Delta_Market'!$B$1</f>
        <v>Delta-Sensitivitäten</v>
      </c>
      <c r="D323" s="1494" t="str">
        <f>'Sensitivitaeten Delta_Market'!$F$9</f>
        <v>Marktnaher Wert der Aktiven mit entsprechendem Risikofaktor</v>
      </c>
      <c r="E323" s="1488" t="str">
        <f>'Sensitivitaeten Delta_Market'!$F$11</f>
        <v>dem KVG- und UVG Geschäft zugeordnet</v>
      </c>
      <c r="F323" s="1495" t="str">
        <f>'Sensitivitaeten Delta_Market'!$B49</f>
        <v>Aktien USA</v>
      </c>
      <c r="G323" s="1494"/>
      <c r="H323" s="1077">
        <f>'Sensitivitaeten Delta_Market'!$F49</f>
        <v>0</v>
      </c>
      <c r="U323" s="1027"/>
      <c r="V323" s="1027"/>
      <c r="W323" s="1027"/>
    </row>
    <row r="324" spans="2:23" x14ac:dyDescent="0.2">
      <c r="B324" s="1493">
        <f>'Sensitivitaeten Delta_Market'!$A$1</f>
        <v>9</v>
      </c>
      <c r="C324" s="1488" t="str">
        <f>'Sensitivitaeten Delta_Market'!$B$1</f>
        <v>Delta-Sensitivitäten</v>
      </c>
      <c r="D324" s="1494" t="str">
        <f>'Sensitivitaeten Delta_Market'!$F$9</f>
        <v>Marktnaher Wert der Aktiven mit entsprechendem Risikofaktor</v>
      </c>
      <c r="E324" s="1488" t="str">
        <f>'Sensitivitaeten Delta_Market'!$F$11</f>
        <v>dem KVG- und UVG Geschäft zugeordnet</v>
      </c>
      <c r="F324" s="1495" t="str">
        <f>'Sensitivitaeten Delta_Market'!$B50</f>
        <v>Aktien Grossbritannien</v>
      </c>
      <c r="G324" s="1494"/>
      <c r="H324" s="1077">
        <f>'Sensitivitaeten Delta_Market'!$F50</f>
        <v>0</v>
      </c>
      <c r="U324" s="1027"/>
      <c r="V324" s="1027"/>
      <c r="W324" s="1027"/>
    </row>
    <row r="325" spans="2:23" x14ac:dyDescent="0.2">
      <c r="B325" s="1493">
        <f>'Sensitivitaeten Delta_Market'!$A$1</f>
        <v>9</v>
      </c>
      <c r="C325" s="1488" t="str">
        <f>'Sensitivitaeten Delta_Market'!$B$1</f>
        <v>Delta-Sensitivitäten</v>
      </c>
      <c r="D325" s="1494" t="str">
        <f>'Sensitivitaeten Delta_Market'!$F$9</f>
        <v>Marktnaher Wert der Aktiven mit entsprechendem Risikofaktor</v>
      </c>
      <c r="E325" s="1488" t="str">
        <f>'Sensitivitaeten Delta_Market'!$F$11</f>
        <v>dem KVG- und UVG Geschäft zugeordnet</v>
      </c>
      <c r="F325" s="1495" t="str">
        <f>'Sensitivitaeten Delta_Market'!$B51</f>
        <v>Aktien Japan</v>
      </c>
      <c r="G325" s="1494"/>
      <c r="H325" s="1077">
        <f>'Sensitivitaeten Delta_Market'!$F51</f>
        <v>0</v>
      </c>
      <c r="U325" s="1027"/>
      <c r="V325" s="1027"/>
      <c r="W325" s="1027"/>
    </row>
    <row r="326" spans="2:23" x14ac:dyDescent="0.2">
      <c r="B326" s="1493">
        <f>'Sensitivitaeten Delta_Market'!$A$1</f>
        <v>9</v>
      </c>
      <c r="C326" s="1488" t="str">
        <f>'Sensitivitaeten Delta_Market'!$B$1</f>
        <v>Delta-Sensitivitäten</v>
      </c>
      <c r="D326" s="1494" t="str">
        <f>'Sensitivitaeten Delta_Market'!$F$9</f>
        <v>Marktnaher Wert der Aktiven mit entsprechendem Risikofaktor</v>
      </c>
      <c r="E326" s="1488" t="str">
        <f>'Sensitivitaeten Delta_Market'!$F$11</f>
        <v>dem KVG- und UVG Geschäft zugeordnet</v>
      </c>
      <c r="F326" s="1625" t="s">
        <v>2338</v>
      </c>
      <c r="G326" s="1617" t="s">
        <v>2301</v>
      </c>
      <c r="H326" s="1626"/>
      <c r="U326" s="1027"/>
      <c r="V326" s="1027"/>
      <c r="W326" s="1027"/>
    </row>
    <row r="327" spans="2:23" x14ac:dyDescent="0.2">
      <c r="B327" s="1493">
        <f>'Sensitivitaeten Delta_Market'!$A$1</f>
        <v>9</v>
      </c>
      <c r="C327" s="1488" t="str">
        <f>'Sensitivitaeten Delta_Market'!$B$1</f>
        <v>Delta-Sensitivitäten</v>
      </c>
      <c r="D327" s="1494" t="str">
        <f>'Sensitivitaeten Delta_Market'!$F$9</f>
        <v>Marktnaher Wert der Aktiven mit entsprechendem Risikofaktor</v>
      </c>
      <c r="E327" s="1488" t="str">
        <f>'Sensitivitaeten Delta_Market'!$F$11</f>
        <v>dem KVG- und UVG Geschäft zugeordnet</v>
      </c>
      <c r="F327" s="1625" t="s">
        <v>2339</v>
      </c>
      <c r="G327" s="1617" t="s">
        <v>2301</v>
      </c>
      <c r="H327" s="1626"/>
      <c r="U327" s="1027"/>
      <c r="V327" s="1027"/>
      <c r="W327" s="1027"/>
    </row>
    <row r="328" spans="2:23" x14ac:dyDescent="0.2">
      <c r="B328" s="1493">
        <f>'Sensitivitaeten Delta_Market'!$A$1</f>
        <v>9</v>
      </c>
      <c r="C328" s="1488" t="str">
        <f>'Sensitivitaeten Delta_Market'!$B$1</f>
        <v>Delta-Sensitivitäten</v>
      </c>
      <c r="D328" s="1494" t="str">
        <f>'Sensitivitaeten Delta_Market'!$F$9</f>
        <v>Marktnaher Wert der Aktiven mit entsprechendem Risikofaktor</v>
      </c>
      <c r="E328" s="1488" t="str">
        <f>'Sensitivitaeten Delta_Market'!$F$11</f>
        <v>dem KVG- und UVG Geschäft zugeordnet</v>
      </c>
      <c r="F328" s="1497" t="str">
        <f>'Sensitivitaeten Delta_Market'!$B52</f>
        <v>Implizite Aktienvolatilität</v>
      </c>
      <c r="G328" s="1494"/>
      <c r="H328" s="1077">
        <f>'Sensitivitaeten Delta_Market'!$F52</f>
        <v>0</v>
      </c>
      <c r="U328" s="1027"/>
      <c r="V328" s="1027"/>
      <c r="W328" s="1027"/>
    </row>
    <row r="329" spans="2:23" x14ac:dyDescent="0.2">
      <c r="B329" s="1493">
        <f>'Sensitivitaeten Delta_Market'!$A$1</f>
        <v>9</v>
      </c>
      <c r="C329" s="1488" t="str">
        <f>'Sensitivitaeten Delta_Market'!$B$1</f>
        <v>Delta-Sensitivitäten</v>
      </c>
      <c r="D329" s="1494" t="str">
        <f>'Sensitivitaeten Delta_Market'!$F$9</f>
        <v>Marktnaher Wert der Aktiven mit entsprechendem Risikofaktor</v>
      </c>
      <c r="E329" s="1488" t="str">
        <f>'Sensitivitaeten Delta_Market'!$F$11</f>
        <v>dem KVG- und UVG Geschäft zugeordnet</v>
      </c>
      <c r="F329" s="1495" t="str">
        <f>'Sensitivitaeten Delta_Market'!$B53</f>
        <v>Hedgefonds</v>
      </c>
      <c r="G329" s="1494"/>
      <c r="H329" s="1077">
        <f>'Sensitivitaeten Delta_Market'!$F53</f>
        <v>0</v>
      </c>
      <c r="U329" s="1027"/>
      <c r="V329" s="1027"/>
      <c r="W329" s="1027"/>
    </row>
    <row r="330" spans="2:23" x14ac:dyDescent="0.2">
      <c r="B330" s="1493"/>
      <c r="C330" s="1488"/>
      <c r="D330" s="1494"/>
      <c r="E330" s="1488"/>
      <c r="F330" s="1495"/>
      <c r="G330" s="1494"/>
      <c r="H330" s="1078"/>
      <c r="U330" s="1027"/>
      <c r="V330" s="1027"/>
      <c r="W330" s="1027"/>
    </row>
    <row r="331" spans="2:23" x14ac:dyDescent="0.2">
      <c r="B331" s="1493">
        <f>'Sensitivitaeten Delta_Market'!$A$1</f>
        <v>9</v>
      </c>
      <c r="C331" s="1488" t="str">
        <f>'Sensitivitaeten Delta_Market'!$B$1</f>
        <v>Delta-Sensitivitäten</v>
      </c>
      <c r="D331" s="1494" t="str">
        <f>'Sensitivitaeten Delta_Market'!$F$9</f>
        <v>Marktnaher Wert der Aktiven mit entsprechendem Risikofaktor</v>
      </c>
      <c r="E331" s="1488" t="str">
        <f>'Sensitivitaeten Delta_Market'!$G$11</f>
        <v>dem übrigen Geschäft zugeordnet</v>
      </c>
      <c r="F331" s="1625" t="s">
        <v>428</v>
      </c>
      <c r="G331" s="1617" t="s">
        <v>2301</v>
      </c>
      <c r="H331" s="1626"/>
      <c r="U331" s="1027"/>
      <c r="V331" s="1027"/>
      <c r="W331" s="1027"/>
    </row>
    <row r="332" spans="2:23" x14ac:dyDescent="0.2">
      <c r="B332" s="1493">
        <f>'Sensitivitaeten Delta_Market'!$A$1</f>
        <v>9</v>
      </c>
      <c r="C332" s="1488" t="str">
        <f>'Sensitivitaeten Delta_Market'!$B$1</f>
        <v>Delta-Sensitivitäten</v>
      </c>
      <c r="D332" s="1494" t="str">
        <f>'Sensitivitaeten Delta_Market'!$F$9</f>
        <v>Marktnaher Wert der Aktiven mit entsprechendem Risikofaktor</v>
      </c>
      <c r="E332" s="1488" t="str">
        <f>'Sensitivitaeten Delta_Market'!$G$11</f>
        <v>dem übrigen Geschäft zugeordnet</v>
      </c>
      <c r="F332" s="1494" t="str">
        <f>'Sensitivitaeten Delta_Market'!$B17</f>
        <v>CHF Zeros  2 Y</v>
      </c>
      <c r="G332" s="1494"/>
      <c r="H332" s="1077">
        <f>'Sensitivitaeten Delta_Market'!$G17</f>
        <v>0</v>
      </c>
      <c r="U332" s="1027"/>
      <c r="V332" s="1027"/>
      <c r="W332" s="1027"/>
    </row>
    <row r="333" spans="2:23" x14ac:dyDescent="0.2">
      <c r="B333" s="1493">
        <f>'Sensitivitaeten Delta_Market'!$A$1</f>
        <v>9</v>
      </c>
      <c r="C333" s="1488" t="str">
        <f>'Sensitivitaeten Delta_Market'!$B$1</f>
        <v>Delta-Sensitivitäten</v>
      </c>
      <c r="D333" s="1494" t="str">
        <f>'Sensitivitaeten Delta_Market'!$F$9</f>
        <v>Marktnaher Wert der Aktiven mit entsprechendem Risikofaktor</v>
      </c>
      <c r="E333" s="1488" t="str">
        <f>'Sensitivitaeten Delta_Market'!$G$11</f>
        <v>dem übrigen Geschäft zugeordnet</v>
      </c>
      <c r="F333" s="1625" t="s">
        <v>2302</v>
      </c>
      <c r="G333" s="1617" t="s">
        <v>2301</v>
      </c>
      <c r="H333" s="1626"/>
      <c r="U333" s="1027"/>
      <c r="V333" s="1027"/>
      <c r="W333" s="1027"/>
    </row>
    <row r="334" spans="2:23" x14ac:dyDescent="0.2">
      <c r="B334" s="1493">
        <f>'Sensitivitaeten Delta_Market'!$A$1</f>
        <v>9</v>
      </c>
      <c r="C334" s="1488" t="str">
        <f>'Sensitivitaeten Delta_Market'!$B$1</f>
        <v>Delta-Sensitivitäten</v>
      </c>
      <c r="D334" s="1494" t="str">
        <f>'Sensitivitaeten Delta_Market'!$F$9</f>
        <v>Marktnaher Wert der Aktiven mit entsprechendem Risikofaktor</v>
      </c>
      <c r="E334" s="1488" t="str">
        <f>'Sensitivitaeten Delta_Market'!$G$11</f>
        <v>dem übrigen Geschäft zugeordnet</v>
      </c>
      <c r="F334" s="1625" t="s">
        <v>2303</v>
      </c>
      <c r="G334" s="1617" t="s">
        <v>2301</v>
      </c>
      <c r="H334" s="1626"/>
      <c r="U334" s="1027"/>
      <c r="V334" s="1027"/>
      <c r="W334" s="1027"/>
    </row>
    <row r="335" spans="2:23" x14ac:dyDescent="0.2">
      <c r="B335" s="1493">
        <f>'Sensitivitaeten Delta_Market'!$A$1</f>
        <v>9</v>
      </c>
      <c r="C335" s="1488" t="str">
        <f>'Sensitivitaeten Delta_Market'!$B$1</f>
        <v>Delta-Sensitivitäten</v>
      </c>
      <c r="D335" s="1494" t="str">
        <f>'Sensitivitaeten Delta_Market'!$F$9</f>
        <v>Marktnaher Wert der Aktiven mit entsprechendem Risikofaktor</v>
      </c>
      <c r="E335" s="1488" t="str">
        <f>'Sensitivitaeten Delta_Market'!$G$11</f>
        <v>dem übrigen Geschäft zugeordnet</v>
      </c>
      <c r="F335" s="1625" t="s">
        <v>2304</v>
      </c>
      <c r="G335" s="1617" t="s">
        <v>2301</v>
      </c>
      <c r="H335" s="1626"/>
      <c r="U335" s="1027"/>
      <c r="V335" s="1027"/>
      <c r="W335" s="1027"/>
    </row>
    <row r="336" spans="2:23" x14ac:dyDescent="0.2">
      <c r="B336" s="1493">
        <f>'Sensitivitaeten Delta_Market'!$A$1</f>
        <v>9</v>
      </c>
      <c r="C336" s="1488" t="str">
        <f>'Sensitivitaeten Delta_Market'!$B$1</f>
        <v>Delta-Sensitivitäten</v>
      </c>
      <c r="D336" s="1494" t="str">
        <f>'Sensitivitaeten Delta_Market'!$F$9</f>
        <v>Marktnaher Wert der Aktiven mit entsprechendem Risikofaktor</v>
      </c>
      <c r="E336" s="1488" t="str">
        <f>'Sensitivitaeten Delta_Market'!$G$11</f>
        <v>dem übrigen Geschäft zugeordnet</v>
      </c>
      <c r="F336" s="1625" t="s">
        <v>2305</v>
      </c>
      <c r="G336" s="1617" t="s">
        <v>2301</v>
      </c>
      <c r="H336" s="1626"/>
      <c r="U336" s="1027"/>
      <c r="V336" s="1027"/>
      <c r="W336" s="1027"/>
    </row>
    <row r="337" spans="2:23" x14ac:dyDescent="0.2">
      <c r="B337" s="1493">
        <f>'Sensitivitaeten Delta_Market'!$A$1</f>
        <v>9</v>
      </c>
      <c r="C337" s="1488" t="str">
        <f>'Sensitivitaeten Delta_Market'!$B$1</f>
        <v>Delta-Sensitivitäten</v>
      </c>
      <c r="D337" s="1494" t="str">
        <f>'Sensitivitaeten Delta_Market'!$F$9</f>
        <v>Marktnaher Wert der Aktiven mit entsprechendem Risikofaktor</v>
      </c>
      <c r="E337" s="1488" t="str">
        <f>'Sensitivitaeten Delta_Market'!$G$11</f>
        <v>dem übrigen Geschäft zugeordnet</v>
      </c>
      <c r="F337" s="1625" t="s">
        <v>2307</v>
      </c>
      <c r="G337" s="1617" t="s">
        <v>2301</v>
      </c>
      <c r="H337" s="1626"/>
      <c r="U337" s="1027"/>
      <c r="V337" s="1027"/>
      <c r="W337" s="1027"/>
    </row>
    <row r="338" spans="2:23" x14ac:dyDescent="0.2">
      <c r="B338" s="1493">
        <f>'Sensitivitaeten Delta_Market'!$A$1</f>
        <v>9</v>
      </c>
      <c r="C338" s="1488" t="str">
        <f>'Sensitivitaeten Delta_Market'!$B$1</f>
        <v>Delta-Sensitivitäten</v>
      </c>
      <c r="D338" s="1494" t="str">
        <f>'Sensitivitaeten Delta_Market'!$F$9</f>
        <v>Marktnaher Wert der Aktiven mit entsprechendem Risikofaktor</v>
      </c>
      <c r="E338" s="1488" t="str">
        <f>'Sensitivitaeten Delta_Market'!$G$11</f>
        <v>dem übrigen Geschäft zugeordnet</v>
      </c>
      <c r="F338" s="1625" t="s">
        <v>2306</v>
      </c>
      <c r="G338" s="1617" t="s">
        <v>2301</v>
      </c>
      <c r="H338" s="1626"/>
      <c r="U338" s="1027"/>
      <c r="V338" s="1027"/>
      <c r="W338" s="1027"/>
    </row>
    <row r="339" spans="2:23" x14ac:dyDescent="0.2">
      <c r="B339" s="1493">
        <f>'Sensitivitaeten Delta_Market'!$A$1</f>
        <v>9</v>
      </c>
      <c r="C339" s="1488" t="str">
        <f>'Sensitivitaeten Delta_Market'!$B$1</f>
        <v>Delta-Sensitivitäten</v>
      </c>
      <c r="D339" s="1494" t="str">
        <f>'Sensitivitaeten Delta_Market'!$F$9</f>
        <v>Marktnaher Wert der Aktiven mit entsprechendem Risikofaktor</v>
      </c>
      <c r="E339" s="1488" t="str">
        <f>'Sensitivitaeten Delta_Market'!$G$11</f>
        <v>dem übrigen Geschäft zugeordnet</v>
      </c>
      <c r="F339" s="1625" t="s">
        <v>2308</v>
      </c>
      <c r="G339" s="1617" t="s">
        <v>2301</v>
      </c>
      <c r="H339" s="1626"/>
      <c r="U339" s="1027"/>
      <c r="V339" s="1027"/>
      <c r="W339" s="1027"/>
    </row>
    <row r="340" spans="2:23" x14ac:dyDescent="0.2">
      <c r="B340" s="1493">
        <f>'Sensitivitaeten Delta_Market'!$A$1</f>
        <v>9</v>
      </c>
      <c r="C340" s="1488" t="str">
        <f>'Sensitivitaeten Delta_Market'!$B$1</f>
        <v>Delta-Sensitivitäten</v>
      </c>
      <c r="D340" s="1494" t="str">
        <f>'Sensitivitaeten Delta_Market'!$F$9</f>
        <v>Marktnaher Wert der Aktiven mit entsprechendem Risikofaktor</v>
      </c>
      <c r="E340" s="1488" t="str">
        <f>'Sensitivitaeten Delta_Market'!$G$11</f>
        <v>dem übrigen Geschäft zugeordnet</v>
      </c>
      <c r="F340" s="1495" t="str">
        <f>'Sensitivitaeten Delta_Market'!$B18</f>
        <v>CHF Zeros  10 Y</v>
      </c>
      <c r="G340" s="1494"/>
      <c r="H340" s="1077">
        <f>'Sensitivitaeten Delta_Market'!$G18</f>
        <v>0</v>
      </c>
      <c r="U340" s="1027"/>
      <c r="V340" s="1027"/>
      <c r="W340" s="1027"/>
    </row>
    <row r="341" spans="2:23" x14ac:dyDescent="0.2">
      <c r="B341" s="1493">
        <f>'Sensitivitaeten Delta_Market'!$A$1</f>
        <v>9</v>
      </c>
      <c r="C341" s="1488" t="str">
        <f>'Sensitivitaeten Delta_Market'!$B$1</f>
        <v>Delta-Sensitivitäten</v>
      </c>
      <c r="D341" s="1494" t="str">
        <f>'Sensitivitaeten Delta_Market'!$F$9</f>
        <v>Marktnaher Wert der Aktiven mit entsprechendem Risikofaktor</v>
      </c>
      <c r="E341" s="1488" t="str">
        <f>'Sensitivitaeten Delta_Market'!$G$11</f>
        <v>dem übrigen Geschäft zugeordnet</v>
      </c>
      <c r="F341" s="1625" t="s">
        <v>2309</v>
      </c>
      <c r="G341" s="1617" t="s">
        <v>2301</v>
      </c>
      <c r="H341" s="1626"/>
      <c r="U341" s="1027"/>
      <c r="V341" s="1027"/>
      <c r="W341" s="1027"/>
    </row>
    <row r="342" spans="2:23" x14ac:dyDescent="0.2">
      <c r="B342" s="1493">
        <f>'Sensitivitaeten Delta_Market'!$A$1</f>
        <v>9</v>
      </c>
      <c r="C342" s="1488" t="str">
        <f>'Sensitivitaeten Delta_Market'!$B$1</f>
        <v>Delta-Sensitivitäten</v>
      </c>
      <c r="D342" s="1494" t="str">
        <f>'Sensitivitaeten Delta_Market'!$F$9</f>
        <v>Marktnaher Wert der Aktiven mit entsprechendem Risikofaktor</v>
      </c>
      <c r="E342" s="1488" t="str">
        <f>'Sensitivitaeten Delta_Market'!$G$11</f>
        <v>dem übrigen Geschäft zugeordnet</v>
      </c>
      <c r="F342" s="1625" t="s">
        <v>2310</v>
      </c>
      <c r="G342" s="1617" t="s">
        <v>2301</v>
      </c>
      <c r="H342" s="1626"/>
      <c r="U342" s="1027"/>
      <c r="V342" s="1027"/>
      <c r="W342" s="1027"/>
    </row>
    <row r="343" spans="2:23" x14ac:dyDescent="0.2">
      <c r="B343" s="1493">
        <f>'Sensitivitaeten Delta_Market'!$A$1</f>
        <v>9</v>
      </c>
      <c r="C343" s="1488" t="str">
        <f>'Sensitivitaeten Delta_Market'!$B$1</f>
        <v>Delta-Sensitivitäten</v>
      </c>
      <c r="D343" s="1494" t="str">
        <f>'Sensitivitaeten Delta_Market'!$F$9</f>
        <v>Marktnaher Wert der Aktiven mit entsprechendem Risikofaktor</v>
      </c>
      <c r="E343" s="1488" t="str">
        <f>'Sensitivitaeten Delta_Market'!$G$11</f>
        <v>dem übrigen Geschäft zugeordnet</v>
      </c>
      <c r="F343" s="1495" t="str">
        <f>'Sensitivitaeten Delta_Market'!$B19</f>
        <v>CHF Zeros  30 Y</v>
      </c>
      <c r="G343" s="1494"/>
      <c r="H343" s="1077">
        <f>'Sensitivitaeten Delta_Market'!$G19</f>
        <v>0</v>
      </c>
      <c r="U343" s="1027"/>
      <c r="V343" s="1027"/>
      <c r="W343" s="1027"/>
    </row>
    <row r="344" spans="2:23" x14ac:dyDescent="0.2">
      <c r="B344" s="1493">
        <f>'Sensitivitaeten Delta_Market'!$A$1</f>
        <v>9</v>
      </c>
      <c r="C344" s="1488" t="str">
        <f>'Sensitivitaeten Delta_Market'!$B$1</f>
        <v>Delta-Sensitivitäten</v>
      </c>
      <c r="D344" s="1494" t="str">
        <f>'Sensitivitaeten Delta_Market'!$F$9</f>
        <v>Marktnaher Wert der Aktiven mit entsprechendem Risikofaktor</v>
      </c>
      <c r="E344" s="1488" t="str">
        <f>'Sensitivitaeten Delta_Market'!$G$11</f>
        <v>dem übrigen Geschäft zugeordnet</v>
      </c>
      <c r="F344" s="1625" t="s">
        <v>429</v>
      </c>
      <c r="G344" s="1617" t="s">
        <v>2301</v>
      </c>
      <c r="H344" s="1626"/>
      <c r="U344" s="1027"/>
      <c r="V344" s="1027"/>
      <c r="W344" s="1027"/>
    </row>
    <row r="345" spans="2:23" x14ac:dyDescent="0.2">
      <c r="B345" s="1493">
        <f>'Sensitivitaeten Delta_Market'!$A$1</f>
        <v>9</v>
      </c>
      <c r="C345" s="1488" t="str">
        <f>'Sensitivitaeten Delta_Market'!$B$1</f>
        <v>Delta-Sensitivitäten</v>
      </c>
      <c r="D345" s="1494" t="str">
        <f>'Sensitivitaeten Delta_Market'!$F$9</f>
        <v>Marktnaher Wert der Aktiven mit entsprechendem Risikofaktor</v>
      </c>
      <c r="E345" s="1488" t="str">
        <f>'Sensitivitaeten Delta_Market'!$G$11</f>
        <v>dem übrigen Geschäft zugeordnet</v>
      </c>
      <c r="F345" s="1625" t="s">
        <v>2311</v>
      </c>
      <c r="G345" s="1617" t="s">
        <v>2301</v>
      </c>
      <c r="H345" s="1626"/>
      <c r="U345" s="1027"/>
      <c r="V345" s="1027"/>
      <c r="W345" s="1027"/>
    </row>
    <row r="346" spans="2:23" x14ac:dyDescent="0.2">
      <c r="B346" s="1493">
        <f>'Sensitivitaeten Delta_Market'!$A$1</f>
        <v>9</v>
      </c>
      <c r="C346" s="1488" t="str">
        <f>'Sensitivitaeten Delta_Market'!$B$1</f>
        <v>Delta-Sensitivitäten</v>
      </c>
      <c r="D346" s="1494" t="str">
        <f>'Sensitivitaeten Delta_Market'!$F$9</f>
        <v>Marktnaher Wert der Aktiven mit entsprechendem Risikofaktor</v>
      </c>
      <c r="E346" s="1488" t="str">
        <f>'Sensitivitaeten Delta_Market'!$G$11</f>
        <v>dem übrigen Geschäft zugeordnet</v>
      </c>
      <c r="F346" s="1625" t="s">
        <v>2312</v>
      </c>
      <c r="G346" s="1617" t="s">
        <v>2301</v>
      </c>
      <c r="H346" s="1626"/>
      <c r="U346" s="1027"/>
      <c r="V346" s="1027"/>
      <c r="W346" s="1027"/>
    </row>
    <row r="347" spans="2:23" x14ac:dyDescent="0.2">
      <c r="B347" s="1493">
        <f>'Sensitivitaeten Delta_Market'!$A$1</f>
        <v>9</v>
      </c>
      <c r="C347" s="1488" t="str">
        <f>'Sensitivitaeten Delta_Market'!$B$1</f>
        <v>Delta-Sensitivitäten</v>
      </c>
      <c r="D347" s="1494" t="str">
        <f>'Sensitivitaeten Delta_Market'!$F$9</f>
        <v>Marktnaher Wert der Aktiven mit entsprechendem Risikofaktor</v>
      </c>
      <c r="E347" s="1488" t="str">
        <f>'Sensitivitaeten Delta_Market'!$G$11</f>
        <v>dem übrigen Geschäft zugeordnet</v>
      </c>
      <c r="F347" s="1625" t="s">
        <v>2313</v>
      </c>
      <c r="G347" s="1617" t="s">
        <v>2301</v>
      </c>
      <c r="H347" s="1626"/>
      <c r="U347" s="1027"/>
      <c r="V347" s="1027"/>
      <c r="W347" s="1027"/>
    </row>
    <row r="348" spans="2:23" x14ac:dyDescent="0.2">
      <c r="B348" s="1493">
        <f>'Sensitivitaeten Delta_Market'!$A$1</f>
        <v>9</v>
      </c>
      <c r="C348" s="1488" t="str">
        <f>'Sensitivitaeten Delta_Market'!$B$1</f>
        <v>Delta-Sensitivitäten</v>
      </c>
      <c r="D348" s="1494" t="str">
        <f>'Sensitivitaeten Delta_Market'!$F$9</f>
        <v>Marktnaher Wert der Aktiven mit entsprechendem Risikofaktor</v>
      </c>
      <c r="E348" s="1488" t="str">
        <f>'Sensitivitaeten Delta_Market'!$G$11</f>
        <v>dem übrigen Geschäft zugeordnet</v>
      </c>
      <c r="F348" s="1625" t="s">
        <v>2314</v>
      </c>
      <c r="G348" s="1617" t="s">
        <v>2301</v>
      </c>
      <c r="H348" s="1626"/>
      <c r="U348" s="1027"/>
      <c r="V348" s="1027"/>
      <c r="W348" s="1027"/>
    </row>
    <row r="349" spans="2:23" x14ac:dyDescent="0.2">
      <c r="B349" s="1493">
        <f>'Sensitivitaeten Delta_Market'!$A$1</f>
        <v>9</v>
      </c>
      <c r="C349" s="1488" t="str">
        <f>'Sensitivitaeten Delta_Market'!$B$1</f>
        <v>Delta-Sensitivitäten</v>
      </c>
      <c r="D349" s="1494" t="str">
        <f>'Sensitivitaeten Delta_Market'!$F$9</f>
        <v>Marktnaher Wert der Aktiven mit entsprechendem Risikofaktor</v>
      </c>
      <c r="E349" s="1488" t="str">
        <f>'Sensitivitaeten Delta_Market'!$G$11</f>
        <v>dem übrigen Geschäft zugeordnet</v>
      </c>
      <c r="F349" s="1625" t="s">
        <v>2315</v>
      </c>
      <c r="G349" s="1617" t="s">
        <v>2301</v>
      </c>
      <c r="H349" s="1626"/>
      <c r="U349" s="1027"/>
      <c r="V349" s="1027"/>
      <c r="W349" s="1027"/>
    </row>
    <row r="350" spans="2:23" x14ac:dyDescent="0.2">
      <c r="B350" s="1493">
        <f>'Sensitivitaeten Delta_Market'!$A$1</f>
        <v>9</v>
      </c>
      <c r="C350" s="1488" t="str">
        <f>'Sensitivitaeten Delta_Market'!$B$1</f>
        <v>Delta-Sensitivitäten</v>
      </c>
      <c r="D350" s="1494" t="str">
        <f>'Sensitivitaeten Delta_Market'!$F$9</f>
        <v>Marktnaher Wert der Aktiven mit entsprechendem Risikofaktor</v>
      </c>
      <c r="E350" s="1488" t="str">
        <f>'Sensitivitaeten Delta_Market'!$G$11</f>
        <v>dem übrigen Geschäft zugeordnet</v>
      </c>
      <c r="F350" s="1625" t="s">
        <v>2316</v>
      </c>
      <c r="G350" s="1617" t="s">
        <v>2301</v>
      </c>
      <c r="H350" s="1626"/>
      <c r="U350" s="1027"/>
      <c r="V350" s="1027"/>
      <c r="W350" s="1027"/>
    </row>
    <row r="351" spans="2:23" x14ac:dyDescent="0.2">
      <c r="B351" s="1493">
        <f>'Sensitivitaeten Delta_Market'!$A$1</f>
        <v>9</v>
      </c>
      <c r="C351" s="1488" t="str">
        <f>'Sensitivitaeten Delta_Market'!$B$1</f>
        <v>Delta-Sensitivitäten</v>
      </c>
      <c r="D351" s="1494" t="str">
        <f>'Sensitivitaeten Delta_Market'!$F$9</f>
        <v>Marktnaher Wert der Aktiven mit entsprechendem Risikofaktor</v>
      </c>
      <c r="E351" s="1488" t="str">
        <f>'Sensitivitaeten Delta_Market'!$G$11</f>
        <v>dem übrigen Geschäft zugeordnet</v>
      </c>
      <c r="F351" s="1625" t="s">
        <v>2317</v>
      </c>
      <c r="G351" s="1617" t="s">
        <v>2301</v>
      </c>
      <c r="H351" s="1626"/>
      <c r="U351" s="1027"/>
      <c r="V351" s="1027"/>
      <c r="W351" s="1027"/>
    </row>
    <row r="352" spans="2:23" x14ac:dyDescent="0.2">
      <c r="B352" s="1493">
        <f>'Sensitivitaeten Delta_Market'!$A$1</f>
        <v>9</v>
      </c>
      <c r="C352" s="1488" t="str">
        <f>'Sensitivitaeten Delta_Market'!$B$1</f>
        <v>Delta-Sensitivitäten</v>
      </c>
      <c r="D352" s="1494" t="str">
        <f>'Sensitivitaeten Delta_Market'!$F$9</f>
        <v>Marktnaher Wert der Aktiven mit entsprechendem Risikofaktor</v>
      </c>
      <c r="E352" s="1488" t="str">
        <f>'Sensitivitaeten Delta_Market'!$G$11</f>
        <v>dem übrigen Geschäft zugeordnet</v>
      </c>
      <c r="F352" s="1625" t="s">
        <v>2318</v>
      </c>
      <c r="G352" s="1617" t="s">
        <v>2301</v>
      </c>
      <c r="H352" s="1626"/>
      <c r="U352" s="1027"/>
      <c r="V352" s="1027"/>
      <c r="W352" s="1027"/>
    </row>
    <row r="353" spans="2:23" x14ac:dyDescent="0.2">
      <c r="B353" s="1493">
        <f>'Sensitivitaeten Delta_Market'!$A$1</f>
        <v>9</v>
      </c>
      <c r="C353" s="1488" t="str">
        <f>'Sensitivitaeten Delta_Market'!$B$1</f>
        <v>Delta-Sensitivitäten</v>
      </c>
      <c r="D353" s="1494" t="str">
        <f>'Sensitivitaeten Delta_Market'!$F$9</f>
        <v>Marktnaher Wert der Aktiven mit entsprechendem Risikofaktor</v>
      </c>
      <c r="E353" s="1488" t="str">
        <f>'Sensitivitaeten Delta_Market'!$G$11</f>
        <v>dem übrigen Geschäft zugeordnet</v>
      </c>
      <c r="F353" s="1625" t="s">
        <v>2319</v>
      </c>
      <c r="G353" s="1617" t="s">
        <v>2301</v>
      </c>
      <c r="H353" s="1626"/>
      <c r="U353" s="1027"/>
      <c r="V353" s="1027"/>
      <c r="W353" s="1027"/>
    </row>
    <row r="354" spans="2:23" x14ac:dyDescent="0.2">
      <c r="B354" s="1493">
        <f>'Sensitivitaeten Delta_Market'!$A$1</f>
        <v>9</v>
      </c>
      <c r="C354" s="1488" t="str">
        <f>'Sensitivitaeten Delta_Market'!$B$1</f>
        <v>Delta-Sensitivitäten</v>
      </c>
      <c r="D354" s="1494" t="str">
        <f>'Sensitivitaeten Delta_Market'!$F$9</f>
        <v>Marktnaher Wert der Aktiven mit entsprechendem Risikofaktor</v>
      </c>
      <c r="E354" s="1488" t="str">
        <f>'Sensitivitaeten Delta_Market'!$G$11</f>
        <v>dem übrigen Geschäft zugeordnet</v>
      </c>
      <c r="F354" s="1495" t="str">
        <f>'Sensitivitaeten Delta_Market'!$B20</f>
        <v>EUR Zeros  2 Y</v>
      </c>
      <c r="G354" s="1494"/>
      <c r="H354" s="1077">
        <f>'Sensitivitaeten Delta_Market'!$G20</f>
        <v>0</v>
      </c>
      <c r="U354" s="1027"/>
      <c r="V354" s="1027"/>
      <c r="W354" s="1027"/>
    </row>
    <row r="355" spans="2:23" x14ac:dyDescent="0.2">
      <c r="B355" s="1493">
        <f>'Sensitivitaeten Delta_Market'!$A$1</f>
        <v>9</v>
      </c>
      <c r="C355" s="1488" t="str">
        <f>'Sensitivitaeten Delta_Market'!$B$1</f>
        <v>Delta-Sensitivitäten</v>
      </c>
      <c r="D355" s="1494" t="str">
        <f>'Sensitivitaeten Delta_Market'!$F$9</f>
        <v>Marktnaher Wert der Aktiven mit entsprechendem Risikofaktor</v>
      </c>
      <c r="E355" s="1488" t="str">
        <f>'Sensitivitaeten Delta_Market'!$G$11</f>
        <v>dem übrigen Geschäft zugeordnet</v>
      </c>
      <c r="F355" s="1495" t="str">
        <f>'Sensitivitaeten Delta_Market'!$B21</f>
        <v>EUR Zeros  10 Y</v>
      </c>
      <c r="G355" s="1494"/>
      <c r="H355" s="1077">
        <f>'Sensitivitaeten Delta_Market'!$G21</f>
        <v>0</v>
      </c>
      <c r="U355" s="1027"/>
      <c r="V355" s="1027"/>
      <c r="W355" s="1027"/>
    </row>
    <row r="356" spans="2:23" x14ac:dyDescent="0.2">
      <c r="B356" s="1493">
        <f>'Sensitivitaeten Delta_Market'!$A$1</f>
        <v>9</v>
      </c>
      <c r="C356" s="1488" t="str">
        <f>'Sensitivitaeten Delta_Market'!$B$1</f>
        <v>Delta-Sensitivitäten</v>
      </c>
      <c r="D356" s="1494" t="str">
        <f>'Sensitivitaeten Delta_Market'!$F$9</f>
        <v>Marktnaher Wert der Aktiven mit entsprechendem Risikofaktor</v>
      </c>
      <c r="E356" s="1488" t="str">
        <f>'Sensitivitaeten Delta_Market'!$G$11</f>
        <v>dem übrigen Geschäft zugeordnet</v>
      </c>
      <c r="F356" s="1495" t="str">
        <f>'Sensitivitaeten Delta_Market'!$B22</f>
        <v>EUR Zeros  30 Y</v>
      </c>
      <c r="G356" s="1494"/>
      <c r="H356" s="1077">
        <f>'Sensitivitaeten Delta_Market'!$G22</f>
        <v>0</v>
      </c>
      <c r="U356" s="1027"/>
      <c r="V356" s="1027"/>
      <c r="W356" s="1027"/>
    </row>
    <row r="357" spans="2:23" x14ac:dyDescent="0.2">
      <c r="B357" s="1493">
        <f>'Sensitivitaeten Delta_Market'!$A$1</f>
        <v>9</v>
      </c>
      <c r="C357" s="1488" t="str">
        <f>'Sensitivitaeten Delta_Market'!$B$1</f>
        <v>Delta-Sensitivitäten</v>
      </c>
      <c r="D357" s="1494" t="str">
        <f>'Sensitivitaeten Delta_Market'!$F$9</f>
        <v>Marktnaher Wert der Aktiven mit entsprechendem Risikofaktor</v>
      </c>
      <c r="E357" s="1488" t="str">
        <f>'Sensitivitaeten Delta_Market'!$G$11</f>
        <v>dem übrigen Geschäft zugeordnet</v>
      </c>
      <c r="F357" s="1494" t="str">
        <f>'Sensitivitaeten Delta_Market'!$B23</f>
        <v>USD Zeros  3 Y</v>
      </c>
      <c r="G357" s="1494"/>
      <c r="H357" s="1077">
        <f>'Sensitivitaeten Delta_Market'!$G23</f>
        <v>0</v>
      </c>
      <c r="U357" s="1027"/>
      <c r="V357" s="1027"/>
      <c r="W357" s="1027"/>
    </row>
    <row r="358" spans="2:23" x14ac:dyDescent="0.2">
      <c r="B358" s="1493">
        <f>'Sensitivitaeten Delta_Market'!$A$1</f>
        <v>9</v>
      </c>
      <c r="C358" s="1488" t="str">
        <f>'Sensitivitaeten Delta_Market'!$B$1</f>
        <v>Delta-Sensitivitäten</v>
      </c>
      <c r="D358" s="1494" t="str">
        <f>'Sensitivitaeten Delta_Market'!$F$9</f>
        <v>Marktnaher Wert der Aktiven mit entsprechendem Risikofaktor</v>
      </c>
      <c r="E358" s="1488" t="str">
        <f>'Sensitivitaeten Delta_Market'!$G$11</f>
        <v>dem übrigen Geschäft zugeordnet</v>
      </c>
      <c r="F358" s="1494" t="str">
        <f>'Sensitivitaeten Delta_Market'!$B24</f>
        <v>USD Zeros  10 Y</v>
      </c>
      <c r="G358" s="1494"/>
      <c r="H358" s="1077">
        <f>'Sensitivitaeten Delta_Market'!$G24</f>
        <v>0</v>
      </c>
      <c r="U358" s="1027"/>
      <c r="V358" s="1027"/>
      <c r="W358" s="1027"/>
    </row>
    <row r="359" spans="2:23" x14ac:dyDescent="0.2">
      <c r="B359" s="1493">
        <f>'Sensitivitaeten Delta_Market'!$A$1</f>
        <v>9</v>
      </c>
      <c r="C359" s="1488" t="str">
        <f>'Sensitivitaeten Delta_Market'!$B$1</f>
        <v>Delta-Sensitivitäten</v>
      </c>
      <c r="D359" s="1494" t="str">
        <f>'Sensitivitaeten Delta_Market'!$F$9</f>
        <v>Marktnaher Wert der Aktiven mit entsprechendem Risikofaktor</v>
      </c>
      <c r="E359" s="1488" t="str">
        <f>'Sensitivitaeten Delta_Market'!$G$11</f>
        <v>dem übrigen Geschäft zugeordnet</v>
      </c>
      <c r="F359" s="1494" t="str">
        <f>'Sensitivitaeten Delta_Market'!$B25</f>
        <v>USD Zeros  30 Y</v>
      </c>
      <c r="G359" s="1494"/>
      <c r="H359" s="1077">
        <f>'Sensitivitaeten Delta_Market'!$G25</f>
        <v>0</v>
      </c>
      <c r="U359" s="1027"/>
      <c r="V359" s="1027"/>
      <c r="W359" s="1027"/>
    </row>
    <row r="360" spans="2:23" x14ac:dyDescent="0.2">
      <c r="B360" s="1493">
        <f>'Sensitivitaeten Delta_Market'!$A$1</f>
        <v>9</v>
      </c>
      <c r="C360" s="1488" t="str">
        <f>'Sensitivitaeten Delta_Market'!$B$1</f>
        <v>Delta-Sensitivitäten</v>
      </c>
      <c r="D360" s="1494" t="str">
        <f>'Sensitivitaeten Delta_Market'!$F$9</f>
        <v>Marktnaher Wert der Aktiven mit entsprechendem Risikofaktor</v>
      </c>
      <c r="E360" s="1488" t="str">
        <f>'Sensitivitaeten Delta_Market'!$G$11</f>
        <v>dem übrigen Geschäft zugeordnet</v>
      </c>
      <c r="F360" s="1625" t="s">
        <v>430</v>
      </c>
      <c r="G360" s="1617" t="s">
        <v>2301</v>
      </c>
      <c r="H360" s="1626"/>
      <c r="U360" s="1027"/>
      <c r="V360" s="1027"/>
      <c r="W360" s="1027"/>
    </row>
    <row r="361" spans="2:23" x14ac:dyDescent="0.2">
      <c r="B361" s="1493">
        <f>'Sensitivitaeten Delta_Market'!$A$1</f>
        <v>9</v>
      </c>
      <c r="C361" s="1488" t="str">
        <f>'Sensitivitaeten Delta_Market'!$B$1</f>
        <v>Delta-Sensitivitäten</v>
      </c>
      <c r="D361" s="1494" t="str">
        <f>'Sensitivitaeten Delta_Market'!$F$9</f>
        <v>Marktnaher Wert der Aktiven mit entsprechendem Risikofaktor</v>
      </c>
      <c r="E361" s="1488" t="str">
        <f>'Sensitivitaeten Delta_Market'!$G$11</f>
        <v>dem übrigen Geschäft zugeordnet</v>
      </c>
      <c r="F361" s="1625" t="s">
        <v>2329</v>
      </c>
      <c r="G361" s="1617" t="s">
        <v>2301</v>
      </c>
      <c r="H361" s="1626"/>
      <c r="U361" s="1027"/>
      <c r="V361" s="1027"/>
      <c r="W361" s="1027"/>
    </row>
    <row r="362" spans="2:23" x14ac:dyDescent="0.2">
      <c r="B362" s="1493">
        <f>'Sensitivitaeten Delta_Market'!$A$1</f>
        <v>9</v>
      </c>
      <c r="C362" s="1488" t="str">
        <f>'Sensitivitaeten Delta_Market'!$B$1</f>
        <v>Delta-Sensitivitäten</v>
      </c>
      <c r="D362" s="1494" t="str">
        <f>'Sensitivitaeten Delta_Market'!$F$9</f>
        <v>Marktnaher Wert der Aktiven mit entsprechendem Risikofaktor</v>
      </c>
      <c r="E362" s="1488" t="str">
        <f>'Sensitivitaeten Delta_Market'!$G$11</f>
        <v>dem übrigen Geschäft zugeordnet</v>
      </c>
      <c r="F362" s="1625" t="s">
        <v>2330</v>
      </c>
      <c r="G362" s="1617" t="s">
        <v>2301</v>
      </c>
      <c r="H362" s="1626"/>
      <c r="U362" s="1027"/>
      <c r="V362" s="1027"/>
      <c r="W362" s="1027"/>
    </row>
    <row r="363" spans="2:23" x14ac:dyDescent="0.2">
      <c r="B363" s="1493">
        <f>'Sensitivitaeten Delta_Market'!$A$1</f>
        <v>9</v>
      </c>
      <c r="C363" s="1488" t="str">
        <f>'Sensitivitaeten Delta_Market'!$B$1</f>
        <v>Delta-Sensitivitäten</v>
      </c>
      <c r="D363" s="1494" t="str">
        <f>'Sensitivitaeten Delta_Market'!$F$9</f>
        <v>Marktnaher Wert der Aktiven mit entsprechendem Risikofaktor</v>
      </c>
      <c r="E363" s="1488" t="str">
        <f>'Sensitivitaeten Delta_Market'!$G$11</f>
        <v>dem übrigen Geschäft zugeordnet</v>
      </c>
      <c r="F363" s="1625" t="s">
        <v>2331</v>
      </c>
      <c r="G363" s="1617" t="s">
        <v>2301</v>
      </c>
      <c r="H363" s="1626"/>
      <c r="U363" s="1027"/>
      <c r="V363" s="1027"/>
      <c r="W363" s="1027"/>
    </row>
    <row r="364" spans="2:23" x14ac:dyDescent="0.2">
      <c r="B364" s="1493">
        <f>'Sensitivitaeten Delta_Market'!$A$1</f>
        <v>9</v>
      </c>
      <c r="C364" s="1488" t="str">
        <f>'Sensitivitaeten Delta_Market'!$B$1</f>
        <v>Delta-Sensitivitäten</v>
      </c>
      <c r="D364" s="1494" t="str">
        <f>'Sensitivitaeten Delta_Market'!$F$9</f>
        <v>Marktnaher Wert der Aktiven mit entsprechendem Risikofaktor</v>
      </c>
      <c r="E364" s="1488" t="str">
        <f>'Sensitivitaeten Delta_Market'!$G$11</f>
        <v>dem übrigen Geschäft zugeordnet</v>
      </c>
      <c r="F364" s="1625" t="s">
        <v>2332</v>
      </c>
      <c r="G364" s="1617" t="s">
        <v>2301</v>
      </c>
      <c r="H364" s="1626"/>
      <c r="U364" s="1027"/>
      <c r="V364" s="1027"/>
      <c r="W364" s="1027"/>
    </row>
    <row r="365" spans="2:23" x14ac:dyDescent="0.2">
      <c r="B365" s="1493">
        <f>'Sensitivitaeten Delta_Market'!$A$1</f>
        <v>9</v>
      </c>
      <c r="C365" s="1488" t="str">
        <f>'Sensitivitaeten Delta_Market'!$B$1</f>
        <v>Delta-Sensitivitäten</v>
      </c>
      <c r="D365" s="1494" t="str">
        <f>'Sensitivitaeten Delta_Market'!$F$9</f>
        <v>Marktnaher Wert der Aktiven mit entsprechendem Risikofaktor</v>
      </c>
      <c r="E365" s="1488" t="str">
        <f>'Sensitivitaeten Delta_Market'!$G$11</f>
        <v>dem übrigen Geschäft zugeordnet</v>
      </c>
      <c r="F365" s="1625" t="s">
        <v>2333</v>
      </c>
      <c r="G365" s="1617" t="s">
        <v>2301</v>
      </c>
      <c r="H365" s="1626"/>
      <c r="U365" s="1027"/>
      <c r="V365" s="1027"/>
      <c r="W365" s="1027"/>
    </row>
    <row r="366" spans="2:23" x14ac:dyDescent="0.2">
      <c r="B366" s="1493">
        <f>'Sensitivitaeten Delta_Market'!$A$1</f>
        <v>9</v>
      </c>
      <c r="C366" s="1488" t="str">
        <f>'Sensitivitaeten Delta_Market'!$B$1</f>
        <v>Delta-Sensitivitäten</v>
      </c>
      <c r="D366" s="1494" t="str">
        <f>'Sensitivitaeten Delta_Market'!$F$9</f>
        <v>Marktnaher Wert der Aktiven mit entsprechendem Risikofaktor</v>
      </c>
      <c r="E366" s="1488" t="str">
        <f>'Sensitivitaeten Delta_Market'!$G$11</f>
        <v>dem übrigen Geschäft zugeordnet</v>
      </c>
      <c r="F366" s="1625" t="s">
        <v>2334</v>
      </c>
      <c r="G366" s="1617" t="s">
        <v>2301</v>
      </c>
      <c r="H366" s="1626"/>
      <c r="U366" s="1027"/>
      <c r="V366" s="1027"/>
      <c r="W366" s="1027"/>
    </row>
    <row r="367" spans="2:23" x14ac:dyDescent="0.2">
      <c r="B367" s="1493">
        <f>'Sensitivitaeten Delta_Market'!$A$1</f>
        <v>9</v>
      </c>
      <c r="C367" s="1488" t="str">
        <f>'Sensitivitaeten Delta_Market'!$B$1</f>
        <v>Delta-Sensitivitäten</v>
      </c>
      <c r="D367" s="1494" t="str">
        <f>'Sensitivitaeten Delta_Market'!$F$9</f>
        <v>Marktnaher Wert der Aktiven mit entsprechendem Risikofaktor</v>
      </c>
      <c r="E367" s="1488" t="str">
        <f>'Sensitivitaeten Delta_Market'!$G$11</f>
        <v>dem übrigen Geschäft zugeordnet</v>
      </c>
      <c r="F367" s="1625" t="s">
        <v>2335</v>
      </c>
      <c r="G367" s="1617" t="s">
        <v>2301</v>
      </c>
      <c r="H367" s="1626"/>
      <c r="U367" s="1027"/>
      <c r="V367" s="1027"/>
      <c r="W367" s="1027"/>
    </row>
    <row r="368" spans="2:23" x14ac:dyDescent="0.2">
      <c r="B368" s="1493">
        <f>'Sensitivitaeten Delta_Market'!$A$1</f>
        <v>9</v>
      </c>
      <c r="C368" s="1488" t="str">
        <f>'Sensitivitaeten Delta_Market'!$B$1</f>
        <v>Delta-Sensitivitäten</v>
      </c>
      <c r="D368" s="1494" t="str">
        <f>'Sensitivitaeten Delta_Market'!$F$9</f>
        <v>Marktnaher Wert der Aktiven mit entsprechendem Risikofaktor</v>
      </c>
      <c r="E368" s="1488" t="str">
        <f>'Sensitivitaeten Delta_Market'!$G$11</f>
        <v>dem übrigen Geschäft zugeordnet</v>
      </c>
      <c r="F368" s="1625" t="s">
        <v>2336</v>
      </c>
      <c r="G368" s="1617" t="s">
        <v>2301</v>
      </c>
      <c r="H368" s="1626"/>
      <c r="U368" s="1027"/>
      <c r="V368" s="1027"/>
      <c r="W368" s="1027"/>
    </row>
    <row r="369" spans="2:23" x14ac:dyDescent="0.2">
      <c r="B369" s="1493">
        <f>'Sensitivitaeten Delta_Market'!$A$1</f>
        <v>9</v>
      </c>
      <c r="C369" s="1488" t="str">
        <f>'Sensitivitaeten Delta_Market'!$B$1</f>
        <v>Delta-Sensitivitäten</v>
      </c>
      <c r="D369" s="1494" t="str">
        <f>'Sensitivitaeten Delta_Market'!$F$9</f>
        <v>Marktnaher Wert der Aktiven mit entsprechendem Risikofaktor</v>
      </c>
      <c r="E369" s="1488" t="str">
        <f>'Sensitivitaeten Delta_Market'!$G$11</f>
        <v>dem übrigen Geschäft zugeordnet</v>
      </c>
      <c r="F369" s="1625" t="s">
        <v>2337</v>
      </c>
      <c r="G369" s="1617" t="s">
        <v>2301</v>
      </c>
      <c r="H369" s="1626"/>
      <c r="U369" s="1027"/>
      <c r="V369" s="1027"/>
      <c r="W369" s="1027"/>
    </row>
    <row r="370" spans="2:23" x14ac:dyDescent="0.2">
      <c r="B370" s="1493">
        <f>'Sensitivitaeten Delta_Market'!$A$1</f>
        <v>9</v>
      </c>
      <c r="C370" s="1488" t="str">
        <f>'Sensitivitaeten Delta_Market'!$B$1</f>
        <v>Delta-Sensitivitäten</v>
      </c>
      <c r="D370" s="1494" t="str">
        <f>'Sensitivitaeten Delta_Market'!$F$9</f>
        <v>Marktnaher Wert der Aktiven mit entsprechendem Risikofaktor</v>
      </c>
      <c r="E370" s="1488" t="str">
        <f>'Sensitivitaeten Delta_Market'!$G$11</f>
        <v>dem übrigen Geschäft zugeordnet</v>
      </c>
      <c r="F370" s="1494" t="str">
        <f>'Sensitivitaeten Delta_Market'!$B26</f>
        <v>GBP Zeros  2 Y</v>
      </c>
      <c r="G370" s="1494"/>
      <c r="H370" s="1077">
        <f>'Sensitivitaeten Delta_Market'!$G26</f>
        <v>0</v>
      </c>
      <c r="U370" s="1027"/>
      <c r="V370" s="1027"/>
      <c r="W370" s="1027"/>
    </row>
    <row r="371" spans="2:23" x14ac:dyDescent="0.2">
      <c r="B371" s="1493">
        <f>'Sensitivitaeten Delta_Market'!$A$1</f>
        <v>9</v>
      </c>
      <c r="C371" s="1488" t="str">
        <f>'Sensitivitaeten Delta_Market'!$B$1</f>
        <v>Delta-Sensitivitäten</v>
      </c>
      <c r="D371" s="1494" t="str">
        <f>'Sensitivitaeten Delta_Market'!$F$9</f>
        <v>Marktnaher Wert der Aktiven mit entsprechendem Risikofaktor</v>
      </c>
      <c r="E371" s="1488" t="str">
        <f>'Sensitivitaeten Delta_Market'!$G$11</f>
        <v>dem übrigen Geschäft zugeordnet</v>
      </c>
      <c r="F371" s="1494" t="str">
        <f>'Sensitivitaeten Delta_Market'!$B27</f>
        <v>GBP Zeros  10 Y</v>
      </c>
      <c r="G371" s="1494"/>
      <c r="H371" s="1077">
        <f>'Sensitivitaeten Delta_Market'!$G27</f>
        <v>0</v>
      </c>
      <c r="U371" s="1027"/>
      <c r="V371" s="1027"/>
      <c r="W371" s="1027"/>
    </row>
    <row r="372" spans="2:23" x14ac:dyDescent="0.2">
      <c r="B372" s="1493">
        <f>'Sensitivitaeten Delta_Market'!$A$1</f>
        <v>9</v>
      </c>
      <c r="C372" s="1488" t="str">
        <f>'Sensitivitaeten Delta_Market'!$B$1</f>
        <v>Delta-Sensitivitäten</v>
      </c>
      <c r="D372" s="1494" t="str">
        <f>'Sensitivitaeten Delta_Market'!$F$9</f>
        <v>Marktnaher Wert der Aktiven mit entsprechendem Risikofaktor</v>
      </c>
      <c r="E372" s="1488" t="str">
        <f>'Sensitivitaeten Delta_Market'!$G$11</f>
        <v>dem übrigen Geschäft zugeordnet</v>
      </c>
      <c r="F372" s="1494" t="str">
        <f>'Sensitivitaeten Delta_Market'!$B28</f>
        <v>GBP Zeros  30 Y</v>
      </c>
      <c r="G372" s="1494"/>
      <c r="H372" s="1077">
        <f>'Sensitivitaeten Delta_Market'!$G28</f>
        <v>0</v>
      </c>
      <c r="U372" s="1027"/>
      <c r="V372" s="1027"/>
      <c r="W372" s="1027"/>
    </row>
    <row r="373" spans="2:23" x14ac:dyDescent="0.2">
      <c r="B373" s="1493">
        <f>'Sensitivitaeten Delta_Market'!$A$1</f>
        <v>9</v>
      </c>
      <c r="C373" s="1488" t="str">
        <f>'Sensitivitaeten Delta_Market'!$B$1</f>
        <v>Delta-Sensitivitäten</v>
      </c>
      <c r="D373" s="1494" t="str">
        <f>'Sensitivitaeten Delta_Market'!$F$9</f>
        <v>Marktnaher Wert der Aktiven mit entsprechendem Risikofaktor</v>
      </c>
      <c r="E373" s="1488" t="str">
        <f>'Sensitivitaeten Delta_Market'!$G$11</f>
        <v>dem übrigen Geschäft zugeordnet</v>
      </c>
      <c r="F373" s="1625" t="s">
        <v>431</v>
      </c>
      <c r="G373" s="1617" t="s">
        <v>2301</v>
      </c>
      <c r="H373" s="1626"/>
      <c r="U373" s="1027"/>
      <c r="V373" s="1027"/>
      <c r="W373" s="1027"/>
    </row>
    <row r="374" spans="2:23" x14ac:dyDescent="0.2">
      <c r="B374" s="1493">
        <f>'Sensitivitaeten Delta_Market'!$A$1</f>
        <v>9</v>
      </c>
      <c r="C374" s="1488" t="str">
        <f>'Sensitivitaeten Delta_Market'!$B$1</f>
        <v>Delta-Sensitivitäten</v>
      </c>
      <c r="D374" s="1494" t="str">
        <f>'Sensitivitaeten Delta_Market'!$F$9</f>
        <v>Marktnaher Wert der Aktiven mit entsprechendem Risikofaktor</v>
      </c>
      <c r="E374" s="1488" t="str">
        <f>'Sensitivitaeten Delta_Market'!$G$11</f>
        <v>dem übrigen Geschäft zugeordnet</v>
      </c>
      <c r="F374" s="1625" t="s">
        <v>2320</v>
      </c>
      <c r="G374" s="1617" t="s">
        <v>2301</v>
      </c>
      <c r="H374" s="1626"/>
      <c r="U374" s="1027"/>
      <c r="V374" s="1027"/>
      <c r="W374" s="1027"/>
    </row>
    <row r="375" spans="2:23" x14ac:dyDescent="0.2">
      <c r="B375" s="1493">
        <f>'Sensitivitaeten Delta_Market'!$A$1</f>
        <v>9</v>
      </c>
      <c r="C375" s="1488" t="str">
        <f>'Sensitivitaeten Delta_Market'!$B$1</f>
        <v>Delta-Sensitivitäten</v>
      </c>
      <c r="D375" s="1494" t="str">
        <f>'Sensitivitaeten Delta_Market'!$F$9</f>
        <v>Marktnaher Wert der Aktiven mit entsprechendem Risikofaktor</v>
      </c>
      <c r="E375" s="1488" t="str">
        <f>'Sensitivitaeten Delta_Market'!$G$11</f>
        <v>dem übrigen Geschäft zugeordnet</v>
      </c>
      <c r="F375" s="1625" t="s">
        <v>2321</v>
      </c>
      <c r="G375" s="1617" t="s">
        <v>2301</v>
      </c>
      <c r="H375" s="1626"/>
      <c r="U375" s="1027"/>
      <c r="V375" s="1027"/>
      <c r="W375" s="1027"/>
    </row>
    <row r="376" spans="2:23" x14ac:dyDescent="0.2">
      <c r="B376" s="1493">
        <f>'Sensitivitaeten Delta_Market'!$A$1</f>
        <v>9</v>
      </c>
      <c r="C376" s="1488" t="str">
        <f>'Sensitivitaeten Delta_Market'!$B$1</f>
        <v>Delta-Sensitivitäten</v>
      </c>
      <c r="D376" s="1494" t="str">
        <f>'Sensitivitaeten Delta_Market'!$F$9</f>
        <v>Marktnaher Wert der Aktiven mit entsprechendem Risikofaktor</v>
      </c>
      <c r="E376" s="1488" t="str">
        <f>'Sensitivitaeten Delta_Market'!$G$11</f>
        <v>dem übrigen Geschäft zugeordnet</v>
      </c>
      <c r="F376" s="1625" t="s">
        <v>2322</v>
      </c>
      <c r="G376" s="1617" t="s">
        <v>2301</v>
      </c>
      <c r="H376" s="1626"/>
      <c r="U376" s="1027"/>
      <c r="V376" s="1027"/>
      <c r="W376" s="1027"/>
    </row>
    <row r="377" spans="2:23" x14ac:dyDescent="0.2">
      <c r="B377" s="1493">
        <f>'Sensitivitaeten Delta_Market'!$A$1</f>
        <v>9</v>
      </c>
      <c r="C377" s="1488" t="str">
        <f>'Sensitivitaeten Delta_Market'!$B$1</f>
        <v>Delta-Sensitivitäten</v>
      </c>
      <c r="D377" s="1494" t="str">
        <f>'Sensitivitaeten Delta_Market'!$F$9</f>
        <v>Marktnaher Wert der Aktiven mit entsprechendem Risikofaktor</v>
      </c>
      <c r="E377" s="1488" t="str">
        <f>'Sensitivitaeten Delta_Market'!$G$11</f>
        <v>dem übrigen Geschäft zugeordnet</v>
      </c>
      <c r="F377" s="1625" t="s">
        <v>2323</v>
      </c>
      <c r="G377" s="1617" t="s">
        <v>2301</v>
      </c>
      <c r="H377" s="1626"/>
      <c r="U377" s="1027"/>
      <c r="V377" s="1027"/>
      <c r="W377" s="1027"/>
    </row>
    <row r="378" spans="2:23" x14ac:dyDescent="0.2">
      <c r="B378" s="1493">
        <f>'Sensitivitaeten Delta_Market'!$A$1</f>
        <v>9</v>
      </c>
      <c r="C378" s="1488" t="str">
        <f>'Sensitivitaeten Delta_Market'!$B$1</f>
        <v>Delta-Sensitivitäten</v>
      </c>
      <c r="D378" s="1494" t="str">
        <f>'Sensitivitaeten Delta_Market'!$F$9</f>
        <v>Marktnaher Wert der Aktiven mit entsprechendem Risikofaktor</v>
      </c>
      <c r="E378" s="1488" t="str">
        <f>'Sensitivitaeten Delta_Market'!$G$11</f>
        <v>dem übrigen Geschäft zugeordnet</v>
      </c>
      <c r="F378" s="1625" t="s">
        <v>2324</v>
      </c>
      <c r="G378" s="1617" t="s">
        <v>2301</v>
      </c>
      <c r="H378" s="1626"/>
      <c r="U378" s="1027"/>
      <c r="V378" s="1027"/>
      <c r="W378" s="1027"/>
    </row>
    <row r="379" spans="2:23" x14ac:dyDescent="0.2">
      <c r="B379" s="1493">
        <f>'Sensitivitaeten Delta_Market'!$A$1</f>
        <v>9</v>
      </c>
      <c r="C379" s="1488" t="str">
        <f>'Sensitivitaeten Delta_Market'!$B$1</f>
        <v>Delta-Sensitivitäten</v>
      </c>
      <c r="D379" s="1494" t="str">
        <f>'Sensitivitaeten Delta_Market'!$F$9</f>
        <v>Marktnaher Wert der Aktiven mit entsprechendem Risikofaktor</v>
      </c>
      <c r="E379" s="1488" t="str">
        <f>'Sensitivitaeten Delta_Market'!$G$11</f>
        <v>dem übrigen Geschäft zugeordnet</v>
      </c>
      <c r="F379" s="1625" t="s">
        <v>2325</v>
      </c>
      <c r="G379" s="1617" t="s">
        <v>2301</v>
      </c>
      <c r="H379" s="1626"/>
      <c r="U379" s="1027"/>
      <c r="V379" s="1027"/>
      <c r="W379" s="1027"/>
    </row>
    <row r="380" spans="2:23" x14ac:dyDescent="0.2">
      <c r="B380" s="1493">
        <f>'Sensitivitaeten Delta_Market'!$A$1</f>
        <v>9</v>
      </c>
      <c r="C380" s="1488" t="str">
        <f>'Sensitivitaeten Delta_Market'!$B$1</f>
        <v>Delta-Sensitivitäten</v>
      </c>
      <c r="D380" s="1494" t="str">
        <f>'Sensitivitaeten Delta_Market'!$F$9</f>
        <v>Marktnaher Wert der Aktiven mit entsprechendem Risikofaktor</v>
      </c>
      <c r="E380" s="1488" t="str">
        <f>'Sensitivitaeten Delta_Market'!$G$11</f>
        <v>dem übrigen Geschäft zugeordnet</v>
      </c>
      <c r="F380" s="1625" t="s">
        <v>2326</v>
      </c>
      <c r="G380" s="1617" t="s">
        <v>2301</v>
      </c>
      <c r="H380" s="1626"/>
      <c r="U380" s="1027"/>
      <c r="V380" s="1027"/>
      <c r="W380" s="1027"/>
    </row>
    <row r="381" spans="2:23" x14ac:dyDescent="0.2">
      <c r="B381" s="1493">
        <f>'Sensitivitaeten Delta_Market'!$A$1</f>
        <v>9</v>
      </c>
      <c r="C381" s="1488" t="str">
        <f>'Sensitivitaeten Delta_Market'!$B$1</f>
        <v>Delta-Sensitivitäten</v>
      </c>
      <c r="D381" s="1494" t="str">
        <f>'Sensitivitaeten Delta_Market'!$F$9</f>
        <v>Marktnaher Wert der Aktiven mit entsprechendem Risikofaktor</v>
      </c>
      <c r="E381" s="1488" t="str">
        <f>'Sensitivitaeten Delta_Market'!$G$11</f>
        <v>dem übrigen Geschäft zugeordnet</v>
      </c>
      <c r="F381" s="1625" t="s">
        <v>2327</v>
      </c>
      <c r="G381" s="1617" t="s">
        <v>2301</v>
      </c>
      <c r="H381" s="1626"/>
      <c r="U381" s="1027"/>
      <c r="V381" s="1027"/>
      <c r="W381" s="1027"/>
    </row>
    <row r="382" spans="2:23" x14ac:dyDescent="0.2">
      <c r="B382" s="1493">
        <f>'Sensitivitaeten Delta_Market'!$A$1</f>
        <v>9</v>
      </c>
      <c r="C382" s="1488" t="str">
        <f>'Sensitivitaeten Delta_Market'!$B$1</f>
        <v>Delta-Sensitivitäten</v>
      </c>
      <c r="D382" s="1494" t="str">
        <f>'Sensitivitaeten Delta_Market'!$F$9</f>
        <v>Marktnaher Wert der Aktiven mit entsprechendem Risikofaktor</v>
      </c>
      <c r="E382" s="1488" t="str">
        <f>'Sensitivitaeten Delta_Market'!$G$11</f>
        <v>dem übrigen Geschäft zugeordnet</v>
      </c>
      <c r="F382" s="1625" t="s">
        <v>2328</v>
      </c>
      <c r="G382" s="1617" t="s">
        <v>2301</v>
      </c>
      <c r="H382" s="1626"/>
      <c r="U382" s="1027"/>
      <c r="V382" s="1027"/>
      <c r="W382" s="1027"/>
    </row>
    <row r="383" spans="2:23" x14ac:dyDescent="0.2">
      <c r="B383" s="1493">
        <f>'Sensitivitaeten Delta_Market'!$A$1</f>
        <v>9</v>
      </c>
      <c r="C383" s="1488" t="str">
        <f>'Sensitivitaeten Delta_Market'!$B$1</f>
        <v>Delta-Sensitivitäten</v>
      </c>
      <c r="D383" s="1494" t="str">
        <f>'Sensitivitaeten Delta_Market'!$F$9</f>
        <v>Marktnaher Wert der Aktiven mit entsprechendem Risikofaktor</v>
      </c>
      <c r="E383" s="1488" t="str">
        <f>'Sensitivitaeten Delta_Market'!$G$11</f>
        <v>dem übrigen Geschäft zugeordnet</v>
      </c>
      <c r="F383" s="1495" t="str">
        <f>'Sensitivitaeten Delta_Market'!$B29</f>
        <v>Implizite Zinsvolatilität</v>
      </c>
      <c r="G383" s="1494"/>
      <c r="H383" s="1077">
        <f>'Sensitivitaeten Delta_Market'!$G29</f>
        <v>0</v>
      </c>
      <c r="U383" s="1027"/>
      <c r="V383" s="1027"/>
      <c r="W383" s="1027"/>
    </row>
    <row r="384" spans="2:23" x14ac:dyDescent="0.2">
      <c r="B384" s="1493">
        <f>'Sensitivitaeten Delta_Market'!$A$1</f>
        <v>9</v>
      </c>
      <c r="C384" s="1488" t="str">
        <f>'Sensitivitaeten Delta_Market'!$B$1</f>
        <v>Delta-Sensitivitäten</v>
      </c>
      <c r="D384" s="1494" t="str">
        <f>'Sensitivitaeten Delta_Market'!$F$9</f>
        <v>Marktnaher Wert der Aktiven mit entsprechendem Risikofaktor</v>
      </c>
      <c r="E384" s="1488" t="str">
        <f>'Sensitivitaeten Delta_Market'!$G$11</f>
        <v>dem übrigen Geschäft zugeordnet</v>
      </c>
      <c r="F384" s="1495" t="str">
        <f>'Sensitivitaeten Delta_Market'!$B30</f>
        <v>Credit Spread USA   AAA</v>
      </c>
      <c r="G384" s="1494"/>
      <c r="H384" s="1077">
        <f>'Sensitivitaeten Delta_Market'!$G30</f>
        <v>0</v>
      </c>
      <c r="U384" s="1027"/>
      <c r="V384" s="1027"/>
      <c r="W384" s="1027"/>
    </row>
    <row r="385" spans="2:23" x14ac:dyDescent="0.2">
      <c r="B385" s="1493">
        <f>'Sensitivitaeten Delta_Market'!$A$1</f>
        <v>9</v>
      </c>
      <c r="C385" s="1488" t="str">
        <f>'Sensitivitaeten Delta_Market'!$B$1</f>
        <v>Delta-Sensitivitäten</v>
      </c>
      <c r="D385" s="1494" t="str">
        <f>'Sensitivitaeten Delta_Market'!$F$9</f>
        <v>Marktnaher Wert der Aktiven mit entsprechendem Risikofaktor</v>
      </c>
      <c r="E385" s="1488" t="str">
        <f>'Sensitivitaeten Delta_Market'!$G$11</f>
        <v>dem übrigen Geschäft zugeordnet</v>
      </c>
      <c r="F385" s="1495" t="str">
        <f>'Sensitivitaeten Delta_Market'!$B31</f>
        <v>Credit Spread USA   AA</v>
      </c>
      <c r="G385" s="1494"/>
      <c r="H385" s="1077">
        <f>'Sensitivitaeten Delta_Market'!$G31</f>
        <v>0</v>
      </c>
      <c r="U385" s="1027"/>
      <c r="V385" s="1027"/>
      <c r="W385" s="1027"/>
    </row>
    <row r="386" spans="2:23" x14ac:dyDescent="0.2">
      <c r="B386" s="1493">
        <f>'Sensitivitaeten Delta_Market'!$A$1</f>
        <v>9</v>
      </c>
      <c r="C386" s="1488" t="str">
        <f>'Sensitivitaeten Delta_Market'!$B$1</f>
        <v>Delta-Sensitivitäten</v>
      </c>
      <c r="D386" s="1494" t="str">
        <f>'Sensitivitaeten Delta_Market'!$F$9</f>
        <v>Marktnaher Wert der Aktiven mit entsprechendem Risikofaktor</v>
      </c>
      <c r="E386" s="1488" t="str">
        <f>'Sensitivitaeten Delta_Market'!$G$11</f>
        <v>dem übrigen Geschäft zugeordnet</v>
      </c>
      <c r="F386" s="1495" t="str">
        <f>'Sensitivitaeten Delta_Market'!$B32</f>
        <v>Credit Spread USA   A</v>
      </c>
      <c r="G386" s="1494"/>
      <c r="H386" s="1077">
        <f>'Sensitivitaeten Delta_Market'!$G32</f>
        <v>0</v>
      </c>
      <c r="U386" s="1027"/>
      <c r="V386" s="1027"/>
      <c r="W386" s="1027"/>
    </row>
    <row r="387" spans="2:23" x14ac:dyDescent="0.2">
      <c r="B387" s="1493">
        <f>'Sensitivitaeten Delta_Market'!$A$1</f>
        <v>9</v>
      </c>
      <c r="C387" s="1488" t="str">
        <f>'Sensitivitaeten Delta_Market'!$B$1</f>
        <v>Delta-Sensitivitäten</v>
      </c>
      <c r="D387" s="1494" t="str">
        <f>'Sensitivitaeten Delta_Market'!$F$9</f>
        <v>Marktnaher Wert der Aktiven mit entsprechendem Risikofaktor</v>
      </c>
      <c r="E387" s="1488" t="str">
        <f>'Sensitivitaeten Delta_Market'!$G$11</f>
        <v>dem übrigen Geschäft zugeordnet</v>
      </c>
      <c r="F387" s="1495" t="str">
        <f>'Sensitivitaeten Delta_Market'!$B33</f>
        <v>Credit Spread USA   BBB</v>
      </c>
      <c r="G387" s="1494"/>
      <c r="H387" s="1077">
        <f>'Sensitivitaeten Delta_Market'!$G33</f>
        <v>0</v>
      </c>
      <c r="U387" s="1027"/>
      <c r="V387" s="1027"/>
      <c r="W387" s="1027"/>
    </row>
    <row r="388" spans="2:23" x14ac:dyDescent="0.2">
      <c r="B388" s="1493">
        <f>'Sensitivitaeten Delta_Market'!$A$1</f>
        <v>9</v>
      </c>
      <c r="C388" s="1488" t="str">
        <f>'Sensitivitaeten Delta_Market'!$B$1</f>
        <v>Delta-Sensitivitäten</v>
      </c>
      <c r="D388" s="1494" t="str">
        <f>'Sensitivitaeten Delta_Market'!$F$9</f>
        <v>Marktnaher Wert der Aktiven mit entsprechendem Risikofaktor</v>
      </c>
      <c r="E388" s="1488" t="str">
        <f>'Sensitivitaeten Delta_Market'!$G$11</f>
        <v>dem übrigen Geschäft zugeordnet</v>
      </c>
      <c r="F388" s="1495" t="str">
        <f>'Sensitivitaeten Delta_Market'!$B34</f>
        <v>Credit Spread   BB</v>
      </c>
      <c r="G388" s="1494"/>
      <c r="H388" s="1077">
        <f>'Sensitivitaeten Delta_Market'!$G34</f>
        <v>0</v>
      </c>
      <c r="U388" s="1027"/>
      <c r="V388" s="1027"/>
      <c r="W388" s="1027"/>
    </row>
    <row r="389" spans="2:23" x14ac:dyDescent="0.2">
      <c r="B389" s="1493">
        <f>'Sensitivitaeten Delta_Market'!$A$1</f>
        <v>9</v>
      </c>
      <c r="C389" s="1488" t="str">
        <f>'Sensitivitaeten Delta_Market'!$B$1</f>
        <v>Delta-Sensitivitäten</v>
      </c>
      <c r="D389" s="1494" t="str">
        <f>'Sensitivitaeten Delta_Market'!$F$9</f>
        <v>Marktnaher Wert der Aktiven mit entsprechendem Risikofaktor</v>
      </c>
      <c r="E389" s="1488" t="str">
        <f>'Sensitivitaeten Delta_Market'!$G$11</f>
        <v>dem übrigen Geschäft zugeordnet</v>
      </c>
      <c r="F389" s="1625" t="s">
        <v>2100</v>
      </c>
      <c r="G389" s="1617" t="s">
        <v>2101</v>
      </c>
      <c r="H389" s="1626"/>
      <c r="U389" s="1027"/>
      <c r="V389" s="1027"/>
      <c r="W389" s="1027"/>
    </row>
    <row r="390" spans="2:23" x14ac:dyDescent="0.2">
      <c r="B390" s="1493">
        <f>'Sensitivitaeten Delta_Market'!$A$1</f>
        <v>9</v>
      </c>
      <c r="C390" s="1488" t="str">
        <f>'Sensitivitaeten Delta_Market'!$B$1</f>
        <v>Delta-Sensitivitäten</v>
      </c>
      <c r="D390" s="1494" t="str">
        <f>'Sensitivitaeten Delta_Market'!$F$9</f>
        <v>Marktnaher Wert der Aktiven mit entsprechendem Risikofaktor</v>
      </c>
      <c r="E390" s="1488" t="str">
        <f>'Sensitivitaeten Delta_Market'!$G$11</f>
        <v>dem übrigen Geschäft zugeordnet</v>
      </c>
      <c r="F390" s="1495" t="str">
        <f>'Sensitivitaeten Delta_Market'!$B35</f>
        <v>Credit Spread Europa   AA</v>
      </c>
      <c r="G390" s="1494"/>
      <c r="H390" s="1077">
        <f>'Sensitivitaeten Delta_Market'!$G35</f>
        <v>0</v>
      </c>
      <c r="U390" s="1027"/>
      <c r="V390" s="1027"/>
      <c r="W390" s="1027"/>
    </row>
    <row r="391" spans="2:23" x14ac:dyDescent="0.2">
      <c r="B391" s="1493">
        <f>'Sensitivitaeten Delta_Market'!$A$1</f>
        <v>9</v>
      </c>
      <c r="C391" s="1488" t="str">
        <f>'Sensitivitaeten Delta_Market'!$B$1</f>
        <v>Delta-Sensitivitäten</v>
      </c>
      <c r="D391" s="1494" t="str">
        <f>'Sensitivitaeten Delta_Market'!$F$9</f>
        <v>Marktnaher Wert der Aktiven mit entsprechendem Risikofaktor</v>
      </c>
      <c r="E391" s="1488" t="str">
        <f>'Sensitivitaeten Delta_Market'!$G$11</f>
        <v>dem übrigen Geschäft zugeordnet</v>
      </c>
      <c r="F391" s="1495" t="str">
        <f>'Sensitivitaeten Delta_Market'!$B36</f>
        <v>Credit Spread Europa   A</v>
      </c>
      <c r="G391" s="1494"/>
      <c r="H391" s="1077">
        <f>'Sensitivitaeten Delta_Market'!$G36</f>
        <v>0</v>
      </c>
      <c r="U391" s="1027"/>
      <c r="V391" s="1027"/>
      <c r="W391" s="1027"/>
    </row>
    <row r="392" spans="2:23" x14ac:dyDescent="0.2">
      <c r="B392" s="1493">
        <f>'Sensitivitaeten Delta_Market'!$A$1</f>
        <v>9</v>
      </c>
      <c r="C392" s="1488" t="str">
        <f>'Sensitivitaeten Delta_Market'!$B$1</f>
        <v>Delta-Sensitivitäten</v>
      </c>
      <c r="D392" s="1494" t="str">
        <f>'Sensitivitaeten Delta_Market'!$F$9</f>
        <v>Marktnaher Wert der Aktiven mit entsprechendem Risikofaktor</v>
      </c>
      <c r="E392" s="1488" t="str">
        <f>'Sensitivitaeten Delta_Market'!$G$11</f>
        <v>dem übrigen Geschäft zugeordnet</v>
      </c>
      <c r="F392" s="1495" t="str">
        <f>'Sensitivitaeten Delta_Market'!$B37</f>
        <v>Credit Spread Europa   BBB</v>
      </c>
      <c r="G392" s="1494"/>
      <c r="H392" s="1077">
        <f>'Sensitivitaeten Delta_Market'!$G37</f>
        <v>0</v>
      </c>
      <c r="U392" s="1027"/>
      <c r="V392" s="1027"/>
      <c r="W392" s="1027"/>
    </row>
    <row r="393" spans="2:23" x14ac:dyDescent="0.2">
      <c r="B393" s="1493">
        <f>'Sensitivitaeten Delta_Market'!$A$1</f>
        <v>9</v>
      </c>
      <c r="C393" s="1488" t="str">
        <f>'Sensitivitaeten Delta_Market'!$B$1</f>
        <v>Delta-Sensitivitäten</v>
      </c>
      <c r="D393" s="1494" t="str">
        <f>'Sensitivitaeten Delta_Market'!$F$9</f>
        <v>Marktnaher Wert der Aktiven mit entsprechendem Risikofaktor</v>
      </c>
      <c r="E393" s="1488" t="str">
        <f>'Sensitivitaeten Delta_Market'!$G$11</f>
        <v>dem übrigen Geschäft zugeordnet</v>
      </c>
      <c r="F393" s="1495" t="str">
        <f>'Sensitivitaeten Delta_Market'!$B41</f>
        <v>Swap-Government Spread</v>
      </c>
      <c r="G393" s="1494"/>
      <c r="H393" s="1077">
        <f>'Sensitivitaeten Delta_Market'!$G41</f>
        <v>0</v>
      </c>
      <c r="U393" s="1027"/>
      <c r="V393" s="1027"/>
      <c r="W393" s="1027"/>
    </row>
    <row r="394" spans="2:23" x14ac:dyDescent="0.2">
      <c r="B394" s="1493">
        <f>'Sensitivitaeten Delta_Market'!$A$1</f>
        <v>9</v>
      </c>
      <c r="C394" s="1488" t="str">
        <f>'Sensitivitaeten Delta_Market'!$B$1</f>
        <v>Delta-Sensitivitäten</v>
      </c>
      <c r="D394" s="1494" t="str">
        <f>'Sensitivitaeten Delta_Market'!$F$9</f>
        <v>Marktnaher Wert der Aktiven mit entsprechendem Risikofaktor</v>
      </c>
      <c r="E394" s="1488" t="str">
        <f>'Sensitivitaeten Delta_Market'!$G$11</f>
        <v>dem übrigen Geschäft zugeordnet</v>
      </c>
      <c r="F394" s="1495" t="str">
        <f>'Sensitivitaeten Delta_Market'!$B42</f>
        <v>Wechselkurs   EUR/CHF</v>
      </c>
      <c r="G394" s="1494"/>
      <c r="H394" s="1077">
        <f>'Sensitivitaeten Delta_Market'!$G42</f>
        <v>0</v>
      </c>
      <c r="U394" s="1027"/>
      <c r="V394" s="1027"/>
      <c r="W394" s="1027"/>
    </row>
    <row r="395" spans="2:23" x14ac:dyDescent="0.2">
      <c r="B395" s="1493">
        <f>'Sensitivitaeten Delta_Market'!$A$1</f>
        <v>9</v>
      </c>
      <c r="C395" s="1488" t="str">
        <f>'Sensitivitaeten Delta_Market'!$B$1</f>
        <v>Delta-Sensitivitäten</v>
      </c>
      <c r="D395" s="1494" t="str">
        <f>'Sensitivitaeten Delta_Market'!$F$9</f>
        <v>Marktnaher Wert der Aktiven mit entsprechendem Risikofaktor</v>
      </c>
      <c r="E395" s="1488" t="str">
        <f>'Sensitivitaeten Delta_Market'!$G$11</f>
        <v>dem übrigen Geschäft zugeordnet</v>
      </c>
      <c r="F395" s="1495" t="str">
        <f>'Sensitivitaeten Delta_Market'!$B43</f>
        <v>Wechselkurs   USD/CHF</v>
      </c>
      <c r="G395" s="1494"/>
      <c r="H395" s="1077">
        <f>'Sensitivitaeten Delta_Market'!$G43</f>
        <v>0</v>
      </c>
      <c r="U395" s="1027"/>
      <c r="V395" s="1027"/>
      <c r="W395" s="1027"/>
    </row>
    <row r="396" spans="2:23" x14ac:dyDescent="0.2">
      <c r="B396" s="1493">
        <f>'Sensitivitaeten Delta_Market'!$A$1</f>
        <v>9</v>
      </c>
      <c r="C396" s="1488" t="str">
        <f>'Sensitivitaeten Delta_Market'!$B$1</f>
        <v>Delta-Sensitivitäten</v>
      </c>
      <c r="D396" s="1494" t="str">
        <f>'Sensitivitaeten Delta_Market'!$F$9</f>
        <v>Marktnaher Wert der Aktiven mit entsprechendem Risikofaktor</v>
      </c>
      <c r="E396" s="1488" t="str">
        <f>'Sensitivitaeten Delta_Market'!$G$11</f>
        <v>dem übrigen Geschäft zugeordnet</v>
      </c>
      <c r="F396" s="1495" t="str">
        <f>'Sensitivitaeten Delta_Market'!$B44</f>
        <v>Wechselkurs   GBP/CHF</v>
      </c>
      <c r="G396" s="1494"/>
      <c r="H396" s="1077">
        <f>'Sensitivitaeten Delta_Market'!$G44</f>
        <v>0</v>
      </c>
      <c r="U396" s="1027"/>
      <c r="V396" s="1027"/>
      <c r="W396" s="1027"/>
    </row>
    <row r="397" spans="2:23" x14ac:dyDescent="0.2">
      <c r="B397" s="1493">
        <f>'Sensitivitaeten Delta_Market'!$A$1</f>
        <v>9</v>
      </c>
      <c r="C397" s="1488" t="str">
        <f>'Sensitivitaeten Delta_Market'!$B$1</f>
        <v>Delta-Sensitivitäten</v>
      </c>
      <c r="D397" s="1494" t="str">
        <f>'Sensitivitaeten Delta_Market'!$F$9</f>
        <v>Marktnaher Wert der Aktiven mit entsprechendem Risikofaktor</v>
      </c>
      <c r="E397" s="1488" t="str">
        <f>'Sensitivitaeten Delta_Market'!$G$11</f>
        <v>dem übrigen Geschäft zugeordnet</v>
      </c>
      <c r="F397" s="1495" t="str">
        <f>'Sensitivitaeten Delta_Market'!$B45</f>
        <v>Wechselkurs   JPY/CHF</v>
      </c>
      <c r="G397" s="1494"/>
      <c r="H397" s="1077">
        <f>'Sensitivitaeten Delta_Market'!$G45</f>
        <v>0</v>
      </c>
      <c r="U397" s="1027"/>
      <c r="V397" s="1027"/>
      <c r="W397" s="1027"/>
    </row>
    <row r="398" spans="2:23" x14ac:dyDescent="0.2">
      <c r="B398" s="1493">
        <f>'Sensitivitaeten Delta_Market'!$A$1</f>
        <v>9</v>
      </c>
      <c r="C398" s="1488" t="str">
        <f>'Sensitivitaeten Delta_Market'!$B$1</f>
        <v>Delta-Sensitivitäten</v>
      </c>
      <c r="D398" s="1494" t="str">
        <f>'Sensitivitaeten Delta_Market'!$F$9</f>
        <v>Marktnaher Wert der Aktiven mit entsprechendem Risikofaktor</v>
      </c>
      <c r="E398" s="1488" t="str">
        <f>'Sensitivitaeten Delta_Market'!$G$11</f>
        <v>dem übrigen Geschäft zugeordnet</v>
      </c>
      <c r="F398" s="1495" t="str">
        <f>'Sensitivitaeten Delta_Market'!$B46</f>
        <v xml:space="preserve">Implizite FX-Volatilität </v>
      </c>
      <c r="G398" s="1494"/>
      <c r="H398" s="1077">
        <f>'Sensitivitaeten Delta_Market'!$G46</f>
        <v>0</v>
      </c>
      <c r="U398" s="1027"/>
      <c r="V398" s="1027"/>
      <c r="W398" s="1027"/>
    </row>
    <row r="399" spans="2:23" x14ac:dyDescent="0.2">
      <c r="B399" s="1493">
        <f>'Sensitivitaeten Delta_Market'!$A$1</f>
        <v>9</v>
      </c>
      <c r="C399" s="1488" t="str">
        <f>'Sensitivitaeten Delta_Market'!$B$1</f>
        <v>Delta-Sensitivitäten</v>
      </c>
      <c r="D399" s="1494" t="str">
        <f>'Sensitivitaeten Delta_Market'!$F$9</f>
        <v>Marktnaher Wert der Aktiven mit entsprechendem Risikofaktor</v>
      </c>
      <c r="E399" s="1488" t="str">
        <f>'Sensitivitaeten Delta_Market'!$G$11</f>
        <v>dem übrigen Geschäft zugeordnet</v>
      </c>
      <c r="F399" s="1495" t="str">
        <f>'Sensitivitaeten Delta_Market'!$B47</f>
        <v>Aktien Schweiz</v>
      </c>
      <c r="G399" s="1494"/>
      <c r="H399" s="1077">
        <f>'Sensitivitaeten Delta_Market'!$G47</f>
        <v>0</v>
      </c>
      <c r="U399" s="1027"/>
      <c r="V399" s="1027"/>
      <c r="W399" s="1027"/>
    </row>
    <row r="400" spans="2:23" x14ac:dyDescent="0.2">
      <c r="B400" s="1493">
        <f>'Sensitivitaeten Delta_Market'!$A$1</f>
        <v>9</v>
      </c>
      <c r="C400" s="1488" t="str">
        <f>'Sensitivitaeten Delta_Market'!$B$1</f>
        <v>Delta-Sensitivitäten</v>
      </c>
      <c r="D400" s="1494" t="str">
        <f>'Sensitivitaeten Delta_Market'!$F$9</f>
        <v>Marktnaher Wert der Aktiven mit entsprechendem Risikofaktor</v>
      </c>
      <c r="E400" s="1488" t="str">
        <f>'Sensitivitaeten Delta_Market'!$G$11</f>
        <v>dem übrigen Geschäft zugeordnet</v>
      </c>
      <c r="F400" s="1495" t="str">
        <f>'Sensitivitaeten Delta_Market'!$B48</f>
        <v>Aktien EMU</v>
      </c>
      <c r="G400" s="1494"/>
      <c r="H400" s="1077">
        <f>'Sensitivitaeten Delta_Market'!$G48</f>
        <v>0</v>
      </c>
      <c r="U400" s="1027"/>
      <c r="V400" s="1027"/>
      <c r="W400" s="1027"/>
    </row>
    <row r="401" spans="2:23" x14ac:dyDescent="0.2">
      <c r="B401" s="1493">
        <f>'Sensitivitaeten Delta_Market'!$A$1</f>
        <v>9</v>
      </c>
      <c r="C401" s="1488" t="str">
        <f>'Sensitivitaeten Delta_Market'!$B$1</f>
        <v>Delta-Sensitivitäten</v>
      </c>
      <c r="D401" s="1494" t="str">
        <f>'Sensitivitaeten Delta_Market'!$F$9</f>
        <v>Marktnaher Wert der Aktiven mit entsprechendem Risikofaktor</v>
      </c>
      <c r="E401" s="1488" t="str">
        <f>'Sensitivitaeten Delta_Market'!$G$11</f>
        <v>dem übrigen Geschäft zugeordnet</v>
      </c>
      <c r="F401" s="1495" t="str">
        <f>'Sensitivitaeten Delta_Market'!$B49</f>
        <v>Aktien USA</v>
      </c>
      <c r="G401" s="1494"/>
      <c r="H401" s="1077">
        <f>'Sensitivitaeten Delta_Market'!$G49</f>
        <v>0</v>
      </c>
      <c r="U401" s="1027"/>
      <c r="V401" s="1027"/>
      <c r="W401" s="1027"/>
    </row>
    <row r="402" spans="2:23" x14ac:dyDescent="0.2">
      <c r="B402" s="1493">
        <f>'Sensitivitaeten Delta_Market'!$A$1</f>
        <v>9</v>
      </c>
      <c r="C402" s="1488" t="str">
        <f>'Sensitivitaeten Delta_Market'!$B$1</f>
        <v>Delta-Sensitivitäten</v>
      </c>
      <c r="D402" s="1494" t="str">
        <f>'Sensitivitaeten Delta_Market'!$F$9</f>
        <v>Marktnaher Wert der Aktiven mit entsprechendem Risikofaktor</v>
      </c>
      <c r="E402" s="1488" t="str">
        <f>'Sensitivitaeten Delta_Market'!$G$11</f>
        <v>dem übrigen Geschäft zugeordnet</v>
      </c>
      <c r="F402" s="1495" t="str">
        <f>'Sensitivitaeten Delta_Market'!$B50</f>
        <v>Aktien Grossbritannien</v>
      </c>
      <c r="G402" s="1494"/>
      <c r="H402" s="1077">
        <f>'Sensitivitaeten Delta_Market'!$G50</f>
        <v>0</v>
      </c>
      <c r="U402" s="1027"/>
      <c r="V402" s="1027"/>
      <c r="W402" s="1027"/>
    </row>
    <row r="403" spans="2:23" x14ac:dyDescent="0.2">
      <c r="B403" s="1493">
        <f>'Sensitivitaeten Delta_Market'!$A$1</f>
        <v>9</v>
      </c>
      <c r="C403" s="1488" t="str">
        <f>'Sensitivitaeten Delta_Market'!$B$1</f>
        <v>Delta-Sensitivitäten</v>
      </c>
      <c r="D403" s="1494" t="str">
        <f>'Sensitivitaeten Delta_Market'!$F$9</f>
        <v>Marktnaher Wert der Aktiven mit entsprechendem Risikofaktor</v>
      </c>
      <c r="E403" s="1488" t="str">
        <f>'Sensitivitaeten Delta_Market'!$G$11</f>
        <v>dem übrigen Geschäft zugeordnet</v>
      </c>
      <c r="F403" s="1495" t="str">
        <f>'Sensitivitaeten Delta_Market'!$B51</f>
        <v>Aktien Japan</v>
      </c>
      <c r="G403" s="1494"/>
      <c r="H403" s="1077">
        <f>'Sensitivitaeten Delta_Market'!$G51</f>
        <v>0</v>
      </c>
      <c r="U403" s="1027"/>
      <c r="V403" s="1027"/>
      <c r="W403" s="1027"/>
    </row>
    <row r="404" spans="2:23" x14ac:dyDescent="0.2">
      <c r="B404" s="1493">
        <f>'Sensitivitaeten Delta_Market'!$A$1</f>
        <v>9</v>
      </c>
      <c r="C404" s="1488" t="str">
        <f>'Sensitivitaeten Delta_Market'!$B$1</f>
        <v>Delta-Sensitivitäten</v>
      </c>
      <c r="D404" s="1494" t="str">
        <f>'Sensitivitaeten Delta_Market'!$F$9</f>
        <v>Marktnaher Wert der Aktiven mit entsprechendem Risikofaktor</v>
      </c>
      <c r="E404" s="1488" t="str">
        <f>'Sensitivitaeten Delta_Market'!$G$11</f>
        <v>dem übrigen Geschäft zugeordnet</v>
      </c>
      <c r="F404" s="1625" t="s">
        <v>2338</v>
      </c>
      <c r="G404" s="1617" t="s">
        <v>2301</v>
      </c>
      <c r="H404" s="1626"/>
      <c r="U404" s="1027"/>
      <c r="V404" s="1027"/>
      <c r="W404" s="1027"/>
    </row>
    <row r="405" spans="2:23" x14ac:dyDescent="0.2">
      <c r="B405" s="1493">
        <f>'Sensitivitaeten Delta_Market'!$A$1</f>
        <v>9</v>
      </c>
      <c r="C405" s="1488" t="str">
        <f>'Sensitivitaeten Delta_Market'!$B$1</f>
        <v>Delta-Sensitivitäten</v>
      </c>
      <c r="D405" s="1494" t="str">
        <f>'Sensitivitaeten Delta_Market'!$F$9</f>
        <v>Marktnaher Wert der Aktiven mit entsprechendem Risikofaktor</v>
      </c>
      <c r="E405" s="1488" t="str">
        <f>'Sensitivitaeten Delta_Market'!$G$11</f>
        <v>dem übrigen Geschäft zugeordnet</v>
      </c>
      <c r="F405" s="1625" t="s">
        <v>2339</v>
      </c>
      <c r="G405" s="1617" t="s">
        <v>2301</v>
      </c>
      <c r="H405" s="1626"/>
      <c r="U405" s="1027"/>
      <c r="V405" s="1027"/>
      <c r="W405" s="1027"/>
    </row>
    <row r="406" spans="2:23" x14ac:dyDescent="0.2">
      <c r="B406" s="1493">
        <f>'Sensitivitaeten Delta_Market'!$A$1</f>
        <v>9</v>
      </c>
      <c r="C406" s="1488" t="str">
        <f>'Sensitivitaeten Delta_Market'!$B$1</f>
        <v>Delta-Sensitivitäten</v>
      </c>
      <c r="D406" s="1494" t="str">
        <f>'Sensitivitaeten Delta_Market'!$F$9</f>
        <v>Marktnaher Wert der Aktiven mit entsprechendem Risikofaktor</v>
      </c>
      <c r="E406" s="1488" t="str">
        <f>'Sensitivitaeten Delta_Market'!$G$11</f>
        <v>dem übrigen Geschäft zugeordnet</v>
      </c>
      <c r="F406" s="1497" t="str">
        <f>'Sensitivitaeten Delta_Market'!$B52</f>
        <v>Implizite Aktienvolatilität</v>
      </c>
      <c r="G406" s="1494"/>
      <c r="H406" s="1077">
        <f>'Sensitivitaeten Delta_Market'!$G52</f>
        <v>0</v>
      </c>
      <c r="U406" s="1027"/>
      <c r="V406" s="1027"/>
      <c r="W406" s="1027"/>
    </row>
    <row r="407" spans="2:23" x14ac:dyDescent="0.2">
      <c r="B407" s="1493">
        <f>'Sensitivitaeten Delta_Market'!$A$1</f>
        <v>9</v>
      </c>
      <c r="C407" s="1488" t="str">
        <f>'Sensitivitaeten Delta_Market'!$B$1</f>
        <v>Delta-Sensitivitäten</v>
      </c>
      <c r="D407" s="1494" t="str">
        <f>'Sensitivitaeten Delta_Market'!$F$9</f>
        <v>Marktnaher Wert der Aktiven mit entsprechendem Risikofaktor</v>
      </c>
      <c r="E407" s="1488" t="str">
        <f>'Sensitivitaeten Delta_Market'!$G$11</f>
        <v>dem übrigen Geschäft zugeordnet</v>
      </c>
      <c r="F407" s="1495" t="str">
        <f>'Sensitivitaeten Delta_Market'!$B53</f>
        <v>Hedgefonds</v>
      </c>
      <c r="G407" s="1494"/>
      <c r="H407" s="1077">
        <f>'Sensitivitaeten Delta_Market'!$G53</f>
        <v>0</v>
      </c>
      <c r="U407" s="1027"/>
      <c r="V407" s="1027"/>
      <c r="W407" s="1027"/>
    </row>
    <row r="408" spans="2:23" x14ac:dyDescent="0.2">
      <c r="B408" s="1493"/>
      <c r="C408" s="1488"/>
      <c r="D408" s="1494"/>
      <c r="E408" s="1488"/>
      <c r="F408" s="1495"/>
      <c r="G408" s="1494"/>
      <c r="H408" s="1078"/>
      <c r="U408" s="1027"/>
      <c r="V408" s="1027"/>
      <c r="W408" s="1027"/>
    </row>
    <row r="409" spans="2:23" x14ac:dyDescent="0.2">
      <c r="B409" s="1493">
        <f>'Sensitivitaeten Delta_Market'!$A$1</f>
        <v>9</v>
      </c>
      <c r="C409" s="1488" t="str">
        <f>'Sensitivitaeten Delta_Market'!$B$1</f>
        <v>Delta-Sensitivitäten</v>
      </c>
      <c r="D409" s="1494" t="str">
        <f>'Sensitivitaeten Delta_Market'!$I$11</f>
        <v>Änderungen der Aktiven</v>
      </c>
      <c r="E409" s="1488" t="str">
        <f>'Sensitivitaeten Delta_Market'!$I$13</f>
        <v>nach oben</v>
      </c>
      <c r="F409" s="1625" t="s">
        <v>428</v>
      </c>
      <c r="G409" s="1617" t="s">
        <v>2301</v>
      </c>
      <c r="H409" s="1626"/>
      <c r="U409" s="1027"/>
      <c r="V409" s="1027"/>
      <c r="W409" s="1027"/>
    </row>
    <row r="410" spans="2:23" x14ac:dyDescent="0.2">
      <c r="B410" s="1493">
        <f>'Sensitivitaeten Delta_Market'!$A$1</f>
        <v>9</v>
      </c>
      <c r="C410" s="1488" t="str">
        <f>'Sensitivitaeten Delta_Market'!$B$1</f>
        <v>Delta-Sensitivitäten</v>
      </c>
      <c r="D410" s="1494" t="str">
        <f>'Sensitivitaeten Delta_Market'!$I$11</f>
        <v>Änderungen der Aktiven</v>
      </c>
      <c r="E410" s="1488" t="str">
        <f>'Sensitivitaeten Delta_Market'!$I$13</f>
        <v>nach oben</v>
      </c>
      <c r="F410" s="1494" t="str">
        <f>'Sensitivitaeten Delta_Market'!$B17</f>
        <v>CHF Zeros  2 Y</v>
      </c>
      <c r="G410" s="1494"/>
      <c r="H410" s="1077">
        <f>'Sensitivitaeten Delta_Market'!$I17</f>
        <v>0</v>
      </c>
      <c r="U410" s="1027"/>
      <c r="V410" s="1027"/>
      <c r="W410" s="1027"/>
    </row>
    <row r="411" spans="2:23" x14ac:dyDescent="0.2">
      <c r="B411" s="1493">
        <f>'Sensitivitaeten Delta_Market'!$A$1</f>
        <v>9</v>
      </c>
      <c r="C411" s="1488" t="str">
        <f>'Sensitivitaeten Delta_Market'!$B$1</f>
        <v>Delta-Sensitivitäten</v>
      </c>
      <c r="D411" s="1494" t="str">
        <f>'Sensitivitaeten Delta_Market'!$I$11</f>
        <v>Änderungen der Aktiven</v>
      </c>
      <c r="E411" s="1488" t="str">
        <f>'Sensitivitaeten Delta_Market'!$I$13</f>
        <v>nach oben</v>
      </c>
      <c r="F411" s="1625" t="s">
        <v>2302</v>
      </c>
      <c r="G411" s="1617" t="s">
        <v>2301</v>
      </c>
      <c r="H411" s="1626"/>
      <c r="U411" s="1027"/>
      <c r="V411" s="1027"/>
      <c r="W411" s="1027"/>
    </row>
    <row r="412" spans="2:23" x14ac:dyDescent="0.2">
      <c r="B412" s="1493">
        <f>'Sensitivitaeten Delta_Market'!$A$1</f>
        <v>9</v>
      </c>
      <c r="C412" s="1488" t="str">
        <f>'Sensitivitaeten Delta_Market'!$B$1</f>
        <v>Delta-Sensitivitäten</v>
      </c>
      <c r="D412" s="1494" t="str">
        <f>'Sensitivitaeten Delta_Market'!$I$11</f>
        <v>Änderungen der Aktiven</v>
      </c>
      <c r="E412" s="1488" t="str">
        <f>'Sensitivitaeten Delta_Market'!$I$13</f>
        <v>nach oben</v>
      </c>
      <c r="F412" s="1625" t="s">
        <v>2303</v>
      </c>
      <c r="G412" s="1617" t="s">
        <v>2301</v>
      </c>
      <c r="H412" s="1626"/>
      <c r="U412" s="1027"/>
      <c r="V412" s="1027"/>
      <c r="W412" s="1027"/>
    </row>
    <row r="413" spans="2:23" x14ac:dyDescent="0.2">
      <c r="B413" s="1493">
        <f>'Sensitivitaeten Delta_Market'!$A$1</f>
        <v>9</v>
      </c>
      <c r="C413" s="1488" t="str">
        <f>'Sensitivitaeten Delta_Market'!$B$1</f>
        <v>Delta-Sensitivitäten</v>
      </c>
      <c r="D413" s="1494" t="str">
        <f>'Sensitivitaeten Delta_Market'!$I$11</f>
        <v>Änderungen der Aktiven</v>
      </c>
      <c r="E413" s="1488" t="str">
        <f>'Sensitivitaeten Delta_Market'!$I$13</f>
        <v>nach oben</v>
      </c>
      <c r="F413" s="1625" t="s">
        <v>2304</v>
      </c>
      <c r="G413" s="1617" t="s">
        <v>2301</v>
      </c>
      <c r="H413" s="1626"/>
      <c r="U413" s="1027"/>
      <c r="V413" s="1027"/>
      <c r="W413" s="1027"/>
    </row>
    <row r="414" spans="2:23" x14ac:dyDescent="0.2">
      <c r="B414" s="1493">
        <f>'Sensitivitaeten Delta_Market'!$A$1</f>
        <v>9</v>
      </c>
      <c r="C414" s="1488" t="str">
        <f>'Sensitivitaeten Delta_Market'!$B$1</f>
        <v>Delta-Sensitivitäten</v>
      </c>
      <c r="D414" s="1494" t="str">
        <f>'Sensitivitaeten Delta_Market'!$I$11</f>
        <v>Änderungen der Aktiven</v>
      </c>
      <c r="E414" s="1488" t="str">
        <f>'Sensitivitaeten Delta_Market'!$I$13</f>
        <v>nach oben</v>
      </c>
      <c r="F414" s="1625" t="s">
        <v>2305</v>
      </c>
      <c r="G414" s="1617" t="s">
        <v>2301</v>
      </c>
      <c r="H414" s="1626"/>
      <c r="U414" s="1027"/>
      <c r="V414" s="1027"/>
      <c r="W414" s="1027"/>
    </row>
    <row r="415" spans="2:23" x14ac:dyDescent="0.2">
      <c r="B415" s="1493">
        <f>'Sensitivitaeten Delta_Market'!$A$1</f>
        <v>9</v>
      </c>
      <c r="C415" s="1488" t="str">
        <f>'Sensitivitaeten Delta_Market'!$B$1</f>
        <v>Delta-Sensitivitäten</v>
      </c>
      <c r="D415" s="1494" t="str">
        <f>'Sensitivitaeten Delta_Market'!$I$11</f>
        <v>Änderungen der Aktiven</v>
      </c>
      <c r="E415" s="1488" t="str">
        <f>'Sensitivitaeten Delta_Market'!$I$13</f>
        <v>nach oben</v>
      </c>
      <c r="F415" s="1625" t="s">
        <v>2307</v>
      </c>
      <c r="G415" s="1617" t="s">
        <v>2301</v>
      </c>
      <c r="H415" s="1626"/>
      <c r="U415" s="1027"/>
      <c r="V415" s="1027"/>
      <c r="W415" s="1027"/>
    </row>
    <row r="416" spans="2:23" x14ac:dyDescent="0.2">
      <c r="B416" s="1493">
        <f>'Sensitivitaeten Delta_Market'!$A$1</f>
        <v>9</v>
      </c>
      <c r="C416" s="1488" t="str">
        <f>'Sensitivitaeten Delta_Market'!$B$1</f>
        <v>Delta-Sensitivitäten</v>
      </c>
      <c r="D416" s="1494" t="str">
        <f>'Sensitivitaeten Delta_Market'!$I$11</f>
        <v>Änderungen der Aktiven</v>
      </c>
      <c r="E416" s="1488" t="str">
        <f>'Sensitivitaeten Delta_Market'!$I$13</f>
        <v>nach oben</v>
      </c>
      <c r="F416" s="1625" t="s">
        <v>2306</v>
      </c>
      <c r="G416" s="1617" t="s">
        <v>2301</v>
      </c>
      <c r="H416" s="1626"/>
      <c r="U416" s="1027"/>
      <c r="V416" s="1027"/>
      <c r="W416" s="1027"/>
    </row>
    <row r="417" spans="2:23" x14ac:dyDescent="0.2">
      <c r="B417" s="1493">
        <f>'Sensitivitaeten Delta_Market'!$A$1</f>
        <v>9</v>
      </c>
      <c r="C417" s="1488" t="str">
        <f>'Sensitivitaeten Delta_Market'!$B$1</f>
        <v>Delta-Sensitivitäten</v>
      </c>
      <c r="D417" s="1494" t="str">
        <f>'Sensitivitaeten Delta_Market'!$I$11</f>
        <v>Änderungen der Aktiven</v>
      </c>
      <c r="E417" s="1488" t="str">
        <f>'Sensitivitaeten Delta_Market'!$I$13</f>
        <v>nach oben</v>
      </c>
      <c r="F417" s="1625" t="s">
        <v>2308</v>
      </c>
      <c r="G417" s="1617" t="s">
        <v>2301</v>
      </c>
      <c r="H417" s="1626"/>
      <c r="U417" s="1027"/>
      <c r="V417" s="1027"/>
      <c r="W417" s="1027"/>
    </row>
    <row r="418" spans="2:23" x14ac:dyDescent="0.2">
      <c r="B418" s="1493">
        <f>'Sensitivitaeten Delta_Market'!$A$1</f>
        <v>9</v>
      </c>
      <c r="C418" s="1488" t="str">
        <f>'Sensitivitaeten Delta_Market'!$B$1</f>
        <v>Delta-Sensitivitäten</v>
      </c>
      <c r="D418" s="1494" t="str">
        <f>'Sensitivitaeten Delta_Market'!$I$11</f>
        <v>Änderungen der Aktiven</v>
      </c>
      <c r="E418" s="1488" t="str">
        <f>'Sensitivitaeten Delta_Market'!$I$13</f>
        <v>nach oben</v>
      </c>
      <c r="F418" s="1495" t="str">
        <f>'Sensitivitaeten Delta_Market'!$B18</f>
        <v>CHF Zeros  10 Y</v>
      </c>
      <c r="G418" s="1494"/>
      <c r="H418" s="1077">
        <f>'Sensitivitaeten Delta_Market'!$I18</f>
        <v>0</v>
      </c>
      <c r="U418" s="1027"/>
      <c r="V418" s="1027"/>
      <c r="W418" s="1027"/>
    </row>
    <row r="419" spans="2:23" x14ac:dyDescent="0.2">
      <c r="B419" s="1493">
        <f>'Sensitivitaeten Delta_Market'!$A$1</f>
        <v>9</v>
      </c>
      <c r="C419" s="1488" t="str">
        <f>'Sensitivitaeten Delta_Market'!$B$1</f>
        <v>Delta-Sensitivitäten</v>
      </c>
      <c r="D419" s="1494" t="str">
        <f>'Sensitivitaeten Delta_Market'!$I$11</f>
        <v>Änderungen der Aktiven</v>
      </c>
      <c r="E419" s="1488" t="str">
        <f>'Sensitivitaeten Delta_Market'!$I$13</f>
        <v>nach oben</v>
      </c>
      <c r="F419" s="1625" t="s">
        <v>2309</v>
      </c>
      <c r="G419" s="1617" t="s">
        <v>2301</v>
      </c>
      <c r="H419" s="1626"/>
      <c r="U419" s="1027"/>
      <c r="V419" s="1027"/>
      <c r="W419" s="1027"/>
    </row>
    <row r="420" spans="2:23" x14ac:dyDescent="0.2">
      <c r="B420" s="1493">
        <f>'Sensitivitaeten Delta_Market'!$A$1</f>
        <v>9</v>
      </c>
      <c r="C420" s="1488" t="str">
        <f>'Sensitivitaeten Delta_Market'!$B$1</f>
        <v>Delta-Sensitivitäten</v>
      </c>
      <c r="D420" s="1494" t="str">
        <f>'Sensitivitaeten Delta_Market'!$I$11</f>
        <v>Änderungen der Aktiven</v>
      </c>
      <c r="E420" s="1488" t="str">
        <f>'Sensitivitaeten Delta_Market'!$I$13</f>
        <v>nach oben</v>
      </c>
      <c r="F420" s="1625" t="s">
        <v>2310</v>
      </c>
      <c r="G420" s="1617" t="s">
        <v>2301</v>
      </c>
      <c r="H420" s="1626"/>
      <c r="U420" s="1027"/>
      <c r="V420" s="1027"/>
      <c r="W420" s="1027"/>
    </row>
    <row r="421" spans="2:23" x14ac:dyDescent="0.2">
      <c r="B421" s="1493">
        <f>'Sensitivitaeten Delta_Market'!$A$1</f>
        <v>9</v>
      </c>
      <c r="C421" s="1488" t="str">
        <f>'Sensitivitaeten Delta_Market'!$B$1</f>
        <v>Delta-Sensitivitäten</v>
      </c>
      <c r="D421" s="1494" t="str">
        <f>'Sensitivitaeten Delta_Market'!$I$11</f>
        <v>Änderungen der Aktiven</v>
      </c>
      <c r="E421" s="1488" t="str">
        <f>'Sensitivitaeten Delta_Market'!$I$13</f>
        <v>nach oben</v>
      </c>
      <c r="F421" s="1495" t="str">
        <f>'Sensitivitaeten Delta_Market'!$B19</f>
        <v>CHF Zeros  30 Y</v>
      </c>
      <c r="G421" s="1494"/>
      <c r="H421" s="1077">
        <f>'Sensitivitaeten Delta_Market'!$I19</f>
        <v>0</v>
      </c>
      <c r="U421" s="1027"/>
      <c r="V421" s="1027"/>
      <c r="W421" s="1027"/>
    </row>
    <row r="422" spans="2:23" x14ac:dyDescent="0.2">
      <c r="B422" s="1493">
        <f>'Sensitivitaeten Delta_Market'!$A$1</f>
        <v>9</v>
      </c>
      <c r="C422" s="1488" t="str">
        <f>'Sensitivitaeten Delta_Market'!$B$1</f>
        <v>Delta-Sensitivitäten</v>
      </c>
      <c r="D422" s="1494" t="str">
        <f>'Sensitivitaeten Delta_Market'!$I$11</f>
        <v>Änderungen der Aktiven</v>
      </c>
      <c r="E422" s="1488" t="str">
        <f>'Sensitivitaeten Delta_Market'!$I$13</f>
        <v>nach oben</v>
      </c>
      <c r="F422" s="1625" t="s">
        <v>429</v>
      </c>
      <c r="G422" s="1617" t="s">
        <v>2301</v>
      </c>
      <c r="H422" s="1626"/>
      <c r="U422" s="1027"/>
      <c r="V422" s="1027"/>
      <c r="W422" s="1027"/>
    </row>
    <row r="423" spans="2:23" x14ac:dyDescent="0.2">
      <c r="B423" s="1493">
        <f>'Sensitivitaeten Delta_Market'!$A$1</f>
        <v>9</v>
      </c>
      <c r="C423" s="1488" t="str">
        <f>'Sensitivitaeten Delta_Market'!$B$1</f>
        <v>Delta-Sensitivitäten</v>
      </c>
      <c r="D423" s="1494" t="str">
        <f>'Sensitivitaeten Delta_Market'!$I$11</f>
        <v>Änderungen der Aktiven</v>
      </c>
      <c r="E423" s="1488" t="str">
        <f>'Sensitivitaeten Delta_Market'!$I$13</f>
        <v>nach oben</v>
      </c>
      <c r="F423" s="1625" t="s">
        <v>2311</v>
      </c>
      <c r="G423" s="1617" t="s">
        <v>2301</v>
      </c>
      <c r="H423" s="1626"/>
      <c r="U423" s="1027"/>
      <c r="V423" s="1027"/>
      <c r="W423" s="1027"/>
    </row>
    <row r="424" spans="2:23" x14ac:dyDescent="0.2">
      <c r="B424" s="1493">
        <f>'Sensitivitaeten Delta_Market'!$A$1</f>
        <v>9</v>
      </c>
      <c r="C424" s="1488" t="str">
        <f>'Sensitivitaeten Delta_Market'!$B$1</f>
        <v>Delta-Sensitivitäten</v>
      </c>
      <c r="D424" s="1494" t="str">
        <f>'Sensitivitaeten Delta_Market'!$I$11</f>
        <v>Änderungen der Aktiven</v>
      </c>
      <c r="E424" s="1488" t="str">
        <f>'Sensitivitaeten Delta_Market'!$I$13</f>
        <v>nach oben</v>
      </c>
      <c r="F424" s="1625" t="s">
        <v>2312</v>
      </c>
      <c r="G424" s="1617" t="s">
        <v>2301</v>
      </c>
      <c r="H424" s="1626"/>
      <c r="U424" s="1027"/>
      <c r="V424" s="1027"/>
      <c r="W424" s="1027"/>
    </row>
    <row r="425" spans="2:23" x14ac:dyDescent="0.2">
      <c r="B425" s="1493">
        <f>'Sensitivitaeten Delta_Market'!$A$1</f>
        <v>9</v>
      </c>
      <c r="C425" s="1488" t="str">
        <f>'Sensitivitaeten Delta_Market'!$B$1</f>
        <v>Delta-Sensitivitäten</v>
      </c>
      <c r="D425" s="1494" t="str">
        <f>'Sensitivitaeten Delta_Market'!$I$11</f>
        <v>Änderungen der Aktiven</v>
      </c>
      <c r="E425" s="1488" t="str">
        <f>'Sensitivitaeten Delta_Market'!$I$13</f>
        <v>nach oben</v>
      </c>
      <c r="F425" s="1625" t="s">
        <v>2313</v>
      </c>
      <c r="G425" s="1617" t="s">
        <v>2301</v>
      </c>
      <c r="H425" s="1626"/>
      <c r="U425" s="1027"/>
      <c r="V425" s="1027"/>
      <c r="W425" s="1027"/>
    </row>
    <row r="426" spans="2:23" x14ac:dyDescent="0.2">
      <c r="B426" s="1493">
        <f>'Sensitivitaeten Delta_Market'!$A$1</f>
        <v>9</v>
      </c>
      <c r="C426" s="1488" t="str">
        <f>'Sensitivitaeten Delta_Market'!$B$1</f>
        <v>Delta-Sensitivitäten</v>
      </c>
      <c r="D426" s="1494" t="str">
        <f>'Sensitivitaeten Delta_Market'!$I$11</f>
        <v>Änderungen der Aktiven</v>
      </c>
      <c r="E426" s="1488" t="str">
        <f>'Sensitivitaeten Delta_Market'!$I$13</f>
        <v>nach oben</v>
      </c>
      <c r="F426" s="1625" t="s">
        <v>2314</v>
      </c>
      <c r="G426" s="1617" t="s">
        <v>2301</v>
      </c>
      <c r="H426" s="1626"/>
      <c r="U426" s="1027"/>
      <c r="V426" s="1027"/>
      <c r="W426" s="1027"/>
    </row>
    <row r="427" spans="2:23" x14ac:dyDescent="0.2">
      <c r="B427" s="1493">
        <f>'Sensitivitaeten Delta_Market'!$A$1</f>
        <v>9</v>
      </c>
      <c r="C427" s="1488" t="str">
        <f>'Sensitivitaeten Delta_Market'!$B$1</f>
        <v>Delta-Sensitivitäten</v>
      </c>
      <c r="D427" s="1494" t="str">
        <f>'Sensitivitaeten Delta_Market'!$I$11</f>
        <v>Änderungen der Aktiven</v>
      </c>
      <c r="E427" s="1488" t="str">
        <f>'Sensitivitaeten Delta_Market'!$I$13</f>
        <v>nach oben</v>
      </c>
      <c r="F427" s="1625" t="s">
        <v>2315</v>
      </c>
      <c r="G427" s="1617" t="s">
        <v>2301</v>
      </c>
      <c r="H427" s="1626"/>
      <c r="U427" s="1027"/>
      <c r="V427" s="1027"/>
      <c r="W427" s="1027"/>
    </row>
    <row r="428" spans="2:23" x14ac:dyDescent="0.2">
      <c r="B428" s="1493">
        <f>'Sensitivitaeten Delta_Market'!$A$1</f>
        <v>9</v>
      </c>
      <c r="C428" s="1488" t="str">
        <f>'Sensitivitaeten Delta_Market'!$B$1</f>
        <v>Delta-Sensitivitäten</v>
      </c>
      <c r="D428" s="1494" t="str">
        <f>'Sensitivitaeten Delta_Market'!$I$11</f>
        <v>Änderungen der Aktiven</v>
      </c>
      <c r="E428" s="1488" t="str">
        <f>'Sensitivitaeten Delta_Market'!$I$13</f>
        <v>nach oben</v>
      </c>
      <c r="F428" s="1625" t="s">
        <v>2316</v>
      </c>
      <c r="G428" s="1617" t="s">
        <v>2301</v>
      </c>
      <c r="H428" s="1626"/>
      <c r="U428" s="1027"/>
      <c r="V428" s="1027"/>
      <c r="W428" s="1027"/>
    </row>
    <row r="429" spans="2:23" x14ac:dyDescent="0.2">
      <c r="B429" s="1493">
        <f>'Sensitivitaeten Delta_Market'!$A$1</f>
        <v>9</v>
      </c>
      <c r="C429" s="1488" t="str">
        <f>'Sensitivitaeten Delta_Market'!$B$1</f>
        <v>Delta-Sensitivitäten</v>
      </c>
      <c r="D429" s="1494" t="str">
        <f>'Sensitivitaeten Delta_Market'!$I$11</f>
        <v>Änderungen der Aktiven</v>
      </c>
      <c r="E429" s="1488" t="str">
        <f>'Sensitivitaeten Delta_Market'!$I$13</f>
        <v>nach oben</v>
      </c>
      <c r="F429" s="1625" t="s">
        <v>2317</v>
      </c>
      <c r="G429" s="1617" t="s">
        <v>2301</v>
      </c>
      <c r="H429" s="1626"/>
      <c r="U429" s="1027"/>
      <c r="V429" s="1027"/>
      <c r="W429" s="1027"/>
    </row>
    <row r="430" spans="2:23" x14ac:dyDescent="0.2">
      <c r="B430" s="1493">
        <f>'Sensitivitaeten Delta_Market'!$A$1</f>
        <v>9</v>
      </c>
      <c r="C430" s="1488" t="str">
        <f>'Sensitivitaeten Delta_Market'!$B$1</f>
        <v>Delta-Sensitivitäten</v>
      </c>
      <c r="D430" s="1494" t="str">
        <f>'Sensitivitaeten Delta_Market'!$I$11</f>
        <v>Änderungen der Aktiven</v>
      </c>
      <c r="E430" s="1488" t="str">
        <f>'Sensitivitaeten Delta_Market'!$I$13</f>
        <v>nach oben</v>
      </c>
      <c r="F430" s="1625" t="s">
        <v>2318</v>
      </c>
      <c r="G430" s="1617" t="s">
        <v>2301</v>
      </c>
      <c r="H430" s="1626"/>
      <c r="U430" s="1027"/>
      <c r="V430" s="1027"/>
      <c r="W430" s="1027"/>
    </row>
    <row r="431" spans="2:23" x14ac:dyDescent="0.2">
      <c r="B431" s="1493">
        <f>'Sensitivitaeten Delta_Market'!$A$1</f>
        <v>9</v>
      </c>
      <c r="C431" s="1488" t="str">
        <f>'Sensitivitaeten Delta_Market'!$B$1</f>
        <v>Delta-Sensitivitäten</v>
      </c>
      <c r="D431" s="1494" t="str">
        <f>'Sensitivitaeten Delta_Market'!$I$11</f>
        <v>Änderungen der Aktiven</v>
      </c>
      <c r="E431" s="1488" t="str">
        <f>'Sensitivitaeten Delta_Market'!$I$13</f>
        <v>nach oben</v>
      </c>
      <c r="F431" s="1625" t="s">
        <v>2319</v>
      </c>
      <c r="G431" s="1617" t="s">
        <v>2301</v>
      </c>
      <c r="H431" s="1626"/>
      <c r="U431" s="1027"/>
      <c r="V431" s="1027"/>
      <c r="W431" s="1027"/>
    </row>
    <row r="432" spans="2:23" x14ac:dyDescent="0.2">
      <c r="B432" s="1493">
        <f>'Sensitivitaeten Delta_Market'!$A$1</f>
        <v>9</v>
      </c>
      <c r="C432" s="1488" t="str">
        <f>'Sensitivitaeten Delta_Market'!$B$1</f>
        <v>Delta-Sensitivitäten</v>
      </c>
      <c r="D432" s="1494" t="str">
        <f>'Sensitivitaeten Delta_Market'!$I$11</f>
        <v>Änderungen der Aktiven</v>
      </c>
      <c r="E432" s="1488" t="str">
        <f>'Sensitivitaeten Delta_Market'!$I$13</f>
        <v>nach oben</v>
      </c>
      <c r="F432" s="1495" t="str">
        <f>'Sensitivitaeten Delta_Market'!$B20</f>
        <v>EUR Zeros  2 Y</v>
      </c>
      <c r="G432" s="1494"/>
      <c r="H432" s="1077">
        <f>'Sensitivitaeten Delta_Market'!$I20</f>
        <v>0</v>
      </c>
      <c r="U432" s="1027"/>
      <c r="V432" s="1027"/>
      <c r="W432" s="1027"/>
    </row>
    <row r="433" spans="2:23" x14ac:dyDescent="0.2">
      <c r="B433" s="1493">
        <f>'Sensitivitaeten Delta_Market'!$A$1</f>
        <v>9</v>
      </c>
      <c r="C433" s="1488" t="str">
        <f>'Sensitivitaeten Delta_Market'!$B$1</f>
        <v>Delta-Sensitivitäten</v>
      </c>
      <c r="D433" s="1494" t="str">
        <f>'Sensitivitaeten Delta_Market'!$I$11</f>
        <v>Änderungen der Aktiven</v>
      </c>
      <c r="E433" s="1488" t="str">
        <f>'Sensitivitaeten Delta_Market'!$I$13</f>
        <v>nach oben</v>
      </c>
      <c r="F433" s="1495" t="str">
        <f>'Sensitivitaeten Delta_Market'!$B21</f>
        <v>EUR Zeros  10 Y</v>
      </c>
      <c r="G433" s="1494"/>
      <c r="H433" s="1077">
        <f>'Sensitivitaeten Delta_Market'!$I21</f>
        <v>0</v>
      </c>
      <c r="U433" s="1027"/>
      <c r="V433" s="1027"/>
      <c r="W433" s="1027"/>
    </row>
    <row r="434" spans="2:23" x14ac:dyDescent="0.2">
      <c r="B434" s="1493">
        <f>'Sensitivitaeten Delta_Market'!$A$1</f>
        <v>9</v>
      </c>
      <c r="C434" s="1488" t="str">
        <f>'Sensitivitaeten Delta_Market'!$B$1</f>
        <v>Delta-Sensitivitäten</v>
      </c>
      <c r="D434" s="1494" t="str">
        <f>'Sensitivitaeten Delta_Market'!$I$11</f>
        <v>Änderungen der Aktiven</v>
      </c>
      <c r="E434" s="1488" t="str">
        <f>'Sensitivitaeten Delta_Market'!$I$13</f>
        <v>nach oben</v>
      </c>
      <c r="F434" s="1495" t="str">
        <f>'Sensitivitaeten Delta_Market'!$B22</f>
        <v>EUR Zeros  30 Y</v>
      </c>
      <c r="G434" s="1494"/>
      <c r="H434" s="1077">
        <f>'Sensitivitaeten Delta_Market'!$I22</f>
        <v>0</v>
      </c>
      <c r="U434" s="1027"/>
      <c r="V434" s="1027"/>
      <c r="W434" s="1027"/>
    </row>
    <row r="435" spans="2:23" x14ac:dyDescent="0.2">
      <c r="B435" s="1493">
        <f>'Sensitivitaeten Delta_Market'!$A$1</f>
        <v>9</v>
      </c>
      <c r="C435" s="1488" t="str">
        <f>'Sensitivitaeten Delta_Market'!$B$1</f>
        <v>Delta-Sensitivitäten</v>
      </c>
      <c r="D435" s="1494" t="str">
        <f>'Sensitivitaeten Delta_Market'!$I$11</f>
        <v>Änderungen der Aktiven</v>
      </c>
      <c r="E435" s="1488" t="str">
        <f>'Sensitivitaeten Delta_Market'!$I$13</f>
        <v>nach oben</v>
      </c>
      <c r="F435" s="1494" t="str">
        <f>'Sensitivitaeten Delta_Market'!$B23</f>
        <v>USD Zeros  3 Y</v>
      </c>
      <c r="G435" s="1494"/>
      <c r="H435" s="1077">
        <f>'Sensitivitaeten Delta_Market'!$I23</f>
        <v>0</v>
      </c>
      <c r="U435" s="1027"/>
      <c r="V435" s="1027"/>
      <c r="W435" s="1027"/>
    </row>
    <row r="436" spans="2:23" x14ac:dyDescent="0.2">
      <c r="B436" s="1493">
        <f>'Sensitivitaeten Delta_Market'!$A$1</f>
        <v>9</v>
      </c>
      <c r="C436" s="1488" t="str">
        <f>'Sensitivitaeten Delta_Market'!$B$1</f>
        <v>Delta-Sensitivitäten</v>
      </c>
      <c r="D436" s="1494" t="str">
        <f>'Sensitivitaeten Delta_Market'!$I$11</f>
        <v>Änderungen der Aktiven</v>
      </c>
      <c r="E436" s="1488" t="str">
        <f>'Sensitivitaeten Delta_Market'!$I$13</f>
        <v>nach oben</v>
      </c>
      <c r="F436" s="1494" t="str">
        <f>'Sensitivitaeten Delta_Market'!$B24</f>
        <v>USD Zeros  10 Y</v>
      </c>
      <c r="G436" s="1494"/>
      <c r="H436" s="1077">
        <f>'Sensitivitaeten Delta_Market'!$I24</f>
        <v>0</v>
      </c>
      <c r="U436" s="1027"/>
      <c r="V436" s="1027"/>
      <c r="W436" s="1027"/>
    </row>
    <row r="437" spans="2:23" x14ac:dyDescent="0.2">
      <c r="B437" s="1493">
        <f>'Sensitivitaeten Delta_Market'!$A$1</f>
        <v>9</v>
      </c>
      <c r="C437" s="1488" t="str">
        <f>'Sensitivitaeten Delta_Market'!$B$1</f>
        <v>Delta-Sensitivitäten</v>
      </c>
      <c r="D437" s="1494" t="str">
        <f>'Sensitivitaeten Delta_Market'!$I$11</f>
        <v>Änderungen der Aktiven</v>
      </c>
      <c r="E437" s="1488" t="str">
        <f>'Sensitivitaeten Delta_Market'!$I$13</f>
        <v>nach oben</v>
      </c>
      <c r="F437" s="1494" t="str">
        <f>'Sensitivitaeten Delta_Market'!$B25</f>
        <v>USD Zeros  30 Y</v>
      </c>
      <c r="G437" s="1494"/>
      <c r="H437" s="1077">
        <f>'Sensitivitaeten Delta_Market'!$I25</f>
        <v>0</v>
      </c>
      <c r="U437" s="1027"/>
      <c r="V437" s="1027"/>
      <c r="W437" s="1027"/>
    </row>
    <row r="438" spans="2:23" x14ac:dyDescent="0.2">
      <c r="B438" s="1493">
        <f>'Sensitivitaeten Delta_Market'!$A$1</f>
        <v>9</v>
      </c>
      <c r="C438" s="1488" t="str">
        <f>'Sensitivitaeten Delta_Market'!$B$1</f>
        <v>Delta-Sensitivitäten</v>
      </c>
      <c r="D438" s="1494" t="str">
        <f>'Sensitivitaeten Delta_Market'!$I$11</f>
        <v>Änderungen der Aktiven</v>
      </c>
      <c r="E438" s="1488" t="str">
        <f>'Sensitivitaeten Delta_Market'!$I$13</f>
        <v>nach oben</v>
      </c>
      <c r="F438" s="1625" t="s">
        <v>430</v>
      </c>
      <c r="G438" s="1617" t="s">
        <v>2301</v>
      </c>
      <c r="H438" s="1626"/>
      <c r="U438" s="1027"/>
      <c r="V438" s="1027"/>
      <c r="W438" s="1027"/>
    </row>
    <row r="439" spans="2:23" x14ac:dyDescent="0.2">
      <c r="B439" s="1493">
        <f>'Sensitivitaeten Delta_Market'!$A$1</f>
        <v>9</v>
      </c>
      <c r="C439" s="1488" t="str">
        <f>'Sensitivitaeten Delta_Market'!$B$1</f>
        <v>Delta-Sensitivitäten</v>
      </c>
      <c r="D439" s="1494" t="str">
        <f>'Sensitivitaeten Delta_Market'!$I$11</f>
        <v>Änderungen der Aktiven</v>
      </c>
      <c r="E439" s="1488" t="str">
        <f>'Sensitivitaeten Delta_Market'!$I$13</f>
        <v>nach oben</v>
      </c>
      <c r="F439" s="1625" t="s">
        <v>2329</v>
      </c>
      <c r="G439" s="1617" t="s">
        <v>2301</v>
      </c>
      <c r="H439" s="1626"/>
      <c r="U439" s="1027"/>
      <c r="V439" s="1027"/>
      <c r="W439" s="1027"/>
    </row>
    <row r="440" spans="2:23" x14ac:dyDescent="0.2">
      <c r="B440" s="1493">
        <f>'Sensitivitaeten Delta_Market'!$A$1</f>
        <v>9</v>
      </c>
      <c r="C440" s="1488" t="str">
        <f>'Sensitivitaeten Delta_Market'!$B$1</f>
        <v>Delta-Sensitivitäten</v>
      </c>
      <c r="D440" s="1494" t="str">
        <f>'Sensitivitaeten Delta_Market'!$I$11</f>
        <v>Änderungen der Aktiven</v>
      </c>
      <c r="E440" s="1488" t="str">
        <f>'Sensitivitaeten Delta_Market'!$I$13</f>
        <v>nach oben</v>
      </c>
      <c r="F440" s="1625" t="s">
        <v>2330</v>
      </c>
      <c r="G440" s="1617" t="s">
        <v>2301</v>
      </c>
      <c r="H440" s="1626"/>
      <c r="U440" s="1027"/>
      <c r="V440" s="1027"/>
      <c r="W440" s="1027"/>
    </row>
    <row r="441" spans="2:23" x14ac:dyDescent="0.2">
      <c r="B441" s="1493">
        <f>'Sensitivitaeten Delta_Market'!$A$1</f>
        <v>9</v>
      </c>
      <c r="C441" s="1488" t="str">
        <f>'Sensitivitaeten Delta_Market'!$B$1</f>
        <v>Delta-Sensitivitäten</v>
      </c>
      <c r="D441" s="1494" t="str">
        <f>'Sensitivitaeten Delta_Market'!$I$11</f>
        <v>Änderungen der Aktiven</v>
      </c>
      <c r="E441" s="1488" t="str">
        <f>'Sensitivitaeten Delta_Market'!$I$13</f>
        <v>nach oben</v>
      </c>
      <c r="F441" s="1625" t="s">
        <v>2331</v>
      </c>
      <c r="G441" s="1617" t="s">
        <v>2301</v>
      </c>
      <c r="H441" s="1626"/>
      <c r="U441" s="1027"/>
      <c r="V441" s="1027"/>
      <c r="W441" s="1027"/>
    </row>
    <row r="442" spans="2:23" x14ac:dyDescent="0.2">
      <c r="B442" s="1493">
        <f>'Sensitivitaeten Delta_Market'!$A$1</f>
        <v>9</v>
      </c>
      <c r="C442" s="1488" t="str">
        <f>'Sensitivitaeten Delta_Market'!$B$1</f>
        <v>Delta-Sensitivitäten</v>
      </c>
      <c r="D442" s="1494" t="str">
        <f>'Sensitivitaeten Delta_Market'!$I$11</f>
        <v>Änderungen der Aktiven</v>
      </c>
      <c r="E442" s="1488" t="str">
        <f>'Sensitivitaeten Delta_Market'!$I$13</f>
        <v>nach oben</v>
      </c>
      <c r="F442" s="1625" t="s">
        <v>2332</v>
      </c>
      <c r="G442" s="1617" t="s">
        <v>2301</v>
      </c>
      <c r="H442" s="1626"/>
      <c r="U442" s="1027"/>
      <c r="V442" s="1027"/>
      <c r="W442" s="1027"/>
    </row>
    <row r="443" spans="2:23" x14ac:dyDescent="0.2">
      <c r="B443" s="1493">
        <f>'Sensitivitaeten Delta_Market'!$A$1</f>
        <v>9</v>
      </c>
      <c r="C443" s="1488" t="str">
        <f>'Sensitivitaeten Delta_Market'!$B$1</f>
        <v>Delta-Sensitivitäten</v>
      </c>
      <c r="D443" s="1494" t="str">
        <f>'Sensitivitaeten Delta_Market'!$I$11</f>
        <v>Änderungen der Aktiven</v>
      </c>
      <c r="E443" s="1488" t="str">
        <f>'Sensitivitaeten Delta_Market'!$I$13</f>
        <v>nach oben</v>
      </c>
      <c r="F443" s="1625" t="s">
        <v>2333</v>
      </c>
      <c r="G443" s="1617" t="s">
        <v>2301</v>
      </c>
      <c r="H443" s="1626"/>
      <c r="U443" s="1027"/>
      <c r="V443" s="1027"/>
      <c r="W443" s="1027"/>
    </row>
    <row r="444" spans="2:23" x14ac:dyDescent="0.2">
      <c r="B444" s="1493">
        <f>'Sensitivitaeten Delta_Market'!$A$1</f>
        <v>9</v>
      </c>
      <c r="C444" s="1488" t="str">
        <f>'Sensitivitaeten Delta_Market'!$B$1</f>
        <v>Delta-Sensitivitäten</v>
      </c>
      <c r="D444" s="1494" t="str">
        <f>'Sensitivitaeten Delta_Market'!$I$11</f>
        <v>Änderungen der Aktiven</v>
      </c>
      <c r="E444" s="1488" t="str">
        <f>'Sensitivitaeten Delta_Market'!$I$13</f>
        <v>nach oben</v>
      </c>
      <c r="F444" s="1625" t="s">
        <v>2334</v>
      </c>
      <c r="G444" s="1617" t="s">
        <v>2301</v>
      </c>
      <c r="H444" s="1626"/>
      <c r="U444" s="1027"/>
      <c r="V444" s="1027"/>
      <c r="W444" s="1027"/>
    </row>
    <row r="445" spans="2:23" x14ac:dyDescent="0.2">
      <c r="B445" s="1493">
        <f>'Sensitivitaeten Delta_Market'!$A$1</f>
        <v>9</v>
      </c>
      <c r="C445" s="1488" t="str">
        <f>'Sensitivitaeten Delta_Market'!$B$1</f>
        <v>Delta-Sensitivitäten</v>
      </c>
      <c r="D445" s="1494" t="str">
        <f>'Sensitivitaeten Delta_Market'!$I$11</f>
        <v>Änderungen der Aktiven</v>
      </c>
      <c r="E445" s="1488" t="str">
        <f>'Sensitivitaeten Delta_Market'!$I$13</f>
        <v>nach oben</v>
      </c>
      <c r="F445" s="1625" t="s">
        <v>2335</v>
      </c>
      <c r="G445" s="1617" t="s">
        <v>2301</v>
      </c>
      <c r="H445" s="1626"/>
      <c r="U445" s="1027"/>
      <c r="V445" s="1027"/>
      <c r="W445" s="1027"/>
    </row>
    <row r="446" spans="2:23" x14ac:dyDescent="0.2">
      <c r="B446" s="1493">
        <f>'Sensitivitaeten Delta_Market'!$A$1</f>
        <v>9</v>
      </c>
      <c r="C446" s="1488" t="str">
        <f>'Sensitivitaeten Delta_Market'!$B$1</f>
        <v>Delta-Sensitivitäten</v>
      </c>
      <c r="D446" s="1494" t="str">
        <f>'Sensitivitaeten Delta_Market'!$I$11</f>
        <v>Änderungen der Aktiven</v>
      </c>
      <c r="E446" s="1488" t="str">
        <f>'Sensitivitaeten Delta_Market'!$I$13</f>
        <v>nach oben</v>
      </c>
      <c r="F446" s="1625" t="s">
        <v>2336</v>
      </c>
      <c r="G446" s="1617" t="s">
        <v>2301</v>
      </c>
      <c r="H446" s="1626"/>
      <c r="U446" s="1027"/>
      <c r="V446" s="1027"/>
      <c r="W446" s="1027"/>
    </row>
    <row r="447" spans="2:23" x14ac:dyDescent="0.2">
      <c r="B447" s="1493">
        <f>'Sensitivitaeten Delta_Market'!$A$1</f>
        <v>9</v>
      </c>
      <c r="C447" s="1488" t="str">
        <f>'Sensitivitaeten Delta_Market'!$B$1</f>
        <v>Delta-Sensitivitäten</v>
      </c>
      <c r="D447" s="1494" t="str">
        <f>'Sensitivitaeten Delta_Market'!$I$11</f>
        <v>Änderungen der Aktiven</v>
      </c>
      <c r="E447" s="1488" t="str">
        <f>'Sensitivitaeten Delta_Market'!$I$13</f>
        <v>nach oben</v>
      </c>
      <c r="F447" s="1625" t="s">
        <v>2337</v>
      </c>
      <c r="G447" s="1617" t="s">
        <v>2301</v>
      </c>
      <c r="H447" s="1626"/>
      <c r="U447" s="1027"/>
      <c r="V447" s="1027"/>
      <c r="W447" s="1027"/>
    </row>
    <row r="448" spans="2:23" x14ac:dyDescent="0.2">
      <c r="B448" s="1493">
        <f>'Sensitivitaeten Delta_Market'!$A$1</f>
        <v>9</v>
      </c>
      <c r="C448" s="1488" t="str">
        <f>'Sensitivitaeten Delta_Market'!$B$1</f>
        <v>Delta-Sensitivitäten</v>
      </c>
      <c r="D448" s="1494" t="str">
        <f>'Sensitivitaeten Delta_Market'!$I$11</f>
        <v>Änderungen der Aktiven</v>
      </c>
      <c r="E448" s="1488" t="str">
        <f>'Sensitivitaeten Delta_Market'!$I$13</f>
        <v>nach oben</v>
      </c>
      <c r="F448" s="1494" t="str">
        <f>'Sensitivitaeten Delta_Market'!$B26</f>
        <v>GBP Zeros  2 Y</v>
      </c>
      <c r="G448" s="1494"/>
      <c r="H448" s="1077">
        <f>'Sensitivitaeten Delta_Market'!$I26</f>
        <v>0</v>
      </c>
      <c r="U448" s="1027"/>
      <c r="V448" s="1027"/>
      <c r="W448" s="1027"/>
    </row>
    <row r="449" spans="2:23" x14ac:dyDescent="0.2">
      <c r="B449" s="1493">
        <f>'Sensitivitaeten Delta_Market'!$A$1</f>
        <v>9</v>
      </c>
      <c r="C449" s="1488" t="str">
        <f>'Sensitivitaeten Delta_Market'!$B$1</f>
        <v>Delta-Sensitivitäten</v>
      </c>
      <c r="D449" s="1494" t="str">
        <f>'Sensitivitaeten Delta_Market'!$I$11</f>
        <v>Änderungen der Aktiven</v>
      </c>
      <c r="E449" s="1488" t="str">
        <f>'Sensitivitaeten Delta_Market'!$I$13</f>
        <v>nach oben</v>
      </c>
      <c r="F449" s="1494" t="str">
        <f>'Sensitivitaeten Delta_Market'!$B27</f>
        <v>GBP Zeros  10 Y</v>
      </c>
      <c r="G449" s="1494"/>
      <c r="H449" s="1077">
        <f>'Sensitivitaeten Delta_Market'!$I27</f>
        <v>0</v>
      </c>
      <c r="U449" s="1027"/>
      <c r="V449" s="1027"/>
      <c r="W449" s="1027"/>
    </row>
    <row r="450" spans="2:23" x14ac:dyDescent="0.2">
      <c r="B450" s="1493">
        <f>'Sensitivitaeten Delta_Market'!$A$1</f>
        <v>9</v>
      </c>
      <c r="C450" s="1488" t="str">
        <f>'Sensitivitaeten Delta_Market'!$B$1</f>
        <v>Delta-Sensitivitäten</v>
      </c>
      <c r="D450" s="1494" t="str">
        <f>'Sensitivitaeten Delta_Market'!$I$11</f>
        <v>Änderungen der Aktiven</v>
      </c>
      <c r="E450" s="1488" t="str">
        <f>'Sensitivitaeten Delta_Market'!$I$13</f>
        <v>nach oben</v>
      </c>
      <c r="F450" s="1494" t="str">
        <f>'Sensitivitaeten Delta_Market'!$B28</f>
        <v>GBP Zeros  30 Y</v>
      </c>
      <c r="G450" s="1494"/>
      <c r="H450" s="1077">
        <f>'Sensitivitaeten Delta_Market'!$I28</f>
        <v>0</v>
      </c>
      <c r="U450" s="1027"/>
      <c r="V450" s="1027"/>
      <c r="W450" s="1027"/>
    </row>
    <row r="451" spans="2:23" x14ac:dyDescent="0.2">
      <c r="B451" s="1493">
        <f>'Sensitivitaeten Delta_Market'!$A$1</f>
        <v>9</v>
      </c>
      <c r="C451" s="1488" t="str">
        <f>'Sensitivitaeten Delta_Market'!$B$1</f>
        <v>Delta-Sensitivitäten</v>
      </c>
      <c r="D451" s="1494" t="str">
        <f>'Sensitivitaeten Delta_Market'!$I$11</f>
        <v>Änderungen der Aktiven</v>
      </c>
      <c r="E451" s="1488" t="str">
        <f>'Sensitivitaeten Delta_Market'!$I$13</f>
        <v>nach oben</v>
      </c>
      <c r="F451" s="1625" t="s">
        <v>431</v>
      </c>
      <c r="G451" s="1617" t="s">
        <v>2301</v>
      </c>
      <c r="H451" s="1626"/>
      <c r="U451" s="1027"/>
      <c r="V451" s="1027"/>
      <c r="W451" s="1027"/>
    </row>
    <row r="452" spans="2:23" x14ac:dyDescent="0.2">
      <c r="B452" s="1493">
        <f>'Sensitivitaeten Delta_Market'!$A$1</f>
        <v>9</v>
      </c>
      <c r="C452" s="1488" t="str">
        <f>'Sensitivitaeten Delta_Market'!$B$1</f>
        <v>Delta-Sensitivitäten</v>
      </c>
      <c r="D452" s="1494" t="str">
        <f>'Sensitivitaeten Delta_Market'!$I$11</f>
        <v>Änderungen der Aktiven</v>
      </c>
      <c r="E452" s="1488" t="str">
        <f>'Sensitivitaeten Delta_Market'!$I$13</f>
        <v>nach oben</v>
      </c>
      <c r="F452" s="1625" t="s">
        <v>2320</v>
      </c>
      <c r="G452" s="1617" t="s">
        <v>2301</v>
      </c>
      <c r="H452" s="1626"/>
      <c r="U452" s="1027"/>
      <c r="V452" s="1027"/>
      <c r="W452" s="1027"/>
    </row>
    <row r="453" spans="2:23" x14ac:dyDescent="0.2">
      <c r="B453" s="1493">
        <f>'Sensitivitaeten Delta_Market'!$A$1</f>
        <v>9</v>
      </c>
      <c r="C453" s="1488" t="str">
        <f>'Sensitivitaeten Delta_Market'!$B$1</f>
        <v>Delta-Sensitivitäten</v>
      </c>
      <c r="D453" s="1494" t="str">
        <f>'Sensitivitaeten Delta_Market'!$I$11</f>
        <v>Änderungen der Aktiven</v>
      </c>
      <c r="E453" s="1488" t="str">
        <f>'Sensitivitaeten Delta_Market'!$I$13</f>
        <v>nach oben</v>
      </c>
      <c r="F453" s="1625" t="s">
        <v>2321</v>
      </c>
      <c r="G453" s="1617" t="s">
        <v>2301</v>
      </c>
      <c r="H453" s="1626"/>
      <c r="U453" s="1027"/>
      <c r="V453" s="1027"/>
      <c r="W453" s="1027"/>
    </row>
    <row r="454" spans="2:23" x14ac:dyDescent="0.2">
      <c r="B454" s="1493">
        <f>'Sensitivitaeten Delta_Market'!$A$1</f>
        <v>9</v>
      </c>
      <c r="C454" s="1488" t="str">
        <f>'Sensitivitaeten Delta_Market'!$B$1</f>
        <v>Delta-Sensitivitäten</v>
      </c>
      <c r="D454" s="1494" t="str">
        <f>'Sensitivitaeten Delta_Market'!$I$11</f>
        <v>Änderungen der Aktiven</v>
      </c>
      <c r="E454" s="1488" t="str">
        <f>'Sensitivitaeten Delta_Market'!$I$13</f>
        <v>nach oben</v>
      </c>
      <c r="F454" s="1625" t="s">
        <v>2322</v>
      </c>
      <c r="G454" s="1617" t="s">
        <v>2301</v>
      </c>
      <c r="H454" s="1626"/>
      <c r="U454" s="1027"/>
      <c r="V454" s="1027"/>
      <c r="W454" s="1027"/>
    </row>
    <row r="455" spans="2:23" x14ac:dyDescent="0.2">
      <c r="B455" s="1493">
        <f>'Sensitivitaeten Delta_Market'!$A$1</f>
        <v>9</v>
      </c>
      <c r="C455" s="1488" t="str">
        <f>'Sensitivitaeten Delta_Market'!$B$1</f>
        <v>Delta-Sensitivitäten</v>
      </c>
      <c r="D455" s="1494" t="str">
        <f>'Sensitivitaeten Delta_Market'!$I$11</f>
        <v>Änderungen der Aktiven</v>
      </c>
      <c r="E455" s="1488" t="str">
        <f>'Sensitivitaeten Delta_Market'!$I$13</f>
        <v>nach oben</v>
      </c>
      <c r="F455" s="1625" t="s">
        <v>2323</v>
      </c>
      <c r="G455" s="1617" t="s">
        <v>2301</v>
      </c>
      <c r="H455" s="1626"/>
      <c r="U455" s="1027"/>
      <c r="V455" s="1027"/>
      <c r="W455" s="1027"/>
    </row>
    <row r="456" spans="2:23" x14ac:dyDescent="0.2">
      <c r="B456" s="1493">
        <f>'Sensitivitaeten Delta_Market'!$A$1</f>
        <v>9</v>
      </c>
      <c r="C456" s="1488" t="str">
        <f>'Sensitivitaeten Delta_Market'!$B$1</f>
        <v>Delta-Sensitivitäten</v>
      </c>
      <c r="D456" s="1494" t="str">
        <f>'Sensitivitaeten Delta_Market'!$I$11</f>
        <v>Änderungen der Aktiven</v>
      </c>
      <c r="E456" s="1488" t="str">
        <f>'Sensitivitaeten Delta_Market'!$I$13</f>
        <v>nach oben</v>
      </c>
      <c r="F456" s="1625" t="s">
        <v>2324</v>
      </c>
      <c r="G456" s="1617" t="s">
        <v>2301</v>
      </c>
      <c r="H456" s="1626"/>
      <c r="U456" s="1027"/>
      <c r="V456" s="1027"/>
      <c r="W456" s="1027"/>
    </row>
    <row r="457" spans="2:23" x14ac:dyDescent="0.2">
      <c r="B457" s="1493">
        <f>'Sensitivitaeten Delta_Market'!$A$1</f>
        <v>9</v>
      </c>
      <c r="C457" s="1488" t="str">
        <f>'Sensitivitaeten Delta_Market'!$B$1</f>
        <v>Delta-Sensitivitäten</v>
      </c>
      <c r="D457" s="1494" t="str">
        <f>'Sensitivitaeten Delta_Market'!$I$11</f>
        <v>Änderungen der Aktiven</v>
      </c>
      <c r="E457" s="1488" t="str">
        <f>'Sensitivitaeten Delta_Market'!$I$13</f>
        <v>nach oben</v>
      </c>
      <c r="F457" s="1625" t="s">
        <v>2325</v>
      </c>
      <c r="G457" s="1617" t="s">
        <v>2301</v>
      </c>
      <c r="H457" s="1626"/>
      <c r="U457" s="1027"/>
      <c r="V457" s="1027"/>
      <c r="W457" s="1027"/>
    </row>
    <row r="458" spans="2:23" x14ac:dyDescent="0.2">
      <c r="B458" s="1493">
        <f>'Sensitivitaeten Delta_Market'!$A$1</f>
        <v>9</v>
      </c>
      <c r="C458" s="1488" t="str">
        <f>'Sensitivitaeten Delta_Market'!$B$1</f>
        <v>Delta-Sensitivitäten</v>
      </c>
      <c r="D458" s="1494" t="str">
        <f>'Sensitivitaeten Delta_Market'!$I$11</f>
        <v>Änderungen der Aktiven</v>
      </c>
      <c r="E458" s="1488" t="str">
        <f>'Sensitivitaeten Delta_Market'!$I$13</f>
        <v>nach oben</v>
      </c>
      <c r="F458" s="1625" t="s">
        <v>2326</v>
      </c>
      <c r="G458" s="1617" t="s">
        <v>2301</v>
      </c>
      <c r="H458" s="1626"/>
      <c r="U458" s="1027"/>
      <c r="V458" s="1027"/>
      <c r="W458" s="1027"/>
    </row>
    <row r="459" spans="2:23" x14ac:dyDescent="0.2">
      <c r="B459" s="1493">
        <f>'Sensitivitaeten Delta_Market'!$A$1</f>
        <v>9</v>
      </c>
      <c r="C459" s="1488" t="str">
        <f>'Sensitivitaeten Delta_Market'!$B$1</f>
        <v>Delta-Sensitivitäten</v>
      </c>
      <c r="D459" s="1494" t="str">
        <f>'Sensitivitaeten Delta_Market'!$I$11</f>
        <v>Änderungen der Aktiven</v>
      </c>
      <c r="E459" s="1488" t="str">
        <f>'Sensitivitaeten Delta_Market'!$I$13</f>
        <v>nach oben</v>
      </c>
      <c r="F459" s="1625" t="s">
        <v>2327</v>
      </c>
      <c r="G459" s="1617" t="s">
        <v>2301</v>
      </c>
      <c r="H459" s="1626"/>
      <c r="U459" s="1027"/>
      <c r="V459" s="1027"/>
      <c r="W459" s="1027"/>
    </row>
    <row r="460" spans="2:23" x14ac:dyDescent="0.2">
      <c r="B460" s="1493">
        <f>'Sensitivitaeten Delta_Market'!$A$1</f>
        <v>9</v>
      </c>
      <c r="C460" s="1488" t="str">
        <f>'Sensitivitaeten Delta_Market'!$B$1</f>
        <v>Delta-Sensitivitäten</v>
      </c>
      <c r="D460" s="1494" t="str">
        <f>'Sensitivitaeten Delta_Market'!$I$11</f>
        <v>Änderungen der Aktiven</v>
      </c>
      <c r="E460" s="1488" t="str">
        <f>'Sensitivitaeten Delta_Market'!$I$13</f>
        <v>nach oben</v>
      </c>
      <c r="F460" s="1625" t="s">
        <v>2328</v>
      </c>
      <c r="G460" s="1617" t="s">
        <v>2301</v>
      </c>
      <c r="H460" s="1626"/>
      <c r="U460" s="1027"/>
      <c r="V460" s="1027"/>
      <c r="W460" s="1027"/>
    </row>
    <row r="461" spans="2:23" x14ac:dyDescent="0.2">
      <c r="B461" s="1493">
        <f>'Sensitivitaeten Delta_Market'!$A$1</f>
        <v>9</v>
      </c>
      <c r="C461" s="1488" t="str">
        <f>'Sensitivitaeten Delta_Market'!$B$1</f>
        <v>Delta-Sensitivitäten</v>
      </c>
      <c r="D461" s="1494" t="str">
        <f>'Sensitivitaeten Delta_Market'!$I$11</f>
        <v>Änderungen der Aktiven</v>
      </c>
      <c r="E461" s="1488" t="str">
        <f>'Sensitivitaeten Delta_Market'!$I$13</f>
        <v>nach oben</v>
      </c>
      <c r="F461" s="1495" t="str">
        <f>'Sensitivitaeten Delta_Market'!$B29</f>
        <v>Implizite Zinsvolatilität</v>
      </c>
      <c r="G461" s="1494"/>
      <c r="H461" s="1077">
        <f>'Sensitivitaeten Delta_Market'!$I29</f>
        <v>0</v>
      </c>
      <c r="U461" s="1027"/>
      <c r="V461" s="1027"/>
      <c r="W461" s="1027"/>
    </row>
    <row r="462" spans="2:23" x14ac:dyDescent="0.2">
      <c r="B462" s="1493">
        <f>'Sensitivitaeten Delta_Market'!$A$1</f>
        <v>9</v>
      </c>
      <c r="C462" s="1488" t="str">
        <f>'Sensitivitaeten Delta_Market'!$B$1</f>
        <v>Delta-Sensitivitäten</v>
      </c>
      <c r="D462" s="1494" t="str">
        <f>'Sensitivitaeten Delta_Market'!$I$11</f>
        <v>Änderungen der Aktiven</v>
      </c>
      <c r="E462" s="1488" t="str">
        <f>'Sensitivitaeten Delta_Market'!$I$13</f>
        <v>nach oben</v>
      </c>
      <c r="F462" s="1495" t="str">
        <f>'Sensitivitaeten Delta_Market'!$B30</f>
        <v>Credit Spread USA   AAA</v>
      </c>
      <c r="G462" s="1494"/>
      <c r="H462" s="1077">
        <f>'Sensitivitaeten Delta_Market'!$I30</f>
        <v>0</v>
      </c>
      <c r="U462" s="1027"/>
      <c r="V462" s="1027"/>
      <c r="W462" s="1027"/>
    </row>
    <row r="463" spans="2:23" x14ac:dyDescent="0.2">
      <c r="B463" s="1493">
        <f>'Sensitivitaeten Delta_Market'!$A$1</f>
        <v>9</v>
      </c>
      <c r="C463" s="1488" t="str">
        <f>'Sensitivitaeten Delta_Market'!$B$1</f>
        <v>Delta-Sensitivitäten</v>
      </c>
      <c r="D463" s="1494" t="str">
        <f>'Sensitivitaeten Delta_Market'!$I$11</f>
        <v>Änderungen der Aktiven</v>
      </c>
      <c r="E463" s="1488" t="str">
        <f>'Sensitivitaeten Delta_Market'!$I$13</f>
        <v>nach oben</v>
      </c>
      <c r="F463" s="1495" t="str">
        <f>'Sensitivitaeten Delta_Market'!$B31</f>
        <v>Credit Spread USA   AA</v>
      </c>
      <c r="G463" s="1494"/>
      <c r="H463" s="1077">
        <f>'Sensitivitaeten Delta_Market'!$I31</f>
        <v>0</v>
      </c>
      <c r="U463" s="1027"/>
      <c r="V463" s="1027"/>
      <c r="W463" s="1027"/>
    </row>
    <row r="464" spans="2:23" x14ac:dyDescent="0.2">
      <c r="B464" s="1493">
        <f>'Sensitivitaeten Delta_Market'!$A$1</f>
        <v>9</v>
      </c>
      <c r="C464" s="1488" t="str">
        <f>'Sensitivitaeten Delta_Market'!$B$1</f>
        <v>Delta-Sensitivitäten</v>
      </c>
      <c r="D464" s="1494" t="str">
        <f>'Sensitivitaeten Delta_Market'!$I$11</f>
        <v>Änderungen der Aktiven</v>
      </c>
      <c r="E464" s="1488" t="str">
        <f>'Sensitivitaeten Delta_Market'!$I$13</f>
        <v>nach oben</v>
      </c>
      <c r="F464" s="1495" t="str">
        <f>'Sensitivitaeten Delta_Market'!$B32</f>
        <v>Credit Spread USA   A</v>
      </c>
      <c r="G464" s="1494"/>
      <c r="H464" s="1077">
        <f>'Sensitivitaeten Delta_Market'!$I32</f>
        <v>0</v>
      </c>
      <c r="U464" s="1027"/>
      <c r="V464" s="1027"/>
      <c r="W464" s="1027"/>
    </row>
    <row r="465" spans="2:23" x14ac:dyDescent="0.2">
      <c r="B465" s="1493">
        <f>'Sensitivitaeten Delta_Market'!$A$1</f>
        <v>9</v>
      </c>
      <c r="C465" s="1488" t="str">
        <f>'Sensitivitaeten Delta_Market'!$B$1</f>
        <v>Delta-Sensitivitäten</v>
      </c>
      <c r="D465" s="1494" t="str">
        <f>'Sensitivitaeten Delta_Market'!$I$11</f>
        <v>Änderungen der Aktiven</v>
      </c>
      <c r="E465" s="1488" t="str">
        <f>'Sensitivitaeten Delta_Market'!$I$13</f>
        <v>nach oben</v>
      </c>
      <c r="F465" s="1495" t="str">
        <f>'Sensitivitaeten Delta_Market'!$B33</f>
        <v>Credit Spread USA   BBB</v>
      </c>
      <c r="G465" s="1494"/>
      <c r="H465" s="1077">
        <f>'Sensitivitaeten Delta_Market'!$I33</f>
        <v>0</v>
      </c>
      <c r="U465" s="1027"/>
      <c r="V465" s="1027"/>
      <c r="W465" s="1027"/>
    </row>
    <row r="466" spans="2:23" x14ac:dyDescent="0.2">
      <c r="B466" s="1493">
        <f>'Sensitivitaeten Delta_Market'!$A$1</f>
        <v>9</v>
      </c>
      <c r="C466" s="1488" t="str">
        <f>'Sensitivitaeten Delta_Market'!$B$1</f>
        <v>Delta-Sensitivitäten</v>
      </c>
      <c r="D466" s="1494" t="str">
        <f>'Sensitivitaeten Delta_Market'!$I$11</f>
        <v>Änderungen der Aktiven</v>
      </c>
      <c r="E466" s="1488" t="str">
        <f>'Sensitivitaeten Delta_Market'!$I$13</f>
        <v>nach oben</v>
      </c>
      <c r="F466" s="1495" t="str">
        <f>'Sensitivitaeten Delta_Market'!$B34</f>
        <v>Credit Spread   BB</v>
      </c>
      <c r="G466" s="1494"/>
      <c r="H466" s="1077">
        <f>'Sensitivitaeten Delta_Market'!$I34</f>
        <v>0</v>
      </c>
      <c r="U466" s="1027"/>
      <c r="V466" s="1027"/>
      <c r="W466" s="1027"/>
    </row>
    <row r="467" spans="2:23" x14ac:dyDescent="0.2">
      <c r="B467" s="1493">
        <f>'Sensitivitaeten Delta_Market'!$A$1</f>
        <v>9</v>
      </c>
      <c r="C467" s="1488" t="str">
        <f>'Sensitivitaeten Delta_Market'!$B$1</f>
        <v>Delta-Sensitivitäten</v>
      </c>
      <c r="D467" s="1494" t="str">
        <f>'Sensitivitaeten Delta_Market'!$I$11</f>
        <v>Änderungen der Aktiven</v>
      </c>
      <c r="E467" s="1488" t="str">
        <f>'Sensitivitaeten Delta_Market'!$I$13</f>
        <v>nach oben</v>
      </c>
      <c r="F467" s="1625" t="s">
        <v>2100</v>
      </c>
      <c r="G467" s="1617" t="s">
        <v>2101</v>
      </c>
      <c r="H467" s="1626"/>
      <c r="U467" s="1027"/>
      <c r="V467" s="1027"/>
      <c r="W467" s="1027"/>
    </row>
    <row r="468" spans="2:23" x14ac:dyDescent="0.2">
      <c r="B468" s="1493">
        <f>'Sensitivitaeten Delta_Market'!$A$1</f>
        <v>9</v>
      </c>
      <c r="C468" s="1488" t="str">
        <f>'Sensitivitaeten Delta_Market'!$B$1</f>
        <v>Delta-Sensitivitäten</v>
      </c>
      <c r="D468" s="1494" t="str">
        <f>'Sensitivitaeten Delta_Market'!$I$11</f>
        <v>Änderungen der Aktiven</v>
      </c>
      <c r="E468" s="1488" t="str">
        <f>'Sensitivitaeten Delta_Market'!$I$13</f>
        <v>nach oben</v>
      </c>
      <c r="F468" s="1495" t="str">
        <f>'Sensitivitaeten Delta_Market'!$B35</f>
        <v>Credit Spread Europa   AA</v>
      </c>
      <c r="G468" s="1494"/>
      <c r="H468" s="1077">
        <f>'Sensitivitaeten Delta_Market'!$I35</f>
        <v>0</v>
      </c>
      <c r="U468" s="1027"/>
      <c r="V468" s="1027"/>
      <c r="W468" s="1027"/>
    </row>
    <row r="469" spans="2:23" x14ac:dyDescent="0.2">
      <c r="B469" s="1493">
        <f>'Sensitivitaeten Delta_Market'!$A$1</f>
        <v>9</v>
      </c>
      <c r="C469" s="1488" t="str">
        <f>'Sensitivitaeten Delta_Market'!$B$1</f>
        <v>Delta-Sensitivitäten</v>
      </c>
      <c r="D469" s="1494" t="str">
        <f>'Sensitivitaeten Delta_Market'!$I$11</f>
        <v>Änderungen der Aktiven</v>
      </c>
      <c r="E469" s="1488" t="str">
        <f>'Sensitivitaeten Delta_Market'!$I$13</f>
        <v>nach oben</v>
      </c>
      <c r="F469" s="1495" t="str">
        <f>'Sensitivitaeten Delta_Market'!$B36</f>
        <v>Credit Spread Europa   A</v>
      </c>
      <c r="G469" s="1494"/>
      <c r="H469" s="1077">
        <f>'Sensitivitaeten Delta_Market'!$I36</f>
        <v>0</v>
      </c>
      <c r="U469" s="1027"/>
      <c r="V469" s="1027"/>
      <c r="W469" s="1027"/>
    </row>
    <row r="470" spans="2:23" x14ac:dyDescent="0.2">
      <c r="B470" s="1493">
        <f>'Sensitivitaeten Delta_Market'!$A$1</f>
        <v>9</v>
      </c>
      <c r="C470" s="1488" t="str">
        <f>'Sensitivitaeten Delta_Market'!$B$1</f>
        <v>Delta-Sensitivitäten</v>
      </c>
      <c r="D470" s="1494" t="str">
        <f>'Sensitivitaeten Delta_Market'!$I$11</f>
        <v>Änderungen der Aktiven</v>
      </c>
      <c r="E470" s="1488" t="str">
        <f>'Sensitivitaeten Delta_Market'!$I$13</f>
        <v>nach oben</v>
      </c>
      <c r="F470" s="1495" t="str">
        <f>'Sensitivitaeten Delta_Market'!$B37</f>
        <v>Credit Spread Europa   BBB</v>
      </c>
      <c r="G470" s="1494"/>
      <c r="H470" s="1077">
        <f>'Sensitivitaeten Delta_Market'!$I37</f>
        <v>0</v>
      </c>
      <c r="U470" s="1027"/>
      <c r="V470" s="1027"/>
      <c r="W470" s="1027"/>
    </row>
    <row r="471" spans="2:23" x14ac:dyDescent="0.2">
      <c r="B471" s="1493">
        <f>'Sensitivitaeten Delta_Market'!$A$1</f>
        <v>9</v>
      </c>
      <c r="C471" s="1488" t="str">
        <f>'Sensitivitaeten Delta_Market'!$B$1</f>
        <v>Delta-Sensitivitäten</v>
      </c>
      <c r="D471" s="1494" t="str">
        <f>'Sensitivitaeten Delta_Market'!$I$11</f>
        <v>Änderungen der Aktiven</v>
      </c>
      <c r="E471" s="1488" t="str">
        <f>'Sensitivitaeten Delta_Market'!$I$13</f>
        <v>nach oben</v>
      </c>
      <c r="F471" s="1495" t="str">
        <f>'Sensitivitaeten Delta_Market'!$B41</f>
        <v>Swap-Government Spread</v>
      </c>
      <c r="G471" s="1494"/>
      <c r="H471" s="1077">
        <f>'Sensitivitaeten Delta_Market'!$I41</f>
        <v>0</v>
      </c>
      <c r="U471" s="1027"/>
      <c r="V471" s="1027"/>
      <c r="W471" s="1027"/>
    </row>
    <row r="472" spans="2:23" x14ac:dyDescent="0.2">
      <c r="B472" s="1493">
        <f>'Sensitivitaeten Delta_Market'!$A$1</f>
        <v>9</v>
      </c>
      <c r="C472" s="1488" t="str">
        <f>'Sensitivitaeten Delta_Market'!$B$1</f>
        <v>Delta-Sensitivitäten</v>
      </c>
      <c r="D472" s="1494" t="str">
        <f>'Sensitivitaeten Delta_Market'!$I$11</f>
        <v>Änderungen der Aktiven</v>
      </c>
      <c r="E472" s="1488" t="str">
        <f>'Sensitivitaeten Delta_Market'!$I$13</f>
        <v>nach oben</v>
      </c>
      <c r="F472" s="1495" t="str">
        <f>'Sensitivitaeten Delta_Market'!$B42</f>
        <v>Wechselkurs   EUR/CHF</v>
      </c>
      <c r="G472" s="1494"/>
      <c r="H472" s="1077">
        <f>'Sensitivitaeten Delta_Market'!$I42</f>
        <v>0</v>
      </c>
      <c r="U472" s="1027"/>
      <c r="V472" s="1027"/>
      <c r="W472" s="1027"/>
    </row>
    <row r="473" spans="2:23" x14ac:dyDescent="0.2">
      <c r="B473" s="1493">
        <f>'Sensitivitaeten Delta_Market'!$A$1</f>
        <v>9</v>
      </c>
      <c r="C473" s="1488" t="str">
        <f>'Sensitivitaeten Delta_Market'!$B$1</f>
        <v>Delta-Sensitivitäten</v>
      </c>
      <c r="D473" s="1494" t="str">
        <f>'Sensitivitaeten Delta_Market'!$I$11</f>
        <v>Änderungen der Aktiven</v>
      </c>
      <c r="E473" s="1488" t="str">
        <f>'Sensitivitaeten Delta_Market'!$I$13</f>
        <v>nach oben</v>
      </c>
      <c r="F473" s="1495" t="str">
        <f>'Sensitivitaeten Delta_Market'!$B43</f>
        <v>Wechselkurs   USD/CHF</v>
      </c>
      <c r="G473" s="1494"/>
      <c r="H473" s="1077">
        <f>'Sensitivitaeten Delta_Market'!$I43</f>
        <v>0</v>
      </c>
      <c r="U473" s="1027"/>
      <c r="V473" s="1027"/>
      <c r="W473" s="1027"/>
    </row>
    <row r="474" spans="2:23" x14ac:dyDescent="0.2">
      <c r="B474" s="1493">
        <f>'Sensitivitaeten Delta_Market'!$A$1</f>
        <v>9</v>
      </c>
      <c r="C474" s="1488" t="str">
        <f>'Sensitivitaeten Delta_Market'!$B$1</f>
        <v>Delta-Sensitivitäten</v>
      </c>
      <c r="D474" s="1494" t="str">
        <f>'Sensitivitaeten Delta_Market'!$I$11</f>
        <v>Änderungen der Aktiven</v>
      </c>
      <c r="E474" s="1488" t="str">
        <f>'Sensitivitaeten Delta_Market'!$I$13</f>
        <v>nach oben</v>
      </c>
      <c r="F474" s="1495" t="str">
        <f>'Sensitivitaeten Delta_Market'!$B44</f>
        <v>Wechselkurs   GBP/CHF</v>
      </c>
      <c r="G474" s="1494"/>
      <c r="H474" s="1077">
        <f>'Sensitivitaeten Delta_Market'!$I44</f>
        <v>0</v>
      </c>
      <c r="U474" s="1027"/>
      <c r="V474" s="1027"/>
      <c r="W474" s="1027"/>
    </row>
    <row r="475" spans="2:23" x14ac:dyDescent="0.2">
      <c r="B475" s="1493">
        <f>'Sensitivitaeten Delta_Market'!$A$1</f>
        <v>9</v>
      </c>
      <c r="C475" s="1488" t="str">
        <f>'Sensitivitaeten Delta_Market'!$B$1</f>
        <v>Delta-Sensitivitäten</v>
      </c>
      <c r="D475" s="1494" t="str">
        <f>'Sensitivitaeten Delta_Market'!$I$11</f>
        <v>Änderungen der Aktiven</v>
      </c>
      <c r="E475" s="1488" t="str">
        <f>'Sensitivitaeten Delta_Market'!$I$13</f>
        <v>nach oben</v>
      </c>
      <c r="F475" s="1495" t="str">
        <f>'Sensitivitaeten Delta_Market'!$B45</f>
        <v>Wechselkurs   JPY/CHF</v>
      </c>
      <c r="G475" s="1494"/>
      <c r="H475" s="1077">
        <f>'Sensitivitaeten Delta_Market'!$I45</f>
        <v>0</v>
      </c>
      <c r="U475" s="1027"/>
      <c r="V475" s="1027"/>
      <c r="W475" s="1027"/>
    </row>
    <row r="476" spans="2:23" x14ac:dyDescent="0.2">
      <c r="B476" s="1493">
        <f>'Sensitivitaeten Delta_Market'!$A$1</f>
        <v>9</v>
      </c>
      <c r="C476" s="1488" t="str">
        <f>'Sensitivitaeten Delta_Market'!$B$1</f>
        <v>Delta-Sensitivitäten</v>
      </c>
      <c r="D476" s="1494" t="str">
        <f>'Sensitivitaeten Delta_Market'!$I$11</f>
        <v>Änderungen der Aktiven</v>
      </c>
      <c r="E476" s="1488" t="str">
        <f>'Sensitivitaeten Delta_Market'!$I$13</f>
        <v>nach oben</v>
      </c>
      <c r="F476" s="1495" t="str">
        <f>'Sensitivitaeten Delta_Market'!$B46</f>
        <v xml:space="preserve">Implizite FX-Volatilität </v>
      </c>
      <c r="G476" s="1494"/>
      <c r="H476" s="1077">
        <f>'Sensitivitaeten Delta_Market'!$I46</f>
        <v>0</v>
      </c>
      <c r="U476" s="1027"/>
      <c r="V476" s="1027"/>
      <c r="W476" s="1027"/>
    </row>
    <row r="477" spans="2:23" x14ac:dyDescent="0.2">
      <c r="B477" s="1493">
        <f>'Sensitivitaeten Delta_Market'!$A$1</f>
        <v>9</v>
      </c>
      <c r="C477" s="1488" t="str">
        <f>'Sensitivitaeten Delta_Market'!$B$1</f>
        <v>Delta-Sensitivitäten</v>
      </c>
      <c r="D477" s="1494" t="str">
        <f>'Sensitivitaeten Delta_Market'!$I$11</f>
        <v>Änderungen der Aktiven</v>
      </c>
      <c r="E477" s="1488" t="str">
        <f>'Sensitivitaeten Delta_Market'!$I$13</f>
        <v>nach oben</v>
      </c>
      <c r="F477" s="1495" t="str">
        <f>'Sensitivitaeten Delta_Market'!$B47</f>
        <v>Aktien Schweiz</v>
      </c>
      <c r="G477" s="1494"/>
      <c r="H477" s="1077">
        <f>'Sensitivitaeten Delta_Market'!$I47</f>
        <v>0</v>
      </c>
      <c r="U477" s="1027"/>
      <c r="V477" s="1027"/>
      <c r="W477" s="1027"/>
    </row>
    <row r="478" spans="2:23" x14ac:dyDescent="0.2">
      <c r="B478" s="1493">
        <f>'Sensitivitaeten Delta_Market'!$A$1</f>
        <v>9</v>
      </c>
      <c r="C478" s="1488" t="str">
        <f>'Sensitivitaeten Delta_Market'!$B$1</f>
        <v>Delta-Sensitivitäten</v>
      </c>
      <c r="D478" s="1494" t="str">
        <f>'Sensitivitaeten Delta_Market'!$I$11</f>
        <v>Änderungen der Aktiven</v>
      </c>
      <c r="E478" s="1488" t="str">
        <f>'Sensitivitaeten Delta_Market'!$I$13</f>
        <v>nach oben</v>
      </c>
      <c r="F478" s="1495" t="str">
        <f>'Sensitivitaeten Delta_Market'!$B48</f>
        <v>Aktien EMU</v>
      </c>
      <c r="G478" s="1494"/>
      <c r="H478" s="1077">
        <f>'Sensitivitaeten Delta_Market'!$I48</f>
        <v>0</v>
      </c>
      <c r="U478" s="1027"/>
      <c r="V478" s="1027"/>
      <c r="W478" s="1027"/>
    </row>
    <row r="479" spans="2:23" x14ac:dyDescent="0.2">
      <c r="B479" s="1493">
        <f>'Sensitivitaeten Delta_Market'!$A$1</f>
        <v>9</v>
      </c>
      <c r="C479" s="1488" t="str">
        <f>'Sensitivitaeten Delta_Market'!$B$1</f>
        <v>Delta-Sensitivitäten</v>
      </c>
      <c r="D479" s="1494" t="str">
        <f>'Sensitivitaeten Delta_Market'!$I$11</f>
        <v>Änderungen der Aktiven</v>
      </c>
      <c r="E479" s="1488" t="str">
        <f>'Sensitivitaeten Delta_Market'!$I$13</f>
        <v>nach oben</v>
      </c>
      <c r="F479" s="1495" t="str">
        <f>'Sensitivitaeten Delta_Market'!$B49</f>
        <v>Aktien USA</v>
      </c>
      <c r="G479" s="1494"/>
      <c r="H479" s="1077">
        <f>'Sensitivitaeten Delta_Market'!$I49</f>
        <v>0</v>
      </c>
      <c r="U479" s="1027"/>
      <c r="V479" s="1027"/>
      <c r="W479" s="1027"/>
    </row>
    <row r="480" spans="2:23" x14ac:dyDescent="0.2">
      <c r="B480" s="1493">
        <f>'Sensitivitaeten Delta_Market'!$A$1</f>
        <v>9</v>
      </c>
      <c r="C480" s="1488" t="str">
        <f>'Sensitivitaeten Delta_Market'!$B$1</f>
        <v>Delta-Sensitivitäten</v>
      </c>
      <c r="D480" s="1494" t="str">
        <f>'Sensitivitaeten Delta_Market'!$I$11</f>
        <v>Änderungen der Aktiven</v>
      </c>
      <c r="E480" s="1488" t="str">
        <f>'Sensitivitaeten Delta_Market'!$I$13</f>
        <v>nach oben</v>
      </c>
      <c r="F480" s="1495" t="str">
        <f>'Sensitivitaeten Delta_Market'!$B50</f>
        <v>Aktien Grossbritannien</v>
      </c>
      <c r="G480" s="1494"/>
      <c r="H480" s="1077">
        <f>'Sensitivitaeten Delta_Market'!$I50</f>
        <v>0</v>
      </c>
      <c r="U480" s="1027"/>
      <c r="V480" s="1027"/>
      <c r="W480" s="1027"/>
    </row>
    <row r="481" spans="2:23" x14ac:dyDescent="0.2">
      <c r="B481" s="1493">
        <f>'Sensitivitaeten Delta_Market'!$A$1</f>
        <v>9</v>
      </c>
      <c r="C481" s="1488" t="str">
        <f>'Sensitivitaeten Delta_Market'!$B$1</f>
        <v>Delta-Sensitivitäten</v>
      </c>
      <c r="D481" s="1494" t="str">
        <f>'Sensitivitaeten Delta_Market'!$I$11</f>
        <v>Änderungen der Aktiven</v>
      </c>
      <c r="E481" s="1488" t="str">
        <f>'Sensitivitaeten Delta_Market'!$I$13</f>
        <v>nach oben</v>
      </c>
      <c r="F481" s="1495" t="str">
        <f>'Sensitivitaeten Delta_Market'!$B51</f>
        <v>Aktien Japan</v>
      </c>
      <c r="G481" s="1494"/>
      <c r="H481" s="1077">
        <f>'Sensitivitaeten Delta_Market'!$I51</f>
        <v>0</v>
      </c>
      <c r="U481" s="1027"/>
      <c r="V481" s="1027"/>
      <c r="W481" s="1027"/>
    </row>
    <row r="482" spans="2:23" x14ac:dyDescent="0.2">
      <c r="B482" s="1493">
        <f>'Sensitivitaeten Delta_Market'!$A$1</f>
        <v>9</v>
      </c>
      <c r="C482" s="1488" t="str">
        <f>'Sensitivitaeten Delta_Market'!$B$1</f>
        <v>Delta-Sensitivitäten</v>
      </c>
      <c r="D482" s="1494" t="str">
        <f>'Sensitivitaeten Delta_Market'!$I$11</f>
        <v>Änderungen der Aktiven</v>
      </c>
      <c r="E482" s="1488" t="str">
        <f>'Sensitivitaeten Delta_Market'!$I$13</f>
        <v>nach oben</v>
      </c>
      <c r="F482" s="1625" t="s">
        <v>2338</v>
      </c>
      <c r="G482" s="1617" t="s">
        <v>2301</v>
      </c>
      <c r="H482" s="1626"/>
      <c r="U482" s="1027"/>
      <c r="V482" s="1027"/>
      <c r="W482" s="1027"/>
    </row>
    <row r="483" spans="2:23" x14ac:dyDescent="0.2">
      <c r="B483" s="1493">
        <f>'Sensitivitaeten Delta_Market'!$A$1</f>
        <v>9</v>
      </c>
      <c r="C483" s="1488" t="str">
        <f>'Sensitivitaeten Delta_Market'!$B$1</f>
        <v>Delta-Sensitivitäten</v>
      </c>
      <c r="D483" s="1494" t="str">
        <f>'Sensitivitaeten Delta_Market'!$I$11</f>
        <v>Änderungen der Aktiven</v>
      </c>
      <c r="E483" s="1488" t="str">
        <f>'Sensitivitaeten Delta_Market'!$I$13</f>
        <v>nach oben</v>
      </c>
      <c r="F483" s="1625" t="s">
        <v>2339</v>
      </c>
      <c r="G483" s="1617" t="s">
        <v>2301</v>
      </c>
      <c r="H483" s="1626"/>
      <c r="U483" s="1027"/>
      <c r="V483" s="1027"/>
      <c r="W483" s="1027"/>
    </row>
    <row r="484" spans="2:23" x14ac:dyDescent="0.2">
      <c r="B484" s="1493">
        <f>'Sensitivitaeten Delta_Market'!$A$1</f>
        <v>9</v>
      </c>
      <c r="C484" s="1488" t="str">
        <f>'Sensitivitaeten Delta_Market'!$B$1</f>
        <v>Delta-Sensitivitäten</v>
      </c>
      <c r="D484" s="1494" t="str">
        <f>'Sensitivitaeten Delta_Market'!$I$11</f>
        <v>Änderungen der Aktiven</v>
      </c>
      <c r="E484" s="1488" t="str">
        <f>'Sensitivitaeten Delta_Market'!$I$13</f>
        <v>nach oben</v>
      </c>
      <c r="F484" s="1497" t="str">
        <f>'Sensitivitaeten Delta_Market'!$B52</f>
        <v>Implizite Aktienvolatilität</v>
      </c>
      <c r="G484" s="1494"/>
      <c r="H484" s="1077">
        <f>'Sensitivitaeten Delta_Market'!$I52</f>
        <v>0</v>
      </c>
      <c r="U484" s="1027"/>
      <c r="V484" s="1027"/>
      <c r="W484" s="1027"/>
    </row>
    <row r="485" spans="2:23" x14ac:dyDescent="0.2">
      <c r="B485" s="1493">
        <f>'Sensitivitaeten Delta_Market'!$A$1</f>
        <v>9</v>
      </c>
      <c r="C485" s="1488" t="str">
        <f>'Sensitivitaeten Delta_Market'!$B$1</f>
        <v>Delta-Sensitivitäten</v>
      </c>
      <c r="D485" s="1494" t="str">
        <f>'Sensitivitaeten Delta_Market'!$I$11</f>
        <v>Änderungen der Aktiven</v>
      </c>
      <c r="E485" s="1488" t="str">
        <f>'Sensitivitaeten Delta_Market'!$I$13</f>
        <v>nach oben</v>
      </c>
      <c r="F485" s="1495" t="str">
        <f>'Sensitivitaeten Delta_Market'!$B53</f>
        <v>Hedgefonds</v>
      </c>
      <c r="G485" s="1494"/>
      <c r="H485" s="1077">
        <f>'Sensitivitaeten Delta_Market'!$I53</f>
        <v>0</v>
      </c>
      <c r="U485" s="1027"/>
      <c r="V485" s="1027"/>
      <c r="W485" s="1027"/>
    </row>
    <row r="486" spans="2:23" x14ac:dyDescent="0.2">
      <c r="B486" s="1493"/>
      <c r="C486" s="1488"/>
      <c r="D486" s="1494"/>
      <c r="E486" s="1488"/>
      <c r="F486" s="1495"/>
      <c r="G486" s="1494"/>
      <c r="H486" s="1078"/>
      <c r="U486" s="1027"/>
      <c r="V486" s="1027"/>
      <c r="W486" s="1027"/>
    </row>
    <row r="487" spans="2:23" x14ac:dyDescent="0.2">
      <c r="B487" s="1493">
        <f>'Sensitivitaeten Delta_Market'!$A$1</f>
        <v>9</v>
      </c>
      <c r="C487" s="1488" t="str">
        <f>'Sensitivitaeten Delta_Market'!$B$1</f>
        <v>Delta-Sensitivitäten</v>
      </c>
      <c r="D487" s="1494" t="str">
        <f>'Sensitivitaeten Delta_Market'!$I$11</f>
        <v>Änderungen der Aktiven</v>
      </c>
      <c r="E487" s="1488" t="str">
        <f>'Sensitivitaeten Delta_Market'!$J$13</f>
        <v>nach unten</v>
      </c>
      <c r="F487" s="1625" t="s">
        <v>428</v>
      </c>
      <c r="G487" s="1617" t="s">
        <v>2301</v>
      </c>
      <c r="H487" s="1626"/>
      <c r="U487" s="1027"/>
      <c r="V487" s="1027"/>
      <c r="W487" s="1027"/>
    </row>
    <row r="488" spans="2:23" x14ac:dyDescent="0.2">
      <c r="B488" s="1493">
        <f>'Sensitivitaeten Delta_Market'!$A$1</f>
        <v>9</v>
      </c>
      <c r="C488" s="1488" t="str">
        <f>'Sensitivitaeten Delta_Market'!$B$1</f>
        <v>Delta-Sensitivitäten</v>
      </c>
      <c r="D488" s="1494" t="str">
        <f>'Sensitivitaeten Delta_Market'!$I$11</f>
        <v>Änderungen der Aktiven</v>
      </c>
      <c r="E488" s="1488" t="str">
        <f>'Sensitivitaeten Delta_Market'!$J$13</f>
        <v>nach unten</v>
      </c>
      <c r="F488" s="1494" t="str">
        <f>'Sensitivitaeten Delta_Market'!$B17</f>
        <v>CHF Zeros  2 Y</v>
      </c>
      <c r="G488" s="1494"/>
      <c r="H488" s="1077">
        <f>'Sensitivitaeten Delta_Market'!$J17</f>
        <v>0</v>
      </c>
      <c r="U488" s="1027"/>
      <c r="V488" s="1027"/>
      <c r="W488" s="1027"/>
    </row>
    <row r="489" spans="2:23" x14ac:dyDescent="0.2">
      <c r="B489" s="1493">
        <f>'Sensitivitaeten Delta_Market'!$A$1</f>
        <v>9</v>
      </c>
      <c r="C489" s="1488" t="str">
        <f>'Sensitivitaeten Delta_Market'!$B$1</f>
        <v>Delta-Sensitivitäten</v>
      </c>
      <c r="D489" s="1494" t="str">
        <f>'Sensitivitaeten Delta_Market'!$I$11</f>
        <v>Änderungen der Aktiven</v>
      </c>
      <c r="E489" s="1488" t="str">
        <f>'Sensitivitaeten Delta_Market'!$J$13</f>
        <v>nach unten</v>
      </c>
      <c r="F489" s="1625" t="s">
        <v>2302</v>
      </c>
      <c r="G489" s="1617" t="s">
        <v>2301</v>
      </c>
      <c r="H489" s="1626"/>
      <c r="U489" s="1027"/>
      <c r="V489" s="1027"/>
      <c r="W489" s="1027"/>
    </row>
    <row r="490" spans="2:23" x14ac:dyDescent="0.2">
      <c r="B490" s="1493">
        <f>'Sensitivitaeten Delta_Market'!$A$1</f>
        <v>9</v>
      </c>
      <c r="C490" s="1488" t="str">
        <f>'Sensitivitaeten Delta_Market'!$B$1</f>
        <v>Delta-Sensitivitäten</v>
      </c>
      <c r="D490" s="1494" t="str">
        <f>'Sensitivitaeten Delta_Market'!$I$11</f>
        <v>Änderungen der Aktiven</v>
      </c>
      <c r="E490" s="1488" t="str">
        <f>'Sensitivitaeten Delta_Market'!$J$13</f>
        <v>nach unten</v>
      </c>
      <c r="F490" s="1625" t="s">
        <v>2303</v>
      </c>
      <c r="G490" s="1617" t="s">
        <v>2301</v>
      </c>
      <c r="H490" s="1626"/>
      <c r="U490" s="1027"/>
      <c r="V490" s="1027"/>
      <c r="W490" s="1027"/>
    </row>
    <row r="491" spans="2:23" x14ac:dyDescent="0.2">
      <c r="B491" s="1493">
        <f>'Sensitivitaeten Delta_Market'!$A$1</f>
        <v>9</v>
      </c>
      <c r="C491" s="1488" t="str">
        <f>'Sensitivitaeten Delta_Market'!$B$1</f>
        <v>Delta-Sensitivitäten</v>
      </c>
      <c r="D491" s="1494" t="str">
        <f>'Sensitivitaeten Delta_Market'!$I$11</f>
        <v>Änderungen der Aktiven</v>
      </c>
      <c r="E491" s="1488" t="str">
        <f>'Sensitivitaeten Delta_Market'!$J$13</f>
        <v>nach unten</v>
      </c>
      <c r="F491" s="1625" t="s">
        <v>2304</v>
      </c>
      <c r="G491" s="1617" t="s">
        <v>2301</v>
      </c>
      <c r="H491" s="1626"/>
      <c r="U491" s="1027"/>
      <c r="V491" s="1027"/>
      <c r="W491" s="1027"/>
    </row>
    <row r="492" spans="2:23" x14ac:dyDescent="0.2">
      <c r="B492" s="1493">
        <f>'Sensitivitaeten Delta_Market'!$A$1</f>
        <v>9</v>
      </c>
      <c r="C492" s="1488" t="str">
        <f>'Sensitivitaeten Delta_Market'!$B$1</f>
        <v>Delta-Sensitivitäten</v>
      </c>
      <c r="D492" s="1494" t="str">
        <f>'Sensitivitaeten Delta_Market'!$I$11</f>
        <v>Änderungen der Aktiven</v>
      </c>
      <c r="E492" s="1488" t="str">
        <f>'Sensitivitaeten Delta_Market'!$J$13</f>
        <v>nach unten</v>
      </c>
      <c r="F492" s="1625" t="s">
        <v>2305</v>
      </c>
      <c r="G492" s="1617" t="s">
        <v>2301</v>
      </c>
      <c r="H492" s="1626"/>
      <c r="U492" s="1027"/>
      <c r="V492" s="1027"/>
      <c r="W492" s="1027"/>
    </row>
    <row r="493" spans="2:23" x14ac:dyDescent="0.2">
      <c r="B493" s="1493">
        <f>'Sensitivitaeten Delta_Market'!$A$1</f>
        <v>9</v>
      </c>
      <c r="C493" s="1488" t="str">
        <f>'Sensitivitaeten Delta_Market'!$B$1</f>
        <v>Delta-Sensitivitäten</v>
      </c>
      <c r="D493" s="1494" t="str">
        <f>'Sensitivitaeten Delta_Market'!$I$11</f>
        <v>Änderungen der Aktiven</v>
      </c>
      <c r="E493" s="1488" t="str">
        <f>'Sensitivitaeten Delta_Market'!$J$13</f>
        <v>nach unten</v>
      </c>
      <c r="F493" s="1625" t="s">
        <v>2307</v>
      </c>
      <c r="G493" s="1617" t="s">
        <v>2301</v>
      </c>
      <c r="H493" s="1626"/>
      <c r="U493" s="1027"/>
      <c r="V493" s="1027"/>
      <c r="W493" s="1027"/>
    </row>
    <row r="494" spans="2:23" x14ac:dyDescent="0.2">
      <c r="B494" s="1493">
        <f>'Sensitivitaeten Delta_Market'!$A$1</f>
        <v>9</v>
      </c>
      <c r="C494" s="1488" t="str">
        <f>'Sensitivitaeten Delta_Market'!$B$1</f>
        <v>Delta-Sensitivitäten</v>
      </c>
      <c r="D494" s="1494" t="str">
        <f>'Sensitivitaeten Delta_Market'!$I$11</f>
        <v>Änderungen der Aktiven</v>
      </c>
      <c r="E494" s="1488" t="str">
        <f>'Sensitivitaeten Delta_Market'!$J$13</f>
        <v>nach unten</v>
      </c>
      <c r="F494" s="1625" t="s">
        <v>2306</v>
      </c>
      <c r="G494" s="1617" t="s">
        <v>2301</v>
      </c>
      <c r="H494" s="1626"/>
      <c r="U494" s="1027"/>
      <c r="V494" s="1027"/>
      <c r="W494" s="1027"/>
    </row>
    <row r="495" spans="2:23" x14ac:dyDescent="0.2">
      <c r="B495" s="1493">
        <f>'Sensitivitaeten Delta_Market'!$A$1</f>
        <v>9</v>
      </c>
      <c r="C495" s="1488" t="str">
        <f>'Sensitivitaeten Delta_Market'!$B$1</f>
        <v>Delta-Sensitivitäten</v>
      </c>
      <c r="D495" s="1494" t="str">
        <f>'Sensitivitaeten Delta_Market'!$I$11</f>
        <v>Änderungen der Aktiven</v>
      </c>
      <c r="E495" s="1488" t="str">
        <f>'Sensitivitaeten Delta_Market'!$J$13</f>
        <v>nach unten</v>
      </c>
      <c r="F495" s="1625" t="s">
        <v>2308</v>
      </c>
      <c r="G495" s="1617" t="s">
        <v>2301</v>
      </c>
      <c r="H495" s="1626"/>
      <c r="U495" s="1027"/>
      <c r="V495" s="1027"/>
      <c r="W495" s="1027"/>
    </row>
    <row r="496" spans="2:23" x14ac:dyDescent="0.2">
      <c r="B496" s="1493">
        <f>'Sensitivitaeten Delta_Market'!$A$1</f>
        <v>9</v>
      </c>
      <c r="C496" s="1488" t="str">
        <f>'Sensitivitaeten Delta_Market'!$B$1</f>
        <v>Delta-Sensitivitäten</v>
      </c>
      <c r="D496" s="1494" t="str">
        <f>'Sensitivitaeten Delta_Market'!$I$11</f>
        <v>Änderungen der Aktiven</v>
      </c>
      <c r="E496" s="1488" t="str">
        <f>'Sensitivitaeten Delta_Market'!$J$13</f>
        <v>nach unten</v>
      </c>
      <c r="F496" s="1495" t="str">
        <f>'Sensitivitaeten Delta_Market'!$B18</f>
        <v>CHF Zeros  10 Y</v>
      </c>
      <c r="G496" s="1494"/>
      <c r="H496" s="1077">
        <f>'Sensitivitaeten Delta_Market'!$J18</f>
        <v>0</v>
      </c>
      <c r="U496" s="1027"/>
      <c r="V496" s="1027"/>
      <c r="W496" s="1027"/>
    </row>
    <row r="497" spans="2:23" x14ac:dyDescent="0.2">
      <c r="B497" s="1493">
        <f>'Sensitivitaeten Delta_Market'!$A$1</f>
        <v>9</v>
      </c>
      <c r="C497" s="1488" t="str">
        <f>'Sensitivitaeten Delta_Market'!$B$1</f>
        <v>Delta-Sensitivitäten</v>
      </c>
      <c r="D497" s="1494" t="str">
        <f>'Sensitivitaeten Delta_Market'!$I$11</f>
        <v>Änderungen der Aktiven</v>
      </c>
      <c r="E497" s="1488" t="str">
        <f>'Sensitivitaeten Delta_Market'!$J$13</f>
        <v>nach unten</v>
      </c>
      <c r="F497" s="1625" t="s">
        <v>2309</v>
      </c>
      <c r="G497" s="1617" t="s">
        <v>2301</v>
      </c>
      <c r="H497" s="1626"/>
      <c r="U497" s="1027"/>
      <c r="V497" s="1027"/>
      <c r="W497" s="1027"/>
    </row>
    <row r="498" spans="2:23" x14ac:dyDescent="0.2">
      <c r="B498" s="1493">
        <f>'Sensitivitaeten Delta_Market'!$A$1</f>
        <v>9</v>
      </c>
      <c r="C498" s="1488" t="str">
        <f>'Sensitivitaeten Delta_Market'!$B$1</f>
        <v>Delta-Sensitivitäten</v>
      </c>
      <c r="D498" s="1494" t="str">
        <f>'Sensitivitaeten Delta_Market'!$I$11</f>
        <v>Änderungen der Aktiven</v>
      </c>
      <c r="E498" s="1488" t="str">
        <f>'Sensitivitaeten Delta_Market'!$J$13</f>
        <v>nach unten</v>
      </c>
      <c r="F498" s="1625" t="s">
        <v>2310</v>
      </c>
      <c r="G498" s="1617" t="s">
        <v>2301</v>
      </c>
      <c r="H498" s="1626"/>
      <c r="U498" s="1027"/>
      <c r="V498" s="1027"/>
      <c r="W498" s="1027"/>
    </row>
    <row r="499" spans="2:23" x14ac:dyDescent="0.2">
      <c r="B499" s="1493">
        <f>'Sensitivitaeten Delta_Market'!$A$1</f>
        <v>9</v>
      </c>
      <c r="C499" s="1488" t="str">
        <f>'Sensitivitaeten Delta_Market'!$B$1</f>
        <v>Delta-Sensitivitäten</v>
      </c>
      <c r="D499" s="1494" t="str">
        <f>'Sensitivitaeten Delta_Market'!$I$11</f>
        <v>Änderungen der Aktiven</v>
      </c>
      <c r="E499" s="1488" t="str">
        <f>'Sensitivitaeten Delta_Market'!$J$13</f>
        <v>nach unten</v>
      </c>
      <c r="F499" s="1495" t="str">
        <f>'Sensitivitaeten Delta_Market'!$B19</f>
        <v>CHF Zeros  30 Y</v>
      </c>
      <c r="G499" s="1494"/>
      <c r="H499" s="1077">
        <f>'Sensitivitaeten Delta_Market'!$J19</f>
        <v>0</v>
      </c>
      <c r="U499" s="1027"/>
      <c r="V499" s="1027"/>
      <c r="W499" s="1027"/>
    </row>
    <row r="500" spans="2:23" x14ac:dyDescent="0.2">
      <c r="B500" s="1493">
        <f>'Sensitivitaeten Delta_Market'!$A$1</f>
        <v>9</v>
      </c>
      <c r="C500" s="1488" t="str">
        <f>'Sensitivitaeten Delta_Market'!$B$1</f>
        <v>Delta-Sensitivitäten</v>
      </c>
      <c r="D500" s="1494" t="str">
        <f>'Sensitivitaeten Delta_Market'!$I$11</f>
        <v>Änderungen der Aktiven</v>
      </c>
      <c r="E500" s="1488" t="str">
        <f>'Sensitivitaeten Delta_Market'!$J$13</f>
        <v>nach unten</v>
      </c>
      <c r="F500" s="1625" t="s">
        <v>429</v>
      </c>
      <c r="G500" s="1617" t="s">
        <v>2301</v>
      </c>
      <c r="H500" s="1626"/>
      <c r="U500" s="1027"/>
      <c r="V500" s="1027"/>
      <c r="W500" s="1027"/>
    </row>
    <row r="501" spans="2:23" x14ac:dyDescent="0.2">
      <c r="B501" s="1493">
        <f>'Sensitivitaeten Delta_Market'!$A$1</f>
        <v>9</v>
      </c>
      <c r="C501" s="1488" t="str">
        <f>'Sensitivitaeten Delta_Market'!$B$1</f>
        <v>Delta-Sensitivitäten</v>
      </c>
      <c r="D501" s="1494" t="str">
        <f>'Sensitivitaeten Delta_Market'!$I$11</f>
        <v>Änderungen der Aktiven</v>
      </c>
      <c r="E501" s="1488" t="str">
        <f>'Sensitivitaeten Delta_Market'!$J$13</f>
        <v>nach unten</v>
      </c>
      <c r="F501" s="1625" t="s">
        <v>2311</v>
      </c>
      <c r="G501" s="1617" t="s">
        <v>2301</v>
      </c>
      <c r="H501" s="1626"/>
      <c r="U501" s="1027"/>
      <c r="V501" s="1027"/>
      <c r="W501" s="1027"/>
    </row>
    <row r="502" spans="2:23" x14ac:dyDescent="0.2">
      <c r="B502" s="1493">
        <f>'Sensitivitaeten Delta_Market'!$A$1</f>
        <v>9</v>
      </c>
      <c r="C502" s="1488" t="str">
        <f>'Sensitivitaeten Delta_Market'!$B$1</f>
        <v>Delta-Sensitivitäten</v>
      </c>
      <c r="D502" s="1494" t="str">
        <f>'Sensitivitaeten Delta_Market'!$I$11</f>
        <v>Änderungen der Aktiven</v>
      </c>
      <c r="E502" s="1488" t="str">
        <f>'Sensitivitaeten Delta_Market'!$J$13</f>
        <v>nach unten</v>
      </c>
      <c r="F502" s="1625" t="s">
        <v>2312</v>
      </c>
      <c r="G502" s="1617" t="s">
        <v>2301</v>
      </c>
      <c r="H502" s="1626"/>
      <c r="U502" s="1027"/>
      <c r="V502" s="1027"/>
      <c r="W502" s="1027"/>
    </row>
    <row r="503" spans="2:23" x14ac:dyDescent="0.2">
      <c r="B503" s="1493">
        <f>'Sensitivitaeten Delta_Market'!$A$1</f>
        <v>9</v>
      </c>
      <c r="C503" s="1488" t="str">
        <f>'Sensitivitaeten Delta_Market'!$B$1</f>
        <v>Delta-Sensitivitäten</v>
      </c>
      <c r="D503" s="1494" t="str">
        <f>'Sensitivitaeten Delta_Market'!$I$11</f>
        <v>Änderungen der Aktiven</v>
      </c>
      <c r="E503" s="1488" t="str">
        <f>'Sensitivitaeten Delta_Market'!$J$13</f>
        <v>nach unten</v>
      </c>
      <c r="F503" s="1625" t="s">
        <v>2313</v>
      </c>
      <c r="G503" s="1617" t="s">
        <v>2301</v>
      </c>
      <c r="H503" s="1626"/>
      <c r="U503" s="1027"/>
      <c r="V503" s="1027"/>
      <c r="W503" s="1027"/>
    </row>
    <row r="504" spans="2:23" x14ac:dyDescent="0.2">
      <c r="B504" s="1493">
        <f>'Sensitivitaeten Delta_Market'!$A$1</f>
        <v>9</v>
      </c>
      <c r="C504" s="1488" t="str">
        <f>'Sensitivitaeten Delta_Market'!$B$1</f>
        <v>Delta-Sensitivitäten</v>
      </c>
      <c r="D504" s="1494" t="str">
        <f>'Sensitivitaeten Delta_Market'!$I$11</f>
        <v>Änderungen der Aktiven</v>
      </c>
      <c r="E504" s="1488" t="str">
        <f>'Sensitivitaeten Delta_Market'!$J$13</f>
        <v>nach unten</v>
      </c>
      <c r="F504" s="1625" t="s">
        <v>2314</v>
      </c>
      <c r="G504" s="1617" t="s">
        <v>2301</v>
      </c>
      <c r="H504" s="1626"/>
      <c r="U504" s="1027"/>
      <c r="V504" s="1027"/>
      <c r="W504" s="1027"/>
    </row>
    <row r="505" spans="2:23" x14ac:dyDescent="0.2">
      <c r="B505" s="1493">
        <f>'Sensitivitaeten Delta_Market'!$A$1</f>
        <v>9</v>
      </c>
      <c r="C505" s="1488" t="str">
        <f>'Sensitivitaeten Delta_Market'!$B$1</f>
        <v>Delta-Sensitivitäten</v>
      </c>
      <c r="D505" s="1494" t="str">
        <f>'Sensitivitaeten Delta_Market'!$I$11</f>
        <v>Änderungen der Aktiven</v>
      </c>
      <c r="E505" s="1488" t="str">
        <f>'Sensitivitaeten Delta_Market'!$J$13</f>
        <v>nach unten</v>
      </c>
      <c r="F505" s="1625" t="s">
        <v>2315</v>
      </c>
      <c r="G505" s="1617" t="s">
        <v>2301</v>
      </c>
      <c r="H505" s="1626"/>
      <c r="U505" s="1027"/>
      <c r="V505" s="1027"/>
      <c r="W505" s="1027"/>
    </row>
    <row r="506" spans="2:23" x14ac:dyDescent="0.2">
      <c r="B506" s="1493">
        <f>'Sensitivitaeten Delta_Market'!$A$1</f>
        <v>9</v>
      </c>
      <c r="C506" s="1488" t="str">
        <f>'Sensitivitaeten Delta_Market'!$B$1</f>
        <v>Delta-Sensitivitäten</v>
      </c>
      <c r="D506" s="1494" t="str">
        <f>'Sensitivitaeten Delta_Market'!$I$11</f>
        <v>Änderungen der Aktiven</v>
      </c>
      <c r="E506" s="1488" t="str">
        <f>'Sensitivitaeten Delta_Market'!$J$13</f>
        <v>nach unten</v>
      </c>
      <c r="F506" s="1625" t="s">
        <v>2316</v>
      </c>
      <c r="G506" s="1617" t="s">
        <v>2301</v>
      </c>
      <c r="H506" s="1626"/>
      <c r="U506" s="1027"/>
      <c r="V506" s="1027"/>
      <c r="W506" s="1027"/>
    </row>
    <row r="507" spans="2:23" x14ac:dyDescent="0.2">
      <c r="B507" s="1493">
        <f>'Sensitivitaeten Delta_Market'!$A$1</f>
        <v>9</v>
      </c>
      <c r="C507" s="1488" t="str">
        <f>'Sensitivitaeten Delta_Market'!$B$1</f>
        <v>Delta-Sensitivitäten</v>
      </c>
      <c r="D507" s="1494" t="str">
        <f>'Sensitivitaeten Delta_Market'!$I$11</f>
        <v>Änderungen der Aktiven</v>
      </c>
      <c r="E507" s="1488" t="str">
        <f>'Sensitivitaeten Delta_Market'!$J$13</f>
        <v>nach unten</v>
      </c>
      <c r="F507" s="1625" t="s">
        <v>2317</v>
      </c>
      <c r="G507" s="1617" t="s">
        <v>2301</v>
      </c>
      <c r="H507" s="1626"/>
      <c r="U507" s="1027"/>
      <c r="V507" s="1027"/>
      <c r="W507" s="1027"/>
    </row>
    <row r="508" spans="2:23" x14ac:dyDescent="0.2">
      <c r="B508" s="1493">
        <f>'Sensitivitaeten Delta_Market'!$A$1</f>
        <v>9</v>
      </c>
      <c r="C508" s="1488" t="str">
        <f>'Sensitivitaeten Delta_Market'!$B$1</f>
        <v>Delta-Sensitivitäten</v>
      </c>
      <c r="D508" s="1494" t="str">
        <f>'Sensitivitaeten Delta_Market'!$I$11</f>
        <v>Änderungen der Aktiven</v>
      </c>
      <c r="E508" s="1488" t="str">
        <f>'Sensitivitaeten Delta_Market'!$J$13</f>
        <v>nach unten</v>
      </c>
      <c r="F508" s="1625" t="s">
        <v>2318</v>
      </c>
      <c r="G508" s="1617" t="s">
        <v>2301</v>
      </c>
      <c r="H508" s="1626"/>
      <c r="U508" s="1027"/>
      <c r="V508" s="1027"/>
      <c r="W508" s="1027"/>
    </row>
    <row r="509" spans="2:23" x14ac:dyDescent="0.2">
      <c r="B509" s="1493">
        <f>'Sensitivitaeten Delta_Market'!$A$1</f>
        <v>9</v>
      </c>
      <c r="C509" s="1488" t="str">
        <f>'Sensitivitaeten Delta_Market'!$B$1</f>
        <v>Delta-Sensitivitäten</v>
      </c>
      <c r="D509" s="1494" t="str">
        <f>'Sensitivitaeten Delta_Market'!$I$11</f>
        <v>Änderungen der Aktiven</v>
      </c>
      <c r="E509" s="1488" t="str">
        <f>'Sensitivitaeten Delta_Market'!$J$13</f>
        <v>nach unten</v>
      </c>
      <c r="F509" s="1625" t="s">
        <v>2319</v>
      </c>
      <c r="G509" s="1617" t="s">
        <v>2301</v>
      </c>
      <c r="H509" s="1626"/>
      <c r="U509" s="1027"/>
      <c r="V509" s="1027"/>
      <c r="W509" s="1027"/>
    </row>
    <row r="510" spans="2:23" x14ac:dyDescent="0.2">
      <c r="B510" s="1493">
        <f>'Sensitivitaeten Delta_Market'!$A$1</f>
        <v>9</v>
      </c>
      <c r="C510" s="1488" t="str">
        <f>'Sensitivitaeten Delta_Market'!$B$1</f>
        <v>Delta-Sensitivitäten</v>
      </c>
      <c r="D510" s="1494" t="str">
        <f>'Sensitivitaeten Delta_Market'!$I$11</f>
        <v>Änderungen der Aktiven</v>
      </c>
      <c r="E510" s="1488" t="str">
        <f>'Sensitivitaeten Delta_Market'!$J$13</f>
        <v>nach unten</v>
      </c>
      <c r="F510" s="1495" t="str">
        <f>'Sensitivitaeten Delta_Market'!$B20</f>
        <v>EUR Zeros  2 Y</v>
      </c>
      <c r="G510" s="1494"/>
      <c r="H510" s="1077">
        <f>'Sensitivitaeten Delta_Market'!$J20</f>
        <v>0</v>
      </c>
      <c r="U510" s="1027"/>
      <c r="V510" s="1027"/>
      <c r="W510" s="1027"/>
    </row>
    <row r="511" spans="2:23" x14ac:dyDescent="0.2">
      <c r="B511" s="1493">
        <f>'Sensitivitaeten Delta_Market'!$A$1</f>
        <v>9</v>
      </c>
      <c r="C511" s="1488" t="str">
        <f>'Sensitivitaeten Delta_Market'!$B$1</f>
        <v>Delta-Sensitivitäten</v>
      </c>
      <c r="D511" s="1494" t="str">
        <f>'Sensitivitaeten Delta_Market'!$I$11</f>
        <v>Änderungen der Aktiven</v>
      </c>
      <c r="E511" s="1488" t="str">
        <f>'Sensitivitaeten Delta_Market'!$J$13</f>
        <v>nach unten</v>
      </c>
      <c r="F511" s="1495" t="str">
        <f>'Sensitivitaeten Delta_Market'!$B21</f>
        <v>EUR Zeros  10 Y</v>
      </c>
      <c r="G511" s="1494"/>
      <c r="H511" s="1077">
        <f>'Sensitivitaeten Delta_Market'!$J21</f>
        <v>0</v>
      </c>
      <c r="U511" s="1027"/>
      <c r="V511" s="1027"/>
      <c r="W511" s="1027"/>
    </row>
    <row r="512" spans="2:23" x14ac:dyDescent="0.2">
      <c r="B512" s="1493">
        <f>'Sensitivitaeten Delta_Market'!$A$1</f>
        <v>9</v>
      </c>
      <c r="C512" s="1488" t="str">
        <f>'Sensitivitaeten Delta_Market'!$B$1</f>
        <v>Delta-Sensitivitäten</v>
      </c>
      <c r="D512" s="1494" t="str">
        <f>'Sensitivitaeten Delta_Market'!$I$11</f>
        <v>Änderungen der Aktiven</v>
      </c>
      <c r="E512" s="1488" t="str">
        <f>'Sensitivitaeten Delta_Market'!$J$13</f>
        <v>nach unten</v>
      </c>
      <c r="F512" s="1495" t="str">
        <f>'Sensitivitaeten Delta_Market'!$B22</f>
        <v>EUR Zeros  30 Y</v>
      </c>
      <c r="G512" s="1494"/>
      <c r="H512" s="1077">
        <f>'Sensitivitaeten Delta_Market'!$J22</f>
        <v>0</v>
      </c>
      <c r="U512" s="1027"/>
      <c r="V512" s="1027"/>
      <c r="W512" s="1027"/>
    </row>
    <row r="513" spans="2:23" x14ac:dyDescent="0.2">
      <c r="B513" s="1493">
        <f>'Sensitivitaeten Delta_Market'!$A$1</f>
        <v>9</v>
      </c>
      <c r="C513" s="1488" t="str">
        <f>'Sensitivitaeten Delta_Market'!$B$1</f>
        <v>Delta-Sensitivitäten</v>
      </c>
      <c r="D513" s="1494" t="str">
        <f>'Sensitivitaeten Delta_Market'!$I$11</f>
        <v>Änderungen der Aktiven</v>
      </c>
      <c r="E513" s="1488" t="str">
        <f>'Sensitivitaeten Delta_Market'!$J$13</f>
        <v>nach unten</v>
      </c>
      <c r="F513" s="1494" t="str">
        <f>'Sensitivitaeten Delta_Market'!$B23</f>
        <v>USD Zeros  3 Y</v>
      </c>
      <c r="G513" s="1494"/>
      <c r="H513" s="1077">
        <f>'Sensitivitaeten Delta_Market'!$J23</f>
        <v>0</v>
      </c>
      <c r="U513" s="1027"/>
      <c r="V513" s="1027"/>
      <c r="W513" s="1027"/>
    </row>
    <row r="514" spans="2:23" x14ac:dyDescent="0.2">
      <c r="B514" s="1493">
        <f>'Sensitivitaeten Delta_Market'!$A$1</f>
        <v>9</v>
      </c>
      <c r="C514" s="1488" t="str">
        <f>'Sensitivitaeten Delta_Market'!$B$1</f>
        <v>Delta-Sensitivitäten</v>
      </c>
      <c r="D514" s="1494" t="str">
        <f>'Sensitivitaeten Delta_Market'!$I$11</f>
        <v>Änderungen der Aktiven</v>
      </c>
      <c r="E514" s="1488" t="str">
        <f>'Sensitivitaeten Delta_Market'!$J$13</f>
        <v>nach unten</v>
      </c>
      <c r="F514" s="1494" t="str">
        <f>'Sensitivitaeten Delta_Market'!$B24</f>
        <v>USD Zeros  10 Y</v>
      </c>
      <c r="G514" s="1494"/>
      <c r="H514" s="1077">
        <f>'Sensitivitaeten Delta_Market'!$J24</f>
        <v>0</v>
      </c>
      <c r="U514" s="1027"/>
      <c r="V514" s="1027"/>
      <c r="W514" s="1027"/>
    </row>
    <row r="515" spans="2:23" x14ac:dyDescent="0.2">
      <c r="B515" s="1493">
        <f>'Sensitivitaeten Delta_Market'!$A$1</f>
        <v>9</v>
      </c>
      <c r="C515" s="1488" t="str">
        <f>'Sensitivitaeten Delta_Market'!$B$1</f>
        <v>Delta-Sensitivitäten</v>
      </c>
      <c r="D515" s="1494" t="str">
        <f>'Sensitivitaeten Delta_Market'!$I$11</f>
        <v>Änderungen der Aktiven</v>
      </c>
      <c r="E515" s="1488" t="str">
        <f>'Sensitivitaeten Delta_Market'!$J$13</f>
        <v>nach unten</v>
      </c>
      <c r="F515" s="1494" t="str">
        <f>'Sensitivitaeten Delta_Market'!$B25</f>
        <v>USD Zeros  30 Y</v>
      </c>
      <c r="G515" s="1494"/>
      <c r="H515" s="1077">
        <f>'Sensitivitaeten Delta_Market'!$J25</f>
        <v>0</v>
      </c>
      <c r="U515" s="1027"/>
      <c r="V515" s="1027"/>
      <c r="W515" s="1027"/>
    </row>
    <row r="516" spans="2:23" x14ac:dyDescent="0.2">
      <c r="B516" s="1493">
        <f>'Sensitivitaeten Delta_Market'!$A$1</f>
        <v>9</v>
      </c>
      <c r="C516" s="1488" t="str">
        <f>'Sensitivitaeten Delta_Market'!$B$1</f>
        <v>Delta-Sensitivitäten</v>
      </c>
      <c r="D516" s="1494" t="str">
        <f>'Sensitivitaeten Delta_Market'!$I$11</f>
        <v>Änderungen der Aktiven</v>
      </c>
      <c r="E516" s="1488" t="str">
        <f>'Sensitivitaeten Delta_Market'!$J$13</f>
        <v>nach unten</v>
      </c>
      <c r="F516" s="1625" t="s">
        <v>430</v>
      </c>
      <c r="G516" s="1617" t="s">
        <v>2301</v>
      </c>
      <c r="H516" s="1626"/>
      <c r="U516" s="1027"/>
      <c r="V516" s="1027"/>
      <c r="W516" s="1027"/>
    </row>
    <row r="517" spans="2:23" x14ac:dyDescent="0.2">
      <c r="B517" s="1493">
        <f>'Sensitivitaeten Delta_Market'!$A$1</f>
        <v>9</v>
      </c>
      <c r="C517" s="1488" t="str">
        <f>'Sensitivitaeten Delta_Market'!$B$1</f>
        <v>Delta-Sensitivitäten</v>
      </c>
      <c r="D517" s="1494" t="str">
        <f>'Sensitivitaeten Delta_Market'!$I$11</f>
        <v>Änderungen der Aktiven</v>
      </c>
      <c r="E517" s="1488" t="str">
        <f>'Sensitivitaeten Delta_Market'!$J$13</f>
        <v>nach unten</v>
      </c>
      <c r="F517" s="1625" t="s">
        <v>2329</v>
      </c>
      <c r="G517" s="1617" t="s">
        <v>2301</v>
      </c>
      <c r="H517" s="1626"/>
      <c r="U517" s="1027"/>
      <c r="V517" s="1027"/>
      <c r="W517" s="1027"/>
    </row>
    <row r="518" spans="2:23" x14ac:dyDescent="0.2">
      <c r="B518" s="1493">
        <f>'Sensitivitaeten Delta_Market'!$A$1</f>
        <v>9</v>
      </c>
      <c r="C518" s="1488" t="str">
        <f>'Sensitivitaeten Delta_Market'!$B$1</f>
        <v>Delta-Sensitivitäten</v>
      </c>
      <c r="D518" s="1494" t="str">
        <f>'Sensitivitaeten Delta_Market'!$I$11</f>
        <v>Änderungen der Aktiven</v>
      </c>
      <c r="E518" s="1488" t="str">
        <f>'Sensitivitaeten Delta_Market'!$J$13</f>
        <v>nach unten</v>
      </c>
      <c r="F518" s="1625" t="s">
        <v>2330</v>
      </c>
      <c r="G518" s="1617" t="s">
        <v>2301</v>
      </c>
      <c r="H518" s="1626"/>
      <c r="U518" s="1027"/>
      <c r="V518" s="1027"/>
      <c r="W518" s="1027"/>
    </row>
    <row r="519" spans="2:23" x14ac:dyDescent="0.2">
      <c r="B519" s="1493">
        <f>'Sensitivitaeten Delta_Market'!$A$1</f>
        <v>9</v>
      </c>
      <c r="C519" s="1488" t="str">
        <f>'Sensitivitaeten Delta_Market'!$B$1</f>
        <v>Delta-Sensitivitäten</v>
      </c>
      <c r="D519" s="1494" t="str">
        <f>'Sensitivitaeten Delta_Market'!$I$11</f>
        <v>Änderungen der Aktiven</v>
      </c>
      <c r="E519" s="1488" t="str">
        <f>'Sensitivitaeten Delta_Market'!$J$13</f>
        <v>nach unten</v>
      </c>
      <c r="F519" s="1625" t="s">
        <v>2331</v>
      </c>
      <c r="G519" s="1617" t="s">
        <v>2301</v>
      </c>
      <c r="H519" s="1626"/>
      <c r="U519" s="1027"/>
      <c r="V519" s="1027"/>
      <c r="W519" s="1027"/>
    </row>
    <row r="520" spans="2:23" x14ac:dyDescent="0.2">
      <c r="B520" s="1493">
        <f>'Sensitivitaeten Delta_Market'!$A$1</f>
        <v>9</v>
      </c>
      <c r="C520" s="1488" t="str">
        <f>'Sensitivitaeten Delta_Market'!$B$1</f>
        <v>Delta-Sensitivitäten</v>
      </c>
      <c r="D520" s="1494" t="str">
        <f>'Sensitivitaeten Delta_Market'!$I$11</f>
        <v>Änderungen der Aktiven</v>
      </c>
      <c r="E520" s="1488" t="str">
        <f>'Sensitivitaeten Delta_Market'!$J$13</f>
        <v>nach unten</v>
      </c>
      <c r="F520" s="1625" t="s">
        <v>2332</v>
      </c>
      <c r="G520" s="1617" t="s">
        <v>2301</v>
      </c>
      <c r="H520" s="1626"/>
      <c r="U520" s="1027"/>
      <c r="V520" s="1027"/>
      <c r="W520" s="1027"/>
    </row>
    <row r="521" spans="2:23" x14ac:dyDescent="0.2">
      <c r="B521" s="1493">
        <f>'Sensitivitaeten Delta_Market'!$A$1</f>
        <v>9</v>
      </c>
      <c r="C521" s="1488" t="str">
        <f>'Sensitivitaeten Delta_Market'!$B$1</f>
        <v>Delta-Sensitivitäten</v>
      </c>
      <c r="D521" s="1494" t="str">
        <f>'Sensitivitaeten Delta_Market'!$I$11</f>
        <v>Änderungen der Aktiven</v>
      </c>
      <c r="E521" s="1488" t="str">
        <f>'Sensitivitaeten Delta_Market'!$J$13</f>
        <v>nach unten</v>
      </c>
      <c r="F521" s="1625" t="s">
        <v>2333</v>
      </c>
      <c r="G521" s="1617" t="s">
        <v>2301</v>
      </c>
      <c r="H521" s="1626"/>
      <c r="U521" s="1027"/>
      <c r="V521" s="1027"/>
      <c r="W521" s="1027"/>
    </row>
    <row r="522" spans="2:23" x14ac:dyDescent="0.2">
      <c r="B522" s="1493">
        <f>'Sensitivitaeten Delta_Market'!$A$1</f>
        <v>9</v>
      </c>
      <c r="C522" s="1488" t="str">
        <f>'Sensitivitaeten Delta_Market'!$B$1</f>
        <v>Delta-Sensitivitäten</v>
      </c>
      <c r="D522" s="1494" t="str">
        <f>'Sensitivitaeten Delta_Market'!$I$11</f>
        <v>Änderungen der Aktiven</v>
      </c>
      <c r="E522" s="1488" t="str">
        <f>'Sensitivitaeten Delta_Market'!$J$13</f>
        <v>nach unten</v>
      </c>
      <c r="F522" s="1625" t="s">
        <v>2334</v>
      </c>
      <c r="G522" s="1617" t="s">
        <v>2301</v>
      </c>
      <c r="H522" s="1626"/>
      <c r="U522" s="1027"/>
      <c r="V522" s="1027"/>
      <c r="W522" s="1027"/>
    </row>
    <row r="523" spans="2:23" x14ac:dyDescent="0.2">
      <c r="B523" s="1493">
        <f>'Sensitivitaeten Delta_Market'!$A$1</f>
        <v>9</v>
      </c>
      <c r="C523" s="1488" t="str">
        <f>'Sensitivitaeten Delta_Market'!$B$1</f>
        <v>Delta-Sensitivitäten</v>
      </c>
      <c r="D523" s="1494" t="str">
        <f>'Sensitivitaeten Delta_Market'!$I$11</f>
        <v>Änderungen der Aktiven</v>
      </c>
      <c r="E523" s="1488" t="str">
        <f>'Sensitivitaeten Delta_Market'!$J$13</f>
        <v>nach unten</v>
      </c>
      <c r="F523" s="1625" t="s">
        <v>2335</v>
      </c>
      <c r="G523" s="1617" t="s">
        <v>2301</v>
      </c>
      <c r="H523" s="1626"/>
      <c r="U523" s="1027"/>
      <c r="V523" s="1027"/>
      <c r="W523" s="1027"/>
    </row>
    <row r="524" spans="2:23" x14ac:dyDescent="0.2">
      <c r="B524" s="1493">
        <f>'Sensitivitaeten Delta_Market'!$A$1</f>
        <v>9</v>
      </c>
      <c r="C524" s="1488" t="str">
        <f>'Sensitivitaeten Delta_Market'!$B$1</f>
        <v>Delta-Sensitivitäten</v>
      </c>
      <c r="D524" s="1494" t="str">
        <f>'Sensitivitaeten Delta_Market'!$I$11</f>
        <v>Änderungen der Aktiven</v>
      </c>
      <c r="E524" s="1488" t="str">
        <f>'Sensitivitaeten Delta_Market'!$J$13</f>
        <v>nach unten</v>
      </c>
      <c r="F524" s="1625" t="s">
        <v>2336</v>
      </c>
      <c r="G524" s="1617" t="s">
        <v>2301</v>
      </c>
      <c r="H524" s="1626"/>
      <c r="U524" s="1027"/>
      <c r="V524" s="1027"/>
      <c r="W524" s="1027"/>
    </row>
    <row r="525" spans="2:23" x14ac:dyDescent="0.2">
      <c r="B525" s="1493">
        <f>'Sensitivitaeten Delta_Market'!$A$1</f>
        <v>9</v>
      </c>
      <c r="C525" s="1488" t="str">
        <f>'Sensitivitaeten Delta_Market'!$B$1</f>
        <v>Delta-Sensitivitäten</v>
      </c>
      <c r="D525" s="1494" t="str">
        <f>'Sensitivitaeten Delta_Market'!$I$11</f>
        <v>Änderungen der Aktiven</v>
      </c>
      <c r="E525" s="1488" t="str">
        <f>'Sensitivitaeten Delta_Market'!$J$13</f>
        <v>nach unten</v>
      </c>
      <c r="F525" s="1625" t="s">
        <v>2337</v>
      </c>
      <c r="G525" s="1617" t="s">
        <v>2301</v>
      </c>
      <c r="H525" s="1626"/>
      <c r="U525" s="1027"/>
      <c r="V525" s="1027"/>
      <c r="W525" s="1027"/>
    </row>
    <row r="526" spans="2:23" x14ac:dyDescent="0.2">
      <c r="B526" s="1493">
        <f>'Sensitivitaeten Delta_Market'!$A$1</f>
        <v>9</v>
      </c>
      <c r="C526" s="1488" t="str">
        <f>'Sensitivitaeten Delta_Market'!$B$1</f>
        <v>Delta-Sensitivitäten</v>
      </c>
      <c r="D526" s="1494" t="str">
        <f>'Sensitivitaeten Delta_Market'!$I$11</f>
        <v>Änderungen der Aktiven</v>
      </c>
      <c r="E526" s="1488" t="str">
        <f>'Sensitivitaeten Delta_Market'!$J$13</f>
        <v>nach unten</v>
      </c>
      <c r="F526" s="1494" t="str">
        <f>'Sensitivitaeten Delta_Market'!$B26</f>
        <v>GBP Zeros  2 Y</v>
      </c>
      <c r="G526" s="1494"/>
      <c r="H526" s="1077">
        <f>'Sensitivitaeten Delta_Market'!$J26</f>
        <v>0</v>
      </c>
      <c r="U526" s="1027"/>
      <c r="V526" s="1027"/>
      <c r="W526" s="1027"/>
    </row>
    <row r="527" spans="2:23" x14ac:dyDescent="0.2">
      <c r="B527" s="1493">
        <f>'Sensitivitaeten Delta_Market'!$A$1</f>
        <v>9</v>
      </c>
      <c r="C527" s="1488" t="str">
        <f>'Sensitivitaeten Delta_Market'!$B$1</f>
        <v>Delta-Sensitivitäten</v>
      </c>
      <c r="D527" s="1494" t="str">
        <f>'Sensitivitaeten Delta_Market'!$I$11</f>
        <v>Änderungen der Aktiven</v>
      </c>
      <c r="E527" s="1488" t="str">
        <f>'Sensitivitaeten Delta_Market'!$J$13</f>
        <v>nach unten</v>
      </c>
      <c r="F527" s="1494" t="str">
        <f>'Sensitivitaeten Delta_Market'!$B27</f>
        <v>GBP Zeros  10 Y</v>
      </c>
      <c r="G527" s="1494"/>
      <c r="H527" s="1077">
        <f>'Sensitivitaeten Delta_Market'!$J27</f>
        <v>0</v>
      </c>
      <c r="U527" s="1027"/>
      <c r="V527" s="1027"/>
      <c r="W527" s="1027"/>
    </row>
    <row r="528" spans="2:23" x14ac:dyDescent="0.2">
      <c r="B528" s="1493">
        <f>'Sensitivitaeten Delta_Market'!$A$1</f>
        <v>9</v>
      </c>
      <c r="C528" s="1488" t="str">
        <f>'Sensitivitaeten Delta_Market'!$B$1</f>
        <v>Delta-Sensitivitäten</v>
      </c>
      <c r="D528" s="1494" t="str">
        <f>'Sensitivitaeten Delta_Market'!$I$11</f>
        <v>Änderungen der Aktiven</v>
      </c>
      <c r="E528" s="1488" t="str">
        <f>'Sensitivitaeten Delta_Market'!$J$13</f>
        <v>nach unten</v>
      </c>
      <c r="F528" s="1494" t="str">
        <f>'Sensitivitaeten Delta_Market'!$B28</f>
        <v>GBP Zeros  30 Y</v>
      </c>
      <c r="G528" s="1494"/>
      <c r="H528" s="1077">
        <f>'Sensitivitaeten Delta_Market'!$J28</f>
        <v>0</v>
      </c>
      <c r="U528" s="1027"/>
      <c r="V528" s="1027"/>
      <c r="W528" s="1027"/>
    </row>
    <row r="529" spans="2:23" x14ac:dyDescent="0.2">
      <c r="B529" s="1493">
        <f>'Sensitivitaeten Delta_Market'!$A$1</f>
        <v>9</v>
      </c>
      <c r="C529" s="1488" t="str">
        <f>'Sensitivitaeten Delta_Market'!$B$1</f>
        <v>Delta-Sensitivitäten</v>
      </c>
      <c r="D529" s="1494" t="str">
        <f>'Sensitivitaeten Delta_Market'!$I$11</f>
        <v>Änderungen der Aktiven</v>
      </c>
      <c r="E529" s="1488" t="str">
        <f>'Sensitivitaeten Delta_Market'!$J$13</f>
        <v>nach unten</v>
      </c>
      <c r="F529" s="1625" t="s">
        <v>431</v>
      </c>
      <c r="G529" s="1617" t="s">
        <v>2301</v>
      </c>
      <c r="H529" s="1626"/>
      <c r="U529" s="1027"/>
      <c r="V529" s="1027"/>
      <c r="W529" s="1027"/>
    </row>
    <row r="530" spans="2:23" x14ac:dyDescent="0.2">
      <c r="B530" s="1493">
        <f>'Sensitivitaeten Delta_Market'!$A$1</f>
        <v>9</v>
      </c>
      <c r="C530" s="1488" t="str">
        <f>'Sensitivitaeten Delta_Market'!$B$1</f>
        <v>Delta-Sensitivitäten</v>
      </c>
      <c r="D530" s="1494" t="str">
        <f>'Sensitivitaeten Delta_Market'!$I$11</f>
        <v>Änderungen der Aktiven</v>
      </c>
      <c r="E530" s="1488" t="str">
        <f>'Sensitivitaeten Delta_Market'!$J$13</f>
        <v>nach unten</v>
      </c>
      <c r="F530" s="1625" t="s">
        <v>2320</v>
      </c>
      <c r="G530" s="1617" t="s">
        <v>2301</v>
      </c>
      <c r="H530" s="1626"/>
      <c r="U530" s="1027"/>
      <c r="V530" s="1027"/>
      <c r="W530" s="1027"/>
    </row>
    <row r="531" spans="2:23" x14ac:dyDescent="0.2">
      <c r="B531" s="1493">
        <f>'Sensitivitaeten Delta_Market'!$A$1</f>
        <v>9</v>
      </c>
      <c r="C531" s="1488" t="str">
        <f>'Sensitivitaeten Delta_Market'!$B$1</f>
        <v>Delta-Sensitivitäten</v>
      </c>
      <c r="D531" s="1494" t="str">
        <f>'Sensitivitaeten Delta_Market'!$I$11</f>
        <v>Änderungen der Aktiven</v>
      </c>
      <c r="E531" s="1488" t="str">
        <f>'Sensitivitaeten Delta_Market'!$J$13</f>
        <v>nach unten</v>
      </c>
      <c r="F531" s="1625" t="s">
        <v>2321</v>
      </c>
      <c r="G531" s="1617" t="s">
        <v>2301</v>
      </c>
      <c r="H531" s="1626"/>
      <c r="U531" s="1027"/>
      <c r="V531" s="1027"/>
      <c r="W531" s="1027"/>
    </row>
    <row r="532" spans="2:23" x14ac:dyDescent="0.2">
      <c r="B532" s="1493">
        <f>'Sensitivitaeten Delta_Market'!$A$1</f>
        <v>9</v>
      </c>
      <c r="C532" s="1488" t="str">
        <f>'Sensitivitaeten Delta_Market'!$B$1</f>
        <v>Delta-Sensitivitäten</v>
      </c>
      <c r="D532" s="1494" t="str">
        <f>'Sensitivitaeten Delta_Market'!$I$11</f>
        <v>Änderungen der Aktiven</v>
      </c>
      <c r="E532" s="1488" t="str">
        <f>'Sensitivitaeten Delta_Market'!$J$13</f>
        <v>nach unten</v>
      </c>
      <c r="F532" s="1625" t="s">
        <v>2322</v>
      </c>
      <c r="G532" s="1617" t="s">
        <v>2301</v>
      </c>
      <c r="H532" s="1626"/>
      <c r="U532" s="1027"/>
      <c r="V532" s="1027"/>
      <c r="W532" s="1027"/>
    </row>
    <row r="533" spans="2:23" x14ac:dyDescent="0.2">
      <c r="B533" s="1493">
        <f>'Sensitivitaeten Delta_Market'!$A$1</f>
        <v>9</v>
      </c>
      <c r="C533" s="1488" t="str">
        <f>'Sensitivitaeten Delta_Market'!$B$1</f>
        <v>Delta-Sensitivitäten</v>
      </c>
      <c r="D533" s="1494" t="str">
        <f>'Sensitivitaeten Delta_Market'!$I$11</f>
        <v>Änderungen der Aktiven</v>
      </c>
      <c r="E533" s="1488" t="str">
        <f>'Sensitivitaeten Delta_Market'!$J$13</f>
        <v>nach unten</v>
      </c>
      <c r="F533" s="1625" t="s">
        <v>2323</v>
      </c>
      <c r="G533" s="1617" t="s">
        <v>2301</v>
      </c>
      <c r="H533" s="1626"/>
      <c r="U533" s="1027"/>
      <c r="V533" s="1027"/>
      <c r="W533" s="1027"/>
    </row>
    <row r="534" spans="2:23" x14ac:dyDescent="0.2">
      <c r="B534" s="1493">
        <f>'Sensitivitaeten Delta_Market'!$A$1</f>
        <v>9</v>
      </c>
      <c r="C534" s="1488" t="str">
        <f>'Sensitivitaeten Delta_Market'!$B$1</f>
        <v>Delta-Sensitivitäten</v>
      </c>
      <c r="D534" s="1494" t="str">
        <f>'Sensitivitaeten Delta_Market'!$I$11</f>
        <v>Änderungen der Aktiven</v>
      </c>
      <c r="E534" s="1488" t="str">
        <f>'Sensitivitaeten Delta_Market'!$J$13</f>
        <v>nach unten</v>
      </c>
      <c r="F534" s="1625" t="s">
        <v>2324</v>
      </c>
      <c r="G534" s="1617" t="s">
        <v>2301</v>
      </c>
      <c r="H534" s="1626"/>
      <c r="U534" s="1027"/>
      <c r="V534" s="1027"/>
      <c r="W534" s="1027"/>
    </row>
    <row r="535" spans="2:23" x14ac:dyDescent="0.2">
      <c r="B535" s="1493">
        <f>'Sensitivitaeten Delta_Market'!$A$1</f>
        <v>9</v>
      </c>
      <c r="C535" s="1488" t="str">
        <f>'Sensitivitaeten Delta_Market'!$B$1</f>
        <v>Delta-Sensitivitäten</v>
      </c>
      <c r="D535" s="1494" t="str">
        <f>'Sensitivitaeten Delta_Market'!$I$11</f>
        <v>Änderungen der Aktiven</v>
      </c>
      <c r="E535" s="1488" t="str">
        <f>'Sensitivitaeten Delta_Market'!$J$13</f>
        <v>nach unten</v>
      </c>
      <c r="F535" s="1625" t="s">
        <v>2325</v>
      </c>
      <c r="G535" s="1617" t="s">
        <v>2301</v>
      </c>
      <c r="H535" s="1626"/>
      <c r="U535" s="1027"/>
      <c r="V535" s="1027"/>
      <c r="W535" s="1027"/>
    </row>
    <row r="536" spans="2:23" x14ac:dyDescent="0.2">
      <c r="B536" s="1493">
        <f>'Sensitivitaeten Delta_Market'!$A$1</f>
        <v>9</v>
      </c>
      <c r="C536" s="1488" t="str">
        <f>'Sensitivitaeten Delta_Market'!$B$1</f>
        <v>Delta-Sensitivitäten</v>
      </c>
      <c r="D536" s="1494" t="str">
        <f>'Sensitivitaeten Delta_Market'!$I$11</f>
        <v>Änderungen der Aktiven</v>
      </c>
      <c r="E536" s="1488" t="str">
        <f>'Sensitivitaeten Delta_Market'!$J$13</f>
        <v>nach unten</v>
      </c>
      <c r="F536" s="1625" t="s">
        <v>2326</v>
      </c>
      <c r="G536" s="1617" t="s">
        <v>2301</v>
      </c>
      <c r="H536" s="1626"/>
      <c r="U536" s="1027"/>
      <c r="V536" s="1027"/>
      <c r="W536" s="1027"/>
    </row>
    <row r="537" spans="2:23" x14ac:dyDescent="0.2">
      <c r="B537" s="1493">
        <f>'Sensitivitaeten Delta_Market'!$A$1</f>
        <v>9</v>
      </c>
      <c r="C537" s="1488" t="str">
        <f>'Sensitivitaeten Delta_Market'!$B$1</f>
        <v>Delta-Sensitivitäten</v>
      </c>
      <c r="D537" s="1494" t="str">
        <f>'Sensitivitaeten Delta_Market'!$I$11</f>
        <v>Änderungen der Aktiven</v>
      </c>
      <c r="E537" s="1488" t="str">
        <f>'Sensitivitaeten Delta_Market'!$J$13</f>
        <v>nach unten</v>
      </c>
      <c r="F537" s="1625" t="s">
        <v>2327</v>
      </c>
      <c r="G537" s="1617" t="s">
        <v>2301</v>
      </c>
      <c r="H537" s="1626"/>
      <c r="U537" s="1027"/>
      <c r="V537" s="1027"/>
      <c r="W537" s="1027"/>
    </row>
    <row r="538" spans="2:23" x14ac:dyDescent="0.2">
      <c r="B538" s="1493">
        <f>'Sensitivitaeten Delta_Market'!$A$1</f>
        <v>9</v>
      </c>
      <c r="C538" s="1488" t="str">
        <f>'Sensitivitaeten Delta_Market'!$B$1</f>
        <v>Delta-Sensitivitäten</v>
      </c>
      <c r="D538" s="1494" t="str">
        <f>'Sensitivitaeten Delta_Market'!$I$11</f>
        <v>Änderungen der Aktiven</v>
      </c>
      <c r="E538" s="1488" t="str">
        <f>'Sensitivitaeten Delta_Market'!$J$13</f>
        <v>nach unten</v>
      </c>
      <c r="F538" s="1625" t="s">
        <v>2328</v>
      </c>
      <c r="G538" s="1617" t="s">
        <v>2301</v>
      </c>
      <c r="H538" s="1626"/>
      <c r="U538" s="1027"/>
      <c r="V538" s="1027"/>
      <c r="W538" s="1027"/>
    </row>
    <row r="539" spans="2:23" x14ac:dyDescent="0.2">
      <c r="B539" s="1493">
        <f>'Sensitivitaeten Delta_Market'!$A$1</f>
        <v>9</v>
      </c>
      <c r="C539" s="1488" t="str">
        <f>'Sensitivitaeten Delta_Market'!$B$1</f>
        <v>Delta-Sensitivitäten</v>
      </c>
      <c r="D539" s="1494" t="str">
        <f>'Sensitivitaeten Delta_Market'!$I$11</f>
        <v>Änderungen der Aktiven</v>
      </c>
      <c r="E539" s="1488" t="str">
        <f>'Sensitivitaeten Delta_Market'!$J$13</f>
        <v>nach unten</v>
      </c>
      <c r="F539" s="1495" t="str">
        <f>'Sensitivitaeten Delta_Market'!$B29</f>
        <v>Implizite Zinsvolatilität</v>
      </c>
      <c r="G539" s="1494"/>
      <c r="H539" s="1077">
        <f>'Sensitivitaeten Delta_Market'!$J29</f>
        <v>0</v>
      </c>
      <c r="U539" s="1027"/>
      <c r="V539" s="1027"/>
      <c r="W539" s="1027"/>
    </row>
    <row r="540" spans="2:23" x14ac:dyDescent="0.2">
      <c r="B540" s="1493">
        <f>'Sensitivitaeten Delta_Market'!$A$1</f>
        <v>9</v>
      </c>
      <c r="C540" s="1488" t="str">
        <f>'Sensitivitaeten Delta_Market'!$B$1</f>
        <v>Delta-Sensitivitäten</v>
      </c>
      <c r="D540" s="1494" t="str">
        <f>'Sensitivitaeten Delta_Market'!$I$11</f>
        <v>Änderungen der Aktiven</v>
      </c>
      <c r="E540" s="1488" t="str">
        <f>'Sensitivitaeten Delta_Market'!$J$13</f>
        <v>nach unten</v>
      </c>
      <c r="F540" s="1495" t="str">
        <f>'Sensitivitaeten Delta_Market'!$B30</f>
        <v>Credit Spread USA   AAA</v>
      </c>
      <c r="G540" s="1494"/>
      <c r="H540" s="1077">
        <f>'Sensitivitaeten Delta_Market'!$J30</f>
        <v>0</v>
      </c>
      <c r="U540" s="1027"/>
      <c r="V540" s="1027"/>
      <c r="W540" s="1027"/>
    </row>
    <row r="541" spans="2:23" x14ac:dyDescent="0.2">
      <c r="B541" s="1493">
        <f>'Sensitivitaeten Delta_Market'!$A$1</f>
        <v>9</v>
      </c>
      <c r="C541" s="1488" t="str">
        <f>'Sensitivitaeten Delta_Market'!$B$1</f>
        <v>Delta-Sensitivitäten</v>
      </c>
      <c r="D541" s="1494" t="str">
        <f>'Sensitivitaeten Delta_Market'!$I$11</f>
        <v>Änderungen der Aktiven</v>
      </c>
      <c r="E541" s="1488" t="str">
        <f>'Sensitivitaeten Delta_Market'!$J$13</f>
        <v>nach unten</v>
      </c>
      <c r="F541" s="1495" t="str">
        <f>'Sensitivitaeten Delta_Market'!$B31</f>
        <v>Credit Spread USA   AA</v>
      </c>
      <c r="G541" s="1494"/>
      <c r="H541" s="1077">
        <f>'Sensitivitaeten Delta_Market'!$J31</f>
        <v>0</v>
      </c>
      <c r="U541" s="1027"/>
      <c r="V541" s="1027"/>
      <c r="W541" s="1027"/>
    </row>
    <row r="542" spans="2:23" x14ac:dyDescent="0.2">
      <c r="B542" s="1493">
        <f>'Sensitivitaeten Delta_Market'!$A$1</f>
        <v>9</v>
      </c>
      <c r="C542" s="1488" t="str">
        <f>'Sensitivitaeten Delta_Market'!$B$1</f>
        <v>Delta-Sensitivitäten</v>
      </c>
      <c r="D542" s="1494" t="str">
        <f>'Sensitivitaeten Delta_Market'!$I$11</f>
        <v>Änderungen der Aktiven</v>
      </c>
      <c r="E542" s="1488" t="str">
        <f>'Sensitivitaeten Delta_Market'!$J$13</f>
        <v>nach unten</v>
      </c>
      <c r="F542" s="1495" t="str">
        <f>'Sensitivitaeten Delta_Market'!$B32</f>
        <v>Credit Spread USA   A</v>
      </c>
      <c r="G542" s="1494"/>
      <c r="H542" s="1077">
        <f>'Sensitivitaeten Delta_Market'!$J32</f>
        <v>0</v>
      </c>
      <c r="U542" s="1027"/>
      <c r="V542" s="1027"/>
      <c r="W542" s="1027"/>
    </row>
    <row r="543" spans="2:23" x14ac:dyDescent="0.2">
      <c r="B543" s="1493">
        <f>'Sensitivitaeten Delta_Market'!$A$1</f>
        <v>9</v>
      </c>
      <c r="C543" s="1488" t="str">
        <f>'Sensitivitaeten Delta_Market'!$B$1</f>
        <v>Delta-Sensitivitäten</v>
      </c>
      <c r="D543" s="1494" t="str">
        <f>'Sensitivitaeten Delta_Market'!$I$11</f>
        <v>Änderungen der Aktiven</v>
      </c>
      <c r="E543" s="1488" t="str">
        <f>'Sensitivitaeten Delta_Market'!$J$13</f>
        <v>nach unten</v>
      </c>
      <c r="F543" s="1495" t="str">
        <f>'Sensitivitaeten Delta_Market'!$B33</f>
        <v>Credit Spread USA   BBB</v>
      </c>
      <c r="G543" s="1494"/>
      <c r="H543" s="1077">
        <f>'Sensitivitaeten Delta_Market'!$J33</f>
        <v>0</v>
      </c>
      <c r="U543" s="1027"/>
      <c r="V543" s="1027"/>
      <c r="W543" s="1027"/>
    </row>
    <row r="544" spans="2:23" x14ac:dyDescent="0.2">
      <c r="B544" s="1493">
        <f>'Sensitivitaeten Delta_Market'!$A$1</f>
        <v>9</v>
      </c>
      <c r="C544" s="1488" t="str">
        <f>'Sensitivitaeten Delta_Market'!$B$1</f>
        <v>Delta-Sensitivitäten</v>
      </c>
      <c r="D544" s="1494" t="str">
        <f>'Sensitivitaeten Delta_Market'!$I$11</f>
        <v>Änderungen der Aktiven</v>
      </c>
      <c r="E544" s="1488" t="str">
        <f>'Sensitivitaeten Delta_Market'!$J$13</f>
        <v>nach unten</v>
      </c>
      <c r="F544" s="1495" t="str">
        <f>'Sensitivitaeten Delta_Market'!$B34</f>
        <v>Credit Spread   BB</v>
      </c>
      <c r="G544" s="1494"/>
      <c r="H544" s="1077">
        <f>'Sensitivitaeten Delta_Market'!$J34</f>
        <v>0</v>
      </c>
      <c r="U544" s="1027"/>
      <c r="V544" s="1027"/>
      <c r="W544" s="1027"/>
    </row>
    <row r="545" spans="2:23" x14ac:dyDescent="0.2">
      <c r="B545" s="1493">
        <f>'Sensitivitaeten Delta_Market'!$A$1</f>
        <v>9</v>
      </c>
      <c r="C545" s="1488" t="str">
        <f>'Sensitivitaeten Delta_Market'!$B$1</f>
        <v>Delta-Sensitivitäten</v>
      </c>
      <c r="D545" s="1494" t="str">
        <f>'Sensitivitaeten Delta_Market'!$I$11</f>
        <v>Änderungen der Aktiven</v>
      </c>
      <c r="E545" s="1488" t="str">
        <f>'Sensitivitaeten Delta_Market'!$J$13</f>
        <v>nach unten</v>
      </c>
      <c r="F545" s="1625" t="s">
        <v>2100</v>
      </c>
      <c r="G545" s="1617" t="s">
        <v>2101</v>
      </c>
      <c r="H545" s="1626"/>
      <c r="U545" s="1027"/>
      <c r="V545" s="1027"/>
      <c r="W545" s="1027"/>
    </row>
    <row r="546" spans="2:23" x14ac:dyDescent="0.2">
      <c r="B546" s="1493">
        <f>'Sensitivitaeten Delta_Market'!$A$1</f>
        <v>9</v>
      </c>
      <c r="C546" s="1488" t="str">
        <f>'Sensitivitaeten Delta_Market'!$B$1</f>
        <v>Delta-Sensitivitäten</v>
      </c>
      <c r="D546" s="1494" t="str">
        <f>'Sensitivitaeten Delta_Market'!$I$11</f>
        <v>Änderungen der Aktiven</v>
      </c>
      <c r="E546" s="1488" t="str">
        <f>'Sensitivitaeten Delta_Market'!$J$13</f>
        <v>nach unten</v>
      </c>
      <c r="F546" s="1495" t="str">
        <f>'Sensitivitaeten Delta_Market'!$B35</f>
        <v>Credit Spread Europa   AA</v>
      </c>
      <c r="G546" s="1494"/>
      <c r="H546" s="1077">
        <f>'Sensitivitaeten Delta_Market'!$J35</f>
        <v>0</v>
      </c>
      <c r="U546" s="1027"/>
      <c r="V546" s="1027"/>
      <c r="W546" s="1027"/>
    </row>
    <row r="547" spans="2:23" x14ac:dyDescent="0.2">
      <c r="B547" s="1493">
        <f>'Sensitivitaeten Delta_Market'!$A$1</f>
        <v>9</v>
      </c>
      <c r="C547" s="1488" t="str">
        <f>'Sensitivitaeten Delta_Market'!$B$1</f>
        <v>Delta-Sensitivitäten</v>
      </c>
      <c r="D547" s="1494" t="str">
        <f>'Sensitivitaeten Delta_Market'!$I$11</f>
        <v>Änderungen der Aktiven</v>
      </c>
      <c r="E547" s="1488" t="str">
        <f>'Sensitivitaeten Delta_Market'!$J$13</f>
        <v>nach unten</v>
      </c>
      <c r="F547" s="1495" t="str">
        <f>'Sensitivitaeten Delta_Market'!$B36</f>
        <v>Credit Spread Europa   A</v>
      </c>
      <c r="G547" s="1494"/>
      <c r="H547" s="1077">
        <f>'Sensitivitaeten Delta_Market'!$J36</f>
        <v>0</v>
      </c>
      <c r="U547" s="1027"/>
      <c r="V547" s="1027"/>
      <c r="W547" s="1027"/>
    </row>
    <row r="548" spans="2:23" x14ac:dyDescent="0.2">
      <c r="B548" s="1493">
        <f>'Sensitivitaeten Delta_Market'!$A$1</f>
        <v>9</v>
      </c>
      <c r="C548" s="1488" t="str">
        <f>'Sensitivitaeten Delta_Market'!$B$1</f>
        <v>Delta-Sensitivitäten</v>
      </c>
      <c r="D548" s="1494" t="str">
        <f>'Sensitivitaeten Delta_Market'!$I$11</f>
        <v>Änderungen der Aktiven</v>
      </c>
      <c r="E548" s="1488" t="str">
        <f>'Sensitivitaeten Delta_Market'!$J$13</f>
        <v>nach unten</v>
      </c>
      <c r="F548" s="1495" t="str">
        <f>'Sensitivitaeten Delta_Market'!$B37</f>
        <v>Credit Spread Europa   BBB</v>
      </c>
      <c r="G548" s="1494"/>
      <c r="H548" s="1077">
        <f>'Sensitivitaeten Delta_Market'!$J37</f>
        <v>0</v>
      </c>
      <c r="U548" s="1027"/>
      <c r="V548" s="1027"/>
      <c r="W548" s="1027"/>
    </row>
    <row r="549" spans="2:23" x14ac:dyDescent="0.2">
      <c r="B549" s="1493">
        <f>'Sensitivitaeten Delta_Market'!$A$1</f>
        <v>9</v>
      </c>
      <c r="C549" s="1488" t="str">
        <f>'Sensitivitaeten Delta_Market'!$B$1</f>
        <v>Delta-Sensitivitäten</v>
      </c>
      <c r="D549" s="1494" t="str">
        <f>'Sensitivitaeten Delta_Market'!$I$11</f>
        <v>Änderungen der Aktiven</v>
      </c>
      <c r="E549" s="1488" t="str">
        <f>'Sensitivitaeten Delta_Market'!$J$13</f>
        <v>nach unten</v>
      </c>
      <c r="F549" s="1495" t="str">
        <f>'Sensitivitaeten Delta_Market'!$B41</f>
        <v>Swap-Government Spread</v>
      </c>
      <c r="G549" s="1494"/>
      <c r="H549" s="1077">
        <f>'Sensitivitaeten Delta_Market'!$J41</f>
        <v>0</v>
      </c>
      <c r="U549" s="1027"/>
      <c r="V549" s="1027"/>
      <c r="W549" s="1027"/>
    </row>
    <row r="550" spans="2:23" x14ac:dyDescent="0.2">
      <c r="B550" s="1493">
        <f>'Sensitivitaeten Delta_Market'!$A$1</f>
        <v>9</v>
      </c>
      <c r="C550" s="1488" t="str">
        <f>'Sensitivitaeten Delta_Market'!$B$1</f>
        <v>Delta-Sensitivitäten</v>
      </c>
      <c r="D550" s="1494" t="str">
        <f>'Sensitivitaeten Delta_Market'!$I$11</f>
        <v>Änderungen der Aktiven</v>
      </c>
      <c r="E550" s="1488" t="str">
        <f>'Sensitivitaeten Delta_Market'!$J$13</f>
        <v>nach unten</v>
      </c>
      <c r="F550" s="1495" t="str">
        <f>'Sensitivitaeten Delta_Market'!$B42</f>
        <v>Wechselkurs   EUR/CHF</v>
      </c>
      <c r="G550" s="1494"/>
      <c r="H550" s="1077">
        <f>'Sensitivitaeten Delta_Market'!$J42</f>
        <v>0</v>
      </c>
      <c r="U550" s="1027"/>
      <c r="V550" s="1027"/>
      <c r="W550" s="1027"/>
    </row>
    <row r="551" spans="2:23" x14ac:dyDescent="0.2">
      <c r="B551" s="1493">
        <f>'Sensitivitaeten Delta_Market'!$A$1</f>
        <v>9</v>
      </c>
      <c r="C551" s="1488" t="str">
        <f>'Sensitivitaeten Delta_Market'!$B$1</f>
        <v>Delta-Sensitivitäten</v>
      </c>
      <c r="D551" s="1494" t="str">
        <f>'Sensitivitaeten Delta_Market'!$I$11</f>
        <v>Änderungen der Aktiven</v>
      </c>
      <c r="E551" s="1488" t="str">
        <f>'Sensitivitaeten Delta_Market'!$J$13</f>
        <v>nach unten</v>
      </c>
      <c r="F551" s="1495" t="str">
        <f>'Sensitivitaeten Delta_Market'!$B43</f>
        <v>Wechselkurs   USD/CHF</v>
      </c>
      <c r="G551" s="1494"/>
      <c r="H551" s="1077">
        <f>'Sensitivitaeten Delta_Market'!$J43</f>
        <v>0</v>
      </c>
      <c r="U551" s="1027"/>
      <c r="V551" s="1027"/>
      <c r="W551" s="1027"/>
    </row>
    <row r="552" spans="2:23" x14ac:dyDescent="0.2">
      <c r="B552" s="1493">
        <f>'Sensitivitaeten Delta_Market'!$A$1</f>
        <v>9</v>
      </c>
      <c r="C552" s="1488" t="str">
        <f>'Sensitivitaeten Delta_Market'!$B$1</f>
        <v>Delta-Sensitivitäten</v>
      </c>
      <c r="D552" s="1494" t="str">
        <f>'Sensitivitaeten Delta_Market'!$I$11</f>
        <v>Änderungen der Aktiven</v>
      </c>
      <c r="E552" s="1488" t="str">
        <f>'Sensitivitaeten Delta_Market'!$J$13</f>
        <v>nach unten</v>
      </c>
      <c r="F552" s="1495" t="str">
        <f>'Sensitivitaeten Delta_Market'!$B44</f>
        <v>Wechselkurs   GBP/CHF</v>
      </c>
      <c r="G552" s="1494"/>
      <c r="H552" s="1077">
        <f>'Sensitivitaeten Delta_Market'!$J44</f>
        <v>0</v>
      </c>
      <c r="U552" s="1027"/>
      <c r="V552" s="1027"/>
      <c r="W552" s="1027"/>
    </row>
    <row r="553" spans="2:23" x14ac:dyDescent="0.2">
      <c r="B553" s="1493">
        <f>'Sensitivitaeten Delta_Market'!$A$1</f>
        <v>9</v>
      </c>
      <c r="C553" s="1488" t="str">
        <f>'Sensitivitaeten Delta_Market'!$B$1</f>
        <v>Delta-Sensitivitäten</v>
      </c>
      <c r="D553" s="1494" t="str">
        <f>'Sensitivitaeten Delta_Market'!$I$11</f>
        <v>Änderungen der Aktiven</v>
      </c>
      <c r="E553" s="1488" t="str">
        <f>'Sensitivitaeten Delta_Market'!$J$13</f>
        <v>nach unten</v>
      </c>
      <c r="F553" s="1495" t="str">
        <f>'Sensitivitaeten Delta_Market'!$B45</f>
        <v>Wechselkurs   JPY/CHF</v>
      </c>
      <c r="G553" s="1494"/>
      <c r="H553" s="1077">
        <f>'Sensitivitaeten Delta_Market'!$J45</f>
        <v>0</v>
      </c>
      <c r="U553" s="1027"/>
      <c r="V553" s="1027"/>
      <c r="W553" s="1027"/>
    </row>
    <row r="554" spans="2:23" x14ac:dyDescent="0.2">
      <c r="B554" s="1493">
        <f>'Sensitivitaeten Delta_Market'!$A$1</f>
        <v>9</v>
      </c>
      <c r="C554" s="1488" t="str">
        <f>'Sensitivitaeten Delta_Market'!$B$1</f>
        <v>Delta-Sensitivitäten</v>
      </c>
      <c r="D554" s="1494" t="str">
        <f>'Sensitivitaeten Delta_Market'!$I$11</f>
        <v>Änderungen der Aktiven</v>
      </c>
      <c r="E554" s="1488" t="str">
        <f>'Sensitivitaeten Delta_Market'!$J$13</f>
        <v>nach unten</v>
      </c>
      <c r="F554" s="1495" t="str">
        <f>'Sensitivitaeten Delta_Market'!$B46</f>
        <v xml:space="preserve">Implizite FX-Volatilität </v>
      </c>
      <c r="G554" s="1494"/>
      <c r="H554" s="1077">
        <f>'Sensitivitaeten Delta_Market'!$J46</f>
        <v>0</v>
      </c>
      <c r="U554" s="1027"/>
      <c r="V554" s="1027"/>
      <c r="W554" s="1027"/>
    </row>
    <row r="555" spans="2:23" x14ac:dyDescent="0.2">
      <c r="B555" s="1493">
        <f>'Sensitivitaeten Delta_Market'!$A$1</f>
        <v>9</v>
      </c>
      <c r="C555" s="1488" t="str">
        <f>'Sensitivitaeten Delta_Market'!$B$1</f>
        <v>Delta-Sensitivitäten</v>
      </c>
      <c r="D555" s="1494" t="str">
        <f>'Sensitivitaeten Delta_Market'!$I$11</f>
        <v>Änderungen der Aktiven</v>
      </c>
      <c r="E555" s="1488" t="str">
        <f>'Sensitivitaeten Delta_Market'!$J$13</f>
        <v>nach unten</v>
      </c>
      <c r="F555" s="1495" t="str">
        <f>'Sensitivitaeten Delta_Market'!$B47</f>
        <v>Aktien Schweiz</v>
      </c>
      <c r="G555" s="1494"/>
      <c r="H555" s="1077">
        <f>'Sensitivitaeten Delta_Market'!$J47</f>
        <v>0</v>
      </c>
      <c r="U555" s="1027"/>
      <c r="V555" s="1027"/>
      <c r="W555" s="1027"/>
    </row>
    <row r="556" spans="2:23" x14ac:dyDescent="0.2">
      <c r="B556" s="1493">
        <f>'Sensitivitaeten Delta_Market'!$A$1</f>
        <v>9</v>
      </c>
      <c r="C556" s="1488" t="str">
        <f>'Sensitivitaeten Delta_Market'!$B$1</f>
        <v>Delta-Sensitivitäten</v>
      </c>
      <c r="D556" s="1494" t="str">
        <f>'Sensitivitaeten Delta_Market'!$I$11</f>
        <v>Änderungen der Aktiven</v>
      </c>
      <c r="E556" s="1488" t="str">
        <f>'Sensitivitaeten Delta_Market'!$J$13</f>
        <v>nach unten</v>
      </c>
      <c r="F556" s="1495" t="str">
        <f>'Sensitivitaeten Delta_Market'!$B48</f>
        <v>Aktien EMU</v>
      </c>
      <c r="G556" s="1494"/>
      <c r="H556" s="1077">
        <f>'Sensitivitaeten Delta_Market'!$J48</f>
        <v>0</v>
      </c>
      <c r="U556" s="1027"/>
      <c r="V556" s="1027"/>
      <c r="W556" s="1027"/>
    </row>
    <row r="557" spans="2:23" x14ac:dyDescent="0.2">
      <c r="B557" s="1493">
        <f>'Sensitivitaeten Delta_Market'!$A$1</f>
        <v>9</v>
      </c>
      <c r="C557" s="1488" t="str">
        <f>'Sensitivitaeten Delta_Market'!$B$1</f>
        <v>Delta-Sensitivitäten</v>
      </c>
      <c r="D557" s="1494" t="str">
        <f>'Sensitivitaeten Delta_Market'!$I$11</f>
        <v>Änderungen der Aktiven</v>
      </c>
      <c r="E557" s="1488" t="str">
        <f>'Sensitivitaeten Delta_Market'!$J$13</f>
        <v>nach unten</v>
      </c>
      <c r="F557" s="1495" t="str">
        <f>'Sensitivitaeten Delta_Market'!$B49</f>
        <v>Aktien USA</v>
      </c>
      <c r="G557" s="1494"/>
      <c r="H557" s="1077">
        <f>'Sensitivitaeten Delta_Market'!$J49</f>
        <v>0</v>
      </c>
      <c r="U557" s="1027"/>
      <c r="V557" s="1027"/>
      <c r="W557" s="1027"/>
    </row>
    <row r="558" spans="2:23" x14ac:dyDescent="0.2">
      <c r="B558" s="1493">
        <f>'Sensitivitaeten Delta_Market'!$A$1</f>
        <v>9</v>
      </c>
      <c r="C558" s="1488" t="str">
        <f>'Sensitivitaeten Delta_Market'!$B$1</f>
        <v>Delta-Sensitivitäten</v>
      </c>
      <c r="D558" s="1494" t="str">
        <f>'Sensitivitaeten Delta_Market'!$I$11</f>
        <v>Änderungen der Aktiven</v>
      </c>
      <c r="E558" s="1488" t="str">
        <f>'Sensitivitaeten Delta_Market'!$J$13</f>
        <v>nach unten</v>
      </c>
      <c r="F558" s="1495" t="str">
        <f>'Sensitivitaeten Delta_Market'!$B50</f>
        <v>Aktien Grossbritannien</v>
      </c>
      <c r="G558" s="1494"/>
      <c r="H558" s="1077">
        <f>'Sensitivitaeten Delta_Market'!$J50</f>
        <v>0</v>
      </c>
      <c r="U558" s="1027"/>
      <c r="V558" s="1027"/>
      <c r="W558" s="1027"/>
    </row>
    <row r="559" spans="2:23" x14ac:dyDescent="0.2">
      <c r="B559" s="1493">
        <f>'Sensitivitaeten Delta_Market'!$A$1</f>
        <v>9</v>
      </c>
      <c r="C559" s="1488" t="str">
        <f>'Sensitivitaeten Delta_Market'!$B$1</f>
        <v>Delta-Sensitivitäten</v>
      </c>
      <c r="D559" s="1494" t="str">
        <f>'Sensitivitaeten Delta_Market'!$I$11</f>
        <v>Änderungen der Aktiven</v>
      </c>
      <c r="E559" s="1488" t="str">
        <f>'Sensitivitaeten Delta_Market'!$J$13</f>
        <v>nach unten</v>
      </c>
      <c r="F559" s="1495" t="str">
        <f>'Sensitivitaeten Delta_Market'!$B51</f>
        <v>Aktien Japan</v>
      </c>
      <c r="G559" s="1494"/>
      <c r="H559" s="1077">
        <f>'Sensitivitaeten Delta_Market'!$J51</f>
        <v>0</v>
      </c>
      <c r="U559" s="1027"/>
      <c r="V559" s="1027"/>
      <c r="W559" s="1027"/>
    </row>
    <row r="560" spans="2:23" x14ac:dyDescent="0.2">
      <c r="B560" s="1493">
        <f>'Sensitivitaeten Delta_Market'!$A$1</f>
        <v>9</v>
      </c>
      <c r="C560" s="1488" t="str">
        <f>'Sensitivitaeten Delta_Market'!$B$1</f>
        <v>Delta-Sensitivitäten</v>
      </c>
      <c r="D560" s="1494" t="str">
        <f>'Sensitivitaeten Delta_Market'!$I$11</f>
        <v>Änderungen der Aktiven</v>
      </c>
      <c r="E560" s="1488" t="str">
        <f>'Sensitivitaeten Delta_Market'!$J$13</f>
        <v>nach unten</v>
      </c>
      <c r="F560" s="1625" t="s">
        <v>2338</v>
      </c>
      <c r="G560" s="1617" t="s">
        <v>2301</v>
      </c>
      <c r="H560" s="1626"/>
      <c r="U560" s="1027"/>
      <c r="V560" s="1027"/>
      <c r="W560" s="1027"/>
    </row>
    <row r="561" spans="2:23" x14ac:dyDescent="0.2">
      <c r="B561" s="1493">
        <f>'Sensitivitaeten Delta_Market'!$A$1</f>
        <v>9</v>
      </c>
      <c r="C561" s="1488" t="str">
        <f>'Sensitivitaeten Delta_Market'!$B$1</f>
        <v>Delta-Sensitivitäten</v>
      </c>
      <c r="D561" s="1494" t="str">
        <f>'Sensitivitaeten Delta_Market'!$I$11</f>
        <v>Änderungen der Aktiven</v>
      </c>
      <c r="E561" s="1488" t="str">
        <f>'Sensitivitaeten Delta_Market'!$J$13</f>
        <v>nach unten</v>
      </c>
      <c r="F561" s="1625" t="s">
        <v>2339</v>
      </c>
      <c r="G561" s="1617" t="s">
        <v>2301</v>
      </c>
      <c r="H561" s="1626"/>
      <c r="U561" s="1027"/>
      <c r="V561" s="1027"/>
      <c r="W561" s="1027"/>
    </row>
    <row r="562" spans="2:23" x14ac:dyDescent="0.2">
      <c r="B562" s="1493">
        <f>'Sensitivitaeten Delta_Market'!$A$1</f>
        <v>9</v>
      </c>
      <c r="C562" s="1488" t="str">
        <f>'Sensitivitaeten Delta_Market'!$B$1</f>
        <v>Delta-Sensitivitäten</v>
      </c>
      <c r="D562" s="1494" t="str">
        <f>'Sensitivitaeten Delta_Market'!$I$11</f>
        <v>Änderungen der Aktiven</v>
      </c>
      <c r="E562" s="1488" t="str">
        <f>'Sensitivitaeten Delta_Market'!$J$13</f>
        <v>nach unten</v>
      </c>
      <c r="F562" s="1497" t="str">
        <f>'Sensitivitaeten Delta_Market'!$B52</f>
        <v>Implizite Aktienvolatilität</v>
      </c>
      <c r="G562" s="1494"/>
      <c r="H562" s="1077">
        <f>'Sensitivitaeten Delta_Market'!$J52</f>
        <v>0</v>
      </c>
      <c r="U562" s="1027"/>
      <c r="V562" s="1027"/>
      <c r="W562" s="1027"/>
    </row>
    <row r="563" spans="2:23" x14ac:dyDescent="0.2">
      <c r="B563" s="1493">
        <f>'Sensitivitaeten Delta_Market'!$A$1</f>
        <v>9</v>
      </c>
      <c r="C563" s="1488" t="str">
        <f>'Sensitivitaeten Delta_Market'!$B$1</f>
        <v>Delta-Sensitivitäten</v>
      </c>
      <c r="D563" s="1494" t="str">
        <f>'Sensitivitaeten Delta_Market'!$I$11</f>
        <v>Änderungen der Aktiven</v>
      </c>
      <c r="E563" s="1488" t="str">
        <f>'Sensitivitaeten Delta_Market'!$J$13</f>
        <v>nach unten</v>
      </c>
      <c r="F563" s="1495" t="str">
        <f>'Sensitivitaeten Delta_Market'!$B53</f>
        <v>Hedgefonds</v>
      </c>
      <c r="G563" s="1494"/>
      <c r="H563" s="1077">
        <f>'Sensitivitaeten Delta_Market'!$J53</f>
        <v>0</v>
      </c>
      <c r="U563" s="1027"/>
      <c r="V563" s="1027"/>
      <c r="W563" s="1027"/>
    </row>
    <row r="564" spans="2:23" x14ac:dyDescent="0.2">
      <c r="B564" s="1493"/>
      <c r="C564" s="1488"/>
      <c r="D564" s="1494"/>
      <c r="E564" s="1488"/>
      <c r="F564" s="1495"/>
      <c r="G564" s="1494"/>
      <c r="H564" s="1078"/>
      <c r="U564" s="1027"/>
      <c r="V564" s="1027"/>
      <c r="W564" s="1027"/>
    </row>
    <row r="565" spans="2:23" x14ac:dyDescent="0.2">
      <c r="B565" s="1493">
        <f>'Sensitivitaeten Delta_Market'!$A$1</f>
        <v>9</v>
      </c>
      <c r="C565" s="1488" t="str">
        <f>'Sensitivitaeten Delta_Market'!$B$1</f>
        <v>Delta-Sensitivitäten</v>
      </c>
      <c r="D565" s="1494" t="str">
        <f>'Sensitivitaeten Delta_Market'!$O$9</f>
        <v>Marktnaher Wert der Passiven mit entsprechendem Risikofaktor</v>
      </c>
      <c r="E565" s="1488" t="str">
        <f>'Sensitivitaeten Delta_Market'!$O$11</f>
        <v>dem KVG- und UVG Geschäft zugeordnet</v>
      </c>
      <c r="F565" s="1625" t="s">
        <v>428</v>
      </c>
      <c r="G565" s="1617" t="s">
        <v>2301</v>
      </c>
      <c r="H565" s="1626"/>
      <c r="U565" s="1027"/>
      <c r="V565" s="1027"/>
      <c r="W565" s="1027"/>
    </row>
    <row r="566" spans="2:23" x14ac:dyDescent="0.2">
      <c r="B566" s="1493">
        <f>'Sensitivitaeten Delta_Market'!$A$1</f>
        <v>9</v>
      </c>
      <c r="C566" s="1488" t="str">
        <f>'Sensitivitaeten Delta_Market'!$B$1</f>
        <v>Delta-Sensitivitäten</v>
      </c>
      <c r="D566" s="1494" t="str">
        <f>'Sensitivitaeten Delta_Market'!$O$9</f>
        <v>Marktnaher Wert der Passiven mit entsprechendem Risikofaktor</v>
      </c>
      <c r="E566" s="1488" t="str">
        <f>'Sensitivitaeten Delta_Market'!$O$11</f>
        <v>dem KVG- und UVG Geschäft zugeordnet</v>
      </c>
      <c r="F566" s="1494" t="str">
        <f>'Sensitivitaeten Delta_Market'!$B17</f>
        <v>CHF Zeros  2 Y</v>
      </c>
      <c r="G566" s="1494"/>
      <c r="H566" s="1077">
        <f>'Sensitivitaeten Delta_Market'!$O17</f>
        <v>0</v>
      </c>
      <c r="U566" s="1027"/>
      <c r="V566" s="1027"/>
      <c r="W566" s="1027"/>
    </row>
    <row r="567" spans="2:23" x14ac:dyDescent="0.2">
      <c r="B567" s="1493">
        <f>'Sensitivitaeten Delta_Market'!$A$1</f>
        <v>9</v>
      </c>
      <c r="C567" s="1488" t="str">
        <f>'Sensitivitaeten Delta_Market'!$B$1</f>
        <v>Delta-Sensitivitäten</v>
      </c>
      <c r="D567" s="1494" t="str">
        <f>'Sensitivitaeten Delta_Market'!$O$9</f>
        <v>Marktnaher Wert der Passiven mit entsprechendem Risikofaktor</v>
      </c>
      <c r="E567" s="1488" t="str">
        <f>'Sensitivitaeten Delta_Market'!$O$11</f>
        <v>dem KVG- und UVG Geschäft zugeordnet</v>
      </c>
      <c r="F567" s="1625" t="s">
        <v>2302</v>
      </c>
      <c r="G567" s="1617" t="s">
        <v>2301</v>
      </c>
      <c r="H567" s="1626"/>
      <c r="U567" s="1027"/>
      <c r="V567" s="1027"/>
      <c r="W567" s="1027"/>
    </row>
    <row r="568" spans="2:23" x14ac:dyDescent="0.2">
      <c r="B568" s="1493">
        <f>'Sensitivitaeten Delta_Market'!$A$1</f>
        <v>9</v>
      </c>
      <c r="C568" s="1488" t="str">
        <f>'Sensitivitaeten Delta_Market'!$B$1</f>
        <v>Delta-Sensitivitäten</v>
      </c>
      <c r="D568" s="1494" t="str">
        <f>'Sensitivitaeten Delta_Market'!$O$9</f>
        <v>Marktnaher Wert der Passiven mit entsprechendem Risikofaktor</v>
      </c>
      <c r="E568" s="1488" t="str">
        <f>'Sensitivitaeten Delta_Market'!$O$11</f>
        <v>dem KVG- und UVG Geschäft zugeordnet</v>
      </c>
      <c r="F568" s="1625" t="s">
        <v>2303</v>
      </c>
      <c r="G568" s="1617" t="s">
        <v>2301</v>
      </c>
      <c r="H568" s="1626"/>
      <c r="U568" s="1027"/>
      <c r="V568" s="1027"/>
      <c r="W568" s="1027"/>
    </row>
    <row r="569" spans="2:23" x14ac:dyDescent="0.2">
      <c r="B569" s="1493">
        <f>'Sensitivitaeten Delta_Market'!$A$1</f>
        <v>9</v>
      </c>
      <c r="C569" s="1488" t="str">
        <f>'Sensitivitaeten Delta_Market'!$B$1</f>
        <v>Delta-Sensitivitäten</v>
      </c>
      <c r="D569" s="1494" t="str">
        <f>'Sensitivitaeten Delta_Market'!$O$9</f>
        <v>Marktnaher Wert der Passiven mit entsprechendem Risikofaktor</v>
      </c>
      <c r="E569" s="1488" t="str">
        <f>'Sensitivitaeten Delta_Market'!$O$11</f>
        <v>dem KVG- und UVG Geschäft zugeordnet</v>
      </c>
      <c r="F569" s="1625" t="s">
        <v>2304</v>
      </c>
      <c r="G569" s="1617" t="s">
        <v>2301</v>
      </c>
      <c r="H569" s="1626"/>
      <c r="U569" s="1027"/>
      <c r="V569" s="1027"/>
      <c r="W569" s="1027"/>
    </row>
    <row r="570" spans="2:23" x14ac:dyDescent="0.2">
      <c r="B570" s="1493">
        <f>'Sensitivitaeten Delta_Market'!$A$1</f>
        <v>9</v>
      </c>
      <c r="C570" s="1488" t="str">
        <f>'Sensitivitaeten Delta_Market'!$B$1</f>
        <v>Delta-Sensitivitäten</v>
      </c>
      <c r="D570" s="1494" t="str">
        <f>'Sensitivitaeten Delta_Market'!$O$9</f>
        <v>Marktnaher Wert der Passiven mit entsprechendem Risikofaktor</v>
      </c>
      <c r="E570" s="1488" t="str">
        <f>'Sensitivitaeten Delta_Market'!$O$11</f>
        <v>dem KVG- und UVG Geschäft zugeordnet</v>
      </c>
      <c r="F570" s="1625" t="s">
        <v>2305</v>
      </c>
      <c r="G570" s="1617" t="s">
        <v>2301</v>
      </c>
      <c r="H570" s="1626"/>
      <c r="U570" s="1027"/>
      <c r="V570" s="1027"/>
      <c r="W570" s="1027"/>
    </row>
    <row r="571" spans="2:23" x14ac:dyDescent="0.2">
      <c r="B571" s="1493">
        <f>'Sensitivitaeten Delta_Market'!$A$1</f>
        <v>9</v>
      </c>
      <c r="C571" s="1488" t="str">
        <f>'Sensitivitaeten Delta_Market'!$B$1</f>
        <v>Delta-Sensitivitäten</v>
      </c>
      <c r="D571" s="1494" t="str">
        <f>'Sensitivitaeten Delta_Market'!$O$9</f>
        <v>Marktnaher Wert der Passiven mit entsprechendem Risikofaktor</v>
      </c>
      <c r="E571" s="1488" t="str">
        <f>'Sensitivitaeten Delta_Market'!$O$11</f>
        <v>dem KVG- und UVG Geschäft zugeordnet</v>
      </c>
      <c r="F571" s="1625" t="s">
        <v>2307</v>
      </c>
      <c r="G571" s="1617" t="s">
        <v>2301</v>
      </c>
      <c r="H571" s="1626"/>
      <c r="U571" s="1027"/>
      <c r="V571" s="1027"/>
      <c r="W571" s="1027"/>
    </row>
    <row r="572" spans="2:23" x14ac:dyDescent="0.2">
      <c r="B572" s="1493">
        <f>'Sensitivitaeten Delta_Market'!$A$1</f>
        <v>9</v>
      </c>
      <c r="C572" s="1488" t="str">
        <f>'Sensitivitaeten Delta_Market'!$B$1</f>
        <v>Delta-Sensitivitäten</v>
      </c>
      <c r="D572" s="1494" t="str">
        <f>'Sensitivitaeten Delta_Market'!$O$9</f>
        <v>Marktnaher Wert der Passiven mit entsprechendem Risikofaktor</v>
      </c>
      <c r="E572" s="1488" t="str">
        <f>'Sensitivitaeten Delta_Market'!$O$11</f>
        <v>dem KVG- und UVG Geschäft zugeordnet</v>
      </c>
      <c r="F572" s="1625" t="s">
        <v>2306</v>
      </c>
      <c r="G572" s="1617" t="s">
        <v>2301</v>
      </c>
      <c r="H572" s="1626"/>
      <c r="U572" s="1027"/>
      <c r="V572" s="1027"/>
      <c r="W572" s="1027"/>
    </row>
    <row r="573" spans="2:23" x14ac:dyDescent="0.2">
      <c r="B573" s="1493">
        <f>'Sensitivitaeten Delta_Market'!$A$1</f>
        <v>9</v>
      </c>
      <c r="C573" s="1488" t="str">
        <f>'Sensitivitaeten Delta_Market'!$B$1</f>
        <v>Delta-Sensitivitäten</v>
      </c>
      <c r="D573" s="1494" t="str">
        <f>'Sensitivitaeten Delta_Market'!$O$9</f>
        <v>Marktnaher Wert der Passiven mit entsprechendem Risikofaktor</v>
      </c>
      <c r="E573" s="1488" t="str">
        <f>'Sensitivitaeten Delta_Market'!$O$11</f>
        <v>dem KVG- und UVG Geschäft zugeordnet</v>
      </c>
      <c r="F573" s="1625" t="s">
        <v>2308</v>
      </c>
      <c r="G573" s="1617" t="s">
        <v>2301</v>
      </c>
      <c r="H573" s="1626"/>
      <c r="U573" s="1027"/>
      <c r="V573" s="1027"/>
      <c r="W573" s="1027"/>
    </row>
    <row r="574" spans="2:23" x14ac:dyDescent="0.2">
      <c r="B574" s="1493">
        <f>'Sensitivitaeten Delta_Market'!$A$1</f>
        <v>9</v>
      </c>
      <c r="C574" s="1488" t="str">
        <f>'Sensitivitaeten Delta_Market'!$B$1</f>
        <v>Delta-Sensitivitäten</v>
      </c>
      <c r="D574" s="1494" t="str">
        <f>'Sensitivitaeten Delta_Market'!$O$9</f>
        <v>Marktnaher Wert der Passiven mit entsprechendem Risikofaktor</v>
      </c>
      <c r="E574" s="1488" t="str">
        <f>'Sensitivitaeten Delta_Market'!$O$11</f>
        <v>dem KVG- und UVG Geschäft zugeordnet</v>
      </c>
      <c r="F574" s="1495" t="str">
        <f>'Sensitivitaeten Delta_Market'!$B18</f>
        <v>CHF Zeros  10 Y</v>
      </c>
      <c r="G574" s="1494"/>
      <c r="H574" s="1077">
        <f>'Sensitivitaeten Delta_Market'!$O18</f>
        <v>0</v>
      </c>
      <c r="U574" s="1027"/>
      <c r="V574" s="1027"/>
      <c r="W574" s="1027"/>
    </row>
    <row r="575" spans="2:23" x14ac:dyDescent="0.2">
      <c r="B575" s="1493">
        <f>'Sensitivitaeten Delta_Market'!$A$1</f>
        <v>9</v>
      </c>
      <c r="C575" s="1488" t="str">
        <f>'Sensitivitaeten Delta_Market'!$B$1</f>
        <v>Delta-Sensitivitäten</v>
      </c>
      <c r="D575" s="1494" t="str">
        <f>'Sensitivitaeten Delta_Market'!$O$9</f>
        <v>Marktnaher Wert der Passiven mit entsprechendem Risikofaktor</v>
      </c>
      <c r="E575" s="1488" t="str">
        <f>'Sensitivitaeten Delta_Market'!$O$11</f>
        <v>dem KVG- und UVG Geschäft zugeordnet</v>
      </c>
      <c r="F575" s="1625" t="s">
        <v>2309</v>
      </c>
      <c r="G575" s="1617" t="s">
        <v>2301</v>
      </c>
      <c r="H575" s="1626"/>
      <c r="U575" s="1027"/>
      <c r="V575" s="1027"/>
      <c r="W575" s="1027"/>
    </row>
    <row r="576" spans="2:23" x14ac:dyDescent="0.2">
      <c r="B576" s="1493">
        <f>'Sensitivitaeten Delta_Market'!$A$1</f>
        <v>9</v>
      </c>
      <c r="C576" s="1488" t="str">
        <f>'Sensitivitaeten Delta_Market'!$B$1</f>
        <v>Delta-Sensitivitäten</v>
      </c>
      <c r="D576" s="1494" t="str">
        <f>'Sensitivitaeten Delta_Market'!$O$9</f>
        <v>Marktnaher Wert der Passiven mit entsprechendem Risikofaktor</v>
      </c>
      <c r="E576" s="1488" t="str">
        <f>'Sensitivitaeten Delta_Market'!$O$11</f>
        <v>dem KVG- und UVG Geschäft zugeordnet</v>
      </c>
      <c r="F576" s="1625" t="s">
        <v>2310</v>
      </c>
      <c r="G576" s="1617" t="s">
        <v>2301</v>
      </c>
      <c r="H576" s="1626"/>
      <c r="U576" s="1027"/>
      <c r="V576" s="1027"/>
      <c r="W576" s="1027"/>
    </row>
    <row r="577" spans="2:23" x14ac:dyDescent="0.2">
      <c r="B577" s="1493">
        <f>'Sensitivitaeten Delta_Market'!$A$1</f>
        <v>9</v>
      </c>
      <c r="C577" s="1488" t="str">
        <f>'Sensitivitaeten Delta_Market'!$B$1</f>
        <v>Delta-Sensitivitäten</v>
      </c>
      <c r="D577" s="1494" t="str">
        <f>'Sensitivitaeten Delta_Market'!$O$9</f>
        <v>Marktnaher Wert der Passiven mit entsprechendem Risikofaktor</v>
      </c>
      <c r="E577" s="1488" t="str">
        <f>'Sensitivitaeten Delta_Market'!$O$11</f>
        <v>dem KVG- und UVG Geschäft zugeordnet</v>
      </c>
      <c r="F577" s="1495" t="str">
        <f>'Sensitivitaeten Delta_Market'!$B19</f>
        <v>CHF Zeros  30 Y</v>
      </c>
      <c r="G577" s="1494"/>
      <c r="H577" s="1077">
        <f>'Sensitivitaeten Delta_Market'!$O19</f>
        <v>0</v>
      </c>
      <c r="U577" s="1027"/>
      <c r="V577" s="1027"/>
      <c r="W577" s="1027"/>
    </row>
    <row r="578" spans="2:23" x14ac:dyDescent="0.2">
      <c r="B578" s="1493">
        <f>'Sensitivitaeten Delta_Market'!$A$1</f>
        <v>9</v>
      </c>
      <c r="C578" s="1488" t="str">
        <f>'Sensitivitaeten Delta_Market'!$B$1</f>
        <v>Delta-Sensitivitäten</v>
      </c>
      <c r="D578" s="1494" t="str">
        <f>'Sensitivitaeten Delta_Market'!$O$9</f>
        <v>Marktnaher Wert der Passiven mit entsprechendem Risikofaktor</v>
      </c>
      <c r="E578" s="1488" t="str">
        <f>'Sensitivitaeten Delta_Market'!$O$11</f>
        <v>dem KVG- und UVG Geschäft zugeordnet</v>
      </c>
      <c r="F578" s="1625" t="s">
        <v>429</v>
      </c>
      <c r="G578" s="1617" t="s">
        <v>2301</v>
      </c>
      <c r="H578" s="1626"/>
      <c r="U578" s="1027"/>
      <c r="V578" s="1027"/>
      <c r="W578" s="1027"/>
    </row>
    <row r="579" spans="2:23" x14ac:dyDescent="0.2">
      <c r="B579" s="1493">
        <f>'Sensitivitaeten Delta_Market'!$A$1</f>
        <v>9</v>
      </c>
      <c r="C579" s="1488" t="str">
        <f>'Sensitivitaeten Delta_Market'!$B$1</f>
        <v>Delta-Sensitivitäten</v>
      </c>
      <c r="D579" s="1494" t="str">
        <f>'Sensitivitaeten Delta_Market'!$O$9</f>
        <v>Marktnaher Wert der Passiven mit entsprechendem Risikofaktor</v>
      </c>
      <c r="E579" s="1488" t="str">
        <f>'Sensitivitaeten Delta_Market'!$O$11</f>
        <v>dem KVG- und UVG Geschäft zugeordnet</v>
      </c>
      <c r="F579" s="1625" t="s">
        <v>2311</v>
      </c>
      <c r="G579" s="1617" t="s">
        <v>2301</v>
      </c>
      <c r="H579" s="1626"/>
      <c r="U579" s="1027"/>
      <c r="V579" s="1027"/>
      <c r="W579" s="1027"/>
    </row>
    <row r="580" spans="2:23" x14ac:dyDescent="0.2">
      <c r="B580" s="1493">
        <f>'Sensitivitaeten Delta_Market'!$A$1</f>
        <v>9</v>
      </c>
      <c r="C580" s="1488" t="str">
        <f>'Sensitivitaeten Delta_Market'!$B$1</f>
        <v>Delta-Sensitivitäten</v>
      </c>
      <c r="D580" s="1494" t="str">
        <f>'Sensitivitaeten Delta_Market'!$O$9</f>
        <v>Marktnaher Wert der Passiven mit entsprechendem Risikofaktor</v>
      </c>
      <c r="E580" s="1488" t="str">
        <f>'Sensitivitaeten Delta_Market'!$O$11</f>
        <v>dem KVG- und UVG Geschäft zugeordnet</v>
      </c>
      <c r="F580" s="1625" t="s">
        <v>2312</v>
      </c>
      <c r="G580" s="1617" t="s">
        <v>2301</v>
      </c>
      <c r="H580" s="1626"/>
      <c r="U580" s="1027"/>
      <c r="V580" s="1027"/>
      <c r="W580" s="1027"/>
    </row>
    <row r="581" spans="2:23" x14ac:dyDescent="0.2">
      <c r="B581" s="1493">
        <f>'Sensitivitaeten Delta_Market'!$A$1</f>
        <v>9</v>
      </c>
      <c r="C581" s="1488" t="str">
        <f>'Sensitivitaeten Delta_Market'!$B$1</f>
        <v>Delta-Sensitivitäten</v>
      </c>
      <c r="D581" s="1494" t="str">
        <f>'Sensitivitaeten Delta_Market'!$O$9</f>
        <v>Marktnaher Wert der Passiven mit entsprechendem Risikofaktor</v>
      </c>
      <c r="E581" s="1488" t="str">
        <f>'Sensitivitaeten Delta_Market'!$O$11</f>
        <v>dem KVG- und UVG Geschäft zugeordnet</v>
      </c>
      <c r="F581" s="1625" t="s">
        <v>2313</v>
      </c>
      <c r="G581" s="1617" t="s">
        <v>2301</v>
      </c>
      <c r="H581" s="1626"/>
      <c r="U581" s="1027"/>
      <c r="V581" s="1027"/>
      <c r="W581" s="1027"/>
    </row>
    <row r="582" spans="2:23" x14ac:dyDescent="0.2">
      <c r="B582" s="1493">
        <f>'Sensitivitaeten Delta_Market'!$A$1</f>
        <v>9</v>
      </c>
      <c r="C582" s="1488" t="str">
        <f>'Sensitivitaeten Delta_Market'!$B$1</f>
        <v>Delta-Sensitivitäten</v>
      </c>
      <c r="D582" s="1494" t="str">
        <f>'Sensitivitaeten Delta_Market'!$O$9</f>
        <v>Marktnaher Wert der Passiven mit entsprechendem Risikofaktor</v>
      </c>
      <c r="E582" s="1488" t="str">
        <f>'Sensitivitaeten Delta_Market'!$O$11</f>
        <v>dem KVG- und UVG Geschäft zugeordnet</v>
      </c>
      <c r="F582" s="1625" t="s">
        <v>2314</v>
      </c>
      <c r="G582" s="1617" t="s">
        <v>2301</v>
      </c>
      <c r="H582" s="1626"/>
      <c r="U582" s="1027"/>
      <c r="V582" s="1027"/>
      <c r="W582" s="1027"/>
    </row>
    <row r="583" spans="2:23" x14ac:dyDescent="0.2">
      <c r="B583" s="1493">
        <f>'Sensitivitaeten Delta_Market'!$A$1</f>
        <v>9</v>
      </c>
      <c r="C583" s="1488" t="str">
        <f>'Sensitivitaeten Delta_Market'!$B$1</f>
        <v>Delta-Sensitivitäten</v>
      </c>
      <c r="D583" s="1494" t="str">
        <f>'Sensitivitaeten Delta_Market'!$O$9</f>
        <v>Marktnaher Wert der Passiven mit entsprechendem Risikofaktor</v>
      </c>
      <c r="E583" s="1488" t="str">
        <f>'Sensitivitaeten Delta_Market'!$O$11</f>
        <v>dem KVG- und UVG Geschäft zugeordnet</v>
      </c>
      <c r="F583" s="1625" t="s">
        <v>2315</v>
      </c>
      <c r="G583" s="1617" t="s">
        <v>2301</v>
      </c>
      <c r="H583" s="1626"/>
      <c r="U583" s="1027"/>
      <c r="V583" s="1027"/>
      <c r="W583" s="1027"/>
    </row>
    <row r="584" spans="2:23" x14ac:dyDescent="0.2">
      <c r="B584" s="1493">
        <f>'Sensitivitaeten Delta_Market'!$A$1</f>
        <v>9</v>
      </c>
      <c r="C584" s="1488" t="str">
        <f>'Sensitivitaeten Delta_Market'!$B$1</f>
        <v>Delta-Sensitivitäten</v>
      </c>
      <c r="D584" s="1494" t="str">
        <f>'Sensitivitaeten Delta_Market'!$O$9</f>
        <v>Marktnaher Wert der Passiven mit entsprechendem Risikofaktor</v>
      </c>
      <c r="E584" s="1488" t="str">
        <f>'Sensitivitaeten Delta_Market'!$O$11</f>
        <v>dem KVG- und UVG Geschäft zugeordnet</v>
      </c>
      <c r="F584" s="1625" t="s">
        <v>2316</v>
      </c>
      <c r="G584" s="1617" t="s">
        <v>2301</v>
      </c>
      <c r="H584" s="1626"/>
      <c r="U584" s="1027"/>
      <c r="V584" s="1027"/>
      <c r="W584" s="1027"/>
    </row>
    <row r="585" spans="2:23" x14ac:dyDescent="0.2">
      <c r="B585" s="1493">
        <f>'Sensitivitaeten Delta_Market'!$A$1</f>
        <v>9</v>
      </c>
      <c r="C585" s="1488" t="str">
        <f>'Sensitivitaeten Delta_Market'!$B$1</f>
        <v>Delta-Sensitivitäten</v>
      </c>
      <c r="D585" s="1494" t="str">
        <f>'Sensitivitaeten Delta_Market'!$O$9</f>
        <v>Marktnaher Wert der Passiven mit entsprechendem Risikofaktor</v>
      </c>
      <c r="E585" s="1488" t="str">
        <f>'Sensitivitaeten Delta_Market'!$O$11</f>
        <v>dem KVG- und UVG Geschäft zugeordnet</v>
      </c>
      <c r="F585" s="1625" t="s">
        <v>2317</v>
      </c>
      <c r="G585" s="1617" t="s">
        <v>2301</v>
      </c>
      <c r="H585" s="1626"/>
      <c r="U585" s="1027"/>
      <c r="V585" s="1027"/>
      <c r="W585" s="1027"/>
    </row>
    <row r="586" spans="2:23" x14ac:dyDescent="0.2">
      <c r="B586" s="1493">
        <f>'Sensitivitaeten Delta_Market'!$A$1</f>
        <v>9</v>
      </c>
      <c r="C586" s="1488" t="str">
        <f>'Sensitivitaeten Delta_Market'!$B$1</f>
        <v>Delta-Sensitivitäten</v>
      </c>
      <c r="D586" s="1494" t="str">
        <f>'Sensitivitaeten Delta_Market'!$O$9</f>
        <v>Marktnaher Wert der Passiven mit entsprechendem Risikofaktor</v>
      </c>
      <c r="E586" s="1488" t="str">
        <f>'Sensitivitaeten Delta_Market'!$O$11</f>
        <v>dem KVG- und UVG Geschäft zugeordnet</v>
      </c>
      <c r="F586" s="1625" t="s">
        <v>2318</v>
      </c>
      <c r="G586" s="1617" t="s">
        <v>2301</v>
      </c>
      <c r="H586" s="1626"/>
      <c r="U586" s="1027"/>
      <c r="V586" s="1027"/>
      <c r="W586" s="1027"/>
    </row>
    <row r="587" spans="2:23" x14ac:dyDescent="0.2">
      <c r="B587" s="1493">
        <f>'Sensitivitaeten Delta_Market'!$A$1</f>
        <v>9</v>
      </c>
      <c r="C587" s="1488" t="str">
        <f>'Sensitivitaeten Delta_Market'!$B$1</f>
        <v>Delta-Sensitivitäten</v>
      </c>
      <c r="D587" s="1494" t="str">
        <f>'Sensitivitaeten Delta_Market'!$O$9</f>
        <v>Marktnaher Wert der Passiven mit entsprechendem Risikofaktor</v>
      </c>
      <c r="E587" s="1488" t="str">
        <f>'Sensitivitaeten Delta_Market'!$O$11</f>
        <v>dem KVG- und UVG Geschäft zugeordnet</v>
      </c>
      <c r="F587" s="1625" t="s">
        <v>2319</v>
      </c>
      <c r="G587" s="1617" t="s">
        <v>2301</v>
      </c>
      <c r="H587" s="1626"/>
      <c r="U587" s="1027"/>
      <c r="V587" s="1027"/>
      <c r="W587" s="1027"/>
    </row>
    <row r="588" spans="2:23" x14ac:dyDescent="0.2">
      <c r="B588" s="1493">
        <f>'Sensitivitaeten Delta_Market'!$A$1</f>
        <v>9</v>
      </c>
      <c r="C588" s="1488" t="str">
        <f>'Sensitivitaeten Delta_Market'!$B$1</f>
        <v>Delta-Sensitivitäten</v>
      </c>
      <c r="D588" s="1494" t="str">
        <f>'Sensitivitaeten Delta_Market'!$O$9</f>
        <v>Marktnaher Wert der Passiven mit entsprechendem Risikofaktor</v>
      </c>
      <c r="E588" s="1488" t="str">
        <f>'Sensitivitaeten Delta_Market'!$O$11</f>
        <v>dem KVG- und UVG Geschäft zugeordnet</v>
      </c>
      <c r="F588" s="1495" t="str">
        <f>'Sensitivitaeten Delta_Market'!$B20</f>
        <v>EUR Zeros  2 Y</v>
      </c>
      <c r="G588" s="1494"/>
      <c r="H588" s="1077">
        <f>'Sensitivitaeten Delta_Market'!$O20</f>
        <v>0</v>
      </c>
      <c r="U588" s="1027"/>
      <c r="V588" s="1027"/>
      <c r="W588" s="1027"/>
    </row>
    <row r="589" spans="2:23" x14ac:dyDescent="0.2">
      <c r="B589" s="1493">
        <f>'Sensitivitaeten Delta_Market'!$A$1</f>
        <v>9</v>
      </c>
      <c r="C589" s="1488" t="str">
        <f>'Sensitivitaeten Delta_Market'!$B$1</f>
        <v>Delta-Sensitivitäten</v>
      </c>
      <c r="D589" s="1494" t="str">
        <f>'Sensitivitaeten Delta_Market'!$O$9</f>
        <v>Marktnaher Wert der Passiven mit entsprechendem Risikofaktor</v>
      </c>
      <c r="E589" s="1488" t="str">
        <f>'Sensitivitaeten Delta_Market'!$O$11</f>
        <v>dem KVG- und UVG Geschäft zugeordnet</v>
      </c>
      <c r="F589" s="1495" t="str">
        <f>'Sensitivitaeten Delta_Market'!$B21</f>
        <v>EUR Zeros  10 Y</v>
      </c>
      <c r="G589" s="1494"/>
      <c r="H589" s="1077">
        <f>'Sensitivitaeten Delta_Market'!$O21</f>
        <v>0</v>
      </c>
      <c r="U589" s="1027"/>
      <c r="V589" s="1027"/>
      <c r="W589" s="1027"/>
    </row>
    <row r="590" spans="2:23" x14ac:dyDescent="0.2">
      <c r="B590" s="1493">
        <f>'Sensitivitaeten Delta_Market'!$A$1</f>
        <v>9</v>
      </c>
      <c r="C590" s="1488" t="str">
        <f>'Sensitivitaeten Delta_Market'!$B$1</f>
        <v>Delta-Sensitivitäten</v>
      </c>
      <c r="D590" s="1494" t="str">
        <f>'Sensitivitaeten Delta_Market'!$O$9</f>
        <v>Marktnaher Wert der Passiven mit entsprechendem Risikofaktor</v>
      </c>
      <c r="E590" s="1488" t="str">
        <f>'Sensitivitaeten Delta_Market'!$O$11</f>
        <v>dem KVG- und UVG Geschäft zugeordnet</v>
      </c>
      <c r="F590" s="1495" t="str">
        <f>'Sensitivitaeten Delta_Market'!$B22</f>
        <v>EUR Zeros  30 Y</v>
      </c>
      <c r="G590" s="1494"/>
      <c r="H590" s="1077">
        <f>'Sensitivitaeten Delta_Market'!$O22</f>
        <v>0</v>
      </c>
      <c r="U590" s="1027"/>
      <c r="V590" s="1027"/>
      <c r="W590" s="1027"/>
    </row>
    <row r="591" spans="2:23" x14ac:dyDescent="0.2">
      <c r="B591" s="1493">
        <f>'Sensitivitaeten Delta_Market'!$A$1</f>
        <v>9</v>
      </c>
      <c r="C591" s="1488" t="str">
        <f>'Sensitivitaeten Delta_Market'!$B$1</f>
        <v>Delta-Sensitivitäten</v>
      </c>
      <c r="D591" s="1494" t="str">
        <f>'Sensitivitaeten Delta_Market'!$O$9</f>
        <v>Marktnaher Wert der Passiven mit entsprechendem Risikofaktor</v>
      </c>
      <c r="E591" s="1488" t="str">
        <f>'Sensitivitaeten Delta_Market'!$O$11</f>
        <v>dem KVG- und UVG Geschäft zugeordnet</v>
      </c>
      <c r="F591" s="1494" t="str">
        <f>'Sensitivitaeten Delta_Market'!$B23</f>
        <v>USD Zeros  3 Y</v>
      </c>
      <c r="G591" s="1494"/>
      <c r="H591" s="1077">
        <f>'Sensitivitaeten Delta_Market'!$O23</f>
        <v>0</v>
      </c>
      <c r="U591" s="1027"/>
      <c r="V591" s="1027"/>
      <c r="W591" s="1027"/>
    </row>
    <row r="592" spans="2:23" x14ac:dyDescent="0.2">
      <c r="B592" s="1493">
        <f>'Sensitivitaeten Delta_Market'!$A$1</f>
        <v>9</v>
      </c>
      <c r="C592" s="1488" t="str">
        <f>'Sensitivitaeten Delta_Market'!$B$1</f>
        <v>Delta-Sensitivitäten</v>
      </c>
      <c r="D592" s="1494" t="str">
        <f>'Sensitivitaeten Delta_Market'!$O$9</f>
        <v>Marktnaher Wert der Passiven mit entsprechendem Risikofaktor</v>
      </c>
      <c r="E592" s="1488" t="str">
        <f>'Sensitivitaeten Delta_Market'!$O$11</f>
        <v>dem KVG- und UVG Geschäft zugeordnet</v>
      </c>
      <c r="F592" s="1494" t="str">
        <f>'Sensitivitaeten Delta_Market'!$B24</f>
        <v>USD Zeros  10 Y</v>
      </c>
      <c r="G592" s="1494"/>
      <c r="H592" s="1077">
        <f>'Sensitivitaeten Delta_Market'!$O24</f>
        <v>0</v>
      </c>
      <c r="U592" s="1027"/>
      <c r="V592" s="1027"/>
      <c r="W592" s="1027"/>
    </row>
    <row r="593" spans="2:23" x14ac:dyDescent="0.2">
      <c r="B593" s="1493">
        <f>'Sensitivitaeten Delta_Market'!$A$1</f>
        <v>9</v>
      </c>
      <c r="C593" s="1488" t="str">
        <f>'Sensitivitaeten Delta_Market'!$B$1</f>
        <v>Delta-Sensitivitäten</v>
      </c>
      <c r="D593" s="1494" t="str">
        <f>'Sensitivitaeten Delta_Market'!$O$9</f>
        <v>Marktnaher Wert der Passiven mit entsprechendem Risikofaktor</v>
      </c>
      <c r="E593" s="1488" t="str">
        <f>'Sensitivitaeten Delta_Market'!$O$11</f>
        <v>dem KVG- und UVG Geschäft zugeordnet</v>
      </c>
      <c r="F593" s="1494" t="str">
        <f>'Sensitivitaeten Delta_Market'!$B25</f>
        <v>USD Zeros  30 Y</v>
      </c>
      <c r="G593" s="1494"/>
      <c r="H593" s="1077">
        <f>'Sensitivitaeten Delta_Market'!$O25</f>
        <v>0</v>
      </c>
      <c r="U593" s="1027"/>
      <c r="V593" s="1027"/>
      <c r="W593" s="1027"/>
    </row>
    <row r="594" spans="2:23" x14ac:dyDescent="0.2">
      <c r="B594" s="1493">
        <f>'Sensitivitaeten Delta_Market'!$A$1</f>
        <v>9</v>
      </c>
      <c r="C594" s="1488" t="str">
        <f>'Sensitivitaeten Delta_Market'!$B$1</f>
        <v>Delta-Sensitivitäten</v>
      </c>
      <c r="D594" s="1494" t="str">
        <f>'Sensitivitaeten Delta_Market'!$O$9</f>
        <v>Marktnaher Wert der Passiven mit entsprechendem Risikofaktor</v>
      </c>
      <c r="E594" s="1488" t="str">
        <f>'Sensitivitaeten Delta_Market'!$O$11</f>
        <v>dem KVG- und UVG Geschäft zugeordnet</v>
      </c>
      <c r="F594" s="1625" t="s">
        <v>430</v>
      </c>
      <c r="G594" s="1617" t="s">
        <v>2301</v>
      </c>
      <c r="H594" s="1626"/>
      <c r="U594" s="1027"/>
      <c r="V594" s="1027"/>
      <c r="W594" s="1027"/>
    </row>
    <row r="595" spans="2:23" x14ac:dyDescent="0.2">
      <c r="B595" s="1493">
        <f>'Sensitivitaeten Delta_Market'!$A$1</f>
        <v>9</v>
      </c>
      <c r="C595" s="1488" t="str">
        <f>'Sensitivitaeten Delta_Market'!$B$1</f>
        <v>Delta-Sensitivitäten</v>
      </c>
      <c r="D595" s="1494" t="str">
        <f>'Sensitivitaeten Delta_Market'!$O$9</f>
        <v>Marktnaher Wert der Passiven mit entsprechendem Risikofaktor</v>
      </c>
      <c r="E595" s="1488" t="str">
        <f>'Sensitivitaeten Delta_Market'!$O$11</f>
        <v>dem KVG- und UVG Geschäft zugeordnet</v>
      </c>
      <c r="F595" s="1625" t="s">
        <v>2329</v>
      </c>
      <c r="G595" s="1617" t="s">
        <v>2301</v>
      </c>
      <c r="H595" s="1626"/>
      <c r="U595" s="1027"/>
      <c r="V595" s="1027"/>
      <c r="W595" s="1027"/>
    </row>
    <row r="596" spans="2:23" x14ac:dyDescent="0.2">
      <c r="B596" s="1493">
        <f>'Sensitivitaeten Delta_Market'!$A$1</f>
        <v>9</v>
      </c>
      <c r="C596" s="1488" t="str">
        <f>'Sensitivitaeten Delta_Market'!$B$1</f>
        <v>Delta-Sensitivitäten</v>
      </c>
      <c r="D596" s="1494" t="str">
        <f>'Sensitivitaeten Delta_Market'!$O$9</f>
        <v>Marktnaher Wert der Passiven mit entsprechendem Risikofaktor</v>
      </c>
      <c r="E596" s="1488" t="str">
        <f>'Sensitivitaeten Delta_Market'!$O$11</f>
        <v>dem KVG- und UVG Geschäft zugeordnet</v>
      </c>
      <c r="F596" s="1625" t="s">
        <v>2330</v>
      </c>
      <c r="G596" s="1617" t="s">
        <v>2301</v>
      </c>
      <c r="H596" s="1626"/>
      <c r="U596" s="1027"/>
      <c r="V596" s="1027"/>
      <c r="W596" s="1027"/>
    </row>
    <row r="597" spans="2:23" x14ac:dyDescent="0.2">
      <c r="B597" s="1493">
        <f>'Sensitivitaeten Delta_Market'!$A$1</f>
        <v>9</v>
      </c>
      <c r="C597" s="1488" t="str">
        <f>'Sensitivitaeten Delta_Market'!$B$1</f>
        <v>Delta-Sensitivitäten</v>
      </c>
      <c r="D597" s="1494" t="str">
        <f>'Sensitivitaeten Delta_Market'!$O$9</f>
        <v>Marktnaher Wert der Passiven mit entsprechendem Risikofaktor</v>
      </c>
      <c r="E597" s="1488" t="str">
        <f>'Sensitivitaeten Delta_Market'!$O$11</f>
        <v>dem KVG- und UVG Geschäft zugeordnet</v>
      </c>
      <c r="F597" s="1625" t="s">
        <v>2331</v>
      </c>
      <c r="G597" s="1617" t="s">
        <v>2301</v>
      </c>
      <c r="H597" s="1626"/>
      <c r="U597" s="1027"/>
      <c r="V597" s="1027"/>
      <c r="W597" s="1027"/>
    </row>
    <row r="598" spans="2:23" x14ac:dyDescent="0.2">
      <c r="B598" s="1493">
        <f>'Sensitivitaeten Delta_Market'!$A$1</f>
        <v>9</v>
      </c>
      <c r="C598" s="1488" t="str">
        <f>'Sensitivitaeten Delta_Market'!$B$1</f>
        <v>Delta-Sensitivitäten</v>
      </c>
      <c r="D598" s="1494" t="str">
        <f>'Sensitivitaeten Delta_Market'!$O$9</f>
        <v>Marktnaher Wert der Passiven mit entsprechendem Risikofaktor</v>
      </c>
      <c r="E598" s="1488" t="str">
        <f>'Sensitivitaeten Delta_Market'!$O$11</f>
        <v>dem KVG- und UVG Geschäft zugeordnet</v>
      </c>
      <c r="F598" s="1625" t="s">
        <v>2332</v>
      </c>
      <c r="G598" s="1617" t="s">
        <v>2301</v>
      </c>
      <c r="H598" s="1626"/>
      <c r="U598" s="1027"/>
      <c r="V598" s="1027"/>
      <c r="W598" s="1027"/>
    </row>
    <row r="599" spans="2:23" x14ac:dyDescent="0.2">
      <c r="B599" s="1493">
        <f>'Sensitivitaeten Delta_Market'!$A$1</f>
        <v>9</v>
      </c>
      <c r="C599" s="1488" t="str">
        <f>'Sensitivitaeten Delta_Market'!$B$1</f>
        <v>Delta-Sensitivitäten</v>
      </c>
      <c r="D599" s="1494" t="str">
        <f>'Sensitivitaeten Delta_Market'!$O$9</f>
        <v>Marktnaher Wert der Passiven mit entsprechendem Risikofaktor</v>
      </c>
      <c r="E599" s="1488" t="str">
        <f>'Sensitivitaeten Delta_Market'!$O$11</f>
        <v>dem KVG- und UVG Geschäft zugeordnet</v>
      </c>
      <c r="F599" s="1625" t="s">
        <v>2333</v>
      </c>
      <c r="G599" s="1617" t="s">
        <v>2301</v>
      </c>
      <c r="H599" s="1626"/>
      <c r="U599" s="1027"/>
      <c r="V599" s="1027"/>
      <c r="W599" s="1027"/>
    </row>
    <row r="600" spans="2:23" x14ac:dyDescent="0.2">
      <c r="B600" s="1493">
        <f>'Sensitivitaeten Delta_Market'!$A$1</f>
        <v>9</v>
      </c>
      <c r="C600" s="1488" t="str">
        <f>'Sensitivitaeten Delta_Market'!$B$1</f>
        <v>Delta-Sensitivitäten</v>
      </c>
      <c r="D600" s="1494" t="str">
        <f>'Sensitivitaeten Delta_Market'!$O$9</f>
        <v>Marktnaher Wert der Passiven mit entsprechendem Risikofaktor</v>
      </c>
      <c r="E600" s="1488" t="str">
        <f>'Sensitivitaeten Delta_Market'!$O$11</f>
        <v>dem KVG- und UVG Geschäft zugeordnet</v>
      </c>
      <c r="F600" s="1625" t="s">
        <v>2334</v>
      </c>
      <c r="G600" s="1617" t="s">
        <v>2301</v>
      </c>
      <c r="H600" s="1626"/>
      <c r="U600" s="1027"/>
      <c r="V600" s="1027"/>
      <c r="W600" s="1027"/>
    </row>
    <row r="601" spans="2:23" x14ac:dyDescent="0.2">
      <c r="B601" s="1493">
        <f>'Sensitivitaeten Delta_Market'!$A$1</f>
        <v>9</v>
      </c>
      <c r="C601" s="1488" t="str">
        <f>'Sensitivitaeten Delta_Market'!$B$1</f>
        <v>Delta-Sensitivitäten</v>
      </c>
      <c r="D601" s="1494" t="str">
        <f>'Sensitivitaeten Delta_Market'!$O$9</f>
        <v>Marktnaher Wert der Passiven mit entsprechendem Risikofaktor</v>
      </c>
      <c r="E601" s="1488" t="str">
        <f>'Sensitivitaeten Delta_Market'!$O$11</f>
        <v>dem KVG- und UVG Geschäft zugeordnet</v>
      </c>
      <c r="F601" s="1625" t="s">
        <v>2335</v>
      </c>
      <c r="G601" s="1617" t="s">
        <v>2301</v>
      </c>
      <c r="H601" s="1626"/>
      <c r="U601" s="1027"/>
      <c r="V601" s="1027"/>
      <c r="W601" s="1027"/>
    </row>
    <row r="602" spans="2:23" x14ac:dyDescent="0.2">
      <c r="B602" s="1493">
        <f>'Sensitivitaeten Delta_Market'!$A$1</f>
        <v>9</v>
      </c>
      <c r="C602" s="1488" t="str">
        <f>'Sensitivitaeten Delta_Market'!$B$1</f>
        <v>Delta-Sensitivitäten</v>
      </c>
      <c r="D602" s="1494" t="str">
        <f>'Sensitivitaeten Delta_Market'!$O$9</f>
        <v>Marktnaher Wert der Passiven mit entsprechendem Risikofaktor</v>
      </c>
      <c r="E602" s="1488" t="str">
        <f>'Sensitivitaeten Delta_Market'!$O$11</f>
        <v>dem KVG- und UVG Geschäft zugeordnet</v>
      </c>
      <c r="F602" s="1625" t="s">
        <v>2336</v>
      </c>
      <c r="G602" s="1617" t="s">
        <v>2301</v>
      </c>
      <c r="H602" s="1626"/>
      <c r="U602" s="1027"/>
      <c r="V602" s="1027"/>
      <c r="W602" s="1027"/>
    </row>
    <row r="603" spans="2:23" x14ac:dyDescent="0.2">
      <c r="B603" s="1493">
        <f>'Sensitivitaeten Delta_Market'!$A$1</f>
        <v>9</v>
      </c>
      <c r="C603" s="1488" t="str">
        <f>'Sensitivitaeten Delta_Market'!$B$1</f>
        <v>Delta-Sensitivitäten</v>
      </c>
      <c r="D603" s="1494" t="str">
        <f>'Sensitivitaeten Delta_Market'!$O$9</f>
        <v>Marktnaher Wert der Passiven mit entsprechendem Risikofaktor</v>
      </c>
      <c r="E603" s="1488" t="str">
        <f>'Sensitivitaeten Delta_Market'!$O$11</f>
        <v>dem KVG- und UVG Geschäft zugeordnet</v>
      </c>
      <c r="F603" s="1625" t="s">
        <v>2337</v>
      </c>
      <c r="G603" s="1617" t="s">
        <v>2301</v>
      </c>
      <c r="H603" s="1626"/>
      <c r="U603" s="1027"/>
      <c r="V603" s="1027"/>
      <c r="W603" s="1027"/>
    </row>
    <row r="604" spans="2:23" x14ac:dyDescent="0.2">
      <c r="B604" s="1493">
        <f>'Sensitivitaeten Delta_Market'!$A$1</f>
        <v>9</v>
      </c>
      <c r="C604" s="1488" t="str">
        <f>'Sensitivitaeten Delta_Market'!$B$1</f>
        <v>Delta-Sensitivitäten</v>
      </c>
      <c r="D604" s="1494" t="str">
        <f>'Sensitivitaeten Delta_Market'!$O$9</f>
        <v>Marktnaher Wert der Passiven mit entsprechendem Risikofaktor</v>
      </c>
      <c r="E604" s="1488" t="str">
        <f>'Sensitivitaeten Delta_Market'!$O$11</f>
        <v>dem KVG- und UVG Geschäft zugeordnet</v>
      </c>
      <c r="F604" s="1494" t="str">
        <f>'Sensitivitaeten Delta_Market'!$B26</f>
        <v>GBP Zeros  2 Y</v>
      </c>
      <c r="G604" s="1494"/>
      <c r="H604" s="1077">
        <f>'Sensitivitaeten Delta_Market'!$O26</f>
        <v>0</v>
      </c>
      <c r="U604" s="1027"/>
      <c r="V604" s="1027"/>
      <c r="W604" s="1027"/>
    </row>
    <row r="605" spans="2:23" x14ac:dyDescent="0.2">
      <c r="B605" s="1493">
        <f>'Sensitivitaeten Delta_Market'!$A$1</f>
        <v>9</v>
      </c>
      <c r="C605" s="1488" t="str">
        <f>'Sensitivitaeten Delta_Market'!$B$1</f>
        <v>Delta-Sensitivitäten</v>
      </c>
      <c r="D605" s="1494" t="str">
        <f>'Sensitivitaeten Delta_Market'!$O$9</f>
        <v>Marktnaher Wert der Passiven mit entsprechendem Risikofaktor</v>
      </c>
      <c r="E605" s="1488" t="str">
        <f>'Sensitivitaeten Delta_Market'!$O$11</f>
        <v>dem KVG- und UVG Geschäft zugeordnet</v>
      </c>
      <c r="F605" s="1494" t="str">
        <f>'Sensitivitaeten Delta_Market'!$B27</f>
        <v>GBP Zeros  10 Y</v>
      </c>
      <c r="G605" s="1494"/>
      <c r="H605" s="1077">
        <f>'Sensitivitaeten Delta_Market'!$O27</f>
        <v>0</v>
      </c>
      <c r="U605" s="1027"/>
      <c r="V605" s="1027"/>
      <c r="W605" s="1027"/>
    </row>
    <row r="606" spans="2:23" x14ac:dyDescent="0.2">
      <c r="B606" s="1493">
        <f>'Sensitivitaeten Delta_Market'!$A$1</f>
        <v>9</v>
      </c>
      <c r="C606" s="1488" t="str">
        <f>'Sensitivitaeten Delta_Market'!$B$1</f>
        <v>Delta-Sensitivitäten</v>
      </c>
      <c r="D606" s="1494" t="str">
        <f>'Sensitivitaeten Delta_Market'!$O$9</f>
        <v>Marktnaher Wert der Passiven mit entsprechendem Risikofaktor</v>
      </c>
      <c r="E606" s="1488" t="str">
        <f>'Sensitivitaeten Delta_Market'!$O$11</f>
        <v>dem KVG- und UVG Geschäft zugeordnet</v>
      </c>
      <c r="F606" s="1494" t="str">
        <f>'Sensitivitaeten Delta_Market'!$B28</f>
        <v>GBP Zeros  30 Y</v>
      </c>
      <c r="G606" s="1494"/>
      <c r="H606" s="1077">
        <f>'Sensitivitaeten Delta_Market'!$O28</f>
        <v>0</v>
      </c>
      <c r="U606" s="1027"/>
      <c r="V606" s="1027"/>
      <c r="W606" s="1027"/>
    </row>
    <row r="607" spans="2:23" x14ac:dyDescent="0.2">
      <c r="B607" s="1493">
        <f>'Sensitivitaeten Delta_Market'!$A$1</f>
        <v>9</v>
      </c>
      <c r="C607" s="1488" t="str">
        <f>'Sensitivitaeten Delta_Market'!$B$1</f>
        <v>Delta-Sensitivitäten</v>
      </c>
      <c r="D607" s="1494" t="str">
        <f>'Sensitivitaeten Delta_Market'!$O$9</f>
        <v>Marktnaher Wert der Passiven mit entsprechendem Risikofaktor</v>
      </c>
      <c r="E607" s="1488" t="str">
        <f>'Sensitivitaeten Delta_Market'!$O$11</f>
        <v>dem KVG- und UVG Geschäft zugeordnet</v>
      </c>
      <c r="F607" s="1625" t="s">
        <v>431</v>
      </c>
      <c r="G607" s="1617" t="s">
        <v>2301</v>
      </c>
      <c r="H607" s="1626"/>
      <c r="U607" s="1027"/>
      <c r="V607" s="1027"/>
      <c r="W607" s="1027"/>
    </row>
    <row r="608" spans="2:23" x14ac:dyDescent="0.2">
      <c r="B608" s="1493">
        <f>'Sensitivitaeten Delta_Market'!$A$1</f>
        <v>9</v>
      </c>
      <c r="C608" s="1488" t="str">
        <f>'Sensitivitaeten Delta_Market'!$B$1</f>
        <v>Delta-Sensitivitäten</v>
      </c>
      <c r="D608" s="1494" t="str">
        <f>'Sensitivitaeten Delta_Market'!$O$9</f>
        <v>Marktnaher Wert der Passiven mit entsprechendem Risikofaktor</v>
      </c>
      <c r="E608" s="1488" t="str">
        <f>'Sensitivitaeten Delta_Market'!$O$11</f>
        <v>dem KVG- und UVG Geschäft zugeordnet</v>
      </c>
      <c r="F608" s="1625" t="s">
        <v>2320</v>
      </c>
      <c r="G608" s="1617" t="s">
        <v>2301</v>
      </c>
      <c r="H608" s="1626"/>
      <c r="U608" s="1027"/>
      <c r="V608" s="1027"/>
      <c r="W608" s="1027"/>
    </row>
    <row r="609" spans="2:23" x14ac:dyDescent="0.2">
      <c r="B609" s="1493">
        <f>'Sensitivitaeten Delta_Market'!$A$1</f>
        <v>9</v>
      </c>
      <c r="C609" s="1488" t="str">
        <f>'Sensitivitaeten Delta_Market'!$B$1</f>
        <v>Delta-Sensitivitäten</v>
      </c>
      <c r="D609" s="1494" t="str">
        <f>'Sensitivitaeten Delta_Market'!$O$9</f>
        <v>Marktnaher Wert der Passiven mit entsprechendem Risikofaktor</v>
      </c>
      <c r="E609" s="1488" t="str">
        <f>'Sensitivitaeten Delta_Market'!$O$11</f>
        <v>dem KVG- und UVG Geschäft zugeordnet</v>
      </c>
      <c r="F609" s="1625" t="s">
        <v>2321</v>
      </c>
      <c r="G609" s="1617" t="s">
        <v>2301</v>
      </c>
      <c r="H609" s="1626"/>
      <c r="U609" s="1027"/>
      <c r="V609" s="1027"/>
      <c r="W609" s="1027"/>
    </row>
    <row r="610" spans="2:23" x14ac:dyDescent="0.2">
      <c r="B610" s="1493">
        <f>'Sensitivitaeten Delta_Market'!$A$1</f>
        <v>9</v>
      </c>
      <c r="C610" s="1488" t="str">
        <f>'Sensitivitaeten Delta_Market'!$B$1</f>
        <v>Delta-Sensitivitäten</v>
      </c>
      <c r="D610" s="1494" t="str">
        <f>'Sensitivitaeten Delta_Market'!$O$9</f>
        <v>Marktnaher Wert der Passiven mit entsprechendem Risikofaktor</v>
      </c>
      <c r="E610" s="1488" t="str">
        <f>'Sensitivitaeten Delta_Market'!$O$11</f>
        <v>dem KVG- und UVG Geschäft zugeordnet</v>
      </c>
      <c r="F610" s="1625" t="s">
        <v>2322</v>
      </c>
      <c r="G610" s="1617" t="s">
        <v>2301</v>
      </c>
      <c r="H610" s="1626"/>
      <c r="U610" s="1027"/>
      <c r="V610" s="1027"/>
      <c r="W610" s="1027"/>
    </row>
    <row r="611" spans="2:23" x14ac:dyDescent="0.2">
      <c r="B611" s="1493">
        <f>'Sensitivitaeten Delta_Market'!$A$1</f>
        <v>9</v>
      </c>
      <c r="C611" s="1488" t="str">
        <f>'Sensitivitaeten Delta_Market'!$B$1</f>
        <v>Delta-Sensitivitäten</v>
      </c>
      <c r="D611" s="1494" t="str">
        <f>'Sensitivitaeten Delta_Market'!$O$9</f>
        <v>Marktnaher Wert der Passiven mit entsprechendem Risikofaktor</v>
      </c>
      <c r="E611" s="1488" t="str">
        <f>'Sensitivitaeten Delta_Market'!$O$11</f>
        <v>dem KVG- und UVG Geschäft zugeordnet</v>
      </c>
      <c r="F611" s="1625" t="s">
        <v>2323</v>
      </c>
      <c r="G611" s="1617" t="s">
        <v>2301</v>
      </c>
      <c r="H611" s="1626"/>
      <c r="U611" s="1027"/>
      <c r="V611" s="1027"/>
      <c r="W611" s="1027"/>
    </row>
    <row r="612" spans="2:23" x14ac:dyDescent="0.2">
      <c r="B612" s="1493">
        <f>'Sensitivitaeten Delta_Market'!$A$1</f>
        <v>9</v>
      </c>
      <c r="C612" s="1488" t="str">
        <f>'Sensitivitaeten Delta_Market'!$B$1</f>
        <v>Delta-Sensitivitäten</v>
      </c>
      <c r="D612" s="1494" t="str">
        <f>'Sensitivitaeten Delta_Market'!$O$9</f>
        <v>Marktnaher Wert der Passiven mit entsprechendem Risikofaktor</v>
      </c>
      <c r="E612" s="1488" t="str">
        <f>'Sensitivitaeten Delta_Market'!$O$11</f>
        <v>dem KVG- und UVG Geschäft zugeordnet</v>
      </c>
      <c r="F612" s="1625" t="s">
        <v>2324</v>
      </c>
      <c r="G612" s="1617" t="s">
        <v>2301</v>
      </c>
      <c r="H612" s="1626"/>
      <c r="U612" s="1027"/>
      <c r="V612" s="1027"/>
      <c r="W612" s="1027"/>
    </row>
    <row r="613" spans="2:23" x14ac:dyDescent="0.2">
      <c r="B613" s="1493">
        <f>'Sensitivitaeten Delta_Market'!$A$1</f>
        <v>9</v>
      </c>
      <c r="C613" s="1488" t="str">
        <f>'Sensitivitaeten Delta_Market'!$B$1</f>
        <v>Delta-Sensitivitäten</v>
      </c>
      <c r="D613" s="1494" t="str">
        <f>'Sensitivitaeten Delta_Market'!$O$9</f>
        <v>Marktnaher Wert der Passiven mit entsprechendem Risikofaktor</v>
      </c>
      <c r="E613" s="1488" t="str">
        <f>'Sensitivitaeten Delta_Market'!$O$11</f>
        <v>dem KVG- und UVG Geschäft zugeordnet</v>
      </c>
      <c r="F613" s="1625" t="s">
        <v>2325</v>
      </c>
      <c r="G613" s="1617" t="s">
        <v>2301</v>
      </c>
      <c r="H613" s="1626"/>
      <c r="U613" s="1027"/>
      <c r="V613" s="1027"/>
      <c r="W613" s="1027"/>
    </row>
    <row r="614" spans="2:23" x14ac:dyDescent="0.2">
      <c r="B614" s="1493">
        <f>'Sensitivitaeten Delta_Market'!$A$1</f>
        <v>9</v>
      </c>
      <c r="C614" s="1488" t="str">
        <f>'Sensitivitaeten Delta_Market'!$B$1</f>
        <v>Delta-Sensitivitäten</v>
      </c>
      <c r="D614" s="1494" t="str">
        <f>'Sensitivitaeten Delta_Market'!$O$9</f>
        <v>Marktnaher Wert der Passiven mit entsprechendem Risikofaktor</v>
      </c>
      <c r="E614" s="1488" t="str">
        <f>'Sensitivitaeten Delta_Market'!$O$11</f>
        <v>dem KVG- und UVG Geschäft zugeordnet</v>
      </c>
      <c r="F614" s="1625" t="s">
        <v>2326</v>
      </c>
      <c r="G614" s="1617" t="s">
        <v>2301</v>
      </c>
      <c r="H614" s="1626"/>
      <c r="U614" s="1027"/>
      <c r="V614" s="1027"/>
      <c r="W614" s="1027"/>
    </row>
    <row r="615" spans="2:23" x14ac:dyDescent="0.2">
      <c r="B615" s="1493">
        <f>'Sensitivitaeten Delta_Market'!$A$1</f>
        <v>9</v>
      </c>
      <c r="C615" s="1488" t="str">
        <f>'Sensitivitaeten Delta_Market'!$B$1</f>
        <v>Delta-Sensitivitäten</v>
      </c>
      <c r="D615" s="1494" t="str">
        <f>'Sensitivitaeten Delta_Market'!$O$9</f>
        <v>Marktnaher Wert der Passiven mit entsprechendem Risikofaktor</v>
      </c>
      <c r="E615" s="1488" t="str">
        <f>'Sensitivitaeten Delta_Market'!$O$11</f>
        <v>dem KVG- und UVG Geschäft zugeordnet</v>
      </c>
      <c r="F615" s="1625" t="s">
        <v>2327</v>
      </c>
      <c r="G615" s="1617" t="s">
        <v>2301</v>
      </c>
      <c r="H615" s="1626"/>
      <c r="U615" s="1027"/>
      <c r="V615" s="1027"/>
      <c r="W615" s="1027"/>
    </row>
    <row r="616" spans="2:23" x14ac:dyDescent="0.2">
      <c r="B616" s="1493">
        <f>'Sensitivitaeten Delta_Market'!$A$1</f>
        <v>9</v>
      </c>
      <c r="C616" s="1488" t="str">
        <f>'Sensitivitaeten Delta_Market'!$B$1</f>
        <v>Delta-Sensitivitäten</v>
      </c>
      <c r="D616" s="1494" t="str">
        <f>'Sensitivitaeten Delta_Market'!$O$9</f>
        <v>Marktnaher Wert der Passiven mit entsprechendem Risikofaktor</v>
      </c>
      <c r="E616" s="1488" t="str">
        <f>'Sensitivitaeten Delta_Market'!$O$11</f>
        <v>dem KVG- und UVG Geschäft zugeordnet</v>
      </c>
      <c r="F616" s="1625" t="s">
        <v>2328</v>
      </c>
      <c r="G616" s="1617" t="s">
        <v>2301</v>
      </c>
      <c r="H616" s="1626"/>
      <c r="U616" s="1027"/>
      <c r="V616" s="1027"/>
      <c r="W616" s="1027"/>
    </row>
    <row r="617" spans="2:23" x14ac:dyDescent="0.2">
      <c r="B617" s="1493">
        <f>'Sensitivitaeten Delta_Market'!$A$1</f>
        <v>9</v>
      </c>
      <c r="C617" s="1488" t="str">
        <f>'Sensitivitaeten Delta_Market'!$B$1</f>
        <v>Delta-Sensitivitäten</v>
      </c>
      <c r="D617" s="1494" t="str">
        <f>'Sensitivitaeten Delta_Market'!$O$9</f>
        <v>Marktnaher Wert der Passiven mit entsprechendem Risikofaktor</v>
      </c>
      <c r="E617" s="1488" t="str">
        <f>'Sensitivitaeten Delta_Market'!$O$11</f>
        <v>dem KVG- und UVG Geschäft zugeordnet</v>
      </c>
      <c r="F617" s="1495" t="str">
        <f>'Sensitivitaeten Delta_Market'!$B29</f>
        <v>Implizite Zinsvolatilität</v>
      </c>
      <c r="G617" s="1494"/>
      <c r="H617" s="1077">
        <f>'Sensitivitaeten Delta_Market'!$O29</f>
        <v>0</v>
      </c>
      <c r="U617" s="1027"/>
      <c r="V617" s="1027"/>
      <c r="W617" s="1027"/>
    </row>
    <row r="618" spans="2:23" x14ac:dyDescent="0.2">
      <c r="B618" s="1493">
        <f>'Sensitivitaeten Delta_Market'!$A$1</f>
        <v>9</v>
      </c>
      <c r="C618" s="1488" t="str">
        <f>'Sensitivitaeten Delta_Market'!$B$1</f>
        <v>Delta-Sensitivitäten</v>
      </c>
      <c r="D618" s="1494" t="str">
        <f>'Sensitivitaeten Delta_Market'!$O$9</f>
        <v>Marktnaher Wert der Passiven mit entsprechendem Risikofaktor</v>
      </c>
      <c r="E618" s="1488" t="str">
        <f>'Sensitivitaeten Delta_Market'!$O$11</f>
        <v>dem KVG- und UVG Geschäft zugeordnet</v>
      </c>
      <c r="F618" s="1495" t="str">
        <f>'Sensitivitaeten Delta_Market'!$B30</f>
        <v>Credit Spread USA   AAA</v>
      </c>
      <c r="G618" s="1494"/>
      <c r="H618" s="1077">
        <f>'Sensitivitaeten Delta_Market'!$O30</f>
        <v>0</v>
      </c>
      <c r="U618" s="1027"/>
      <c r="V618" s="1027"/>
      <c r="W618" s="1027"/>
    </row>
    <row r="619" spans="2:23" x14ac:dyDescent="0.2">
      <c r="B619" s="1493">
        <f>'Sensitivitaeten Delta_Market'!$A$1</f>
        <v>9</v>
      </c>
      <c r="C619" s="1488" t="str">
        <f>'Sensitivitaeten Delta_Market'!$B$1</f>
        <v>Delta-Sensitivitäten</v>
      </c>
      <c r="D619" s="1494" t="str">
        <f>'Sensitivitaeten Delta_Market'!$O$9</f>
        <v>Marktnaher Wert der Passiven mit entsprechendem Risikofaktor</v>
      </c>
      <c r="E619" s="1488" t="str">
        <f>'Sensitivitaeten Delta_Market'!$O$11</f>
        <v>dem KVG- und UVG Geschäft zugeordnet</v>
      </c>
      <c r="F619" s="1495" t="str">
        <f>'Sensitivitaeten Delta_Market'!$B31</f>
        <v>Credit Spread USA   AA</v>
      </c>
      <c r="G619" s="1494"/>
      <c r="H619" s="1077">
        <f>'Sensitivitaeten Delta_Market'!$O31</f>
        <v>0</v>
      </c>
      <c r="U619" s="1027"/>
      <c r="V619" s="1027"/>
      <c r="W619" s="1027"/>
    </row>
    <row r="620" spans="2:23" x14ac:dyDescent="0.2">
      <c r="B620" s="1493">
        <f>'Sensitivitaeten Delta_Market'!$A$1</f>
        <v>9</v>
      </c>
      <c r="C620" s="1488" t="str">
        <f>'Sensitivitaeten Delta_Market'!$B$1</f>
        <v>Delta-Sensitivitäten</v>
      </c>
      <c r="D620" s="1494" t="str">
        <f>'Sensitivitaeten Delta_Market'!$O$9</f>
        <v>Marktnaher Wert der Passiven mit entsprechendem Risikofaktor</v>
      </c>
      <c r="E620" s="1488" t="str">
        <f>'Sensitivitaeten Delta_Market'!$O$11</f>
        <v>dem KVG- und UVG Geschäft zugeordnet</v>
      </c>
      <c r="F620" s="1495" t="str">
        <f>'Sensitivitaeten Delta_Market'!$B32</f>
        <v>Credit Spread USA   A</v>
      </c>
      <c r="G620" s="1494"/>
      <c r="H620" s="1077">
        <f>'Sensitivitaeten Delta_Market'!$O32</f>
        <v>0</v>
      </c>
      <c r="U620" s="1027"/>
      <c r="V620" s="1027"/>
      <c r="W620" s="1027"/>
    </row>
    <row r="621" spans="2:23" x14ac:dyDescent="0.2">
      <c r="B621" s="1493">
        <f>'Sensitivitaeten Delta_Market'!$A$1</f>
        <v>9</v>
      </c>
      <c r="C621" s="1488" t="str">
        <f>'Sensitivitaeten Delta_Market'!$B$1</f>
        <v>Delta-Sensitivitäten</v>
      </c>
      <c r="D621" s="1494" t="str">
        <f>'Sensitivitaeten Delta_Market'!$O$9</f>
        <v>Marktnaher Wert der Passiven mit entsprechendem Risikofaktor</v>
      </c>
      <c r="E621" s="1488" t="str">
        <f>'Sensitivitaeten Delta_Market'!$O$11</f>
        <v>dem KVG- und UVG Geschäft zugeordnet</v>
      </c>
      <c r="F621" s="1495" t="str">
        <f>'Sensitivitaeten Delta_Market'!$B33</f>
        <v>Credit Spread USA   BBB</v>
      </c>
      <c r="G621" s="1494"/>
      <c r="H621" s="1077">
        <f>'Sensitivitaeten Delta_Market'!$O33</f>
        <v>0</v>
      </c>
      <c r="U621" s="1027"/>
      <c r="V621" s="1027"/>
      <c r="W621" s="1027"/>
    </row>
    <row r="622" spans="2:23" x14ac:dyDescent="0.2">
      <c r="B622" s="1493">
        <f>'Sensitivitaeten Delta_Market'!$A$1</f>
        <v>9</v>
      </c>
      <c r="C622" s="1488" t="str">
        <f>'Sensitivitaeten Delta_Market'!$B$1</f>
        <v>Delta-Sensitivitäten</v>
      </c>
      <c r="D622" s="1494" t="str">
        <f>'Sensitivitaeten Delta_Market'!$O$9</f>
        <v>Marktnaher Wert der Passiven mit entsprechendem Risikofaktor</v>
      </c>
      <c r="E622" s="1488" t="str">
        <f>'Sensitivitaeten Delta_Market'!$O$11</f>
        <v>dem KVG- und UVG Geschäft zugeordnet</v>
      </c>
      <c r="F622" s="1495" t="str">
        <f>'Sensitivitaeten Delta_Market'!$B34</f>
        <v>Credit Spread   BB</v>
      </c>
      <c r="G622" s="1494"/>
      <c r="H622" s="1077">
        <f>'Sensitivitaeten Delta_Market'!$O34</f>
        <v>0</v>
      </c>
      <c r="U622" s="1027"/>
      <c r="V622" s="1027"/>
      <c r="W622" s="1027"/>
    </row>
    <row r="623" spans="2:23" x14ac:dyDescent="0.2">
      <c r="B623" s="1493">
        <f>'Sensitivitaeten Delta_Market'!$A$1</f>
        <v>9</v>
      </c>
      <c r="C623" s="1488" t="str">
        <f>'Sensitivitaeten Delta_Market'!$B$1</f>
        <v>Delta-Sensitivitäten</v>
      </c>
      <c r="D623" s="1494" t="str">
        <f>'Sensitivitaeten Delta_Market'!$O$9</f>
        <v>Marktnaher Wert der Passiven mit entsprechendem Risikofaktor</v>
      </c>
      <c r="E623" s="1488" t="str">
        <f>'Sensitivitaeten Delta_Market'!$O$11</f>
        <v>dem KVG- und UVG Geschäft zugeordnet</v>
      </c>
      <c r="F623" s="1625" t="s">
        <v>2100</v>
      </c>
      <c r="G623" s="1617" t="s">
        <v>2101</v>
      </c>
      <c r="H623" s="1626"/>
      <c r="U623" s="1027"/>
      <c r="V623" s="1027"/>
      <c r="W623" s="1027"/>
    </row>
    <row r="624" spans="2:23" x14ac:dyDescent="0.2">
      <c r="B624" s="1493">
        <f>'Sensitivitaeten Delta_Market'!$A$1</f>
        <v>9</v>
      </c>
      <c r="C624" s="1488" t="str">
        <f>'Sensitivitaeten Delta_Market'!$B$1</f>
        <v>Delta-Sensitivitäten</v>
      </c>
      <c r="D624" s="1494" t="str">
        <f>'Sensitivitaeten Delta_Market'!$O$9</f>
        <v>Marktnaher Wert der Passiven mit entsprechendem Risikofaktor</v>
      </c>
      <c r="E624" s="1488" t="str">
        <f>'Sensitivitaeten Delta_Market'!$O$11</f>
        <v>dem KVG- und UVG Geschäft zugeordnet</v>
      </c>
      <c r="F624" s="1495" t="str">
        <f>'Sensitivitaeten Delta_Market'!$B35</f>
        <v>Credit Spread Europa   AA</v>
      </c>
      <c r="G624" s="1494"/>
      <c r="H624" s="1077">
        <f>'Sensitivitaeten Delta_Market'!$O35</f>
        <v>0</v>
      </c>
      <c r="U624" s="1027"/>
      <c r="V624" s="1027"/>
      <c r="W624" s="1027"/>
    </row>
    <row r="625" spans="2:23" x14ac:dyDescent="0.2">
      <c r="B625" s="1493">
        <f>'Sensitivitaeten Delta_Market'!$A$1</f>
        <v>9</v>
      </c>
      <c r="C625" s="1488" t="str">
        <f>'Sensitivitaeten Delta_Market'!$B$1</f>
        <v>Delta-Sensitivitäten</v>
      </c>
      <c r="D625" s="1494" t="str">
        <f>'Sensitivitaeten Delta_Market'!$O$9</f>
        <v>Marktnaher Wert der Passiven mit entsprechendem Risikofaktor</v>
      </c>
      <c r="E625" s="1488" t="str">
        <f>'Sensitivitaeten Delta_Market'!$O$11</f>
        <v>dem KVG- und UVG Geschäft zugeordnet</v>
      </c>
      <c r="F625" s="1495" t="str">
        <f>'Sensitivitaeten Delta_Market'!$B36</f>
        <v>Credit Spread Europa   A</v>
      </c>
      <c r="G625" s="1494"/>
      <c r="H625" s="1077">
        <f>'Sensitivitaeten Delta_Market'!$O36</f>
        <v>0</v>
      </c>
      <c r="U625" s="1027"/>
      <c r="V625" s="1027"/>
      <c r="W625" s="1027"/>
    </row>
    <row r="626" spans="2:23" x14ac:dyDescent="0.2">
      <c r="B626" s="1493">
        <f>'Sensitivitaeten Delta_Market'!$A$1</f>
        <v>9</v>
      </c>
      <c r="C626" s="1488" t="str">
        <f>'Sensitivitaeten Delta_Market'!$B$1</f>
        <v>Delta-Sensitivitäten</v>
      </c>
      <c r="D626" s="1494" t="str">
        <f>'Sensitivitaeten Delta_Market'!$O$9</f>
        <v>Marktnaher Wert der Passiven mit entsprechendem Risikofaktor</v>
      </c>
      <c r="E626" s="1488" t="str">
        <f>'Sensitivitaeten Delta_Market'!$O$11</f>
        <v>dem KVG- und UVG Geschäft zugeordnet</v>
      </c>
      <c r="F626" s="1495" t="str">
        <f>'Sensitivitaeten Delta_Market'!$B37</f>
        <v>Credit Spread Europa   BBB</v>
      </c>
      <c r="G626" s="1494"/>
      <c r="H626" s="1077">
        <f>'Sensitivitaeten Delta_Market'!$O37</f>
        <v>0</v>
      </c>
      <c r="U626" s="1027"/>
      <c r="V626" s="1027"/>
      <c r="W626" s="1027"/>
    </row>
    <row r="627" spans="2:23" x14ac:dyDescent="0.2">
      <c r="B627" s="1493">
        <f>'Sensitivitaeten Delta_Market'!$A$1</f>
        <v>9</v>
      </c>
      <c r="C627" s="1488" t="str">
        <f>'Sensitivitaeten Delta_Market'!$B$1</f>
        <v>Delta-Sensitivitäten</v>
      </c>
      <c r="D627" s="1494" t="str">
        <f>'Sensitivitaeten Delta_Market'!$O$9</f>
        <v>Marktnaher Wert der Passiven mit entsprechendem Risikofaktor</v>
      </c>
      <c r="E627" s="1488" t="str">
        <f>'Sensitivitaeten Delta_Market'!$O$11</f>
        <v>dem KVG- und UVG Geschäft zugeordnet</v>
      </c>
      <c r="F627" s="1495" t="str">
        <f>'Sensitivitaeten Delta_Market'!$B41</f>
        <v>Swap-Government Spread</v>
      </c>
      <c r="G627" s="1494"/>
      <c r="H627" s="1077">
        <f>'Sensitivitaeten Delta_Market'!$O41</f>
        <v>0</v>
      </c>
      <c r="U627" s="1027"/>
      <c r="V627" s="1027"/>
      <c r="W627" s="1027"/>
    </row>
    <row r="628" spans="2:23" x14ac:dyDescent="0.2">
      <c r="B628" s="1493">
        <f>'Sensitivitaeten Delta_Market'!$A$1</f>
        <v>9</v>
      </c>
      <c r="C628" s="1488" t="str">
        <f>'Sensitivitaeten Delta_Market'!$B$1</f>
        <v>Delta-Sensitivitäten</v>
      </c>
      <c r="D628" s="1494" t="str">
        <f>'Sensitivitaeten Delta_Market'!$O$9</f>
        <v>Marktnaher Wert der Passiven mit entsprechendem Risikofaktor</v>
      </c>
      <c r="E628" s="1488" t="str">
        <f>'Sensitivitaeten Delta_Market'!$O$11</f>
        <v>dem KVG- und UVG Geschäft zugeordnet</v>
      </c>
      <c r="F628" s="1495" t="str">
        <f>'Sensitivitaeten Delta_Market'!$B42</f>
        <v>Wechselkurs   EUR/CHF</v>
      </c>
      <c r="G628" s="1494"/>
      <c r="H628" s="1077">
        <f>'Sensitivitaeten Delta_Market'!$O42</f>
        <v>0</v>
      </c>
      <c r="U628" s="1027"/>
      <c r="V628" s="1027"/>
      <c r="W628" s="1027"/>
    </row>
    <row r="629" spans="2:23" x14ac:dyDescent="0.2">
      <c r="B629" s="1493">
        <f>'Sensitivitaeten Delta_Market'!$A$1</f>
        <v>9</v>
      </c>
      <c r="C629" s="1488" t="str">
        <f>'Sensitivitaeten Delta_Market'!$B$1</f>
        <v>Delta-Sensitivitäten</v>
      </c>
      <c r="D629" s="1494" t="str">
        <f>'Sensitivitaeten Delta_Market'!$O$9</f>
        <v>Marktnaher Wert der Passiven mit entsprechendem Risikofaktor</v>
      </c>
      <c r="E629" s="1488" t="str">
        <f>'Sensitivitaeten Delta_Market'!$O$11</f>
        <v>dem KVG- und UVG Geschäft zugeordnet</v>
      </c>
      <c r="F629" s="1495" t="str">
        <f>'Sensitivitaeten Delta_Market'!$B43</f>
        <v>Wechselkurs   USD/CHF</v>
      </c>
      <c r="G629" s="1494"/>
      <c r="H629" s="1077">
        <f>'Sensitivitaeten Delta_Market'!$O43</f>
        <v>0</v>
      </c>
      <c r="U629" s="1027"/>
      <c r="V629" s="1027"/>
      <c r="W629" s="1027"/>
    </row>
    <row r="630" spans="2:23" x14ac:dyDescent="0.2">
      <c r="B630" s="1493">
        <f>'Sensitivitaeten Delta_Market'!$A$1</f>
        <v>9</v>
      </c>
      <c r="C630" s="1488" t="str">
        <f>'Sensitivitaeten Delta_Market'!$B$1</f>
        <v>Delta-Sensitivitäten</v>
      </c>
      <c r="D630" s="1494" t="str">
        <f>'Sensitivitaeten Delta_Market'!$O$9</f>
        <v>Marktnaher Wert der Passiven mit entsprechendem Risikofaktor</v>
      </c>
      <c r="E630" s="1488" t="str">
        <f>'Sensitivitaeten Delta_Market'!$O$11</f>
        <v>dem KVG- und UVG Geschäft zugeordnet</v>
      </c>
      <c r="F630" s="1495" t="str">
        <f>'Sensitivitaeten Delta_Market'!$B44</f>
        <v>Wechselkurs   GBP/CHF</v>
      </c>
      <c r="G630" s="1494"/>
      <c r="H630" s="1077">
        <f>'Sensitivitaeten Delta_Market'!$O44</f>
        <v>0</v>
      </c>
      <c r="U630" s="1027"/>
      <c r="V630" s="1027"/>
      <c r="W630" s="1027"/>
    </row>
    <row r="631" spans="2:23" x14ac:dyDescent="0.2">
      <c r="B631" s="1493">
        <f>'Sensitivitaeten Delta_Market'!$A$1</f>
        <v>9</v>
      </c>
      <c r="C631" s="1488" t="str">
        <f>'Sensitivitaeten Delta_Market'!$B$1</f>
        <v>Delta-Sensitivitäten</v>
      </c>
      <c r="D631" s="1494" t="str">
        <f>'Sensitivitaeten Delta_Market'!$O$9</f>
        <v>Marktnaher Wert der Passiven mit entsprechendem Risikofaktor</v>
      </c>
      <c r="E631" s="1488" t="str">
        <f>'Sensitivitaeten Delta_Market'!$O$11</f>
        <v>dem KVG- und UVG Geschäft zugeordnet</v>
      </c>
      <c r="F631" s="1495" t="str">
        <f>'Sensitivitaeten Delta_Market'!$B45</f>
        <v>Wechselkurs   JPY/CHF</v>
      </c>
      <c r="G631" s="1494"/>
      <c r="H631" s="1077">
        <f>'Sensitivitaeten Delta_Market'!$O45</f>
        <v>0</v>
      </c>
      <c r="U631" s="1027"/>
      <c r="V631" s="1027"/>
      <c r="W631" s="1027"/>
    </row>
    <row r="632" spans="2:23" x14ac:dyDescent="0.2">
      <c r="B632" s="1493">
        <f>'Sensitivitaeten Delta_Market'!$A$1</f>
        <v>9</v>
      </c>
      <c r="C632" s="1488" t="str">
        <f>'Sensitivitaeten Delta_Market'!$B$1</f>
        <v>Delta-Sensitivitäten</v>
      </c>
      <c r="D632" s="1494" t="str">
        <f>'Sensitivitaeten Delta_Market'!$O$9</f>
        <v>Marktnaher Wert der Passiven mit entsprechendem Risikofaktor</v>
      </c>
      <c r="E632" s="1488" t="str">
        <f>'Sensitivitaeten Delta_Market'!$O$11</f>
        <v>dem KVG- und UVG Geschäft zugeordnet</v>
      </c>
      <c r="F632" s="1495" t="str">
        <f>'Sensitivitaeten Delta_Market'!$B46</f>
        <v xml:space="preserve">Implizite FX-Volatilität </v>
      </c>
      <c r="G632" s="1494"/>
      <c r="H632" s="1077">
        <f>'Sensitivitaeten Delta_Market'!$O46</f>
        <v>0</v>
      </c>
      <c r="U632" s="1027"/>
      <c r="V632" s="1027"/>
      <c r="W632" s="1027"/>
    </row>
    <row r="633" spans="2:23" x14ac:dyDescent="0.2">
      <c r="B633" s="1493">
        <f>'Sensitivitaeten Delta_Market'!$A$1</f>
        <v>9</v>
      </c>
      <c r="C633" s="1488" t="str">
        <f>'Sensitivitaeten Delta_Market'!$B$1</f>
        <v>Delta-Sensitivitäten</v>
      </c>
      <c r="D633" s="1494" t="str">
        <f>'Sensitivitaeten Delta_Market'!$O$9</f>
        <v>Marktnaher Wert der Passiven mit entsprechendem Risikofaktor</v>
      </c>
      <c r="E633" s="1488" t="str">
        <f>'Sensitivitaeten Delta_Market'!$O$11</f>
        <v>dem KVG- und UVG Geschäft zugeordnet</v>
      </c>
      <c r="F633" s="1495" t="str">
        <f>'Sensitivitaeten Delta_Market'!$B47</f>
        <v>Aktien Schweiz</v>
      </c>
      <c r="G633" s="1494"/>
      <c r="H633" s="1077">
        <f>'Sensitivitaeten Delta_Market'!$O47</f>
        <v>0</v>
      </c>
      <c r="U633" s="1027"/>
      <c r="V633" s="1027"/>
      <c r="W633" s="1027"/>
    </row>
    <row r="634" spans="2:23" x14ac:dyDescent="0.2">
      <c r="B634" s="1493">
        <f>'Sensitivitaeten Delta_Market'!$A$1</f>
        <v>9</v>
      </c>
      <c r="C634" s="1488" t="str">
        <f>'Sensitivitaeten Delta_Market'!$B$1</f>
        <v>Delta-Sensitivitäten</v>
      </c>
      <c r="D634" s="1494" t="str">
        <f>'Sensitivitaeten Delta_Market'!$O$9</f>
        <v>Marktnaher Wert der Passiven mit entsprechendem Risikofaktor</v>
      </c>
      <c r="E634" s="1488" t="str">
        <f>'Sensitivitaeten Delta_Market'!$O$11</f>
        <v>dem KVG- und UVG Geschäft zugeordnet</v>
      </c>
      <c r="F634" s="1495" t="str">
        <f>'Sensitivitaeten Delta_Market'!$B48</f>
        <v>Aktien EMU</v>
      </c>
      <c r="G634" s="1494"/>
      <c r="H634" s="1077">
        <f>'Sensitivitaeten Delta_Market'!$O48</f>
        <v>0</v>
      </c>
      <c r="U634" s="1027"/>
      <c r="V634" s="1027"/>
      <c r="W634" s="1027"/>
    </row>
    <row r="635" spans="2:23" x14ac:dyDescent="0.2">
      <c r="B635" s="1493">
        <f>'Sensitivitaeten Delta_Market'!$A$1</f>
        <v>9</v>
      </c>
      <c r="C635" s="1488" t="str">
        <f>'Sensitivitaeten Delta_Market'!$B$1</f>
        <v>Delta-Sensitivitäten</v>
      </c>
      <c r="D635" s="1494" t="str">
        <f>'Sensitivitaeten Delta_Market'!$O$9</f>
        <v>Marktnaher Wert der Passiven mit entsprechendem Risikofaktor</v>
      </c>
      <c r="E635" s="1488" t="str">
        <f>'Sensitivitaeten Delta_Market'!$O$11</f>
        <v>dem KVG- und UVG Geschäft zugeordnet</v>
      </c>
      <c r="F635" s="1495" t="str">
        <f>'Sensitivitaeten Delta_Market'!$B49</f>
        <v>Aktien USA</v>
      </c>
      <c r="G635" s="1494"/>
      <c r="H635" s="1077">
        <f>'Sensitivitaeten Delta_Market'!$O49</f>
        <v>0</v>
      </c>
      <c r="U635" s="1027"/>
      <c r="V635" s="1027"/>
      <c r="W635" s="1027"/>
    </row>
    <row r="636" spans="2:23" x14ac:dyDescent="0.2">
      <c r="B636" s="1493">
        <f>'Sensitivitaeten Delta_Market'!$A$1</f>
        <v>9</v>
      </c>
      <c r="C636" s="1488" t="str">
        <f>'Sensitivitaeten Delta_Market'!$B$1</f>
        <v>Delta-Sensitivitäten</v>
      </c>
      <c r="D636" s="1494" t="str">
        <f>'Sensitivitaeten Delta_Market'!$O$9</f>
        <v>Marktnaher Wert der Passiven mit entsprechendem Risikofaktor</v>
      </c>
      <c r="E636" s="1488" t="str">
        <f>'Sensitivitaeten Delta_Market'!$O$11</f>
        <v>dem KVG- und UVG Geschäft zugeordnet</v>
      </c>
      <c r="F636" s="1495" t="str">
        <f>'Sensitivitaeten Delta_Market'!$B50</f>
        <v>Aktien Grossbritannien</v>
      </c>
      <c r="G636" s="1494"/>
      <c r="H636" s="1077">
        <f>'Sensitivitaeten Delta_Market'!$O50</f>
        <v>0</v>
      </c>
      <c r="U636" s="1027"/>
      <c r="V636" s="1027"/>
      <c r="W636" s="1027"/>
    </row>
    <row r="637" spans="2:23" x14ac:dyDescent="0.2">
      <c r="B637" s="1493">
        <f>'Sensitivitaeten Delta_Market'!$A$1</f>
        <v>9</v>
      </c>
      <c r="C637" s="1488" t="str">
        <f>'Sensitivitaeten Delta_Market'!$B$1</f>
        <v>Delta-Sensitivitäten</v>
      </c>
      <c r="D637" s="1494" t="str">
        <f>'Sensitivitaeten Delta_Market'!$O$9</f>
        <v>Marktnaher Wert der Passiven mit entsprechendem Risikofaktor</v>
      </c>
      <c r="E637" s="1488" t="str">
        <f>'Sensitivitaeten Delta_Market'!$O$11</f>
        <v>dem KVG- und UVG Geschäft zugeordnet</v>
      </c>
      <c r="F637" s="1495" t="str">
        <f>'Sensitivitaeten Delta_Market'!$B51</f>
        <v>Aktien Japan</v>
      </c>
      <c r="G637" s="1494"/>
      <c r="H637" s="1077">
        <f>'Sensitivitaeten Delta_Market'!$O51</f>
        <v>0</v>
      </c>
      <c r="U637" s="1027"/>
      <c r="V637" s="1027"/>
      <c r="W637" s="1027"/>
    </row>
    <row r="638" spans="2:23" x14ac:dyDescent="0.2">
      <c r="B638" s="1493">
        <f>'Sensitivitaeten Delta_Market'!$A$1</f>
        <v>9</v>
      </c>
      <c r="C638" s="1488" t="str">
        <f>'Sensitivitaeten Delta_Market'!$B$1</f>
        <v>Delta-Sensitivitäten</v>
      </c>
      <c r="D638" s="1494" t="str">
        <f>'Sensitivitaeten Delta_Market'!$O$9</f>
        <v>Marktnaher Wert der Passiven mit entsprechendem Risikofaktor</v>
      </c>
      <c r="E638" s="1488" t="str">
        <f>'Sensitivitaeten Delta_Market'!$O$11</f>
        <v>dem KVG- und UVG Geschäft zugeordnet</v>
      </c>
      <c r="F638" s="1625" t="s">
        <v>2338</v>
      </c>
      <c r="G638" s="1617" t="s">
        <v>2301</v>
      </c>
      <c r="H638" s="1626"/>
      <c r="U638" s="1027"/>
      <c r="V638" s="1027"/>
      <c r="W638" s="1027"/>
    </row>
    <row r="639" spans="2:23" x14ac:dyDescent="0.2">
      <c r="B639" s="1493">
        <f>'Sensitivitaeten Delta_Market'!$A$1</f>
        <v>9</v>
      </c>
      <c r="C639" s="1488" t="str">
        <f>'Sensitivitaeten Delta_Market'!$B$1</f>
        <v>Delta-Sensitivitäten</v>
      </c>
      <c r="D639" s="1494" t="str">
        <f>'Sensitivitaeten Delta_Market'!$O$9</f>
        <v>Marktnaher Wert der Passiven mit entsprechendem Risikofaktor</v>
      </c>
      <c r="E639" s="1488" t="str">
        <f>'Sensitivitaeten Delta_Market'!$O$11</f>
        <v>dem KVG- und UVG Geschäft zugeordnet</v>
      </c>
      <c r="F639" s="1625" t="s">
        <v>2339</v>
      </c>
      <c r="G639" s="1617" t="s">
        <v>2301</v>
      </c>
      <c r="H639" s="1626"/>
      <c r="U639" s="1027"/>
      <c r="V639" s="1027"/>
      <c r="W639" s="1027"/>
    </row>
    <row r="640" spans="2:23" x14ac:dyDescent="0.2">
      <c r="B640" s="1493">
        <f>'Sensitivitaeten Delta_Market'!$A$1</f>
        <v>9</v>
      </c>
      <c r="C640" s="1488" t="str">
        <f>'Sensitivitaeten Delta_Market'!$B$1</f>
        <v>Delta-Sensitivitäten</v>
      </c>
      <c r="D640" s="1494" t="str">
        <f>'Sensitivitaeten Delta_Market'!$O$9</f>
        <v>Marktnaher Wert der Passiven mit entsprechendem Risikofaktor</v>
      </c>
      <c r="E640" s="1488" t="str">
        <f>'Sensitivitaeten Delta_Market'!$O$11</f>
        <v>dem KVG- und UVG Geschäft zugeordnet</v>
      </c>
      <c r="F640" s="1497" t="str">
        <f>'Sensitivitaeten Delta_Market'!$B52</f>
        <v>Implizite Aktienvolatilität</v>
      </c>
      <c r="G640" s="1494"/>
      <c r="H640" s="1077">
        <f>'Sensitivitaeten Delta_Market'!$O52</f>
        <v>0</v>
      </c>
      <c r="U640" s="1027"/>
      <c r="V640" s="1027"/>
      <c r="W640" s="1027"/>
    </row>
    <row r="641" spans="2:23" x14ac:dyDescent="0.2">
      <c r="B641" s="1493">
        <f>'Sensitivitaeten Delta_Market'!$A$1</f>
        <v>9</v>
      </c>
      <c r="C641" s="1488" t="str">
        <f>'Sensitivitaeten Delta_Market'!$B$1</f>
        <v>Delta-Sensitivitäten</v>
      </c>
      <c r="D641" s="1494" t="str">
        <f>'Sensitivitaeten Delta_Market'!$O$9</f>
        <v>Marktnaher Wert der Passiven mit entsprechendem Risikofaktor</v>
      </c>
      <c r="E641" s="1488" t="str">
        <f>'Sensitivitaeten Delta_Market'!$O$11</f>
        <v>dem KVG- und UVG Geschäft zugeordnet</v>
      </c>
      <c r="F641" s="1495" t="str">
        <f>'Sensitivitaeten Delta_Market'!$B53</f>
        <v>Hedgefonds</v>
      </c>
      <c r="G641" s="1494"/>
      <c r="H641" s="1077">
        <f>'Sensitivitaeten Delta_Market'!$O53</f>
        <v>0</v>
      </c>
      <c r="U641" s="1027"/>
      <c r="V641" s="1027"/>
      <c r="W641" s="1027"/>
    </row>
    <row r="642" spans="2:23" x14ac:dyDescent="0.2">
      <c r="B642" s="1493"/>
      <c r="C642" s="1488"/>
      <c r="D642" s="1494"/>
      <c r="E642" s="1488"/>
      <c r="F642" s="1495"/>
      <c r="G642" s="1494"/>
      <c r="H642" s="1078"/>
      <c r="U642" s="1027"/>
      <c r="V642" s="1027"/>
      <c r="W642" s="1027"/>
    </row>
    <row r="643" spans="2:23" x14ac:dyDescent="0.2">
      <c r="B643" s="1493">
        <f>'Sensitivitaeten Delta_Market'!$A$1</f>
        <v>9</v>
      </c>
      <c r="C643" s="1488" t="str">
        <f>'Sensitivitaeten Delta_Market'!$B$1</f>
        <v>Delta-Sensitivitäten</v>
      </c>
      <c r="D643" s="1494" t="str">
        <f>'Sensitivitaeten Delta_Market'!$O$9</f>
        <v>Marktnaher Wert der Passiven mit entsprechendem Risikofaktor</v>
      </c>
      <c r="E643" s="1488" t="str">
        <f>'Sensitivitaeten Delta_Market'!$P$11</f>
        <v>dem übrigen Geschäft zugeordnet</v>
      </c>
      <c r="F643" s="1625" t="s">
        <v>428</v>
      </c>
      <c r="G643" s="1617" t="s">
        <v>2301</v>
      </c>
      <c r="H643" s="1626"/>
      <c r="U643" s="1027"/>
      <c r="V643" s="1027"/>
      <c r="W643" s="1027"/>
    </row>
    <row r="644" spans="2:23" x14ac:dyDescent="0.2">
      <c r="B644" s="1493">
        <f>'Sensitivitaeten Delta_Market'!$A$1</f>
        <v>9</v>
      </c>
      <c r="C644" s="1488" t="str">
        <f>'Sensitivitaeten Delta_Market'!$B$1</f>
        <v>Delta-Sensitivitäten</v>
      </c>
      <c r="D644" s="1494" t="str">
        <f>'Sensitivitaeten Delta_Market'!$O$9</f>
        <v>Marktnaher Wert der Passiven mit entsprechendem Risikofaktor</v>
      </c>
      <c r="E644" s="1488" t="str">
        <f>'Sensitivitaeten Delta_Market'!$P$11</f>
        <v>dem übrigen Geschäft zugeordnet</v>
      </c>
      <c r="F644" s="1494" t="str">
        <f>'Sensitivitaeten Delta_Market'!$B17</f>
        <v>CHF Zeros  2 Y</v>
      </c>
      <c r="G644" s="1494"/>
      <c r="H644" s="1077">
        <f>'Sensitivitaeten Delta_Market'!$P17</f>
        <v>0</v>
      </c>
      <c r="U644" s="1027"/>
      <c r="V644" s="1027"/>
      <c r="W644" s="1027"/>
    </row>
    <row r="645" spans="2:23" x14ac:dyDescent="0.2">
      <c r="B645" s="1493">
        <f>'Sensitivitaeten Delta_Market'!$A$1</f>
        <v>9</v>
      </c>
      <c r="C645" s="1488" t="str">
        <f>'Sensitivitaeten Delta_Market'!$B$1</f>
        <v>Delta-Sensitivitäten</v>
      </c>
      <c r="D645" s="1494" t="str">
        <f>'Sensitivitaeten Delta_Market'!$O$9</f>
        <v>Marktnaher Wert der Passiven mit entsprechendem Risikofaktor</v>
      </c>
      <c r="E645" s="1488" t="str">
        <f>'Sensitivitaeten Delta_Market'!$P$11</f>
        <v>dem übrigen Geschäft zugeordnet</v>
      </c>
      <c r="F645" s="1625" t="s">
        <v>2302</v>
      </c>
      <c r="G645" s="1617" t="s">
        <v>2301</v>
      </c>
      <c r="H645" s="1626"/>
      <c r="U645" s="1027"/>
      <c r="V645" s="1027"/>
      <c r="W645" s="1027"/>
    </row>
    <row r="646" spans="2:23" x14ac:dyDescent="0.2">
      <c r="B646" s="1493">
        <f>'Sensitivitaeten Delta_Market'!$A$1</f>
        <v>9</v>
      </c>
      <c r="C646" s="1488" t="str">
        <f>'Sensitivitaeten Delta_Market'!$B$1</f>
        <v>Delta-Sensitivitäten</v>
      </c>
      <c r="D646" s="1494" t="str">
        <f>'Sensitivitaeten Delta_Market'!$O$9</f>
        <v>Marktnaher Wert der Passiven mit entsprechendem Risikofaktor</v>
      </c>
      <c r="E646" s="1488" t="str">
        <f>'Sensitivitaeten Delta_Market'!$P$11</f>
        <v>dem übrigen Geschäft zugeordnet</v>
      </c>
      <c r="F646" s="1625" t="s">
        <v>2303</v>
      </c>
      <c r="G646" s="1617" t="s">
        <v>2301</v>
      </c>
      <c r="H646" s="1626"/>
      <c r="U646" s="1027"/>
      <c r="V646" s="1027"/>
      <c r="W646" s="1027"/>
    </row>
    <row r="647" spans="2:23" x14ac:dyDescent="0.2">
      <c r="B647" s="1493">
        <f>'Sensitivitaeten Delta_Market'!$A$1</f>
        <v>9</v>
      </c>
      <c r="C647" s="1488" t="str">
        <f>'Sensitivitaeten Delta_Market'!$B$1</f>
        <v>Delta-Sensitivitäten</v>
      </c>
      <c r="D647" s="1494" t="str">
        <f>'Sensitivitaeten Delta_Market'!$O$9</f>
        <v>Marktnaher Wert der Passiven mit entsprechendem Risikofaktor</v>
      </c>
      <c r="E647" s="1488" t="str">
        <f>'Sensitivitaeten Delta_Market'!$P$11</f>
        <v>dem übrigen Geschäft zugeordnet</v>
      </c>
      <c r="F647" s="1625" t="s">
        <v>2304</v>
      </c>
      <c r="G647" s="1617" t="s">
        <v>2301</v>
      </c>
      <c r="H647" s="1626"/>
      <c r="U647" s="1027"/>
      <c r="V647" s="1027"/>
      <c r="W647" s="1027"/>
    </row>
    <row r="648" spans="2:23" x14ac:dyDescent="0.2">
      <c r="B648" s="1493">
        <f>'Sensitivitaeten Delta_Market'!$A$1</f>
        <v>9</v>
      </c>
      <c r="C648" s="1488" t="str">
        <f>'Sensitivitaeten Delta_Market'!$B$1</f>
        <v>Delta-Sensitivitäten</v>
      </c>
      <c r="D648" s="1494" t="str">
        <f>'Sensitivitaeten Delta_Market'!$O$9</f>
        <v>Marktnaher Wert der Passiven mit entsprechendem Risikofaktor</v>
      </c>
      <c r="E648" s="1488" t="str">
        <f>'Sensitivitaeten Delta_Market'!$P$11</f>
        <v>dem übrigen Geschäft zugeordnet</v>
      </c>
      <c r="F648" s="1625" t="s">
        <v>2305</v>
      </c>
      <c r="G648" s="1617" t="s">
        <v>2301</v>
      </c>
      <c r="H648" s="1626"/>
      <c r="U648" s="1027"/>
      <c r="V648" s="1027"/>
      <c r="W648" s="1027"/>
    </row>
    <row r="649" spans="2:23" x14ac:dyDescent="0.2">
      <c r="B649" s="1493">
        <f>'Sensitivitaeten Delta_Market'!$A$1</f>
        <v>9</v>
      </c>
      <c r="C649" s="1488" t="str">
        <f>'Sensitivitaeten Delta_Market'!$B$1</f>
        <v>Delta-Sensitivitäten</v>
      </c>
      <c r="D649" s="1494" t="str">
        <f>'Sensitivitaeten Delta_Market'!$O$9</f>
        <v>Marktnaher Wert der Passiven mit entsprechendem Risikofaktor</v>
      </c>
      <c r="E649" s="1488" t="str">
        <f>'Sensitivitaeten Delta_Market'!$P$11</f>
        <v>dem übrigen Geschäft zugeordnet</v>
      </c>
      <c r="F649" s="1625" t="s">
        <v>2307</v>
      </c>
      <c r="G649" s="1617" t="s">
        <v>2301</v>
      </c>
      <c r="H649" s="1626"/>
      <c r="U649" s="1027"/>
      <c r="V649" s="1027"/>
      <c r="W649" s="1027"/>
    </row>
    <row r="650" spans="2:23" x14ac:dyDescent="0.2">
      <c r="B650" s="1493">
        <f>'Sensitivitaeten Delta_Market'!$A$1</f>
        <v>9</v>
      </c>
      <c r="C650" s="1488" t="str">
        <f>'Sensitivitaeten Delta_Market'!$B$1</f>
        <v>Delta-Sensitivitäten</v>
      </c>
      <c r="D650" s="1494" t="str">
        <f>'Sensitivitaeten Delta_Market'!$O$9</f>
        <v>Marktnaher Wert der Passiven mit entsprechendem Risikofaktor</v>
      </c>
      <c r="E650" s="1488" t="str">
        <f>'Sensitivitaeten Delta_Market'!$P$11</f>
        <v>dem übrigen Geschäft zugeordnet</v>
      </c>
      <c r="F650" s="1625" t="s">
        <v>2306</v>
      </c>
      <c r="G650" s="1617" t="s">
        <v>2301</v>
      </c>
      <c r="H650" s="1626"/>
      <c r="U650" s="1027"/>
      <c r="V650" s="1027"/>
      <c r="W650" s="1027"/>
    </row>
    <row r="651" spans="2:23" x14ac:dyDescent="0.2">
      <c r="B651" s="1493">
        <f>'Sensitivitaeten Delta_Market'!$A$1</f>
        <v>9</v>
      </c>
      <c r="C651" s="1488" t="str">
        <f>'Sensitivitaeten Delta_Market'!$B$1</f>
        <v>Delta-Sensitivitäten</v>
      </c>
      <c r="D651" s="1494" t="str">
        <f>'Sensitivitaeten Delta_Market'!$O$9</f>
        <v>Marktnaher Wert der Passiven mit entsprechendem Risikofaktor</v>
      </c>
      <c r="E651" s="1488" t="str">
        <f>'Sensitivitaeten Delta_Market'!$P$11</f>
        <v>dem übrigen Geschäft zugeordnet</v>
      </c>
      <c r="F651" s="1625" t="s">
        <v>2308</v>
      </c>
      <c r="G651" s="1617" t="s">
        <v>2301</v>
      </c>
      <c r="H651" s="1626"/>
      <c r="U651" s="1027"/>
      <c r="V651" s="1027"/>
      <c r="W651" s="1027"/>
    </row>
    <row r="652" spans="2:23" x14ac:dyDescent="0.2">
      <c r="B652" s="1493">
        <f>'Sensitivitaeten Delta_Market'!$A$1</f>
        <v>9</v>
      </c>
      <c r="C652" s="1488" t="str">
        <f>'Sensitivitaeten Delta_Market'!$B$1</f>
        <v>Delta-Sensitivitäten</v>
      </c>
      <c r="D652" s="1494" t="str">
        <f>'Sensitivitaeten Delta_Market'!$O$9</f>
        <v>Marktnaher Wert der Passiven mit entsprechendem Risikofaktor</v>
      </c>
      <c r="E652" s="1488" t="str">
        <f>'Sensitivitaeten Delta_Market'!$P$11</f>
        <v>dem übrigen Geschäft zugeordnet</v>
      </c>
      <c r="F652" s="1495" t="str">
        <f>'Sensitivitaeten Delta_Market'!$B18</f>
        <v>CHF Zeros  10 Y</v>
      </c>
      <c r="G652" s="1494"/>
      <c r="H652" s="1077">
        <f>'Sensitivitaeten Delta_Market'!$P18</f>
        <v>0</v>
      </c>
      <c r="U652" s="1027"/>
      <c r="V652" s="1027"/>
      <c r="W652" s="1027"/>
    </row>
    <row r="653" spans="2:23" x14ac:dyDescent="0.2">
      <c r="B653" s="1493">
        <f>'Sensitivitaeten Delta_Market'!$A$1</f>
        <v>9</v>
      </c>
      <c r="C653" s="1488" t="str">
        <f>'Sensitivitaeten Delta_Market'!$B$1</f>
        <v>Delta-Sensitivitäten</v>
      </c>
      <c r="D653" s="1494" t="str">
        <f>'Sensitivitaeten Delta_Market'!$O$9</f>
        <v>Marktnaher Wert der Passiven mit entsprechendem Risikofaktor</v>
      </c>
      <c r="E653" s="1488" t="str">
        <f>'Sensitivitaeten Delta_Market'!$P$11</f>
        <v>dem übrigen Geschäft zugeordnet</v>
      </c>
      <c r="F653" s="1625" t="s">
        <v>2309</v>
      </c>
      <c r="G653" s="1617" t="s">
        <v>2301</v>
      </c>
      <c r="H653" s="1626"/>
      <c r="U653" s="1027"/>
      <c r="V653" s="1027"/>
      <c r="W653" s="1027"/>
    </row>
    <row r="654" spans="2:23" x14ac:dyDescent="0.2">
      <c r="B654" s="1493">
        <f>'Sensitivitaeten Delta_Market'!$A$1</f>
        <v>9</v>
      </c>
      <c r="C654" s="1488" t="str">
        <f>'Sensitivitaeten Delta_Market'!$B$1</f>
        <v>Delta-Sensitivitäten</v>
      </c>
      <c r="D654" s="1494" t="str">
        <f>'Sensitivitaeten Delta_Market'!$O$9</f>
        <v>Marktnaher Wert der Passiven mit entsprechendem Risikofaktor</v>
      </c>
      <c r="E654" s="1488" t="str">
        <f>'Sensitivitaeten Delta_Market'!$P$11</f>
        <v>dem übrigen Geschäft zugeordnet</v>
      </c>
      <c r="F654" s="1625" t="s">
        <v>2310</v>
      </c>
      <c r="G654" s="1617" t="s">
        <v>2301</v>
      </c>
      <c r="H654" s="1626"/>
      <c r="U654" s="1027"/>
      <c r="V654" s="1027"/>
      <c r="W654" s="1027"/>
    </row>
    <row r="655" spans="2:23" x14ac:dyDescent="0.2">
      <c r="B655" s="1493">
        <f>'Sensitivitaeten Delta_Market'!$A$1</f>
        <v>9</v>
      </c>
      <c r="C655" s="1488" t="str">
        <f>'Sensitivitaeten Delta_Market'!$B$1</f>
        <v>Delta-Sensitivitäten</v>
      </c>
      <c r="D655" s="1494" t="str">
        <f>'Sensitivitaeten Delta_Market'!$O$9</f>
        <v>Marktnaher Wert der Passiven mit entsprechendem Risikofaktor</v>
      </c>
      <c r="E655" s="1488" t="str">
        <f>'Sensitivitaeten Delta_Market'!$P$11</f>
        <v>dem übrigen Geschäft zugeordnet</v>
      </c>
      <c r="F655" s="1495" t="str">
        <f>'Sensitivitaeten Delta_Market'!$B19</f>
        <v>CHF Zeros  30 Y</v>
      </c>
      <c r="G655" s="1494"/>
      <c r="H655" s="1077">
        <f>'Sensitivitaeten Delta_Market'!$P19</f>
        <v>0</v>
      </c>
      <c r="U655" s="1027"/>
      <c r="V655" s="1027"/>
      <c r="W655" s="1027"/>
    </row>
    <row r="656" spans="2:23" x14ac:dyDescent="0.2">
      <c r="B656" s="1493">
        <f>'Sensitivitaeten Delta_Market'!$A$1</f>
        <v>9</v>
      </c>
      <c r="C656" s="1488" t="str">
        <f>'Sensitivitaeten Delta_Market'!$B$1</f>
        <v>Delta-Sensitivitäten</v>
      </c>
      <c r="D656" s="1494" t="str">
        <f>'Sensitivitaeten Delta_Market'!$O$9</f>
        <v>Marktnaher Wert der Passiven mit entsprechendem Risikofaktor</v>
      </c>
      <c r="E656" s="1488" t="str">
        <f>'Sensitivitaeten Delta_Market'!$P$11</f>
        <v>dem übrigen Geschäft zugeordnet</v>
      </c>
      <c r="F656" s="1625" t="s">
        <v>429</v>
      </c>
      <c r="G656" s="1617" t="s">
        <v>2301</v>
      </c>
      <c r="H656" s="1626"/>
      <c r="U656" s="1027"/>
      <c r="V656" s="1027"/>
      <c r="W656" s="1027"/>
    </row>
    <row r="657" spans="2:23" x14ac:dyDescent="0.2">
      <c r="B657" s="1493">
        <f>'Sensitivitaeten Delta_Market'!$A$1</f>
        <v>9</v>
      </c>
      <c r="C657" s="1488" t="str">
        <f>'Sensitivitaeten Delta_Market'!$B$1</f>
        <v>Delta-Sensitivitäten</v>
      </c>
      <c r="D657" s="1494" t="str">
        <f>'Sensitivitaeten Delta_Market'!$O$9</f>
        <v>Marktnaher Wert der Passiven mit entsprechendem Risikofaktor</v>
      </c>
      <c r="E657" s="1488" t="str">
        <f>'Sensitivitaeten Delta_Market'!$P$11</f>
        <v>dem übrigen Geschäft zugeordnet</v>
      </c>
      <c r="F657" s="1625" t="s">
        <v>2311</v>
      </c>
      <c r="G657" s="1617" t="s">
        <v>2301</v>
      </c>
      <c r="H657" s="1626"/>
      <c r="U657" s="1027"/>
      <c r="V657" s="1027"/>
      <c r="W657" s="1027"/>
    </row>
    <row r="658" spans="2:23" x14ac:dyDescent="0.2">
      <c r="B658" s="1493">
        <f>'Sensitivitaeten Delta_Market'!$A$1</f>
        <v>9</v>
      </c>
      <c r="C658" s="1488" t="str">
        <f>'Sensitivitaeten Delta_Market'!$B$1</f>
        <v>Delta-Sensitivitäten</v>
      </c>
      <c r="D658" s="1494" t="str">
        <f>'Sensitivitaeten Delta_Market'!$O$9</f>
        <v>Marktnaher Wert der Passiven mit entsprechendem Risikofaktor</v>
      </c>
      <c r="E658" s="1488" t="str">
        <f>'Sensitivitaeten Delta_Market'!$P$11</f>
        <v>dem übrigen Geschäft zugeordnet</v>
      </c>
      <c r="F658" s="1625" t="s">
        <v>2312</v>
      </c>
      <c r="G658" s="1617" t="s">
        <v>2301</v>
      </c>
      <c r="H658" s="1626"/>
      <c r="U658" s="1027"/>
      <c r="V658" s="1027"/>
      <c r="W658" s="1027"/>
    </row>
    <row r="659" spans="2:23" x14ac:dyDescent="0.2">
      <c r="B659" s="1493">
        <f>'Sensitivitaeten Delta_Market'!$A$1</f>
        <v>9</v>
      </c>
      <c r="C659" s="1488" t="str">
        <f>'Sensitivitaeten Delta_Market'!$B$1</f>
        <v>Delta-Sensitivitäten</v>
      </c>
      <c r="D659" s="1494" t="str">
        <f>'Sensitivitaeten Delta_Market'!$O$9</f>
        <v>Marktnaher Wert der Passiven mit entsprechendem Risikofaktor</v>
      </c>
      <c r="E659" s="1488" t="str">
        <f>'Sensitivitaeten Delta_Market'!$P$11</f>
        <v>dem übrigen Geschäft zugeordnet</v>
      </c>
      <c r="F659" s="1625" t="s">
        <v>2313</v>
      </c>
      <c r="G659" s="1617" t="s">
        <v>2301</v>
      </c>
      <c r="H659" s="1626"/>
      <c r="U659" s="1027"/>
      <c r="V659" s="1027"/>
      <c r="W659" s="1027"/>
    </row>
    <row r="660" spans="2:23" x14ac:dyDescent="0.2">
      <c r="B660" s="1493">
        <f>'Sensitivitaeten Delta_Market'!$A$1</f>
        <v>9</v>
      </c>
      <c r="C660" s="1488" t="str">
        <f>'Sensitivitaeten Delta_Market'!$B$1</f>
        <v>Delta-Sensitivitäten</v>
      </c>
      <c r="D660" s="1494" t="str">
        <f>'Sensitivitaeten Delta_Market'!$O$9</f>
        <v>Marktnaher Wert der Passiven mit entsprechendem Risikofaktor</v>
      </c>
      <c r="E660" s="1488" t="str">
        <f>'Sensitivitaeten Delta_Market'!$P$11</f>
        <v>dem übrigen Geschäft zugeordnet</v>
      </c>
      <c r="F660" s="1625" t="s">
        <v>2314</v>
      </c>
      <c r="G660" s="1617" t="s">
        <v>2301</v>
      </c>
      <c r="H660" s="1626"/>
      <c r="U660" s="1027"/>
      <c r="V660" s="1027"/>
      <c r="W660" s="1027"/>
    </row>
    <row r="661" spans="2:23" x14ac:dyDescent="0.2">
      <c r="B661" s="1493">
        <f>'Sensitivitaeten Delta_Market'!$A$1</f>
        <v>9</v>
      </c>
      <c r="C661" s="1488" t="str">
        <f>'Sensitivitaeten Delta_Market'!$B$1</f>
        <v>Delta-Sensitivitäten</v>
      </c>
      <c r="D661" s="1494" t="str">
        <f>'Sensitivitaeten Delta_Market'!$O$9</f>
        <v>Marktnaher Wert der Passiven mit entsprechendem Risikofaktor</v>
      </c>
      <c r="E661" s="1488" t="str">
        <f>'Sensitivitaeten Delta_Market'!$P$11</f>
        <v>dem übrigen Geschäft zugeordnet</v>
      </c>
      <c r="F661" s="1625" t="s">
        <v>2315</v>
      </c>
      <c r="G661" s="1617" t="s">
        <v>2301</v>
      </c>
      <c r="H661" s="1626"/>
      <c r="U661" s="1027"/>
      <c r="V661" s="1027"/>
      <c r="W661" s="1027"/>
    </row>
    <row r="662" spans="2:23" x14ac:dyDescent="0.2">
      <c r="B662" s="1493">
        <f>'Sensitivitaeten Delta_Market'!$A$1</f>
        <v>9</v>
      </c>
      <c r="C662" s="1488" t="str">
        <f>'Sensitivitaeten Delta_Market'!$B$1</f>
        <v>Delta-Sensitivitäten</v>
      </c>
      <c r="D662" s="1494" t="str">
        <f>'Sensitivitaeten Delta_Market'!$O$9</f>
        <v>Marktnaher Wert der Passiven mit entsprechendem Risikofaktor</v>
      </c>
      <c r="E662" s="1488" t="str">
        <f>'Sensitivitaeten Delta_Market'!$P$11</f>
        <v>dem übrigen Geschäft zugeordnet</v>
      </c>
      <c r="F662" s="1625" t="s">
        <v>2316</v>
      </c>
      <c r="G662" s="1617" t="s">
        <v>2301</v>
      </c>
      <c r="H662" s="1626"/>
      <c r="U662" s="1027"/>
      <c r="V662" s="1027"/>
      <c r="W662" s="1027"/>
    </row>
    <row r="663" spans="2:23" x14ac:dyDescent="0.2">
      <c r="B663" s="1493">
        <f>'Sensitivitaeten Delta_Market'!$A$1</f>
        <v>9</v>
      </c>
      <c r="C663" s="1488" t="str">
        <f>'Sensitivitaeten Delta_Market'!$B$1</f>
        <v>Delta-Sensitivitäten</v>
      </c>
      <c r="D663" s="1494" t="str">
        <f>'Sensitivitaeten Delta_Market'!$O$9</f>
        <v>Marktnaher Wert der Passiven mit entsprechendem Risikofaktor</v>
      </c>
      <c r="E663" s="1488" t="str">
        <f>'Sensitivitaeten Delta_Market'!$P$11</f>
        <v>dem übrigen Geschäft zugeordnet</v>
      </c>
      <c r="F663" s="1625" t="s">
        <v>2317</v>
      </c>
      <c r="G663" s="1617" t="s">
        <v>2301</v>
      </c>
      <c r="H663" s="1626"/>
      <c r="U663" s="1027"/>
      <c r="V663" s="1027"/>
      <c r="W663" s="1027"/>
    </row>
    <row r="664" spans="2:23" x14ac:dyDescent="0.2">
      <c r="B664" s="1493">
        <f>'Sensitivitaeten Delta_Market'!$A$1</f>
        <v>9</v>
      </c>
      <c r="C664" s="1488" t="str">
        <f>'Sensitivitaeten Delta_Market'!$B$1</f>
        <v>Delta-Sensitivitäten</v>
      </c>
      <c r="D664" s="1494" t="str">
        <f>'Sensitivitaeten Delta_Market'!$O$9</f>
        <v>Marktnaher Wert der Passiven mit entsprechendem Risikofaktor</v>
      </c>
      <c r="E664" s="1488" t="str">
        <f>'Sensitivitaeten Delta_Market'!$P$11</f>
        <v>dem übrigen Geschäft zugeordnet</v>
      </c>
      <c r="F664" s="1625" t="s">
        <v>2318</v>
      </c>
      <c r="G664" s="1617" t="s">
        <v>2301</v>
      </c>
      <c r="H664" s="1626"/>
      <c r="U664" s="1027"/>
      <c r="V664" s="1027"/>
      <c r="W664" s="1027"/>
    </row>
    <row r="665" spans="2:23" x14ac:dyDescent="0.2">
      <c r="B665" s="1493">
        <f>'Sensitivitaeten Delta_Market'!$A$1</f>
        <v>9</v>
      </c>
      <c r="C665" s="1488" t="str">
        <f>'Sensitivitaeten Delta_Market'!$B$1</f>
        <v>Delta-Sensitivitäten</v>
      </c>
      <c r="D665" s="1494" t="str">
        <f>'Sensitivitaeten Delta_Market'!$O$9</f>
        <v>Marktnaher Wert der Passiven mit entsprechendem Risikofaktor</v>
      </c>
      <c r="E665" s="1488" t="str">
        <f>'Sensitivitaeten Delta_Market'!$P$11</f>
        <v>dem übrigen Geschäft zugeordnet</v>
      </c>
      <c r="F665" s="1625" t="s">
        <v>2319</v>
      </c>
      <c r="G665" s="1617" t="s">
        <v>2301</v>
      </c>
      <c r="H665" s="1626"/>
      <c r="U665" s="1027"/>
      <c r="V665" s="1027"/>
      <c r="W665" s="1027"/>
    </row>
    <row r="666" spans="2:23" x14ac:dyDescent="0.2">
      <c r="B666" s="1493">
        <f>'Sensitivitaeten Delta_Market'!$A$1</f>
        <v>9</v>
      </c>
      <c r="C666" s="1488" t="str">
        <f>'Sensitivitaeten Delta_Market'!$B$1</f>
        <v>Delta-Sensitivitäten</v>
      </c>
      <c r="D666" s="1494" t="str">
        <f>'Sensitivitaeten Delta_Market'!$O$9</f>
        <v>Marktnaher Wert der Passiven mit entsprechendem Risikofaktor</v>
      </c>
      <c r="E666" s="1488" t="str">
        <f>'Sensitivitaeten Delta_Market'!$P$11</f>
        <v>dem übrigen Geschäft zugeordnet</v>
      </c>
      <c r="F666" s="1495" t="str">
        <f>'Sensitivitaeten Delta_Market'!$B20</f>
        <v>EUR Zeros  2 Y</v>
      </c>
      <c r="G666" s="1494"/>
      <c r="H666" s="1077">
        <f>'Sensitivitaeten Delta_Market'!$P20</f>
        <v>0</v>
      </c>
      <c r="U666" s="1027"/>
      <c r="V666" s="1027"/>
      <c r="W666" s="1027"/>
    </row>
    <row r="667" spans="2:23" x14ac:dyDescent="0.2">
      <c r="B667" s="1493">
        <f>'Sensitivitaeten Delta_Market'!$A$1</f>
        <v>9</v>
      </c>
      <c r="C667" s="1488" t="str">
        <f>'Sensitivitaeten Delta_Market'!$B$1</f>
        <v>Delta-Sensitivitäten</v>
      </c>
      <c r="D667" s="1494" t="str">
        <f>'Sensitivitaeten Delta_Market'!$O$9</f>
        <v>Marktnaher Wert der Passiven mit entsprechendem Risikofaktor</v>
      </c>
      <c r="E667" s="1488" t="str">
        <f>'Sensitivitaeten Delta_Market'!$P$11</f>
        <v>dem übrigen Geschäft zugeordnet</v>
      </c>
      <c r="F667" s="1495" t="str">
        <f>'Sensitivitaeten Delta_Market'!$B21</f>
        <v>EUR Zeros  10 Y</v>
      </c>
      <c r="G667" s="1494"/>
      <c r="H667" s="1077">
        <f>'Sensitivitaeten Delta_Market'!$P21</f>
        <v>0</v>
      </c>
      <c r="U667" s="1027"/>
      <c r="V667" s="1027"/>
      <c r="W667" s="1027"/>
    </row>
    <row r="668" spans="2:23" x14ac:dyDescent="0.2">
      <c r="B668" s="1493">
        <f>'Sensitivitaeten Delta_Market'!$A$1</f>
        <v>9</v>
      </c>
      <c r="C668" s="1488" t="str">
        <f>'Sensitivitaeten Delta_Market'!$B$1</f>
        <v>Delta-Sensitivitäten</v>
      </c>
      <c r="D668" s="1494" t="str">
        <f>'Sensitivitaeten Delta_Market'!$O$9</f>
        <v>Marktnaher Wert der Passiven mit entsprechendem Risikofaktor</v>
      </c>
      <c r="E668" s="1488" t="str">
        <f>'Sensitivitaeten Delta_Market'!$P$11</f>
        <v>dem übrigen Geschäft zugeordnet</v>
      </c>
      <c r="F668" s="1495" t="str">
        <f>'Sensitivitaeten Delta_Market'!$B22</f>
        <v>EUR Zeros  30 Y</v>
      </c>
      <c r="G668" s="1494"/>
      <c r="H668" s="1077">
        <f>'Sensitivitaeten Delta_Market'!$P22</f>
        <v>0</v>
      </c>
      <c r="U668" s="1027"/>
      <c r="V668" s="1027"/>
      <c r="W668" s="1027"/>
    </row>
    <row r="669" spans="2:23" x14ac:dyDescent="0.2">
      <c r="B669" s="1493">
        <f>'Sensitivitaeten Delta_Market'!$A$1</f>
        <v>9</v>
      </c>
      <c r="C669" s="1488" t="str">
        <f>'Sensitivitaeten Delta_Market'!$B$1</f>
        <v>Delta-Sensitivitäten</v>
      </c>
      <c r="D669" s="1494" t="str">
        <f>'Sensitivitaeten Delta_Market'!$O$9</f>
        <v>Marktnaher Wert der Passiven mit entsprechendem Risikofaktor</v>
      </c>
      <c r="E669" s="1488" t="str">
        <f>'Sensitivitaeten Delta_Market'!$P$11</f>
        <v>dem übrigen Geschäft zugeordnet</v>
      </c>
      <c r="F669" s="1494" t="str">
        <f>'Sensitivitaeten Delta_Market'!$B23</f>
        <v>USD Zeros  3 Y</v>
      </c>
      <c r="G669" s="1494"/>
      <c r="H669" s="1077">
        <f>'Sensitivitaeten Delta_Market'!$P23</f>
        <v>0</v>
      </c>
      <c r="U669" s="1027"/>
      <c r="V669" s="1027"/>
      <c r="W669" s="1027"/>
    </row>
    <row r="670" spans="2:23" x14ac:dyDescent="0.2">
      <c r="B670" s="1493">
        <f>'Sensitivitaeten Delta_Market'!$A$1</f>
        <v>9</v>
      </c>
      <c r="C670" s="1488" t="str">
        <f>'Sensitivitaeten Delta_Market'!$B$1</f>
        <v>Delta-Sensitivitäten</v>
      </c>
      <c r="D670" s="1494" t="str">
        <f>'Sensitivitaeten Delta_Market'!$O$9</f>
        <v>Marktnaher Wert der Passiven mit entsprechendem Risikofaktor</v>
      </c>
      <c r="E670" s="1488" t="str">
        <f>'Sensitivitaeten Delta_Market'!$P$11</f>
        <v>dem übrigen Geschäft zugeordnet</v>
      </c>
      <c r="F670" s="1494" t="str">
        <f>'Sensitivitaeten Delta_Market'!$B24</f>
        <v>USD Zeros  10 Y</v>
      </c>
      <c r="G670" s="1494"/>
      <c r="H670" s="1077">
        <f>'Sensitivitaeten Delta_Market'!$P24</f>
        <v>0</v>
      </c>
      <c r="U670" s="1027"/>
      <c r="V670" s="1027"/>
      <c r="W670" s="1027"/>
    </row>
    <row r="671" spans="2:23" x14ac:dyDescent="0.2">
      <c r="B671" s="1493">
        <f>'Sensitivitaeten Delta_Market'!$A$1</f>
        <v>9</v>
      </c>
      <c r="C671" s="1488" t="str">
        <f>'Sensitivitaeten Delta_Market'!$B$1</f>
        <v>Delta-Sensitivitäten</v>
      </c>
      <c r="D671" s="1494" t="str">
        <f>'Sensitivitaeten Delta_Market'!$O$9</f>
        <v>Marktnaher Wert der Passiven mit entsprechendem Risikofaktor</v>
      </c>
      <c r="E671" s="1488" t="str">
        <f>'Sensitivitaeten Delta_Market'!$P$11</f>
        <v>dem übrigen Geschäft zugeordnet</v>
      </c>
      <c r="F671" s="1494" t="str">
        <f>'Sensitivitaeten Delta_Market'!$B25</f>
        <v>USD Zeros  30 Y</v>
      </c>
      <c r="G671" s="1494"/>
      <c r="H671" s="1077">
        <f>'Sensitivitaeten Delta_Market'!$P25</f>
        <v>0</v>
      </c>
      <c r="U671" s="1027"/>
      <c r="V671" s="1027"/>
      <c r="W671" s="1027"/>
    </row>
    <row r="672" spans="2:23" x14ac:dyDescent="0.2">
      <c r="B672" s="1493">
        <f>'Sensitivitaeten Delta_Market'!$A$1</f>
        <v>9</v>
      </c>
      <c r="C672" s="1488" t="str">
        <f>'Sensitivitaeten Delta_Market'!$B$1</f>
        <v>Delta-Sensitivitäten</v>
      </c>
      <c r="D672" s="1494" t="str">
        <f>'Sensitivitaeten Delta_Market'!$O$9</f>
        <v>Marktnaher Wert der Passiven mit entsprechendem Risikofaktor</v>
      </c>
      <c r="E672" s="1488" t="str">
        <f>'Sensitivitaeten Delta_Market'!$P$11</f>
        <v>dem übrigen Geschäft zugeordnet</v>
      </c>
      <c r="F672" s="1625" t="s">
        <v>430</v>
      </c>
      <c r="G672" s="1617" t="s">
        <v>2301</v>
      </c>
      <c r="H672" s="1626"/>
      <c r="U672" s="1027"/>
      <c r="V672" s="1027"/>
      <c r="W672" s="1027"/>
    </row>
    <row r="673" spans="2:23" x14ac:dyDescent="0.2">
      <c r="B673" s="1493">
        <f>'Sensitivitaeten Delta_Market'!$A$1</f>
        <v>9</v>
      </c>
      <c r="C673" s="1488" t="str">
        <f>'Sensitivitaeten Delta_Market'!$B$1</f>
        <v>Delta-Sensitivitäten</v>
      </c>
      <c r="D673" s="1494" t="str">
        <f>'Sensitivitaeten Delta_Market'!$O$9</f>
        <v>Marktnaher Wert der Passiven mit entsprechendem Risikofaktor</v>
      </c>
      <c r="E673" s="1488" t="str">
        <f>'Sensitivitaeten Delta_Market'!$P$11</f>
        <v>dem übrigen Geschäft zugeordnet</v>
      </c>
      <c r="F673" s="1625" t="s">
        <v>2329</v>
      </c>
      <c r="G673" s="1617" t="s">
        <v>2301</v>
      </c>
      <c r="H673" s="1626"/>
      <c r="U673" s="1027"/>
      <c r="V673" s="1027"/>
      <c r="W673" s="1027"/>
    </row>
    <row r="674" spans="2:23" x14ac:dyDescent="0.2">
      <c r="B674" s="1493">
        <f>'Sensitivitaeten Delta_Market'!$A$1</f>
        <v>9</v>
      </c>
      <c r="C674" s="1488" t="str">
        <f>'Sensitivitaeten Delta_Market'!$B$1</f>
        <v>Delta-Sensitivitäten</v>
      </c>
      <c r="D674" s="1494" t="str">
        <f>'Sensitivitaeten Delta_Market'!$O$9</f>
        <v>Marktnaher Wert der Passiven mit entsprechendem Risikofaktor</v>
      </c>
      <c r="E674" s="1488" t="str">
        <f>'Sensitivitaeten Delta_Market'!$P$11</f>
        <v>dem übrigen Geschäft zugeordnet</v>
      </c>
      <c r="F674" s="1625" t="s">
        <v>2330</v>
      </c>
      <c r="G674" s="1617" t="s">
        <v>2301</v>
      </c>
      <c r="H674" s="1626"/>
      <c r="U674" s="1027"/>
      <c r="V674" s="1027"/>
      <c r="W674" s="1027"/>
    </row>
    <row r="675" spans="2:23" x14ac:dyDescent="0.2">
      <c r="B675" s="1493">
        <f>'Sensitivitaeten Delta_Market'!$A$1</f>
        <v>9</v>
      </c>
      <c r="C675" s="1488" t="str">
        <f>'Sensitivitaeten Delta_Market'!$B$1</f>
        <v>Delta-Sensitivitäten</v>
      </c>
      <c r="D675" s="1494" t="str">
        <f>'Sensitivitaeten Delta_Market'!$O$9</f>
        <v>Marktnaher Wert der Passiven mit entsprechendem Risikofaktor</v>
      </c>
      <c r="E675" s="1488" t="str">
        <f>'Sensitivitaeten Delta_Market'!$P$11</f>
        <v>dem übrigen Geschäft zugeordnet</v>
      </c>
      <c r="F675" s="1625" t="s">
        <v>2331</v>
      </c>
      <c r="G675" s="1617" t="s">
        <v>2301</v>
      </c>
      <c r="H675" s="1626"/>
      <c r="U675" s="1027"/>
      <c r="V675" s="1027"/>
      <c r="W675" s="1027"/>
    </row>
    <row r="676" spans="2:23" x14ac:dyDescent="0.2">
      <c r="B676" s="1493">
        <f>'Sensitivitaeten Delta_Market'!$A$1</f>
        <v>9</v>
      </c>
      <c r="C676" s="1488" t="str">
        <f>'Sensitivitaeten Delta_Market'!$B$1</f>
        <v>Delta-Sensitivitäten</v>
      </c>
      <c r="D676" s="1494" t="str">
        <f>'Sensitivitaeten Delta_Market'!$O$9</f>
        <v>Marktnaher Wert der Passiven mit entsprechendem Risikofaktor</v>
      </c>
      <c r="E676" s="1488" t="str">
        <f>'Sensitivitaeten Delta_Market'!$P$11</f>
        <v>dem übrigen Geschäft zugeordnet</v>
      </c>
      <c r="F676" s="1625" t="s">
        <v>2332</v>
      </c>
      <c r="G676" s="1617" t="s">
        <v>2301</v>
      </c>
      <c r="H676" s="1626"/>
      <c r="U676" s="1027"/>
      <c r="V676" s="1027"/>
      <c r="W676" s="1027"/>
    </row>
    <row r="677" spans="2:23" x14ac:dyDescent="0.2">
      <c r="B677" s="1493">
        <f>'Sensitivitaeten Delta_Market'!$A$1</f>
        <v>9</v>
      </c>
      <c r="C677" s="1488" t="str">
        <f>'Sensitivitaeten Delta_Market'!$B$1</f>
        <v>Delta-Sensitivitäten</v>
      </c>
      <c r="D677" s="1494" t="str">
        <f>'Sensitivitaeten Delta_Market'!$O$9</f>
        <v>Marktnaher Wert der Passiven mit entsprechendem Risikofaktor</v>
      </c>
      <c r="E677" s="1488" t="str">
        <f>'Sensitivitaeten Delta_Market'!$P$11</f>
        <v>dem übrigen Geschäft zugeordnet</v>
      </c>
      <c r="F677" s="1625" t="s">
        <v>2333</v>
      </c>
      <c r="G677" s="1617" t="s">
        <v>2301</v>
      </c>
      <c r="H677" s="1626"/>
      <c r="U677" s="1027"/>
      <c r="V677" s="1027"/>
      <c r="W677" s="1027"/>
    </row>
    <row r="678" spans="2:23" x14ac:dyDescent="0.2">
      <c r="B678" s="1493">
        <f>'Sensitivitaeten Delta_Market'!$A$1</f>
        <v>9</v>
      </c>
      <c r="C678" s="1488" t="str">
        <f>'Sensitivitaeten Delta_Market'!$B$1</f>
        <v>Delta-Sensitivitäten</v>
      </c>
      <c r="D678" s="1494" t="str">
        <f>'Sensitivitaeten Delta_Market'!$O$9</f>
        <v>Marktnaher Wert der Passiven mit entsprechendem Risikofaktor</v>
      </c>
      <c r="E678" s="1488" t="str">
        <f>'Sensitivitaeten Delta_Market'!$P$11</f>
        <v>dem übrigen Geschäft zugeordnet</v>
      </c>
      <c r="F678" s="1625" t="s">
        <v>2334</v>
      </c>
      <c r="G678" s="1617" t="s">
        <v>2301</v>
      </c>
      <c r="H678" s="1626"/>
      <c r="U678" s="1027"/>
      <c r="V678" s="1027"/>
      <c r="W678" s="1027"/>
    </row>
    <row r="679" spans="2:23" x14ac:dyDescent="0.2">
      <c r="B679" s="1493">
        <f>'Sensitivitaeten Delta_Market'!$A$1</f>
        <v>9</v>
      </c>
      <c r="C679" s="1488" t="str">
        <f>'Sensitivitaeten Delta_Market'!$B$1</f>
        <v>Delta-Sensitivitäten</v>
      </c>
      <c r="D679" s="1494" t="str">
        <f>'Sensitivitaeten Delta_Market'!$O$9</f>
        <v>Marktnaher Wert der Passiven mit entsprechendem Risikofaktor</v>
      </c>
      <c r="E679" s="1488" t="str">
        <f>'Sensitivitaeten Delta_Market'!$P$11</f>
        <v>dem übrigen Geschäft zugeordnet</v>
      </c>
      <c r="F679" s="1625" t="s">
        <v>2335</v>
      </c>
      <c r="G679" s="1617" t="s">
        <v>2301</v>
      </c>
      <c r="H679" s="1626"/>
      <c r="U679" s="1027"/>
      <c r="V679" s="1027"/>
      <c r="W679" s="1027"/>
    </row>
    <row r="680" spans="2:23" x14ac:dyDescent="0.2">
      <c r="B680" s="1493">
        <f>'Sensitivitaeten Delta_Market'!$A$1</f>
        <v>9</v>
      </c>
      <c r="C680" s="1488" t="str">
        <f>'Sensitivitaeten Delta_Market'!$B$1</f>
        <v>Delta-Sensitivitäten</v>
      </c>
      <c r="D680" s="1494" t="str">
        <f>'Sensitivitaeten Delta_Market'!$O$9</f>
        <v>Marktnaher Wert der Passiven mit entsprechendem Risikofaktor</v>
      </c>
      <c r="E680" s="1488" t="str">
        <f>'Sensitivitaeten Delta_Market'!$P$11</f>
        <v>dem übrigen Geschäft zugeordnet</v>
      </c>
      <c r="F680" s="1625" t="s">
        <v>2336</v>
      </c>
      <c r="G680" s="1617" t="s">
        <v>2301</v>
      </c>
      <c r="H680" s="1626"/>
      <c r="U680" s="1027"/>
      <c r="V680" s="1027"/>
      <c r="W680" s="1027"/>
    </row>
    <row r="681" spans="2:23" x14ac:dyDescent="0.2">
      <c r="B681" s="1493">
        <f>'Sensitivitaeten Delta_Market'!$A$1</f>
        <v>9</v>
      </c>
      <c r="C681" s="1488" t="str">
        <f>'Sensitivitaeten Delta_Market'!$B$1</f>
        <v>Delta-Sensitivitäten</v>
      </c>
      <c r="D681" s="1494" t="str">
        <f>'Sensitivitaeten Delta_Market'!$O$9</f>
        <v>Marktnaher Wert der Passiven mit entsprechendem Risikofaktor</v>
      </c>
      <c r="E681" s="1488" t="str">
        <f>'Sensitivitaeten Delta_Market'!$P$11</f>
        <v>dem übrigen Geschäft zugeordnet</v>
      </c>
      <c r="F681" s="1625" t="s">
        <v>2337</v>
      </c>
      <c r="G681" s="1617" t="s">
        <v>2301</v>
      </c>
      <c r="H681" s="1626"/>
      <c r="U681" s="1027"/>
      <c r="V681" s="1027"/>
      <c r="W681" s="1027"/>
    </row>
    <row r="682" spans="2:23" x14ac:dyDescent="0.2">
      <c r="B682" s="1493">
        <f>'Sensitivitaeten Delta_Market'!$A$1</f>
        <v>9</v>
      </c>
      <c r="C682" s="1488" t="str">
        <f>'Sensitivitaeten Delta_Market'!$B$1</f>
        <v>Delta-Sensitivitäten</v>
      </c>
      <c r="D682" s="1494" t="str">
        <f>'Sensitivitaeten Delta_Market'!$O$9</f>
        <v>Marktnaher Wert der Passiven mit entsprechendem Risikofaktor</v>
      </c>
      <c r="E682" s="1488" t="str">
        <f>'Sensitivitaeten Delta_Market'!$P$11</f>
        <v>dem übrigen Geschäft zugeordnet</v>
      </c>
      <c r="F682" s="1494" t="str">
        <f>'Sensitivitaeten Delta_Market'!$B26</f>
        <v>GBP Zeros  2 Y</v>
      </c>
      <c r="G682" s="1494"/>
      <c r="H682" s="1077">
        <f>'Sensitivitaeten Delta_Market'!$P26</f>
        <v>0</v>
      </c>
      <c r="U682" s="1027"/>
      <c r="V682" s="1027"/>
      <c r="W682" s="1027"/>
    </row>
    <row r="683" spans="2:23" x14ac:dyDescent="0.2">
      <c r="B683" s="1493">
        <f>'Sensitivitaeten Delta_Market'!$A$1</f>
        <v>9</v>
      </c>
      <c r="C683" s="1488" t="str">
        <f>'Sensitivitaeten Delta_Market'!$B$1</f>
        <v>Delta-Sensitivitäten</v>
      </c>
      <c r="D683" s="1494" t="str">
        <f>'Sensitivitaeten Delta_Market'!$O$9</f>
        <v>Marktnaher Wert der Passiven mit entsprechendem Risikofaktor</v>
      </c>
      <c r="E683" s="1488" t="str">
        <f>'Sensitivitaeten Delta_Market'!$P$11</f>
        <v>dem übrigen Geschäft zugeordnet</v>
      </c>
      <c r="F683" s="1494" t="str">
        <f>'Sensitivitaeten Delta_Market'!$B27</f>
        <v>GBP Zeros  10 Y</v>
      </c>
      <c r="G683" s="1494"/>
      <c r="H683" s="1077">
        <f>'Sensitivitaeten Delta_Market'!$P27</f>
        <v>0</v>
      </c>
      <c r="U683" s="1027"/>
      <c r="V683" s="1027"/>
      <c r="W683" s="1027"/>
    </row>
    <row r="684" spans="2:23" x14ac:dyDescent="0.2">
      <c r="B684" s="1493">
        <f>'Sensitivitaeten Delta_Market'!$A$1</f>
        <v>9</v>
      </c>
      <c r="C684" s="1488" t="str">
        <f>'Sensitivitaeten Delta_Market'!$B$1</f>
        <v>Delta-Sensitivitäten</v>
      </c>
      <c r="D684" s="1494" t="str">
        <f>'Sensitivitaeten Delta_Market'!$O$9</f>
        <v>Marktnaher Wert der Passiven mit entsprechendem Risikofaktor</v>
      </c>
      <c r="E684" s="1488" t="str">
        <f>'Sensitivitaeten Delta_Market'!$P$11</f>
        <v>dem übrigen Geschäft zugeordnet</v>
      </c>
      <c r="F684" s="1494" t="str">
        <f>'Sensitivitaeten Delta_Market'!$B28</f>
        <v>GBP Zeros  30 Y</v>
      </c>
      <c r="G684" s="1494"/>
      <c r="H684" s="1077">
        <f>'Sensitivitaeten Delta_Market'!$P28</f>
        <v>0</v>
      </c>
      <c r="U684" s="1027"/>
      <c r="V684" s="1027"/>
      <c r="W684" s="1027"/>
    </row>
    <row r="685" spans="2:23" x14ac:dyDescent="0.2">
      <c r="B685" s="1493">
        <f>'Sensitivitaeten Delta_Market'!$A$1</f>
        <v>9</v>
      </c>
      <c r="C685" s="1488" t="str">
        <f>'Sensitivitaeten Delta_Market'!$B$1</f>
        <v>Delta-Sensitivitäten</v>
      </c>
      <c r="D685" s="1494" t="str">
        <f>'Sensitivitaeten Delta_Market'!$O$9</f>
        <v>Marktnaher Wert der Passiven mit entsprechendem Risikofaktor</v>
      </c>
      <c r="E685" s="1488" t="str">
        <f>'Sensitivitaeten Delta_Market'!$P$11</f>
        <v>dem übrigen Geschäft zugeordnet</v>
      </c>
      <c r="F685" s="1625" t="s">
        <v>431</v>
      </c>
      <c r="G685" s="1617" t="s">
        <v>2301</v>
      </c>
      <c r="H685" s="1626"/>
      <c r="U685" s="1027"/>
      <c r="V685" s="1027"/>
      <c r="W685" s="1027"/>
    </row>
    <row r="686" spans="2:23" x14ac:dyDescent="0.2">
      <c r="B686" s="1493">
        <f>'Sensitivitaeten Delta_Market'!$A$1</f>
        <v>9</v>
      </c>
      <c r="C686" s="1488" t="str">
        <f>'Sensitivitaeten Delta_Market'!$B$1</f>
        <v>Delta-Sensitivitäten</v>
      </c>
      <c r="D686" s="1494" t="str">
        <f>'Sensitivitaeten Delta_Market'!$O$9</f>
        <v>Marktnaher Wert der Passiven mit entsprechendem Risikofaktor</v>
      </c>
      <c r="E686" s="1488" t="str">
        <f>'Sensitivitaeten Delta_Market'!$P$11</f>
        <v>dem übrigen Geschäft zugeordnet</v>
      </c>
      <c r="F686" s="1625" t="s">
        <v>2320</v>
      </c>
      <c r="G686" s="1617" t="s">
        <v>2301</v>
      </c>
      <c r="H686" s="1626"/>
      <c r="U686" s="1027"/>
      <c r="V686" s="1027"/>
      <c r="W686" s="1027"/>
    </row>
    <row r="687" spans="2:23" x14ac:dyDescent="0.2">
      <c r="B687" s="1493">
        <f>'Sensitivitaeten Delta_Market'!$A$1</f>
        <v>9</v>
      </c>
      <c r="C687" s="1488" t="str">
        <f>'Sensitivitaeten Delta_Market'!$B$1</f>
        <v>Delta-Sensitivitäten</v>
      </c>
      <c r="D687" s="1494" t="str">
        <f>'Sensitivitaeten Delta_Market'!$O$9</f>
        <v>Marktnaher Wert der Passiven mit entsprechendem Risikofaktor</v>
      </c>
      <c r="E687" s="1488" t="str">
        <f>'Sensitivitaeten Delta_Market'!$P$11</f>
        <v>dem übrigen Geschäft zugeordnet</v>
      </c>
      <c r="F687" s="1625" t="s">
        <v>2321</v>
      </c>
      <c r="G687" s="1617" t="s">
        <v>2301</v>
      </c>
      <c r="H687" s="1626"/>
      <c r="U687" s="1027"/>
      <c r="V687" s="1027"/>
      <c r="W687" s="1027"/>
    </row>
    <row r="688" spans="2:23" x14ac:dyDescent="0.2">
      <c r="B688" s="1493">
        <f>'Sensitivitaeten Delta_Market'!$A$1</f>
        <v>9</v>
      </c>
      <c r="C688" s="1488" t="str">
        <f>'Sensitivitaeten Delta_Market'!$B$1</f>
        <v>Delta-Sensitivitäten</v>
      </c>
      <c r="D688" s="1494" t="str">
        <f>'Sensitivitaeten Delta_Market'!$O$9</f>
        <v>Marktnaher Wert der Passiven mit entsprechendem Risikofaktor</v>
      </c>
      <c r="E688" s="1488" t="str">
        <f>'Sensitivitaeten Delta_Market'!$P$11</f>
        <v>dem übrigen Geschäft zugeordnet</v>
      </c>
      <c r="F688" s="1625" t="s">
        <v>2322</v>
      </c>
      <c r="G688" s="1617" t="s">
        <v>2301</v>
      </c>
      <c r="H688" s="1626"/>
      <c r="U688" s="1027"/>
      <c r="V688" s="1027"/>
      <c r="W688" s="1027"/>
    </row>
    <row r="689" spans="2:23" x14ac:dyDescent="0.2">
      <c r="B689" s="1493">
        <f>'Sensitivitaeten Delta_Market'!$A$1</f>
        <v>9</v>
      </c>
      <c r="C689" s="1488" t="str">
        <f>'Sensitivitaeten Delta_Market'!$B$1</f>
        <v>Delta-Sensitivitäten</v>
      </c>
      <c r="D689" s="1494" t="str">
        <f>'Sensitivitaeten Delta_Market'!$O$9</f>
        <v>Marktnaher Wert der Passiven mit entsprechendem Risikofaktor</v>
      </c>
      <c r="E689" s="1488" t="str">
        <f>'Sensitivitaeten Delta_Market'!$P$11</f>
        <v>dem übrigen Geschäft zugeordnet</v>
      </c>
      <c r="F689" s="1625" t="s">
        <v>2323</v>
      </c>
      <c r="G689" s="1617" t="s">
        <v>2301</v>
      </c>
      <c r="H689" s="1626"/>
      <c r="U689" s="1027"/>
      <c r="V689" s="1027"/>
      <c r="W689" s="1027"/>
    </row>
    <row r="690" spans="2:23" x14ac:dyDescent="0.2">
      <c r="B690" s="1493">
        <f>'Sensitivitaeten Delta_Market'!$A$1</f>
        <v>9</v>
      </c>
      <c r="C690" s="1488" t="str">
        <f>'Sensitivitaeten Delta_Market'!$B$1</f>
        <v>Delta-Sensitivitäten</v>
      </c>
      <c r="D690" s="1494" t="str">
        <f>'Sensitivitaeten Delta_Market'!$O$9</f>
        <v>Marktnaher Wert der Passiven mit entsprechendem Risikofaktor</v>
      </c>
      <c r="E690" s="1488" t="str">
        <f>'Sensitivitaeten Delta_Market'!$P$11</f>
        <v>dem übrigen Geschäft zugeordnet</v>
      </c>
      <c r="F690" s="1625" t="s">
        <v>2324</v>
      </c>
      <c r="G690" s="1617" t="s">
        <v>2301</v>
      </c>
      <c r="H690" s="1626"/>
      <c r="U690" s="1027"/>
      <c r="V690" s="1027"/>
      <c r="W690" s="1027"/>
    </row>
    <row r="691" spans="2:23" x14ac:dyDescent="0.2">
      <c r="B691" s="1493">
        <f>'Sensitivitaeten Delta_Market'!$A$1</f>
        <v>9</v>
      </c>
      <c r="C691" s="1488" t="str">
        <f>'Sensitivitaeten Delta_Market'!$B$1</f>
        <v>Delta-Sensitivitäten</v>
      </c>
      <c r="D691" s="1494" t="str">
        <f>'Sensitivitaeten Delta_Market'!$O$9</f>
        <v>Marktnaher Wert der Passiven mit entsprechendem Risikofaktor</v>
      </c>
      <c r="E691" s="1488" t="str">
        <f>'Sensitivitaeten Delta_Market'!$P$11</f>
        <v>dem übrigen Geschäft zugeordnet</v>
      </c>
      <c r="F691" s="1625" t="s">
        <v>2325</v>
      </c>
      <c r="G691" s="1617" t="s">
        <v>2301</v>
      </c>
      <c r="H691" s="1626"/>
      <c r="U691" s="1027"/>
      <c r="V691" s="1027"/>
      <c r="W691" s="1027"/>
    </row>
    <row r="692" spans="2:23" x14ac:dyDescent="0.2">
      <c r="B692" s="1493">
        <f>'Sensitivitaeten Delta_Market'!$A$1</f>
        <v>9</v>
      </c>
      <c r="C692" s="1488" t="str">
        <f>'Sensitivitaeten Delta_Market'!$B$1</f>
        <v>Delta-Sensitivitäten</v>
      </c>
      <c r="D692" s="1494" t="str">
        <f>'Sensitivitaeten Delta_Market'!$O$9</f>
        <v>Marktnaher Wert der Passiven mit entsprechendem Risikofaktor</v>
      </c>
      <c r="E692" s="1488" t="str">
        <f>'Sensitivitaeten Delta_Market'!$P$11</f>
        <v>dem übrigen Geschäft zugeordnet</v>
      </c>
      <c r="F692" s="1625" t="s">
        <v>2326</v>
      </c>
      <c r="G692" s="1617" t="s">
        <v>2301</v>
      </c>
      <c r="H692" s="1626"/>
      <c r="U692" s="1027"/>
      <c r="V692" s="1027"/>
      <c r="W692" s="1027"/>
    </row>
    <row r="693" spans="2:23" x14ac:dyDescent="0.2">
      <c r="B693" s="1493">
        <f>'Sensitivitaeten Delta_Market'!$A$1</f>
        <v>9</v>
      </c>
      <c r="C693" s="1488" t="str">
        <f>'Sensitivitaeten Delta_Market'!$B$1</f>
        <v>Delta-Sensitivitäten</v>
      </c>
      <c r="D693" s="1494" t="str">
        <f>'Sensitivitaeten Delta_Market'!$O$9</f>
        <v>Marktnaher Wert der Passiven mit entsprechendem Risikofaktor</v>
      </c>
      <c r="E693" s="1488" t="str">
        <f>'Sensitivitaeten Delta_Market'!$P$11</f>
        <v>dem übrigen Geschäft zugeordnet</v>
      </c>
      <c r="F693" s="1625" t="s">
        <v>2327</v>
      </c>
      <c r="G693" s="1617" t="s">
        <v>2301</v>
      </c>
      <c r="H693" s="1626"/>
      <c r="U693" s="1027"/>
      <c r="V693" s="1027"/>
      <c r="W693" s="1027"/>
    </row>
    <row r="694" spans="2:23" x14ac:dyDescent="0.2">
      <c r="B694" s="1493">
        <f>'Sensitivitaeten Delta_Market'!$A$1</f>
        <v>9</v>
      </c>
      <c r="C694" s="1488" t="str">
        <f>'Sensitivitaeten Delta_Market'!$B$1</f>
        <v>Delta-Sensitivitäten</v>
      </c>
      <c r="D694" s="1494" t="str">
        <f>'Sensitivitaeten Delta_Market'!$O$9</f>
        <v>Marktnaher Wert der Passiven mit entsprechendem Risikofaktor</v>
      </c>
      <c r="E694" s="1488" t="str">
        <f>'Sensitivitaeten Delta_Market'!$P$11</f>
        <v>dem übrigen Geschäft zugeordnet</v>
      </c>
      <c r="F694" s="1625" t="s">
        <v>2328</v>
      </c>
      <c r="G694" s="1617" t="s">
        <v>2301</v>
      </c>
      <c r="H694" s="1626"/>
      <c r="U694" s="1027"/>
      <c r="V694" s="1027"/>
      <c r="W694" s="1027"/>
    </row>
    <row r="695" spans="2:23" x14ac:dyDescent="0.2">
      <c r="B695" s="1493">
        <f>'Sensitivitaeten Delta_Market'!$A$1</f>
        <v>9</v>
      </c>
      <c r="C695" s="1488" t="str">
        <f>'Sensitivitaeten Delta_Market'!$B$1</f>
        <v>Delta-Sensitivitäten</v>
      </c>
      <c r="D695" s="1494" t="str">
        <f>'Sensitivitaeten Delta_Market'!$O$9</f>
        <v>Marktnaher Wert der Passiven mit entsprechendem Risikofaktor</v>
      </c>
      <c r="E695" s="1488" t="str">
        <f>'Sensitivitaeten Delta_Market'!$P$11</f>
        <v>dem übrigen Geschäft zugeordnet</v>
      </c>
      <c r="F695" s="1495" t="str">
        <f>'Sensitivitaeten Delta_Market'!$B29</f>
        <v>Implizite Zinsvolatilität</v>
      </c>
      <c r="G695" s="1494"/>
      <c r="H695" s="1077">
        <f>'Sensitivitaeten Delta_Market'!$P29</f>
        <v>0</v>
      </c>
      <c r="U695" s="1027"/>
      <c r="V695" s="1027"/>
      <c r="W695" s="1027"/>
    </row>
    <row r="696" spans="2:23" x14ac:dyDescent="0.2">
      <c r="B696" s="1493">
        <f>'Sensitivitaeten Delta_Market'!$A$1</f>
        <v>9</v>
      </c>
      <c r="C696" s="1488" t="str">
        <f>'Sensitivitaeten Delta_Market'!$B$1</f>
        <v>Delta-Sensitivitäten</v>
      </c>
      <c r="D696" s="1494" t="str">
        <f>'Sensitivitaeten Delta_Market'!$O$9</f>
        <v>Marktnaher Wert der Passiven mit entsprechendem Risikofaktor</v>
      </c>
      <c r="E696" s="1488" t="str">
        <f>'Sensitivitaeten Delta_Market'!$P$11</f>
        <v>dem übrigen Geschäft zugeordnet</v>
      </c>
      <c r="F696" s="1495" t="str">
        <f>'Sensitivitaeten Delta_Market'!$B30</f>
        <v>Credit Spread USA   AAA</v>
      </c>
      <c r="G696" s="1494"/>
      <c r="H696" s="1077">
        <f>'Sensitivitaeten Delta_Market'!$P30</f>
        <v>0</v>
      </c>
      <c r="U696" s="1027"/>
      <c r="V696" s="1027"/>
      <c r="W696" s="1027"/>
    </row>
    <row r="697" spans="2:23" x14ac:dyDescent="0.2">
      <c r="B697" s="1493">
        <f>'Sensitivitaeten Delta_Market'!$A$1</f>
        <v>9</v>
      </c>
      <c r="C697" s="1488" t="str">
        <f>'Sensitivitaeten Delta_Market'!$B$1</f>
        <v>Delta-Sensitivitäten</v>
      </c>
      <c r="D697" s="1494" t="str">
        <f>'Sensitivitaeten Delta_Market'!$O$9</f>
        <v>Marktnaher Wert der Passiven mit entsprechendem Risikofaktor</v>
      </c>
      <c r="E697" s="1488" t="str">
        <f>'Sensitivitaeten Delta_Market'!$P$11</f>
        <v>dem übrigen Geschäft zugeordnet</v>
      </c>
      <c r="F697" s="1495" t="str">
        <f>'Sensitivitaeten Delta_Market'!$B31</f>
        <v>Credit Spread USA   AA</v>
      </c>
      <c r="G697" s="1494"/>
      <c r="H697" s="1077">
        <f>'Sensitivitaeten Delta_Market'!$P31</f>
        <v>0</v>
      </c>
      <c r="U697" s="1027"/>
      <c r="V697" s="1027"/>
      <c r="W697" s="1027"/>
    </row>
    <row r="698" spans="2:23" x14ac:dyDescent="0.2">
      <c r="B698" s="1493">
        <f>'Sensitivitaeten Delta_Market'!$A$1</f>
        <v>9</v>
      </c>
      <c r="C698" s="1488" t="str">
        <f>'Sensitivitaeten Delta_Market'!$B$1</f>
        <v>Delta-Sensitivitäten</v>
      </c>
      <c r="D698" s="1494" t="str">
        <f>'Sensitivitaeten Delta_Market'!$O$9</f>
        <v>Marktnaher Wert der Passiven mit entsprechendem Risikofaktor</v>
      </c>
      <c r="E698" s="1488" t="str">
        <f>'Sensitivitaeten Delta_Market'!$P$11</f>
        <v>dem übrigen Geschäft zugeordnet</v>
      </c>
      <c r="F698" s="1495" t="str">
        <f>'Sensitivitaeten Delta_Market'!$B32</f>
        <v>Credit Spread USA   A</v>
      </c>
      <c r="G698" s="1494"/>
      <c r="H698" s="1077">
        <f>'Sensitivitaeten Delta_Market'!$P32</f>
        <v>0</v>
      </c>
      <c r="U698" s="1027"/>
      <c r="V698" s="1027"/>
      <c r="W698" s="1027"/>
    </row>
    <row r="699" spans="2:23" x14ac:dyDescent="0.2">
      <c r="B699" s="1493">
        <f>'Sensitivitaeten Delta_Market'!$A$1</f>
        <v>9</v>
      </c>
      <c r="C699" s="1488" t="str">
        <f>'Sensitivitaeten Delta_Market'!$B$1</f>
        <v>Delta-Sensitivitäten</v>
      </c>
      <c r="D699" s="1494" t="str">
        <f>'Sensitivitaeten Delta_Market'!$O$9</f>
        <v>Marktnaher Wert der Passiven mit entsprechendem Risikofaktor</v>
      </c>
      <c r="E699" s="1488" t="str">
        <f>'Sensitivitaeten Delta_Market'!$P$11</f>
        <v>dem übrigen Geschäft zugeordnet</v>
      </c>
      <c r="F699" s="1495" t="str">
        <f>'Sensitivitaeten Delta_Market'!$B33</f>
        <v>Credit Spread USA   BBB</v>
      </c>
      <c r="G699" s="1494"/>
      <c r="H699" s="1077">
        <f>'Sensitivitaeten Delta_Market'!$P33</f>
        <v>0</v>
      </c>
      <c r="U699" s="1027"/>
      <c r="V699" s="1027"/>
      <c r="W699" s="1027"/>
    </row>
    <row r="700" spans="2:23" x14ac:dyDescent="0.2">
      <c r="B700" s="1493">
        <f>'Sensitivitaeten Delta_Market'!$A$1</f>
        <v>9</v>
      </c>
      <c r="C700" s="1488" t="str">
        <f>'Sensitivitaeten Delta_Market'!$B$1</f>
        <v>Delta-Sensitivitäten</v>
      </c>
      <c r="D700" s="1494" t="str">
        <f>'Sensitivitaeten Delta_Market'!$O$9</f>
        <v>Marktnaher Wert der Passiven mit entsprechendem Risikofaktor</v>
      </c>
      <c r="E700" s="1488" t="str">
        <f>'Sensitivitaeten Delta_Market'!$P$11</f>
        <v>dem übrigen Geschäft zugeordnet</v>
      </c>
      <c r="F700" s="1495" t="str">
        <f>'Sensitivitaeten Delta_Market'!$B34</f>
        <v>Credit Spread   BB</v>
      </c>
      <c r="G700" s="1494"/>
      <c r="H700" s="1077">
        <f>'Sensitivitaeten Delta_Market'!$P34</f>
        <v>0</v>
      </c>
      <c r="U700" s="1027"/>
      <c r="V700" s="1027"/>
      <c r="W700" s="1027"/>
    </row>
    <row r="701" spans="2:23" x14ac:dyDescent="0.2">
      <c r="B701" s="1493">
        <f>'Sensitivitaeten Delta_Market'!$A$1</f>
        <v>9</v>
      </c>
      <c r="C701" s="1488" t="str">
        <f>'Sensitivitaeten Delta_Market'!$B$1</f>
        <v>Delta-Sensitivitäten</v>
      </c>
      <c r="D701" s="1494" t="str">
        <f>'Sensitivitaeten Delta_Market'!$O$9</f>
        <v>Marktnaher Wert der Passiven mit entsprechendem Risikofaktor</v>
      </c>
      <c r="E701" s="1488" t="str">
        <f>'Sensitivitaeten Delta_Market'!$P$11</f>
        <v>dem übrigen Geschäft zugeordnet</v>
      </c>
      <c r="F701" s="1625" t="s">
        <v>2100</v>
      </c>
      <c r="G701" s="1617" t="s">
        <v>2101</v>
      </c>
      <c r="H701" s="1626"/>
      <c r="U701" s="1027"/>
      <c r="V701" s="1027"/>
      <c r="W701" s="1027"/>
    </row>
    <row r="702" spans="2:23" x14ac:dyDescent="0.2">
      <c r="B702" s="1493">
        <f>'Sensitivitaeten Delta_Market'!$A$1</f>
        <v>9</v>
      </c>
      <c r="C702" s="1488" t="str">
        <f>'Sensitivitaeten Delta_Market'!$B$1</f>
        <v>Delta-Sensitivitäten</v>
      </c>
      <c r="D702" s="1494" t="str">
        <f>'Sensitivitaeten Delta_Market'!$O$9</f>
        <v>Marktnaher Wert der Passiven mit entsprechendem Risikofaktor</v>
      </c>
      <c r="E702" s="1488" t="str">
        <f>'Sensitivitaeten Delta_Market'!$P$11</f>
        <v>dem übrigen Geschäft zugeordnet</v>
      </c>
      <c r="F702" s="1495" t="str">
        <f>'Sensitivitaeten Delta_Market'!$B35</f>
        <v>Credit Spread Europa   AA</v>
      </c>
      <c r="G702" s="1494"/>
      <c r="H702" s="1077">
        <f>'Sensitivitaeten Delta_Market'!$P35</f>
        <v>0</v>
      </c>
      <c r="U702" s="1027"/>
      <c r="V702" s="1027"/>
      <c r="W702" s="1027"/>
    </row>
    <row r="703" spans="2:23" x14ac:dyDescent="0.2">
      <c r="B703" s="1493">
        <f>'Sensitivitaeten Delta_Market'!$A$1</f>
        <v>9</v>
      </c>
      <c r="C703" s="1488" t="str">
        <f>'Sensitivitaeten Delta_Market'!$B$1</f>
        <v>Delta-Sensitivitäten</v>
      </c>
      <c r="D703" s="1494" t="str">
        <f>'Sensitivitaeten Delta_Market'!$O$9</f>
        <v>Marktnaher Wert der Passiven mit entsprechendem Risikofaktor</v>
      </c>
      <c r="E703" s="1488" t="str">
        <f>'Sensitivitaeten Delta_Market'!$P$11</f>
        <v>dem übrigen Geschäft zugeordnet</v>
      </c>
      <c r="F703" s="1495" t="str">
        <f>'Sensitivitaeten Delta_Market'!$B36</f>
        <v>Credit Spread Europa   A</v>
      </c>
      <c r="G703" s="1494"/>
      <c r="H703" s="1077">
        <f>'Sensitivitaeten Delta_Market'!$P36</f>
        <v>0</v>
      </c>
      <c r="U703" s="1027"/>
      <c r="V703" s="1027"/>
      <c r="W703" s="1027"/>
    </row>
    <row r="704" spans="2:23" x14ac:dyDescent="0.2">
      <c r="B704" s="1493">
        <f>'Sensitivitaeten Delta_Market'!$A$1</f>
        <v>9</v>
      </c>
      <c r="C704" s="1488" t="str">
        <f>'Sensitivitaeten Delta_Market'!$B$1</f>
        <v>Delta-Sensitivitäten</v>
      </c>
      <c r="D704" s="1494" t="str">
        <f>'Sensitivitaeten Delta_Market'!$O$9</f>
        <v>Marktnaher Wert der Passiven mit entsprechendem Risikofaktor</v>
      </c>
      <c r="E704" s="1488" t="str">
        <f>'Sensitivitaeten Delta_Market'!$P$11</f>
        <v>dem übrigen Geschäft zugeordnet</v>
      </c>
      <c r="F704" s="1495" t="str">
        <f>'Sensitivitaeten Delta_Market'!$B37</f>
        <v>Credit Spread Europa   BBB</v>
      </c>
      <c r="G704" s="1494"/>
      <c r="H704" s="1077">
        <f>'Sensitivitaeten Delta_Market'!$P37</f>
        <v>0</v>
      </c>
      <c r="U704" s="1027"/>
      <c r="V704" s="1027"/>
      <c r="W704" s="1027"/>
    </row>
    <row r="705" spans="2:23" x14ac:dyDescent="0.2">
      <c r="B705" s="1493">
        <f>'Sensitivitaeten Delta_Market'!$A$1</f>
        <v>9</v>
      </c>
      <c r="C705" s="1488" t="str">
        <f>'Sensitivitaeten Delta_Market'!$B$1</f>
        <v>Delta-Sensitivitäten</v>
      </c>
      <c r="D705" s="1494" t="str">
        <f>'Sensitivitaeten Delta_Market'!$O$9</f>
        <v>Marktnaher Wert der Passiven mit entsprechendem Risikofaktor</v>
      </c>
      <c r="E705" s="1488" t="str">
        <f>'Sensitivitaeten Delta_Market'!$P$11</f>
        <v>dem übrigen Geschäft zugeordnet</v>
      </c>
      <c r="F705" s="1495" t="str">
        <f>'Sensitivitaeten Delta_Market'!$B41</f>
        <v>Swap-Government Spread</v>
      </c>
      <c r="G705" s="1494"/>
      <c r="H705" s="1077">
        <f>'Sensitivitaeten Delta_Market'!$P41</f>
        <v>0</v>
      </c>
      <c r="U705" s="1027"/>
      <c r="V705" s="1027"/>
      <c r="W705" s="1027"/>
    </row>
    <row r="706" spans="2:23" x14ac:dyDescent="0.2">
      <c r="B706" s="1493">
        <f>'Sensitivitaeten Delta_Market'!$A$1</f>
        <v>9</v>
      </c>
      <c r="C706" s="1488" t="str">
        <f>'Sensitivitaeten Delta_Market'!$B$1</f>
        <v>Delta-Sensitivitäten</v>
      </c>
      <c r="D706" s="1494" t="str">
        <f>'Sensitivitaeten Delta_Market'!$O$9</f>
        <v>Marktnaher Wert der Passiven mit entsprechendem Risikofaktor</v>
      </c>
      <c r="E706" s="1488" t="str">
        <f>'Sensitivitaeten Delta_Market'!$P$11</f>
        <v>dem übrigen Geschäft zugeordnet</v>
      </c>
      <c r="F706" s="1495" t="str">
        <f>'Sensitivitaeten Delta_Market'!$B42</f>
        <v>Wechselkurs   EUR/CHF</v>
      </c>
      <c r="G706" s="1494"/>
      <c r="H706" s="1077">
        <f>'Sensitivitaeten Delta_Market'!$P42</f>
        <v>0</v>
      </c>
      <c r="U706" s="1027"/>
      <c r="V706" s="1027"/>
      <c r="W706" s="1027"/>
    </row>
    <row r="707" spans="2:23" x14ac:dyDescent="0.2">
      <c r="B707" s="1493">
        <f>'Sensitivitaeten Delta_Market'!$A$1</f>
        <v>9</v>
      </c>
      <c r="C707" s="1488" t="str">
        <f>'Sensitivitaeten Delta_Market'!$B$1</f>
        <v>Delta-Sensitivitäten</v>
      </c>
      <c r="D707" s="1494" t="str">
        <f>'Sensitivitaeten Delta_Market'!$O$9</f>
        <v>Marktnaher Wert der Passiven mit entsprechendem Risikofaktor</v>
      </c>
      <c r="E707" s="1488" t="str">
        <f>'Sensitivitaeten Delta_Market'!$P$11</f>
        <v>dem übrigen Geschäft zugeordnet</v>
      </c>
      <c r="F707" s="1495" t="str">
        <f>'Sensitivitaeten Delta_Market'!$B43</f>
        <v>Wechselkurs   USD/CHF</v>
      </c>
      <c r="G707" s="1494"/>
      <c r="H707" s="1077">
        <f>'Sensitivitaeten Delta_Market'!$P43</f>
        <v>0</v>
      </c>
      <c r="U707" s="1027"/>
      <c r="V707" s="1027"/>
      <c r="W707" s="1027"/>
    </row>
    <row r="708" spans="2:23" x14ac:dyDescent="0.2">
      <c r="B708" s="1493">
        <f>'Sensitivitaeten Delta_Market'!$A$1</f>
        <v>9</v>
      </c>
      <c r="C708" s="1488" t="str">
        <f>'Sensitivitaeten Delta_Market'!$B$1</f>
        <v>Delta-Sensitivitäten</v>
      </c>
      <c r="D708" s="1494" t="str">
        <f>'Sensitivitaeten Delta_Market'!$O$9</f>
        <v>Marktnaher Wert der Passiven mit entsprechendem Risikofaktor</v>
      </c>
      <c r="E708" s="1488" t="str">
        <f>'Sensitivitaeten Delta_Market'!$P$11</f>
        <v>dem übrigen Geschäft zugeordnet</v>
      </c>
      <c r="F708" s="1495" t="str">
        <f>'Sensitivitaeten Delta_Market'!$B44</f>
        <v>Wechselkurs   GBP/CHF</v>
      </c>
      <c r="G708" s="1494"/>
      <c r="H708" s="1077">
        <f>'Sensitivitaeten Delta_Market'!$P44</f>
        <v>0</v>
      </c>
      <c r="U708" s="1027"/>
      <c r="V708" s="1027"/>
      <c r="W708" s="1027"/>
    </row>
    <row r="709" spans="2:23" x14ac:dyDescent="0.2">
      <c r="B709" s="1493">
        <f>'Sensitivitaeten Delta_Market'!$A$1</f>
        <v>9</v>
      </c>
      <c r="C709" s="1488" t="str">
        <f>'Sensitivitaeten Delta_Market'!$B$1</f>
        <v>Delta-Sensitivitäten</v>
      </c>
      <c r="D709" s="1494" t="str">
        <f>'Sensitivitaeten Delta_Market'!$O$9</f>
        <v>Marktnaher Wert der Passiven mit entsprechendem Risikofaktor</v>
      </c>
      <c r="E709" s="1488" t="str">
        <f>'Sensitivitaeten Delta_Market'!$P$11</f>
        <v>dem übrigen Geschäft zugeordnet</v>
      </c>
      <c r="F709" s="1495" t="str">
        <f>'Sensitivitaeten Delta_Market'!$B45</f>
        <v>Wechselkurs   JPY/CHF</v>
      </c>
      <c r="G709" s="1494"/>
      <c r="H709" s="1077">
        <f>'Sensitivitaeten Delta_Market'!$P45</f>
        <v>0</v>
      </c>
      <c r="U709" s="1027"/>
      <c r="V709" s="1027"/>
      <c r="W709" s="1027"/>
    </row>
    <row r="710" spans="2:23" x14ac:dyDescent="0.2">
      <c r="B710" s="1493">
        <f>'Sensitivitaeten Delta_Market'!$A$1</f>
        <v>9</v>
      </c>
      <c r="C710" s="1488" t="str">
        <f>'Sensitivitaeten Delta_Market'!$B$1</f>
        <v>Delta-Sensitivitäten</v>
      </c>
      <c r="D710" s="1494" t="str">
        <f>'Sensitivitaeten Delta_Market'!$O$9</f>
        <v>Marktnaher Wert der Passiven mit entsprechendem Risikofaktor</v>
      </c>
      <c r="E710" s="1488" t="str">
        <f>'Sensitivitaeten Delta_Market'!$P$11</f>
        <v>dem übrigen Geschäft zugeordnet</v>
      </c>
      <c r="F710" s="1495" t="str">
        <f>'Sensitivitaeten Delta_Market'!$B46</f>
        <v xml:space="preserve">Implizite FX-Volatilität </v>
      </c>
      <c r="G710" s="1494"/>
      <c r="H710" s="1077">
        <f>'Sensitivitaeten Delta_Market'!$P46</f>
        <v>0</v>
      </c>
      <c r="U710" s="1027"/>
      <c r="V710" s="1027"/>
      <c r="W710" s="1027"/>
    </row>
    <row r="711" spans="2:23" x14ac:dyDescent="0.2">
      <c r="B711" s="1493">
        <f>'Sensitivitaeten Delta_Market'!$A$1</f>
        <v>9</v>
      </c>
      <c r="C711" s="1488" t="str">
        <f>'Sensitivitaeten Delta_Market'!$B$1</f>
        <v>Delta-Sensitivitäten</v>
      </c>
      <c r="D711" s="1494" t="str">
        <f>'Sensitivitaeten Delta_Market'!$O$9</f>
        <v>Marktnaher Wert der Passiven mit entsprechendem Risikofaktor</v>
      </c>
      <c r="E711" s="1488" t="str">
        <f>'Sensitivitaeten Delta_Market'!$P$11</f>
        <v>dem übrigen Geschäft zugeordnet</v>
      </c>
      <c r="F711" s="1495" t="str">
        <f>'Sensitivitaeten Delta_Market'!$B47</f>
        <v>Aktien Schweiz</v>
      </c>
      <c r="G711" s="1494"/>
      <c r="H711" s="1077">
        <f>'Sensitivitaeten Delta_Market'!$P47</f>
        <v>0</v>
      </c>
      <c r="U711" s="1027"/>
      <c r="V711" s="1027"/>
      <c r="W711" s="1027"/>
    </row>
    <row r="712" spans="2:23" x14ac:dyDescent="0.2">
      <c r="B712" s="1493">
        <f>'Sensitivitaeten Delta_Market'!$A$1</f>
        <v>9</v>
      </c>
      <c r="C712" s="1488" t="str">
        <f>'Sensitivitaeten Delta_Market'!$B$1</f>
        <v>Delta-Sensitivitäten</v>
      </c>
      <c r="D712" s="1494" t="str">
        <f>'Sensitivitaeten Delta_Market'!$O$9</f>
        <v>Marktnaher Wert der Passiven mit entsprechendem Risikofaktor</v>
      </c>
      <c r="E712" s="1488" t="str">
        <f>'Sensitivitaeten Delta_Market'!$P$11</f>
        <v>dem übrigen Geschäft zugeordnet</v>
      </c>
      <c r="F712" s="1495" t="str">
        <f>'Sensitivitaeten Delta_Market'!$B48</f>
        <v>Aktien EMU</v>
      </c>
      <c r="G712" s="1494"/>
      <c r="H712" s="1077">
        <f>'Sensitivitaeten Delta_Market'!$P48</f>
        <v>0</v>
      </c>
      <c r="U712" s="1027"/>
      <c r="V712" s="1027"/>
      <c r="W712" s="1027"/>
    </row>
    <row r="713" spans="2:23" x14ac:dyDescent="0.2">
      <c r="B713" s="1493">
        <f>'Sensitivitaeten Delta_Market'!$A$1</f>
        <v>9</v>
      </c>
      <c r="C713" s="1488" t="str">
        <f>'Sensitivitaeten Delta_Market'!$B$1</f>
        <v>Delta-Sensitivitäten</v>
      </c>
      <c r="D713" s="1494" t="str">
        <f>'Sensitivitaeten Delta_Market'!$O$9</f>
        <v>Marktnaher Wert der Passiven mit entsprechendem Risikofaktor</v>
      </c>
      <c r="E713" s="1488" t="str">
        <f>'Sensitivitaeten Delta_Market'!$P$11</f>
        <v>dem übrigen Geschäft zugeordnet</v>
      </c>
      <c r="F713" s="1495" t="str">
        <f>'Sensitivitaeten Delta_Market'!$B49</f>
        <v>Aktien USA</v>
      </c>
      <c r="G713" s="1494"/>
      <c r="H713" s="1077">
        <f>'Sensitivitaeten Delta_Market'!$P49</f>
        <v>0</v>
      </c>
      <c r="U713" s="1027"/>
      <c r="V713" s="1027"/>
      <c r="W713" s="1027"/>
    </row>
    <row r="714" spans="2:23" x14ac:dyDescent="0.2">
      <c r="B714" s="1493">
        <f>'Sensitivitaeten Delta_Market'!$A$1</f>
        <v>9</v>
      </c>
      <c r="C714" s="1488" t="str">
        <f>'Sensitivitaeten Delta_Market'!$B$1</f>
        <v>Delta-Sensitivitäten</v>
      </c>
      <c r="D714" s="1494" t="str">
        <f>'Sensitivitaeten Delta_Market'!$O$9</f>
        <v>Marktnaher Wert der Passiven mit entsprechendem Risikofaktor</v>
      </c>
      <c r="E714" s="1488" t="str">
        <f>'Sensitivitaeten Delta_Market'!$P$11</f>
        <v>dem übrigen Geschäft zugeordnet</v>
      </c>
      <c r="F714" s="1495" t="str">
        <f>'Sensitivitaeten Delta_Market'!$B50</f>
        <v>Aktien Grossbritannien</v>
      </c>
      <c r="G714" s="1494"/>
      <c r="H714" s="1077">
        <f>'Sensitivitaeten Delta_Market'!$P50</f>
        <v>0</v>
      </c>
      <c r="U714" s="1027"/>
      <c r="V714" s="1027"/>
      <c r="W714" s="1027"/>
    </row>
    <row r="715" spans="2:23" x14ac:dyDescent="0.2">
      <c r="B715" s="1493">
        <f>'Sensitivitaeten Delta_Market'!$A$1</f>
        <v>9</v>
      </c>
      <c r="C715" s="1488" t="str">
        <f>'Sensitivitaeten Delta_Market'!$B$1</f>
        <v>Delta-Sensitivitäten</v>
      </c>
      <c r="D715" s="1494" t="str">
        <f>'Sensitivitaeten Delta_Market'!$O$9</f>
        <v>Marktnaher Wert der Passiven mit entsprechendem Risikofaktor</v>
      </c>
      <c r="E715" s="1488" t="str">
        <f>'Sensitivitaeten Delta_Market'!$P$11</f>
        <v>dem übrigen Geschäft zugeordnet</v>
      </c>
      <c r="F715" s="1495" t="str">
        <f>'Sensitivitaeten Delta_Market'!$B51</f>
        <v>Aktien Japan</v>
      </c>
      <c r="G715" s="1494"/>
      <c r="H715" s="1077">
        <f>'Sensitivitaeten Delta_Market'!$P51</f>
        <v>0</v>
      </c>
      <c r="U715" s="1027"/>
      <c r="V715" s="1027"/>
      <c r="W715" s="1027"/>
    </row>
    <row r="716" spans="2:23" x14ac:dyDescent="0.2">
      <c r="B716" s="1493">
        <f>'Sensitivitaeten Delta_Market'!$A$1</f>
        <v>9</v>
      </c>
      <c r="C716" s="1488" t="str">
        <f>'Sensitivitaeten Delta_Market'!$B$1</f>
        <v>Delta-Sensitivitäten</v>
      </c>
      <c r="D716" s="1494" t="str">
        <f>'Sensitivitaeten Delta_Market'!$O$9</f>
        <v>Marktnaher Wert der Passiven mit entsprechendem Risikofaktor</v>
      </c>
      <c r="E716" s="1488" t="str">
        <f>'Sensitivitaeten Delta_Market'!$P$11</f>
        <v>dem übrigen Geschäft zugeordnet</v>
      </c>
      <c r="F716" s="1625" t="s">
        <v>2338</v>
      </c>
      <c r="G716" s="1617" t="s">
        <v>2301</v>
      </c>
      <c r="H716" s="1626"/>
      <c r="U716" s="1027"/>
      <c r="V716" s="1027"/>
      <c r="W716" s="1027"/>
    </row>
    <row r="717" spans="2:23" x14ac:dyDescent="0.2">
      <c r="B717" s="1493">
        <f>'Sensitivitaeten Delta_Market'!$A$1</f>
        <v>9</v>
      </c>
      <c r="C717" s="1488" t="str">
        <f>'Sensitivitaeten Delta_Market'!$B$1</f>
        <v>Delta-Sensitivitäten</v>
      </c>
      <c r="D717" s="1494" t="str">
        <f>'Sensitivitaeten Delta_Market'!$O$9</f>
        <v>Marktnaher Wert der Passiven mit entsprechendem Risikofaktor</v>
      </c>
      <c r="E717" s="1488" t="str">
        <f>'Sensitivitaeten Delta_Market'!$P$11</f>
        <v>dem übrigen Geschäft zugeordnet</v>
      </c>
      <c r="F717" s="1625" t="s">
        <v>2339</v>
      </c>
      <c r="G717" s="1617" t="s">
        <v>2301</v>
      </c>
      <c r="H717" s="1626"/>
      <c r="U717" s="1027"/>
      <c r="V717" s="1027"/>
      <c r="W717" s="1027"/>
    </row>
    <row r="718" spans="2:23" x14ac:dyDescent="0.2">
      <c r="B718" s="1493">
        <f>'Sensitivitaeten Delta_Market'!$A$1</f>
        <v>9</v>
      </c>
      <c r="C718" s="1488" t="str">
        <f>'Sensitivitaeten Delta_Market'!$B$1</f>
        <v>Delta-Sensitivitäten</v>
      </c>
      <c r="D718" s="1494" t="str">
        <f>'Sensitivitaeten Delta_Market'!$O$9</f>
        <v>Marktnaher Wert der Passiven mit entsprechendem Risikofaktor</v>
      </c>
      <c r="E718" s="1488" t="str">
        <f>'Sensitivitaeten Delta_Market'!$P$11</f>
        <v>dem übrigen Geschäft zugeordnet</v>
      </c>
      <c r="F718" s="1497" t="str">
        <f>'Sensitivitaeten Delta_Market'!$B52</f>
        <v>Implizite Aktienvolatilität</v>
      </c>
      <c r="G718" s="1494"/>
      <c r="H718" s="1077">
        <f>'Sensitivitaeten Delta_Market'!$P52</f>
        <v>0</v>
      </c>
      <c r="U718" s="1027"/>
      <c r="V718" s="1027"/>
      <c r="W718" s="1027"/>
    </row>
    <row r="719" spans="2:23" x14ac:dyDescent="0.2">
      <c r="B719" s="1493">
        <f>'Sensitivitaeten Delta_Market'!$A$1</f>
        <v>9</v>
      </c>
      <c r="C719" s="1488" t="str">
        <f>'Sensitivitaeten Delta_Market'!$B$1</f>
        <v>Delta-Sensitivitäten</v>
      </c>
      <c r="D719" s="1494" t="str">
        <f>'Sensitivitaeten Delta_Market'!$O$9</f>
        <v>Marktnaher Wert der Passiven mit entsprechendem Risikofaktor</v>
      </c>
      <c r="E719" s="1488" t="str">
        <f>'Sensitivitaeten Delta_Market'!$P$11</f>
        <v>dem übrigen Geschäft zugeordnet</v>
      </c>
      <c r="F719" s="1495" t="str">
        <f>'Sensitivitaeten Delta_Market'!$B53</f>
        <v>Hedgefonds</v>
      </c>
      <c r="G719" s="1494"/>
      <c r="H719" s="1077">
        <f>'Sensitivitaeten Delta_Market'!$P53</f>
        <v>0</v>
      </c>
      <c r="U719" s="1027"/>
      <c r="V719" s="1027"/>
      <c r="W719" s="1027"/>
    </row>
    <row r="720" spans="2:23" x14ac:dyDescent="0.2">
      <c r="B720" s="1493"/>
      <c r="C720" s="1488"/>
      <c r="D720" s="1494"/>
      <c r="E720" s="1488"/>
      <c r="F720" s="1495"/>
      <c r="G720" s="1494"/>
      <c r="H720" s="1078"/>
      <c r="U720" s="1027"/>
      <c r="V720" s="1027"/>
      <c r="W720" s="1027"/>
    </row>
    <row r="721" spans="2:23" x14ac:dyDescent="0.2">
      <c r="B721" s="1493">
        <f>'Sensitivitaeten Delta_Market'!$A$1</f>
        <v>9</v>
      </c>
      <c r="C721" s="1488" t="str">
        <f>'Sensitivitaeten Delta_Market'!$B$1</f>
        <v>Delta-Sensitivitäten</v>
      </c>
      <c r="D721" s="1494" t="str">
        <f>'Sensitivitaeten Delta_Market'!$R$11</f>
        <v>Änderungen der Passiven</v>
      </c>
      <c r="E721" s="1488" t="str">
        <f>'Sensitivitaeten Delta_Market'!$R$13</f>
        <v>nach oben</v>
      </c>
      <c r="F721" s="1625" t="s">
        <v>428</v>
      </c>
      <c r="G721" s="1617" t="s">
        <v>2301</v>
      </c>
      <c r="H721" s="1626"/>
      <c r="U721" s="1027"/>
      <c r="V721" s="1027"/>
      <c r="W721" s="1027"/>
    </row>
    <row r="722" spans="2:23" x14ac:dyDescent="0.2">
      <c r="B722" s="1493">
        <f>'Sensitivitaeten Delta_Market'!$A$1</f>
        <v>9</v>
      </c>
      <c r="C722" s="1488" t="str">
        <f>'Sensitivitaeten Delta_Market'!$B$1</f>
        <v>Delta-Sensitivitäten</v>
      </c>
      <c r="D722" s="1494" t="str">
        <f>'Sensitivitaeten Delta_Market'!$R$11</f>
        <v>Änderungen der Passiven</v>
      </c>
      <c r="E722" s="1488" t="str">
        <f>'Sensitivitaeten Delta_Market'!$R$13</f>
        <v>nach oben</v>
      </c>
      <c r="F722" s="1494" t="str">
        <f>'Sensitivitaeten Delta_Market'!$B17</f>
        <v>CHF Zeros  2 Y</v>
      </c>
      <c r="G722" s="1494"/>
      <c r="H722" s="1077">
        <f>'Sensitivitaeten Delta_Market'!$R17</f>
        <v>0</v>
      </c>
      <c r="U722" s="1027"/>
      <c r="V722" s="1027"/>
      <c r="W722" s="1027"/>
    </row>
    <row r="723" spans="2:23" x14ac:dyDescent="0.2">
      <c r="B723" s="1493">
        <f>'Sensitivitaeten Delta_Market'!$A$1</f>
        <v>9</v>
      </c>
      <c r="C723" s="1488" t="str">
        <f>'Sensitivitaeten Delta_Market'!$B$1</f>
        <v>Delta-Sensitivitäten</v>
      </c>
      <c r="D723" s="1494" t="str">
        <f>'Sensitivitaeten Delta_Market'!$R$11</f>
        <v>Änderungen der Passiven</v>
      </c>
      <c r="E723" s="1488" t="str">
        <f>'Sensitivitaeten Delta_Market'!$R$13</f>
        <v>nach oben</v>
      </c>
      <c r="F723" s="1625" t="s">
        <v>2302</v>
      </c>
      <c r="G723" s="1617" t="s">
        <v>2301</v>
      </c>
      <c r="H723" s="1626"/>
      <c r="U723" s="1027"/>
      <c r="V723" s="1027"/>
      <c r="W723" s="1027"/>
    </row>
    <row r="724" spans="2:23" x14ac:dyDescent="0.2">
      <c r="B724" s="1493">
        <f>'Sensitivitaeten Delta_Market'!$A$1</f>
        <v>9</v>
      </c>
      <c r="C724" s="1488" t="str">
        <f>'Sensitivitaeten Delta_Market'!$B$1</f>
        <v>Delta-Sensitivitäten</v>
      </c>
      <c r="D724" s="1494" t="str">
        <f>'Sensitivitaeten Delta_Market'!$R$11</f>
        <v>Änderungen der Passiven</v>
      </c>
      <c r="E724" s="1488" t="str">
        <f>'Sensitivitaeten Delta_Market'!$R$13</f>
        <v>nach oben</v>
      </c>
      <c r="F724" s="1625" t="s">
        <v>2303</v>
      </c>
      <c r="G724" s="1617" t="s">
        <v>2301</v>
      </c>
      <c r="H724" s="1626"/>
      <c r="U724" s="1027"/>
      <c r="V724" s="1027"/>
      <c r="W724" s="1027"/>
    </row>
    <row r="725" spans="2:23" x14ac:dyDescent="0.2">
      <c r="B725" s="1493">
        <f>'Sensitivitaeten Delta_Market'!$A$1</f>
        <v>9</v>
      </c>
      <c r="C725" s="1488" t="str">
        <f>'Sensitivitaeten Delta_Market'!$B$1</f>
        <v>Delta-Sensitivitäten</v>
      </c>
      <c r="D725" s="1494" t="str">
        <f>'Sensitivitaeten Delta_Market'!$R$11</f>
        <v>Änderungen der Passiven</v>
      </c>
      <c r="E725" s="1488" t="str">
        <f>'Sensitivitaeten Delta_Market'!$R$13</f>
        <v>nach oben</v>
      </c>
      <c r="F725" s="1625" t="s">
        <v>2304</v>
      </c>
      <c r="G725" s="1617" t="s">
        <v>2301</v>
      </c>
      <c r="H725" s="1626"/>
      <c r="U725" s="1027"/>
      <c r="V725" s="1027"/>
      <c r="W725" s="1027"/>
    </row>
    <row r="726" spans="2:23" x14ac:dyDescent="0.2">
      <c r="B726" s="1493">
        <f>'Sensitivitaeten Delta_Market'!$A$1</f>
        <v>9</v>
      </c>
      <c r="C726" s="1488" t="str">
        <f>'Sensitivitaeten Delta_Market'!$B$1</f>
        <v>Delta-Sensitivitäten</v>
      </c>
      <c r="D726" s="1494" t="str">
        <f>'Sensitivitaeten Delta_Market'!$R$11</f>
        <v>Änderungen der Passiven</v>
      </c>
      <c r="E726" s="1488" t="str">
        <f>'Sensitivitaeten Delta_Market'!$R$13</f>
        <v>nach oben</v>
      </c>
      <c r="F726" s="1625" t="s">
        <v>2305</v>
      </c>
      <c r="G726" s="1617" t="s">
        <v>2301</v>
      </c>
      <c r="H726" s="1626"/>
      <c r="U726" s="1027"/>
      <c r="V726" s="1027"/>
      <c r="W726" s="1027"/>
    </row>
    <row r="727" spans="2:23" x14ac:dyDescent="0.2">
      <c r="B727" s="1493">
        <f>'Sensitivitaeten Delta_Market'!$A$1</f>
        <v>9</v>
      </c>
      <c r="C727" s="1488" t="str">
        <f>'Sensitivitaeten Delta_Market'!$B$1</f>
        <v>Delta-Sensitivitäten</v>
      </c>
      <c r="D727" s="1494" t="str">
        <f>'Sensitivitaeten Delta_Market'!$R$11</f>
        <v>Änderungen der Passiven</v>
      </c>
      <c r="E727" s="1488" t="str">
        <f>'Sensitivitaeten Delta_Market'!$R$13</f>
        <v>nach oben</v>
      </c>
      <c r="F727" s="1625" t="s">
        <v>2307</v>
      </c>
      <c r="G727" s="1617" t="s">
        <v>2301</v>
      </c>
      <c r="H727" s="1626"/>
      <c r="U727" s="1027"/>
      <c r="V727" s="1027"/>
      <c r="W727" s="1027"/>
    </row>
    <row r="728" spans="2:23" x14ac:dyDescent="0.2">
      <c r="B728" s="1493">
        <f>'Sensitivitaeten Delta_Market'!$A$1</f>
        <v>9</v>
      </c>
      <c r="C728" s="1488" t="str">
        <f>'Sensitivitaeten Delta_Market'!$B$1</f>
        <v>Delta-Sensitivitäten</v>
      </c>
      <c r="D728" s="1494" t="str">
        <f>'Sensitivitaeten Delta_Market'!$R$11</f>
        <v>Änderungen der Passiven</v>
      </c>
      <c r="E728" s="1488" t="str">
        <f>'Sensitivitaeten Delta_Market'!$R$13</f>
        <v>nach oben</v>
      </c>
      <c r="F728" s="1625" t="s">
        <v>2306</v>
      </c>
      <c r="G728" s="1617" t="s">
        <v>2301</v>
      </c>
      <c r="H728" s="1626"/>
      <c r="U728" s="1027"/>
      <c r="V728" s="1027"/>
      <c r="W728" s="1027"/>
    </row>
    <row r="729" spans="2:23" x14ac:dyDescent="0.2">
      <c r="B729" s="1493">
        <f>'Sensitivitaeten Delta_Market'!$A$1</f>
        <v>9</v>
      </c>
      <c r="C729" s="1488" t="str">
        <f>'Sensitivitaeten Delta_Market'!$B$1</f>
        <v>Delta-Sensitivitäten</v>
      </c>
      <c r="D729" s="1494" t="str">
        <f>'Sensitivitaeten Delta_Market'!$R$11</f>
        <v>Änderungen der Passiven</v>
      </c>
      <c r="E729" s="1488" t="str">
        <f>'Sensitivitaeten Delta_Market'!$R$13</f>
        <v>nach oben</v>
      </c>
      <c r="F729" s="1625" t="s">
        <v>2308</v>
      </c>
      <c r="G729" s="1617" t="s">
        <v>2301</v>
      </c>
      <c r="H729" s="1626"/>
      <c r="U729" s="1027"/>
      <c r="V729" s="1027"/>
      <c r="W729" s="1027"/>
    </row>
    <row r="730" spans="2:23" x14ac:dyDescent="0.2">
      <c r="B730" s="1493">
        <f>'Sensitivitaeten Delta_Market'!$A$1</f>
        <v>9</v>
      </c>
      <c r="C730" s="1488" t="str">
        <f>'Sensitivitaeten Delta_Market'!$B$1</f>
        <v>Delta-Sensitivitäten</v>
      </c>
      <c r="D730" s="1494" t="str">
        <f>'Sensitivitaeten Delta_Market'!$R$11</f>
        <v>Änderungen der Passiven</v>
      </c>
      <c r="E730" s="1488" t="str">
        <f>'Sensitivitaeten Delta_Market'!$R$13</f>
        <v>nach oben</v>
      </c>
      <c r="F730" s="1495" t="str">
        <f>'Sensitivitaeten Delta_Market'!$B18</f>
        <v>CHF Zeros  10 Y</v>
      </c>
      <c r="G730" s="1494"/>
      <c r="H730" s="1077">
        <f>'Sensitivitaeten Delta_Market'!$R18</f>
        <v>0</v>
      </c>
      <c r="U730" s="1027"/>
      <c r="V730" s="1027"/>
      <c r="W730" s="1027"/>
    </row>
    <row r="731" spans="2:23" x14ac:dyDescent="0.2">
      <c r="B731" s="1493">
        <f>'Sensitivitaeten Delta_Market'!$A$1</f>
        <v>9</v>
      </c>
      <c r="C731" s="1488" t="str">
        <f>'Sensitivitaeten Delta_Market'!$B$1</f>
        <v>Delta-Sensitivitäten</v>
      </c>
      <c r="D731" s="1494" t="str">
        <f>'Sensitivitaeten Delta_Market'!$R$11</f>
        <v>Änderungen der Passiven</v>
      </c>
      <c r="E731" s="1488" t="str">
        <f>'Sensitivitaeten Delta_Market'!$R$13</f>
        <v>nach oben</v>
      </c>
      <c r="F731" s="1625" t="s">
        <v>2309</v>
      </c>
      <c r="G731" s="1617" t="s">
        <v>2301</v>
      </c>
      <c r="H731" s="1626"/>
      <c r="U731" s="1027"/>
      <c r="V731" s="1027"/>
      <c r="W731" s="1027"/>
    </row>
    <row r="732" spans="2:23" x14ac:dyDescent="0.2">
      <c r="B732" s="1493">
        <f>'Sensitivitaeten Delta_Market'!$A$1</f>
        <v>9</v>
      </c>
      <c r="C732" s="1488" t="str">
        <f>'Sensitivitaeten Delta_Market'!$B$1</f>
        <v>Delta-Sensitivitäten</v>
      </c>
      <c r="D732" s="1494" t="str">
        <f>'Sensitivitaeten Delta_Market'!$R$11</f>
        <v>Änderungen der Passiven</v>
      </c>
      <c r="E732" s="1488" t="str">
        <f>'Sensitivitaeten Delta_Market'!$R$13</f>
        <v>nach oben</v>
      </c>
      <c r="F732" s="1625" t="s">
        <v>2310</v>
      </c>
      <c r="G732" s="1617" t="s">
        <v>2301</v>
      </c>
      <c r="H732" s="1626"/>
      <c r="U732" s="1027"/>
      <c r="V732" s="1027"/>
      <c r="W732" s="1027"/>
    </row>
    <row r="733" spans="2:23" x14ac:dyDescent="0.2">
      <c r="B733" s="1493">
        <f>'Sensitivitaeten Delta_Market'!$A$1</f>
        <v>9</v>
      </c>
      <c r="C733" s="1488" t="str">
        <f>'Sensitivitaeten Delta_Market'!$B$1</f>
        <v>Delta-Sensitivitäten</v>
      </c>
      <c r="D733" s="1494" t="str">
        <f>'Sensitivitaeten Delta_Market'!$R$11</f>
        <v>Änderungen der Passiven</v>
      </c>
      <c r="E733" s="1488" t="str">
        <f>'Sensitivitaeten Delta_Market'!$R$13</f>
        <v>nach oben</v>
      </c>
      <c r="F733" s="1495" t="str">
        <f>'Sensitivitaeten Delta_Market'!$B19</f>
        <v>CHF Zeros  30 Y</v>
      </c>
      <c r="G733" s="1494"/>
      <c r="H733" s="1077">
        <f>'Sensitivitaeten Delta_Market'!$R19</f>
        <v>0</v>
      </c>
      <c r="U733" s="1027"/>
      <c r="V733" s="1027"/>
      <c r="W733" s="1027"/>
    </row>
    <row r="734" spans="2:23" x14ac:dyDescent="0.2">
      <c r="B734" s="1493">
        <f>'Sensitivitaeten Delta_Market'!$A$1</f>
        <v>9</v>
      </c>
      <c r="C734" s="1488" t="str">
        <f>'Sensitivitaeten Delta_Market'!$B$1</f>
        <v>Delta-Sensitivitäten</v>
      </c>
      <c r="D734" s="1494" t="str">
        <f>'Sensitivitaeten Delta_Market'!$R$11</f>
        <v>Änderungen der Passiven</v>
      </c>
      <c r="E734" s="1488" t="str">
        <f>'Sensitivitaeten Delta_Market'!$R$13</f>
        <v>nach oben</v>
      </c>
      <c r="F734" s="1625" t="s">
        <v>429</v>
      </c>
      <c r="G734" s="1617" t="s">
        <v>2301</v>
      </c>
      <c r="H734" s="1626"/>
      <c r="U734" s="1027"/>
      <c r="V734" s="1027"/>
      <c r="W734" s="1027"/>
    </row>
    <row r="735" spans="2:23" x14ac:dyDescent="0.2">
      <c r="B735" s="1493">
        <f>'Sensitivitaeten Delta_Market'!$A$1</f>
        <v>9</v>
      </c>
      <c r="C735" s="1488" t="str">
        <f>'Sensitivitaeten Delta_Market'!$B$1</f>
        <v>Delta-Sensitivitäten</v>
      </c>
      <c r="D735" s="1494" t="str">
        <f>'Sensitivitaeten Delta_Market'!$R$11</f>
        <v>Änderungen der Passiven</v>
      </c>
      <c r="E735" s="1488" t="str">
        <f>'Sensitivitaeten Delta_Market'!$R$13</f>
        <v>nach oben</v>
      </c>
      <c r="F735" s="1625" t="s">
        <v>2311</v>
      </c>
      <c r="G735" s="1617" t="s">
        <v>2301</v>
      </c>
      <c r="H735" s="1626"/>
      <c r="U735" s="1027"/>
      <c r="V735" s="1027"/>
      <c r="W735" s="1027"/>
    </row>
    <row r="736" spans="2:23" x14ac:dyDescent="0.2">
      <c r="B736" s="1493">
        <f>'Sensitivitaeten Delta_Market'!$A$1</f>
        <v>9</v>
      </c>
      <c r="C736" s="1488" t="str">
        <f>'Sensitivitaeten Delta_Market'!$B$1</f>
        <v>Delta-Sensitivitäten</v>
      </c>
      <c r="D736" s="1494" t="str">
        <f>'Sensitivitaeten Delta_Market'!$R$11</f>
        <v>Änderungen der Passiven</v>
      </c>
      <c r="E736" s="1488" t="str">
        <f>'Sensitivitaeten Delta_Market'!$R$13</f>
        <v>nach oben</v>
      </c>
      <c r="F736" s="1625" t="s">
        <v>2312</v>
      </c>
      <c r="G736" s="1617" t="s">
        <v>2301</v>
      </c>
      <c r="H736" s="1626"/>
      <c r="U736" s="1027"/>
      <c r="V736" s="1027"/>
      <c r="W736" s="1027"/>
    </row>
    <row r="737" spans="2:23" x14ac:dyDescent="0.2">
      <c r="B737" s="1493">
        <f>'Sensitivitaeten Delta_Market'!$A$1</f>
        <v>9</v>
      </c>
      <c r="C737" s="1488" t="str">
        <f>'Sensitivitaeten Delta_Market'!$B$1</f>
        <v>Delta-Sensitivitäten</v>
      </c>
      <c r="D737" s="1494" t="str">
        <f>'Sensitivitaeten Delta_Market'!$R$11</f>
        <v>Änderungen der Passiven</v>
      </c>
      <c r="E737" s="1488" t="str">
        <f>'Sensitivitaeten Delta_Market'!$R$13</f>
        <v>nach oben</v>
      </c>
      <c r="F737" s="1625" t="s">
        <v>2313</v>
      </c>
      <c r="G737" s="1617" t="s">
        <v>2301</v>
      </c>
      <c r="H737" s="1626"/>
      <c r="U737" s="1027"/>
      <c r="V737" s="1027"/>
      <c r="W737" s="1027"/>
    </row>
    <row r="738" spans="2:23" x14ac:dyDescent="0.2">
      <c r="B738" s="1493">
        <f>'Sensitivitaeten Delta_Market'!$A$1</f>
        <v>9</v>
      </c>
      <c r="C738" s="1488" t="str">
        <f>'Sensitivitaeten Delta_Market'!$B$1</f>
        <v>Delta-Sensitivitäten</v>
      </c>
      <c r="D738" s="1494" t="str">
        <f>'Sensitivitaeten Delta_Market'!$R$11</f>
        <v>Änderungen der Passiven</v>
      </c>
      <c r="E738" s="1488" t="str">
        <f>'Sensitivitaeten Delta_Market'!$R$13</f>
        <v>nach oben</v>
      </c>
      <c r="F738" s="1625" t="s">
        <v>2314</v>
      </c>
      <c r="G738" s="1617" t="s">
        <v>2301</v>
      </c>
      <c r="H738" s="1626"/>
      <c r="U738" s="1027"/>
      <c r="V738" s="1027"/>
      <c r="W738" s="1027"/>
    </row>
    <row r="739" spans="2:23" x14ac:dyDescent="0.2">
      <c r="B739" s="1493">
        <f>'Sensitivitaeten Delta_Market'!$A$1</f>
        <v>9</v>
      </c>
      <c r="C739" s="1488" t="str">
        <f>'Sensitivitaeten Delta_Market'!$B$1</f>
        <v>Delta-Sensitivitäten</v>
      </c>
      <c r="D739" s="1494" t="str">
        <f>'Sensitivitaeten Delta_Market'!$R$11</f>
        <v>Änderungen der Passiven</v>
      </c>
      <c r="E739" s="1488" t="str">
        <f>'Sensitivitaeten Delta_Market'!$R$13</f>
        <v>nach oben</v>
      </c>
      <c r="F739" s="1625" t="s">
        <v>2315</v>
      </c>
      <c r="G739" s="1617" t="s">
        <v>2301</v>
      </c>
      <c r="H739" s="1626"/>
      <c r="U739" s="1027"/>
      <c r="V739" s="1027"/>
      <c r="W739" s="1027"/>
    </row>
    <row r="740" spans="2:23" x14ac:dyDescent="0.2">
      <c r="B740" s="1493">
        <f>'Sensitivitaeten Delta_Market'!$A$1</f>
        <v>9</v>
      </c>
      <c r="C740" s="1488" t="str">
        <f>'Sensitivitaeten Delta_Market'!$B$1</f>
        <v>Delta-Sensitivitäten</v>
      </c>
      <c r="D740" s="1494" t="str">
        <f>'Sensitivitaeten Delta_Market'!$R$11</f>
        <v>Änderungen der Passiven</v>
      </c>
      <c r="E740" s="1488" t="str">
        <f>'Sensitivitaeten Delta_Market'!$R$13</f>
        <v>nach oben</v>
      </c>
      <c r="F740" s="1625" t="s">
        <v>2316</v>
      </c>
      <c r="G740" s="1617" t="s">
        <v>2301</v>
      </c>
      <c r="H740" s="1626"/>
      <c r="U740" s="1027"/>
      <c r="V740" s="1027"/>
      <c r="W740" s="1027"/>
    </row>
    <row r="741" spans="2:23" x14ac:dyDescent="0.2">
      <c r="B741" s="1493">
        <f>'Sensitivitaeten Delta_Market'!$A$1</f>
        <v>9</v>
      </c>
      <c r="C741" s="1488" t="str">
        <f>'Sensitivitaeten Delta_Market'!$B$1</f>
        <v>Delta-Sensitivitäten</v>
      </c>
      <c r="D741" s="1494" t="str">
        <f>'Sensitivitaeten Delta_Market'!$R$11</f>
        <v>Änderungen der Passiven</v>
      </c>
      <c r="E741" s="1488" t="str">
        <f>'Sensitivitaeten Delta_Market'!$R$13</f>
        <v>nach oben</v>
      </c>
      <c r="F741" s="1625" t="s">
        <v>2317</v>
      </c>
      <c r="G741" s="1617" t="s">
        <v>2301</v>
      </c>
      <c r="H741" s="1626"/>
      <c r="U741" s="1027"/>
      <c r="V741" s="1027"/>
      <c r="W741" s="1027"/>
    </row>
    <row r="742" spans="2:23" x14ac:dyDescent="0.2">
      <c r="B742" s="1493">
        <f>'Sensitivitaeten Delta_Market'!$A$1</f>
        <v>9</v>
      </c>
      <c r="C742" s="1488" t="str">
        <f>'Sensitivitaeten Delta_Market'!$B$1</f>
        <v>Delta-Sensitivitäten</v>
      </c>
      <c r="D742" s="1494" t="str">
        <f>'Sensitivitaeten Delta_Market'!$R$11</f>
        <v>Änderungen der Passiven</v>
      </c>
      <c r="E742" s="1488" t="str">
        <f>'Sensitivitaeten Delta_Market'!$R$13</f>
        <v>nach oben</v>
      </c>
      <c r="F742" s="1625" t="s">
        <v>2318</v>
      </c>
      <c r="G742" s="1617" t="s">
        <v>2301</v>
      </c>
      <c r="H742" s="1626"/>
      <c r="U742" s="1027"/>
      <c r="V742" s="1027"/>
      <c r="W742" s="1027"/>
    </row>
    <row r="743" spans="2:23" x14ac:dyDescent="0.2">
      <c r="B743" s="1493">
        <f>'Sensitivitaeten Delta_Market'!$A$1</f>
        <v>9</v>
      </c>
      <c r="C743" s="1488" t="str">
        <f>'Sensitivitaeten Delta_Market'!$B$1</f>
        <v>Delta-Sensitivitäten</v>
      </c>
      <c r="D743" s="1494" t="str">
        <f>'Sensitivitaeten Delta_Market'!$R$11</f>
        <v>Änderungen der Passiven</v>
      </c>
      <c r="E743" s="1488" t="str">
        <f>'Sensitivitaeten Delta_Market'!$R$13</f>
        <v>nach oben</v>
      </c>
      <c r="F743" s="1625" t="s">
        <v>2319</v>
      </c>
      <c r="G743" s="1617" t="s">
        <v>2301</v>
      </c>
      <c r="H743" s="1626"/>
      <c r="U743" s="1027"/>
      <c r="V743" s="1027"/>
      <c r="W743" s="1027"/>
    </row>
    <row r="744" spans="2:23" x14ac:dyDescent="0.2">
      <c r="B744" s="1493">
        <f>'Sensitivitaeten Delta_Market'!$A$1</f>
        <v>9</v>
      </c>
      <c r="C744" s="1488" t="str">
        <f>'Sensitivitaeten Delta_Market'!$B$1</f>
        <v>Delta-Sensitivitäten</v>
      </c>
      <c r="D744" s="1494" t="str">
        <f>'Sensitivitaeten Delta_Market'!$R$11</f>
        <v>Änderungen der Passiven</v>
      </c>
      <c r="E744" s="1488" t="str">
        <f>'Sensitivitaeten Delta_Market'!$R$13</f>
        <v>nach oben</v>
      </c>
      <c r="F744" s="1495" t="str">
        <f>'Sensitivitaeten Delta_Market'!$B20</f>
        <v>EUR Zeros  2 Y</v>
      </c>
      <c r="G744" s="1494"/>
      <c r="H744" s="1077">
        <f>'Sensitivitaeten Delta_Market'!$R20</f>
        <v>0</v>
      </c>
      <c r="U744" s="1027"/>
      <c r="V744" s="1027"/>
      <c r="W744" s="1027"/>
    </row>
    <row r="745" spans="2:23" x14ac:dyDescent="0.2">
      <c r="B745" s="1493">
        <f>'Sensitivitaeten Delta_Market'!$A$1</f>
        <v>9</v>
      </c>
      <c r="C745" s="1488" t="str">
        <f>'Sensitivitaeten Delta_Market'!$B$1</f>
        <v>Delta-Sensitivitäten</v>
      </c>
      <c r="D745" s="1494" t="str">
        <f>'Sensitivitaeten Delta_Market'!$R$11</f>
        <v>Änderungen der Passiven</v>
      </c>
      <c r="E745" s="1488" t="str">
        <f>'Sensitivitaeten Delta_Market'!$R$13</f>
        <v>nach oben</v>
      </c>
      <c r="F745" s="1495" t="str">
        <f>'Sensitivitaeten Delta_Market'!$B21</f>
        <v>EUR Zeros  10 Y</v>
      </c>
      <c r="G745" s="1494"/>
      <c r="H745" s="1077">
        <f>'Sensitivitaeten Delta_Market'!$R21</f>
        <v>0</v>
      </c>
      <c r="U745" s="1027"/>
      <c r="V745" s="1027"/>
      <c r="W745" s="1027"/>
    </row>
    <row r="746" spans="2:23" x14ac:dyDescent="0.2">
      <c r="B746" s="1493">
        <f>'Sensitivitaeten Delta_Market'!$A$1</f>
        <v>9</v>
      </c>
      <c r="C746" s="1488" t="str">
        <f>'Sensitivitaeten Delta_Market'!$B$1</f>
        <v>Delta-Sensitivitäten</v>
      </c>
      <c r="D746" s="1494" t="str">
        <f>'Sensitivitaeten Delta_Market'!$R$11</f>
        <v>Änderungen der Passiven</v>
      </c>
      <c r="E746" s="1488" t="str">
        <f>'Sensitivitaeten Delta_Market'!$R$13</f>
        <v>nach oben</v>
      </c>
      <c r="F746" s="1495" t="str">
        <f>'Sensitivitaeten Delta_Market'!$B22</f>
        <v>EUR Zeros  30 Y</v>
      </c>
      <c r="G746" s="1494"/>
      <c r="H746" s="1077">
        <f>'Sensitivitaeten Delta_Market'!$R22</f>
        <v>0</v>
      </c>
      <c r="U746" s="1027"/>
      <c r="V746" s="1027"/>
      <c r="W746" s="1027"/>
    </row>
    <row r="747" spans="2:23" x14ac:dyDescent="0.2">
      <c r="B747" s="1493">
        <f>'Sensitivitaeten Delta_Market'!$A$1</f>
        <v>9</v>
      </c>
      <c r="C747" s="1488" t="str">
        <f>'Sensitivitaeten Delta_Market'!$B$1</f>
        <v>Delta-Sensitivitäten</v>
      </c>
      <c r="D747" s="1494" t="str">
        <f>'Sensitivitaeten Delta_Market'!$R$11</f>
        <v>Änderungen der Passiven</v>
      </c>
      <c r="E747" s="1488" t="str">
        <f>'Sensitivitaeten Delta_Market'!$R$13</f>
        <v>nach oben</v>
      </c>
      <c r="F747" s="1494" t="str">
        <f>'Sensitivitaeten Delta_Market'!$B23</f>
        <v>USD Zeros  3 Y</v>
      </c>
      <c r="G747" s="1494"/>
      <c r="H747" s="1077">
        <f>'Sensitivitaeten Delta_Market'!$R23</f>
        <v>0</v>
      </c>
      <c r="U747" s="1027"/>
      <c r="V747" s="1027"/>
      <c r="W747" s="1027"/>
    </row>
    <row r="748" spans="2:23" x14ac:dyDescent="0.2">
      <c r="B748" s="1493">
        <f>'Sensitivitaeten Delta_Market'!$A$1</f>
        <v>9</v>
      </c>
      <c r="C748" s="1488" t="str">
        <f>'Sensitivitaeten Delta_Market'!$B$1</f>
        <v>Delta-Sensitivitäten</v>
      </c>
      <c r="D748" s="1494" t="str">
        <f>'Sensitivitaeten Delta_Market'!$R$11</f>
        <v>Änderungen der Passiven</v>
      </c>
      <c r="E748" s="1488" t="str">
        <f>'Sensitivitaeten Delta_Market'!$R$13</f>
        <v>nach oben</v>
      </c>
      <c r="F748" s="1494" t="str">
        <f>'Sensitivitaeten Delta_Market'!$B24</f>
        <v>USD Zeros  10 Y</v>
      </c>
      <c r="G748" s="1494"/>
      <c r="H748" s="1077">
        <f>'Sensitivitaeten Delta_Market'!$R24</f>
        <v>0</v>
      </c>
      <c r="U748" s="1027"/>
      <c r="V748" s="1027"/>
      <c r="W748" s="1027"/>
    </row>
    <row r="749" spans="2:23" x14ac:dyDescent="0.2">
      <c r="B749" s="1493">
        <f>'Sensitivitaeten Delta_Market'!$A$1</f>
        <v>9</v>
      </c>
      <c r="C749" s="1488" t="str">
        <f>'Sensitivitaeten Delta_Market'!$B$1</f>
        <v>Delta-Sensitivitäten</v>
      </c>
      <c r="D749" s="1494" t="str">
        <f>'Sensitivitaeten Delta_Market'!$R$11</f>
        <v>Änderungen der Passiven</v>
      </c>
      <c r="E749" s="1488" t="str">
        <f>'Sensitivitaeten Delta_Market'!$R$13</f>
        <v>nach oben</v>
      </c>
      <c r="F749" s="1494" t="str">
        <f>'Sensitivitaeten Delta_Market'!$B25</f>
        <v>USD Zeros  30 Y</v>
      </c>
      <c r="G749" s="1494"/>
      <c r="H749" s="1077">
        <f>'Sensitivitaeten Delta_Market'!$R25</f>
        <v>0</v>
      </c>
      <c r="U749" s="1027"/>
      <c r="V749" s="1027"/>
      <c r="W749" s="1027"/>
    </row>
    <row r="750" spans="2:23" x14ac:dyDescent="0.2">
      <c r="B750" s="1493">
        <f>'Sensitivitaeten Delta_Market'!$A$1</f>
        <v>9</v>
      </c>
      <c r="C750" s="1488" t="str">
        <f>'Sensitivitaeten Delta_Market'!$B$1</f>
        <v>Delta-Sensitivitäten</v>
      </c>
      <c r="D750" s="1494" t="str">
        <f>'Sensitivitaeten Delta_Market'!$R$11</f>
        <v>Änderungen der Passiven</v>
      </c>
      <c r="E750" s="1488" t="str">
        <f>'Sensitivitaeten Delta_Market'!$R$13</f>
        <v>nach oben</v>
      </c>
      <c r="F750" s="1625" t="s">
        <v>430</v>
      </c>
      <c r="G750" s="1617" t="s">
        <v>2301</v>
      </c>
      <c r="H750" s="1626"/>
      <c r="U750" s="1027"/>
      <c r="V750" s="1027"/>
      <c r="W750" s="1027"/>
    </row>
    <row r="751" spans="2:23" x14ac:dyDescent="0.2">
      <c r="B751" s="1493">
        <f>'Sensitivitaeten Delta_Market'!$A$1</f>
        <v>9</v>
      </c>
      <c r="C751" s="1488" t="str">
        <f>'Sensitivitaeten Delta_Market'!$B$1</f>
        <v>Delta-Sensitivitäten</v>
      </c>
      <c r="D751" s="1494" t="str">
        <f>'Sensitivitaeten Delta_Market'!$R$11</f>
        <v>Änderungen der Passiven</v>
      </c>
      <c r="E751" s="1488" t="str">
        <f>'Sensitivitaeten Delta_Market'!$R$13</f>
        <v>nach oben</v>
      </c>
      <c r="F751" s="1625" t="s">
        <v>2329</v>
      </c>
      <c r="G751" s="1617" t="s">
        <v>2301</v>
      </c>
      <c r="H751" s="1626"/>
      <c r="U751" s="1027"/>
      <c r="V751" s="1027"/>
      <c r="W751" s="1027"/>
    </row>
    <row r="752" spans="2:23" x14ac:dyDescent="0.2">
      <c r="B752" s="1493">
        <f>'Sensitivitaeten Delta_Market'!$A$1</f>
        <v>9</v>
      </c>
      <c r="C752" s="1488" t="str">
        <f>'Sensitivitaeten Delta_Market'!$B$1</f>
        <v>Delta-Sensitivitäten</v>
      </c>
      <c r="D752" s="1494" t="str">
        <f>'Sensitivitaeten Delta_Market'!$R$11</f>
        <v>Änderungen der Passiven</v>
      </c>
      <c r="E752" s="1488" t="str">
        <f>'Sensitivitaeten Delta_Market'!$R$13</f>
        <v>nach oben</v>
      </c>
      <c r="F752" s="1625" t="s">
        <v>2330</v>
      </c>
      <c r="G752" s="1617" t="s">
        <v>2301</v>
      </c>
      <c r="H752" s="1626"/>
      <c r="U752" s="1027"/>
      <c r="V752" s="1027"/>
      <c r="W752" s="1027"/>
    </row>
    <row r="753" spans="2:23" x14ac:dyDescent="0.2">
      <c r="B753" s="1493">
        <f>'Sensitivitaeten Delta_Market'!$A$1</f>
        <v>9</v>
      </c>
      <c r="C753" s="1488" t="str">
        <f>'Sensitivitaeten Delta_Market'!$B$1</f>
        <v>Delta-Sensitivitäten</v>
      </c>
      <c r="D753" s="1494" t="str">
        <f>'Sensitivitaeten Delta_Market'!$R$11</f>
        <v>Änderungen der Passiven</v>
      </c>
      <c r="E753" s="1488" t="str">
        <f>'Sensitivitaeten Delta_Market'!$R$13</f>
        <v>nach oben</v>
      </c>
      <c r="F753" s="1625" t="s">
        <v>2331</v>
      </c>
      <c r="G753" s="1617" t="s">
        <v>2301</v>
      </c>
      <c r="H753" s="1626"/>
      <c r="U753" s="1027"/>
      <c r="V753" s="1027"/>
      <c r="W753" s="1027"/>
    </row>
    <row r="754" spans="2:23" x14ac:dyDescent="0.2">
      <c r="B754" s="1493">
        <f>'Sensitivitaeten Delta_Market'!$A$1</f>
        <v>9</v>
      </c>
      <c r="C754" s="1488" t="str">
        <f>'Sensitivitaeten Delta_Market'!$B$1</f>
        <v>Delta-Sensitivitäten</v>
      </c>
      <c r="D754" s="1494" t="str">
        <f>'Sensitivitaeten Delta_Market'!$R$11</f>
        <v>Änderungen der Passiven</v>
      </c>
      <c r="E754" s="1488" t="str">
        <f>'Sensitivitaeten Delta_Market'!$R$13</f>
        <v>nach oben</v>
      </c>
      <c r="F754" s="1625" t="s">
        <v>2332</v>
      </c>
      <c r="G754" s="1617" t="s">
        <v>2301</v>
      </c>
      <c r="H754" s="1626"/>
      <c r="U754" s="1027"/>
      <c r="V754" s="1027"/>
      <c r="W754" s="1027"/>
    </row>
    <row r="755" spans="2:23" x14ac:dyDescent="0.2">
      <c r="B755" s="1493">
        <f>'Sensitivitaeten Delta_Market'!$A$1</f>
        <v>9</v>
      </c>
      <c r="C755" s="1488" t="str">
        <f>'Sensitivitaeten Delta_Market'!$B$1</f>
        <v>Delta-Sensitivitäten</v>
      </c>
      <c r="D755" s="1494" t="str">
        <f>'Sensitivitaeten Delta_Market'!$R$11</f>
        <v>Änderungen der Passiven</v>
      </c>
      <c r="E755" s="1488" t="str">
        <f>'Sensitivitaeten Delta_Market'!$R$13</f>
        <v>nach oben</v>
      </c>
      <c r="F755" s="1625" t="s">
        <v>2333</v>
      </c>
      <c r="G755" s="1617" t="s">
        <v>2301</v>
      </c>
      <c r="H755" s="1626"/>
      <c r="U755" s="1027"/>
      <c r="V755" s="1027"/>
      <c r="W755" s="1027"/>
    </row>
    <row r="756" spans="2:23" x14ac:dyDescent="0.2">
      <c r="B756" s="1493">
        <f>'Sensitivitaeten Delta_Market'!$A$1</f>
        <v>9</v>
      </c>
      <c r="C756" s="1488" t="str">
        <f>'Sensitivitaeten Delta_Market'!$B$1</f>
        <v>Delta-Sensitivitäten</v>
      </c>
      <c r="D756" s="1494" t="str">
        <f>'Sensitivitaeten Delta_Market'!$R$11</f>
        <v>Änderungen der Passiven</v>
      </c>
      <c r="E756" s="1488" t="str">
        <f>'Sensitivitaeten Delta_Market'!$R$13</f>
        <v>nach oben</v>
      </c>
      <c r="F756" s="1625" t="s">
        <v>2334</v>
      </c>
      <c r="G756" s="1617" t="s">
        <v>2301</v>
      </c>
      <c r="H756" s="1626"/>
      <c r="U756" s="1027"/>
      <c r="V756" s="1027"/>
      <c r="W756" s="1027"/>
    </row>
    <row r="757" spans="2:23" x14ac:dyDescent="0.2">
      <c r="B757" s="1493">
        <f>'Sensitivitaeten Delta_Market'!$A$1</f>
        <v>9</v>
      </c>
      <c r="C757" s="1488" t="str">
        <f>'Sensitivitaeten Delta_Market'!$B$1</f>
        <v>Delta-Sensitivitäten</v>
      </c>
      <c r="D757" s="1494" t="str">
        <f>'Sensitivitaeten Delta_Market'!$R$11</f>
        <v>Änderungen der Passiven</v>
      </c>
      <c r="E757" s="1488" t="str">
        <f>'Sensitivitaeten Delta_Market'!$R$13</f>
        <v>nach oben</v>
      </c>
      <c r="F757" s="1625" t="s">
        <v>2335</v>
      </c>
      <c r="G757" s="1617" t="s">
        <v>2301</v>
      </c>
      <c r="H757" s="1626"/>
      <c r="U757" s="1027"/>
      <c r="V757" s="1027"/>
      <c r="W757" s="1027"/>
    </row>
    <row r="758" spans="2:23" x14ac:dyDescent="0.2">
      <c r="B758" s="1493">
        <f>'Sensitivitaeten Delta_Market'!$A$1</f>
        <v>9</v>
      </c>
      <c r="C758" s="1488" t="str">
        <f>'Sensitivitaeten Delta_Market'!$B$1</f>
        <v>Delta-Sensitivitäten</v>
      </c>
      <c r="D758" s="1494" t="str">
        <f>'Sensitivitaeten Delta_Market'!$R$11</f>
        <v>Änderungen der Passiven</v>
      </c>
      <c r="E758" s="1488" t="str">
        <f>'Sensitivitaeten Delta_Market'!$R$13</f>
        <v>nach oben</v>
      </c>
      <c r="F758" s="1625" t="s">
        <v>2336</v>
      </c>
      <c r="G758" s="1617" t="s">
        <v>2301</v>
      </c>
      <c r="H758" s="1626"/>
      <c r="U758" s="1027"/>
      <c r="V758" s="1027"/>
      <c r="W758" s="1027"/>
    </row>
    <row r="759" spans="2:23" x14ac:dyDescent="0.2">
      <c r="B759" s="1493">
        <f>'Sensitivitaeten Delta_Market'!$A$1</f>
        <v>9</v>
      </c>
      <c r="C759" s="1488" t="str">
        <f>'Sensitivitaeten Delta_Market'!$B$1</f>
        <v>Delta-Sensitivitäten</v>
      </c>
      <c r="D759" s="1494" t="str">
        <f>'Sensitivitaeten Delta_Market'!$R$11</f>
        <v>Änderungen der Passiven</v>
      </c>
      <c r="E759" s="1488" t="str">
        <f>'Sensitivitaeten Delta_Market'!$R$13</f>
        <v>nach oben</v>
      </c>
      <c r="F759" s="1625" t="s">
        <v>2337</v>
      </c>
      <c r="G759" s="1617" t="s">
        <v>2301</v>
      </c>
      <c r="H759" s="1626"/>
      <c r="U759" s="1027"/>
      <c r="V759" s="1027"/>
      <c r="W759" s="1027"/>
    </row>
    <row r="760" spans="2:23" x14ac:dyDescent="0.2">
      <c r="B760" s="1493">
        <f>'Sensitivitaeten Delta_Market'!$A$1</f>
        <v>9</v>
      </c>
      <c r="C760" s="1488" t="str">
        <f>'Sensitivitaeten Delta_Market'!$B$1</f>
        <v>Delta-Sensitivitäten</v>
      </c>
      <c r="D760" s="1494" t="str">
        <f>'Sensitivitaeten Delta_Market'!$R$11</f>
        <v>Änderungen der Passiven</v>
      </c>
      <c r="E760" s="1488" t="str">
        <f>'Sensitivitaeten Delta_Market'!$R$13</f>
        <v>nach oben</v>
      </c>
      <c r="F760" s="1494" t="str">
        <f>'Sensitivitaeten Delta_Market'!$B26</f>
        <v>GBP Zeros  2 Y</v>
      </c>
      <c r="G760" s="1494"/>
      <c r="H760" s="1077">
        <f>'Sensitivitaeten Delta_Market'!$R26</f>
        <v>0</v>
      </c>
      <c r="U760" s="1027"/>
      <c r="V760" s="1027"/>
      <c r="W760" s="1027"/>
    </row>
    <row r="761" spans="2:23" x14ac:dyDescent="0.2">
      <c r="B761" s="1493">
        <f>'Sensitivitaeten Delta_Market'!$A$1</f>
        <v>9</v>
      </c>
      <c r="C761" s="1488" t="str">
        <f>'Sensitivitaeten Delta_Market'!$B$1</f>
        <v>Delta-Sensitivitäten</v>
      </c>
      <c r="D761" s="1494" t="str">
        <f>'Sensitivitaeten Delta_Market'!$R$11</f>
        <v>Änderungen der Passiven</v>
      </c>
      <c r="E761" s="1488" t="str">
        <f>'Sensitivitaeten Delta_Market'!$R$13</f>
        <v>nach oben</v>
      </c>
      <c r="F761" s="1494" t="str">
        <f>'Sensitivitaeten Delta_Market'!$B27</f>
        <v>GBP Zeros  10 Y</v>
      </c>
      <c r="G761" s="1494"/>
      <c r="H761" s="1077">
        <f>'Sensitivitaeten Delta_Market'!$R27</f>
        <v>0</v>
      </c>
      <c r="U761" s="1027"/>
      <c r="V761" s="1027"/>
      <c r="W761" s="1027"/>
    </row>
    <row r="762" spans="2:23" x14ac:dyDescent="0.2">
      <c r="B762" s="1493">
        <f>'Sensitivitaeten Delta_Market'!$A$1</f>
        <v>9</v>
      </c>
      <c r="C762" s="1488" t="str">
        <f>'Sensitivitaeten Delta_Market'!$B$1</f>
        <v>Delta-Sensitivitäten</v>
      </c>
      <c r="D762" s="1494" t="str">
        <f>'Sensitivitaeten Delta_Market'!$R$11</f>
        <v>Änderungen der Passiven</v>
      </c>
      <c r="E762" s="1488" t="str">
        <f>'Sensitivitaeten Delta_Market'!$R$13</f>
        <v>nach oben</v>
      </c>
      <c r="F762" s="1494" t="str">
        <f>'Sensitivitaeten Delta_Market'!$B28</f>
        <v>GBP Zeros  30 Y</v>
      </c>
      <c r="G762" s="1494"/>
      <c r="H762" s="1077">
        <f>'Sensitivitaeten Delta_Market'!$R28</f>
        <v>0</v>
      </c>
      <c r="U762" s="1027"/>
      <c r="V762" s="1027"/>
      <c r="W762" s="1027"/>
    </row>
    <row r="763" spans="2:23" x14ac:dyDescent="0.2">
      <c r="B763" s="1493">
        <f>'Sensitivitaeten Delta_Market'!$A$1</f>
        <v>9</v>
      </c>
      <c r="C763" s="1488" t="str">
        <f>'Sensitivitaeten Delta_Market'!$B$1</f>
        <v>Delta-Sensitivitäten</v>
      </c>
      <c r="D763" s="1494" t="str">
        <f>'Sensitivitaeten Delta_Market'!$R$11</f>
        <v>Änderungen der Passiven</v>
      </c>
      <c r="E763" s="1488" t="str">
        <f>'Sensitivitaeten Delta_Market'!$R$13</f>
        <v>nach oben</v>
      </c>
      <c r="F763" s="1625" t="s">
        <v>431</v>
      </c>
      <c r="G763" s="1617" t="s">
        <v>2301</v>
      </c>
      <c r="H763" s="1626"/>
      <c r="U763" s="1027"/>
      <c r="V763" s="1027"/>
      <c r="W763" s="1027"/>
    </row>
    <row r="764" spans="2:23" x14ac:dyDescent="0.2">
      <c r="B764" s="1493">
        <f>'Sensitivitaeten Delta_Market'!$A$1</f>
        <v>9</v>
      </c>
      <c r="C764" s="1488" t="str">
        <f>'Sensitivitaeten Delta_Market'!$B$1</f>
        <v>Delta-Sensitivitäten</v>
      </c>
      <c r="D764" s="1494" t="str">
        <f>'Sensitivitaeten Delta_Market'!$R$11</f>
        <v>Änderungen der Passiven</v>
      </c>
      <c r="E764" s="1488" t="str">
        <f>'Sensitivitaeten Delta_Market'!$R$13</f>
        <v>nach oben</v>
      </c>
      <c r="F764" s="1625" t="s">
        <v>2320</v>
      </c>
      <c r="G764" s="1617" t="s">
        <v>2301</v>
      </c>
      <c r="H764" s="1626"/>
      <c r="U764" s="1027"/>
      <c r="V764" s="1027"/>
      <c r="W764" s="1027"/>
    </row>
    <row r="765" spans="2:23" x14ac:dyDescent="0.2">
      <c r="B765" s="1493">
        <f>'Sensitivitaeten Delta_Market'!$A$1</f>
        <v>9</v>
      </c>
      <c r="C765" s="1488" t="str">
        <f>'Sensitivitaeten Delta_Market'!$B$1</f>
        <v>Delta-Sensitivitäten</v>
      </c>
      <c r="D765" s="1494" t="str">
        <f>'Sensitivitaeten Delta_Market'!$R$11</f>
        <v>Änderungen der Passiven</v>
      </c>
      <c r="E765" s="1488" t="str">
        <f>'Sensitivitaeten Delta_Market'!$R$13</f>
        <v>nach oben</v>
      </c>
      <c r="F765" s="1625" t="s">
        <v>2321</v>
      </c>
      <c r="G765" s="1617" t="s">
        <v>2301</v>
      </c>
      <c r="H765" s="1626"/>
      <c r="U765" s="1027"/>
      <c r="V765" s="1027"/>
      <c r="W765" s="1027"/>
    </row>
    <row r="766" spans="2:23" x14ac:dyDescent="0.2">
      <c r="B766" s="1493">
        <f>'Sensitivitaeten Delta_Market'!$A$1</f>
        <v>9</v>
      </c>
      <c r="C766" s="1488" t="str">
        <f>'Sensitivitaeten Delta_Market'!$B$1</f>
        <v>Delta-Sensitivitäten</v>
      </c>
      <c r="D766" s="1494" t="str">
        <f>'Sensitivitaeten Delta_Market'!$R$11</f>
        <v>Änderungen der Passiven</v>
      </c>
      <c r="E766" s="1488" t="str">
        <f>'Sensitivitaeten Delta_Market'!$R$13</f>
        <v>nach oben</v>
      </c>
      <c r="F766" s="1625" t="s">
        <v>2322</v>
      </c>
      <c r="G766" s="1617" t="s">
        <v>2301</v>
      </c>
      <c r="H766" s="1626"/>
      <c r="U766" s="1027"/>
      <c r="V766" s="1027"/>
      <c r="W766" s="1027"/>
    </row>
    <row r="767" spans="2:23" x14ac:dyDescent="0.2">
      <c r="B767" s="1493">
        <f>'Sensitivitaeten Delta_Market'!$A$1</f>
        <v>9</v>
      </c>
      <c r="C767" s="1488" t="str">
        <f>'Sensitivitaeten Delta_Market'!$B$1</f>
        <v>Delta-Sensitivitäten</v>
      </c>
      <c r="D767" s="1494" t="str">
        <f>'Sensitivitaeten Delta_Market'!$R$11</f>
        <v>Änderungen der Passiven</v>
      </c>
      <c r="E767" s="1488" t="str">
        <f>'Sensitivitaeten Delta_Market'!$R$13</f>
        <v>nach oben</v>
      </c>
      <c r="F767" s="1625" t="s">
        <v>2323</v>
      </c>
      <c r="G767" s="1617" t="s">
        <v>2301</v>
      </c>
      <c r="H767" s="1626"/>
      <c r="U767" s="1027"/>
      <c r="V767" s="1027"/>
      <c r="W767" s="1027"/>
    </row>
    <row r="768" spans="2:23" x14ac:dyDescent="0.2">
      <c r="B768" s="1493">
        <f>'Sensitivitaeten Delta_Market'!$A$1</f>
        <v>9</v>
      </c>
      <c r="C768" s="1488" t="str">
        <f>'Sensitivitaeten Delta_Market'!$B$1</f>
        <v>Delta-Sensitivitäten</v>
      </c>
      <c r="D768" s="1494" t="str">
        <f>'Sensitivitaeten Delta_Market'!$R$11</f>
        <v>Änderungen der Passiven</v>
      </c>
      <c r="E768" s="1488" t="str">
        <f>'Sensitivitaeten Delta_Market'!$R$13</f>
        <v>nach oben</v>
      </c>
      <c r="F768" s="1625" t="s">
        <v>2324</v>
      </c>
      <c r="G768" s="1617" t="s">
        <v>2301</v>
      </c>
      <c r="H768" s="1626"/>
      <c r="U768" s="1027"/>
      <c r="V768" s="1027"/>
      <c r="W768" s="1027"/>
    </row>
    <row r="769" spans="2:23" x14ac:dyDescent="0.2">
      <c r="B769" s="1493">
        <f>'Sensitivitaeten Delta_Market'!$A$1</f>
        <v>9</v>
      </c>
      <c r="C769" s="1488" t="str">
        <f>'Sensitivitaeten Delta_Market'!$B$1</f>
        <v>Delta-Sensitivitäten</v>
      </c>
      <c r="D769" s="1494" t="str">
        <f>'Sensitivitaeten Delta_Market'!$R$11</f>
        <v>Änderungen der Passiven</v>
      </c>
      <c r="E769" s="1488" t="str">
        <f>'Sensitivitaeten Delta_Market'!$R$13</f>
        <v>nach oben</v>
      </c>
      <c r="F769" s="1625" t="s">
        <v>2325</v>
      </c>
      <c r="G769" s="1617" t="s">
        <v>2301</v>
      </c>
      <c r="H769" s="1626"/>
      <c r="U769" s="1027"/>
      <c r="V769" s="1027"/>
      <c r="W769" s="1027"/>
    </row>
    <row r="770" spans="2:23" x14ac:dyDescent="0.2">
      <c r="B770" s="1493">
        <f>'Sensitivitaeten Delta_Market'!$A$1</f>
        <v>9</v>
      </c>
      <c r="C770" s="1488" t="str">
        <f>'Sensitivitaeten Delta_Market'!$B$1</f>
        <v>Delta-Sensitivitäten</v>
      </c>
      <c r="D770" s="1494" t="str">
        <f>'Sensitivitaeten Delta_Market'!$R$11</f>
        <v>Änderungen der Passiven</v>
      </c>
      <c r="E770" s="1488" t="str">
        <f>'Sensitivitaeten Delta_Market'!$R$13</f>
        <v>nach oben</v>
      </c>
      <c r="F770" s="1625" t="s">
        <v>2326</v>
      </c>
      <c r="G770" s="1617" t="s">
        <v>2301</v>
      </c>
      <c r="H770" s="1626"/>
      <c r="U770" s="1027"/>
      <c r="V770" s="1027"/>
      <c r="W770" s="1027"/>
    </row>
    <row r="771" spans="2:23" x14ac:dyDescent="0.2">
      <c r="B771" s="1493">
        <f>'Sensitivitaeten Delta_Market'!$A$1</f>
        <v>9</v>
      </c>
      <c r="C771" s="1488" t="str">
        <f>'Sensitivitaeten Delta_Market'!$B$1</f>
        <v>Delta-Sensitivitäten</v>
      </c>
      <c r="D771" s="1494" t="str">
        <f>'Sensitivitaeten Delta_Market'!$R$11</f>
        <v>Änderungen der Passiven</v>
      </c>
      <c r="E771" s="1488" t="str">
        <f>'Sensitivitaeten Delta_Market'!$R$13</f>
        <v>nach oben</v>
      </c>
      <c r="F771" s="1625" t="s">
        <v>2327</v>
      </c>
      <c r="G771" s="1617" t="s">
        <v>2301</v>
      </c>
      <c r="H771" s="1626"/>
      <c r="U771" s="1027"/>
      <c r="V771" s="1027"/>
      <c r="W771" s="1027"/>
    </row>
    <row r="772" spans="2:23" x14ac:dyDescent="0.2">
      <c r="B772" s="1493">
        <f>'Sensitivitaeten Delta_Market'!$A$1</f>
        <v>9</v>
      </c>
      <c r="C772" s="1488" t="str">
        <f>'Sensitivitaeten Delta_Market'!$B$1</f>
        <v>Delta-Sensitivitäten</v>
      </c>
      <c r="D772" s="1494" t="str">
        <f>'Sensitivitaeten Delta_Market'!$R$11</f>
        <v>Änderungen der Passiven</v>
      </c>
      <c r="E772" s="1488" t="str">
        <f>'Sensitivitaeten Delta_Market'!$R$13</f>
        <v>nach oben</v>
      </c>
      <c r="F772" s="1625" t="s">
        <v>2328</v>
      </c>
      <c r="G772" s="1617" t="s">
        <v>2301</v>
      </c>
      <c r="H772" s="1626"/>
      <c r="U772" s="1027"/>
      <c r="V772" s="1027"/>
      <c r="W772" s="1027"/>
    </row>
    <row r="773" spans="2:23" x14ac:dyDescent="0.2">
      <c r="B773" s="1493">
        <f>'Sensitivitaeten Delta_Market'!$A$1</f>
        <v>9</v>
      </c>
      <c r="C773" s="1488" t="str">
        <f>'Sensitivitaeten Delta_Market'!$B$1</f>
        <v>Delta-Sensitivitäten</v>
      </c>
      <c r="D773" s="1494" t="str">
        <f>'Sensitivitaeten Delta_Market'!$R$11</f>
        <v>Änderungen der Passiven</v>
      </c>
      <c r="E773" s="1488" t="str">
        <f>'Sensitivitaeten Delta_Market'!$R$13</f>
        <v>nach oben</v>
      </c>
      <c r="F773" s="1495" t="str">
        <f>'Sensitivitaeten Delta_Market'!$B29</f>
        <v>Implizite Zinsvolatilität</v>
      </c>
      <c r="G773" s="1494"/>
      <c r="H773" s="1077">
        <f>'Sensitivitaeten Delta_Market'!$R29</f>
        <v>0</v>
      </c>
      <c r="U773" s="1027"/>
      <c r="V773" s="1027"/>
      <c r="W773" s="1027"/>
    </row>
    <row r="774" spans="2:23" x14ac:dyDescent="0.2">
      <c r="B774" s="1493">
        <f>'Sensitivitaeten Delta_Market'!$A$1</f>
        <v>9</v>
      </c>
      <c r="C774" s="1488" t="str">
        <f>'Sensitivitaeten Delta_Market'!$B$1</f>
        <v>Delta-Sensitivitäten</v>
      </c>
      <c r="D774" s="1494" t="str">
        <f>'Sensitivitaeten Delta_Market'!$R$11</f>
        <v>Änderungen der Passiven</v>
      </c>
      <c r="E774" s="1488" t="str">
        <f>'Sensitivitaeten Delta_Market'!$R$13</f>
        <v>nach oben</v>
      </c>
      <c r="F774" s="1495" t="str">
        <f>'Sensitivitaeten Delta_Market'!$B30</f>
        <v>Credit Spread USA   AAA</v>
      </c>
      <c r="G774" s="1494"/>
      <c r="H774" s="1077">
        <f>'Sensitivitaeten Delta_Market'!$R30</f>
        <v>0</v>
      </c>
      <c r="U774" s="1027"/>
      <c r="V774" s="1027"/>
      <c r="W774" s="1027"/>
    </row>
    <row r="775" spans="2:23" x14ac:dyDescent="0.2">
      <c r="B775" s="1493">
        <f>'Sensitivitaeten Delta_Market'!$A$1</f>
        <v>9</v>
      </c>
      <c r="C775" s="1488" t="str">
        <f>'Sensitivitaeten Delta_Market'!$B$1</f>
        <v>Delta-Sensitivitäten</v>
      </c>
      <c r="D775" s="1494" t="str">
        <f>'Sensitivitaeten Delta_Market'!$R$11</f>
        <v>Änderungen der Passiven</v>
      </c>
      <c r="E775" s="1488" t="str">
        <f>'Sensitivitaeten Delta_Market'!$R$13</f>
        <v>nach oben</v>
      </c>
      <c r="F775" s="1495" t="str">
        <f>'Sensitivitaeten Delta_Market'!$B31</f>
        <v>Credit Spread USA   AA</v>
      </c>
      <c r="G775" s="1494"/>
      <c r="H775" s="1077">
        <f>'Sensitivitaeten Delta_Market'!$R31</f>
        <v>0</v>
      </c>
      <c r="U775" s="1027"/>
      <c r="V775" s="1027"/>
      <c r="W775" s="1027"/>
    </row>
    <row r="776" spans="2:23" x14ac:dyDescent="0.2">
      <c r="B776" s="1493">
        <f>'Sensitivitaeten Delta_Market'!$A$1</f>
        <v>9</v>
      </c>
      <c r="C776" s="1488" t="str">
        <f>'Sensitivitaeten Delta_Market'!$B$1</f>
        <v>Delta-Sensitivitäten</v>
      </c>
      <c r="D776" s="1494" t="str">
        <f>'Sensitivitaeten Delta_Market'!$R$11</f>
        <v>Änderungen der Passiven</v>
      </c>
      <c r="E776" s="1488" t="str">
        <f>'Sensitivitaeten Delta_Market'!$R$13</f>
        <v>nach oben</v>
      </c>
      <c r="F776" s="1495" t="str">
        <f>'Sensitivitaeten Delta_Market'!$B32</f>
        <v>Credit Spread USA   A</v>
      </c>
      <c r="G776" s="1494"/>
      <c r="H776" s="1077">
        <f>'Sensitivitaeten Delta_Market'!$R32</f>
        <v>0</v>
      </c>
      <c r="U776" s="1027"/>
      <c r="V776" s="1027"/>
      <c r="W776" s="1027"/>
    </row>
    <row r="777" spans="2:23" x14ac:dyDescent="0.2">
      <c r="B777" s="1493">
        <f>'Sensitivitaeten Delta_Market'!$A$1</f>
        <v>9</v>
      </c>
      <c r="C777" s="1488" t="str">
        <f>'Sensitivitaeten Delta_Market'!$B$1</f>
        <v>Delta-Sensitivitäten</v>
      </c>
      <c r="D777" s="1494" t="str">
        <f>'Sensitivitaeten Delta_Market'!$R$11</f>
        <v>Änderungen der Passiven</v>
      </c>
      <c r="E777" s="1488" t="str">
        <f>'Sensitivitaeten Delta_Market'!$R$13</f>
        <v>nach oben</v>
      </c>
      <c r="F777" s="1495" t="str">
        <f>'Sensitivitaeten Delta_Market'!$B33</f>
        <v>Credit Spread USA   BBB</v>
      </c>
      <c r="G777" s="1494"/>
      <c r="H777" s="1077">
        <f>'Sensitivitaeten Delta_Market'!$R33</f>
        <v>0</v>
      </c>
      <c r="U777" s="1027"/>
      <c r="V777" s="1027"/>
      <c r="W777" s="1027"/>
    </row>
    <row r="778" spans="2:23" x14ac:dyDescent="0.2">
      <c r="B778" s="1493">
        <f>'Sensitivitaeten Delta_Market'!$A$1</f>
        <v>9</v>
      </c>
      <c r="C778" s="1488" t="str">
        <f>'Sensitivitaeten Delta_Market'!$B$1</f>
        <v>Delta-Sensitivitäten</v>
      </c>
      <c r="D778" s="1494" t="str">
        <f>'Sensitivitaeten Delta_Market'!$R$11</f>
        <v>Änderungen der Passiven</v>
      </c>
      <c r="E778" s="1488" t="str">
        <f>'Sensitivitaeten Delta_Market'!$R$13</f>
        <v>nach oben</v>
      </c>
      <c r="F778" s="1495" t="str">
        <f>'Sensitivitaeten Delta_Market'!$B34</f>
        <v>Credit Spread   BB</v>
      </c>
      <c r="G778" s="1494"/>
      <c r="H778" s="1077">
        <f>'Sensitivitaeten Delta_Market'!$R34</f>
        <v>0</v>
      </c>
      <c r="U778" s="1027"/>
      <c r="V778" s="1027"/>
      <c r="W778" s="1027"/>
    </row>
    <row r="779" spans="2:23" x14ac:dyDescent="0.2">
      <c r="B779" s="1493">
        <f>'Sensitivitaeten Delta_Market'!$A$1</f>
        <v>9</v>
      </c>
      <c r="C779" s="1488" t="str">
        <f>'Sensitivitaeten Delta_Market'!$B$1</f>
        <v>Delta-Sensitivitäten</v>
      </c>
      <c r="D779" s="1494" t="str">
        <f>'Sensitivitaeten Delta_Market'!$R$11</f>
        <v>Änderungen der Passiven</v>
      </c>
      <c r="E779" s="1488" t="str">
        <f>'Sensitivitaeten Delta_Market'!$R$13</f>
        <v>nach oben</v>
      </c>
      <c r="F779" s="1625" t="s">
        <v>2100</v>
      </c>
      <c r="G779" s="1617" t="s">
        <v>2101</v>
      </c>
      <c r="H779" s="1626"/>
      <c r="U779" s="1027"/>
      <c r="V779" s="1027"/>
      <c r="W779" s="1027"/>
    </row>
    <row r="780" spans="2:23" x14ac:dyDescent="0.2">
      <c r="B780" s="1493">
        <f>'Sensitivitaeten Delta_Market'!$A$1</f>
        <v>9</v>
      </c>
      <c r="C780" s="1488" t="str">
        <f>'Sensitivitaeten Delta_Market'!$B$1</f>
        <v>Delta-Sensitivitäten</v>
      </c>
      <c r="D780" s="1494" t="str">
        <f>'Sensitivitaeten Delta_Market'!$R$11</f>
        <v>Änderungen der Passiven</v>
      </c>
      <c r="E780" s="1488" t="str">
        <f>'Sensitivitaeten Delta_Market'!$R$13</f>
        <v>nach oben</v>
      </c>
      <c r="F780" s="1495" t="str">
        <f>'Sensitivitaeten Delta_Market'!$B35</f>
        <v>Credit Spread Europa   AA</v>
      </c>
      <c r="G780" s="1494"/>
      <c r="H780" s="1077">
        <f>'Sensitivitaeten Delta_Market'!$R35</f>
        <v>0</v>
      </c>
      <c r="U780" s="1027"/>
      <c r="V780" s="1027"/>
      <c r="W780" s="1027"/>
    </row>
    <row r="781" spans="2:23" x14ac:dyDescent="0.2">
      <c r="B781" s="1493">
        <f>'Sensitivitaeten Delta_Market'!$A$1</f>
        <v>9</v>
      </c>
      <c r="C781" s="1488" t="str">
        <f>'Sensitivitaeten Delta_Market'!$B$1</f>
        <v>Delta-Sensitivitäten</v>
      </c>
      <c r="D781" s="1494" t="str">
        <f>'Sensitivitaeten Delta_Market'!$R$11</f>
        <v>Änderungen der Passiven</v>
      </c>
      <c r="E781" s="1488" t="str">
        <f>'Sensitivitaeten Delta_Market'!$R$13</f>
        <v>nach oben</v>
      </c>
      <c r="F781" s="1495" t="str">
        <f>'Sensitivitaeten Delta_Market'!$B36</f>
        <v>Credit Spread Europa   A</v>
      </c>
      <c r="G781" s="1494"/>
      <c r="H781" s="1077">
        <f>'Sensitivitaeten Delta_Market'!$R36</f>
        <v>0</v>
      </c>
      <c r="U781" s="1027"/>
      <c r="V781" s="1027"/>
      <c r="W781" s="1027"/>
    </row>
    <row r="782" spans="2:23" x14ac:dyDescent="0.2">
      <c r="B782" s="1493">
        <f>'Sensitivitaeten Delta_Market'!$A$1</f>
        <v>9</v>
      </c>
      <c r="C782" s="1488" t="str">
        <f>'Sensitivitaeten Delta_Market'!$B$1</f>
        <v>Delta-Sensitivitäten</v>
      </c>
      <c r="D782" s="1494" t="str">
        <f>'Sensitivitaeten Delta_Market'!$R$11</f>
        <v>Änderungen der Passiven</v>
      </c>
      <c r="E782" s="1488" t="str">
        <f>'Sensitivitaeten Delta_Market'!$R$13</f>
        <v>nach oben</v>
      </c>
      <c r="F782" s="1495" t="str">
        <f>'Sensitivitaeten Delta_Market'!$B37</f>
        <v>Credit Spread Europa   BBB</v>
      </c>
      <c r="G782" s="1494"/>
      <c r="H782" s="1077">
        <f>'Sensitivitaeten Delta_Market'!$R37</f>
        <v>0</v>
      </c>
      <c r="U782" s="1027"/>
      <c r="V782" s="1027"/>
      <c r="W782" s="1027"/>
    </row>
    <row r="783" spans="2:23" x14ac:dyDescent="0.2">
      <c r="B783" s="1493">
        <f>'Sensitivitaeten Delta_Market'!$A$1</f>
        <v>9</v>
      </c>
      <c r="C783" s="1488" t="str">
        <f>'Sensitivitaeten Delta_Market'!$B$1</f>
        <v>Delta-Sensitivitäten</v>
      </c>
      <c r="D783" s="1494" t="str">
        <f>'Sensitivitaeten Delta_Market'!$R$11</f>
        <v>Änderungen der Passiven</v>
      </c>
      <c r="E783" s="1488" t="str">
        <f>'Sensitivitaeten Delta_Market'!$R$13</f>
        <v>nach oben</v>
      </c>
      <c r="F783" s="1495" t="str">
        <f>'Sensitivitaeten Delta_Market'!$B41</f>
        <v>Swap-Government Spread</v>
      </c>
      <c r="G783" s="1494"/>
      <c r="H783" s="1077">
        <f>'Sensitivitaeten Delta_Market'!$R41</f>
        <v>0</v>
      </c>
      <c r="U783" s="1027"/>
      <c r="V783" s="1027"/>
      <c r="W783" s="1027"/>
    </row>
    <row r="784" spans="2:23" x14ac:dyDescent="0.2">
      <c r="B784" s="1493">
        <f>'Sensitivitaeten Delta_Market'!$A$1</f>
        <v>9</v>
      </c>
      <c r="C784" s="1488" t="str">
        <f>'Sensitivitaeten Delta_Market'!$B$1</f>
        <v>Delta-Sensitivitäten</v>
      </c>
      <c r="D784" s="1494" t="str">
        <f>'Sensitivitaeten Delta_Market'!$R$11</f>
        <v>Änderungen der Passiven</v>
      </c>
      <c r="E784" s="1488" t="str">
        <f>'Sensitivitaeten Delta_Market'!$R$13</f>
        <v>nach oben</v>
      </c>
      <c r="F784" s="1495" t="str">
        <f>'Sensitivitaeten Delta_Market'!$B42</f>
        <v>Wechselkurs   EUR/CHF</v>
      </c>
      <c r="G784" s="1494"/>
      <c r="H784" s="1077">
        <f>'Sensitivitaeten Delta_Market'!$R42</f>
        <v>0</v>
      </c>
      <c r="U784" s="1027"/>
      <c r="V784" s="1027"/>
      <c r="W784" s="1027"/>
    </row>
    <row r="785" spans="2:23" x14ac:dyDescent="0.2">
      <c r="B785" s="1493">
        <f>'Sensitivitaeten Delta_Market'!$A$1</f>
        <v>9</v>
      </c>
      <c r="C785" s="1488" t="str">
        <f>'Sensitivitaeten Delta_Market'!$B$1</f>
        <v>Delta-Sensitivitäten</v>
      </c>
      <c r="D785" s="1494" t="str">
        <f>'Sensitivitaeten Delta_Market'!$R$11</f>
        <v>Änderungen der Passiven</v>
      </c>
      <c r="E785" s="1488" t="str">
        <f>'Sensitivitaeten Delta_Market'!$R$13</f>
        <v>nach oben</v>
      </c>
      <c r="F785" s="1495" t="str">
        <f>'Sensitivitaeten Delta_Market'!$B43</f>
        <v>Wechselkurs   USD/CHF</v>
      </c>
      <c r="G785" s="1494"/>
      <c r="H785" s="1077">
        <f>'Sensitivitaeten Delta_Market'!$R43</f>
        <v>0</v>
      </c>
      <c r="U785" s="1027"/>
      <c r="V785" s="1027"/>
      <c r="W785" s="1027"/>
    </row>
    <row r="786" spans="2:23" x14ac:dyDescent="0.2">
      <c r="B786" s="1493">
        <f>'Sensitivitaeten Delta_Market'!$A$1</f>
        <v>9</v>
      </c>
      <c r="C786" s="1488" t="str">
        <f>'Sensitivitaeten Delta_Market'!$B$1</f>
        <v>Delta-Sensitivitäten</v>
      </c>
      <c r="D786" s="1494" t="str">
        <f>'Sensitivitaeten Delta_Market'!$R$11</f>
        <v>Änderungen der Passiven</v>
      </c>
      <c r="E786" s="1488" t="str">
        <f>'Sensitivitaeten Delta_Market'!$R$13</f>
        <v>nach oben</v>
      </c>
      <c r="F786" s="1495" t="str">
        <f>'Sensitivitaeten Delta_Market'!$B44</f>
        <v>Wechselkurs   GBP/CHF</v>
      </c>
      <c r="G786" s="1494"/>
      <c r="H786" s="1077">
        <f>'Sensitivitaeten Delta_Market'!$R44</f>
        <v>0</v>
      </c>
      <c r="U786" s="1027"/>
      <c r="V786" s="1027"/>
      <c r="W786" s="1027"/>
    </row>
    <row r="787" spans="2:23" x14ac:dyDescent="0.2">
      <c r="B787" s="1493">
        <f>'Sensitivitaeten Delta_Market'!$A$1</f>
        <v>9</v>
      </c>
      <c r="C787" s="1488" t="str">
        <f>'Sensitivitaeten Delta_Market'!$B$1</f>
        <v>Delta-Sensitivitäten</v>
      </c>
      <c r="D787" s="1494" t="str">
        <f>'Sensitivitaeten Delta_Market'!$R$11</f>
        <v>Änderungen der Passiven</v>
      </c>
      <c r="E787" s="1488" t="str">
        <f>'Sensitivitaeten Delta_Market'!$R$13</f>
        <v>nach oben</v>
      </c>
      <c r="F787" s="1495" t="str">
        <f>'Sensitivitaeten Delta_Market'!$B45</f>
        <v>Wechselkurs   JPY/CHF</v>
      </c>
      <c r="G787" s="1494"/>
      <c r="H787" s="1077">
        <f>'Sensitivitaeten Delta_Market'!$R45</f>
        <v>0</v>
      </c>
      <c r="U787" s="1027"/>
      <c r="V787" s="1027"/>
      <c r="W787" s="1027"/>
    </row>
    <row r="788" spans="2:23" x14ac:dyDescent="0.2">
      <c r="B788" s="1493">
        <f>'Sensitivitaeten Delta_Market'!$A$1</f>
        <v>9</v>
      </c>
      <c r="C788" s="1488" t="str">
        <f>'Sensitivitaeten Delta_Market'!$B$1</f>
        <v>Delta-Sensitivitäten</v>
      </c>
      <c r="D788" s="1494" t="str">
        <f>'Sensitivitaeten Delta_Market'!$R$11</f>
        <v>Änderungen der Passiven</v>
      </c>
      <c r="E788" s="1488" t="str">
        <f>'Sensitivitaeten Delta_Market'!$R$13</f>
        <v>nach oben</v>
      </c>
      <c r="F788" s="1495" t="str">
        <f>'Sensitivitaeten Delta_Market'!$B46</f>
        <v xml:space="preserve">Implizite FX-Volatilität </v>
      </c>
      <c r="G788" s="1494"/>
      <c r="H788" s="1077">
        <f>'Sensitivitaeten Delta_Market'!$R46</f>
        <v>0</v>
      </c>
      <c r="U788" s="1027"/>
      <c r="V788" s="1027"/>
      <c r="W788" s="1027"/>
    </row>
    <row r="789" spans="2:23" x14ac:dyDescent="0.2">
      <c r="B789" s="1493">
        <f>'Sensitivitaeten Delta_Market'!$A$1</f>
        <v>9</v>
      </c>
      <c r="C789" s="1488" t="str">
        <f>'Sensitivitaeten Delta_Market'!$B$1</f>
        <v>Delta-Sensitivitäten</v>
      </c>
      <c r="D789" s="1494" t="str">
        <f>'Sensitivitaeten Delta_Market'!$R$11</f>
        <v>Änderungen der Passiven</v>
      </c>
      <c r="E789" s="1488" t="str">
        <f>'Sensitivitaeten Delta_Market'!$R$13</f>
        <v>nach oben</v>
      </c>
      <c r="F789" s="1495" t="str">
        <f>'Sensitivitaeten Delta_Market'!$B47</f>
        <v>Aktien Schweiz</v>
      </c>
      <c r="G789" s="1494"/>
      <c r="H789" s="1077">
        <f>'Sensitivitaeten Delta_Market'!$R47</f>
        <v>0</v>
      </c>
      <c r="U789" s="1027"/>
      <c r="V789" s="1027"/>
      <c r="W789" s="1027"/>
    </row>
    <row r="790" spans="2:23" x14ac:dyDescent="0.2">
      <c r="B790" s="1493">
        <f>'Sensitivitaeten Delta_Market'!$A$1</f>
        <v>9</v>
      </c>
      <c r="C790" s="1488" t="str">
        <f>'Sensitivitaeten Delta_Market'!$B$1</f>
        <v>Delta-Sensitivitäten</v>
      </c>
      <c r="D790" s="1494" t="str">
        <f>'Sensitivitaeten Delta_Market'!$R$11</f>
        <v>Änderungen der Passiven</v>
      </c>
      <c r="E790" s="1488" t="str">
        <f>'Sensitivitaeten Delta_Market'!$R$13</f>
        <v>nach oben</v>
      </c>
      <c r="F790" s="1495" t="str">
        <f>'Sensitivitaeten Delta_Market'!$B48</f>
        <v>Aktien EMU</v>
      </c>
      <c r="G790" s="1494"/>
      <c r="H790" s="1077">
        <f>'Sensitivitaeten Delta_Market'!$R48</f>
        <v>0</v>
      </c>
      <c r="U790" s="1027"/>
      <c r="V790" s="1027"/>
      <c r="W790" s="1027"/>
    </row>
    <row r="791" spans="2:23" x14ac:dyDescent="0.2">
      <c r="B791" s="1493">
        <f>'Sensitivitaeten Delta_Market'!$A$1</f>
        <v>9</v>
      </c>
      <c r="C791" s="1488" t="str">
        <f>'Sensitivitaeten Delta_Market'!$B$1</f>
        <v>Delta-Sensitivitäten</v>
      </c>
      <c r="D791" s="1494" t="str">
        <f>'Sensitivitaeten Delta_Market'!$R$11</f>
        <v>Änderungen der Passiven</v>
      </c>
      <c r="E791" s="1488" t="str">
        <f>'Sensitivitaeten Delta_Market'!$R$13</f>
        <v>nach oben</v>
      </c>
      <c r="F791" s="1495" t="str">
        <f>'Sensitivitaeten Delta_Market'!$B49</f>
        <v>Aktien USA</v>
      </c>
      <c r="G791" s="1494"/>
      <c r="H791" s="1077">
        <f>'Sensitivitaeten Delta_Market'!$R49</f>
        <v>0</v>
      </c>
      <c r="U791" s="1027"/>
      <c r="V791" s="1027"/>
      <c r="W791" s="1027"/>
    </row>
    <row r="792" spans="2:23" x14ac:dyDescent="0.2">
      <c r="B792" s="1493">
        <f>'Sensitivitaeten Delta_Market'!$A$1</f>
        <v>9</v>
      </c>
      <c r="C792" s="1488" t="str">
        <f>'Sensitivitaeten Delta_Market'!$B$1</f>
        <v>Delta-Sensitivitäten</v>
      </c>
      <c r="D792" s="1494" t="str">
        <f>'Sensitivitaeten Delta_Market'!$R$11</f>
        <v>Änderungen der Passiven</v>
      </c>
      <c r="E792" s="1488" t="str">
        <f>'Sensitivitaeten Delta_Market'!$R$13</f>
        <v>nach oben</v>
      </c>
      <c r="F792" s="1495" t="str">
        <f>'Sensitivitaeten Delta_Market'!$B50</f>
        <v>Aktien Grossbritannien</v>
      </c>
      <c r="G792" s="1494"/>
      <c r="H792" s="1077">
        <f>'Sensitivitaeten Delta_Market'!$R50</f>
        <v>0</v>
      </c>
      <c r="U792" s="1027"/>
      <c r="V792" s="1027"/>
      <c r="W792" s="1027"/>
    </row>
    <row r="793" spans="2:23" x14ac:dyDescent="0.2">
      <c r="B793" s="1493">
        <f>'Sensitivitaeten Delta_Market'!$A$1</f>
        <v>9</v>
      </c>
      <c r="C793" s="1488" t="str">
        <f>'Sensitivitaeten Delta_Market'!$B$1</f>
        <v>Delta-Sensitivitäten</v>
      </c>
      <c r="D793" s="1494" t="str">
        <f>'Sensitivitaeten Delta_Market'!$R$11</f>
        <v>Änderungen der Passiven</v>
      </c>
      <c r="E793" s="1488" t="str">
        <f>'Sensitivitaeten Delta_Market'!$R$13</f>
        <v>nach oben</v>
      </c>
      <c r="F793" s="1495" t="str">
        <f>'Sensitivitaeten Delta_Market'!$B51</f>
        <v>Aktien Japan</v>
      </c>
      <c r="G793" s="1494"/>
      <c r="H793" s="1077">
        <f>'Sensitivitaeten Delta_Market'!$R51</f>
        <v>0</v>
      </c>
      <c r="U793" s="1027"/>
      <c r="V793" s="1027"/>
      <c r="W793" s="1027"/>
    </row>
    <row r="794" spans="2:23" x14ac:dyDescent="0.2">
      <c r="B794" s="1493">
        <f>'Sensitivitaeten Delta_Market'!$A$1</f>
        <v>9</v>
      </c>
      <c r="C794" s="1488" t="str">
        <f>'Sensitivitaeten Delta_Market'!$B$1</f>
        <v>Delta-Sensitivitäten</v>
      </c>
      <c r="D794" s="1494" t="str">
        <f>'Sensitivitaeten Delta_Market'!$R$11</f>
        <v>Änderungen der Passiven</v>
      </c>
      <c r="E794" s="1488" t="str">
        <f>'Sensitivitaeten Delta_Market'!$R$13</f>
        <v>nach oben</v>
      </c>
      <c r="F794" s="1625" t="s">
        <v>2338</v>
      </c>
      <c r="G794" s="1617" t="s">
        <v>2301</v>
      </c>
      <c r="H794" s="1626"/>
      <c r="U794" s="1027"/>
      <c r="V794" s="1027"/>
      <c r="W794" s="1027"/>
    </row>
    <row r="795" spans="2:23" x14ac:dyDescent="0.2">
      <c r="B795" s="1493">
        <f>'Sensitivitaeten Delta_Market'!$A$1</f>
        <v>9</v>
      </c>
      <c r="C795" s="1488" t="str">
        <f>'Sensitivitaeten Delta_Market'!$B$1</f>
        <v>Delta-Sensitivitäten</v>
      </c>
      <c r="D795" s="1494" t="str">
        <f>'Sensitivitaeten Delta_Market'!$R$11</f>
        <v>Änderungen der Passiven</v>
      </c>
      <c r="E795" s="1488" t="str">
        <f>'Sensitivitaeten Delta_Market'!$R$13</f>
        <v>nach oben</v>
      </c>
      <c r="F795" s="1625" t="s">
        <v>2339</v>
      </c>
      <c r="G795" s="1617" t="s">
        <v>2301</v>
      </c>
      <c r="H795" s="1626"/>
      <c r="U795" s="1027"/>
      <c r="V795" s="1027"/>
      <c r="W795" s="1027"/>
    </row>
    <row r="796" spans="2:23" x14ac:dyDescent="0.2">
      <c r="B796" s="1493">
        <f>'Sensitivitaeten Delta_Market'!$A$1</f>
        <v>9</v>
      </c>
      <c r="C796" s="1488" t="str">
        <f>'Sensitivitaeten Delta_Market'!$B$1</f>
        <v>Delta-Sensitivitäten</v>
      </c>
      <c r="D796" s="1494" t="str">
        <f>'Sensitivitaeten Delta_Market'!$R$11</f>
        <v>Änderungen der Passiven</v>
      </c>
      <c r="E796" s="1488" t="str">
        <f>'Sensitivitaeten Delta_Market'!$R$13</f>
        <v>nach oben</v>
      </c>
      <c r="F796" s="1497" t="str">
        <f>'Sensitivitaeten Delta_Market'!$B52</f>
        <v>Implizite Aktienvolatilität</v>
      </c>
      <c r="G796" s="1494"/>
      <c r="H796" s="1077">
        <f>'Sensitivitaeten Delta_Market'!$R52</f>
        <v>0</v>
      </c>
      <c r="U796" s="1027"/>
      <c r="V796" s="1027"/>
      <c r="W796" s="1027"/>
    </row>
    <row r="797" spans="2:23" x14ac:dyDescent="0.2">
      <c r="B797" s="1493">
        <f>'Sensitivitaeten Delta_Market'!$A$1</f>
        <v>9</v>
      </c>
      <c r="C797" s="1488" t="str">
        <f>'Sensitivitaeten Delta_Market'!$B$1</f>
        <v>Delta-Sensitivitäten</v>
      </c>
      <c r="D797" s="1494" t="str">
        <f>'Sensitivitaeten Delta_Market'!$R$11</f>
        <v>Änderungen der Passiven</v>
      </c>
      <c r="E797" s="1488" t="str">
        <f>'Sensitivitaeten Delta_Market'!$R$13</f>
        <v>nach oben</v>
      </c>
      <c r="F797" s="1495" t="str">
        <f>'Sensitivitaeten Delta_Market'!$B53</f>
        <v>Hedgefonds</v>
      </c>
      <c r="G797" s="1494"/>
      <c r="H797" s="1077">
        <f>'Sensitivitaeten Delta_Market'!$R53</f>
        <v>0</v>
      </c>
      <c r="U797" s="1027"/>
      <c r="V797" s="1027"/>
      <c r="W797" s="1027"/>
    </row>
    <row r="798" spans="2:23" x14ac:dyDescent="0.2">
      <c r="B798" s="1493"/>
      <c r="C798" s="1488"/>
      <c r="D798" s="1494"/>
      <c r="E798" s="1488"/>
      <c r="F798" s="1495"/>
      <c r="G798" s="1494"/>
      <c r="H798" s="1078"/>
      <c r="U798" s="1027"/>
      <c r="V798" s="1027"/>
      <c r="W798" s="1027"/>
    </row>
    <row r="799" spans="2:23" x14ac:dyDescent="0.2">
      <c r="B799" s="1493">
        <f>'Sensitivitaeten Delta_Market'!$A$1</f>
        <v>9</v>
      </c>
      <c r="C799" s="1488" t="str">
        <f>'Sensitivitaeten Delta_Market'!$B$1</f>
        <v>Delta-Sensitivitäten</v>
      </c>
      <c r="D799" s="1494" t="str">
        <f>'Sensitivitaeten Delta_Market'!$R$11</f>
        <v>Änderungen der Passiven</v>
      </c>
      <c r="E799" s="1488" t="str">
        <f>'Sensitivitaeten Delta_Market'!$S$13</f>
        <v>nach unten</v>
      </c>
      <c r="F799" s="1625" t="s">
        <v>428</v>
      </c>
      <c r="G799" s="1617" t="s">
        <v>2301</v>
      </c>
      <c r="H799" s="1626"/>
      <c r="U799" s="1027"/>
      <c r="V799" s="1027"/>
      <c r="W799" s="1027"/>
    </row>
    <row r="800" spans="2:23" x14ac:dyDescent="0.2">
      <c r="B800" s="1493">
        <f>'Sensitivitaeten Delta_Market'!$A$1</f>
        <v>9</v>
      </c>
      <c r="C800" s="1488" t="str">
        <f>'Sensitivitaeten Delta_Market'!$B$1</f>
        <v>Delta-Sensitivitäten</v>
      </c>
      <c r="D800" s="1494" t="str">
        <f>'Sensitivitaeten Delta_Market'!$R$11</f>
        <v>Änderungen der Passiven</v>
      </c>
      <c r="E800" s="1488" t="str">
        <f>'Sensitivitaeten Delta_Market'!$S$13</f>
        <v>nach unten</v>
      </c>
      <c r="F800" s="1494" t="str">
        <f>'Sensitivitaeten Delta_Market'!$B17</f>
        <v>CHF Zeros  2 Y</v>
      </c>
      <c r="G800" s="1494"/>
      <c r="H800" s="1077">
        <f>'Sensitivitaeten Delta_Market'!$S17</f>
        <v>0</v>
      </c>
      <c r="U800" s="1027"/>
      <c r="V800" s="1027"/>
      <c r="W800" s="1027"/>
    </row>
    <row r="801" spans="2:23" x14ac:dyDescent="0.2">
      <c r="B801" s="1493">
        <f>'Sensitivitaeten Delta_Market'!$A$1</f>
        <v>9</v>
      </c>
      <c r="C801" s="1488" t="str">
        <f>'Sensitivitaeten Delta_Market'!$B$1</f>
        <v>Delta-Sensitivitäten</v>
      </c>
      <c r="D801" s="1494" t="str">
        <f>'Sensitivitaeten Delta_Market'!$R$11</f>
        <v>Änderungen der Passiven</v>
      </c>
      <c r="E801" s="1488" t="str">
        <f>'Sensitivitaeten Delta_Market'!$S$13</f>
        <v>nach unten</v>
      </c>
      <c r="F801" s="1625" t="s">
        <v>2302</v>
      </c>
      <c r="G801" s="1617" t="s">
        <v>2301</v>
      </c>
      <c r="H801" s="1626"/>
      <c r="U801" s="1027"/>
      <c r="V801" s="1027"/>
      <c r="W801" s="1027"/>
    </row>
    <row r="802" spans="2:23" x14ac:dyDescent="0.2">
      <c r="B802" s="1493">
        <f>'Sensitivitaeten Delta_Market'!$A$1</f>
        <v>9</v>
      </c>
      <c r="C802" s="1488" t="str">
        <f>'Sensitivitaeten Delta_Market'!$B$1</f>
        <v>Delta-Sensitivitäten</v>
      </c>
      <c r="D802" s="1494" t="str">
        <f>'Sensitivitaeten Delta_Market'!$R$11</f>
        <v>Änderungen der Passiven</v>
      </c>
      <c r="E802" s="1488" t="str">
        <f>'Sensitivitaeten Delta_Market'!$S$13</f>
        <v>nach unten</v>
      </c>
      <c r="F802" s="1625" t="s">
        <v>2303</v>
      </c>
      <c r="G802" s="1617" t="s">
        <v>2301</v>
      </c>
      <c r="H802" s="1626"/>
      <c r="U802" s="1027"/>
      <c r="V802" s="1027"/>
      <c r="W802" s="1027"/>
    </row>
    <row r="803" spans="2:23" x14ac:dyDescent="0.2">
      <c r="B803" s="1493">
        <f>'Sensitivitaeten Delta_Market'!$A$1</f>
        <v>9</v>
      </c>
      <c r="C803" s="1488" t="str">
        <f>'Sensitivitaeten Delta_Market'!$B$1</f>
        <v>Delta-Sensitivitäten</v>
      </c>
      <c r="D803" s="1494" t="str">
        <f>'Sensitivitaeten Delta_Market'!$R$11</f>
        <v>Änderungen der Passiven</v>
      </c>
      <c r="E803" s="1488" t="str">
        <f>'Sensitivitaeten Delta_Market'!$S$13</f>
        <v>nach unten</v>
      </c>
      <c r="F803" s="1625" t="s">
        <v>2304</v>
      </c>
      <c r="G803" s="1617" t="s">
        <v>2301</v>
      </c>
      <c r="H803" s="1626"/>
      <c r="U803" s="1027"/>
      <c r="V803" s="1027"/>
      <c r="W803" s="1027"/>
    </row>
    <row r="804" spans="2:23" x14ac:dyDescent="0.2">
      <c r="B804" s="1493">
        <f>'Sensitivitaeten Delta_Market'!$A$1</f>
        <v>9</v>
      </c>
      <c r="C804" s="1488" t="str">
        <f>'Sensitivitaeten Delta_Market'!$B$1</f>
        <v>Delta-Sensitivitäten</v>
      </c>
      <c r="D804" s="1494" t="str">
        <f>'Sensitivitaeten Delta_Market'!$R$11</f>
        <v>Änderungen der Passiven</v>
      </c>
      <c r="E804" s="1488" t="str">
        <f>'Sensitivitaeten Delta_Market'!$S$13</f>
        <v>nach unten</v>
      </c>
      <c r="F804" s="1625" t="s">
        <v>2305</v>
      </c>
      <c r="G804" s="1617" t="s">
        <v>2301</v>
      </c>
      <c r="H804" s="1626"/>
      <c r="U804" s="1027"/>
      <c r="V804" s="1027"/>
      <c r="W804" s="1027"/>
    </row>
    <row r="805" spans="2:23" x14ac:dyDescent="0.2">
      <c r="B805" s="1493">
        <f>'Sensitivitaeten Delta_Market'!$A$1</f>
        <v>9</v>
      </c>
      <c r="C805" s="1488" t="str">
        <f>'Sensitivitaeten Delta_Market'!$B$1</f>
        <v>Delta-Sensitivitäten</v>
      </c>
      <c r="D805" s="1494" t="str">
        <f>'Sensitivitaeten Delta_Market'!$R$11</f>
        <v>Änderungen der Passiven</v>
      </c>
      <c r="E805" s="1488" t="str">
        <f>'Sensitivitaeten Delta_Market'!$S$13</f>
        <v>nach unten</v>
      </c>
      <c r="F805" s="1625" t="s">
        <v>2307</v>
      </c>
      <c r="G805" s="1617" t="s">
        <v>2301</v>
      </c>
      <c r="H805" s="1626"/>
      <c r="U805" s="1027"/>
      <c r="V805" s="1027"/>
      <c r="W805" s="1027"/>
    </row>
    <row r="806" spans="2:23" x14ac:dyDescent="0.2">
      <c r="B806" s="1493">
        <f>'Sensitivitaeten Delta_Market'!$A$1</f>
        <v>9</v>
      </c>
      <c r="C806" s="1488" t="str">
        <f>'Sensitivitaeten Delta_Market'!$B$1</f>
        <v>Delta-Sensitivitäten</v>
      </c>
      <c r="D806" s="1494" t="str">
        <f>'Sensitivitaeten Delta_Market'!$R$11</f>
        <v>Änderungen der Passiven</v>
      </c>
      <c r="E806" s="1488" t="str">
        <f>'Sensitivitaeten Delta_Market'!$S$13</f>
        <v>nach unten</v>
      </c>
      <c r="F806" s="1625" t="s">
        <v>2306</v>
      </c>
      <c r="G806" s="1617" t="s">
        <v>2301</v>
      </c>
      <c r="H806" s="1626"/>
      <c r="U806" s="1027"/>
      <c r="V806" s="1027"/>
      <c r="W806" s="1027"/>
    </row>
    <row r="807" spans="2:23" x14ac:dyDescent="0.2">
      <c r="B807" s="1493">
        <f>'Sensitivitaeten Delta_Market'!$A$1</f>
        <v>9</v>
      </c>
      <c r="C807" s="1488" t="str">
        <f>'Sensitivitaeten Delta_Market'!$B$1</f>
        <v>Delta-Sensitivitäten</v>
      </c>
      <c r="D807" s="1494" t="str">
        <f>'Sensitivitaeten Delta_Market'!$R$11</f>
        <v>Änderungen der Passiven</v>
      </c>
      <c r="E807" s="1488" t="str">
        <f>'Sensitivitaeten Delta_Market'!$S$13</f>
        <v>nach unten</v>
      </c>
      <c r="F807" s="1625" t="s">
        <v>2308</v>
      </c>
      <c r="G807" s="1617" t="s">
        <v>2301</v>
      </c>
      <c r="H807" s="1626"/>
      <c r="U807" s="1027"/>
      <c r="V807" s="1027"/>
      <c r="W807" s="1027"/>
    </row>
    <row r="808" spans="2:23" x14ac:dyDescent="0.2">
      <c r="B808" s="1493">
        <f>'Sensitivitaeten Delta_Market'!$A$1</f>
        <v>9</v>
      </c>
      <c r="C808" s="1488" t="str">
        <f>'Sensitivitaeten Delta_Market'!$B$1</f>
        <v>Delta-Sensitivitäten</v>
      </c>
      <c r="D808" s="1494" t="str">
        <f>'Sensitivitaeten Delta_Market'!$R$11</f>
        <v>Änderungen der Passiven</v>
      </c>
      <c r="E808" s="1488" t="str">
        <f>'Sensitivitaeten Delta_Market'!$S$13</f>
        <v>nach unten</v>
      </c>
      <c r="F808" s="1495" t="str">
        <f>'Sensitivitaeten Delta_Market'!$B18</f>
        <v>CHF Zeros  10 Y</v>
      </c>
      <c r="G808" s="1494"/>
      <c r="H808" s="1077">
        <f>'Sensitivitaeten Delta_Market'!$S18</f>
        <v>0</v>
      </c>
      <c r="U808" s="1027"/>
      <c r="V808" s="1027"/>
      <c r="W808" s="1027"/>
    </row>
    <row r="809" spans="2:23" x14ac:dyDescent="0.2">
      <c r="B809" s="1493">
        <f>'Sensitivitaeten Delta_Market'!$A$1</f>
        <v>9</v>
      </c>
      <c r="C809" s="1488" t="str">
        <f>'Sensitivitaeten Delta_Market'!$B$1</f>
        <v>Delta-Sensitivitäten</v>
      </c>
      <c r="D809" s="1494" t="str">
        <f>'Sensitivitaeten Delta_Market'!$R$11</f>
        <v>Änderungen der Passiven</v>
      </c>
      <c r="E809" s="1488" t="str">
        <f>'Sensitivitaeten Delta_Market'!$S$13</f>
        <v>nach unten</v>
      </c>
      <c r="F809" s="1625" t="s">
        <v>2309</v>
      </c>
      <c r="G809" s="1617" t="s">
        <v>2301</v>
      </c>
      <c r="H809" s="1626"/>
      <c r="U809" s="1027"/>
      <c r="V809" s="1027"/>
      <c r="W809" s="1027"/>
    </row>
    <row r="810" spans="2:23" x14ac:dyDescent="0.2">
      <c r="B810" s="1493">
        <f>'Sensitivitaeten Delta_Market'!$A$1</f>
        <v>9</v>
      </c>
      <c r="C810" s="1488" t="str">
        <f>'Sensitivitaeten Delta_Market'!$B$1</f>
        <v>Delta-Sensitivitäten</v>
      </c>
      <c r="D810" s="1494" t="str">
        <f>'Sensitivitaeten Delta_Market'!$R$11</f>
        <v>Änderungen der Passiven</v>
      </c>
      <c r="E810" s="1488" t="str">
        <f>'Sensitivitaeten Delta_Market'!$S$13</f>
        <v>nach unten</v>
      </c>
      <c r="F810" s="1625" t="s">
        <v>2310</v>
      </c>
      <c r="G810" s="1617" t="s">
        <v>2301</v>
      </c>
      <c r="H810" s="1626"/>
      <c r="U810" s="1027"/>
      <c r="V810" s="1027"/>
      <c r="W810" s="1027"/>
    </row>
    <row r="811" spans="2:23" x14ac:dyDescent="0.2">
      <c r="B811" s="1493">
        <f>'Sensitivitaeten Delta_Market'!$A$1</f>
        <v>9</v>
      </c>
      <c r="C811" s="1488" t="str">
        <f>'Sensitivitaeten Delta_Market'!$B$1</f>
        <v>Delta-Sensitivitäten</v>
      </c>
      <c r="D811" s="1494" t="str">
        <f>'Sensitivitaeten Delta_Market'!$R$11</f>
        <v>Änderungen der Passiven</v>
      </c>
      <c r="E811" s="1488" t="str">
        <f>'Sensitivitaeten Delta_Market'!$S$13</f>
        <v>nach unten</v>
      </c>
      <c r="F811" s="1495" t="str">
        <f>'Sensitivitaeten Delta_Market'!$B19</f>
        <v>CHF Zeros  30 Y</v>
      </c>
      <c r="G811" s="1494"/>
      <c r="H811" s="1077">
        <f>'Sensitivitaeten Delta_Market'!$S19</f>
        <v>0</v>
      </c>
      <c r="U811" s="1027"/>
      <c r="V811" s="1027"/>
      <c r="W811" s="1027"/>
    </row>
    <row r="812" spans="2:23" x14ac:dyDescent="0.2">
      <c r="B812" s="1493">
        <f>'Sensitivitaeten Delta_Market'!$A$1</f>
        <v>9</v>
      </c>
      <c r="C812" s="1488" t="str">
        <f>'Sensitivitaeten Delta_Market'!$B$1</f>
        <v>Delta-Sensitivitäten</v>
      </c>
      <c r="D812" s="1494" t="str">
        <f>'Sensitivitaeten Delta_Market'!$R$11</f>
        <v>Änderungen der Passiven</v>
      </c>
      <c r="E812" s="1488" t="str">
        <f>'Sensitivitaeten Delta_Market'!$S$13</f>
        <v>nach unten</v>
      </c>
      <c r="F812" s="1625" t="s">
        <v>429</v>
      </c>
      <c r="G812" s="1617" t="s">
        <v>2301</v>
      </c>
      <c r="H812" s="1626"/>
      <c r="U812" s="1027"/>
      <c r="V812" s="1027"/>
      <c r="W812" s="1027"/>
    </row>
    <row r="813" spans="2:23" x14ac:dyDescent="0.2">
      <c r="B813" s="1493">
        <f>'Sensitivitaeten Delta_Market'!$A$1</f>
        <v>9</v>
      </c>
      <c r="C813" s="1488" t="str">
        <f>'Sensitivitaeten Delta_Market'!$B$1</f>
        <v>Delta-Sensitivitäten</v>
      </c>
      <c r="D813" s="1494" t="str">
        <f>'Sensitivitaeten Delta_Market'!$R$11</f>
        <v>Änderungen der Passiven</v>
      </c>
      <c r="E813" s="1488" t="str">
        <f>'Sensitivitaeten Delta_Market'!$S$13</f>
        <v>nach unten</v>
      </c>
      <c r="F813" s="1625" t="s">
        <v>2311</v>
      </c>
      <c r="G813" s="1617" t="s">
        <v>2301</v>
      </c>
      <c r="H813" s="1626"/>
      <c r="U813" s="1027"/>
      <c r="V813" s="1027"/>
      <c r="W813" s="1027"/>
    </row>
    <row r="814" spans="2:23" x14ac:dyDescent="0.2">
      <c r="B814" s="1493">
        <f>'Sensitivitaeten Delta_Market'!$A$1</f>
        <v>9</v>
      </c>
      <c r="C814" s="1488" t="str">
        <f>'Sensitivitaeten Delta_Market'!$B$1</f>
        <v>Delta-Sensitivitäten</v>
      </c>
      <c r="D814" s="1494" t="str">
        <f>'Sensitivitaeten Delta_Market'!$R$11</f>
        <v>Änderungen der Passiven</v>
      </c>
      <c r="E814" s="1488" t="str">
        <f>'Sensitivitaeten Delta_Market'!$S$13</f>
        <v>nach unten</v>
      </c>
      <c r="F814" s="1625" t="s">
        <v>2312</v>
      </c>
      <c r="G814" s="1617" t="s">
        <v>2301</v>
      </c>
      <c r="H814" s="1626"/>
      <c r="U814" s="1027"/>
      <c r="V814" s="1027"/>
      <c r="W814" s="1027"/>
    </row>
    <row r="815" spans="2:23" x14ac:dyDescent="0.2">
      <c r="B815" s="1493">
        <f>'Sensitivitaeten Delta_Market'!$A$1</f>
        <v>9</v>
      </c>
      <c r="C815" s="1488" t="str">
        <f>'Sensitivitaeten Delta_Market'!$B$1</f>
        <v>Delta-Sensitivitäten</v>
      </c>
      <c r="D815" s="1494" t="str">
        <f>'Sensitivitaeten Delta_Market'!$R$11</f>
        <v>Änderungen der Passiven</v>
      </c>
      <c r="E815" s="1488" t="str">
        <f>'Sensitivitaeten Delta_Market'!$S$13</f>
        <v>nach unten</v>
      </c>
      <c r="F815" s="1625" t="s">
        <v>2313</v>
      </c>
      <c r="G815" s="1617" t="s">
        <v>2301</v>
      </c>
      <c r="H815" s="1626"/>
      <c r="U815" s="1027"/>
      <c r="V815" s="1027"/>
      <c r="W815" s="1027"/>
    </row>
    <row r="816" spans="2:23" x14ac:dyDescent="0.2">
      <c r="B816" s="1493">
        <f>'Sensitivitaeten Delta_Market'!$A$1</f>
        <v>9</v>
      </c>
      <c r="C816" s="1488" t="str">
        <f>'Sensitivitaeten Delta_Market'!$B$1</f>
        <v>Delta-Sensitivitäten</v>
      </c>
      <c r="D816" s="1494" t="str">
        <f>'Sensitivitaeten Delta_Market'!$R$11</f>
        <v>Änderungen der Passiven</v>
      </c>
      <c r="E816" s="1488" t="str">
        <f>'Sensitivitaeten Delta_Market'!$S$13</f>
        <v>nach unten</v>
      </c>
      <c r="F816" s="1625" t="s">
        <v>2314</v>
      </c>
      <c r="G816" s="1617" t="s">
        <v>2301</v>
      </c>
      <c r="H816" s="1626"/>
      <c r="U816" s="1027"/>
      <c r="V816" s="1027"/>
      <c r="W816" s="1027"/>
    </row>
    <row r="817" spans="2:23" x14ac:dyDescent="0.2">
      <c r="B817" s="1493">
        <f>'Sensitivitaeten Delta_Market'!$A$1</f>
        <v>9</v>
      </c>
      <c r="C817" s="1488" t="str">
        <f>'Sensitivitaeten Delta_Market'!$B$1</f>
        <v>Delta-Sensitivitäten</v>
      </c>
      <c r="D817" s="1494" t="str">
        <f>'Sensitivitaeten Delta_Market'!$R$11</f>
        <v>Änderungen der Passiven</v>
      </c>
      <c r="E817" s="1488" t="str">
        <f>'Sensitivitaeten Delta_Market'!$S$13</f>
        <v>nach unten</v>
      </c>
      <c r="F817" s="1625" t="s">
        <v>2315</v>
      </c>
      <c r="G817" s="1617" t="s">
        <v>2301</v>
      </c>
      <c r="H817" s="1626"/>
      <c r="U817" s="1027"/>
      <c r="V817" s="1027"/>
      <c r="W817" s="1027"/>
    </row>
    <row r="818" spans="2:23" x14ac:dyDescent="0.2">
      <c r="B818" s="1493">
        <f>'Sensitivitaeten Delta_Market'!$A$1</f>
        <v>9</v>
      </c>
      <c r="C818" s="1488" t="str">
        <f>'Sensitivitaeten Delta_Market'!$B$1</f>
        <v>Delta-Sensitivitäten</v>
      </c>
      <c r="D818" s="1494" t="str">
        <f>'Sensitivitaeten Delta_Market'!$R$11</f>
        <v>Änderungen der Passiven</v>
      </c>
      <c r="E818" s="1488" t="str">
        <f>'Sensitivitaeten Delta_Market'!$S$13</f>
        <v>nach unten</v>
      </c>
      <c r="F818" s="1625" t="s">
        <v>2316</v>
      </c>
      <c r="G818" s="1617" t="s">
        <v>2301</v>
      </c>
      <c r="H818" s="1626"/>
      <c r="U818" s="1027"/>
      <c r="V818" s="1027"/>
      <c r="W818" s="1027"/>
    </row>
    <row r="819" spans="2:23" x14ac:dyDescent="0.2">
      <c r="B819" s="1493">
        <f>'Sensitivitaeten Delta_Market'!$A$1</f>
        <v>9</v>
      </c>
      <c r="C819" s="1488" t="str">
        <f>'Sensitivitaeten Delta_Market'!$B$1</f>
        <v>Delta-Sensitivitäten</v>
      </c>
      <c r="D819" s="1494" t="str">
        <f>'Sensitivitaeten Delta_Market'!$R$11</f>
        <v>Änderungen der Passiven</v>
      </c>
      <c r="E819" s="1488" t="str">
        <f>'Sensitivitaeten Delta_Market'!$S$13</f>
        <v>nach unten</v>
      </c>
      <c r="F819" s="1625" t="s">
        <v>2317</v>
      </c>
      <c r="G819" s="1617" t="s">
        <v>2301</v>
      </c>
      <c r="H819" s="1626"/>
      <c r="U819" s="1027"/>
      <c r="V819" s="1027"/>
      <c r="W819" s="1027"/>
    </row>
    <row r="820" spans="2:23" x14ac:dyDescent="0.2">
      <c r="B820" s="1493">
        <f>'Sensitivitaeten Delta_Market'!$A$1</f>
        <v>9</v>
      </c>
      <c r="C820" s="1488" t="str">
        <f>'Sensitivitaeten Delta_Market'!$B$1</f>
        <v>Delta-Sensitivitäten</v>
      </c>
      <c r="D820" s="1494" t="str">
        <f>'Sensitivitaeten Delta_Market'!$R$11</f>
        <v>Änderungen der Passiven</v>
      </c>
      <c r="E820" s="1488" t="str">
        <f>'Sensitivitaeten Delta_Market'!$S$13</f>
        <v>nach unten</v>
      </c>
      <c r="F820" s="1625" t="s">
        <v>2318</v>
      </c>
      <c r="G820" s="1617" t="s">
        <v>2301</v>
      </c>
      <c r="H820" s="1626"/>
      <c r="U820" s="1027"/>
      <c r="V820" s="1027"/>
      <c r="W820" s="1027"/>
    </row>
    <row r="821" spans="2:23" x14ac:dyDescent="0.2">
      <c r="B821" s="1493">
        <f>'Sensitivitaeten Delta_Market'!$A$1</f>
        <v>9</v>
      </c>
      <c r="C821" s="1488" t="str">
        <f>'Sensitivitaeten Delta_Market'!$B$1</f>
        <v>Delta-Sensitivitäten</v>
      </c>
      <c r="D821" s="1494" t="str">
        <f>'Sensitivitaeten Delta_Market'!$R$11</f>
        <v>Änderungen der Passiven</v>
      </c>
      <c r="E821" s="1488" t="str">
        <f>'Sensitivitaeten Delta_Market'!$S$13</f>
        <v>nach unten</v>
      </c>
      <c r="F821" s="1625" t="s">
        <v>2319</v>
      </c>
      <c r="G821" s="1617" t="s">
        <v>2301</v>
      </c>
      <c r="H821" s="1626"/>
      <c r="U821" s="1027"/>
      <c r="V821" s="1027"/>
      <c r="W821" s="1027"/>
    </row>
    <row r="822" spans="2:23" x14ac:dyDescent="0.2">
      <c r="B822" s="1493">
        <f>'Sensitivitaeten Delta_Market'!$A$1</f>
        <v>9</v>
      </c>
      <c r="C822" s="1488" t="str">
        <f>'Sensitivitaeten Delta_Market'!$B$1</f>
        <v>Delta-Sensitivitäten</v>
      </c>
      <c r="D822" s="1494" t="str">
        <f>'Sensitivitaeten Delta_Market'!$R$11</f>
        <v>Änderungen der Passiven</v>
      </c>
      <c r="E822" s="1488" t="str">
        <f>'Sensitivitaeten Delta_Market'!$S$13</f>
        <v>nach unten</v>
      </c>
      <c r="F822" s="1495" t="str">
        <f>'Sensitivitaeten Delta_Market'!$B20</f>
        <v>EUR Zeros  2 Y</v>
      </c>
      <c r="G822" s="1494"/>
      <c r="H822" s="1077">
        <f>'Sensitivitaeten Delta_Market'!$S20</f>
        <v>0</v>
      </c>
      <c r="U822" s="1027"/>
      <c r="V822" s="1027"/>
      <c r="W822" s="1027"/>
    </row>
    <row r="823" spans="2:23" x14ac:dyDescent="0.2">
      <c r="B823" s="1493">
        <f>'Sensitivitaeten Delta_Market'!$A$1</f>
        <v>9</v>
      </c>
      <c r="C823" s="1488" t="str">
        <f>'Sensitivitaeten Delta_Market'!$B$1</f>
        <v>Delta-Sensitivitäten</v>
      </c>
      <c r="D823" s="1494" t="str">
        <f>'Sensitivitaeten Delta_Market'!$R$11</f>
        <v>Änderungen der Passiven</v>
      </c>
      <c r="E823" s="1488" t="str">
        <f>'Sensitivitaeten Delta_Market'!$S$13</f>
        <v>nach unten</v>
      </c>
      <c r="F823" s="1495" t="str">
        <f>'Sensitivitaeten Delta_Market'!$B21</f>
        <v>EUR Zeros  10 Y</v>
      </c>
      <c r="G823" s="1494"/>
      <c r="H823" s="1077">
        <f>'Sensitivitaeten Delta_Market'!$S21</f>
        <v>0</v>
      </c>
      <c r="U823" s="1027"/>
      <c r="V823" s="1027"/>
      <c r="W823" s="1027"/>
    </row>
    <row r="824" spans="2:23" x14ac:dyDescent="0.2">
      <c r="B824" s="1493">
        <f>'Sensitivitaeten Delta_Market'!$A$1</f>
        <v>9</v>
      </c>
      <c r="C824" s="1488" t="str">
        <f>'Sensitivitaeten Delta_Market'!$B$1</f>
        <v>Delta-Sensitivitäten</v>
      </c>
      <c r="D824" s="1494" t="str">
        <f>'Sensitivitaeten Delta_Market'!$R$11</f>
        <v>Änderungen der Passiven</v>
      </c>
      <c r="E824" s="1488" t="str">
        <f>'Sensitivitaeten Delta_Market'!$S$13</f>
        <v>nach unten</v>
      </c>
      <c r="F824" s="1495" t="str">
        <f>'Sensitivitaeten Delta_Market'!$B22</f>
        <v>EUR Zeros  30 Y</v>
      </c>
      <c r="G824" s="1494"/>
      <c r="H824" s="1077">
        <f>'Sensitivitaeten Delta_Market'!$S22</f>
        <v>0</v>
      </c>
      <c r="U824" s="1027"/>
      <c r="V824" s="1027"/>
      <c r="W824" s="1027"/>
    </row>
    <row r="825" spans="2:23" x14ac:dyDescent="0.2">
      <c r="B825" s="1493">
        <f>'Sensitivitaeten Delta_Market'!$A$1</f>
        <v>9</v>
      </c>
      <c r="C825" s="1488" t="str">
        <f>'Sensitivitaeten Delta_Market'!$B$1</f>
        <v>Delta-Sensitivitäten</v>
      </c>
      <c r="D825" s="1494" t="str">
        <f>'Sensitivitaeten Delta_Market'!$R$11</f>
        <v>Änderungen der Passiven</v>
      </c>
      <c r="E825" s="1488" t="str">
        <f>'Sensitivitaeten Delta_Market'!$S$13</f>
        <v>nach unten</v>
      </c>
      <c r="F825" s="1494" t="str">
        <f>'Sensitivitaeten Delta_Market'!$B23</f>
        <v>USD Zeros  3 Y</v>
      </c>
      <c r="G825" s="1494"/>
      <c r="H825" s="1077">
        <f>'Sensitivitaeten Delta_Market'!$S23</f>
        <v>0</v>
      </c>
      <c r="U825" s="1027"/>
      <c r="V825" s="1027"/>
      <c r="W825" s="1027"/>
    </row>
    <row r="826" spans="2:23" x14ac:dyDescent="0.2">
      <c r="B826" s="1493">
        <f>'Sensitivitaeten Delta_Market'!$A$1</f>
        <v>9</v>
      </c>
      <c r="C826" s="1488" t="str">
        <f>'Sensitivitaeten Delta_Market'!$B$1</f>
        <v>Delta-Sensitivitäten</v>
      </c>
      <c r="D826" s="1494" t="str">
        <f>'Sensitivitaeten Delta_Market'!$R$11</f>
        <v>Änderungen der Passiven</v>
      </c>
      <c r="E826" s="1488" t="str">
        <f>'Sensitivitaeten Delta_Market'!$S$13</f>
        <v>nach unten</v>
      </c>
      <c r="F826" s="1494" t="str">
        <f>'Sensitivitaeten Delta_Market'!$B24</f>
        <v>USD Zeros  10 Y</v>
      </c>
      <c r="G826" s="1494"/>
      <c r="H826" s="1077">
        <f>'Sensitivitaeten Delta_Market'!$S24</f>
        <v>0</v>
      </c>
      <c r="U826" s="1027"/>
      <c r="V826" s="1027"/>
      <c r="W826" s="1027"/>
    </row>
    <row r="827" spans="2:23" x14ac:dyDescent="0.2">
      <c r="B827" s="1493">
        <f>'Sensitivitaeten Delta_Market'!$A$1</f>
        <v>9</v>
      </c>
      <c r="C827" s="1488" t="str">
        <f>'Sensitivitaeten Delta_Market'!$B$1</f>
        <v>Delta-Sensitivitäten</v>
      </c>
      <c r="D827" s="1494" t="str">
        <f>'Sensitivitaeten Delta_Market'!$R$11</f>
        <v>Änderungen der Passiven</v>
      </c>
      <c r="E827" s="1488" t="str">
        <f>'Sensitivitaeten Delta_Market'!$S$13</f>
        <v>nach unten</v>
      </c>
      <c r="F827" s="1494" t="str">
        <f>'Sensitivitaeten Delta_Market'!$B25</f>
        <v>USD Zeros  30 Y</v>
      </c>
      <c r="G827" s="1494"/>
      <c r="H827" s="1077">
        <f>'Sensitivitaeten Delta_Market'!$S25</f>
        <v>0</v>
      </c>
      <c r="U827" s="1027"/>
      <c r="V827" s="1027"/>
      <c r="W827" s="1027"/>
    </row>
    <row r="828" spans="2:23" x14ac:dyDescent="0.2">
      <c r="B828" s="1493">
        <f>'Sensitivitaeten Delta_Market'!$A$1</f>
        <v>9</v>
      </c>
      <c r="C828" s="1488" t="str">
        <f>'Sensitivitaeten Delta_Market'!$B$1</f>
        <v>Delta-Sensitivitäten</v>
      </c>
      <c r="D828" s="1494" t="str">
        <f>'Sensitivitaeten Delta_Market'!$R$11</f>
        <v>Änderungen der Passiven</v>
      </c>
      <c r="E828" s="1488" t="str">
        <f>'Sensitivitaeten Delta_Market'!$S$13</f>
        <v>nach unten</v>
      </c>
      <c r="F828" s="1625" t="s">
        <v>430</v>
      </c>
      <c r="G828" s="1617" t="s">
        <v>2301</v>
      </c>
      <c r="H828" s="1626"/>
      <c r="U828" s="1027"/>
      <c r="V828" s="1027"/>
      <c r="W828" s="1027"/>
    </row>
    <row r="829" spans="2:23" x14ac:dyDescent="0.2">
      <c r="B829" s="1493">
        <f>'Sensitivitaeten Delta_Market'!$A$1</f>
        <v>9</v>
      </c>
      <c r="C829" s="1488" t="str">
        <f>'Sensitivitaeten Delta_Market'!$B$1</f>
        <v>Delta-Sensitivitäten</v>
      </c>
      <c r="D829" s="1494" t="str">
        <f>'Sensitivitaeten Delta_Market'!$R$11</f>
        <v>Änderungen der Passiven</v>
      </c>
      <c r="E829" s="1488" t="str">
        <f>'Sensitivitaeten Delta_Market'!$S$13</f>
        <v>nach unten</v>
      </c>
      <c r="F829" s="1625" t="s">
        <v>2329</v>
      </c>
      <c r="G829" s="1617" t="s">
        <v>2301</v>
      </c>
      <c r="H829" s="1626"/>
      <c r="U829" s="1027"/>
      <c r="V829" s="1027"/>
      <c r="W829" s="1027"/>
    </row>
    <row r="830" spans="2:23" x14ac:dyDescent="0.2">
      <c r="B830" s="1493">
        <f>'Sensitivitaeten Delta_Market'!$A$1</f>
        <v>9</v>
      </c>
      <c r="C830" s="1488" t="str">
        <f>'Sensitivitaeten Delta_Market'!$B$1</f>
        <v>Delta-Sensitivitäten</v>
      </c>
      <c r="D830" s="1494" t="str">
        <f>'Sensitivitaeten Delta_Market'!$R$11</f>
        <v>Änderungen der Passiven</v>
      </c>
      <c r="E830" s="1488" t="str">
        <f>'Sensitivitaeten Delta_Market'!$S$13</f>
        <v>nach unten</v>
      </c>
      <c r="F830" s="1625" t="s">
        <v>2330</v>
      </c>
      <c r="G830" s="1617" t="s">
        <v>2301</v>
      </c>
      <c r="H830" s="1626"/>
      <c r="U830" s="1027"/>
      <c r="V830" s="1027"/>
      <c r="W830" s="1027"/>
    </row>
    <row r="831" spans="2:23" x14ac:dyDescent="0.2">
      <c r="B831" s="1493">
        <f>'Sensitivitaeten Delta_Market'!$A$1</f>
        <v>9</v>
      </c>
      <c r="C831" s="1488" t="str">
        <f>'Sensitivitaeten Delta_Market'!$B$1</f>
        <v>Delta-Sensitivitäten</v>
      </c>
      <c r="D831" s="1494" t="str">
        <f>'Sensitivitaeten Delta_Market'!$R$11</f>
        <v>Änderungen der Passiven</v>
      </c>
      <c r="E831" s="1488" t="str">
        <f>'Sensitivitaeten Delta_Market'!$S$13</f>
        <v>nach unten</v>
      </c>
      <c r="F831" s="1625" t="s">
        <v>2331</v>
      </c>
      <c r="G831" s="1617" t="s">
        <v>2301</v>
      </c>
      <c r="H831" s="1626"/>
      <c r="U831" s="1027"/>
      <c r="V831" s="1027"/>
      <c r="W831" s="1027"/>
    </row>
    <row r="832" spans="2:23" x14ac:dyDescent="0.2">
      <c r="B832" s="1493">
        <f>'Sensitivitaeten Delta_Market'!$A$1</f>
        <v>9</v>
      </c>
      <c r="C832" s="1488" t="str">
        <f>'Sensitivitaeten Delta_Market'!$B$1</f>
        <v>Delta-Sensitivitäten</v>
      </c>
      <c r="D832" s="1494" t="str">
        <f>'Sensitivitaeten Delta_Market'!$R$11</f>
        <v>Änderungen der Passiven</v>
      </c>
      <c r="E832" s="1488" t="str">
        <f>'Sensitivitaeten Delta_Market'!$S$13</f>
        <v>nach unten</v>
      </c>
      <c r="F832" s="1625" t="s">
        <v>2332</v>
      </c>
      <c r="G832" s="1617" t="s">
        <v>2301</v>
      </c>
      <c r="H832" s="1626"/>
      <c r="U832" s="1027"/>
      <c r="V832" s="1027"/>
      <c r="W832" s="1027"/>
    </row>
    <row r="833" spans="2:23" x14ac:dyDescent="0.2">
      <c r="B833" s="1493">
        <f>'Sensitivitaeten Delta_Market'!$A$1</f>
        <v>9</v>
      </c>
      <c r="C833" s="1488" t="str">
        <f>'Sensitivitaeten Delta_Market'!$B$1</f>
        <v>Delta-Sensitivitäten</v>
      </c>
      <c r="D833" s="1494" t="str">
        <f>'Sensitivitaeten Delta_Market'!$R$11</f>
        <v>Änderungen der Passiven</v>
      </c>
      <c r="E833" s="1488" t="str">
        <f>'Sensitivitaeten Delta_Market'!$S$13</f>
        <v>nach unten</v>
      </c>
      <c r="F833" s="1625" t="s">
        <v>2333</v>
      </c>
      <c r="G833" s="1617" t="s">
        <v>2301</v>
      </c>
      <c r="H833" s="1626"/>
      <c r="U833" s="1027"/>
      <c r="V833" s="1027"/>
      <c r="W833" s="1027"/>
    </row>
    <row r="834" spans="2:23" x14ac:dyDescent="0.2">
      <c r="B834" s="1493">
        <f>'Sensitivitaeten Delta_Market'!$A$1</f>
        <v>9</v>
      </c>
      <c r="C834" s="1488" t="str">
        <f>'Sensitivitaeten Delta_Market'!$B$1</f>
        <v>Delta-Sensitivitäten</v>
      </c>
      <c r="D834" s="1494" t="str">
        <f>'Sensitivitaeten Delta_Market'!$R$11</f>
        <v>Änderungen der Passiven</v>
      </c>
      <c r="E834" s="1488" t="str">
        <f>'Sensitivitaeten Delta_Market'!$S$13</f>
        <v>nach unten</v>
      </c>
      <c r="F834" s="1625" t="s">
        <v>2334</v>
      </c>
      <c r="G834" s="1617" t="s">
        <v>2301</v>
      </c>
      <c r="H834" s="1626"/>
      <c r="U834" s="1027"/>
      <c r="V834" s="1027"/>
      <c r="W834" s="1027"/>
    </row>
    <row r="835" spans="2:23" x14ac:dyDescent="0.2">
      <c r="B835" s="1493">
        <f>'Sensitivitaeten Delta_Market'!$A$1</f>
        <v>9</v>
      </c>
      <c r="C835" s="1488" t="str">
        <f>'Sensitivitaeten Delta_Market'!$B$1</f>
        <v>Delta-Sensitivitäten</v>
      </c>
      <c r="D835" s="1494" t="str">
        <f>'Sensitivitaeten Delta_Market'!$R$11</f>
        <v>Änderungen der Passiven</v>
      </c>
      <c r="E835" s="1488" t="str">
        <f>'Sensitivitaeten Delta_Market'!$S$13</f>
        <v>nach unten</v>
      </c>
      <c r="F835" s="1625" t="s">
        <v>2335</v>
      </c>
      <c r="G835" s="1617" t="s">
        <v>2301</v>
      </c>
      <c r="H835" s="1626"/>
      <c r="U835" s="1027"/>
      <c r="V835" s="1027"/>
      <c r="W835" s="1027"/>
    </row>
    <row r="836" spans="2:23" x14ac:dyDescent="0.2">
      <c r="B836" s="1493">
        <f>'Sensitivitaeten Delta_Market'!$A$1</f>
        <v>9</v>
      </c>
      <c r="C836" s="1488" t="str">
        <f>'Sensitivitaeten Delta_Market'!$B$1</f>
        <v>Delta-Sensitivitäten</v>
      </c>
      <c r="D836" s="1494" t="str">
        <f>'Sensitivitaeten Delta_Market'!$R$11</f>
        <v>Änderungen der Passiven</v>
      </c>
      <c r="E836" s="1488" t="str">
        <f>'Sensitivitaeten Delta_Market'!$S$13</f>
        <v>nach unten</v>
      </c>
      <c r="F836" s="1625" t="s">
        <v>2336</v>
      </c>
      <c r="G836" s="1617" t="s">
        <v>2301</v>
      </c>
      <c r="H836" s="1626"/>
      <c r="U836" s="1027"/>
      <c r="V836" s="1027"/>
      <c r="W836" s="1027"/>
    </row>
    <row r="837" spans="2:23" x14ac:dyDescent="0.2">
      <c r="B837" s="1493">
        <f>'Sensitivitaeten Delta_Market'!$A$1</f>
        <v>9</v>
      </c>
      <c r="C837" s="1488" t="str">
        <f>'Sensitivitaeten Delta_Market'!$B$1</f>
        <v>Delta-Sensitivitäten</v>
      </c>
      <c r="D837" s="1494" t="str">
        <f>'Sensitivitaeten Delta_Market'!$R$11</f>
        <v>Änderungen der Passiven</v>
      </c>
      <c r="E837" s="1488" t="str">
        <f>'Sensitivitaeten Delta_Market'!$S$13</f>
        <v>nach unten</v>
      </c>
      <c r="F837" s="1625" t="s">
        <v>2337</v>
      </c>
      <c r="G837" s="1617" t="s">
        <v>2301</v>
      </c>
      <c r="H837" s="1626"/>
      <c r="U837" s="1027"/>
      <c r="V837" s="1027"/>
      <c r="W837" s="1027"/>
    </row>
    <row r="838" spans="2:23" x14ac:dyDescent="0.2">
      <c r="B838" s="1493">
        <f>'Sensitivitaeten Delta_Market'!$A$1</f>
        <v>9</v>
      </c>
      <c r="C838" s="1488" t="str">
        <f>'Sensitivitaeten Delta_Market'!$B$1</f>
        <v>Delta-Sensitivitäten</v>
      </c>
      <c r="D838" s="1494" t="str">
        <f>'Sensitivitaeten Delta_Market'!$R$11</f>
        <v>Änderungen der Passiven</v>
      </c>
      <c r="E838" s="1488" t="str">
        <f>'Sensitivitaeten Delta_Market'!$S$13</f>
        <v>nach unten</v>
      </c>
      <c r="F838" s="1494" t="str">
        <f>'Sensitivitaeten Delta_Market'!$B26</f>
        <v>GBP Zeros  2 Y</v>
      </c>
      <c r="G838" s="1494"/>
      <c r="H838" s="1077">
        <f>'Sensitivitaeten Delta_Market'!$S26</f>
        <v>0</v>
      </c>
      <c r="U838" s="1027"/>
      <c r="V838" s="1027"/>
      <c r="W838" s="1027"/>
    </row>
    <row r="839" spans="2:23" x14ac:dyDescent="0.2">
      <c r="B839" s="1493">
        <f>'Sensitivitaeten Delta_Market'!$A$1</f>
        <v>9</v>
      </c>
      <c r="C839" s="1488" t="str">
        <f>'Sensitivitaeten Delta_Market'!$B$1</f>
        <v>Delta-Sensitivitäten</v>
      </c>
      <c r="D839" s="1494" t="str">
        <f>'Sensitivitaeten Delta_Market'!$R$11</f>
        <v>Änderungen der Passiven</v>
      </c>
      <c r="E839" s="1488" t="str">
        <f>'Sensitivitaeten Delta_Market'!$S$13</f>
        <v>nach unten</v>
      </c>
      <c r="F839" s="1494" t="str">
        <f>'Sensitivitaeten Delta_Market'!$B27</f>
        <v>GBP Zeros  10 Y</v>
      </c>
      <c r="G839" s="1494"/>
      <c r="H839" s="1077">
        <f>'Sensitivitaeten Delta_Market'!$S27</f>
        <v>0</v>
      </c>
      <c r="U839" s="1027"/>
      <c r="V839" s="1027"/>
      <c r="W839" s="1027"/>
    </row>
    <row r="840" spans="2:23" x14ac:dyDescent="0.2">
      <c r="B840" s="1493">
        <f>'Sensitivitaeten Delta_Market'!$A$1</f>
        <v>9</v>
      </c>
      <c r="C840" s="1488" t="str">
        <f>'Sensitivitaeten Delta_Market'!$B$1</f>
        <v>Delta-Sensitivitäten</v>
      </c>
      <c r="D840" s="1494" t="str">
        <f>'Sensitivitaeten Delta_Market'!$R$11</f>
        <v>Änderungen der Passiven</v>
      </c>
      <c r="E840" s="1488" t="str">
        <f>'Sensitivitaeten Delta_Market'!$S$13</f>
        <v>nach unten</v>
      </c>
      <c r="F840" s="1494" t="str">
        <f>'Sensitivitaeten Delta_Market'!$B28</f>
        <v>GBP Zeros  30 Y</v>
      </c>
      <c r="G840" s="1494"/>
      <c r="H840" s="1077">
        <f>'Sensitivitaeten Delta_Market'!$S28</f>
        <v>0</v>
      </c>
      <c r="U840" s="1027"/>
      <c r="V840" s="1027"/>
      <c r="W840" s="1027"/>
    </row>
    <row r="841" spans="2:23" x14ac:dyDescent="0.2">
      <c r="B841" s="1493">
        <f>'Sensitivitaeten Delta_Market'!$A$1</f>
        <v>9</v>
      </c>
      <c r="C841" s="1488" t="str">
        <f>'Sensitivitaeten Delta_Market'!$B$1</f>
        <v>Delta-Sensitivitäten</v>
      </c>
      <c r="D841" s="1494" t="str">
        <f>'Sensitivitaeten Delta_Market'!$R$11</f>
        <v>Änderungen der Passiven</v>
      </c>
      <c r="E841" s="1488" t="str">
        <f>'Sensitivitaeten Delta_Market'!$S$13</f>
        <v>nach unten</v>
      </c>
      <c r="F841" s="1625" t="s">
        <v>431</v>
      </c>
      <c r="G841" s="1617" t="s">
        <v>2301</v>
      </c>
      <c r="H841" s="1626"/>
      <c r="U841" s="1027"/>
      <c r="V841" s="1027"/>
      <c r="W841" s="1027"/>
    </row>
    <row r="842" spans="2:23" x14ac:dyDescent="0.2">
      <c r="B842" s="1493">
        <f>'Sensitivitaeten Delta_Market'!$A$1</f>
        <v>9</v>
      </c>
      <c r="C842" s="1488" t="str">
        <f>'Sensitivitaeten Delta_Market'!$B$1</f>
        <v>Delta-Sensitivitäten</v>
      </c>
      <c r="D842" s="1494" t="str">
        <f>'Sensitivitaeten Delta_Market'!$R$11</f>
        <v>Änderungen der Passiven</v>
      </c>
      <c r="E842" s="1488" t="str">
        <f>'Sensitivitaeten Delta_Market'!$S$13</f>
        <v>nach unten</v>
      </c>
      <c r="F842" s="1625" t="s">
        <v>2320</v>
      </c>
      <c r="G842" s="1617" t="s">
        <v>2301</v>
      </c>
      <c r="H842" s="1626"/>
      <c r="U842" s="1027"/>
      <c r="V842" s="1027"/>
      <c r="W842" s="1027"/>
    </row>
    <row r="843" spans="2:23" x14ac:dyDescent="0.2">
      <c r="B843" s="1493">
        <f>'Sensitivitaeten Delta_Market'!$A$1</f>
        <v>9</v>
      </c>
      <c r="C843" s="1488" t="str">
        <f>'Sensitivitaeten Delta_Market'!$B$1</f>
        <v>Delta-Sensitivitäten</v>
      </c>
      <c r="D843" s="1494" t="str">
        <f>'Sensitivitaeten Delta_Market'!$R$11</f>
        <v>Änderungen der Passiven</v>
      </c>
      <c r="E843" s="1488" t="str">
        <f>'Sensitivitaeten Delta_Market'!$S$13</f>
        <v>nach unten</v>
      </c>
      <c r="F843" s="1625" t="s">
        <v>2321</v>
      </c>
      <c r="G843" s="1617" t="s">
        <v>2301</v>
      </c>
      <c r="H843" s="1626"/>
      <c r="U843" s="1027"/>
      <c r="V843" s="1027"/>
      <c r="W843" s="1027"/>
    </row>
    <row r="844" spans="2:23" x14ac:dyDescent="0.2">
      <c r="B844" s="1493">
        <f>'Sensitivitaeten Delta_Market'!$A$1</f>
        <v>9</v>
      </c>
      <c r="C844" s="1488" t="str">
        <f>'Sensitivitaeten Delta_Market'!$B$1</f>
        <v>Delta-Sensitivitäten</v>
      </c>
      <c r="D844" s="1494" t="str">
        <f>'Sensitivitaeten Delta_Market'!$R$11</f>
        <v>Änderungen der Passiven</v>
      </c>
      <c r="E844" s="1488" t="str">
        <f>'Sensitivitaeten Delta_Market'!$S$13</f>
        <v>nach unten</v>
      </c>
      <c r="F844" s="1625" t="s">
        <v>2322</v>
      </c>
      <c r="G844" s="1617" t="s">
        <v>2301</v>
      </c>
      <c r="H844" s="1626"/>
      <c r="U844" s="1027"/>
      <c r="V844" s="1027"/>
      <c r="W844" s="1027"/>
    </row>
    <row r="845" spans="2:23" x14ac:dyDescent="0.2">
      <c r="B845" s="1493">
        <f>'Sensitivitaeten Delta_Market'!$A$1</f>
        <v>9</v>
      </c>
      <c r="C845" s="1488" t="str">
        <f>'Sensitivitaeten Delta_Market'!$B$1</f>
        <v>Delta-Sensitivitäten</v>
      </c>
      <c r="D845" s="1494" t="str">
        <f>'Sensitivitaeten Delta_Market'!$R$11</f>
        <v>Änderungen der Passiven</v>
      </c>
      <c r="E845" s="1488" t="str">
        <f>'Sensitivitaeten Delta_Market'!$S$13</f>
        <v>nach unten</v>
      </c>
      <c r="F845" s="1625" t="s">
        <v>2323</v>
      </c>
      <c r="G845" s="1617" t="s">
        <v>2301</v>
      </c>
      <c r="H845" s="1626"/>
      <c r="U845" s="1027"/>
      <c r="V845" s="1027"/>
      <c r="W845" s="1027"/>
    </row>
    <row r="846" spans="2:23" x14ac:dyDescent="0.2">
      <c r="B846" s="1493">
        <f>'Sensitivitaeten Delta_Market'!$A$1</f>
        <v>9</v>
      </c>
      <c r="C846" s="1488" t="str">
        <f>'Sensitivitaeten Delta_Market'!$B$1</f>
        <v>Delta-Sensitivitäten</v>
      </c>
      <c r="D846" s="1494" t="str">
        <f>'Sensitivitaeten Delta_Market'!$R$11</f>
        <v>Änderungen der Passiven</v>
      </c>
      <c r="E846" s="1488" t="str">
        <f>'Sensitivitaeten Delta_Market'!$S$13</f>
        <v>nach unten</v>
      </c>
      <c r="F846" s="1625" t="s">
        <v>2324</v>
      </c>
      <c r="G846" s="1617" t="s">
        <v>2301</v>
      </c>
      <c r="H846" s="1626"/>
      <c r="U846" s="1027"/>
      <c r="V846" s="1027"/>
      <c r="W846" s="1027"/>
    </row>
    <row r="847" spans="2:23" x14ac:dyDescent="0.2">
      <c r="B847" s="1493">
        <f>'Sensitivitaeten Delta_Market'!$A$1</f>
        <v>9</v>
      </c>
      <c r="C847" s="1488" t="str">
        <f>'Sensitivitaeten Delta_Market'!$B$1</f>
        <v>Delta-Sensitivitäten</v>
      </c>
      <c r="D847" s="1494" t="str">
        <f>'Sensitivitaeten Delta_Market'!$R$11</f>
        <v>Änderungen der Passiven</v>
      </c>
      <c r="E847" s="1488" t="str">
        <f>'Sensitivitaeten Delta_Market'!$S$13</f>
        <v>nach unten</v>
      </c>
      <c r="F847" s="1625" t="s">
        <v>2325</v>
      </c>
      <c r="G847" s="1617" t="s">
        <v>2301</v>
      </c>
      <c r="H847" s="1626"/>
      <c r="U847" s="1027"/>
      <c r="V847" s="1027"/>
      <c r="W847" s="1027"/>
    </row>
    <row r="848" spans="2:23" x14ac:dyDescent="0.2">
      <c r="B848" s="1493">
        <f>'Sensitivitaeten Delta_Market'!$A$1</f>
        <v>9</v>
      </c>
      <c r="C848" s="1488" t="str">
        <f>'Sensitivitaeten Delta_Market'!$B$1</f>
        <v>Delta-Sensitivitäten</v>
      </c>
      <c r="D848" s="1494" t="str">
        <f>'Sensitivitaeten Delta_Market'!$R$11</f>
        <v>Änderungen der Passiven</v>
      </c>
      <c r="E848" s="1488" t="str">
        <f>'Sensitivitaeten Delta_Market'!$S$13</f>
        <v>nach unten</v>
      </c>
      <c r="F848" s="1625" t="s">
        <v>2326</v>
      </c>
      <c r="G848" s="1617" t="s">
        <v>2301</v>
      </c>
      <c r="H848" s="1626"/>
      <c r="U848" s="1027"/>
      <c r="V848" s="1027"/>
      <c r="W848" s="1027"/>
    </row>
    <row r="849" spans="2:23" x14ac:dyDescent="0.2">
      <c r="B849" s="1493">
        <f>'Sensitivitaeten Delta_Market'!$A$1</f>
        <v>9</v>
      </c>
      <c r="C849" s="1488" t="str">
        <f>'Sensitivitaeten Delta_Market'!$B$1</f>
        <v>Delta-Sensitivitäten</v>
      </c>
      <c r="D849" s="1494" t="str">
        <f>'Sensitivitaeten Delta_Market'!$R$11</f>
        <v>Änderungen der Passiven</v>
      </c>
      <c r="E849" s="1488" t="str">
        <f>'Sensitivitaeten Delta_Market'!$S$13</f>
        <v>nach unten</v>
      </c>
      <c r="F849" s="1625" t="s">
        <v>2327</v>
      </c>
      <c r="G849" s="1617" t="s">
        <v>2301</v>
      </c>
      <c r="H849" s="1626"/>
      <c r="U849" s="1027"/>
      <c r="V849" s="1027"/>
      <c r="W849" s="1027"/>
    </row>
    <row r="850" spans="2:23" x14ac:dyDescent="0.2">
      <c r="B850" s="1493">
        <f>'Sensitivitaeten Delta_Market'!$A$1</f>
        <v>9</v>
      </c>
      <c r="C850" s="1488" t="str">
        <f>'Sensitivitaeten Delta_Market'!$B$1</f>
        <v>Delta-Sensitivitäten</v>
      </c>
      <c r="D850" s="1494" t="str">
        <f>'Sensitivitaeten Delta_Market'!$R$11</f>
        <v>Änderungen der Passiven</v>
      </c>
      <c r="E850" s="1488" t="str">
        <f>'Sensitivitaeten Delta_Market'!$S$13</f>
        <v>nach unten</v>
      </c>
      <c r="F850" s="1625" t="s">
        <v>2328</v>
      </c>
      <c r="G850" s="1617" t="s">
        <v>2301</v>
      </c>
      <c r="H850" s="1626"/>
      <c r="U850" s="1027"/>
      <c r="V850" s="1027"/>
      <c r="W850" s="1027"/>
    </row>
    <row r="851" spans="2:23" x14ac:dyDescent="0.2">
      <c r="B851" s="1493">
        <f>'Sensitivitaeten Delta_Market'!$A$1</f>
        <v>9</v>
      </c>
      <c r="C851" s="1488" t="str">
        <f>'Sensitivitaeten Delta_Market'!$B$1</f>
        <v>Delta-Sensitivitäten</v>
      </c>
      <c r="D851" s="1494" t="str">
        <f>'Sensitivitaeten Delta_Market'!$R$11</f>
        <v>Änderungen der Passiven</v>
      </c>
      <c r="E851" s="1488" t="str">
        <f>'Sensitivitaeten Delta_Market'!$S$13</f>
        <v>nach unten</v>
      </c>
      <c r="F851" s="1495" t="str">
        <f>'Sensitivitaeten Delta_Market'!$B29</f>
        <v>Implizite Zinsvolatilität</v>
      </c>
      <c r="G851" s="1494"/>
      <c r="H851" s="1077">
        <f>'Sensitivitaeten Delta_Market'!$S29</f>
        <v>0</v>
      </c>
      <c r="U851" s="1027"/>
      <c r="V851" s="1027"/>
      <c r="W851" s="1027"/>
    </row>
    <row r="852" spans="2:23" x14ac:dyDescent="0.2">
      <c r="B852" s="1493">
        <f>'Sensitivitaeten Delta_Market'!$A$1</f>
        <v>9</v>
      </c>
      <c r="C852" s="1488" t="str">
        <f>'Sensitivitaeten Delta_Market'!$B$1</f>
        <v>Delta-Sensitivitäten</v>
      </c>
      <c r="D852" s="1494" t="str">
        <f>'Sensitivitaeten Delta_Market'!$R$11</f>
        <v>Änderungen der Passiven</v>
      </c>
      <c r="E852" s="1488" t="str">
        <f>'Sensitivitaeten Delta_Market'!$S$13</f>
        <v>nach unten</v>
      </c>
      <c r="F852" s="1495" t="str">
        <f>'Sensitivitaeten Delta_Market'!$B30</f>
        <v>Credit Spread USA   AAA</v>
      </c>
      <c r="G852" s="1494"/>
      <c r="H852" s="1077">
        <f>'Sensitivitaeten Delta_Market'!$S30</f>
        <v>0</v>
      </c>
      <c r="U852" s="1027"/>
      <c r="V852" s="1027"/>
      <c r="W852" s="1027"/>
    </row>
    <row r="853" spans="2:23" x14ac:dyDescent="0.2">
      <c r="B853" s="1493">
        <f>'Sensitivitaeten Delta_Market'!$A$1</f>
        <v>9</v>
      </c>
      <c r="C853" s="1488" t="str">
        <f>'Sensitivitaeten Delta_Market'!$B$1</f>
        <v>Delta-Sensitivitäten</v>
      </c>
      <c r="D853" s="1494" t="str">
        <f>'Sensitivitaeten Delta_Market'!$R$11</f>
        <v>Änderungen der Passiven</v>
      </c>
      <c r="E853" s="1488" t="str">
        <f>'Sensitivitaeten Delta_Market'!$S$13</f>
        <v>nach unten</v>
      </c>
      <c r="F853" s="1495" t="str">
        <f>'Sensitivitaeten Delta_Market'!$B31</f>
        <v>Credit Spread USA   AA</v>
      </c>
      <c r="G853" s="1494"/>
      <c r="H853" s="1077">
        <f>'Sensitivitaeten Delta_Market'!$S31</f>
        <v>0</v>
      </c>
      <c r="U853" s="1027"/>
      <c r="V853" s="1027"/>
      <c r="W853" s="1027"/>
    </row>
    <row r="854" spans="2:23" x14ac:dyDescent="0.2">
      <c r="B854" s="1493">
        <f>'Sensitivitaeten Delta_Market'!$A$1</f>
        <v>9</v>
      </c>
      <c r="C854" s="1488" t="str">
        <f>'Sensitivitaeten Delta_Market'!$B$1</f>
        <v>Delta-Sensitivitäten</v>
      </c>
      <c r="D854" s="1494" t="str">
        <f>'Sensitivitaeten Delta_Market'!$R$11</f>
        <v>Änderungen der Passiven</v>
      </c>
      <c r="E854" s="1488" t="str">
        <f>'Sensitivitaeten Delta_Market'!$S$13</f>
        <v>nach unten</v>
      </c>
      <c r="F854" s="1495" t="str">
        <f>'Sensitivitaeten Delta_Market'!$B32</f>
        <v>Credit Spread USA   A</v>
      </c>
      <c r="G854" s="1494"/>
      <c r="H854" s="1077">
        <f>'Sensitivitaeten Delta_Market'!$S32</f>
        <v>0</v>
      </c>
      <c r="U854" s="1027"/>
      <c r="V854" s="1027"/>
      <c r="W854" s="1027"/>
    </row>
    <row r="855" spans="2:23" x14ac:dyDescent="0.2">
      <c r="B855" s="1493">
        <f>'Sensitivitaeten Delta_Market'!$A$1</f>
        <v>9</v>
      </c>
      <c r="C855" s="1488" t="str">
        <f>'Sensitivitaeten Delta_Market'!$B$1</f>
        <v>Delta-Sensitivitäten</v>
      </c>
      <c r="D855" s="1494" t="str">
        <f>'Sensitivitaeten Delta_Market'!$R$11</f>
        <v>Änderungen der Passiven</v>
      </c>
      <c r="E855" s="1488" t="str">
        <f>'Sensitivitaeten Delta_Market'!$S$13</f>
        <v>nach unten</v>
      </c>
      <c r="F855" s="1495" t="str">
        <f>'Sensitivitaeten Delta_Market'!$B33</f>
        <v>Credit Spread USA   BBB</v>
      </c>
      <c r="G855" s="1494"/>
      <c r="H855" s="1077">
        <f>'Sensitivitaeten Delta_Market'!$S33</f>
        <v>0</v>
      </c>
      <c r="U855" s="1027"/>
      <c r="V855" s="1027"/>
      <c r="W855" s="1027"/>
    </row>
    <row r="856" spans="2:23" x14ac:dyDescent="0.2">
      <c r="B856" s="1493">
        <f>'Sensitivitaeten Delta_Market'!$A$1</f>
        <v>9</v>
      </c>
      <c r="C856" s="1488" t="str">
        <f>'Sensitivitaeten Delta_Market'!$B$1</f>
        <v>Delta-Sensitivitäten</v>
      </c>
      <c r="D856" s="1494" t="str">
        <f>'Sensitivitaeten Delta_Market'!$R$11</f>
        <v>Änderungen der Passiven</v>
      </c>
      <c r="E856" s="1488" t="str">
        <f>'Sensitivitaeten Delta_Market'!$S$13</f>
        <v>nach unten</v>
      </c>
      <c r="F856" s="1495" t="str">
        <f>'Sensitivitaeten Delta_Market'!$B34</f>
        <v>Credit Spread   BB</v>
      </c>
      <c r="G856" s="1494"/>
      <c r="H856" s="1077">
        <f>'Sensitivitaeten Delta_Market'!$S34</f>
        <v>0</v>
      </c>
      <c r="U856" s="1027"/>
      <c r="V856" s="1027"/>
      <c r="W856" s="1027"/>
    </row>
    <row r="857" spans="2:23" x14ac:dyDescent="0.2">
      <c r="B857" s="1493">
        <f>'Sensitivitaeten Delta_Market'!$A$1</f>
        <v>9</v>
      </c>
      <c r="C857" s="1488" t="str">
        <f>'Sensitivitaeten Delta_Market'!$B$1</f>
        <v>Delta-Sensitivitäten</v>
      </c>
      <c r="D857" s="1494" t="str">
        <f>'Sensitivitaeten Delta_Market'!$R$11</f>
        <v>Änderungen der Passiven</v>
      </c>
      <c r="E857" s="1488" t="str">
        <f>'Sensitivitaeten Delta_Market'!$S$13</f>
        <v>nach unten</v>
      </c>
      <c r="F857" s="1625" t="s">
        <v>2100</v>
      </c>
      <c r="G857" s="1617" t="s">
        <v>2101</v>
      </c>
      <c r="H857" s="1626"/>
      <c r="U857" s="1027"/>
      <c r="V857" s="1027"/>
      <c r="W857" s="1027"/>
    </row>
    <row r="858" spans="2:23" x14ac:dyDescent="0.2">
      <c r="B858" s="1493">
        <f>'Sensitivitaeten Delta_Market'!$A$1</f>
        <v>9</v>
      </c>
      <c r="C858" s="1488" t="str">
        <f>'Sensitivitaeten Delta_Market'!$B$1</f>
        <v>Delta-Sensitivitäten</v>
      </c>
      <c r="D858" s="1494" t="str">
        <f>'Sensitivitaeten Delta_Market'!$R$11</f>
        <v>Änderungen der Passiven</v>
      </c>
      <c r="E858" s="1488" t="str">
        <f>'Sensitivitaeten Delta_Market'!$S$13</f>
        <v>nach unten</v>
      </c>
      <c r="F858" s="1495" t="str">
        <f>'Sensitivitaeten Delta_Market'!$B35</f>
        <v>Credit Spread Europa   AA</v>
      </c>
      <c r="G858" s="1494"/>
      <c r="H858" s="1077">
        <f>'Sensitivitaeten Delta_Market'!$S35</f>
        <v>0</v>
      </c>
      <c r="U858" s="1027"/>
      <c r="V858" s="1027"/>
      <c r="W858" s="1027"/>
    </row>
    <row r="859" spans="2:23" x14ac:dyDescent="0.2">
      <c r="B859" s="1493">
        <f>'Sensitivitaeten Delta_Market'!$A$1</f>
        <v>9</v>
      </c>
      <c r="C859" s="1488" t="str">
        <f>'Sensitivitaeten Delta_Market'!$B$1</f>
        <v>Delta-Sensitivitäten</v>
      </c>
      <c r="D859" s="1494" t="str">
        <f>'Sensitivitaeten Delta_Market'!$R$11</f>
        <v>Änderungen der Passiven</v>
      </c>
      <c r="E859" s="1488" t="str">
        <f>'Sensitivitaeten Delta_Market'!$S$13</f>
        <v>nach unten</v>
      </c>
      <c r="F859" s="1495" t="str">
        <f>'Sensitivitaeten Delta_Market'!$B36</f>
        <v>Credit Spread Europa   A</v>
      </c>
      <c r="G859" s="1494"/>
      <c r="H859" s="1077">
        <f>'Sensitivitaeten Delta_Market'!$S36</f>
        <v>0</v>
      </c>
      <c r="U859" s="1027"/>
      <c r="V859" s="1027"/>
      <c r="W859" s="1027"/>
    </row>
    <row r="860" spans="2:23" x14ac:dyDescent="0.2">
      <c r="B860" s="1493">
        <f>'Sensitivitaeten Delta_Market'!$A$1</f>
        <v>9</v>
      </c>
      <c r="C860" s="1488" t="str">
        <f>'Sensitivitaeten Delta_Market'!$B$1</f>
        <v>Delta-Sensitivitäten</v>
      </c>
      <c r="D860" s="1494" t="str">
        <f>'Sensitivitaeten Delta_Market'!$R$11</f>
        <v>Änderungen der Passiven</v>
      </c>
      <c r="E860" s="1488" t="str">
        <f>'Sensitivitaeten Delta_Market'!$S$13</f>
        <v>nach unten</v>
      </c>
      <c r="F860" s="1495" t="str">
        <f>'Sensitivitaeten Delta_Market'!$B37</f>
        <v>Credit Spread Europa   BBB</v>
      </c>
      <c r="G860" s="1494"/>
      <c r="H860" s="1077">
        <f>'Sensitivitaeten Delta_Market'!$S37</f>
        <v>0</v>
      </c>
      <c r="U860" s="1027"/>
      <c r="V860" s="1027"/>
      <c r="W860" s="1027"/>
    </row>
    <row r="861" spans="2:23" x14ac:dyDescent="0.2">
      <c r="B861" s="1493">
        <f>'Sensitivitaeten Delta_Market'!$A$1</f>
        <v>9</v>
      </c>
      <c r="C861" s="1488" t="str">
        <f>'Sensitivitaeten Delta_Market'!$B$1</f>
        <v>Delta-Sensitivitäten</v>
      </c>
      <c r="D861" s="1494" t="str">
        <f>'Sensitivitaeten Delta_Market'!$R$11</f>
        <v>Änderungen der Passiven</v>
      </c>
      <c r="E861" s="1488" t="str">
        <f>'Sensitivitaeten Delta_Market'!$S$13</f>
        <v>nach unten</v>
      </c>
      <c r="F861" s="1495" t="str">
        <f>'Sensitivitaeten Delta_Market'!$B41</f>
        <v>Swap-Government Spread</v>
      </c>
      <c r="G861" s="1494"/>
      <c r="H861" s="1077">
        <f>'Sensitivitaeten Delta_Market'!$S41</f>
        <v>0</v>
      </c>
      <c r="U861" s="1027"/>
      <c r="V861" s="1027"/>
      <c r="W861" s="1027"/>
    </row>
    <row r="862" spans="2:23" x14ac:dyDescent="0.2">
      <c r="B862" s="1493">
        <f>'Sensitivitaeten Delta_Market'!$A$1</f>
        <v>9</v>
      </c>
      <c r="C862" s="1488" t="str">
        <f>'Sensitivitaeten Delta_Market'!$B$1</f>
        <v>Delta-Sensitivitäten</v>
      </c>
      <c r="D862" s="1494" t="str">
        <f>'Sensitivitaeten Delta_Market'!$R$11</f>
        <v>Änderungen der Passiven</v>
      </c>
      <c r="E862" s="1488" t="str">
        <f>'Sensitivitaeten Delta_Market'!$S$13</f>
        <v>nach unten</v>
      </c>
      <c r="F862" s="1495" t="str">
        <f>'Sensitivitaeten Delta_Market'!$B42</f>
        <v>Wechselkurs   EUR/CHF</v>
      </c>
      <c r="G862" s="1494"/>
      <c r="H862" s="1077">
        <f>'Sensitivitaeten Delta_Market'!$S42</f>
        <v>0</v>
      </c>
      <c r="U862" s="1027"/>
      <c r="V862" s="1027"/>
      <c r="W862" s="1027"/>
    </row>
    <row r="863" spans="2:23" x14ac:dyDescent="0.2">
      <c r="B863" s="1493">
        <f>'Sensitivitaeten Delta_Market'!$A$1</f>
        <v>9</v>
      </c>
      <c r="C863" s="1488" t="str">
        <f>'Sensitivitaeten Delta_Market'!$B$1</f>
        <v>Delta-Sensitivitäten</v>
      </c>
      <c r="D863" s="1494" t="str">
        <f>'Sensitivitaeten Delta_Market'!$R$11</f>
        <v>Änderungen der Passiven</v>
      </c>
      <c r="E863" s="1488" t="str">
        <f>'Sensitivitaeten Delta_Market'!$S$13</f>
        <v>nach unten</v>
      </c>
      <c r="F863" s="1495" t="str">
        <f>'Sensitivitaeten Delta_Market'!$B43</f>
        <v>Wechselkurs   USD/CHF</v>
      </c>
      <c r="G863" s="1494"/>
      <c r="H863" s="1077">
        <f>'Sensitivitaeten Delta_Market'!$S43</f>
        <v>0</v>
      </c>
      <c r="U863" s="1027"/>
      <c r="V863" s="1027"/>
      <c r="W863" s="1027"/>
    </row>
    <row r="864" spans="2:23" x14ac:dyDescent="0.2">
      <c r="B864" s="1493">
        <f>'Sensitivitaeten Delta_Market'!$A$1</f>
        <v>9</v>
      </c>
      <c r="C864" s="1488" t="str">
        <f>'Sensitivitaeten Delta_Market'!$B$1</f>
        <v>Delta-Sensitivitäten</v>
      </c>
      <c r="D864" s="1494" t="str">
        <f>'Sensitivitaeten Delta_Market'!$R$11</f>
        <v>Änderungen der Passiven</v>
      </c>
      <c r="E864" s="1488" t="str">
        <f>'Sensitivitaeten Delta_Market'!$S$13</f>
        <v>nach unten</v>
      </c>
      <c r="F864" s="1495" t="str">
        <f>'Sensitivitaeten Delta_Market'!$B44</f>
        <v>Wechselkurs   GBP/CHF</v>
      </c>
      <c r="G864" s="1494"/>
      <c r="H864" s="1077">
        <f>'Sensitivitaeten Delta_Market'!$S44</f>
        <v>0</v>
      </c>
      <c r="U864" s="1027"/>
      <c r="V864" s="1027"/>
      <c r="W864" s="1027"/>
    </row>
    <row r="865" spans="1:23" x14ac:dyDescent="0.2">
      <c r="B865" s="1493">
        <f>'Sensitivitaeten Delta_Market'!$A$1</f>
        <v>9</v>
      </c>
      <c r="C865" s="1488" t="str">
        <f>'Sensitivitaeten Delta_Market'!$B$1</f>
        <v>Delta-Sensitivitäten</v>
      </c>
      <c r="D865" s="1494" t="str">
        <f>'Sensitivitaeten Delta_Market'!$R$11</f>
        <v>Änderungen der Passiven</v>
      </c>
      <c r="E865" s="1488" t="str">
        <f>'Sensitivitaeten Delta_Market'!$S$13</f>
        <v>nach unten</v>
      </c>
      <c r="F865" s="1495" t="str">
        <f>'Sensitivitaeten Delta_Market'!$B45</f>
        <v>Wechselkurs   JPY/CHF</v>
      </c>
      <c r="G865" s="1494"/>
      <c r="H865" s="1077">
        <f>'Sensitivitaeten Delta_Market'!$S45</f>
        <v>0</v>
      </c>
      <c r="U865" s="1027"/>
      <c r="V865" s="1027"/>
      <c r="W865" s="1027"/>
    </row>
    <row r="866" spans="1:23" x14ac:dyDescent="0.2">
      <c r="B866" s="1493">
        <f>'Sensitivitaeten Delta_Market'!$A$1</f>
        <v>9</v>
      </c>
      <c r="C866" s="1488" t="str">
        <f>'Sensitivitaeten Delta_Market'!$B$1</f>
        <v>Delta-Sensitivitäten</v>
      </c>
      <c r="D866" s="1494" t="str">
        <f>'Sensitivitaeten Delta_Market'!$R$11</f>
        <v>Änderungen der Passiven</v>
      </c>
      <c r="E866" s="1488" t="str">
        <f>'Sensitivitaeten Delta_Market'!$S$13</f>
        <v>nach unten</v>
      </c>
      <c r="F866" s="1495" t="str">
        <f>'Sensitivitaeten Delta_Market'!$B46</f>
        <v xml:space="preserve">Implizite FX-Volatilität </v>
      </c>
      <c r="G866" s="1494"/>
      <c r="H866" s="1077">
        <f>'Sensitivitaeten Delta_Market'!$S46</f>
        <v>0</v>
      </c>
      <c r="U866" s="1027"/>
      <c r="V866" s="1027"/>
      <c r="W866" s="1027"/>
    </row>
    <row r="867" spans="1:23" x14ac:dyDescent="0.2">
      <c r="B867" s="1493">
        <f>'Sensitivitaeten Delta_Market'!$A$1</f>
        <v>9</v>
      </c>
      <c r="C867" s="1488" t="str">
        <f>'Sensitivitaeten Delta_Market'!$B$1</f>
        <v>Delta-Sensitivitäten</v>
      </c>
      <c r="D867" s="1494" t="str">
        <f>'Sensitivitaeten Delta_Market'!$R$11</f>
        <v>Änderungen der Passiven</v>
      </c>
      <c r="E867" s="1488" t="str">
        <f>'Sensitivitaeten Delta_Market'!$S$13</f>
        <v>nach unten</v>
      </c>
      <c r="F867" s="1495" t="str">
        <f>'Sensitivitaeten Delta_Market'!$B47</f>
        <v>Aktien Schweiz</v>
      </c>
      <c r="G867" s="1494"/>
      <c r="H867" s="1077">
        <f>'Sensitivitaeten Delta_Market'!$S47</f>
        <v>0</v>
      </c>
      <c r="U867" s="1027"/>
      <c r="V867" s="1027"/>
      <c r="W867" s="1027"/>
    </row>
    <row r="868" spans="1:23" x14ac:dyDescent="0.2">
      <c r="B868" s="1493">
        <f>'Sensitivitaeten Delta_Market'!$A$1</f>
        <v>9</v>
      </c>
      <c r="C868" s="1488" t="str">
        <f>'Sensitivitaeten Delta_Market'!$B$1</f>
        <v>Delta-Sensitivitäten</v>
      </c>
      <c r="D868" s="1494" t="str">
        <f>'Sensitivitaeten Delta_Market'!$R$11</f>
        <v>Änderungen der Passiven</v>
      </c>
      <c r="E868" s="1488" t="str">
        <f>'Sensitivitaeten Delta_Market'!$S$13</f>
        <v>nach unten</v>
      </c>
      <c r="F868" s="1495" t="str">
        <f>'Sensitivitaeten Delta_Market'!$B48</f>
        <v>Aktien EMU</v>
      </c>
      <c r="G868" s="1494"/>
      <c r="H868" s="1077">
        <f>'Sensitivitaeten Delta_Market'!$S48</f>
        <v>0</v>
      </c>
      <c r="U868" s="1027"/>
      <c r="V868" s="1027"/>
      <c r="W868" s="1027"/>
    </row>
    <row r="869" spans="1:23" x14ac:dyDescent="0.2">
      <c r="B869" s="1493">
        <f>'Sensitivitaeten Delta_Market'!$A$1</f>
        <v>9</v>
      </c>
      <c r="C869" s="1488" t="str">
        <f>'Sensitivitaeten Delta_Market'!$B$1</f>
        <v>Delta-Sensitivitäten</v>
      </c>
      <c r="D869" s="1494" t="str">
        <f>'Sensitivitaeten Delta_Market'!$R$11</f>
        <v>Änderungen der Passiven</v>
      </c>
      <c r="E869" s="1488" t="str">
        <f>'Sensitivitaeten Delta_Market'!$S$13</f>
        <v>nach unten</v>
      </c>
      <c r="F869" s="1495" t="str">
        <f>'Sensitivitaeten Delta_Market'!$B49</f>
        <v>Aktien USA</v>
      </c>
      <c r="G869" s="1494"/>
      <c r="H869" s="1077">
        <f>'Sensitivitaeten Delta_Market'!$S49</f>
        <v>0</v>
      </c>
      <c r="U869" s="1027"/>
      <c r="V869" s="1027"/>
      <c r="W869" s="1027"/>
    </row>
    <row r="870" spans="1:23" x14ac:dyDescent="0.2">
      <c r="B870" s="1493">
        <f>'Sensitivitaeten Delta_Market'!$A$1</f>
        <v>9</v>
      </c>
      <c r="C870" s="1488" t="str">
        <f>'Sensitivitaeten Delta_Market'!$B$1</f>
        <v>Delta-Sensitivitäten</v>
      </c>
      <c r="D870" s="1494" t="str">
        <f>'Sensitivitaeten Delta_Market'!$R$11</f>
        <v>Änderungen der Passiven</v>
      </c>
      <c r="E870" s="1488" t="str">
        <f>'Sensitivitaeten Delta_Market'!$S$13</f>
        <v>nach unten</v>
      </c>
      <c r="F870" s="1495" t="str">
        <f>'Sensitivitaeten Delta_Market'!$B50</f>
        <v>Aktien Grossbritannien</v>
      </c>
      <c r="G870" s="1494"/>
      <c r="H870" s="1077">
        <f>'Sensitivitaeten Delta_Market'!$S50</f>
        <v>0</v>
      </c>
      <c r="U870" s="1027"/>
      <c r="V870" s="1027"/>
      <c r="W870" s="1027"/>
    </row>
    <row r="871" spans="1:23" x14ac:dyDescent="0.2">
      <c r="B871" s="1493">
        <f>'Sensitivitaeten Delta_Market'!$A$1</f>
        <v>9</v>
      </c>
      <c r="C871" s="1488" t="str">
        <f>'Sensitivitaeten Delta_Market'!$B$1</f>
        <v>Delta-Sensitivitäten</v>
      </c>
      <c r="D871" s="1494" t="str">
        <f>'Sensitivitaeten Delta_Market'!$R$11</f>
        <v>Änderungen der Passiven</v>
      </c>
      <c r="E871" s="1488" t="str">
        <f>'Sensitivitaeten Delta_Market'!$S$13</f>
        <v>nach unten</v>
      </c>
      <c r="F871" s="1495" t="str">
        <f>'Sensitivitaeten Delta_Market'!$B51</f>
        <v>Aktien Japan</v>
      </c>
      <c r="G871" s="1494"/>
      <c r="H871" s="1077">
        <f>'Sensitivitaeten Delta_Market'!$S51</f>
        <v>0</v>
      </c>
      <c r="U871" s="1027"/>
      <c r="V871" s="1027"/>
      <c r="W871" s="1027"/>
    </row>
    <row r="872" spans="1:23" x14ac:dyDescent="0.2">
      <c r="B872" s="1493">
        <f>'Sensitivitaeten Delta_Market'!$A$1</f>
        <v>9</v>
      </c>
      <c r="C872" s="1488" t="str">
        <f>'Sensitivitaeten Delta_Market'!$B$1</f>
        <v>Delta-Sensitivitäten</v>
      </c>
      <c r="D872" s="1494" t="str">
        <f>'Sensitivitaeten Delta_Market'!$R$11</f>
        <v>Änderungen der Passiven</v>
      </c>
      <c r="E872" s="1488" t="str">
        <f>'Sensitivitaeten Delta_Market'!$S$13</f>
        <v>nach unten</v>
      </c>
      <c r="F872" s="1625" t="s">
        <v>2338</v>
      </c>
      <c r="G872" s="1617" t="s">
        <v>2301</v>
      </c>
      <c r="H872" s="1626"/>
      <c r="U872" s="1027"/>
      <c r="V872" s="1027"/>
      <c r="W872" s="1027"/>
    </row>
    <row r="873" spans="1:23" x14ac:dyDescent="0.2">
      <c r="B873" s="1493">
        <f>'Sensitivitaeten Delta_Market'!$A$1</f>
        <v>9</v>
      </c>
      <c r="C873" s="1488" t="str">
        <f>'Sensitivitaeten Delta_Market'!$B$1</f>
        <v>Delta-Sensitivitäten</v>
      </c>
      <c r="D873" s="1494" t="str">
        <f>'Sensitivitaeten Delta_Market'!$R$11</f>
        <v>Änderungen der Passiven</v>
      </c>
      <c r="E873" s="1488" t="str">
        <f>'Sensitivitaeten Delta_Market'!$S$13</f>
        <v>nach unten</v>
      </c>
      <c r="F873" s="1625" t="s">
        <v>2339</v>
      </c>
      <c r="G873" s="1617" t="s">
        <v>2301</v>
      </c>
      <c r="H873" s="1626"/>
      <c r="U873" s="1027"/>
      <c r="V873" s="1027"/>
      <c r="W873" s="1027"/>
    </row>
    <row r="874" spans="1:23" x14ac:dyDescent="0.2">
      <c r="B874" s="1493">
        <f>'Sensitivitaeten Delta_Market'!$A$1</f>
        <v>9</v>
      </c>
      <c r="C874" s="1488" t="str">
        <f>'Sensitivitaeten Delta_Market'!$B$1</f>
        <v>Delta-Sensitivitäten</v>
      </c>
      <c r="D874" s="1494" t="str">
        <f>'Sensitivitaeten Delta_Market'!$R$11</f>
        <v>Änderungen der Passiven</v>
      </c>
      <c r="E874" s="1488" t="str">
        <f>'Sensitivitaeten Delta_Market'!$S$13</f>
        <v>nach unten</v>
      </c>
      <c r="F874" s="1497" t="str">
        <f>'Sensitivitaeten Delta_Market'!$B52</f>
        <v>Implizite Aktienvolatilität</v>
      </c>
      <c r="G874" s="1494"/>
      <c r="H874" s="1077">
        <f>'Sensitivitaeten Delta_Market'!$S52</f>
        <v>0</v>
      </c>
      <c r="U874" s="1027"/>
      <c r="V874" s="1027"/>
      <c r="W874" s="1027"/>
    </row>
    <row r="875" spans="1:23" ht="13.5" thickBot="1" x14ac:dyDescent="0.25">
      <c r="B875" s="1498">
        <f>'Sensitivitaeten Delta_Market'!$A$1</f>
        <v>9</v>
      </c>
      <c r="C875" s="1499" t="str">
        <f>'Sensitivitaeten Delta_Market'!$B$1</f>
        <v>Delta-Sensitivitäten</v>
      </c>
      <c r="D875" s="1500" t="str">
        <f>'Sensitivitaeten Delta_Market'!$R$11</f>
        <v>Änderungen der Passiven</v>
      </c>
      <c r="E875" s="1499" t="str">
        <f>'Sensitivitaeten Delta_Market'!$S$13</f>
        <v>nach unten</v>
      </c>
      <c r="F875" s="1501" t="str">
        <f>'Sensitivitaeten Delta_Market'!$B53</f>
        <v>Hedgefonds</v>
      </c>
      <c r="G875" s="1494"/>
      <c r="H875" s="1079">
        <f>'Sensitivitaeten Delta_Market'!$S53</f>
        <v>0</v>
      </c>
      <c r="U875" s="1027"/>
      <c r="V875" s="1027"/>
      <c r="W875" s="1027"/>
    </row>
    <row r="876" spans="1:23" ht="12.75" customHeight="1" thickBot="1" x14ac:dyDescent="0.25">
      <c r="A876" s="1074"/>
      <c r="B876" s="1576"/>
      <c r="C876" s="1075"/>
      <c r="D876" s="1075"/>
      <c r="E876" s="1483"/>
      <c r="F876" s="1484"/>
      <c r="G876" s="1484"/>
      <c r="H876" s="1035"/>
      <c r="U876" s="1027"/>
      <c r="V876" s="1027"/>
      <c r="W876" s="1027"/>
    </row>
    <row r="877" spans="1:23" ht="12.75" customHeight="1" x14ac:dyDescent="0.2">
      <c r="B877" s="1080" t="s">
        <v>1543</v>
      </c>
      <c r="C877" s="1081" t="s">
        <v>1559</v>
      </c>
      <c r="D877" s="1502" t="s">
        <v>539</v>
      </c>
      <c r="E877" s="1492"/>
      <c r="F877" s="1492" t="s">
        <v>2136</v>
      </c>
      <c r="G877" s="1617" t="s">
        <v>2140</v>
      </c>
      <c r="H877" s="1626"/>
      <c r="U877" s="1027"/>
      <c r="V877" s="1027"/>
      <c r="W877" s="1027"/>
    </row>
    <row r="878" spans="1:23" ht="12.75" customHeight="1" x14ac:dyDescent="0.2">
      <c r="B878" s="1083" t="s">
        <v>1543</v>
      </c>
      <c r="C878" s="1084" t="s">
        <v>1559</v>
      </c>
      <c r="D878" s="1503" t="s">
        <v>539</v>
      </c>
      <c r="E878" s="1494"/>
      <c r="F878" s="1494" t="s">
        <v>2137</v>
      </c>
      <c r="G878" s="1617" t="s">
        <v>2140</v>
      </c>
      <c r="H878" s="1626"/>
      <c r="U878" s="1027"/>
      <c r="V878" s="1027"/>
      <c r="W878" s="1027"/>
    </row>
    <row r="879" spans="1:23" ht="12.75" customHeight="1" x14ac:dyDescent="0.2">
      <c r="B879" s="1083" t="s">
        <v>1543</v>
      </c>
      <c r="C879" s="1084" t="s">
        <v>1559</v>
      </c>
      <c r="D879" s="1503" t="s">
        <v>539</v>
      </c>
      <c r="E879" s="1494"/>
      <c r="F879" s="1494" t="s">
        <v>2138</v>
      </c>
      <c r="G879" s="1617" t="s">
        <v>2140</v>
      </c>
      <c r="H879" s="1626"/>
      <c r="U879" s="1027"/>
      <c r="V879" s="1027"/>
      <c r="W879" s="1027"/>
    </row>
    <row r="880" spans="1:23" ht="12.75" customHeight="1" x14ac:dyDescent="0.2">
      <c r="B880" s="1083" t="s">
        <v>1543</v>
      </c>
      <c r="C880" s="1084" t="s">
        <v>1559</v>
      </c>
      <c r="D880" s="1503" t="s">
        <v>539</v>
      </c>
      <c r="E880" s="1494"/>
      <c r="F880" s="1494" t="s">
        <v>2139</v>
      </c>
      <c r="G880" s="1617" t="s">
        <v>2140</v>
      </c>
      <c r="H880" s="1626"/>
      <c r="U880" s="1027"/>
      <c r="V880" s="1027"/>
      <c r="W880" s="1027"/>
    </row>
    <row r="881" spans="2:23" ht="12.75" customHeight="1" x14ac:dyDescent="0.2">
      <c r="B881" s="1083" t="s">
        <v>1543</v>
      </c>
      <c r="C881" s="1084" t="s">
        <v>1559</v>
      </c>
      <c r="D881" s="1503" t="s">
        <v>539</v>
      </c>
      <c r="E881" s="1494"/>
      <c r="F881" s="1494" t="s">
        <v>2084</v>
      </c>
      <c r="G881" s="1617" t="s">
        <v>2140</v>
      </c>
      <c r="H881" s="1626"/>
      <c r="U881" s="1027"/>
      <c r="V881" s="1027"/>
      <c r="W881" s="1027"/>
    </row>
    <row r="882" spans="2:23" ht="12.75" customHeight="1" x14ac:dyDescent="0.2">
      <c r="B882" s="1083" t="s">
        <v>1543</v>
      </c>
      <c r="C882" s="1084" t="s">
        <v>1559</v>
      </c>
      <c r="D882" s="1503" t="s">
        <v>539</v>
      </c>
      <c r="E882" s="1494"/>
      <c r="F882" s="1494" t="s">
        <v>2085</v>
      </c>
      <c r="G882" s="1617" t="s">
        <v>2140</v>
      </c>
      <c r="H882" s="1626"/>
      <c r="U882" s="1027"/>
      <c r="V882" s="1027"/>
      <c r="W882" s="1027"/>
    </row>
    <row r="883" spans="2:23" ht="12.75" customHeight="1" x14ac:dyDescent="0.2">
      <c r="B883" s="1083" t="s">
        <v>1543</v>
      </c>
      <c r="C883" s="1084" t="s">
        <v>1559</v>
      </c>
      <c r="D883" s="1503" t="s">
        <v>538</v>
      </c>
      <c r="E883" s="1494">
        <v>300</v>
      </c>
      <c r="F883" s="1494" t="s">
        <v>2136</v>
      </c>
      <c r="G883" s="1617" t="s">
        <v>2140</v>
      </c>
      <c r="H883" s="1626"/>
      <c r="U883" s="1027"/>
      <c r="V883" s="1027"/>
      <c r="W883" s="1027"/>
    </row>
    <row r="884" spans="2:23" ht="12.75" customHeight="1" x14ac:dyDescent="0.2">
      <c r="B884" s="1083" t="s">
        <v>1543</v>
      </c>
      <c r="C884" s="1084" t="s">
        <v>1559</v>
      </c>
      <c r="D884" s="1503" t="s">
        <v>538</v>
      </c>
      <c r="E884" s="1494">
        <v>300</v>
      </c>
      <c r="F884" s="1494" t="s">
        <v>2137</v>
      </c>
      <c r="G884" s="1617" t="s">
        <v>2140</v>
      </c>
      <c r="H884" s="1626"/>
      <c r="U884" s="1027"/>
      <c r="V884" s="1027"/>
      <c r="W884" s="1027"/>
    </row>
    <row r="885" spans="2:23" ht="12.75" customHeight="1" x14ac:dyDescent="0.2">
      <c r="B885" s="1083" t="s">
        <v>1543</v>
      </c>
      <c r="C885" s="1084" t="s">
        <v>1559</v>
      </c>
      <c r="D885" s="1503" t="s">
        <v>538</v>
      </c>
      <c r="E885" s="1494">
        <v>300</v>
      </c>
      <c r="F885" s="1494" t="s">
        <v>2138</v>
      </c>
      <c r="G885" s="1617" t="s">
        <v>2140</v>
      </c>
      <c r="H885" s="1626"/>
      <c r="U885" s="1027"/>
      <c r="V885" s="1027"/>
      <c r="W885" s="1027"/>
    </row>
    <row r="886" spans="2:23" ht="12.75" customHeight="1" x14ac:dyDescent="0.2">
      <c r="B886" s="1083" t="s">
        <v>1543</v>
      </c>
      <c r="C886" s="1084" t="s">
        <v>1559</v>
      </c>
      <c r="D886" s="1503" t="s">
        <v>538</v>
      </c>
      <c r="E886" s="1494">
        <v>300</v>
      </c>
      <c r="F886" s="1494" t="s">
        <v>2139</v>
      </c>
      <c r="G886" s="1617" t="s">
        <v>2140</v>
      </c>
      <c r="H886" s="1626"/>
      <c r="U886" s="1027"/>
      <c r="V886" s="1027"/>
      <c r="W886" s="1027"/>
    </row>
    <row r="887" spans="2:23" ht="12.75" customHeight="1" x14ac:dyDescent="0.2">
      <c r="B887" s="1083" t="s">
        <v>1543</v>
      </c>
      <c r="C887" s="1084" t="s">
        <v>1559</v>
      </c>
      <c r="D887" s="1503" t="s">
        <v>538</v>
      </c>
      <c r="E887" s="1494">
        <v>300</v>
      </c>
      <c r="F887" s="1494" t="s">
        <v>2084</v>
      </c>
      <c r="G887" s="1617" t="s">
        <v>2140</v>
      </c>
      <c r="H887" s="1626"/>
      <c r="U887" s="1027"/>
      <c r="V887" s="1027"/>
      <c r="W887" s="1027"/>
    </row>
    <row r="888" spans="2:23" ht="12.75" customHeight="1" x14ac:dyDescent="0.2">
      <c r="B888" s="1083" t="s">
        <v>1543</v>
      </c>
      <c r="C888" s="1084" t="s">
        <v>1559</v>
      </c>
      <c r="D888" s="1503" t="s">
        <v>538</v>
      </c>
      <c r="E888" s="1494">
        <v>300</v>
      </c>
      <c r="F888" s="1494" t="s">
        <v>2085</v>
      </c>
      <c r="G888" s="1617" t="s">
        <v>2140</v>
      </c>
      <c r="H888" s="1626"/>
      <c r="U888" s="1027"/>
      <c r="V888" s="1027"/>
      <c r="W888" s="1027"/>
    </row>
    <row r="889" spans="2:23" ht="12.75" customHeight="1" x14ac:dyDescent="0.2">
      <c r="B889" s="1083" t="s">
        <v>1543</v>
      </c>
      <c r="C889" s="1084" t="s">
        <v>1559</v>
      </c>
      <c r="D889" s="1503" t="s">
        <v>538</v>
      </c>
      <c r="E889" s="1494">
        <v>500</v>
      </c>
      <c r="F889" s="1494" t="s">
        <v>2136</v>
      </c>
      <c r="G889" s="1617" t="s">
        <v>2140</v>
      </c>
      <c r="H889" s="1626"/>
      <c r="U889" s="1027"/>
      <c r="V889" s="1027"/>
      <c r="W889" s="1027"/>
    </row>
    <row r="890" spans="2:23" ht="12.75" customHeight="1" x14ac:dyDescent="0.2">
      <c r="B890" s="1083" t="s">
        <v>1543</v>
      </c>
      <c r="C890" s="1084" t="s">
        <v>1559</v>
      </c>
      <c r="D890" s="1503" t="s">
        <v>538</v>
      </c>
      <c r="E890" s="1494">
        <v>500</v>
      </c>
      <c r="F890" s="1494" t="s">
        <v>2137</v>
      </c>
      <c r="G890" s="1617" t="s">
        <v>2140</v>
      </c>
      <c r="H890" s="1626"/>
      <c r="U890" s="1027"/>
      <c r="V890" s="1027"/>
      <c r="W890" s="1027"/>
    </row>
    <row r="891" spans="2:23" ht="12.75" customHeight="1" x14ac:dyDescent="0.2">
      <c r="B891" s="1083" t="s">
        <v>1543</v>
      </c>
      <c r="C891" s="1084" t="s">
        <v>1559</v>
      </c>
      <c r="D891" s="1503" t="s">
        <v>538</v>
      </c>
      <c r="E891" s="1494">
        <v>500</v>
      </c>
      <c r="F891" s="1494" t="s">
        <v>2138</v>
      </c>
      <c r="G891" s="1617" t="s">
        <v>2140</v>
      </c>
      <c r="H891" s="1626"/>
      <c r="U891" s="1027"/>
      <c r="V891" s="1027"/>
      <c r="W891" s="1027"/>
    </row>
    <row r="892" spans="2:23" ht="12.75" customHeight="1" x14ac:dyDescent="0.2">
      <c r="B892" s="1083" t="s">
        <v>1543</v>
      </c>
      <c r="C892" s="1084" t="s">
        <v>1559</v>
      </c>
      <c r="D892" s="1503" t="s">
        <v>538</v>
      </c>
      <c r="E892" s="1494">
        <v>500</v>
      </c>
      <c r="F892" s="1494" t="s">
        <v>2139</v>
      </c>
      <c r="G892" s="1617" t="s">
        <v>2140</v>
      </c>
      <c r="H892" s="1626"/>
      <c r="U892" s="1027"/>
      <c r="V892" s="1027"/>
      <c r="W892" s="1027"/>
    </row>
    <row r="893" spans="2:23" ht="12.75" customHeight="1" x14ac:dyDescent="0.2">
      <c r="B893" s="1083" t="s">
        <v>1543</v>
      </c>
      <c r="C893" s="1084" t="s">
        <v>1559</v>
      </c>
      <c r="D893" s="1503" t="s">
        <v>538</v>
      </c>
      <c r="E893" s="1494">
        <v>500</v>
      </c>
      <c r="F893" s="1494" t="s">
        <v>2084</v>
      </c>
      <c r="G893" s="1617" t="s">
        <v>2140</v>
      </c>
      <c r="H893" s="1626"/>
      <c r="U893" s="1027"/>
      <c r="V893" s="1027"/>
      <c r="W893" s="1027"/>
    </row>
    <row r="894" spans="2:23" ht="12.75" customHeight="1" x14ac:dyDescent="0.2">
      <c r="B894" s="1083" t="s">
        <v>1543</v>
      </c>
      <c r="C894" s="1084" t="s">
        <v>1559</v>
      </c>
      <c r="D894" s="1503" t="s">
        <v>538</v>
      </c>
      <c r="E894" s="1494">
        <v>500</v>
      </c>
      <c r="F894" s="1494" t="s">
        <v>2085</v>
      </c>
      <c r="G894" s="1617" t="s">
        <v>2140</v>
      </c>
      <c r="H894" s="1626"/>
      <c r="U894" s="1027"/>
      <c r="V894" s="1027"/>
      <c r="W894" s="1027"/>
    </row>
    <row r="895" spans="2:23" ht="12.75" customHeight="1" x14ac:dyDescent="0.2">
      <c r="B895" s="1083" t="s">
        <v>1543</v>
      </c>
      <c r="C895" s="1084" t="s">
        <v>1559</v>
      </c>
      <c r="D895" s="1503" t="s">
        <v>538</v>
      </c>
      <c r="E895" s="1494">
        <v>1000</v>
      </c>
      <c r="F895" s="1494" t="s">
        <v>2136</v>
      </c>
      <c r="G895" s="1617" t="s">
        <v>2140</v>
      </c>
      <c r="H895" s="1626"/>
      <c r="U895" s="1027"/>
      <c r="V895" s="1027"/>
      <c r="W895" s="1027"/>
    </row>
    <row r="896" spans="2:23" ht="12.75" customHeight="1" x14ac:dyDescent="0.2">
      <c r="B896" s="1083" t="s">
        <v>1543</v>
      </c>
      <c r="C896" s="1084" t="s">
        <v>1559</v>
      </c>
      <c r="D896" s="1503" t="s">
        <v>538</v>
      </c>
      <c r="E896" s="1494">
        <v>1000</v>
      </c>
      <c r="F896" s="1494" t="s">
        <v>2137</v>
      </c>
      <c r="G896" s="1617" t="s">
        <v>2140</v>
      </c>
      <c r="H896" s="1626"/>
      <c r="U896" s="1027"/>
      <c r="V896" s="1027"/>
      <c r="W896" s="1027"/>
    </row>
    <row r="897" spans="2:23" ht="12.75" customHeight="1" x14ac:dyDescent="0.2">
      <c r="B897" s="1083" t="s">
        <v>1543</v>
      </c>
      <c r="C897" s="1084" t="s">
        <v>1559</v>
      </c>
      <c r="D897" s="1503" t="s">
        <v>538</v>
      </c>
      <c r="E897" s="1494">
        <v>1000</v>
      </c>
      <c r="F897" s="1494" t="s">
        <v>2138</v>
      </c>
      <c r="G897" s="1617" t="s">
        <v>2140</v>
      </c>
      <c r="H897" s="1626"/>
      <c r="U897" s="1027"/>
      <c r="V897" s="1027"/>
      <c r="W897" s="1027"/>
    </row>
    <row r="898" spans="2:23" ht="12.75" customHeight="1" x14ac:dyDescent="0.2">
      <c r="B898" s="1083" t="s">
        <v>1543</v>
      </c>
      <c r="C898" s="1084" t="s">
        <v>1559</v>
      </c>
      <c r="D898" s="1503" t="s">
        <v>538</v>
      </c>
      <c r="E898" s="1494">
        <v>1000</v>
      </c>
      <c r="F898" s="1494" t="s">
        <v>2139</v>
      </c>
      <c r="G898" s="1617" t="s">
        <v>2140</v>
      </c>
      <c r="H898" s="1626"/>
      <c r="U898" s="1027"/>
      <c r="V898" s="1027"/>
      <c r="W898" s="1027"/>
    </row>
    <row r="899" spans="2:23" ht="12.75" customHeight="1" x14ac:dyDescent="0.2">
      <c r="B899" s="1083" t="s">
        <v>1543</v>
      </c>
      <c r="C899" s="1084" t="s">
        <v>1559</v>
      </c>
      <c r="D899" s="1503" t="s">
        <v>538</v>
      </c>
      <c r="E899" s="1494">
        <v>1000</v>
      </c>
      <c r="F899" s="1494" t="s">
        <v>2084</v>
      </c>
      <c r="G899" s="1617" t="s">
        <v>2140</v>
      </c>
      <c r="H899" s="1626"/>
      <c r="U899" s="1027"/>
      <c r="V899" s="1027"/>
      <c r="W899" s="1027"/>
    </row>
    <row r="900" spans="2:23" ht="12.75" customHeight="1" x14ac:dyDescent="0.2">
      <c r="B900" s="1083" t="s">
        <v>1543</v>
      </c>
      <c r="C900" s="1084" t="s">
        <v>1559</v>
      </c>
      <c r="D900" s="1503" t="s">
        <v>538</v>
      </c>
      <c r="E900" s="1494">
        <v>1000</v>
      </c>
      <c r="F900" s="1494" t="s">
        <v>2085</v>
      </c>
      <c r="G900" s="1617" t="s">
        <v>2140</v>
      </c>
      <c r="H900" s="1626"/>
      <c r="U900" s="1027"/>
      <c r="V900" s="1027"/>
      <c r="W900" s="1027"/>
    </row>
    <row r="901" spans="2:23" ht="12.75" customHeight="1" x14ac:dyDescent="0.2">
      <c r="B901" s="1083" t="s">
        <v>1543</v>
      </c>
      <c r="C901" s="1084" t="s">
        <v>1559</v>
      </c>
      <c r="D901" s="1503" t="s">
        <v>538</v>
      </c>
      <c r="E901" s="1494">
        <v>1500</v>
      </c>
      <c r="F901" s="1494" t="s">
        <v>2136</v>
      </c>
      <c r="G901" s="1617" t="s">
        <v>2140</v>
      </c>
      <c r="H901" s="1626"/>
      <c r="U901" s="1027"/>
      <c r="V901" s="1027"/>
      <c r="W901" s="1027"/>
    </row>
    <row r="902" spans="2:23" ht="12.75" customHeight="1" x14ac:dyDescent="0.2">
      <c r="B902" s="1083" t="s">
        <v>1543</v>
      </c>
      <c r="C902" s="1084" t="s">
        <v>1559</v>
      </c>
      <c r="D902" s="1503" t="s">
        <v>538</v>
      </c>
      <c r="E902" s="1494">
        <v>1500</v>
      </c>
      <c r="F902" s="1494" t="s">
        <v>2137</v>
      </c>
      <c r="G902" s="1617" t="s">
        <v>2140</v>
      </c>
      <c r="H902" s="1626"/>
      <c r="U902" s="1027"/>
      <c r="V902" s="1027"/>
      <c r="W902" s="1027"/>
    </row>
    <row r="903" spans="2:23" ht="12.75" customHeight="1" x14ac:dyDescent="0.2">
      <c r="B903" s="1083" t="s">
        <v>1543</v>
      </c>
      <c r="C903" s="1084" t="s">
        <v>1559</v>
      </c>
      <c r="D903" s="1503" t="s">
        <v>538</v>
      </c>
      <c r="E903" s="1494">
        <v>1500</v>
      </c>
      <c r="F903" s="1494" t="s">
        <v>2138</v>
      </c>
      <c r="G903" s="1617" t="s">
        <v>2140</v>
      </c>
      <c r="H903" s="1626"/>
      <c r="U903" s="1027"/>
      <c r="V903" s="1027"/>
      <c r="W903" s="1027"/>
    </row>
    <row r="904" spans="2:23" ht="12.75" customHeight="1" x14ac:dyDescent="0.2">
      <c r="B904" s="1083" t="s">
        <v>1543</v>
      </c>
      <c r="C904" s="1084" t="s">
        <v>1559</v>
      </c>
      <c r="D904" s="1503" t="s">
        <v>538</v>
      </c>
      <c r="E904" s="1494">
        <v>1500</v>
      </c>
      <c r="F904" s="1494" t="s">
        <v>2139</v>
      </c>
      <c r="G904" s="1617" t="s">
        <v>2140</v>
      </c>
      <c r="H904" s="1626"/>
      <c r="U904" s="1027"/>
      <c r="V904" s="1027"/>
      <c r="W904" s="1027"/>
    </row>
    <row r="905" spans="2:23" ht="12.75" customHeight="1" x14ac:dyDescent="0.2">
      <c r="B905" s="1083" t="s">
        <v>1543</v>
      </c>
      <c r="C905" s="1084" t="s">
        <v>1559</v>
      </c>
      <c r="D905" s="1503" t="s">
        <v>538</v>
      </c>
      <c r="E905" s="1494">
        <v>1500</v>
      </c>
      <c r="F905" s="1494" t="s">
        <v>2084</v>
      </c>
      <c r="G905" s="1617" t="s">
        <v>2140</v>
      </c>
      <c r="H905" s="1626"/>
      <c r="U905" s="1027"/>
      <c r="V905" s="1027"/>
      <c r="W905" s="1027"/>
    </row>
    <row r="906" spans="2:23" ht="12.75" customHeight="1" x14ac:dyDescent="0.2">
      <c r="B906" s="1083" t="s">
        <v>1543</v>
      </c>
      <c r="C906" s="1084" t="s">
        <v>1559</v>
      </c>
      <c r="D906" s="1503" t="s">
        <v>538</v>
      </c>
      <c r="E906" s="1494">
        <v>1500</v>
      </c>
      <c r="F906" s="1494" t="s">
        <v>2085</v>
      </c>
      <c r="G906" s="1617" t="s">
        <v>2140</v>
      </c>
      <c r="H906" s="1626"/>
      <c r="U906" s="1027"/>
      <c r="V906" s="1027"/>
      <c r="W906" s="1027"/>
    </row>
    <row r="907" spans="2:23" ht="12.75" customHeight="1" x14ac:dyDescent="0.2">
      <c r="B907" s="1083" t="s">
        <v>1543</v>
      </c>
      <c r="C907" s="1084" t="s">
        <v>1559</v>
      </c>
      <c r="D907" s="1503" t="s">
        <v>538</v>
      </c>
      <c r="E907" s="1494">
        <v>2000</v>
      </c>
      <c r="F907" s="1494" t="s">
        <v>2136</v>
      </c>
      <c r="G907" s="1617" t="s">
        <v>2140</v>
      </c>
      <c r="H907" s="1626"/>
      <c r="U907" s="1027"/>
      <c r="V907" s="1027"/>
      <c r="W907" s="1027"/>
    </row>
    <row r="908" spans="2:23" ht="12.75" customHeight="1" x14ac:dyDescent="0.2">
      <c r="B908" s="1083" t="s">
        <v>1543</v>
      </c>
      <c r="C908" s="1084" t="s">
        <v>1559</v>
      </c>
      <c r="D908" s="1503" t="s">
        <v>538</v>
      </c>
      <c r="E908" s="1494">
        <v>2000</v>
      </c>
      <c r="F908" s="1494" t="s">
        <v>2137</v>
      </c>
      <c r="G908" s="1617" t="s">
        <v>2140</v>
      </c>
      <c r="H908" s="1626"/>
      <c r="U908" s="1027"/>
      <c r="V908" s="1027"/>
      <c r="W908" s="1027"/>
    </row>
    <row r="909" spans="2:23" ht="12.75" customHeight="1" x14ac:dyDescent="0.2">
      <c r="B909" s="1083" t="s">
        <v>1543</v>
      </c>
      <c r="C909" s="1084" t="s">
        <v>1559</v>
      </c>
      <c r="D909" s="1503" t="s">
        <v>538</v>
      </c>
      <c r="E909" s="1494">
        <v>2000</v>
      </c>
      <c r="F909" s="1494" t="s">
        <v>2138</v>
      </c>
      <c r="G909" s="1617" t="s">
        <v>2140</v>
      </c>
      <c r="H909" s="1626"/>
      <c r="U909" s="1027"/>
      <c r="V909" s="1027"/>
      <c r="W909" s="1027"/>
    </row>
    <row r="910" spans="2:23" ht="12.75" customHeight="1" x14ac:dyDescent="0.2">
      <c r="B910" s="1083" t="s">
        <v>1543</v>
      </c>
      <c r="C910" s="1084" t="s">
        <v>1559</v>
      </c>
      <c r="D910" s="1503" t="s">
        <v>538</v>
      </c>
      <c r="E910" s="1494">
        <v>2000</v>
      </c>
      <c r="F910" s="1494" t="s">
        <v>2139</v>
      </c>
      <c r="G910" s="1617" t="s">
        <v>2140</v>
      </c>
      <c r="H910" s="1626"/>
      <c r="U910" s="1027"/>
      <c r="V910" s="1027"/>
      <c r="W910" s="1027"/>
    </row>
    <row r="911" spans="2:23" ht="12.75" customHeight="1" x14ac:dyDescent="0.2">
      <c r="B911" s="1083" t="s">
        <v>1543</v>
      </c>
      <c r="C911" s="1084" t="s">
        <v>1559</v>
      </c>
      <c r="D911" s="1503" t="s">
        <v>538</v>
      </c>
      <c r="E911" s="1494">
        <v>2000</v>
      </c>
      <c r="F911" s="1494" t="s">
        <v>2084</v>
      </c>
      <c r="G911" s="1617" t="s">
        <v>2140</v>
      </c>
      <c r="H911" s="1626"/>
      <c r="U911" s="1027"/>
      <c r="V911" s="1027"/>
      <c r="W911" s="1027"/>
    </row>
    <row r="912" spans="2:23" ht="12.75" customHeight="1" x14ac:dyDescent="0.2">
      <c r="B912" s="1083" t="s">
        <v>1543</v>
      </c>
      <c r="C912" s="1084" t="s">
        <v>1559</v>
      </c>
      <c r="D912" s="1503" t="s">
        <v>538</v>
      </c>
      <c r="E912" s="1494">
        <v>2000</v>
      </c>
      <c r="F912" s="1494" t="s">
        <v>2085</v>
      </c>
      <c r="G912" s="1617" t="s">
        <v>2140</v>
      </c>
      <c r="H912" s="1626"/>
      <c r="U912" s="1027"/>
      <c r="V912" s="1027"/>
      <c r="W912" s="1027"/>
    </row>
    <row r="913" spans="2:23" ht="12.75" customHeight="1" x14ac:dyDescent="0.2">
      <c r="B913" s="1083" t="s">
        <v>1543</v>
      </c>
      <c r="C913" s="1084" t="s">
        <v>1559</v>
      </c>
      <c r="D913" s="1503" t="s">
        <v>538</v>
      </c>
      <c r="E913" s="1494">
        <v>2500</v>
      </c>
      <c r="F913" s="1494" t="s">
        <v>2136</v>
      </c>
      <c r="G913" s="1617" t="s">
        <v>2140</v>
      </c>
      <c r="H913" s="1626"/>
      <c r="U913" s="1027"/>
      <c r="V913" s="1027"/>
      <c r="W913" s="1027"/>
    </row>
    <row r="914" spans="2:23" ht="12.75" customHeight="1" x14ac:dyDescent="0.2">
      <c r="B914" s="1083" t="s">
        <v>1543</v>
      </c>
      <c r="C914" s="1084" t="s">
        <v>1559</v>
      </c>
      <c r="D914" s="1503" t="s">
        <v>538</v>
      </c>
      <c r="E914" s="1494">
        <v>2500</v>
      </c>
      <c r="F914" s="1494" t="s">
        <v>2137</v>
      </c>
      <c r="G914" s="1617" t="s">
        <v>2140</v>
      </c>
      <c r="H914" s="1626"/>
      <c r="U914" s="1027"/>
      <c r="V914" s="1027"/>
      <c r="W914" s="1027"/>
    </row>
    <row r="915" spans="2:23" ht="12.75" customHeight="1" x14ac:dyDescent="0.2">
      <c r="B915" s="1083" t="s">
        <v>1543</v>
      </c>
      <c r="C915" s="1084" t="s">
        <v>1559</v>
      </c>
      <c r="D915" s="1503" t="s">
        <v>538</v>
      </c>
      <c r="E915" s="1494">
        <v>2500</v>
      </c>
      <c r="F915" s="1494" t="s">
        <v>2138</v>
      </c>
      <c r="G915" s="1617" t="s">
        <v>2140</v>
      </c>
      <c r="H915" s="1626"/>
      <c r="U915" s="1027"/>
      <c r="V915" s="1027"/>
      <c r="W915" s="1027"/>
    </row>
    <row r="916" spans="2:23" ht="12.75" customHeight="1" x14ac:dyDescent="0.2">
      <c r="B916" s="1083" t="s">
        <v>1543</v>
      </c>
      <c r="C916" s="1084" t="s">
        <v>1559</v>
      </c>
      <c r="D916" s="1503" t="s">
        <v>538</v>
      </c>
      <c r="E916" s="1494">
        <v>2500</v>
      </c>
      <c r="F916" s="1494" t="s">
        <v>2139</v>
      </c>
      <c r="G916" s="1617" t="s">
        <v>2140</v>
      </c>
      <c r="H916" s="1626"/>
      <c r="U916" s="1027"/>
      <c r="V916" s="1027"/>
      <c r="W916" s="1027"/>
    </row>
    <row r="917" spans="2:23" ht="12.75" customHeight="1" x14ac:dyDescent="0.2">
      <c r="B917" s="1083" t="s">
        <v>1543</v>
      </c>
      <c r="C917" s="1084" t="s">
        <v>1559</v>
      </c>
      <c r="D917" s="1503" t="s">
        <v>538</v>
      </c>
      <c r="E917" s="1494">
        <v>2500</v>
      </c>
      <c r="F917" s="1494" t="s">
        <v>2084</v>
      </c>
      <c r="G917" s="1617" t="s">
        <v>2140</v>
      </c>
      <c r="H917" s="1626"/>
      <c r="U917" s="1027"/>
      <c r="V917" s="1027"/>
      <c r="W917" s="1027"/>
    </row>
    <row r="918" spans="2:23" ht="12.75" customHeight="1" x14ac:dyDescent="0.2">
      <c r="B918" s="1083" t="s">
        <v>1543</v>
      </c>
      <c r="C918" s="1084" t="s">
        <v>1559</v>
      </c>
      <c r="D918" s="1503" t="s">
        <v>538</v>
      </c>
      <c r="E918" s="1494">
        <v>2500</v>
      </c>
      <c r="F918" s="1494" t="s">
        <v>2085</v>
      </c>
      <c r="G918" s="1617" t="s">
        <v>2140</v>
      </c>
      <c r="H918" s="1626"/>
      <c r="U918" s="1027"/>
      <c r="V918" s="1027"/>
      <c r="W918" s="1027"/>
    </row>
    <row r="919" spans="2:23" ht="12.75" customHeight="1" thickBot="1" x14ac:dyDescent="0.25">
      <c r="B919" s="1085" t="s">
        <v>1543</v>
      </c>
      <c r="C919" s="1086" t="s">
        <v>1559</v>
      </c>
      <c r="D919" s="1489" t="s">
        <v>2108</v>
      </c>
      <c r="E919" s="1500"/>
      <c r="F919" s="1500"/>
      <c r="G919" s="1617" t="s">
        <v>2140</v>
      </c>
      <c r="H919" s="1626"/>
      <c r="U919" s="1027"/>
      <c r="V919" s="1027"/>
      <c r="W919" s="1027"/>
    </row>
    <row r="920" spans="2:23" ht="12.75" customHeight="1" thickBot="1" x14ac:dyDescent="0.25">
      <c r="B920" s="1087"/>
      <c r="C920" s="1087"/>
      <c r="D920" s="1075"/>
      <c r="E920" s="1483"/>
      <c r="F920" s="1484"/>
      <c r="G920" s="1484"/>
      <c r="H920" s="1035"/>
      <c r="U920" s="1027"/>
      <c r="V920" s="1027"/>
      <c r="W920" s="1027"/>
    </row>
    <row r="921" spans="2:23" ht="12.75" customHeight="1" x14ac:dyDescent="0.2">
      <c r="B921" s="1080" t="s">
        <v>722</v>
      </c>
      <c r="C921" s="1081" t="s">
        <v>1544</v>
      </c>
      <c r="D921" s="1082" t="s">
        <v>539</v>
      </c>
      <c r="E921" s="1486" t="s">
        <v>536</v>
      </c>
      <c r="F921" s="1492"/>
      <c r="G921" s="1617" t="s">
        <v>2140</v>
      </c>
      <c r="H921" s="1626"/>
      <c r="U921" s="1027"/>
      <c r="V921" s="1027"/>
      <c r="W921" s="1027"/>
    </row>
    <row r="922" spans="2:23" ht="12.75" customHeight="1" x14ac:dyDescent="0.2">
      <c r="B922" s="1088" t="s">
        <v>722</v>
      </c>
      <c r="C922" s="1089" t="s">
        <v>1544</v>
      </c>
      <c r="D922" s="1090" t="s">
        <v>539</v>
      </c>
      <c r="E922" s="1505" t="s">
        <v>1654</v>
      </c>
      <c r="F922" s="1506"/>
      <c r="G922" s="1617" t="s">
        <v>2140</v>
      </c>
      <c r="H922" s="1626"/>
      <c r="U922" s="1027"/>
      <c r="V922" s="1027"/>
      <c r="W922" s="1027"/>
    </row>
    <row r="923" spans="2:23" ht="12.75" customHeight="1" x14ac:dyDescent="0.2">
      <c r="B923" s="1088" t="s">
        <v>722</v>
      </c>
      <c r="C923" s="1089" t="s">
        <v>1544</v>
      </c>
      <c r="D923" s="1090" t="s">
        <v>539</v>
      </c>
      <c r="E923" s="1505" t="s">
        <v>1655</v>
      </c>
      <c r="F923" s="1506"/>
      <c r="G923" s="1617" t="s">
        <v>2140</v>
      </c>
      <c r="H923" s="1626"/>
      <c r="U923" s="1027"/>
      <c r="V923" s="1027"/>
      <c r="W923" s="1027"/>
    </row>
    <row r="924" spans="2:23" ht="12.75" customHeight="1" x14ac:dyDescent="0.2">
      <c r="B924" s="1088" t="s">
        <v>722</v>
      </c>
      <c r="C924" s="1089" t="s">
        <v>1544</v>
      </c>
      <c r="D924" s="1090" t="s">
        <v>538</v>
      </c>
      <c r="E924" s="1505" t="s">
        <v>536</v>
      </c>
      <c r="F924" s="1494">
        <v>300</v>
      </c>
      <c r="G924" s="1617" t="s">
        <v>2140</v>
      </c>
      <c r="H924" s="1626"/>
      <c r="U924" s="1027"/>
      <c r="V924" s="1027"/>
      <c r="W924" s="1027"/>
    </row>
    <row r="925" spans="2:23" ht="12.75" customHeight="1" x14ac:dyDescent="0.2">
      <c r="B925" s="1088" t="s">
        <v>722</v>
      </c>
      <c r="C925" s="1089" t="s">
        <v>1544</v>
      </c>
      <c r="D925" s="1090" t="s">
        <v>538</v>
      </c>
      <c r="E925" s="1505" t="s">
        <v>1654</v>
      </c>
      <c r="F925" s="1494">
        <v>300</v>
      </c>
      <c r="G925" s="1617" t="s">
        <v>2140</v>
      </c>
      <c r="H925" s="1626"/>
      <c r="U925" s="1027"/>
      <c r="V925" s="1027"/>
      <c r="W925" s="1027"/>
    </row>
    <row r="926" spans="2:23" ht="12.75" customHeight="1" x14ac:dyDescent="0.2">
      <c r="B926" s="1088" t="s">
        <v>722</v>
      </c>
      <c r="C926" s="1089" t="s">
        <v>1544</v>
      </c>
      <c r="D926" s="1090" t="s">
        <v>538</v>
      </c>
      <c r="E926" s="1505" t="s">
        <v>1655</v>
      </c>
      <c r="F926" s="1494">
        <v>300</v>
      </c>
      <c r="G926" s="1617" t="s">
        <v>2140</v>
      </c>
      <c r="H926" s="1626"/>
      <c r="U926" s="1027"/>
      <c r="V926" s="1027"/>
      <c r="W926" s="1027"/>
    </row>
    <row r="927" spans="2:23" ht="12.75" customHeight="1" x14ac:dyDescent="0.2">
      <c r="B927" s="1088" t="s">
        <v>722</v>
      </c>
      <c r="C927" s="1089" t="s">
        <v>1544</v>
      </c>
      <c r="D927" s="1090" t="s">
        <v>538</v>
      </c>
      <c r="E927" s="1505" t="s">
        <v>536</v>
      </c>
      <c r="F927" s="1494">
        <v>500</v>
      </c>
      <c r="G927" s="1617" t="s">
        <v>2140</v>
      </c>
      <c r="H927" s="1626"/>
      <c r="U927" s="1027"/>
      <c r="V927" s="1027"/>
      <c r="W927" s="1027"/>
    </row>
    <row r="928" spans="2:23" ht="12.75" customHeight="1" x14ac:dyDescent="0.2">
      <c r="B928" s="1088" t="s">
        <v>722</v>
      </c>
      <c r="C928" s="1089" t="s">
        <v>1544</v>
      </c>
      <c r="D928" s="1090" t="s">
        <v>538</v>
      </c>
      <c r="E928" s="1505" t="s">
        <v>1654</v>
      </c>
      <c r="F928" s="1494">
        <v>500</v>
      </c>
      <c r="G928" s="1617" t="s">
        <v>2140</v>
      </c>
      <c r="H928" s="1626"/>
      <c r="U928" s="1027"/>
      <c r="V928" s="1027"/>
      <c r="W928" s="1027"/>
    </row>
    <row r="929" spans="2:23" ht="12.75" customHeight="1" x14ac:dyDescent="0.2">
      <c r="B929" s="1088" t="s">
        <v>722</v>
      </c>
      <c r="C929" s="1089" t="s">
        <v>1544</v>
      </c>
      <c r="D929" s="1090" t="s">
        <v>538</v>
      </c>
      <c r="E929" s="1505" t="s">
        <v>1655</v>
      </c>
      <c r="F929" s="1494">
        <v>500</v>
      </c>
      <c r="G929" s="1617" t="s">
        <v>2140</v>
      </c>
      <c r="H929" s="1626"/>
      <c r="U929" s="1027"/>
      <c r="V929" s="1027"/>
      <c r="W929" s="1027"/>
    </row>
    <row r="930" spans="2:23" ht="12.75" customHeight="1" x14ac:dyDescent="0.2">
      <c r="B930" s="1088" t="s">
        <v>722</v>
      </c>
      <c r="C930" s="1089" t="s">
        <v>1544</v>
      </c>
      <c r="D930" s="1090" t="s">
        <v>538</v>
      </c>
      <c r="E930" s="1505" t="s">
        <v>536</v>
      </c>
      <c r="F930" s="1494">
        <v>1000</v>
      </c>
      <c r="G930" s="1617" t="s">
        <v>2140</v>
      </c>
      <c r="H930" s="1626"/>
      <c r="U930" s="1027"/>
      <c r="V930" s="1027"/>
      <c r="W930" s="1027"/>
    </row>
    <row r="931" spans="2:23" ht="12.75" customHeight="1" x14ac:dyDescent="0.2">
      <c r="B931" s="1088" t="s">
        <v>722</v>
      </c>
      <c r="C931" s="1089" t="s">
        <v>1544</v>
      </c>
      <c r="D931" s="1090" t="s">
        <v>538</v>
      </c>
      <c r="E931" s="1505" t="s">
        <v>1654</v>
      </c>
      <c r="F931" s="1494">
        <v>1000</v>
      </c>
      <c r="G931" s="1617" t="s">
        <v>2140</v>
      </c>
      <c r="H931" s="1626"/>
      <c r="U931" s="1027"/>
      <c r="V931" s="1027"/>
      <c r="W931" s="1027"/>
    </row>
    <row r="932" spans="2:23" ht="12.75" customHeight="1" x14ac:dyDescent="0.2">
      <c r="B932" s="1088" t="s">
        <v>722</v>
      </c>
      <c r="C932" s="1089" t="s">
        <v>1544</v>
      </c>
      <c r="D932" s="1090" t="s">
        <v>538</v>
      </c>
      <c r="E932" s="1505" t="s">
        <v>1655</v>
      </c>
      <c r="F932" s="1494">
        <v>1000</v>
      </c>
      <c r="G932" s="1617" t="s">
        <v>2140</v>
      </c>
      <c r="H932" s="1626"/>
      <c r="U932" s="1027"/>
      <c r="V932" s="1027"/>
      <c r="W932" s="1027"/>
    </row>
    <row r="933" spans="2:23" ht="12.75" customHeight="1" x14ac:dyDescent="0.2">
      <c r="B933" s="1088" t="s">
        <v>722</v>
      </c>
      <c r="C933" s="1089" t="s">
        <v>1544</v>
      </c>
      <c r="D933" s="1090" t="s">
        <v>538</v>
      </c>
      <c r="E933" s="1505" t="s">
        <v>536</v>
      </c>
      <c r="F933" s="1494">
        <v>1500</v>
      </c>
      <c r="G933" s="1617" t="s">
        <v>2140</v>
      </c>
      <c r="H933" s="1626"/>
      <c r="U933" s="1027"/>
      <c r="V933" s="1027"/>
      <c r="W933" s="1027"/>
    </row>
    <row r="934" spans="2:23" ht="12.75" customHeight="1" x14ac:dyDescent="0.2">
      <c r="B934" s="1088" t="s">
        <v>722</v>
      </c>
      <c r="C934" s="1089" t="s">
        <v>1544</v>
      </c>
      <c r="D934" s="1090" t="s">
        <v>538</v>
      </c>
      <c r="E934" s="1505" t="s">
        <v>1654</v>
      </c>
      <c r="F934" s="1494">
        <v>1500</v>
      </c>
      <c r="G934" s="1617" t="s">
        <v>2140</v>
      </c>
      <c r="H934" s="1626"/>
      <c r="U934" s="1027"/>
      <c r="V934" s="1027"/>
      <c r="W934" s="1027"/>
    </row>
    <row r="935" spans="2:23" ht="12.75" customHeight="1" x14ac:dyDescent="0.2">
      <c r="B935" s="1088" t="s">
        <v>722</v>
      </c>
      <c r="C935" s="1089" t="s">
        <v>1544</v>
      </c>
      <c r="D935" s="1090" t="s">
        <v>538</v>
      </c>
      <c r="E935" s="1505" t="s">
        <v>1655</v>
      </c>
      <c r="F935" s="1494">
        <v>1500</v>
      </c>
      <c r="G935" s="1617" t="s">
        <v>2140</v>
      </c>
      <c r="H935" s="1626"/>
      <c r="U935" s="1027"/>
      <c r="V935" s="1027"/>
      <c r="W935" s="1027"/>
    </row>
    <row r="936" spans="2:23" ht="12.75" customHeight="1" x14ac:dyDescent="0.2">
      <c r="B936" s="1088" t="s">
        <v>722</v>
      </c>
      <c r="C936" s="1089" t="s">
        <v>1544</v>
      </c>
      <c r="D936" s="1090" t="s">
        <v>538</v>
      </c>
      <c r="E936" s="1505" t="s">
        <v>536</v>
      </c>
      <c r="F936" s="1494">
        <v>2000</v>
      </c>
      <c r="G936" s="1617" t="s">
        <v>2140</v>
      </c>
      <c r="H936" s="1626"/>
      <c r="U936" s="1027"/>
      <c r="V936" s="1027"/>
      <c r="W936" s="1027"/>
    </row>
    <row r="937" spans="2:23" ht="12.75" customHeight="1" x14ac:dyDescent="0.2">
      <c r="B937" s="1088" t="s">
        <v>722</v>
      </c>
      <c r="C937" s="1089" t="s">
        <v>1544</v>
      </c>
      <c r="D937" s="1090" t="s">
        <v>538</v>
      </c>
      <c r="E937" s="1505" t="s">
        <v>1654</v>
      </c>
      <c r="F937" s="1494">
        <v>2000</v>
      </c>
      <c r="G937" s="1617" t="s">
        <v>2140</v>
      </c>
      <c r="H937" s="1626"/>
      <c r="U937" s="1027"/>
      <c r="V937" s="1027"/>
      <c r="W937" s="1027"/>
    </row>
    <row r="938" spans="2:23" ht="12.75" customHeight="1" x14ac:dyDescent="0.2">
      <c r="B938" s="1088" t="s">
        <v>722</v>
      </c>
      <c r="C938" s="1089" t="s">
        <v>1544</v>
      </c>
      <c r="D938" s="1090" t="s">
        <v>538</v>
      </c>
      <c r="E938" s="1505" t="s">
        <v>1655</v>
      </c>
      <c r="F938" s="1494">
        <v>2000</v>
      </c>
      <c r="G938" s="1617" t="s">
        <v>2140</v>
      </c>
      <c r="H938" s="1626"/>
      <c r="U938" s="1027"/>
      <c r="V938" s="1027"/>
      <c r="W938" s="1027"/>
    </row>
    <row r="939" spans="2:23" ht="12.75" customHeight="1" x14ac:dyDescent="0.2">
      <c r="B939" s="1088" t="s">
        <v>722</v>
      </c>
      <c r="C939" s="1089" t="s">
        <v>1544</v>
      </c>
      <c r="D939" s="1090" t="s">
        <v>538</v>
      </c>
      <c r="E939" s="1505" t="s">
        <v>536</v>
      </c>
      <c r="F939" s="1494">
        <v>2500</v>
      </c>
      <c r="G939" s="1617" t="s">
        <v>2140</v>
      </c>
      <c r="H939" s="1626"/>
      <c r="U939" s="1027"/>
      <c r="V939" s="1027"/>
      <c r="W939" s="1027"/>
    </row>
    <row r="940" spans="2:23" ht="12.75" customHeight="1" x14ac:dyDescent="0.2">
      <c r="B940" s="1088" t="s">
        <v>722</v>
      </c>
      <c r="C940" s="1089" t="s">
        <v>1544</v>
      </c>
      <c r="D940" s="1090" t="s">
        <v>538</v>
      </c>
      <c r="E940" s="1505" t="s">
        <v>1654</v>
      </c>
      <c r="F940" s="1494">
        <v>2500</v>
      </c>
      <c r="G940" s="1617" t="s">
        <v>2140</v>
      </c>
      <c r="H940" s="1626"/>
      <c r="U940" s="1027"/>
      <c r="V940" s="1027"/>
      <c r="W940" s="1027"/>
    </row>
    <row r="941" spans="2:23" ht="12.75" customHeight="1" x14ac:dyDescent="0.2">
      <c r="B941" s="1088" t="s">
        <v>722</v>
      </c>
      <c r="C941" s="1089" t="s">
        <v>1544</v>
      </c>
      <c r="D941" s="1090" t="s">
        <v>538</v>
      </c>
      <c r="E941" s="1505" t="s">
        <v>1655</v>
      </c>
      <c r="F941" s="1494">
        <v>2500</v>
      </c>
      <c r="G941" s="1617" t="s">
        <v>2140</v>
      </c>
      <c r="H941" s="1626"/>
      <c r="U941" s="1027"/>
      <c r="V941" s="1027"/>
      <c r="W941" s="1027"/>
    </row>
    <row r="942" spans="2:23" ht="12.75" customHeight="1" x14ac:dyDescent="0.2">
      <c r="B942" s="1083" t="s">
        <v>722</v>
      </c>
      <c r="C942" s="1084" t="s">
        <v>1544</v>
      </c>
      <c r="D942" s="1091" t="s">
        <v>539</v>
      </c>
      <c r="E942" s="1488" t="s">
        <v>533</v>
      </c>
      <c r="F942" s="1494"/>
      <c r="G942" s="1617" t="s">
        <v>2140</v>
      </c>
      <c r="H942" s="1626"/>
      <c r="U942" s="1027"/>
      <c r="V942" s="1027"/>
      <c r="W942" s="1027"/>
    </row>
    <row r="943" spans="2:23" ht="12.75" customHeight="1" x14ac:dyDescent="0.2">
      <c r="B943" s="1083" t="s">
        <v>722</v>
      </c>
      <c r="C943" s="1084" t="s">
        <v>1544</v>
      </c>
      <c r="D943" s="1091" t="s">
        <v>539</v>
      </c>
      <c r="E943" s="1488" t="s">
        <v>532</v>
      </c>
      <c r="F943" s="1494"/>
      <c r="G943" s="1617" t="s">
        <v>2140</v>
      </c>
      <c r="H943" s="1626"/>
      <c r="U943" s="1027"/>
      <c r="V943" s="1027"/>
      <c r="W943" s="1027"/>
    </row>
    <row r="944" spans="2:23" ht="12.75" customHeight="1" x14ac:dyDescent="0.2">
      <c r="B944" s="1083" t="s">
        <v>722</v>
      </c>
      <c r="C944" s="1084" t="s">
        <v>1544</v>
      </c>
      <c r="D944" s="1091" t="s">
        <v>539</v>
      </c>
      <c r="E944" s="1488" t="s">
        <v>531</v>
      </c>
      <c r="F944" s="1494"/>
      <c r="G944" s="1617" t="s">
        <v>2140</v>
      </c>
      <c r="H944" s="1626"/>
      <c r="U944" s="1027"/>
      <c r="V944" s="1027"/>
      <c r="W944" s="1027"/>
    </row>
    <row r="945" spans="2:23" ht="12.75" customHeight="1" x14ac:dyDescent="0.2">
      <c r="B945" s="1083" t="s">
        <v>722</v>
      </c>
      <c r="C945" s="1084" t="s">
        <v>1544</v>
      </c>
      <c r="D945" s="1091" t="s">
        <v>538</v>
      </c>
      <c r="E945" s="1488" t="s">
        <v>533</v>
      </c>
      <c r="F945" s="1494">
        <v>300</v>
      </c>
      <c r="G945" s="1617" t="s">
        <v>2140</v>
      </c>
      <c r="H945" s="1626"/>
      <c r="U945" s="1027"/>
      <c r="V945" s="1027"/>
      <c r="W945" s="1027"/>
    </row>
    <row r="946" spans="2:23" ht="12.75" customHeight="1" x14ac:dyDescent="0.2">
      <c r="B946" s="1083" t="s">
        <v>722</v>
      </c>
      <c r="C946" s="1084" t="s">
        <v>1544</v>
      </c>
      <c r="D946" s="1091" t="s">
        <v>538</v>
      </c>
      <c r="E946" s="1488" t="s">
        <v>532</v>
      </c>
      <c r="F946" s="1494">
        <v>300</v>
      </c>
      <c r="G946" s="1617" t="s">
        <v>2140</v>
      </c>
      <c r="H946" s="1626"/>
      <c r="U946" s="1027"/>
      <c r="V946" s="1027"/>
      <c r="W946" s="1027"/>
    </row>
    <row r="947" spans="2:23" ht="12.75" customHeight="1" x14ac:dyDescent="0.2">
      <c r="B947" s="1083" t="s">
        <v>722</v>
      </c>
      <c r="C947" s="1084" t="s">
        <v>1544</v>
      </c>
      <c r="D947" s="1091" t="s">
        <v>538</v>
      </c>
      <c r="E947" s="1488" t="s">
        <v>531</v>
      </c>
      <c r="F947" s="1494">
        <v>300</v>
      </c>
      <c r="G947" s="1617" t="s">
        <v>2140</v>
      </c>
      <c r="H947" s="1626"/>
      <c r="U947" s="1027"/>
      <c r="V947" s="1027"/>
      <c r="W947" s="1027"/>
    </row>
    <row r="948" spans="2:23" ht="12.75" customHeight="1" x14ac:dyDescent="0.2">
      <c r="B948" s="1083" t="s">
        <v>722</v>
      </c>
      <c r="C948" s="1084" t="s">
        <v>1544</v>
      </c>
      <c r="D948" s="1091" t="s">
        <v>538</v>
      </c>
      <c r="E948" s="1488" t="s">
        <v>533</v>
      </c>
      <c r="F948" s="1494">
        <v>500</v>
      </c>
      <c r="G948" s="1617" t="s">
        <v>2140</v>
      </c>
      <c r="H948" s="1626"/>
      <c r="U948" s="1027"/>
      <c r="V948" s="1027"/>
      <c r="W948" s="1027"/>
    </row>
    <row r="949" spans="2:23" ht="12.75" customHeight="1" x14ac:dyDescent="0.2">
      <c r="B949" s="1083" t="s">
        <v>722</v>
      </c>
      <c r="C949" s="1084" t="s">
        <v>1544</v>
      </c>
      <c r="D949" s="1091" t="s">
        <v>538</v>
      </c>
      <c r="E949" s="1488" t="s">
        <v>532</v>
      </c>
      <c r="F949" s="1494">
        <v>500</v>
      </c>
      <c r="G949" s="1617" t="s">
        <v>2140</v>
      </c>
      <c r="H949" s="1626"/>
      <c r="U949" s="1027"/>
      <c r="V949" s="1027"/>
      <c r="W949" s="1027"/>
    </row>
    <row r="950" spans="2:23" ht="12.75" customHeight="1" x14ac:dyDescent="0.2">
      <c r="B950" s="1083" t="s">
        <v>722</v>
      </c>
      <c r="C950" s="1084" t="s">
        <v>1544</v>
      </c>
      <c r="D950" s="1091" t="s">
        <v>538</v>
      </c>
      <c r="E950" s="1488" t="s">
        <v>531</v>
      </c>
      <c r="F950" s="1494">
        <v>500</v>
      </c>
      <c r="G950" s="1617" t="s">
        <v>2140</v>
      </c>
      <c r="H950" s="1626"/>
      <c r="U950" s="1027"/>
      <c r="V950" s="1027"/>
      <c r="W950" s="1027"/>
    </row>
    <row r="951" spans="2:23" ht="12.75" customHeight="1" x14ac:dyDescent="0.2">
      <c r="B951" s="1083" t="s">
        <v>722</v>
      </c>
      <c r="C951" s="1084" t="s">
        <v>1544</v>
      </c>
      <c r="D951" s="1091" t="s">
        <v>538</v>
      </c>
      <c r="E951" s="1488" t="s">
        <v>533</v>
      </c>
      <c r="F951" s="1494">
        <v>1000</v>
      </c>
      <c r="G951" s="1617" t="s">
        <v>2140</v>
      </c>
      <c r="H951" s="1626"/>
      <c r="U951" s="1027"/>
      <c r="V951" s="1027"/>
      <c r="W951" s="1027"/>
    </row>
    <row r="952" spans="2:23" ht="12.75" customHeight="1" x14ac:dyDescent="0.2">
      <c r="B952" s="1083" t="s">
        <v>722</v>
      </c>
      <c r="C952" s="1084" t="s">
        <v>1544</v>
      </c>
      <c r="D952" s="1091" t="s">
        <v>538</v>
      </c>
      <c r="E952" s="1488" t="s">
        <v>532</v>
      </c>
      <c r="F952" s="1494">
        <v>1000</v>
      </c>
      <c r="G952" s="1617" t="s">
        <v>2140</v>
      </c>
      <c r="H952" s="1626"/>
      <c r="U952" s="1027"/>
      <c r="V952" s="1027"/>
      <c r="W952" s="1027"/>
    </row>
    <row r="953" spans="2:23" ht="12.75" customHeight="1" x14ac:dyDescent="0.2">
      <c r="B953" s="1083" t="s">
        <v>722</v>
      </c>
      <c r="C953" s="1084" t="s">
        <v>1544</v>
      </c>
      <c r="D953" s="1091" t="s">
        <v>538</v>
      </c>
      <c r="E953" s="1488" t="s">
        <v>531</v>
      </c>
      <c r="F953" s="1494">
        <v>1000</v>
      </c>
      <c r="G953" s="1617" t="s">
        <v>2140</v>
      </c>
      <c r="H953" s="1626"/>
      <c r="U953" s="1027"/>
      <c r="V953" s="1027"/>
      <c r="W953" s="1027"/>
    </row>
    <row r="954" spans="2:23" ht="12.75" customHeight="1" x14ac:dyDescent="0.2">
      <c r="B954" s="1083" t="s">
        <v>722</v>
      </c>
      <c r="C954" s="1084" t="s">
        <v>1544</v>
      </c>
      <c r="D954" s="1091" t="s">
        <v>538</v>
      </c>
      <c r="E954" s="1488" t="s">
        <v>533</v>
      </c>
      <c r="F954" s="1494">
        <v>1500</v>
      </c>
      <c r="G954" s="1617" t="s">
        <v>2140</v>
      </c>
      <c r="H954" s="1626"/>
      <c r="U954" s="1027"/>
      <c r="V954" s="1027"/>
      <c r="W954" s="1027"/>
    </row>
    <row r="955" spans="2:23" ht="12.75" customHeight="1" x14ac:dyDescent="0.2">
      <c r="B955" s="1083" t="s">
        <v>722</v>
      </c>
      <c r="C955" s="1084" t="s">
        <v>1544</v>
      </c>
      <c r="D955" s="1091" t="s">
        <v>538</v>
      </c>
      <c r="E955" s="1488" t="s">
        <v>532</v>
      </c>
      <c r="F955" s="1494">
        <v>1500</v>
      </c>
      <c r="G955" s="1617" t="s">
        <v>2140</v>
      </c>
      <c r="H955" s="1626"/>
      <c r="U955" s="1027"/>
      <c r="V955" s="1027"/>
      <c r="W955" s="1027"/>
    </row>
    <row r="956" spans="2:23" ht="12.75" customHeight="1" x14ac:dyDescent="0.2">
      <c r="B956" s="1083" t="s">
        <v>722</v>
      </c>
      <c r="C956" s="1084" t="s">
        <v>1544</v>
      </c>
      <c r="D956" s="1091" t="s">
        <v>538</v>
      </c>
      <c r="E956" s="1488" t="s">
        <v>531</v>
      </c>
      <c r="F956" s="1494">
        <v>1500</v>
      </c>
      <c r="G956" s="1617" t="s">
        <v>2140</v>
      </c>
      <c r="H956" s="1626"/>
      <c r="U956" s="1027"/>
      <c r="V956" s="1027"/>
      <c r="W956" s="1027"/>
    </row>
    <row r="957" spans="2:23" ht="12.75" customHeight="1" x14ac:dyDescent="0.2">
      <c r="B957" s="1083" t="s">
        <v>722</v>
      </c>
      <c r="C957" s="1084" t="s">
        <v>1544</v>
      </c>
      <c r="D957" s="1091" t="s">
        <v>538</v>
      </c>
      <c r="E957" s="1488" t="s">
        <v>533</v>
      </c>
      <c r="F957" s="1494">
        <v>2000</v>
      </c>
      <c r="G957" s="1617" t="s">
        <v>2140</v>
      </c>
      <c r="H957" s="1626"/>
      <c r="U957" s="1027"/>
      <c r="V957" s="1027"/>
      <c r="W957" s="1027"/>
    </row>
    <row r="958" spans="2:23" ht="12.75" customHeight="1" x14ac:dyDescent="0.2">
      <c r="B958" s="1083" t="s">
        <v>722</v>
      </c>
      <c r="C958" s="1084" t="s">
        <v>1544</v>
      </c>
      <c r="D958" s="1091" t="s">
        <v>538</v>
      </c>
      <c r="E958" s="1488" t="s">
        <v>532</v>
      </c>
      <c r="F958" s="1494">
        <v>2000</v>
      </c>
      <c r="G958" s="1617" t="s">
        <v>2140</v>
      </c>
      <c r="H958" s="1626"/>
      <c r="U958" s="1027"/>
      <c r="V958" s="1027"/>
      <c r="W958" s="1027"/>
    </row>
    <row r="959" spans="2:23" ht="12.75" customHeight="1" x14ac:dyDescent="0.2">
      <c r="B959" s="1083" t="s">
        <v>722</v>
      </c>
      <c r="C959" s="1084" t="s">
        <v>1544</v>
      </c>
      <c r="D959" s="1091" t="s">
        <v>538</v>
      </c>
      <c r="E959" s="1488" t="s">
        <v>531</v>
      </c>
      <c r="F959" s="1494">
        <v>2000</v>
      </c>
      <c r="G959" s="1617" t="s">
        <v>2140</v>
      </c>
      <c r="H959" s="1626"/>
      <c r="U959" s="1027"/>
      <c r="V959" s="1027"/>
      <c r="W959" s="1027"/>
    </row>
    <row r="960" spans="2:23" ht="12.75" customHeight="1" x14ac:dyDescent="0.2">
      <c r="B960" s="1083" t="s">
        <v>722</v>
      </c>
      <c r="C960" s="1084" t="s">
        <v>1544</v>
      </c>
      <c r="D960" s="1091" t="s">
        <v>538</v>
      </c>
      <c r="E960" s="1488" t="s">
        <v>533</v>
      </c>
      <c r="F960" s="1494">
        <v>2500</v>
      </c>
      <c r="G960" s="1617" t="s">
        <v>2140</v>
      </c>
      <c r="H960" s="1626"/>
      <c r="U960" s="1027"/>
      <c r="V960" s="1027"/>
      <c r="W960" s="1027"/>
    </row>
    <row r="961" spans="1:23" ht="12.75" customHeight="1" x14ac:dyDescent="0.2">
      <c r="B961" s="1083" t="s">
        <v>722</v>
      </c>
      <c r="C961" s="1084" t="s">
        <v>1544</v>
      </c>
      <c r="D961" s="1091" t="s">
        <v>538</v>
      </c>
      <c r="E961" s="1488" t="s">
        <v>532</v>
      </c>
      <c r="F961" s="1494">
        <v>2500</v>
      </c>
      <c r="G961" s="1617" t="s">
        <v>2140</v>
      </c>
      <c r="H961" s="1626"/>
      <c r="U961" s="1027"/>
      <c r="V961" s="1027"/>
      <c r="W961" s="1027"/>
    </row>
    <row r="962" spans="1:23" ht="12.75" customHeight="1" thickBot="1" x14ac:dyDescent="0.25">
      <c r="B962" s="1085" t="s">
        <v>722</v>
      </c>
      <c r="C962" s="1086" t="s">
        <v>1544</v>
      </c>
      <c r="D962" s="1092" t="s">
        <v>538</v>
      </c>
      <c r="E962" s="1499" t="s">
        <v>531</v>
      </c>
      <c r="F962" s="1500">
        <v>2500</v>
      </c>
      <c r="G962" s="1617" t="s">
        <v>2140</v>
      </c>
      <c r="H962" s="1626"/>
      <c r="U962" s="1027"/>
      <c r="V962" s="1027"/>
      <c r="W962" s="1027"/>
    </row>
    <row r="963" spans="1:23" ht="12.75" customHeight="1" thickBot="1" x14ac:dyDescent="0.25">
      <c r="A963" s="1074"/>
      <c r="B963" s="1576"/>
      <c r="C963" s="1075"/>
      <c r="D963" s="1075"/>
      <c r="E963" s="1483"/>
      <c r="F963" s="1484"/>
      <c r="G963" s="1484"/>
      <c r="H963" s="1035"/>
      <c r="U963" s="1027"/>
      <c r="V963" s="1027"/>
      <c r="W963" s="1027"/>
    </row>
    <row r="964" spans="1:23" ht="12.75" customHeight="1" x14ac:dyDescent="0.2">
      <c r="B964" s="1080" t="s">
        <v>723</v>
      </c>
      <c r="C964" s="1081" t="s">
        <v>1545</v>
      </c>
      <c r="D964" s="1082" t="s">
        <v>2135</v>
      </c>
      <c r="E964" s="1486" t="s">
        <v>782</v>
      </c>
      <c r="F964" s="1492"/>
      <c r="G964" s="1617" t="s">
        <v>2140</v>
      </c>
      <c r="H964" s="1626"/>
      <c r="U964" s="1027"/>
      <c r="V964" s="1027"/>
      <c r="W964" s="1027"/>
    </row>
    <row r="965" spans="1:23" ht="12.75" customHeight="1" x14ac:dyDescent="0.2">
      <c r="B965" s="1093" t="s">
        <v>723</v>
      </c>
      <c r="C965" s="1094" t="s">
        <v>1545</v>
      </c>
      <c r="D965" s="1095" t="s">
        <v>2135</v>
      </c>
      <c r="E965" s="1508"/>
      <c r="F965" s="1509"/>
      <c r="G965" s="1617" t="s">
        <v>2140</v>
      </c>
      <c r="H965" s="1626"/>
      <c r="U965" s="1027"/>
      <c r="V965" s="1027"/>
      <c r="W965" s="1027"/>
    </row>
    <row r="966" spans="1:23" ht="12.75" customHeight="1" x14ac:dyDescent="0.2">
      <c r="B966" s="1083" t="s">
        <v>723</v>
      </c>
      <c r="C966" s="1084" t="s">
        <v>1545</v>
      </c>
      <c r="D966" s="1091" t="s">
        <v>1562</v>
      </c>
      <c r="E966" s="1488"/>
      <c r="F966" s="1494"/>
      <c r="G966" s="1617" t="s">
        <v>2140</v>
      </c>
      <c r="H966" s="1626"/>
      <c r="U966" s="1027"/>
      <c r="V966" s="1027"/>
      <c r="W966" s="1027"/>
    </row>
    <row r="967" spans="1:23" ht="12.75" customHeight="1" thickBot="1" x14ac:dyDescent="0.25">
      <c r="B967" s="1096" t="s">
        <v>723</v>
      </c>
      <c r="C967" s="1097" t="s">
        <v>1545</v>
      </c>
      <c r="D967" s="1098" t="s">
        <v>1562</v>
      </c>
      <c r="E967" s="1499"/>
      <c r="F967" s="1500"/>
      <c r="G967" s="1617" t="s">
        <v>2140</v>
      </c>
      <c r="H967" s="1626"/>
      <c r="U967" s="1027"/>
      <c r="V967" s="1027"/>
      <c r="W967" s="1027"/>
    </row>
    <row r="968" spans="1:23" ht="12.75" customHeight="1" thickBot="1" x14ac:dyDescent="0.25">
      <c r="A968" s="1074"/>
      <c r="B968" s="1576"/>
      <c r="C968" s="1075"/>
      <c r="D968" s="1075"/>
      <c r="E968" s="1483"/>
      <c r="F968" s="1484"/>
      <c r="G968" s="1484"/>
      <c r="H968" s="1035"/>
      <c r="U968" s="1027"/>
      <c r="V968" s="1027"/>
      <c r="W968" s="1027"/>
    </row>
    <row r="969" spans="1:23" ht="12.75" customHeight="1" thickBot="1" x14ac:dyDescent="0.25">
      <c r="B969" s="1099" t="s">
        <v>724</v>
      </c>
      <c r="C969" s="1100" t="s">
        <v>1548</v>
      </c>
      <c r="D969" s="1101" t="s">
        <v>719</v>
      </c>
      <c r="E969" s="1510"/>
      <c r="F969" s="1511"/>
      <c r="G969" s="1617" t="s">
        <v>2140</v>
      </c>
      <c r="H969" s="1626"/>
      <c r="U969" s="1027"/>
      <c r="V969" s="1027"/>
      <c r="W969" s="1027"/>
    </row>
    <row r="970" spans="1:23" ht="12.75" customHeight="1" thickBot="1" x14ac:dyDescent="0.25">
      <c r="B970" s="1087"/>
      <c r="C970" s="1087"/>
      <c r="D970" s="1075"/>
      <c r="E970" s="1483"/>
      <c r="F970" s="1484"/>
      <c r="G970" s="1484"/>
      <c r="H970" s="1035"/>
      <c r="U970" s="1027"/>
      <c r="V970" s="1027"/>
      <c r="W970" s="1027"/>
    </row>
    <row r="971" spans="1:23" ht="12.75" customHeight="1" x14ac:dyDescent="0.2">
      <c r="B971" s="1080" t="s">
        <v>725</v>
      </c>
      <c r="C971" s="1081" t="s">
        <v>1549</v>
      </c>
      <c r="D971" s="1082" t="s">
        <v>711</v>
      </c>
      <c r="E971" s="1486"/>
      <c r="F971" s="1492"/>
      <c r="G971" s="1617" t="s">
        <v>2140</v>
      </c>
      <c r="H971" s="1626"/>
      <c r="U971" s="1027"/>
      <c r="V971" s="1027"/>
      <c r="W971" s="1027"/>
    </row>
    <row r="972" spans="1:23" ht="12.75" customHeight="1" thickBot="1" x14ac:dyDescent="0.25">
      <c r="B972" s="1085" t="s">
        <v>725</v>
      </c>
      <c r="C972" s="1086" t="s">
        <v>1549</v>
      </c>
      <c r="D972" s="1092" t="s">
        <v>712</v>
      </c>
      <c r="E972" s="1499"/>
      <c r="F972" s="1500"/>
      <c r="G972" s="1617" t="s">
        <v>2140</v>
      </c>
      <c r="H972" s="1626"/>
      <c r="U972" s="1027"/>
      <c r="V972" s="1027"/>
      <c r="W972" s="1027"/>
    </row>
    <row r="973" spans="1:23" ht="12.75" customHeight="1" thickBot="1" x14ac:dyDescent="0.25">
      <c r="B973" s="1087"/>
      <c r="C973" s="1087"/>
      <c r="D973" s="1075"/>
      <c r="E973" s="1483"/>
      <c r="F973" s="1484"/>
      <c r="G973" s="1484"/>
      <c r="H973" s="1035"/>
      <c r="U973" s="1027"/>
      <c r="V973" s="1027"/>
      <c r="W973" s="1027"/>
    </row>
    <row r="974" spans="1:23" ht="12.75" customHeight="1" x14ac:dyDescent="0.2">
      <c r="B974" s="1080" t="s">
        <v>726</v>
      </c>
      <c r="C974" s="1081" t="s">
        <v>1550</v>
      </c>
      <c r="D974" s="1082" t="s">
        <v>518</v>
      </c>
      <c r="E974" s="1486" t="s">
        <v>525</v>
      </c>
      <c r="F974" s="1492"/>
      <c r="G974" s="1617" t="s">
        <v>2140</v>
      </c>
      <c r="H974" s="1626"/>
      <c r="U974" s="1027"/>
      <c r="V974" s="1027"/>
      <c r="W974" s="1027"/>
    </row>
    <row r="975" spans="1:23" ht="12.75" customHeight="1" x14ac:dyDescent="0.2">
      <c r="B975" s="1083" t="s">
        <v>726</v>
      </c>
      <c r="C975" s="1084" t="s">
        <v>1550</v>
      </c>
      <c r="D975" s="1091" t="s">
        <v>518</v>
      </c>
      <c r="E975" s="1488" t="s">
        <v>523</v>
      </c>
      <c r="F975" s="1494"/>
      <c r="G975" s="1617" t="s">
        <v>2140</v>
      </c>
      <c r="H975" s="1626"/>
      <c r="U975" s="1027"/>
      <c r="V975" s="1027"/>
      <c r="W975" s="1027"/>
    </row>
    <row r="976" spans="1:23" ht="12.75" customHeight="1" x14ac:dyDescent="0.2">
      <c r="B976" s="1083" t="s">
        <v>726</v>
      </c>
      <c r="C976" s="1084" t="s">
        <v>1550</v>
      </c>
      <c r="D976" s="1091" t="s">
        <v>518</v>
      </c>
      <c r="E976" s="1488" t="s">
        <v>522</v>
      </c>
      <c r="F976" s="1494"/>
      <c r="G976" s="1617" t="s">
        <v>2140</v>
      </c>
      <c r="H976" s="1626"/>
      <c r="U976" s="1027"/>
      <c r="V976" s="1027"/>
      <c r="W976" s="1027"/>
    </row>
    <row r="977" spans="2:23" ht="12.75" customHeight="1" x14ac:dyDescent="0.2">
      <c r="B977" s="1083" t="s">
        <v>726</v>
      </c>
      <c r="C977" s="1084" t="s">
        <v>1550</v>
      </c>
      <c r="D977" s="1091" t="s">
        <v>518</v>
      </c>
      <c r="E977" s="1488" t="s">
        <v>521</v>
      </c>
      <c r="F977" s="1494"/>
      <c r="G977" s="1617" t="s">
        <v>2140</v>
      </c>
      <c r="H977" s="1626"/>
      <c r="U977" s="1027"/>
      <c r="V977" s="1027"/>
      <c r="W977" s="1027"/>
    </row>
    <row r="978" spans="2:23" ht="12.75" customHeight="1" x14ac:dyDescent="0.2">
      <c r="B978" s="1083" t="s">
        <v>726</v>
      </c>
      <c r="C978" s="1084" t="s">
        <v>1550</v>
      </c>
      <c r="D978" s="1091" t="s">
        <v>518</v>
      </c>
      <c r="E978" s="1488" t="s">
        <v>520</v>
      </c>
      <c r="F978" s="1494"/>
      <c r="G978" s="1617" t="s">
        <v>2140</v>
      </c>
      <c r="H978" s="1626"/>
      <c r="U978" s="1027"/>
      <c r="V978" s="1027"/>
      <c r="W978" s="1027"/>
    </row>
    <row r="979" spans="2:23" ht="12.75" customHeight="1" x14ac:dyDescent="0.2">
      <c r="B979" s="1083" t="s">
        <v>726</v>
      </c>
      <c r="C979" s="1084" t="s">
        <v>1550</v>
      </c>
      <c r="D979" s="1091" t="s">
        <v>518</v>
      </c>
      <c r="E979" s="1488" t="s">
        <v>519</v>
      </c>
      <c r="F979" s="1494"/>
      <c r="G979" s="1617" t="s">
        <v>2140</v>
      </c>
      <c r="H979" s="1626"/>
      <c r="U979" s="1027"/>
      <c r="V979" s="1027"/>
      <c r="W979" s="1027"/>
    </row>
    <row r="980" spans="2:23" ht="12.75" customHeight="1" x14ac:dyDescent="0.2">
      <c r="B980" s="1083" t="s">
        <v>726</v>
      </c>
      <c r="C980" s="1084" t="s">
        <v>1550</v>
      </c>
      <c r="D980" s="1091" t="s">
        <v>517</v>
      </c>
      <c r="E980" s="1503" t="s">
        <v>525</v>
      </c>
      <c r="F980" s="1494"/>
      <c r="G980" s="1617" t="s">
        <v>2140</v>
      </c>
      <c r="H980" s="1626"/>
      <c r="U980" s="1027"/>
      <c r="V980" s="1027"/>
      <c r="W980" s="1027"/>
    </row>
    <row r="981" spans="2:23" ht="12.75" customHeight="1" x14ac:dyDescent="0.2">
      <c r="B981" s="1083" t="s">
        <v>726</v>
      </c>
      <c r="C981" s="1084" t="s">
        <v>1550</v>
      </c>
      <c r="D981" s="1091" t="s">
        <v>517</v>
      </c>
      <c r="E981" s="1488" t="s">
        <v>523</v>
      </c>
      <c r="F981" s="1494"/>
      <c r="G981" s="1617" t="s">
        <v>2140</v>
      </c>
      <c r="H981" s="1626"/>
      <c r="U981" s="1027"/>
      <c r="V981" s="1027"/>
      <c r="W981" s="1027"/>
    </row>
    <row r="982" spans="2:23" ht="12.75" customHeight="1" x14ac:dyDescent="0.2">
      <c r="B982" s="1083" t="s">
        <v>726</v>
      </c>
      <c r="C982" s="1084" t="s">
        <v>1550</v>
      </c>
      <c r="D982" s="1091" t="s">
        <v>517</v>
      </c>
      <c r="E982" s="1488" t="s">
        <v>522</v>
      </c>
      <c r="F982" s="1494"/>
      <c r="G982" s="1617" t="s">
        <v>2140</v>
      </c>
      <c r="H982" s="1626"/>
      <c r="U982" s="1027"/>
      <c r="V982" s="1027"/>
      <c r="W982" s="1027"/>
    </row>
    <row r="983" spans="2:23" ht="12.75" customHeight="1" x14ac:dyDescent="0.2">
      <c r="B983" s="1083" t="s">
        <v>726</v>
      </c>
      <c r="C983" s="1084" t="s">
        <v>1550</v>
      </c>
      <c r="D983" s="1091" t="s">
        <v>517</v>
      </c>
      <c r="E983" s="1488" t="s">
        <v>521</v>
      </c>
      <c r="F983" s="1494"/>
      <c r="G983" s="1617" t="s">
        <v>2140</v>
      </c>
      <c r="H983" s="1626"/>
      <c r="U983" s="1027"/>
      <c r="V983" s="1027"/>
      <c r="W983" s="1027"/>
    </row>
    <row r="984" spans="2:23" ht="12.75" customHeight="1" x14ac:dyDescent="0.2">
      <c r="B984" s="1083" t="s">
        <v>726</v>
      </c>
      <c r="C984" s="1084" t="s">
        <v>1550</v>
      </c>
      <c r="D984" s="1091" t="s">
        <v>517</v>
      </c>
      <c r="E984" s="1488" t="s">
        <v>520</v>
      </c>
      <c r="F984" s="1494"/>
      <c r="G984" s="1617" t="s">
        <v>2140</v>
      </c>
      <c r="H984" s="1626"/>
      <c r="U984" s="1027"/>
      <c r="V984" s="1027"/>
      <c r="W984" s="1027"/>
    </row>
    <row r="985" spans="2:23" ht="12.75" customHeight="1" thickBot="1" x14ac:dyDescent="0.25">
      <c r="B985" s="1085" t="s">
        <v>726</v>
      </c>
      <c r="C985" s="1086" t="s">
        <v>1550</v>
      </c>
      <c r="D985" s="1092" t="s">
        <v>517</v>
      </c>
      <c r="E985" s="1488" t="s">
        <v>519</v>
      </c>
      <c r="F985" s="1500"/>
      <c r="G985" s="1617" t="s">
        <v>2140</v>
      </c>
      <c r="H985" s="1626"/>
      <c r="U985" s="1027"/>
      <c r="V985" s="1027"/>
      <c r="W985" s="1027"/>
    </row>
    <row r="986" spans="2:23" ht="12.75" customHeight="1" thickBot="1" x14ac:dyDescent="0.25">
      <c r="B986" s="1087"/>
      <c r="C986" s="1087"/>
      <c r="D986" s="1075"/>
      <c r="E986" s="1483"/>
      <c r="F986" s="1484"/>
      <c r="G986" s="1484"/>
      <c r="H986" s="1035"/>
      <c r="U986" s="1027"/>
      <c r="V986" s="1027"/>
      <c r="W986" s="1027"/>
    </row>
    <row r="987" spans="2:23" ht="12.75" customHeight="1" x14ac:dyDescent="0.2">
      <c r="B987" s="1080" t="s">
        <v>727</v>
      </c>
      <c r="C987" s="1081" t="s">
        <v>1551</v>
      </c>
      <c r="D987" s="1082" t="s">
        <v>783</v>
      </c>
      <c r="E987" s="1502"/>
      <c r="F987" s="1492"/>
      <c r="G987" s="1617" t="s">
        <v>2140</v>
      </c>
      <c r="H987" s="1626"/>
      <c r="U987" s="1027"/>
      <c r="V987" s="1027"/>
      <c r="W987" s="1027"/>
    </row>
    <row r="988" spans="2:23" ht="12.75" customHeight="1" x14ac:dyDescent="0.2">
      <c r="B988" s="1083" t="s">
        <v>727</v>
      </c>
      <c r="C988" s="1084" t="s">
        <v>1551</v>
      </c>
      <c r="D988" s="1091" t="s">
        <v>721</v>
      </c>
      <c r="E988" s="1503"/>
      <c r="F988" s="1494"/>
      <c r="G988" s="1617" t="s">
        <v>2140</v>
      </c>
      <c r="H988" s="1626"/>
      <c r="U988" s="1027"/>
      <c r="V988" s="1027"/>
      <c r="W988" s="1027"/>
    </row>
    <row r="989" spans="2:23" ht="12.75" customHeight="1" x14ac:dyDescent="0.2">
      <c r="B989" s="1083" t="s">
        <v>727</v>
      </c>
      <c r="C989" s="1084" t="s">
        <v>1551</v>
      </c>
      <c r="D989" s="1091" t="s">
        <v>784</v>
      </c>
      <c r="E989" s="1503"/>
      <c r="F989" s="1494"/>
      <c r="G989" s="1617" t="s">
        <v>2140</v>
      </c>
      <c r="H989" s="1626"/>
      <c r="U989" s="1027"/>
      <c r="V989" s="1027"/>
      <c r="W989" s="1027"/>
    </row>
    <row r="990" spans="2:23" ht="12.75" customHeight="1" thickBot="1" x14ac:dyDescent="0.25">
      <c r="B990" s="1096" t="s">
        <v>727</v>
      </c>
      <c r="C990" s="1097" t="s">
        <v>1551</v>
      </c>
      <c r="D990" s="1098" t="s">
        <v>710</v>
      </c>
      <c r="E990" s="1512"/>
      <c r="F990" s="1513"/>
      <c r="G990" s="1617" t="s">
        <v>2140</v>
      </c>
      <c r="H990" s="1626"/>
      <c r="U990" s="1027"/>
      <c r="V990" s="1027"/>
      <c r="W990" s="1027"/>
    </row>
    <row r="991" spans="2:23" ht="12.75" customHeight="1" thickBot="1" x14ac:dyDescent="0.25">
      <c r="B991" s="1087"/>
      <c r="C991" s="1087"/>
      <c r="D991" s="1075"/>
      <c r="E991" s="1483"/>
      <c r="F991" s="1484"/>
      <c r="G991" s="1484"/>
      <c r="H991" s="1035"/>
      <c r="U991" s="1027"/>
      <c r="V991" s="1027"/>
      <c r="W991" s="1027"/>
    </row>
    <row r="992" spans="2:23" ht="12.75" customHeight="1" x14ac:dyDescent="0.2">
      <c r="B992" s="1080">
        <f>Health_Scen_Aggregation!$A$1</f>
        <v>13</v>
      </c>
      <c r="C992" s="1081" t="str">
        <f>Health_Scen_Aggregation!$B$1</f>
        <v>Aggregation der Szenarien</v>
      </c>
      <c r="D992" s="1082" t="str">
        <f>Health_Scen_Aggregation!$H$4</f>
        <v>Analytisches Modell</v>
      </c>
      <c r="E992" s="1486" t="str">
        <f>Health_Scen_Aggregation!D5</f>
        <v>Standardabweichung [MCHF]</v>
      </c>
      <c r="F992" s="1492"/>
      <c r="G992" s="1492"/>
      <c r="H992" s="1102">
        <f>StDev_HE</f>
        <v>0</v>
      </c>
      <c r="U992" s="1027"/>
      <c r="V992" s="1027"/>
      <c r="W992" s="1027"/>
    </row>
    <row r="993" spans="2:23" ht="12.75" customHeight="1" x14ac:dyDescent="0.2">
      <c r="B993" s="1083">
        <f>Health_Scen_Aggregation!$A$1</f>
        <v>13</v>
      </c>
      <c r="C993" s="1084" t="str">
        <f>Health_Scen_Aggregation!$B$1</f>
        <v>Aggregation der Szenarien</v>
      </c>
      <c r="D993" s="1091" t="str">
        <f>Health_Scen_Aggregation!$H$4</f>
        <v>Analytisches Modell</v>
      </c>
      <c r="E993" s="1488" t="str">
        <f>Health_Scen_Aggregation!D6</f>
        <v>VaR [MCHF]</v>
      </c>
      <c r="F993" s="1494"/>
      <c r="G993" s="1494"/>
      <c r="H993" s="1220" t="e">
        <f>Health_Scen_Aggregation!H6</f>
        <v>#NUM!</v>
      </c>
      <c r="U993" s="1027"/>
      <c r="V993" s="1027"/>
      <c r="W993" s="1027"/>
    </row>
    <row r="994" spans="2:23" ht="12.75" customHeight="1" x14ac:dyDescent="0.2">
      <c r="B994" s="1083">
        <f>Health_Scen_Aggregation!$A$1</f>
        <v>13</v>
      </c>
      <c r="C994" s="1084" t="str">
        <f>Health_Scen_Aggregation!$B$1</f>
        <v>Aggregation der Szenarien</v>
      </c>
      <c r="D994" s="1091" t="str">
        <f>Health_Scen_Aggregation!$H$4</f>
        <v>Analytisches Modell</v>
      </c>
      <c r="E994" s="1488" t="str">
        <f>Health_Scen_Aggregation!D7</f>
        <v>Expected Shortfall [MCHF]</v>
      </c>
      <c r="F994" s="1494"/>
      <c r="G994" s="1494"/>
      <c r="H994" s="1220">
        <f>Health_Scen_Aggregation!H7</f>
        <v>0</v>
      </c>
      <c r="U994" s="1027"/>
      <c r="V994" s="1027"/>
      <c r="W994" s="1027"/>
    </row>
    <row r="995" spans="2:23" ht="12.75" customHeight="1" x14ac:dyDescent="0.2">
      <c r="B995" s="1083">
        <f>Health_Scen_Aggregation!$A$1</f>
        <v>13</v>
      </c>
      <c r="C995" s="1084" t="str">
        <f>Health_Scen_Aggregation!$B$1</f>
        <v>Aggregation der Szenarien</v>
      </c>
      <c r="D995" s="1091" t="str">
        <f>Health_Scen_Aggregation!$E$4</f>
        <v>Aggregation nach Szenarien</v>
      </c>
      <c r="E995" s="1488" t="str">
        <f>Health_Scen_Aggregation!D6</f>
        <v>VaR [MCHF]</v>
      </c>
      <c r="F995" s="1494"/>
      <c r="G995" s="1494"/>
      <c r="H995" s="1221" t="e">
        <f>Health_Scen_Aggregation!E6</f>
        <v>#NUM!</v>
      </c>
      <c r="U995" s="1027"/>
      <c r="V995" s="1027"/>
      <c r="W995" s="1027"/>
    </row>
    <row r="996" spans="2:23" ht="12.75" customHeight="1" x14ac:dyDescent="0.2">
      <c r="B996" s="1083">
        <f>Health_Scen_Aggregation!$A$1</f>
        <v>13</v>
      </c>
      <c r="C996" s="1084" t="str">
        <f>Health_Scen_Aggregation!$B$1</f>
        <v>Aggregation der Szenarien</v>
      </c>
      <c r="D996" s="1091" t="str">
        <f>Health_Scen_Aggregation!$E$4</f>
        <v>Aggregation nach Szenarien</v>
      </c>
      <c r="E996" s="1488" t="str">
        <f>Health_Scen_Aggregation!D7</f>
        <v>Expected Shortfall [MCHF]</v>
      </c>
      <c r="F996" s="1494"/>
      <c r="G996" s="1494"/>
      <c r="H996" s="1221" t="e">
        <f>Health_Scen_Aggregation!E7</f>
        <v>#NUM!</v>
      </c>
      <c r="U996" s="1027"/>
      <c r="V996" s="1027"/>
      <c r="W996" s="1027"/>
    </row>
    <row r="997" spans="2:23" ht="12.75" customHeight="1" x14ac:dyDescent="0.2">
      <c r="B997" s="1083">
        <f>Health_Scen_Aggregation!$A$1</f>
        <v>13</v>
      </c>
      <c r="C997" s="1084" t="str">
        <f>Health_Scen_Aggregation!$B$1</f>
        <v>Aggregation der Szenarien</v>
      </c>
      <c r="D997" s="1091" t="str">
        <f>Health_Scen_Aggregation!$E$4</f>
        <v>Aggregation nach Szenarien</v>
      </c>
      <c r="E997" s="1488" t="str">
        <f>Health_Scen_Aggregation!D8</f>
        <v>Verhältnis (ES total / ES ohne Szenarien)</v>
      </c>
      <c r="F997" s="1494"/>
      <c r="G997" s="1494"/>
      <c r="H997" s="1103" t="e">
        <f>Health_Scen_Aggregation!E8</f>
        <v>#NUM!</v>
      </c>
      <c r="U997" s="1027"/>
      <c r="V997" s="1027"/>
      <c r="W997" s="1027"/>
    </row>
    <row r="998" spans="2:23" ht="12.75" customHeight="1" x14ac:dyDescent="0.2">
      <c r="B998" s="1083">
        <f>Health_Scen_Aggregation!$A$1</f>
        <v>13</v>
      </c>
      <c r="C998" s="1084" t="str">
        <f>Health_Scen_Aggregation!$B$1</f>
        <v>Aggregation der Szenarien</v>
      </c>
      <c r="D998" s="1091">
        <f>Health_Scen_Aggregation!$B$37</f>
        <v>10</v>
      </c>
      <c r="E998" s="1488" t="str">
        <f>Health_Scen_Aggregation!$D$15</f>
        <v>xi -xi-1
[MCHF]</v>
      </c>
      <c r="F998" s="1494"/>
      <c r="G998" s="1494"/>
      <c r="H998" s="1104" t="e">
        <f>Health_Scen_Aggregation!$D$37</f>
        <v>#NUM!</v>
      </c>
      <c r="U998" s="1027"/>
      <c r="V998" s="1027"/>
      <c r="W998" s="1027"/>
    </row>
    <row r="999" spans="2:23" ht="12.75" customHeight="1" thickBot="1" x14ac:dyDescent="0.25">
      <c r="B999" s="1085">
        <f>Health_Scen_Aggregation!$A$1</f>
        <v>13</v>
      </c>
      <c r="C999" s="1086" t="str">
        <f>Health_Scen_Aggregation!$B$1</f>
        <v>Aggregation der Szenarien</v>
      </c>
      <c r="D999" s="1092">
        <f>Health_Scen_Aggregation!$B$37</f>
        <v>10</v>
      </c>
      <c r="E999" s="1499" t="str">
        <f>Health_Scen_Aggregation!$E$15</f>
        <v>F(x)
f(x)</v>
      </c>
      <c r="F999" s="1500"/>
      <c r="G999" s="1500"/>
      <c r="H999" s="1222" t="e">
        <f>Health_Scen_Aggregation!$E$37</f>
        <v>#NUM!</v>
      </c>
      <c r="U999" s="1027"/>
      <c r="V999" s="1027"/>
      <c r="W999" s="1027"/>
    </row>
    <row r="1000" spans="2:23" ht="12.75" customHeight="1" thickBot="1" x14ac:dyDescent="0.25">
      <c r="B1000" s="1087"/>
      <c r="C1000" s="1087"/>
      <c r="D1000" s="1075"/>
      <c r="E1000" s="1483"/>
      <c r="F1000" s="1484"/>
      <c r="G1000" s="1484"/>
      <c r="H1000" s="1035"/>
      <c r="U1000" s="1027"/>
      <c r="V1000" s="1027"/>
      <c r="W1000" s="1027"/>
    </row>
    <row r="1001" spans="2:23" ht="12.75" customHeight="1" thickBot="1" x14ac:dyDescent="0.25">
      <c r="B1001" s="1080">
        <f>Scenarios!$A$1</f>
        <v>14</v>
      </c>
      <c r="C1001" s="1081" t="str">
        <f>Scenarios!$B$1</f>
        <v>Szenarien</v>
      </c>
      <c r="D1001" s="1082" t="str">
        <f>Scenarios!$D$13</f>
        <v>Eintritts-wahrscheinlichkeit</v>
      </c>
      <c r="E1001" s="1756" t="s">
        <v>2140</v>
      </c>
      <c r="F1001" s="1757"/>
      <c r="G1001" s="1757"/>
      <c r="H1001" s="1758"/>
      <c r="U1001" s="1027"/>
      <c r="V1001" s="1027"/>
      <c r="W1001" s="1027"/>
    </row>
    <row r="1002" spans="2:23" ht="12.75" customHeight="1" x14ac:dyDescent="0.2">
      <c r="B1002" s="1083">
        <f>Scenarios!$A$1</f>
        <v>14</v>
      </c>
      <c r="C1002" s="1084" t="str">
        <f>Scenarios!$B$1</f>
        <v>Szenarien</v>
      </c>
      <c r="D1002" s="1091" t="str">
        <f>Scenarios!$D$13</f>
        <v>Eintritts-wahrscheinlichkeit</v>
      </c>
      <c r="E1002" s="1756" t="s">
        <v>2140</v>
      </c>
      <c r="F1002" s="1757"/>
      <c r="G1002" s="1757"/>
      <c r="H1002" s="1758"/>
      <c r="U1002" s="1027"/>
      <c r="V1002" s="1027"/>
      <c r="W1002" s="1027"/>
    </row>
    <row r="1003" spans="2:23" ht="12.75" customHeight="1" x14ac:dyDescent="0.2">
      <c r="B1003" s="1083">
        <f>Scenarios!$A$1</f>
        <v>14</v>
      </c>
      <c r="C1003" s="1084" t="str">
        <f>Scenarios!$B$1</f>
        <v>Szenarien</v>
      </c>
      <c r="D1003" s="1091" t="str">
        <f>Scenarios!$D$13</f>
        <v>Eintritts-wahrscheinlichkeit</v>
      </c>
      <c r="E1003" s="1488" t="str">
        <f>Scenarios!$B$38</f>
        <v>Unterreservierung</v>
      </c>
      <c r="F1003" s="1494"/>
      <c r="G1003" s="1494"/>
      <c r="H1003" s="1514">
        <f>Scenarios!D38</f>
        <v>0.01</v>
      </c>
      <c r="U1003" s="1027"/>
      <c r="V1003" s="1027"/>
      <c r="W1003" s="1027"/>
    </row>
    <row r="1004" spans="2:23" ht="12.75" customHeight="1" x14ac:dyDescent="0.2">
      <c r="B1004" s="1083">
        <f>Scenarios!$A$1</f>
        <v>14</v>
      </c>
      <c r="C1004" s="1084" t="str">
        <f>Scenarios!$B$1</f>
        <v>Szenarien</v>
      </c>
      <c r="D1004" s="1091" t="str">
        <f>Scenarios!$D$13</f>
        <v>Eintritts-wahrscheinlichkeit</v>
      </c>
      <c r="E1004" s="1488" t="str">
        <f>Scenarios!$B$42</f>
        <v>Konjunkturbaisse</v>
      </c>
      <c r="F1004" s="1494"/>
      <c r="G1004" s="1494"/>
      <c r="H1004" s="1514">
        <f>Scenarios!D42</f>
        <v>0.01</v>
      </c>
      <c r="U1004" s="1027"/>
      <c r="V1004" s="1027"/>
      <c r="W1004" s="1027"/>
    </row>
    <row r="1005" spans="2:23" ht="12.75" customHeight="1" thickBot="1" x14ac:dyDescent="0.25">
      <c r="B1005" s="1083">
        <f>Scenarios!$A$1</f>
        <v>14</v>
      </c>
      <c r="C1005" s="1084" t="str">
        <f>Scenarios!$B$1</f>
        <v>Szenarien</v>
      </c>
      <c r="D1005" s="1091" t="str">
        <f>Scenarios!$D$13</f>
        <v>Eintritts-wahrscheinlichkeit</v>
      </c>
      <c r="E1005" s="1488" t="str">
        <f>Scenarios!$B$46</f>
        <v>Pandemie</v>
      </c>
      <c r="F1005" s="1494"/>
      <c r="G1005" s="1494"/>
      <c r="H1005" s="1514">
        <f>Scenarios!D46</f>
        <v>0.01</v>
      </c>
      <c r="U1005" s="1027"/>
      <c r="V1005" s="1027"/>
      <c r="W1005" s="1027"/>
    </row>
    <row r="1006" spans="2:23" ht="12.75" customHeight="1" x14ac:dyDescent="0.2">
      <c r="B1006" s="1083">
        <f>Scenarios!$A$1</f>
        <v>14</v>
      </c>
      <c r="C1006" s="1084" t="str">
        <f>Scenarios!$B$1</f>
        <v>Szenarien</v>
      </c>
      <c r="D1006" s="1091" t="str">
        <f>Scenarios!$D$13</f>
        <v>Eintritts-wahrscheinlichkeit</v>
      </c>
      <c r="E1006" s="1756" t="s">
        <v>2646</v>
      </c>
      <c r="F1006" s="1757"/>
      <c r="G1006" s="1757"/>
      <c r="H1006" s="1758"/>
      <c r="U1006" s="1027"/>
      <c r="V1006" s="1027"/>
      <c r="W1006" s="1027"/>
    </row>
    <row r="1007" spans="2:23" ht="12.75" customHeight="1" x14ac:dyDescent="0.2">
      <c r="B1007" s="1083">
        <f>Scenarios!$A$1</f>
        <v>14</v>
      </c>
      <c r="C1007" s="1084" t="str">
        <f>Scenarios!$B$1</f>
        <v>Szenarien</v>
      </c>
      <c r="D1007" s="1091" t="str">
        <f>Scenarios!$D$13</f>
        <v>Eintritts-wahrscheinlichkeit</v>
      </c>
      <c r="E1007" s="1488" t="str">
        <f>Scenarios!$B$30</f>
        <v>Financial Distress</v>
      </c>
      <c r="F1007" s="1494"/>
      <c r="G1007" s="1494"/>
      <c r="H1007" s="1514">
        <f>Scenarios!D30</f>
        <v>5.0000000000000001E-3</v>
      </c>
      <c r="U1007" s="1027"/>
      <c r="V1007" s="1027"/>
      <c r="W1007" s="1027"/>
    </row>
    <row r="1008" spans="2:23" ht="12.75" customHeight="1" x14ac:dyDescent="0.2">
      <c r="B1008" s="1083">
        <f>Scenarios!$A$1</f>
        <v>14</v>
      </c>
      <c r="C1008" s="1084" t="str">
        <f>Scenarios!$B$1</f>
        <v>Szenarien</v>
      </c>
      <c r="D1008" s="1091" t="str">
        <f>Scenarios!$D$13</f>
        <v>Eintritts-wahrscheinlichkeit</v>
      </c>
      <c r="E1008" s="1488" t="str">
        <f>Scenarios!$B$96</f>
        <v>Equity Drop -60%</v>
      </c>
      <c r="F1008" s="1494"/>
      <c r="G1008" s="1494"/>
      <c r="H1008" s="1514">
        <f>Scenarios!$D96</f>
        <v>0.01</v>
      </c>
      <c r="U1008" s="1027"/>
      <c r="V1008" s="1027"/>
      <c r="W1008" s="1027"/>
    </row>
    <row r="1009" spans="2:23" ht="12.75" customHeight="1" x14ac:dyDescent="0.2">
      <c r="B1009" s="1083">
        <f>Scenarios!$A$1</f>
        <v>14</v>
      </c>
      <c r="C1009" s="1084" t="str">
        <f>Scenarios!$B$1</f>
        <v>Szenarien</v>
      </c>
      <c r="D1009" s="1091" t="str">
        <f>Scenarios!$D$13</f>
        <v>Eintritts-wahrscheinlichkeit</v>
      </c>
      <c r="E1009" s="1488" t="str">
        <f>Scenarios!$B$97</f>
        <v>Immobilien Crash</v>
      </c>
      <c r="F1009" s="1494"/>
      <c r="G1009" s="1494"/>
      <c r="H1009" s="1514">
        <f>Scenarios!$D97</f>
        <v>0.01</v>
      </c>
      <c r="U1009" s="1027"/>
      <c r="V1009" s="1027"/>
      <c r="W1009" s="1027"/>
    </row>
    <row r="1010" spans="2:23" ht="12.75" customHeight="1" x14ac:dyDescent="0.2">
      <c r="B1010" s="1083">
        <f>Scenarios!$A$1</f>
        <v>14</v>
      </c>
      <c r="C1010" s="1084" t="str">
        <f>Scenarios!$B$1</f>
        <v>Szenarien</v>
      </c>
      <c r="D1010" s="1091" t="str">
        <f>Scenarios!$D$13</f>
        <v>Eintritts-wahrscheinlichkeit</v>
      </c>
      <c r="E1010" s="1488" t="str">
        <f>Scenarios!$B$98</f>
        <v>Aktienmarkt crash (1987)</v>
      </c>
      <c r="F1010" s="1494"/>
      <c r="G1010" s="1494"/>
      <c r="H1010" s="1514">
        <f>Scenarios!$D98</f>
        <v>0</v>
      </c>
      <c r="U1010" s="1027"/>
      <c r="V1010" s="1027"/>
      <c r="W1010" s="1027"/>
    </row>
    <row r="1011" spans="2:23" ht="12.75" customHeight="1" x14ac:dyDescent="0.2">
      <c r="B1011" s="1083">
        <f>Scenarios!$A$1</f>
        <v>14</v>
      </c>
      <c r="C1011" s="1084" t="str">
        <f>Scenarios!$B$1</f>
        <v>Szenarien</v>
      </c>
      <c r="D1011" s="1091" t="str">
        <f>Scenarios!$D$13</f>
        <v>Eintritts-wahrscheinlichkeit</v>
      </c>
      <c r="E1011" s="1488" t="str">
        <f>Scenarios!$B$99</f>
        <v>Nikkei crash (1989/90)</v>
      </c>
      <c r="F1011" s="1494"/>
      <c r="G1011" s="1494"/>
      <c r="H1011" s="1514">
        <f>Scenarios!$D99</f>
        <v>0.01</v>
      </c>
      <c r="U1011" s="1027"/>
      <c r="V1011" s="1027"/>
      <c r="W1011" s="1027"/>
    </row>
    <row r="1012" spans="2:23" ht="12.75" customHeight="1" x14ac:dyDescent="0.2">
      <c r="B1012" s="1083">
        <f>Scenarios!$A$1</f>
        <v>14</v>
      </c>
      <c r="C1012" s="1084" t="str">
        <f>Scenarios!$B$1</f>
        <v>Szenarien</v>
      </c>
      <c r="D1012" s="1091" t="str">
        <f>Scenarios!$D$13</f>
        <v>Eintritts-wahrscheinlichkeit</v>
      </c>
      <c r="E1012" s="1488" t="str">
        <f>Scenarios!$B$100</f>
        <v>Europäische Währungskrise (1992)</v>
      </c>
      <c r="F1012" s="1494"/>
      <c r="G1012" s="1494"/>
      <c r="H1012" s="1514">
        <f>Scenarios!$D100</f>
        <v>0</v>
      </c>
      <c r="U1012" s="1027"/>
      <c r="V1012" s="1027"/>
      <c r="W1012" s="1027"/>
    </row>
    <row r="1013" spans="2:23" ht="12.75" customHeight="1" x14ac:dyDescent="0.2">
      <c r="B1013" s="1083">
        <f>Scenarios!$A$1</f>
        <v>14</v>
      </c>
      <c r="C1013" s="1084" t="str">
        <f>Scenarios!$B$1</f>
        <v>Szenarien</v>
      </c>
      <c r="D1013" s="1091" t="str">
        <f>Scenarios!$D$13</f>
        <v>Eintritts-wahrscheinlichkeit</v>
      </c>
      <c r="E1013" s="1488" t="str">
        <f>Scenarios!$B$101</f>
        <v>US Zinskrise (1994)</v>
      </c>
      <c r="F1013" s="1494"/>
      <c r="G1013" s="1494"/>
      <c r="H1013" s="1514">
        <f>Scenarios!$D101</f>
        <v>0.01</v>
      </c>
      <c r="U1013" s="1027"/>
      <c r="V1013" s="1027"/>
      <c r="W1013" s="1027"/>
    </row>
    <row r="1014" spans="2:23" ht="12.75" customHeight="1" x14ac:dyDescent="0.2">
      <c r="B1014" s="1083">
        <f>Scenarios!$A$1</f>
        <v>14</v>
      </c>
      <c r="C1014" s="1084" t="str">
        <f>Scenarios!$B$1</f>
        <v>Szenarien</v>
      </c>
      <c r="D1014" s="1091" t="str">
        <f>Scenarios!$D$13</f>
        <v>Eintritts-wahrscheinlichkeit</v>
      </c>
      <c r="E1014" s="1488" t="str">
        <f>Scenarios!$B$102</f>
        <v>Russland Krise / LTCM (1998)</v>
      </c>
      <c r="F1014" s="1494"/>
      <c r="G1014" s="1494"/>
      <c r="H1014" s="1514">
        <f>Scenarios!$D102</f>
        <v>0</v>
      </c>
      <c r="U1014" s="1027"/>
      <c r="V1014" s="1027"/>
      <c r="W1014" s="1027"/>
    </row>
    <row r="1015" spans="2:23" ht="12.75" customHeight="1" x14ac:dyDescent="0.2">
      <c r="B1015" s="1083">
        <f>Scenarios!$A$1</f>
        <v>14</v>
      </c>
      <c r="C1015" s="1084" t="str">
        <f>Scenarios!$B$1</f>
        <v>Szenarien</v>
      </c>
      <c r="D1015" s="1091" t="str">
        <f>Scenarios!$D$13</f>
        <v>Eintritts-wahrscheinlichkeit</v>
      </c>
      <c r="E1015" s="1488" t="str">
        <f>Scenarios!$B$103</f>
        <v>Aktienmarkt crash (2000/2001)</v>
      </c>
      <c r="F1015" s="1494"/>
      <c r="G1015" s="1494"/>
      <c r="H1015" s="1514">
        <f>Scenarios!$D103</f>
        <v>0.01</v>
      </c>
      <c r="U1015" s="1027"/>
      <c r="V1015" s="1027"/>
      <c r="W1015" s="1027"/>
    </row>
    <row r="1016" spans="2:23" ht="12.75" customHeight="1" x14ac:dyDescent="0.2">
      <c r="B1016" s="1083">
        <f>Scenarios!$A$1</f>
        <v>14</v>
      </c>
      <c r="C1016" s="1084" t="str">
        <f>Scenarios!$B$1</f>
        <v>Szenarien</v>
      </c>
      <c r="D1016" s="1091" t="str">
        <f>Scenarios!$D$13</f>
        <v>Eintritts-wahrscheinlichkeit</v>
      </c>
      <c r="E1016" s="1488" t="str">
        <f>Scenarios!$B$104</f>
        <v>Globale Deflation</v>
      </c>
      <c r="F1016" s="1494"/>
      <c r="G1016" s="1494"/>
      <c r="H1016" s="1514">
        <f>Scenarios!$D104</f>
        <v>0</v>
      </c>
      <c r="U1016" s="1027"/>
      <c r="V1016" s="1027"/>
      <c r="W1016" s="1027"/>
    </row>
    <row r="1017" spans="2:23" ht="12.75" customHeight="1" x14ac:dyDescent="0.2">
      <c r="B1017" s="1083">
        <f>Scenarios!$A$1</f>
        <v>14</v>
      </c>
      <c r="C1017" s="1084" t="str">
        <f>Scenarios!$B$1</f>
        <v>Szenarien</v>
      </c>
      <c r="D1017" s="1091" t="str">
        <f>Scenarios!$D$13</f>
        <v>Eintritts-wahrscheinlichkeit</v>
      </c>
      <c r="E1017" s="1488" t="str">
        <f>Scenarios!$B$105</f>
        <v>Globale Inflation</v>
      </c>
      <c r="F1017" s="1494"/>
      <c r="G1017" s="1494"/>
      <c r="H1017" s="1514">
        <f>Scenarios!$D105</f>
        <v>0.01</v>
      </c>
      <c r="U1017" s="1027"/>
      <c r="V1017" s="1027"/>
      <c r="W1017" s="1027"/>
    </row>
    <row r="1018" spans="2:23" ht="12.75" customHeight="1" x14ac:dyDescent="0.2">
      <c r="B1018" s="1083">
        <f>Scenarios!$A$1</f>
        <v>14</v>
      </c>
      <c r="C1018" s="1084" t="str">
        <f>Scenarios!$B$1</f>
        <v>Szenarien</v>
      </c>
      <c r="D1018" s="1091" t="str">
        <f>Scenarios!$D$13</f>
        <v>Eintritts-wahrscheinlichkeit</v>
      </c>
      <c r="E1018" s="1488" t="str">
        <f>Scenarios!$B$106</f>
        <v>Finanzkrise 2008</v>
      </c>
      <c r="F1018" s="1494"/>
      <c r="G1018" s="1563"/>
      <c r="H1018" s="1514">
        <f>Scenarios!$D106</f>
        <v>0.01</v>
      </c>
      <c r="U1018" s="1027"/>
      <c r="V1018" s="1027"/>
      <c r="W1018" s="1027"/>
    </row>
    <row r="1019" spans="2:23" ht="12.75" customHeight="1" x14ac:dyDescent="0.2">
      <c r="B1019" s="1083">
        <f>Scenarios!$A$1</f>
        <v>14</v>
      </c>
      <c r="C1019" s="1084" t="str">
        <f>Scenarios!$B$1</f>
        <v>Szenarien</v>
      </c>
      <c r="D1019" s="1091" t="str">
        <f>Scenarios!$D$13</f>
        <v>Eintritts-wahrscheinlichkeit</v>
      </c>
      <c r="E1019" s="1488" t="s">
        <v>441</v>
      </c>
      <c r="F1019" s="1561"/>
      <c r="G1019" s="1564" t="s">
        <v>1810</v>
      </c>
      <c r="H1019" s="1562"/>
      <c r="U1019" s="1027"/>
      <c r="V1019" s="1027"/>
      <c r="W1019" s="1027"/>
    </row>
    <row r="1020" spans="2:23" ht="12.75" customHeight="1" x14ac:dyDescent="0.2">
      <c r="B1020" s="1083">
        <f>Scenarios!$A$1</f>
        <v>14</v>
      </c>
      <c r="C1020" s="1084" t="str">
        <f>Scenarios!$B$1</f>
        <v>Szenarien</v>
      </c>
      <c r="D1020" s="1091" t="str">
        <f>Scenarios!$D$13</f>
        <v>Eintritts-wahrscheinlichkeit</v>
      </c>
      <c r="E1020" s="1488" t="s">
        <v>223</v>
      </c>
      <c r="F1020" s="1561"/>
      <c r="G1020" s="1564" t="s">
        <v>1810</v>
      </c>
      <c r="H1020" s="1562"/>
      <c r="U1020" s="1027"/>
      <c r="V1020" s="1027"/>
      <c r="W1020" s="1027"/>
    </row>
    <row r="1021" spans="2:23" ht="12.75" customHeight="1" x14ac:dyDescent="0.2">
      <c r="B1021" s="1083">
        <f>Scenarios!$A$1</f>
        <v>14</v>
      </c>
      <c r="C1021" s="1084" t="str">
        <f>Scenarios!$B$1</f>
        <v>Szenarien</v>
      </c>
      <c r="D1021" s="1091" t="str">
        <f>Scenarios!$D$13</f>
        <v>Eintritts-wahrscheinlichkeit</v>
      </c>
      <c r="E1021" s="1488" t="s">
        <v>356</v>
      </c>
      <c r="F1021" s="1561"/>
      <c r="G1021" s="1564" t="s">
        <v>1810</v>
      </c>
      <c r="H1021" s="1562"/>
      <c r="U1021" s="1027"/>
      <c r="V1021" s="1027"/>
      <c r="W1021" s="1027"/>
    </row>
    <row r="1022" spans="2:23" ht="12.75" customHeight="1" x14ac:dyDescent="0.2">
      <c r="B1022" s="1083">
        <f>Scenarios!$A$1</f>
        <v>14</v>
      </c>
      <c r="C1022" s="1084" t="str">
        <f>Scenarios!$B$1</f>
        <v>Szenarien</v>
      </c>
      <c r="D1022" s="1091" t="str">
        <f>Scenarios!$D$13</f>
        <v>Eintritts-wahrscheinlichkeit</v>
      </c>
      <c r="E1022" s="1488" t="s">
        <v>357</v>
      </c>
      <c r="F1022" s="1561"/>
      <c r="G1022" s="1564" t="s">
        <v>1810</v>
      </c>
      <c r="H1022" s="1562"/>
      <c r="U1022" s="1027"/>
      <c r="V1022" s="1027"/>
      <c r="W1022" s="1027"/>
    </row>
    <row r="1023" spans="2:23" ht="12.75" customHeight="1" x14ac:dyDescent="0.2">
      <c r="B1023" s="1083">
        <f>Scenarios!$A$1</f>
        <v>14</v>
      </c>
      <c r="C1023" s="1084" t="str">
        <f>Scenarios!$B$1</f>
        <v>Szenarien</v>
      </c>
      <c r="D1023" s="1091" t="str">
        <f>Scenarios!$D$13</f>
        <v>Eintritts-wahrscheinlichkeit</v>
      </c>
      <c r="E1023" s="1488" t="s">
        <v>442</v>
      </c>
      <c r="F1023" s="1561"/>
      <c r="G1023" s="1564" t="s">
        <v>1810</v>
      </c>
      <c r="H1023" s="1562"/>
      <c r="U1023" s="1027"/>
      <c r="V1023" s="1027"/>
      <c r="W1023" s="1027"/>
    </row>
    <row r="1024" spans="2:23" ht="12.75" customHeight="1" thickBot="1" x14ac:dyDescent="0.25">
      <c r="B1024" s="1083">
        <f>Scenarios!$A$1</f>
        <v>14</v>
      </c>
      <c r="C1024" s="1084" t="str">
        <f>Scenarios!$B$1</f>
        <v>Szenarien</v>
      </c>
      <c r="D1024" s="1091" t="str">
        <f>Scenarios!$D$13</f>
        <v>Eintritts-wahrscheinlichkeit</v>
      </c>
      <c r="E1024" s="1488" t="s">
        <v>443</v>
      </c>
      <c r="F1024" s="1561"/>
      <c r="G1024" s="1564" t="s">
        <v>1810</v>
      </c>
      <c r="H1024" s="1562"/>
      <c r="U1024" s="1027"/>
      <c r="V1024" s="1027"/>
      <c r="W1024" s="1027"/>
    </row>
    <row r="1025" spans="2:23" ht="12.75" customHeight="1" thickBot="1" x14ac:dyDescent="0.25">
      <c r="B1025" s="1088">
        <f>Scenarios!$A$1</f>
        <v>14</v>
      </c>
      <c r="C1025" s="1089" t="str">
        <f>Scenarios!$B$1</f>
        <v>Szenarien</v>
      </c>
      <c r="D1025" s="1105" t="str">
        <f>Scenarios!$N$13</f>
        <v>Änderungen</v>
      </c>
      <c r="E1025" s="1756" t="s">
        <v>2646</v>
      </c>
      <c r="F1025" s="1757"/>
      <c r="G1025" s="1757"/>
      <c r="H1025" s="1758"/>
      <c r="U1025" s="1027"/>
      <c r="V1025" s="1027"/>
      <c r="W1025" s="1027"/>
    </row>
    <row r="1026" spans="2:23" ht="12.75" customHeight="1" x14ac:dyDescent="0.2">
      <c r="B1026" s="1083">
        <f>Scenarios!$A$1</f>
        <v>14</v>
      </c>
      <c r="C1026" s="1084" t="str">
        <f>Scenarios!$B$1</f>
        <v>Szenarien</v>
      </c>
      <c r="D1026" s="1558" t="str">
        <f>Scenarios!$N$13</f>
        <v>Änderungen</v>
      </c>
      <c r="E1026" s="1756" t="s">
        <v>2646</v>
      </c>
      <c r="F1026" s="1757"/>
      <c r="G1026" s="1757"/>
      <c r="H1026" s="1758"/>
      <c r="U1026" s="1027"/>
      <c r="V1026" s="1027"/>
      <c r="W1026" s="1027"/>
    </row>
    <row r="1027" spans="2:23" ht="12.75" customHeight="1" x14ac:dyDescent="0.2">
      <c r="B1027" s="1083">
        <f>Scenarios!$A$1</f>
        <v>14</v>
      </c>
      <c r="C1027" s="1084" t="str">
        <f>Scenarios!$B$1</f>
        <v>Szenarien</v>
      </c>
      <c r="D1027" s="1558" t="str">
        <f>Scenarios!$N$13</f>
        <v>Änderungen</v>
      </c>
      <c r="E1027" s="1488" t="str">
        <f>Scenarios!$B$38</f>
        <v>Unterreservierung</v>
      </c>
      <c r="F1027" s="1494"/>
      <c r="G1027" s="1494"/>
      <c r="H1027" s="1106">
        <f>Scenarios!P40</f>
        <v>0</v>
      </c>
      <c r="U1027" s="1027"/>
      <c r="V1027" s="1027"/>
      <c r="W1027" s="1027"/>
    </row>
    <row r="1028" spans="2:23" ht="12.75" customHeight="1" x14ac:dyDescent="0.2">
      <c r="B1028" s="1083">
        <f>Scenarios!$A$1</f>
        <v>14</v>
      </c>
      <c r="C1028" s="1084" t="str">
        <f>Scenarios!$B$1</f>
        <v>Szenarien</v>
      </c>
      <c r="D1028" s="1558" t="str">
        <f>Scenarios!$N$13</f>
        <v>Änderungen</v>
      </c>
      <c r="E1028" s="1488" t="str">
        <f>Scenarios!$B$42</f>
        <v>Konjunkturbaisse</v>
      </c>
      <c r="F1028" s="1494"/>
      <c r="G1028" s="1494"/>
      <c r="H1028" s="1106">
        <f>Scenarios!P44</f>
        <v>0</v>
      </c>
      <c r="U1028" s="1027"/>
      <c r="V1028" s="1027"/>
      <c r="W1028" s="1027"/>
    </row>
    <row r="1029" spans="2:23" ht="12.75" customHeight="1" thickBot="1" x14ac:dyDescent="0.25">
      <c r="B1029" s="1083">
        <f>Scenarios!$A$1</f>
        <v>14</v>
      </c>
      <c r="C1029" s="1084" t="str">
        <f>Scenarios!$B$1</f>
        <v>Szenarien</v>
      </c>
      <c r="D1029" s="1558" t="str">
        <f>Scenarios!$N$13</f>
        <v>Änderungen</v>
      </c>
      <c r="E1029" s="1488" t="str">
        <f>Scenarios!$B$46</f>
        <v>Pandemie</v>
      </c>
      <c r="F1029" s="1494"/>
      <c r="G1029" s="1494"/>
      <c r="H1029" s="1106">
        <f>Scenarios!P48</f>
        <v>0</v>
      </c>
      <c r="U1029" s="1027"/>
      <c r="V1029" s="1027"/>
      <c r="W1029" s="1027"/>
    </row>
    <row r="1030" spans="2:23" ht="12.75" customHeight="1" x14ac:dyDescent="0.2">
      <c r="B1030" s="1083">
        <f>Scenarios!$A$1</f>
        <v>14</v>
      </c>
      <c r="C1030" s="1084" t="str">
        <f>Scenarios!$B$1</f>
        <v>Szenarien</v>
      </c>
      <c r="D1030" s="1558" t="str">
        <f>Scenarios!$N$13</f>
        <v>Änderungen</v>
      </c>
      <c r="E1030" s="1756" t="s">
        <v>2646</v>
      </c>
      <c r="F1030" s="1757"/>
      <c r="G1030" s="1757"/>
      <c r="H1030" s="1758"/>
      <c r="U1030" s="1027"/>
      <c r="V1030" s="1027"/>
      <c r="W1030" s="1027"/>
    </row>
    <row r="1031" spans="2:23" ht="12.75" customHeight="1" x14ac:dyDescent="0.2">
      <c r="B1031" s="1083">
        <f>Scenarios!$A$1</f>
        <v>14</v>
      </c>
      <c r="C1031" s="1084" t="str">
        <f>Scenarios!$B$1</f>
        <v>Szenarien</v>
      </c>
      <c r="D1031" s="1558" t="str">
        <f>Scenarios!$N$13</f>
        <v>Änderungen</v>
      </c>
      <c r="E1031" s="1488" t="str">
        <f>Scenarios!$B$30</f>
        <v>Financial Distress</v>
      </c>
      <c r="F1031" s="1494"/>
      <c r="G1031" s="1494"/>
      <c r="H1031" s="1106">
        <f>Scenarios!P32</f>
        <v>0</v>
      </c>
      <c r="U1031" s="1027"/>
      <c r="V1031" s="1027"/>
      <c r="W1031" s="1027"/>
    </row>
    <row r="1032" spans="2:23" ht="12.75" customHeight="1" x14ac:dyDescent="0.2">
      <c r="B1032" s="1083">
        <f>Scenarios!$A$1</f>
        <v>14</v>
      </c>
      <c r="C1032" s="1084" t="str">
        <f>Scenarios!$B$1</f>
        <v>Szenarien</v>
      </c>
      <c r="D1032" s="1558" t="str">
        <f>Scenarios!$N$13</f>
        <v>Änderungen</v>
      </c>
      <c r="E1032" s="1488" t="str">
        <f>Scenarios!$B$96</f>
        <v>Equity Drop -60%</v>
      </c>
      <c r="F1032" s="1494"/>
      <c r="G1032" s="1494"/>
      <c r="H1032" s="1106">
        <f>Scenarios!P96</f>
        <v>0</v>
      </c>
      <c r="U1032" s="1027"/>
      <c r="V1032" s="1027"/>
      <c r="W1032" s="1027"/>
    </row>
    <row r="1033" spans="2:23" ht="12.75" customHeight="1" x14ac:dyDescent="0.2">
      <c r="B1033" s="1083">
        <f>Scenarios!$A$1</f>
        <v>14</v>
      </c>
      <c r="C1033" s="1084" t="str">
        <f>Scenarios!$B$1</f>
        <v>Szenarien</v>
      </c>
      <c r="D1033" s="1558" t="str">
        <f>Scenarios!$N$13</f>
        <v>Änderungen</v>
      </c>
      <c r="E1033" s="1488" t="str">
        <f>Scenarios!$B$97</f>
        <v>Immobilien Crash</v>
      </c>
      <c r="F1033" s="1494"/>
      <c r="G1033" s="1494"/>
      <c r="H1033" s="1106">
        <f>Scenarios!P97</f>
        <v>0</v>
      </c>
      <c r="U1033" s="1027"/>
      <c r="V1033" s="1027"/>
      <c r="W1033" s="1027"/>
    </row>
    <row r="1034" spans="2:23" ht="12.75" customHeight="1" x14ac:dyDescent="0.2">
      <c r="B1034" s="1083">
        <f>Scenarios!$A$1</f>
        <v>14</v>
      </c>
      <c r="C1034" s="1084" t="str">
        <f>Scenarios!$B$1</f>
        <v>Szenarien</v>
      </c>
      <c r="D1034" s="1558" t="str">
        <f>Scenarios!$N$13</f>
        <v>Änderungen</v>
      </c>
      <c r="E1034" s="1488" t="str">
        <f>Scenarios!$B$98</f>
        <v>Aktienmarkt crash (1987)</v>
      </c>
      <c r="F1034" s="1494"/>
      <c r="G1034" s="1494"/>
      <c r="H1034" s="1106">
        <f>Scenarios!P98</f>
        <v>0</v>
      </c>
      <c r="U1034" s="1027"/>
      <c r="V1034" s="1027"/>
      <c r="W1034" s="1027"/>
    </row>
    <row r="1035" spans="2:23" ht="12.75" customHeight="1" x14ac:dyDescent="0.2">
      <c r="B1035" s="1083">
        <f>Scenarios!$A$1</f>
        <v>14</v>
      </c>
      <c r="C1035" s="1084" t="str">
        <f>Scenarios!$B$1</f>
        <v>Szenarien</v>
      </c>
      <c r="D1035" s="1558" t="str">
        <f>Scenarios!$N$13</f>
        <v>Änderungen</v>
      </c>
      <c r="E1035" s="1488" t="str">
        <f>Scenarios!$B$99</f>
        <v>Nikkei crash (1989/90)</v>
      </c>
      <c r="F1035" s="1494"/>
      <c r="G1035" s="1494"/>
      <c r="H1035" s="1106">
        <f>Scenarios!P99</f>
        <v>0</v>
      </c>
      <c r="U1035" s="1027"/>
      <c r="V1035" s="1027"/>
      <c r="W1035" s="1027"/>
    </row>
    <row r="1036" spans="2:23" ht="12.75" customHeight="1" x14ac:dyDescent="0.2">
      <c r="B1036" s="1083">
        <f>Scenarios!$A$1</f>
        <v>14</v>
      </c>
      <c r="C1036" s="1084" t="str">
        <f>Scenarios!$B$1</f>
        <v>Szenarien</v>
      </c>
      <c r="D1036" s="1558" t="str">
        <f>Scenarios!$N$13</f>
        <v>Änderungen</v>
      </c>
      <c r="E1036" s="1488" t="str">
        <f>Scenarios!$B$100</f>
        <v>Europäische Währungskrise (1992)</v>
      </c>
      <c r="F1036" s="1494"/>
      <c r="G1036" s="1494"/>
      <c r="H1036" s="1106">
        <f>Scenarios!P100</f>
        <v>0</v>
      </c>
      <c r="U1036" s="1027"/>
      <c r="V1036" s="1027"/>
      <c r="W1036" s="1027"/>
    </row>
    <row r="1037" spans="2:23" ht="12.75" customHeight="1" x14ac:dyDescent="0.2">
      <c r="B1037" s="1083">
        <f>Scenarios!$A$1</f>
        <v>14</v>
      </c>
      <c r="C1037" s="1084" t="str">
        <f>Scenarios!$B$1</f>
        <v>Szenarien</v>
      </c>
      <c r="D1037" s="1558" t="str">
        <f>Scenarios!$N$13</f>
        <v>Änderungen</v>
      </c>
      <c r="E1037" s="1488" t="str">
        <f>Scenarios!$B$101</f>
        <v>US Zinskrise (1994)</v>
      </c>
      <c r="F1037" s="1494"/>
      <c r="G1037" s="1494"/>
      <c r="H1037" s="1106">
        <f>Scenarios!P101</f>
        <v>0</v>
      </c>
      <c r="U1037" s="1027"/>
      <c r="V1037" s="1027"/>
      <c r="W1037" s="1027"/>
    </row>
    <row r="1038" spans="2:23" ht="12.75" customHeight="1" x14ac:dyDescent="0.2">
      <c r="B1038" s="1083">
        <f>Scenarios!$A$1</f>
        <v>14</v>
      </c>
      <c r="C1038" s="1084" t="str">
        <f>Scenarios!$B$1</f>
        <v>Szenarien</v>
      </c>
      <c r="D1038" s="1558" t="str">
        <f>Scenarios!$N$13</f>
        <v>Änderungen</v>
      </c>
      <c r="E1038" s="1488" t="str">
        <f>Scenarios!$B$102</f>
        <v>Russland Krise / LTCM (1998)</v>
      </c>
      <c r="F1038" s="1494"/>
      <c r="G1038" s="1494"/>
      <c r="H1038" s="1106">
        <f>Scenarios!P102</f>
        <v>0</v>
      </c>
      <c r="U1038" s="1027"/>
      <c r="V1038" s="1027"/>
      <c r="W1038" s="1027"/>
    </row>
    <row r="1039" spans="2:23" ht="12.75" customHeight="1" x14ac:dyDescent="0.2">
      <c r="B1039" s="1083">
        <f>Scenarios!$A$1</f>
        <v>14</v>
      </c>
      <c r="C1039" s="1084" t="str">
        <f>Scenarios!$B$1</f>
        <v>Szenarien</v>
      </c>
      <c r="D1039" s="1558" t="str">
        <f>Scenarios!$N$13</f>
        <v>Änderungen</v>
      </c>
      <c r="E1039" s="1488" t="str">
        <f>Scenarios!$B$103</f>
        <v>Aktienmarkt crash (2000/2001)</v>
      </c>
      <c r="F1039" s="1494"/>
      <c r="G1039" s="1494"/>
      <c r="H1039" s="1106">
        <f>Scenarios!P103</f>
        <v>0</v>
      </c>
      <c r="U1039" s="1027"/>
      <c r="V1039" s="1027"/>
      <c r="W1039" s="1027"/>
    </row>
    <row r="1040" spans="2:23" ht="12.75" customHeight="1" x14ac:dyDescent="0.2">
      <c r="B1040" s="1083">
        <f>Scenarios!$A$1</f>
        <v>14</v>
      </c>
      <c r="C1040" s="1084" t="str">
        <f>Scenarios!$B$1</f>
        <v>Szenarien</v>
      </c>
      <c r="D1040" s="1558" t="str">
        <f>Scenarios!$N$13</f>
        <v>Änderungen</v>
      </c>
      <c r="E1040" s="1488" t="str">
        <f>Scenarios!$B$104</f>
        <v>Globale Deflation</v>
      </c>
      <c r="F1040" s="1494"/>
      <c r="G1040" s="1494"/>
      <c r="H1040" s="1106">
        <f>Scenarios!P104</f>
        <v>0</v>
      </c>
      <c r="U1040" s="1027"/>
      <c r="V1040" s="1027"/>
      <c r="W1040" s="1027"/>
    </row>
    <row r="1041" spans="2:23" ht="12.75" customHeight="1" x14ac:dyDescent="0.2">
      <c r="B1041" s="1083">
        <f>Scenarios!$A$1</f>
        <v>14</v>
      </c>
      <c r="C1041" s="1084" t="str">
        <f>Scenarios!$B$1</f>
        <v>Szenarien</v>
      </c>
      <c r="D1041" s="1558" t="str">
        <f>Scenarios!$N$13</f>
        <v>Änderungen</v>
      </c>
      <c r="E1041" s="1488" t="str">
        <f>Scenarios!$B$105</f>
        <v>Globale Inflation</v>
      </c>
      <c r="F1041" s="1494"/>
      <c r="G1041" s="1494"/>
      <c r="H1041" s="1106">
        <f>Scenarios!P105</f>
        <v>0</v>
      </c>
      <c r="U1041" s="1027"/>
      <c r="V1041" s="1027"/>
      <c r="W1041" s="1027"/>
    </row>
    <row r="1042" spans="2:23" ht="12.75" customHeight="1" x14ac:dyDescent="0.2">
      <c r="B1042" s="1083">
        <f>Scenarios!$A$1</f>
        <v>14</v>
      </c>
      <c r="C1042" s="1084" t="str">
        <f>Scenarios!$B$1</f>
        <v>Szenarien</v>
      </c>
      <c r="D1042" s="1558" t="str">
        <f>Scenarios!$N$13</f>
        <v>Änderungen</v>
      </c>
      <c r="E1042" s="1488" t="str">
        <f>Scenarios!$B$106</f>
        <v>Finanzkrise 2008</v>
      </c>
      <c r="F1042" s="1494"/>
      <c r="G1042" s="1494"/>
      <c r="H1042" s="1106">
        <f>Scenarios!P106</f>
        <v>0</v>
      </c>
      <c r="U1042" s="1027"/>
      <c r="V1042" s="1027"/>
      <c r="W1042" s="1027"/>
    </row>
    <row r="1043" spans="2:23" ht="12.75" customHeight="1" x14ac:dyDescent="0.2">
      <c r="B1043" s="1083">
        <f>Scenarios!$A$1</f>
        <v>14</v>
      </c>
      <c r="C1043" s="1084" t="str">
        <f>Scenarios!$B$1</f>
        <v>Szenarien</v>
      </c>
      <c r="D1043" s="1558" t="str">
        <f>Scenarios!$N$13</f>
        <v>Änderungen</v>
      </c>
      <c r="E1043" s="1488" t="s">
        <v>441</v>
      </c>
      <c r="F1043" s="1494"/>
      <c r="G1043" s="1564" t="s">
        <v>1810</v>
      </c>
      <c r="H1043" s="1565"/>
      <c r="U1043" s="1027"/>
      <c r="V1043" s="1027"/>
      <c r="W1043" s="1027"/>
    </row>
    <row r="1044" spans="2:23" ht="12.75" customHeight="1" x14ac:dyDescent="0.2">
      <c r="B1044" s="1083">
        <f>Scenarios!$A$1</f>
        <v>14</v>
      </c>
      <c r="C1044" s="1084" t="str">
        <f>Scenarios!$B$1</f>
        <v>Szenarien</v>
      </c>
      <c r="D1044" s="1558" t="str">
        <f>Scenarios!$N$13</f>
        <v>Änderungen</v>
      </c>
      <c r="E1044" s="1488" t="s">
        <v>223</v>
      </c>
      <c r="F1044" s="1494"/>
      <c r="G1044" s="1564" t="s">
        <v>1810</v>
      </c>
      <c r="H1044" s="1565"/>
      <c r="U1044" s="1027"/>
      <c r="V1044" s="1027"/>
      <c r="W1044" s="1027"/>
    </row>
    <row r="1045" spans="2:23" ht="12.75" customHeight="1" x14ac:dyDescent="0.2">
      <c r="B1045" s="1083">
        <f>Scenarios!$A$1</f>
        <v>14</v>
      </c>
      <c r="C1045" s="1084" t="str">
        <f>Scenarios!$B$1</f>
        <v>Szenarien</v>
      </c>
      <c r="D1045" s="1558" t="str">
        <f>Scenarios!$N$13</f>
        <v>Änderungen</v>
      </c>
      <c r="E1045" s="1488" t="s">
        <v>356</v>
      </c>
      <c r="F1045" s="1494"/>
      <c r="G1045" s="1564" t="s">
        <v>1810</v>
      </c>
      <c r="H1045" s="1565"/>
      <c r="U1045" s="1027"/>
      <c r="V1045" s="1027"/>
      <c r="W1045" s="1027"/>
    </row>
    <row r="1046" spans="2:23" ht="12.75" customHeight="1" x14ac:dyDescent="0.2">
      <c r="B1046" s="1083">
        <f>Scenarios!$A$1</f>
        <v>14</v>
      </c>
      <c r="C1046" s="1084" t="str">
        <f>Scenarios!$B$1</f>
        <v>Szenarien</v>
      </c>
      <c r="D1046" s="1558" t="str">
        <f>Scenarios!$N$13</f>
        <v>Änderungen</v>
      </c>
      <c r="E1046" s="1488" t="s">
        <v>357</v>
      </c>
      <c r="F1046" s="1494"/>
      <c r="G1046" s="1564" t="s">
        <v>1810</v>
      </c>
      <c r="H1046" s="1565"/>
      <c r="U1046" s="1027"/>
      <c r="V1046" s="1027"/>
      <c r="W1046" s="1027"/>
    </row>
    <row r="1047" spans="2:23" ht="12.75" customHeight="1" x14ac:dyDescent="0.2">
      <c r="B1047" s="1083">
        <f>Scenarios!$A$1</f>
        <v>14</v>
      </c>
      <c r="C1047" s="1084" t="str">
        <f>Scenarios!$B$1</f>
        <v>Szenarien</v>
      </c>
      <c r="D1047" s="1558" t="str">
        <f>Scenarios!$N$13</f>
        <v>Änderungen</v>
      </c>
      <c r="E1047" s="1488" t="s">
        <v>442</v>
      </c>
      <c r="F1047" s="1494"/>
      <c r="G1047" s="1564" t="s">
        <v>1810</v>
      </c>
      <c r="H1047" s="1565"/>
      <c r="U1047" s="1027"/>
      <c r="V1047" s="1027"/>
      <c r="W1047" s="1027"/>
    </row>
    <row r="1048" spans="2:23" ht="12.75" customHeight="1" thickBot="1" x14ac:dyDescent="0.25">
      <c r="B1048" s="1085">
        <f>Scenarios!$A$1</f>
        <v>14</v>
      </c>
      <c r="C1048" s="1086" t="str">
        <f>Scenarios!$B$1</f>
        <v>Szenarien</v>
      </c>
      <c r="D1048" s="1559" t="str">
        <f>Scenarios!$N$13</f>
        <v>Änderungen</v>
      </c>
      <c r="E1048" s="1488" t="s">
        <v>443</v>
      </c>
      <c r="F1048" s="1500"/>
      <c r="G1048" s="1564" t="s">
        <v>1810</v>
      </c>
      <c r="H1048" s="1566"/>
      <c r="U1048" s="1027"/>
      <c r="V1048" s="1027"/>
      <c r="W1048" s="1027"/>
    </row>
    <row r="1049" spans="2:23" ht="12.75" customHeight="1" thickBot="1" x14ac:dyDescent="0.25">
      <c r="B1049" s="1087"/>
      <c r="C1049" s="1087"/>
      <c r="D1049" s="1075"/>
      <c r="E1049" s="1483"/>
      <c r="F1049" s="1484"/>
      <c r="G1049" s="1484"/>
      <c r="H1049" s="1035"/>
      <c r="U1049" s="1027"/>
      <c r="V1049" s="1027"/>
      <c r="W1049" s="1027"/>
    </row>
    <row r="1050" spans="2:23" ht="12.75" customHeight="1" x14ac:dyDescent="0.2">
      <c r="B1050" s="1080">
        <f>Credit_Risk!$A$1</f>
        <v>15</v>
      </c>
      <c r="C1050" s="1081" t="str">
        <f>Credit_Risk!$B$1</f>
        <v>Kreditrisiko</v>
      </c>
      <c r="D1050" s="1082" t="str">
        <f>Credit_Risk!$B16</f>
        <v>1 Zentralregierungen und Zentralbanken</v>
      </c>
      <c r="E1050" s="1486"/>
      <c r="F1050" s="1492"/>
      <c r="G1050" s="1492"/>
      <c r="H1050" s="1107">
        <f>Credit_Risk!$E16</f>
        <v>0</v>
      </c>
      <c r="U1050" s="1027"/>
      <c r="V1050" s="1027"/>
      <c r="W1050" s="1027"/>
    </row>
    <row r="1051" spans="2:23" x14ac:dyDescent="0.2">
      <c r="B1051" s="1083">
        <f>Credit_Risk!$A$1</f>
        <v>15</v>
      </c>
      <c r="C1051" s="1084" t="str">
        <f>Credit_Risk!$B$1</f>
        <v>Kreditrisiko</v>
      </c>
      <c r="D1051" s="1091" t="str">
        <f>Credit_Risk!$B17</f>
        <v>2 Öffentlichrechtliche Körperschaften</v>
      </c>
      <c r="E1051" s="1488"/>
      <c r="F1051" s="1494"/>
      <c r="G1051" s="1494"/>
      <c r="H1051" s="1108">
        <f>Credit_Risk!$E17</f>
        <v>0</v>
      </c>
      <c r="U1051" s="1027"/>
      <c r="V1051" s="1027"/>
      <c r="W1051" s="1027"/>
    </row>
    <row r="1052" spans="2:23" x14ac:dyDescent="0.2">
      <c r="B1052" s="1083">
        <f>Credit_Risk!$A$1</f>
        <v>15</v>
      </c>
      <c r="C1052" s="1084" t="str">
        <f>Credit_Risk!$B$1</f>
        <v>Kreditrisiko</v>
      </c>
      <c r="D1052" s="1091" t="str">
        <f>Credit_Risk!$B18</f>
        <v>3 BIZ, IWF und multilaterale Entwicklungsbanken</v>
      </c>
      <c r="E1052" s="1488"/>
      <c r="F1052" s="1494"/>
      <c r="G1052" s="1494"/>
      <c r="H1052" s="1108">
        <f>Credit_Risk!$E18</f>
        <v>0</v>
      </c>
      <c r="U1052" s="1027"/>
      <c r="V1052" s="1027"/>
      <c r="W1052" s="1027"/>
    </row>
    <row r="1053" spans="2:23" x14ac:dyDescent="0.2">
      <c r="B1053" s="1083">
        <f>Credit_Risk!$A$1</f>
        <v>15</v>
      </c>
      <c r="C1053" s="1084" t="str">
        <f>Credit_Risk!$B$1</f>
        <v>Kreditrisiko</v>
      </c>
      <c r="D1053" s="1091" t="str">
        <f>Credit_Risk!$B19</f>
        <v>4 Banken und Effektenhändler</v>
      </c>
      <c r="E1053" s="1488"/>
      <c r="F1053" s="1494"/>
      <c r="G1053" s="1494"/>
      <c r="H1053" s="1108">
        <f>Credit_Risk!$E19</f>
        <v>0</v>
      </c>
      <c r="U1053" s="1027"/>
      <c r="V1053" s="1027"/>
      <c r="W1053" s="1027"/>
    </row>
    <row r="1054" spans="2:23" x14ac:dyDescent="0.2">
      <c r="B1054" s="1083">
        <f>Credit_Risk!$A$1</f>
        <v>15</v>
      </c>
      <c r="C1054" s="1084" t="str">
        <f>Credit_Risk!$B$1</f>
        <v>Kreditrisiko</v>
      </c>
      <c r="D1054" s="1091" t="str">
        <f>Credit_Risk!$B20</f>
        <v>5 Gemeinschaftseinrichtungen</v>
      </c>
      <c r="E1054" s="1488"/>
      <c r="F1054" s="1494"/>
      <c r="G1054" s="1494"/>
      <c r="H1054" s="1108">
        <f>Credit_Risk!$E20</f>
        <v>0</v>
      </c>
      <c r="U1054" s="1027"/>
      <c r="V1054" s="1027"/>
      <c r="W1054" s="1027"/>
    </row>
    <row r="1055" spans="2:23" x14ac:dyDescent="0.2">
      <c r="B1055" s="1083">
        <f>Credit_Risk!$A$1</f>
        <v>15</v>
      </c>
      <c r="C1055" s="1084" t="str">
        <f>Credit_Risk!$B$1</f>
        <v>Kreditrisiko</v>
      </c>
      <c r="D1055" s="1091" t="str">
        <f>Credit_Risk!$B21</f>
        <v>6 Börsen und Clearinghäuser</v>
      </c>
      <c r="E1055" s="1488"/>
      <c r="F1055" s="1494"/>
      <c r="G1055" s="1494"/>
      <c r="H1055" s="1108">
        <f>Credit_Risk!$E21</f>
        <v>0</v>
      </c>
      <c r="U1055" s="1027"/>
      <c r="V1055" s="1027"/>
      <c r="W1055" s="1027"/>
    </row>
    <row r="1056" spans="2:23" x14ac:dyDescent="0.2">
      <c r="B1056" s="1083">
        <f>Credit_Risk!$A$1</f>
        <v>15</v>
      </c>
      <c r="C1056" s="1084" t="str">
        <f>Credit_Risk!$B$1</f>
        <v>Kreditrisiko</v>
      </c>
      <c r="D1056" s="1091" t="str">
        <f>Credit_Risk!$B22</f>
        <v xml:space="preserve">7 Unternehmen </v>
      </c>
      <c r="E1056" s="1488"/>
      <c r="F1056" s="1494"/>
      <c r="G1056" s="1494"/>
      <c r="H1056" s="1108">
        <f>Credit_Risk!$E22</f>
        <v>0</v>
      </c>
      <c r="U1056" s="1027"/>
      <c r="V1056" s="1027"/>
      <c r="W1056" s="1027"/>
    </row>
    <row r="1057" spans="2:23" x14ac:dyDescent="0.2">
      <c r="B1057" s="1083">
        <f>Credit_Risk!$A$1</f>
        <v>15</v>
      </c>
      <c r="C1057" s="1084" t="str">
        <f>Credit_Risk!$B$1</f>
        <v>Kreditrisiko</v>
      </c>
      <c r="D1057" s="1091" t="str">
        <f>Credit_Risk!$B23</f>
        <v xml:space="preserve">8 Verbriefungen </v>
      </c>
      <c r="E1057" s="1488"/>
      <c r="F1057" s="1494"/>
      <c r="G1057" s="1494"/>
      <c r="H1057" s="1108">
        <f>Credit_Risk!$E23</f>
        <v>0</v>
      </c>
      <c r="U1057" s="1027"/>
      <c r="V1057" s="1027"/>
      <c r="W1057" s="1027"/>
    </row>
    <row r="1058" spans="2:23" x14ac:dyDescent="0.2">
      <c r="B1058" s="1083">
        <f>Credit_Risk!$A$1</f>
        <v>15</v>
      </c>
      <c r="C1058" s="1084" t="str">
        <f>Credit_Risk!$B$1</f>
        <v>Kreditrisiko</v>
      </c>
      <c r="D1058" s="1091" t="str">
        <f>Credit_Risk!$B26</f>
        <v>1 Natürliche Personen und Kleinnunternehmen (Retail)</v>
      </c>
      <c r="E1058" s="1488"/>
      <c r="F1058" s="1494"/>
      <c r="G1058" s="1494"/>
      <c r="H1058" s="1108">
        <f>Credit_Risk!$E26</f>
        <v>0</v>
      </c>
      <c r="U1058" s="1027"/>
      <c r="V1058" s="1027"/>
      <c r="W1058" s="1027"/>
    </row>
    <row r="1059" spans="2:23" x14ac:dyDescent="0.2">
      <c r="B1059" s="1083">
        <f>Credit_Risk!$A$1</f>
        <v>15</v>
      </c>
      <c r="C1059" s="1084" t="str">
        <f>Credit_Risk!$B$1</f>
        <v>Kreditrisiko</v>
      </c>
      <c r="D1059" s="1091" t="str">
        <f>Credit_Risk!$B27</f>
        <v>2 Pfandbriefe</v>
      </c>
      <c r="E1059" s="1488"/>
      <c r="F1059" s="1494"/>
      <c r="G1059" s="1494"/>
      <c r="H1059" s="1108">
        <f>Credit_Risk!$E27</f>
        <v>0</v>
      </c>
      <c r="U1059" s="1027"/>
      <c r="V1059" s="1027"/>
      <c r="W1059" s="1027"/>
    </row>
    <row r="1060" spans="2:23" x14ac:dyDescent="0.2">
      <c r="B1060" s="1083">
        <f>Credit_Risk!$A$1</f>
        <v>15</v>
      </c>
      <c r="C1060" s="1084" t="str">
        <f>Credit_Risk!$B$1</f>
        <v>Kreditrisiko</v>
      </c>
      <c r="D1060" s="1091" t="str">
        <f>Credit_Risk!$B28</f>
        <v>3 Direkt und indirekt grundpandgesicherte Positionen</v>
      </c>
      <c r="E1060" s="1488"/>
      <c r="F1060" s="1494"/>
      <c r="G1060" s="1494"/>
      <c r="H1060" s="1108">
        <f>Credit_Risk!$E28</f>
        <v>0</v>
      </c>
      <c r="U1060" s="1027"/>
      <c r="V1060" s="1027"/>
      <c r="W1060" s="1027"/>
    </row>
    <row r="1061" spans="2:23" x14ac:dyDescent="0.2">
      <c r="B1061" s="1083">
        <f>Credit_Risk!$A$1</f>
        <v>15</v>
      </c>
      <c r="C1061" s="1084" t="str">
        <f>Credit_Risk!$B$1</f>
        <v>Kreditrisiko</v>
      </c>
      <c r="D1061" s="1091" t="str">
        <f>Credit_Risk!$B29</f>
        <v>4 Nachrangige Positionen</v>
      </c>
      <c r="E1061" s="1488"/>
      <c r="F1061" s="1494"/>
      <c r="G1061" s="1494"/>
      <c r="H1061" s="1108">
        <f>Credit_Risk!$E29</f>
        <v>0</v>
      </c>
      <c r="U1061" s="1027"/>
      <c r="V1061" s="1027"/>
      <c r="W1061" s="1027"/>
    </row>
    <row r="1062" spans="2:23" x14ac:dyDescent="0.2">
      <c r="B1062" s="1083">
        <f>Credit_Risk!$A$1</f>
        <v>15</v>
      </c>
      <c r="C1062" s="1084" t="str">
        <f>Credit_Risk!$B$1</f>
        <v>Kreditrisiko</v>
      </c>
      <c r="D1062" s="1091" t="str">
        <f>Credit_Risk!$B30</f>
        <v>5 Überfällige Positionen</v>
      </c>
      <c r="E1062" s="1488"/>
      <c r="F1062" s="1494"/>
      <c r="G1062" s="1494"/>
      <c r="H1062" s="1108">
        <f>Credit_Risk!$E30</f>
        <v>0</v>
      </c>
      <c r="U1062" s="1027"/>
      <c r="V1062" s="1027"/>
      <c r="W1062" s="1027"/>
    </row>
    <row r="1063" spans="2:23" x14ac:dyDescent="0.2">
      <c r="B1063" s="1083">
        <f>Credit_Risk!$A$1</f>
        <v>15</v>
      </c>
      <c r="C1063" s="1084" t="str">
        <f>Credit_Risk!$B$1</f>
        <v>Kreditrisiko</v>
      </c>
      <c r="D1063" s="1091" t="str">
        <f>Credit_Risk!$B31</f>
        <v>6 Übrige Positionen</v>
      </c>
      <c r="E1063" s="1488"/>
      <c r="F1063" s="1494"/>
      <c r="G1063" s="1494"/>
      <c r="H1063" s="1108">
        <f>Credit_Risk!$E31</f>
        <v>0</v>
      </c>
      <c r="U1063" s="1027"/>
      <c r="V1063" s="1027"/>
      <c r="W1063" s="1027"/>
    </row>
    <row r="1064" spans="2:23" x14ac:dyDescent="0.2">
      <c r="B1064" s="1083">
        <f>Credit_Risk!$A$1</f>
        <v>15</v>
      </c>
      <c r="C1064" s="1084" t="str">
        <f>Credit_Risk!$B$1</f>
        <v>Kreditrisiko</v>
      </c>
      <c r="D1064" s="1091" t="str">
        <f>Credit_Risk!$A$34</f>
        <v xml:space="preserve">Summe der risikogewichteten Positionen </v>
      </c>
      <c r="E1064" s="1488"/>
      <c r="F1064" s="1494"/>
      <c r="G1064" s="1494"/>
      <c r="H1064" s="1108">
        <f>Credit_Risk!$E34</f>
        <v>0</v>
      </c>
      <c r="U1064" s="1027"/>
      <c r="V1064" s="1027"/>
      <c r="W1064" s="1027"/>
    </row>
    <row r="1065" spans="2:23" ht="13.5" thickBot="1" x14ac:dyDescent="0.25">
      <c r="B1065" s="1085">
        <f>Credit_Risk!$A$1</f>
        <v>15</v>
      </c>
      <c r="C1065" s="1086" t="str">
        <f>Credit_Risk!$B$1</f>
        <v>Kreditrisiko</v>
      </c>
      <c r="D1065" s="1092" t="str">
        <f>Credit_Risk!$A$37</f>
        <v>Kapitalbedarf für Kreditrisiko</v>
      </c>
      <c r="E1065" s="1499"/>
      <c r="F1065" s="1500"/>
      <c r="G1065" s="1500"/>
      <c r="H1065" s="1109">
        <f>Credit_Risk!$E37</f>
        <v>0</v>
      </c>
      <c r="U1065" s="1027"/>
      <c r="V1065" s="1027"/>
      <c r="W1065" s="1027"/>
    </row>
    <row r="1066" spans="2:23" ht="13.5" thickBot="1" x14ac:dyDescent="0.25">
      <c r="B1066" s="1087"/>
      <c r="C1066" s="1087"/>
      <c r="D1066" s="1075"/>
      <c r="E1066" s="1483"/>
      <c r="F1066" s="1484"/>
      <c r="G1066" s="1484"/>
      <c r="H1066" s="1035"/>
      <c r="U1066" s="1027"/>
      <c r="V1066" s="1027"/>
      <c r="W1066" s="1027"/>
    </row>
    <row r="1067" spans="2:23" ht="12.75" customHeight="1" x14ac:dyDescent="0.2">
      <c r="B1067" s="1080" t="str">
        <f>'Input Basel III'!$A$1</f>
        <v>15b</v>
      </c>
      <c r="C1067" s="1081" t="str">
        <f>'Input Basel III'!$B$1</f>
        <v>Input Basel III</v>
      </c>
      <c r="D1067" s="1082" t="str">
        <f>'Input Basel III'!$A$5</f>
        <v>1 Zentralregierungen und Zentralbanken</v>
      </c>
      <c r="E1067" s="1486" t="str">
        <f>'Input Basel III'!$B$14</f>
        <v>Risikogewicht 0%</v>
      </c>
      <c r="F1067" s="1492" t="str">
        <f>'Input Basel III'!$C$12</f>
        <v>Risikogewicht</v>
      </c>
      <c r="G1067" s="1492"/>
      <c r="H1067" s="1515">
        <f>'Input Basel III'!$C14</f>
        <v>0</v>
      </c>
      <c r="U1067" s="1027"/>
      <c r="V1067" s="1027"/>
      <c r="W1067" s="1027"/>
    </row>
    <row r="1068" spans="2:23" ht="12.75" customHeight="1" x14ac:dyDescent="0.2">
      <c r="B1068" s="1083" t="str">
        <f>'Input Basel III'!$A$1</f>
        <v>15b</v>
      </c>
      <c r="C1068" s="1084" t="str">
        <f>'Input Basel III'!$B$1</f>
        <v>Input Basel III</v>
      </c>
      <c r="D1068" s="1091" t="str">
        <f>'Input Basel III'!$A$5</f>
        <v>1 Zentralregierungen und Zentralbanken</v>
      </c>
      <c r="E1068" s="1516" t="str">
        <f>'Input Basel III'!$B$15</f>
        <v>Risikogewicht 20%</v>
      </c>
      <c r="F1068" s="1494" t="str">
        <f>'Input Basel III'!$C$12</f>
        <v>Risikogewicht</v>
      </c>
      <c r="G1068" s="1494"/>
      <c r="H1068" s="1517">
        <f>'Input Basel III'!$C15</f>
        <v>0.2</v>
      </c>
      <c r="U1068" s="1027"/>
      <c r="V1068" s="1027"/>
      <c r="W1068" s="1027"/>
    </row>
    <row r="1069" spans="2:23" ht="12.75" customHeight="1" x14ac:dyDescent="0.2">
      <c r="B1069" s="1083" t="str">
        <f>'Input Basel III'!$A$1</f>
        <v>15b</v>
      </c>
      <c r="C1069" s="1084" t="str">
        <f>'Input Basel III'!$B$1</f>
        <v>Input Basel III</v>
      </c>
      <c r="D1069" s="1091" t="str">
        <f>'Input Basel III'!$A$5</f>
        <v>1 Zentralregierungen und Zentralbanken</v>
      </c>
      <c r="E1069" s="1516" t="str">
        <f>'Input Basel III'!$B$16</f>
        <v>Risikogewicht 50%</v>
      </c>
      <c r="F1069" s="1494" t="str">
        <f>'Input Basel III'!$C$12</f>
        <v>Risikogewicht</v>
      </c>
      <c r="G1069" s="1494"/>
      <c r="H1069" s="1517">
        <f>'Input Basel III'!$C16</f>
        <v>0.5</v>
      </c>
      <c r="U1069" s="1027"/>
      <c r="V1069" s="1027"/>
      <c r="W1069" s="1027"/>
    </row>
    <row r="1070" spans="2:23" ht="12.75" customHeight="1" x14ac:dyDescent="0.2">
      <c r="B1070" s="1083" t="str">
        <f>'Input Basel III'!$A$1</f>
        <v>15b</v>
      </c>
      <c r="C1070" s="1084" t="str">
        <f>'Input Basel III'!$B$1</f>
        <v>Input Basel III</v>
      </c>
      <c r="D1070" s="1091" t="str">
        <f>'Input Basel III'!$A$5</f>
        <v>1 Zentralregierungen und Zentralbanken</v>
      </c>
      <c r="E1070" s="1488" t="str">
        <f>'Input Basel III'!$B$17</f>
        <v>Risikogewicht 100% (ohne ungeratete Positionen)</v>
      </c>
      <c r="F1070" s="1494" t="str">
        <f>'Input Basel III'!$C$12</f>
        <v>Risikogewicht</v>
      </c>
      <c r="G1070" s="1494"/>
      <c r="H1070" s="1517">
        <f>'Input Basel III'!$C17</f>
        <v>1</v>
      </c>
      <c r="U1070" s="1027"/>
      <c r="V1070" s="1027"/>
      <c r="W1070" s="1027"/>
    </row>
    <row r="1071" spans="2:23" ht="12.75" customHeight="1" x14ac:dyDescent="0.2">
      <c r="B1071" s="1083" t="str">
        <f>'Input Basel III'!$A$1</f>
        <v>15b</v>
      </c>
      <c r="C1071" s="1084" t="str">
        <f>'Input Basel III'!$B$1</f>
        <v>Input Basel III</v>
      </c>
      <c r="D1071" s="1091" t="str">
        <f>'Input Basel III'!$A$5</f>
        <v>1 Zentralregierungen und Zentralbanken</v>
      </c>
      <c r="E1071" s="1516" t="str">
        <f>'Input Basel III'!$B$19</f>
        <v>Nicht geratet 100%</v>
      </c>
      <c r="F1071" s="1494" t="str">
        <f>'Input Basel III'!$C$12</f>
        <v>Risikogewicht</v>
      </c>
      <c r="G1071" s="1494"/>
      <c r="H1071" s="1517">
        <f>'Input Basel III'!$C19</f>
        <v>1</v>
      </c>
      <c r="U1071" s="1027"/>
      <c r="V1071" s="1027"/>
      <c r="W1071" s="1027"/>
    </row>
    <row r="1072" spans="2:23" ht="12.75" customHeight="1" x14ac:dyDescent="0.2">
      <c r="B1072" s="1083" t="str">
        <f>'Input Basel III'!$A$1</f>
        <v>15b</v>
      </c>
      <c r="C1072" s="1084" t="str">
        <f>'Input Basel III'!$B$1</f>
        <v>Input Basel III</v>
      </c>
      <c r="D1072" s="1091" t="str">
        <f>'Input Basel III'!$A$5</f>
        <v>1 Zentralregierungen und Zentralbanken</v>
      </c>
      <c r="E1072" s="1110">
        <f>'Input Basel III'!$B$20</f>
        <v>0</v>
      </c>
      <c r="F1072" s="1494" t="str">
        <f>'Input Basel III'!$C$12</f>
        <v>Risikogewicht</v>
      </c>
      <c r="G1072" s="1494"/>
      <c r="H1072" s="1111">
        <f>'Input Basel III'!$C20</f>
        <v>0</v>
      </c>
      <c r="U1072" s="1027"/>
      <c r="V1072" s="1027"/>
      <c r="W1072" s="1027"/>
    </row>
    <row r="1073" spans="2:23" ht="12.75" customHeight="1" x14ac:dyDescent="0.2">
      <c r="B1073" s="1083" t="str">
        <f>'Input Basel III'!$A$1</f>
        <v>15b</v>
      </c>
      <c r="C1073" s="1084" t="str">
        <f>'Input Basel III'!$B$1</f>
        <v>Input Basel III</v>
      </c>
      <c r="D1073" s="1091" t="str">
        <f>'Input Basel III'!$A$5</f>
        <v>1 Zentralregierungen und Zentralbanken</v>
      </c>
      <c r="E1073" s="1488" t="str">
        <f>'Input Basel III'!$B$14</f>
        <v>Risikogewicht 0%</v>
      </c>
      <c r="F1073" s="1494" t="str">
        <f>'Input Basel III'!$G$12</f>
        <v>Positionen ohne Kreditrisikominderung (CRM)</v>
      </c>
      <c r="G1073" s="1494"/>
      <c r="H1073" s="1518">
        <f>'Input Basel III'!$G14</f>
        <v>0</v>
      </c>
      <c r="U1073" s="1027"/>
      <c r="V1073" s="1027"/>
      <c r="W1073" s="1027"/>
    </row>
    <row r="1074" spans="2:23" ht="12.75" customHeight="1" x14ac:dyDescent="0.2">
      <c r="B1074" s="1083" t="str">
        <f>'Input Basel III'!$A$1</f>
        <v>15b</v>
      </c>
      <c r="C1074" s="1084" t="str">
        <f>'Input Basel III'!$B$1</f>
        <v>Input Basel III</v>
      </c>
      <c r="D1074" s="1091" t="str">
        <f>'Input Basel III'!$A$5</f>
        <v>1 Zentralregierungen und Zentralbanken</v>
      </c>
      <c r="E1074" s="1516" t="str">
        <f>'Input Basel III'!$B$15</f>
        <v>Risikogewicht 20%</v>
      </c>
      <c r="F1074" s="1494" t="str">
        <f>'Input Basel III'!$G$12</f>
        <v>Positionen ohne Kreditrisikominderung (CRM)</v>
      </c>
      <c r="G1074" s="1494"/>
      <c r="H1074" s="1518">
        <f>'Input Basel III'!$G15</f>
        <v>0</v>
      </c>
      <c r="U1074" s="1027"/>
      <c r="V1074" s="1027"/>
      <c r="W1074" s="1027"/>
    </row>
    <row r="1075" spans="2:23" ht="12.75" customHeight="1" x14ac:dyDescent="0.2">
      <c r="B1075" s="1083" t="str">
        <f>'Input Basel III'!$A$1</f>
        <v>15b</v>
      </c>
      <c r="C1075" s="1084" t="str">
        <f>'Input Basel III'!$B$1</f>
        <v>Input Basel III</v>
      </c>
      <c r="D1075" s="1091" t="str">
        <f>'Input Basel III'!$A$5</f>
        <v>1 Zentralregierungen und Zentralbanken</v>
      </c>
      <c r="E1075" s="1516" t="str">
        <f>'Input Basel III'!$B$16</f>
        <v>Risikogewicht 50%</v>
      </c>
      <c r="F1075" s="1494" t="str">
        <f>'Input Basel III'!$G$12</f>
        <v>Positionen ohne Kreditrisikominderung (CRM)</v>
      </c>
      <c r="G1075" s="1494"/>
      <c r="H1075" s="1518">
        <f>'Input Basel III'!$G16</f>
        <v>0</v>
      </c>
      <c r="U1075" s="1027"/>
      <c r="V1075" s="1027"/>
      <c r="W1075" s="1027"/>
    </row>
    <row r="1076" spans="2:23" ht="12.75" customHeight="1" x14ac:dyDescent="0.2">
      <c r="B1076" s="1083" t="str">
        <f>'Input Basel III'!$A$1</f>
        <v>15b</v>
      </c>
      <c r="C1076" s="1084" t="str">
        <f>'Input Basel III'!$B$1</f>
        <v>Input Basel III</v>
      </c>
      <c r="D1076" s="1091" t="str">
        <f>'Input Basel III'!$A$5</f>
        <v>1 Zentralregierungen und Zentralbanken</v>
      </c>
      <c r="E1076" s="1488" t="str">
        <f>'Input Basel III'!$B$17</f>
        <v>Risikogewicht 100% (ohne ungeratete Positionen)</v>
      </c>
      <c r="F1076" s="1494" t="str">
        <f>'Input Basel III'!$G$12</f>
        <v>Positionen ohne Kreditrisikominderung (CRM)</v>
      </c>
      <c r="G1076" s="1494"/>
      <c r="H1076" s="1518">
        <f>'Input Basel III'!$G17</f>
        <v>0</v>
      </c>
      <c r="U1076" s="1027"/>
      <c r="V1076" s="1027"/>
      <c r="W1076" s="1027"/>
    </row>
    <row r="1077" spans="2:23" ht="12.75" customHeight="1" x14ac:dyDescent="0.2">
      <c r="B1077" s="1083" t="str">
        <f>'Input Basel III'!$A$1</f>
        <v>15b</v>
      </c>
      <c r="C1077" s="1084" t="str">
        <f>'Input Basel III'!$B$1</f>
        <v>Input Basel III</v>
      </c>
      <c r="D1077" s="1091" t="str">
        <f>'Input Basel III'!$A$5</f>
        <v>1 Zentralregierungen und Zentralbanken</v>
      </c>
      <c r="E1077" s="1516" t="str">
        <f>'Input Basel III'!$B$19</f>
        <v>Nicht geratet 100%</v>
      </c>
      <c r="F1077" s="1494" t="str">
        <f>'Input Basel III'!$G$12</f>
        <v>Positionen ohne Kreditrisikominderung (CRM)</v>
      </c>
      <c r="G1077" s="1494"/>
      <c r="H1077" s="1518">
        <f>'Input Basel III'!$G19</f>
        <v>0</v>
      </c>
      <c r="U1077" s="1027"/>
      <c r="V1077" s="1027"/>
      <c r="W1077" s="1027"/>
    </row>
    <row r="1078" spans="2:23" ht="12.75" customHeight="1" x14ac:dyDescent="0.2">
      <c r="B1078" s="1083" t="str">
        <f>'Input Basel III'!$A$1</f>
        <v>15b</v>
      </c>
      <c r="C1078" s="1084" t="str">
        <f>'Input Basel III'!$B$1</f>
        <v>Input Basel III</v>
      </c>
      <c r="D1078" s="1091" t="str">
        <f>'Input Basel III'!$A$5</f>
        <v>1 Zentralregierungen und Zentralbanken</v>
      </c>
      <c r="E1078" s="1110">
        <f>'Input Basel III'!$B$20</f>
        <v>0</v>
      </c>
      <c r="F1078" s="1494" t="str">
        <f>'Input Basel III'!$G$12</f>
        <v>Positionen ohne Kreditrisikominderung (CRM)</v>
      </c>
      <c r="G1078" s="1494"/>
      <c r="H1078" s="1112">
        <f>'Input Basel III'!$G20</f>
        <v>0</v>
      </c>
      <c r="U1078" s="1027"/>
      <c r="V1078" s="1027"/>
      <c r="W1078" s="1027"/>
    </row>
    <row r="1079" spans="2:23" ht="12.75" customHeight="1" x14ac:dyDescent="0.2">
      <c r="B1079" s="1083" t="str">
        <f>'Input Basel III'!$A$1</f>
        <v>15b</v>
      </c>
      <c r="C1079" s="1084" t="str">
        <f>'Input Basel III'!$B$1</f>
        <v>Input Basel III</v>
      </c>
      <c r="D1079" s="1091" t="str">
        <f>'Input Basel III'!$A$5</f>
        <v>1 Zentralregierungen und Zentralbanken</v>
      </c>
      <c r="E1079" s="1488" t="str">
        <f>'Input Basel III'!$B$14</f>
        <v>Risikogewicht 0%</v>
      </c>
      <c r="F1079" s="1494" t="str">
        <f>'Input Basel III'!$I$13</f>
        <v xml:space="preserve">Vor Besicherung </v>
      </c>
      <c r="G1079" s="1494"/>
      <c r="H1079" s="1518">
        <f>'Input Basel III'!$I14</f>
        <v>0</v>
      </c>
      <c r="U1079" s="1027"/>
      <c r="V1079" s="1027"/>
      <c r="W1079" s="1027"/>
    </row>
    <row r="1080" spans="2:23" ht="12.75" customHeight="1" x14ac:dyDescent="0.2">
      <c r="B1080" s="1083" t="str">
        <f>'Input Basel III'!$A$1</f>
        <v>15b</v>
      </c>
      <c r="C1080" s="1084" t="str">
        <f>'Input Basel III'!$B$1</f>
        <v>Input Basel III</v>
      </c>
      <c r="D1080" s="1091" t="str">
        <f>'Input Basel III'!$A$5</f>
        <v>1 Zentralregierungen und Zentralbanken</v>
      </c>
      <c r="E1080" s="1516" t="str">
        <f>'Input Basel III'!$B$15</f>
        <v>Risikogewicht 20%</v>
      </c>
      <c r="F1080" s="1494" t="str">
        <f>'Input Basel III'!$I$13</f>
        <v xml:space="preserve">Vor Besicherung </v>
      </c>
      <c r="G1080" s="1494"/>
      <c r="H1080" s="1518">
        <f>'Input Basel III'!$I15</f>
        <v>0</v>
      </c>
      <c r="U1080" s="1027"/>
      <c r="V1080" s="1027"/>
      <c r="W1080" s="1027"/>
    </row>
    <row r="1081" spans="2:23" ht="12.75" customHeight="1" x14ac:dyDescent="0.2">
      <c r="B1081" s="1083" t="str">
        <f>'Input Basel III'!$A$1</f>
        <v>15b</v>
      </c>
      <c r="C1081" s="1084" t="str">
        <f>'Input Basel III'!$B$1</f>
        <v>Input Basel III</v>
      </c>
      <c r="D1081" s="1091" t="str">
        <f>'Input Basel III'!$A$5</f>
        <v>1 Zentralregierungen und Zentralbanken</v>
      </c>
      <c r="E1081" s="1516" t="str">
        <f>'Input Basel III'!$B$16</f>
        <v>Risikogewicht 50%</v>
      </c>
      <c r="F1081" s="1494" t="str">
        <f>'Input Basel III'!$I$13</f>
        <v xml:space="preserve">Vor Besicherung </v>
      </c>
      <c r="G1081" s="1494"/>
      <c r="H1081" s="1518">
        <f>'Input Basel III'!$I16</f>
        <v>0</v>
      </c>
      <c r="U1081" s="1027"/>
      <c r="V1081" s="1027"/>
      <c r="W1081" s="1027"/>
    </row>
    <row r="1082" spans="2:23" ht="12.75" customHeight="1" x14ac:dyDescent="0.2">
      <c r="B1082" s="1083" t="str">
        <f>'Input Basel III'!$A$1</f>
        <v>15b</v>
      </c>
      <c r="C1082" s="1084" t="str">
        <f>'Input Basel III'!$B$1</f>
        <v>Input Basel III</v>
      </c>
      <c r="D1082" s="1091" t="str">
        <f>'Input Basel III'!$A$5</f>
        <v>1 Zentralregierungen und Zentralbanken</v>
      </c>
      <c r="E1082" s="1488" t="str">
        <f>'Input Basel III'!$B$17</f>
        <v>Risikogewicht 100% (ohne ungeratete Positionen)</v>
      </c>
      <c r="F1082" s="1494" t="str">
        <f>'Input Basel III'!$I$13</f>
        <v xml:space="preserve">Vor Besicherung </v>
      </c>
      <c r="G1082" s="1494"/>
      <c r="H1082" s="1518">
        <f>'Input Basel III'!$I17</f>
        <v>0</v>
      </c>
      <c r="U1082" s="1027"/>
      <c r="V1082" s="1027"/>
      <c r="W1082" s="1027"/>
    </row>
    <row r="1083" spans="2:23" ht="12.75" customHeight="1" x14ac:dyDescent="0.2">
      <c r="B1083" s="1083" t="str">
        <f>'Input Basel III'!$A$1</f>
        <v>15b</v>
      </c>
      <c r="C1083" s="1084" t="str">
        <f>'Input Basel III'!$B$1</f>
        <v>Input Basel III</v>
      </c>
      <c r="D1083" s="1091" t="str">
        <f>'Input Basel III'!$A$5</f>
        <v>1 Zentralregierungen und Zentralbanken</v>
      </c>
      <c r="E1083" s="1516" t="str">
        <f>'Input Basel III'!$B$19</f>
        <v>Nicht geratet 100%</v>
      </c>
      <c r="F1083" s="1494" t="str">
        <f>'Input Basel III'!$I$13</f>
        <v xml:space="preserve">Vor Besicherung </v>
      </c>
      <c r="G1083" s="1494"/>
      <c r="H1083" s="1518">
        <f>'Input Basel III'!$I19</f>
        <v>0</v>
      </c>
      <c r="U1083" s="1027"/>
      <c r="V1083" s="1027"/>
      <c r="W1083" s="1027"/>
    </row>
    <row r="1084" spans="2:23" ht="12.75" customHeight="1" x14ac:dyDescent="0.2">
      <c r="B1084" s="1083" t="str">
        <f>'Input Basel III'!$A$1</f>
        <v>15b</v>
      </c>
      <c r="C1084" s="1084" t="str">
        <f>'Input Basel III'!$B$1</f>
        <v>Input Basel III</v>
      </c>
      <c r="D1084" s="1091" t="str">
        <f>'Input Basel III'!$A$5</f>
        <v>1 Zentralregierungen und Zentralbanken</v>
      </c>
      <c r="E1084" s="1110">
        <f>'Input Basel III'!$B$20</f>
        <v>0</v>
      </c>
      <c r="F1084" s="1494" t="str">
        <f>'Input Basel III'!$I$13</f>
        <v xml:space="preserve">Vor Besicherung </v>
      </c>
      <c r="G1084" s="1494"/>
      <c r="H1084" s="1112">
        <f>'Input Basel III'!$I20</f>
        <v>0</v>
      </c>
      <c r="U1084" s="1027"/>
      <c r="V1084" s="1027"/>
      <c r="W1084" s="1027"/>
    </row>
    <row r="1085" spans="2:23" ht="12.75" customHeight="1" x14ac:dyDescent="0.2">
      <c r="B1085" s="1083" t="str">
        <f>'Input Basel III'!$A$1</f>
        <v>15b</v>
      </c>
      <c r="C1085" s="1084" t="str">
        <f>'Input Basel III'!$B$1</f>
        <v>Input Basel III</v>
      </c>
      <c r="D1085" s="1091" t="str">
        <f>'Input Basel III'!$A$5</f>
        <v>1 Zentralregierungen und Zentralbanken</v>
      </c>
      <c r="E1085" s="1488" t="str">
        <f>'Input Basel III'!$B$14</f>
        <v>Risikogewicht 0%</v>
      </c>
      <c r="F1085" s="1494" t="str">
        <f>'Input Basel III'!$J$13</f>
        <v>Nach Besicherung</v>
      </c>
      <c r="G1085" s="1494"/>
      <c r="H1085" s="1518">
        <f>'Input Basel III'!$J14</f>
        <v>0</v>
      </c>
      <c r="U1085" s="1027"/>
      <c r="V1085" s="1027"/>
      <c r="W1085" s="1027"/>
    </row>
    <row r="1086" spans="2:23" ht="12.75" customHeight="1" x14ac:dyDescent="0.2">
      <c r="B1086" s="1083" t="str">
        <f>'Input Basel III'!$A$1</f>
        <v>15b</v>
      </c>
      <c r="C1086" s="1084" t="str">
        <f>'Input Basel III'!$B$1</f>
        <v>Input Basel III</v>
      </c>
      <c r="D1086" s="1091" t="str">
        <f>'Input Basel III'!$A$5</f>
        <v>1 Zentralregierungen und Zentralbanken</v>
      </c>
      <c r="E1086" s="1516" t="str">
        <f>'Input Basel III'!$B$15</f>
        <v>Risikogewicht 20%</v>
      </c>
      <c r="F1086" s="1494" t="str">
        <f>'Input Basel III'!$J$13</f>
        <v>Nach Besicherung</v>
      </c>
      <c r="G1086" s="1494"/>
      <c r="H1086" s="1518">
        <f>'Input Basel III'!$J15</f>
        <v>0</v>
      </c>
      <c r="U1086" s="1027"/>
      <c r="V1086" s="1027"/>
      <c r="W1086" s="1027"/>
    </row>
    <row r="1087" spans="2:23" ht="12.75" customHeight="1" x14ac:dyDescent="0.2">
      <c r="B1087" s="1083" t="str">
        <f>'Input Basel III'!$A$1</f>
        <v>15b</v>
      </c>
      <c r="C1087" s="1084" t="str">
        <f>'Input Basel III'!$B$1</f>
        <v>Input Basel III</v>
      </c>
      <c r="D1087" s="1091" t="str">
        <f>'Input Basel III'!$A$5</f>
        <v>1 Zentralregierungen und Zentralbanken</v>
      </c>
      <c r="E1087" s="1516" t="str">
        <f>'Input Basel III'!$B$16</f>
        <v>Risikogewicht 50%</v>
      </c>
      <c r="F1087" s="1494" t="str">
        <f>'Input Basel III'!$J$13</f>
        <v>Nach Besicherung</v>
      </c>
      <c r="G1087" s="1494"/>
      <c r="H1087" s="1518">
        <f>'Input Basel III'!$J16</f>
        <v>0</v>
      </c>
      <c r="U1087" s="1027"/>
      <c r="V1087" s="1027"/>
      <c r="W1087" s="1027"/>
    </row>
    <row r="1088" spans="2:23" ht="12.75" customHeight="1" x14ac:dyDescent="0.2">
      <c r="B1088" s="1083" t="str">
        <f>'Input Basel III'!$A$1</f>
        <v>15b</v>
      </c>
      <c r="C1088" s="1084" t="str">
        <f>'Input Basel III'!$B$1</f>
        <v>Input Basel III</v>
      </c>
      <c r="D1088" s="1091" t="str">
        <f>'Input Basel III'!$A$5</f>
        <v>1 Zentralregierungen und Zentralbanken</v>
      </c>
      <c r="E1088" s="1488" t="str">
        <f>'Input Basel III'!$B$17</f>
        <v>Risikogewicht 100% (ohne ungeratete Positionen)</v>
      </c>
      <c r="F1088" s="1494" t="str">
        <f>'Input Basel III'!$J$13</f>
        <v>Nach Besicherung</v>
      </c>
      <c r="G1088" s="1494"/>
      <c r="H1088" s="1518">
        <f>'Input Basel III'!$J17</f>
        <v>0</v>
      </c>
      <c r="U1088" s="1027"/>
      <c r="V1088" s="1027"/>
      <c r="W1088" s="1027"/>
    </row>
    <row r="1089" spans="2:23" ht="12.75" customHeight="1" x14ac:dyDescent="0.2">
      <c r="B1089" s="1083" t="str">
        <f>'Input Basel III'!$A$1</f>
        <v>15b</v>
      </c>
      <c r="C1089" s="1084" t="str">
        <f>'Input Basel III'!$B$1</f>
        <v>Input Basel III</v>
      </c>
      <c r="D1089" s="1091" t="str">
        <f>'Input Basel III'!$A$5</f>
        <v>1 Zentralregierungen und Zentralbanken</v>
      </c>
      <c r="E1089" s="1516" t="str">
        <f>'Input Basel III'!$B$19</f>
        <v>Nicht geratet 100%</v>
      </c>
      <c r="F1089" s="1494" t="str">
        <f>'Input Basel III'!$J$13</f>
        <v>Nach Besicherung</v>
      </c>
      <c r="G1089" s="1494"/>
      <c r="H1089" s="1518">
        <f>'Input Basel III'!$J19</f>
        <v>0</v>
      </c>
      <c r="U1089" s="1027"/>
      <c r="V1089" s="1027"/>
      <c r="W1089" s="1027"/>
    </row>
    <row r="1090" spans="2:23" ht="12.75" customHeight="1" x14ac:dyDescent="0.2">
      <c r="B1090" s="1083" t="str">
        <f>'Input Basel III'!$A$1</f>
        <v>15b</v>
      </c>
      <c r="C1090" s="1084" t="str">
        <f>'Input Basel III'!$B$1</f>
        <v>Input Basel III</v>
      </c>
      <c r="D1090" s="1091" t="str">
        <f>'Input Basel III'!$A$5</f>
        <v>1 Zentralregierungen und Zentralbanken</v>
      </c>
      <c r="E1090" s="1110">
        <f>'Input Basel III'!$B$20</f>
        <v>0</v>
      </c>
      <c r="F1090" s="1494" t="str">
        <f>'Input Basel III'!$J$13</f>
        <v>Nach Besicherung</v>
      </c>
      <c r="G1090" s="1494"/>
      <c r="H1090" s="1112">
        <f>'Input Basel III'!$J20</f>
        <v>0</v>
      </c>
      <c r="U1090" s="1027"/>
      <c r="V1090" s="1027"/>
      <c r="W1090" s="1027"/>
    </row>
    <row r="1091" spans="2:23" ht="12.75" customHeight="1" x14ac:dyDescent="0.2">
      <c r="B1091" s="1083" t="str">
        <f>'Input Basel III'!$A$1</f>
        <v>15b</v>
      </c>
      <c r="C1091" s="1084" t="str">
        <f>'Input Basel III'!$B$1</f>
        <v>Input Basel III</v>
      </c>
      <c r="D1091" s="1091" t="str">
        <f>'Input Basel III'!$A$5</f>
        <v>1 Zentralregierungen und Zentralbanken</v>
      </c>
      <c r="E1091" s="1488" t="str">
        <f>'Input Basel III'!$B$14</f>
        <v>Risikogewicht 0%</v>
      </c>
      <c r="F1091" s="1494" t="str">
        <f>'Input Basel III'!$L$13</f>
        <v>Vor Garantien und Kreditderivate</v>
      </c>
      <c r="G1091" s="1494"/>
      <c r="H1091" s="1518">
        <f>'Input Basel III'!$L14</f>
        <v>0</v>
      </c>
      <c r="U1091" s="1027"/>
      <c r="V1091" s="1027"/>
      <c r="W1091" s="1027"/>
    </row>
    <row r="1092" spans="2:23" ht="12.75" customHeight="1" x14ac:dyDescent="0.2">
      <c r="B1092" s="1083" t="str">
        <f>'Input Basel III'!$A$1</f>
        <v>15b</v>
      </c>
      <c r="C1092" s="1084" t="str">
        <f>'Input Basel III'!$B$1</f>
        <v>Input Basel III</v>
      </c>
      <c r="D1092" s="1091" t="str">
        <f>'Input Basel III'!$A$5</f>
        <v>1 Zentralregierungen und Zentralbanken</v>
      </c>
      <c r="E1092" s="1516" t="str">
        <f>'Input Basel III'!$B$15</f>
        <v>Risikogewicht 20%</v>
      </c>
      <c r="F1092" s="1494" t="str">
        <f>'Input Basel III'!$L$13</f>
        <v>Vor Garantien und Kreditderivate</v>
      </c>
      <c r="G1092" s="1494"/>
      <c r="H1092" s="1518">
        <f>'Input Basel III'!$L15</f>
        <v>0</v>
      </c>
      <c r="U1092" s="1027"/>
      <c r="V1092" s="1027"/>
      <c r="W1092" s="1027"/>
    </row>
    <row r="1093" spans="2:23" ht="12.75" customHeight="1" x14ac:dyDescent="0.2">
      <c r="B1093" s="1083" t="str">
        <f>'Input Basel III'!$A$1</f>
        <v>15b</v>
      </c>
      <c r="C1093" s="1084" t="str">
        <f>'Input Basel III'!$B$1</f>
        <v>Input Basel III</v>
      </c>
      <c r="D1093" s="1091" t="str">
        <f>'Input Basel III'!$A$5</f>
        <v>1 Zentralregierungen und Zentralbanken</v>
      </c>
      <c r="E1093" s="1516" t="str">
        <f>'Input Basel III'!$B$16</f>
        <v>Risikogewicht 50%</v>
      </c>
      <c r="F1093" s="1494" t="str">
        <f>'Input Basel III'!$L$13</f>
        <v>Vor Garantien und Kreditderivate</v>
      </c>
      <c r="G1093" s="1494"/>
      <c r="H1093" s="1518">
        <f>'Input Basel III'!$L16</f>
        <v>0</v>
      </c>
      <c r="U1093" s="1027"/>
      <c r="V1093" s="1027"/>
      <c r="W1093" s="1027"/>
    </row>
    <row r="1094" spans="2:23" ht="12.75" customHeight="1" x14ac:dyDescent="0.2">
      <c r="B1094" s="1083" t="str">
        <f>'Input Basel III'!$A$1</f>
        <v>15b</v>
      </c>
      <c r="C1094" s="1084" t="str">
        <f>'Input Basel III'!$B$1</f>
        <v>Input Basel III</v>
      </c>
      <c r="D1094" s="1091" t="str">
        <f>'Input Basel III'!$A$5</f>
        <v>1 Zentralregierungen und Zentralbanken</v>
      </c>
      <c r="E1094" s="1488" t="str">
        <f>'Input Basel III'!$B$17</f>
        <v>Risikogewicht 100% (ohne ungeratete Positionen)</v>
      </c>
      <c r="F1094" s="1494" t="str">
        <f>'Input Basel III'!$L$13</f>
        <v>Vor Garantien und Kreditderivate</v>
      </c>
      <c r="G1094" s="1494"/>
      <c r="H1094" s="1518">
        <f>'Input Basel III'!$L17</f>
        <v>0</v>
      </c>
      <c r="U1094" s="1027"/>
      <c r="V1094" s="1027"/>
      <c r="W1094" s="1027"/>
    </row>
    <row r="1095" spans="2:23" ht="12.75" customHeight="1" x14ac:dyDescent="0.2">
      <c r="B1095" s="1083" t="str">
        <f>'Input Basel III'!$A$1</f>
        <v>15b</v>
      </c>
      <c r="C1095" s="1084" t="str">
        <f>'Input Basel III'!$B$1</f>
        <v>Input Basel III</v>
      </c>
      <c r="D1095" s="1091" t="str">
        <f>'Input Basel III'!$A$5</f>
        <v>1 Zentralregierungen und Zentralbanken</v>
      </c>
      <c r="E1095" s="1516" t="str">
        <f>'Input Basel III'!$B$19</f>
        <v>Nicht geratet 100%</v>
      </c>
      <c r="F1095" s="1494" t="str">
        <f>'Input Basel III'!$L$13</f>
        <v>Vor Garantien und Kreditderivate</v>
      </c>
      <c r="G1095" s="1494"/>
      <c r="H1095" s="1518">
        <f>'Input Basel III'!$L19</f>
        <v>0</v>
      </c>
      <c r="U1095" s="1027"/>
      <c r="V1095" s="1027"/>
      <c r="W1095" s="1027"/>
    </row>
    <row r="1096" spans="2:23" ht="12.75" customHeight="1" x14ac:dyDescent="0.2">
      <c r="B1096" s="1083" t="str">
        <f>'Input Basel III'!$A$1</f>
        <v>15b</v>
      </c>
      <c r="C1096" s="1084" t="str">
        <f>'Input Basel III'!$B$1</f>
        <v>Input Basel III</v>
      </c>
      <c r="D1096" s="1091" t="str">
        <f>'Input Basel III'!$A$5</f>
        <v>1 Zentralregierungen und Zentralbanken</v>
      </c>
      <c r="E1096" s="1110">
        <f>'Input Basel III'!$B$20</f>
        <v>0</v>
      </c>
      <c r="F1096" s="1494" t="str">
        <f>'Input Basel III'!$L$13</f>
        <v>Vor Garantien und Kreditderivate</v>
      </c>
      <c r="G1096" s="1494"/>
      <c r="H1096" s="1112">
        <f>'Input Basel III'!$L20</f>
        <v>0</v>
      </c>
      <c r="U1096" s="1027"/>
      <c r="V1096" s="1027"/>
      <c r="W1096" s="1027"/>
    </row>
    <row r="1097" spans="2:23" ht="12.75" customHeight="1" x14ac:dyDescent="0.2">
      <c r="B1097" s="1083" t="str">
        <f>'Input Basel III'!$A$1</f>
        <v>15b</v>
      </c>
      <c r="C1097" s="1084" t="str">
        <f>'Input Basel III'!$B$1</f>
        <v>Input Basel III</v>
      </c>
      <c r="D1097" s="1091" t="str">
        <f>'Input Basel III'!$A$5</f>
        <v>1 Zentralregierungen und Zentralbanken</v>
      </c>
      <c r="E1097" s="1488" t="str">
        <f>'Input Basel III'!$B$14</f>
        <v>Risikogewicht 0%</v>
      </c>
      <c r="F1097" s="1494" t="str">
        <f>'Input Basel III'!$M$13</f>
        <v>Nach Garantien und Kred.-.Der.</v>
      </c>
      <c r="G1097" s="1494"/>
      <c r="H1097" s="1518">
        <f>'Input Basel III'!$M14</f>
        <v>0</v>
      </c>
      <c r="U1097" s="1027"/>
      <c r="V1097" s="1027"/>
      <c r="W1097" s="1027"/>
    </row>
    <row r="1098" spans="2:23" ht="12.75" customHeight="1" x14ac:dyDescent="0.2">
      <c r="B1098" s="1083" t="str">
        <f>'Input Basel III'!$A$1</f>
        <v>15b</v>
      </c>
      <c r="C1098" s="1084" t="str">
        <f>'Input Basel III'!$B$1</f>
        <v>Input Basel III</v>
      </c>
      <c r="D1098" s="1091" t="str">
        <f>'Input Basel III'!$A$5</f>
        <v>1 Zentralregierungen und Zentralbanken</v>
      </c>
      <c r="E1098" s="1516" t="str">
        <f>'Input Basel III'!$B$15</f>
        <v>Risikogewicht 20%</v>
      </c>
      <c r="F1098" s="1494" t="str">
        <f>'Input Basel III'!$M$13</f>
        <v>Nach Garantien und Kred.-.Der.</v>
      </c>
      <c r="G1098" s="1494"/>
      <c r="H1098" s="1518">
        <f>'Input Basel III'!$M15</f>
        <v>0</v>
      </c>
      <c r="U1098" s="1027"/>
      <c r="V1098" s="1027"/>
      <c r="W1098" s="1027"/>
    </row>
    <row r="1099" spans="2:23" ht="12.75" customHeight="1" x14ac:dyDescent="0.2">
      <c r="B1099" s="1083" t="str">
        <f>'Input Basel III'!$A$1</f>
        <v>15b</v>
      </c>
      <c r="C1099" s="1084" t="str">
        <f>'Input Basel III'!$B$1</f>
        <v>Input Basel III</v>
      </c>
      <c r="D1099" s="1091" t="str">
        <f>'Input Basel III'!$A$5</f>
        <v>1 Zentralregierungen und Zentralbanken</v>
      </c>
      <c r="E1099" s="1516" t="str">
        <f>'Input Basel III'!$B$16</f>
        <v>Risikogewicht 50%</v>
      </c>
      <c r="F1099" s="1494" t="str">
        <f>'Input Basel III'!$M$13</f>
        <v>Nach Garantien und Kred.-.Der.</v>
      </c>
      <c r="G1099" s="1494"/>
      <c r="H1099" s="1518">
        <f>'Input Basel III'!$M16</f>
        <v>0</v>
      </c>
      <c r="U1099" s="1027"/>
      <c r="V1099" s="1027"/>
      <c r="W1099" s="1027"/>
    </row>
    <row r="1100" spans="2:23" ht="12.75" customHeight="1" x14ac:dyDescent="0.2">
      <c r="B1100" s="1083" t="str">
        <f>'Input Basel III'!$A$1</f>
        <v>15b</v>
      </c>
      <c r="C1100" s="1084" t="str">
        <f>'Input Basel III'!$B$1</f>
        <v>Input Basel III</v>
      </c>
      <c r="D1100" s="1091" t="str">
        <f>'Input Basel III'!$A$5</f>
        <v>1 Zentralregierungen und Zentralbanken</v>
      </c>
      <c r="E1100" s="1488" t="str">
        <f>'Input Basel III'!$B$17</f>
        <v>Risikogewicht 100% (ohne ungeratete Positionen)</v>
      </c>
      <c r="F1100" s="1494" t="str">
        <f>'Input Basel III'!$M$13</f>
        <v>Nach Garantien und Kred.-.Der.</v>
      </c>
      <c r="G1100" s="1494"/>
      <c r="H1100" s="1518">
        <f>'Input Basel III'!$M17</f>
        <v>0</v>
      </c>
      <c r="U1100" s="1027"/>
      <c r="V1100" s="1027"/>
      <c r="W1100" s="1027"/>
    </row>
    <row r="1101" spans="2:23" ht="12.75" customHeight="1" x14ac:dyDescent="0.2">
      <c r="B1101" s="1083" t="str">
        <f>'Input Basel III'!$A$1</f>
        <v>15b</v>
      </c>
      <c r="C1101" s="1084" t="str">
        <f>'Input Basel III'!$B$1</f>
        <v>Input Basel III</v>
      </c>
      <c r="D1101" s="1091" t="str">
        <f>'Input Basel III'!$A$5</f>
        <v>1 Zentralregierungen und Zentralbanken</v>
      </c>
      <c r="E1101" s="1516" t="str">
        <f>'Input Basel III'!$B$19</f>
        <v>Nicht geratet 100%</v>
      </c>
      <c r="F1101" s="1494" t="str">
        <f>'Input Basel III'!$M$13</f>
        <v>Nach Garantien und Kred.-.Der.</v>
      </c>
      <c r="G1101" s="1494"/>
      <c r="H1101" s="1518">
        <f>'Input Basel III'!$M19</f>
        <v>0</v>
      </c>
      <c r="U1101" s="1027"/>
      <c r="V1101" s="1027"/>
      <c r="W1101" s="1027"/>
    </row>
    <row r="1102" spans="2:23" ht="12.75" customHeight="1" x14ac:dyDescent="0.2">
      <c r="B1102" s="1083" t="str">
        <f>'Input Basel III'!$A$1</f>
        <v>15b</v>
      </c>
      <c r="C1102" s="1084" t="str">
        <f>'Input Basel III'!$B$1</f>
        <v>Input Basel III</v>
      </c>
      <c r="D1102" s="1091" t="str">
        <f>'Input Basel III'!$A$5</f>
        <v>1 Zentralregierungen und Zentralbanken</v>
      </c>
      <c r="E1102" s="1110">
        <f>'Input Basel III'!$B$20</f>
        <v>0</v>
      </c>
      <c r="F1102" s="1494" t="str">
        <f>'Input Basel III'!$M$13</f>
        <v>Nach Garantien und Kred.-.Der.</v>
      </c>
      <c r="G1102" s="1494"/>
      <c r="H1102" s="1112">
        <f>'Input Basel III'!$M20</f>
        <v>0</v>
      </c>
      <c r="U1102" s="1027"/>
      <c r="V1102" s="1027"/>
      <c r="W1102" s="1027"/>
    </row>
    <row r="1103" spans="2:23" ht="12.75" customHeight="1" x14ac:dyDescent="0.2">
      <c r="B1103" s="1083" t="str">
        <f>'Input Basel III'!$A$1</f>
        <v>15b</v>
      </c>
      <c r="C1103" s="1084" t="str">
        <f>'Input Basel III'!$B$1</f>
        <v>Input Basel III</v>
      </c>
      <c r="D1103" s="1091" t="str">
        <f>'Input Basel III'!$A$26</f>
        <v>2 Öffentlichrechtliche Körperschaften</v>
      </c>
      <c r="E1103" s="1516" t="str">
        <f>'Input Basel III'!$B$33</f>
        <v>Risikogewicht 20%</v>
      </c>
      <c r="F1103" s="1494" t="str">
        <f>'Input Basel III'!$C$31</f>
        <v>Risikogewicht</v>
      </c>
      <c r="G1103" s="1494"/>
      <c r="H1103" s="1519">
        <f>'Input Basel III'!$C33</f>
        <v>0.2</v>
      </c>
      <c r="U1103" s="1027"/>
      <c r="V1103" s="1027"/>
      <c r="W1103" s="1027"/>
    </row>
    <row r="1104" spans="2:23" ht="12.75" customHeight="1" x14ac:dyDescent="0.2">
      <c r="B1104" s="1083" t="str">
        <f>'Input Basel III'!$A$1</f>
        <v>15b</v>
      </c>
      <c r="C1104" s="1084" t="str">
        <f>'Input Basel III'!$B$1</f>
        <v>Input Basel III</v>
      </c>
      <c r="D1104" s="1091" t="str">
        <f>'Input Basel III'!$A$26</f>
        <v>2 Öffentlichrechtliche Körperschaften</v>
      </c>
      <c r="E1104" s="1516" t="str">
        <f>'Input Basel III'!$B$34</f>
        <v>Risikogewicht 50%</v>
      </c>
      <c r="F1104" s="1494" t="str">
        <f>'Input Basel III'!$C$31</f>
        <v>Risikogewicht</v>
      </c>
      <c r="G1104" s="1494"/>
      <c r="H1104" s="1519">
        <f>'Input Basel III'!$C34</f>
        <v>0.5</v>
      </c>
      <c r="U1104" s="1027"/>
      <c r="V1104" s="1027"/>
      <c r="W1104" s="1027"/>
    </row>
    <row r="1105" spans="2:23" ht="12.75" customHeight="1" x14ac:dyDescent="0.2">
      <c r="B1105" s="1083" t="str">
        <f>'Input Basel III'!$A$1</f>
        <v>15b</v>
      </c>
      <c r="C1105" s="1084" t="str">
        <f>'Input Basel III'!$B$1</f>
        <v>Input Basel III</v>
      </c>
      <c r="D1105" s="1091" t="str">
        <f>'Input Basel III'!$A$26</f>
        <v>2 Öffentlichrechtliche Körperschaften</v>
      </c>
      <c r="E1105" s="1516" t="str">
        <f>'Input Basel III'!$B$35</f>
        <v>Risikogewicht 100% (ohne ungeratete Positionen)</v>
      </c>
      <c r="F1105" s="1494" t="str">
        <f>'Input Basel III'!$C$31</f>
        <v>Risikogewicht</v>
      </c>
      <c r="G1105" s="1494"/>
      <c r="H1105" s="1519">
        <f>'Input Basel III'!$C35</f>
        <v>1</v>
      </c>
      <c r="U1105" s="1027"/>
      <c r="V1105" s="1027"/>
      <c r="W1105" s="1027"/>
    </row>
    <row r="1106" spans="2:23" ht="12.75" customHeight="1" x14ac:dyDescent="0.2">
      <c r="B1106" s="1083" t="str">
        <f>'Input Basel III'!$A$1</f>
        <v>15b</v>
      </c>
      <c r="C1106" s="1084" t="str">
        <f>'Input Basel III'!$B$1</f>
        <v>Input Basel III</v>
      </c>
      <c r="D1106" s="1091" t="str">
        <f>'Input Basel III'!$A$26</f>
        <v>2 Öffentlichrechtliche Körperschaften</v>
      </c>
      <c r="E1106" s="1516" t="str">
        <f>'Input Basel III'!$B$37</f>
        <v>Nicht geratet 100%</v>
      </c>
      <c r="F1106" s="1494" t="str">
        <f>'Input Basel III'!$C$31</f>
        <v>Risikogewicht</v>
      </c>
      <c r="G1106" s="1494"/>
      <c r="H1106" s="1519">
        <f>'Input Basel III'!$C37</f>
        <v>1</v>
      </c>
      <c r="U1106" s="1027"/>
      <c r="V1106" s="1027"/>
      <c r="W1106" s="1027"/>
    </row>
    <row r="1107" spans="2:23" ht="12.75" customHeight="1" x14ac:dyDescent="0.2">
      <c r="B1107" s="1083" t="str">
        <f>'Input Basel III'!$A$1</f>
        <v>15b</v>
      </c>
      <c r="C1107" s="1084" t="str">
        <f>'Input Basel III'!$B$1</f>
        <v>Input Basel III</v>
      </c>
      <c r="D1107" s="1091" t="str">
        <f>'Input Basel III'!$A$26</f>
        <v>2 Öffentlichrechtliche Körperschaften</v>
      </c>
      <c r="E1107" s="1110">
        <f>'Input Basel III'!$B$38</f>
        <v>0</v>
      </c>
      <c r="F1107" s="1494" t="str">
        <f>'Input Basel III'!$C$31</f>
        <v>Risikogewicht</v>
      </c>
      <c r="G1107" s="1494"/>
      <c r="H1107" s="1111">
        <f>'Input Basel III'!$C38</f>
        <v>0</v>
      </c>
      <c r="U1107" s="1027"/>
      <c r="V1107" s="1027"/>
      <c r="W1107" s="1027"/>
    </row>
    <row r="1108" spans="2:23" ht="12.75" customHeight="1" x14ac:dyDescent="0.2">
      <c r="B1108" s="1083" t="str">
        <f>'Input Basel III'!$A$1</f>
        <v>15b</v>
      </c>
      <c r="C1108" s="1084" t="str">
        <f>'Input Basel III'!$B$1</f>
        <v>Input Basel III</v>
      </c>
      <c r="D1108" s="1091" t="str">
        <f>'Input Basel III'!$A$26</f>
        <v>2 Öffentlichrechtliche Körperschaften</v>
      </c>
      <c r="E1108" s="1516" t="str">
        <f>'Input Basel III'!$B$33</f>
        <v>Risikogewicht 20%</v>
      </c>
      <c r="F1108" s="1494" t="str">
        <f>'Input Basel III'!$G$12</f>
        <v>Positionen ohne Kreditrisikominderung (CRM)</v>
      </c>
      <c r="G1108" s="1494"/>
      <c r="H1108" s="1518">
        <f>'Input Basel III'!$G33</f>
        <v>0</v>
      </c>
      <c r="U1108" s="1027"/>
      <c r="V1108" s="1027"/>
      <c r="W1108" s="1027"/>
    </row>
    <row r="1109" spans="2:23" ht="12.75" customHeight="1" x14ac:dyDescent="0.2">
      <c r="B1109" s="1083" t="str">
        <f>'Input Basel III'!$A$1</f>
        <v>15b</v>
      </c>
      <c r="C1109" s="1084" t="str">
        <f>'Input Basel III'!$B$1</f>
        <v>Input Basel III</v>
      </c>
      <c r="D1109" s="1091" t="str">
        <f>'Input Basel III'!$A$26</f>
        <v>2 Öffentlichrechtliche Körperschaften</v>
      </c>
      <c r="E1109" s="1516" t="str">
        <f>'Input Basel III'!$B$34</f>
        <v>Risikogewicht 50%</v>
      </c>
      <c r="F1109" s="1494" t="str">
        <f>'Input Basel III'!$G$12</f>
        <v>Positionen ohne Kreditrisikominderung (CRM)</v>
      </c>
      <c r="G1109" s="1494"/>
      <c r="H1109" s="1518">
        <f>'Input Basel III'!$G34</f>
        <v>0</v>
      </c>
      <c r="U1109" s="1027"/>
      <c r="V1109" s="1027"/>
      <c r="W1109" s="1027"/>
    </row>
    <row r="1110" spans="2:23" ht="12.75" customHeight="1" x14ac:dyDescent="0.2">
      <c r="B1110" s="1083" t="str">
        <f>'Input Basel III'!$A$1</f>
        <v>15b</v>
      </c>
      <c r="C1110" s="1084" t="str">
        <f>'Input Basel III'!$B$1</f>
        <v>Input Basel III</v>
      </c>
      <c r="D1110" s="1091" t="str">
        <f>'Input Basel III'!$A$26</f>
        <v>2 Öffentlichrechtliche Körperschaften</v>
      </c>
      <c r="E1110" s="1516" t="str">
        <f>'Input Basel III'!$B$35</f>
        <v>Risikogewicht 100% (ohne ungeratete Positionen)</v>
      </c>
      <c r="F1110" s="1494" t="str">
        <f>'Input Basel III'!$G$12</f>
        <v>Positionen ohne Kreditrisikominderung (CRM)</v>
      </c>
      <c r="G1110" s="1494"/>
      <c r="H1110" s="1518">
        <f>'Input Basel III'!$G35</f>
        <v>0</v>
      </c>
      <c r="U1110" s="1027"/>
      <c r="V1110" s="1027"/>
      <c r="W1110" s="1027"/>
    </row>
    <row r="1111" spans="2:23" ht="12.75" customHeight="1" x14ac:dyDescent="0.2">
      <c r="B1111" s="1083" t="str">
        <f>'Input Basel III'!$A$1</f>
        <v>15b</v>
      </c>
      <c r="C1111" s="1084" t="str">
        <f>'Input Basel III'!$B$1</f>
        <v>Input Basel III</v>
      </c>
      <c r="D1111" s="1091" t="str">
        <f>'Input Basel III'!$A$26</f>
        <v>2 Öffentlichrechtliche Körperschaften</v>
      </c>
      <c r="E1111" s="1516" t="str">
        <f>'Input Basel III'!$B$37</f>
        <v>Nicht geratet 100%</v>
      </c>
      <c r="F1111" s="1494" t="str">
        <f>'Input Basel III'!$G$12</f>
        <v>Positionen ohne Kreditrisikominderung (CRM)</v>
      </c>
      <c r="G1111" s="1494"/>
      <c r="H1111" s="1518">
        <f>'Input Basel III'!$G37</f>
        <v>0</v>
      </c>
      <c r="U1111" s="1027"/>
      <c r="V1111" s="1027"/>
      <c r="W1111" s="1027"/>
    </row>
    <row r="1112" spans="2:23" ht="12.75" customHeight="1" x14ac:dyDescent="0.2">
      <c r="B1112" s="1083" t="str">
        <f>'Input Basel III'!$A$1</f>
        <v>15b</v>
      </c>
      <c r="C1112" s="1084" t="str">
        <f>'Input Basel III'!$B$1</f>
        <v>Input Basel III</v>
      </c>
      <c r="D1112" s="1091" t="str">
        <f>'Input Basel III'!$A$26</f>
        <v>2 Öffentlichrechtliche Körperschaften</v>
      </c>
      <c r="E1112" s="1110">
        <f>'Input Basel III'!$B$38</f>
        <v>0</v>
      </c>
      <c r="F1112" s="1494" t="str">
        <f>'Input Basel III'!$G$12</f>
        <v>Positionen ohne Kreditrisikominderung (CRM)</v>
      </c>
      <c r="G1112" s="1494"/>
      <c r="H1112" s="1112">
        <f>'Input Basel III'!$G38</f>
        <v>0</v>
      </c>
      <c r="U1112" s="1027"/>
      <c r="V1112" s="1027"/>
      <c r="W1112" s="1027"/>
    </row>
    <row r="1113" spans="2:23" ht="12.75" customHeight="1" x14ac:dyDescent="0.2">
      <c r="B1113" s="1083" t="str">
        <f>'Input Basel III'!$A$1</f>
        <v>15b</v>
      </c>
      <c r="C1113" s="1084" t="str">
        <f>'Input Basel III'!$B$1</f>
        <v>Input Basel III</v>
      </c>
      <c r="D1113" s="1091" t="str">
        <f>'Input Basel III'!$A$26</f>
        <v>2 Öffentlichrechtliche Körperschaften</v>
      </c>
      <c r="E1113" s="1516" t="str">
        <f>'Input Basel III'!$B$33</f>
        <v>Risikogewicht 20%</v>
      </c>
      <c r="F1113" s="1494" t="str">
        <f>'Input Basel III'!$I$32</f>
        <v xml:space="preserve">Vor Besicherung </v>
      </c>
      <c r="G1113" s="1494"/>
      <c r="H1113" s="1518">
        <f>'Input Basel III'!$I33</f>
        <v>0</v>
      </c>
      <c r="U1113" s="1027"/>
      <c r="V1113" s="1027"/>
      <c r="W1113" s="1027"/>
    </row>
    <row r="1114" spans="2:23" ht="12.75" customHeight="1" x14ac:dyDescent="0.2">
      <c r="B1114" s="1083" t="str">
        <f>'Input Basel III'!$A$1</f>
        <v>15b</v>
      </c>
      <c r="C1114" s="1084" t="str">
        <f>'Input Basel III'!$B$1</f>
        <v>Input Basel III</v>
      </c>
      <c r="D1114" s="1091" t="str">
        <f>'Input Basel III'!$A$26</f>
        <v>2 Öffentlichrechtliche Körperschaften</v>
      </c>
      <c r="E1114" s="1516" t="str">
        <f>'Input Basel III'!$B$34</f>
        <v>Risikogewicht 50%</v>
      </c>
      <c r="F1114" s="1494" t="str">
        <f>'Input Basel III'!$I$32</f>
        <v xml:space="preserve">Vor Besicherung </v>
      </c>
      <c r="G1114" s="1494"/>
      <c r="H1114" s="1518">
        <f>'Input Basel III'!$I34</f>
        <v>0</v>
      </c>
      <c r="U1114" s="1027"/>
      <c r="V1114" s="1027"/>
      <c r="W1114" s="1027"/>
    </row>
    <row r="1115" spans="2:23" ht="12.75" customHeight="1" x14ac:dyDescent="0.2">
      <c r="B1115" s="1083" t="str">
        <f>'Input Basel III'!$A$1</f>
        <v>15b</v>
      </c>
      <c r="C1115" s="1084" t="str">
        <f>'Input Basel III'!$B$1</f>
        <v>Input Basel III</v>
      </c>
      <c r="D1115" s="1091" t="str">
        <f>'Input Basel III'!$A$26</f>
        <v>2 Öffentlichrechtliche Körperschaften</v>
      </c>
      <c r="E1115" s="1516" t="str">
        <f>'Input Basel III'!$B$35</f>
        <v>Risikogewicht 100% (ohne ungeratete Positionen)</v>
      </c>
      <c r="F1115" s="1494" t="str">
        <f>'Input Basel III'!$I$32</f>
        <v xml:space="preserve">Vor Besicherung </v>
      </c>
      <c r="G1115" s="1494"/>
      <c r="H1115" s="1518">
        <f>'Input Basel III'!$I35</f>
        <v>0</v>
      </c>
      <c r="U1115" s="1027"/>
      <c r="V1115" s="1027"/>
      <c r="W1115" s="1027"/>
    </row>
    <row r="1116" spans="2:23" ht="12.75" customHeight="1" x14ac:dyDescent="0.2">
      <c r="B1116" s="1083" t="str">
        <f>'Input Basel III'!$A$1</f>
        <v>15b</v>
      </c>
      <c r="C1116" s="1084" t="str">
        <f>'Input Basel III'!$B$1</f>
        <v>Input Basel III</v>
      </c>
      <c r="D1116" s="1091" t="str">
        <f>'Input Basel III'!$A$26</f>
        <v>2 Öffentlichrechtliche Körperschaften</v>
      </c>
      <c r="E1116" s="1516" t="str">
        <f>'Input Basel III'!$B$37</f>
        <v>Nicht geratet 100%</v>
      </c>
      <c r="F1116" s="1494" t="str">
        <f>'Input Basel III'!$I$32</f>
        <v xml:space="preserve">Vor Besicherung </v>
      </c>
      <c r="G1116" s="1494"/>
      <c r="H1116" s="1518">
        <f>'Input Basel III'!$I37</f>
        <v>0</v>
      </c>
      <c r="U1116" s="1027"/>
      <c r="V1116" s="1027"/>
      <c r="W1116" s="1027"/>
    </row>
    <row r="1117" spans="2:23" ht="12.75" customHeight="1" x14ac:dyDescent="0.2">
      <c r="B1117" s="1083" t="str">
        <f>'Input Basel III'!$A$1</f>
        <v>15b</v>
      </c>
      <c r="C1117" s="1084" t="str">
        <f>'Input Basel III'!$B$1</f>
        <v>Input Basel III</v>
      </c>
      <c r="D1117" s="1091" t="str">
        <f>'Input Basel III'!$A$26</f>
        <v>2 Öffentlichrechtliche Körperschaften</v>
      </c>
      <c r="E1117" s="1110">
        <f>'Input Basel III'!$B$38</f>
        <v>0</v>
      </c>
      <c r="F1117" s="1494" t="str">
        <f>'Input Basel III'!$I$32</f>
        <v xml:space="preserve">Vor Besicherung </v>
      </c>
      <c r="G1117" s="1494"/>
      <c r="H1117" s="1112">
        <f>'Input Basel III'!$I38</f>
        <v>0</v>
      </c>
      <c r="U1117" s="1027"/>
      <c r="V1117" s="1027"/>
      <c r="W1117" s="1027"/>
    </row>
    <row r="1118" spans="2:23" ht="12.75" customHeight="1" x14ac:dyDescent="0.2">
      <c r="B1118" s="1083" t="str">
        <f>'Input Basel III'!$A$1</f>
        <v>15b</v>
      </c>
      <c r="C1118" s="1084" t="str">
        <f>'Input Basel III'!$B$1</f>
        <v>Input Basel III</v>
      </c>
      <c r="D1118" s="1091" t="str">
        <f>'Input Basel III'!$A$26</f>
        <v>2 Öffentlichrechtliche Körperschaften</v>
      </c>
      <c r="E1118" s="1516" t="str">
        <f>'Input Basel III'!$B$33</f>
        <v>Risikogewicht 20%</v>
      </c>
      <c r="F1118" s="1494" t="str">
        <f>'Input Basel III'!$J$32</f>
        <v>Nach Besicherung</v>
      </c>
      <c r="G1118" s="1494"/>
      <c r="H1118" s="1518">
        <f>'Input Basel III'!$J33</f>
        <v>0</v>
      </c>
      <c r="U1118" s="1027"/>
      <c r="V1118" s="1027"/>
      <c r="W1118" s="1027"/>
    </row>
    <row r="1119" spans="2:23" ht="12.75" customHeight="1" x14ac:dyDescent="0.2">
      <c r="B1119" s="1083" t="str">
        <f>'Input Basel III'!$A$1</f>
        <v>15b</v>
      </c>
      <c r="C1119" s="1084" t="str">
        <f>'Input Basel III'!$B$1</f>
        <v>Input Basel III</v>
      </c>
      <c r="D1119" s="1091" t="str">
        <f>'Input Basel III'!$A$26</f>
        <v>2 Öffentlichrechtliche Körperschaften</v>
      </c>
      <c r="E1119" s="1516" t="str">
        <f>'Input Basel III'!$B$34</f>
        <v>Risikogewicht 50%</v>
      </c>
      <c r="F1119" s="1494" t="str">
        <f>'Input Basel III'!$J$32</f>
        <v>Nach Besicherung</v>
      </c>
      <c r="G1119" s="1494"/>
      <c r="H1119" s="1518">
        <f>'Input Basel III'!$J34</f>
        <v>0</v>
      </c>
      <c r="U1119" s="1027"/>
      <c r="V1119" s="1027"/>
      <c r="W1119" s="1027"/>
    </row>
    <row r="1120" spans="2:23" ht="12.75" customHeight="1" x14ac:dyDescent="0.2">
      <c r="B1120" s="1083" t="str">
        <f>'Input Basel III'!$A$1</f>
        <v>15b</v>
      </c>
      <c r="C1120" s="1084" t="str">
        <f>'Input Basel III'!$B$1</f>
        <v>Input Basel III</v>
      </c>
      <c r="D1120" s="1091" t="str">
        <f>'Input Basel III'!$A$26</f>
        <v>2 Öffentlichrechtliche Körperschaften</v>
      </c>
      <c r="E1120" s="1516" t="str">
        <f>'Input Basel III'!$B$35</f>
        <v>Risikogewicht 100% (ohne ungeratete Positionen)</v>
      </c>
      <c r="F1120" s="1494" t="str">
        <f>'Input Basel III'!$J$32</f>
        <v>Nach Besicherung</v>
      </c>
      <c r="G1120" s="1494"/>
      <c r="H1120" s="1518">
        <f>'Input Basel III'!$J35</f>
        <v>0</v>
      </c>
      <c r="U1120" s="1027"/>
      <c r="V1120" s="1027"/>
      <c r="W1120" s="1027"/>
    </row>
    <row r="1121" spans="2:23" ht="12.75" customHeight="1" x14ac:dyDescent="0.2">
      <c r="B1121" s="1083" t="str">
        <f>'Input Basel III'!$A$1</f>
        <v>15b</v>
      </c>
      <c r="C1121" s="1084" t="str">
        <f>'Input Basel III'!$B$1</f>
        <v>Input Basel III</v>
      </c>
      <c r="D1121" s="1091" t="str">
        <f>'Input Basel III'!$A$26</f>
        <v>2 Öffentlichrechtliche Körperschaften</v>
      </c>
      <c r="E1121" s="1516" t="str">
        <f>'Input Basel III'!$B$37</f>
        <v>Nicht geratet 100%</v>
      </c>
      <c r="F1121" s="1494" t="str">
        <f>'Input Basel III'!$J$32</f>
        <v>Nach Besicherung</v>
      </c>
      <c r="G1121" s="1494"/>
      <c r="H1121" s="1518">
        <f>'Input Basel III'!$J37</f>
        <v>0</v>
      </c>
      <c r="U1121" s="1027"/>
      <c r="V1121" s="1027"/>
      <c r="W1121" s="1027"/>
    </row>
    <row r="1122" spans="2:23" ht="12.75" customHeight="1" x14ac:dyDescent="0.2">
      <c r="B1122" s="1083" t="str">
        <f>'Input Basel III'!$A$1</f>
        <v>15b</v>
      </c>
      <c r="C1122" s="1084" t="str">
        <f>'Input Basel III'!$B$1</f>
        <v>Input Basel III</v>
      </c>
      <c r="D1122" s="1091" t="str">
        <f>'Input Basel III'!$A$26</f>
        <v>2 Öffentlichrechtliche Körperschaften</v>
      </c>
      <c r="E1122" s="1110">
        <f>'Input Basel III'!$B$38</f>
        <v>0</v>
      </c>
      <c r="F1122" s="1494" t="str">
        <f>'Input Basel III'!$J$32</f>
        <v>Nach Besicherung</v>
      </c>
      <c r="G1122" s="1494"/>
      <c r="H1122" s="1112">
        <f>'Input Basel III'!$J38</f>
        <v>0</v>
      </c>
      <c r="U1122" s="1027"/>
      <c r="V1122" s="1027"/>
      <c r="W1122" s="1027"/>
    </row>
    <row r="1123" spans="2:23" ht="12.75" customHeight="1" x14ac:dyDescent="0.2">
      <c r="B1123" s="1083" t="str">
        <f>'Input Basel III'!$A$1</f>
        <v>15b</v>
      </c>
      <c r="C1123" s="1084" t="str">
        <f>'Input Basel III'!$B$1</f>
        <v>Input Basel III</v>
      </c>
      <c r="D1123" s="1091" t="str">
        <f>'Input Basel III'!$A$26</f>
        <v>2 Öffentlichrechtliche Körperschaften</v>
      </c>
      <c r="E1123" s="1516" t="str">
        <f>'Input Basel III'!$B$33</f>
        <v>Risikogewicht 20%</v>
      </c>
      <c r="F1123" s="1494" t="str">
        <f>'Input Basel III'!$L$32</f>
        <v>Vor Garantien und Kreditderivate</v>
      </c>
      <c r="G1123" s="1494"/>
      <c r="H1123" s="1518">
        <f>'Input Basel III'!$L33</f>
        <v>0</v>
      </c>
      <c r="U1123" s="1027"/>
      <c r="V1123" s="1027"/>
      <c r="W1123" s="1027"/>
    </row>
    <row r="1124" spans="2:23" ht="12.75" customHeight="1" x14ac:dyDescent="0.2">
      <c r="B1124" s="1083" t="str">
        <f>'Input Basel III'!$A$1</f>
        <v>15b</v>
      </c>
      <c r="C1124" s="1084" t="str">
        <f>'Input Basel III'!$B$1</f>
        <v>Input Basel III</v>
      </c>
      <c r="D1124" s="1091" t="str">
        <f>'Input Basel III'!$A$26</f>
        <v>2 Öffentlichrechtliche Körperschaften</v>
      </c>
      <c r="E1124" s="1516" t="str">
        <f>'Input Basel III'!$B$34</f>
        <v>Risikogewicht 50%</v>
      </c>
      <c r="F1124" s="1494" t="str">
        <f>'Input Basel III'!$L$32</f>
        <v>Vor Garantien und Kreditderivate</v>
      </c>
      <c r="G1124" s="1494"/>
      <c r="H1124" s="1518">
        <f>'Input Basel III'!$L34</f>
        <v>0</v>
      </c>
      <c r="U1124" s="1027"/>
      <c r="V1124" s="1027"/>
      <c r="W1124" s="1027"/>
    </row>
    <row r="1125" spans="2:23" ht="12.75" customHeight="1" x14ac:dyDescent="0.2">
      <c r="B1125" s="1083" t="str">
        <f>'Input Basel III'!$A$1</f>
        <v>15b</v>
      </c>
      <c r="C1125" s="1084" t="str">
        <f>'Input Basel III'!$B$1</f>
        <v>Input Basel III</v>
      </c>
      <c r="D1125" s="1091" t="str">
        <f>'Input Basel III'!$A$26</f>
        <v>2 Öffentlichrechtliche Körperschaften</v>
      </c>
      <c r="E1125" s="1516" t="str">
        <f>'Input Basel III'!$B$35</f>
        <v>Risikogewicht 100% (ohne ungeratete Positionen)</v>
      </c>
      <c r="F1125" s="1494" t="str">
        <f>'Input Basel III'!$L$32</f>
        <v>Vor Garantien und Kreditderivate</v>
      </c>
      <c r="G1125" s="1494"/>
      <c r="H1125" s="1518">
        <f>'Input Basel III'!$L35</f>
        <v>0</v>
      </c>
      <c r="U1125" s="1027"/>
      <c r="V1125" s="1027"/>
      <c r="W1125" s="1027"/>
    </row>
    <row r="1126" spans="2:23" ht="12.75" customHeight="1" x14ac:dyDescent="0.2">
      <c r="B1126" s="1083" t="str">
        <f>'Input Basel III'!$A$1</f>
        <v>15b</v>
      </c>
      <c r="C1126" s="1084" t="str">
        <f>'Input Basel III'!$B$1</f>
        <v>Input Basel III</v>
      </c>
      <c r="D1126" s="1091" t="str">
        <f>'Input Basel III'!$A$26</f>
        <v>2 Öffentlichrechtliche Körperschaften</v>
      </c>
      <c r="E1126" s="1516" t="str">
        <f>'Input Basel III'!$B$37</f>
        <v>Nicht geratet 100%</v>
      </c>
      <c r="F1126" s="1494" t="str">
        <f>'Input Basel III'!$L$32</f>
        <v>Vor Garantien und Kreditderivate</v>
      </c>
      <c r="G1126" s="1494"/>
      <c r="H1126" s="1518">
        <f>'Input Basel III'!$L37</f>
        <v>0</v>
      </c>
      <c r="U1126" s="1027"/>
      <c r="V1126" s="1027"/>
      <c r="W1126" s="1027"/>
    </row>
    <row r="1127" spans="2:23" ht="12.75" customHeight="1" x14ac:dyDescent="0.2">
      <c r="B1127" s="1083" t="str">
        <f>'Input Basel III'!$A$1</f>
        <v>15b</v>
      </c>
      <c r="C1127" s="1084" t="str">
        <f>'Input Basel III'!$B$1</f>
        <v>Input Basel III</v>
      </c>
      <c r="D1127" s="1091" t="str">
        <f>'Input Basel III'!$A$26</f>
        <v>2 Öffentlichrechtliche Körperschaften</v>
      </c>
      <c r="E1127" s="1110">
        <f>'Input Basel III'!$B$38</f>
        <v>0</v>
      </c>
      <c r="F1127" s="1494" t="str">
        <f>'Input Basel III'!$L$32</f>
        <v>Vor Garantien und Kreditderivate</v>
      </c>
      <c r="G1127" s="1494"/>
      <c r="H1127" s="1112">
        <f>'Input Basel III'!$L38</f>
        <v>0</v>
      </c>
      <c r="U1127" s="1027"/>
      <c r="V1127" s="1027"/>
      <c r="W1127" s="1027"/>
    </row>
    <row r="1128" spans="2:23" ht="12.75" customHeight="1" x14ac:dyDescent="0.2">
      <c r="B1128" s="1083" t="str">
        <f>'Input Basel III'!$A$1</f>
        <v>15b</v>
      </c>
      <c r="C1128" s="1084" t="str">
        <f>'Input Basel III'!$B$1</f>
        <v>Input Basel III</v>
      </c>
      <c r="D1128" s="1091" t="str">
        <f>'Input Basel III'!$A$26</f>
        <v>2 Öffentlichrechtliche Körperschaften</v>
      </c>
      <c r="E1128" s="1516" t="str">
        <f>'Input Basel III'!$B$33</f>
        <v>Risikogewicht 20%</v>
      </c>
      <c r="F1128" s="1494" t="str">
        <f>'Input Basel III'!$M$13</f>
        <v>Nach Garantien und Kred.-.Der.</v>
      </c>
      <c r="G1128" s="1494"/>
      <c r="H1128" s="1518">
        <f>'Input Basel III'!$M33</f>
        <v>0</v>
      </c>
      <c r="U1128" s="1027"/>
      <c r="V1128" s="1027"/>
      <c r="W1128" s="1027"/>
    </row>
    <row r="1129" spans="2:23" ht="12.75" customHeight="1" x14ac:dyDescent="0.2">
      <c r="B1129" s="1083" t="str">
        <f>'Input Basel III'!$A$1</f>
        <v>15b</v>
      </c>
      <c r="C1129" s="1084" t="str">
        <f>'Input Basel III'!$B$1</f>
        <v>Input Basel III</v>
      </c>
      <c r="D1129" s="1091" t="str">
        <f>'Input Basel III'!$A$26</f>
        <v>2 Öffentlichrechtliche Körperschaften</v>
      </c>
      <c r="E1129" s="1516" t="str">
        <f>'Input Basel III'!$B$34</f>
        <v>Risikogewicht 50%</v>
      </c>
      <c r="F1129" s="1494" t="str">
        <f>'Input Basel III'!$M$13</f>
        <v>Nach Garantien und Kred.-.Der.</v>
      </c>
      <c r="G1129" s="1494"/>
      <c r="H1129" s="1518">
        <f>'Input Basel III'!$M34</f>
        <v>0</v>
      </c>
      <c r="U1129" s="1027"/>
      <c r="V1129" s="1027"/>
      <c r="W1129" s="1027"/>
    </row>
    <row r="1130" spans="2:23" ht="12.75" customHeight="1" x14ac:dyDescent="0.2">
      <c r="B1130" s="1083" t="str">
        <f>'Input Basel III'!$A$1</f>
        <v>15b</v>
      </c>
      <c r="C1130" s="1084" t="str">
        <f>'Input Basel III'!$B$1</f>
        <v>Input Basel III</v>
      </c>
      <c r="D1130" s="1091" t="str">
        <f>'Input Basel III'!$A$26</f>
        <v>2 Öffentlichrechtliche Körperschaften</v>
      </c>
      <c r="E1130" s="1516" t="str">
        <f>'Input Basel III'!$B$35</f>
        <v>Risikogewicht 100% (ohne ungeratete Positionen)</v>
      </c>
      <c r="F1130" s="1494" t="str">
        <f>'Input Basel III'!$M$13</f>
        <v>Nach Garantien und Kred.-.Der.</v>
      </c>
      <c r="G1130" s="1494"/>
      <c r="H1130" s="1518">
        <f>'Input Basel III'!$M35</f>
        <v>0</v>
      </c>
      <c r="U1130" s="1027"/>
      <c r="V1130" s="1027"/>
      <c r="W1130" s="1027"/>
    </row>
    <row r="1131" spans="2:23" ht="12.75" customHeight="1" x14ac:dyDescent="0.2">
      <c r="B1131" s="1083" t="str">
        <f>'Input Basel III'!$A$1</f>
        <v>15b</v>
      </c>
      <c r="C1131" s="1084" t="str">
        <f>'Input Basel III'!$B$1</f>
        <v>Input Basel III</v>
      </c>
      <c r="D1131" s="1091" t="str">
        <f>'Input Basel III'!$A$26</f>
        <v>2 Öffentlichrechtliche Körperschaften</v>
      </c>
      <c r="E1131" s="1516" t="str">
        <f>'Input Basel III'!$B$37</f>
        <v>Nicht geratet 100%</v>
      </c>
      <c r="F1131" s="1494" t="str">
        <f>'Input Basel III'!$M$13</f>
        <v>Nach Garantien und Kred.-.Der.</v>
      </c>
      <c r="G1131" s="1494"/>
      <c r="H1131" s="1518">
        <f>'Input Basel III'!$M37</f>
        <v>0</v>
      </c>
      <c r="U1131" s="1027"/>
      <c r="V1131" s="1027"/>
      <c r="W1131" s="1027"/>
    </row>
    <row r="1132" spans="2:23" ht="12.75" customHeight="1" x14ac:dyDescent="0.2">
      <c r="B1132" s="1083" t="str">
        <f>'Input Basel III'!$A$1</f>
        <v>15b</v>
      </c>
      <c r="C1132" s="1084" t="str">
        <f>'Input Basel III'!$B$1</f>
        <v>Input Basel III</v>
      </c>
      <c r="D1132" s="1091" t="str">
        <f>'Input Basel III'!$A$26</f>
        <v>2 Öffentlichrechtliche Körperschaften</v>
      </c>
      <c r="E1132" s="1110">
        <f>'Input Basel III'!$B$38</f>
        <v>0</v>
      </c>
      <c r="F1132" s="1494" t="str">
        <f>'Input Basel III'!$M$13</f>
        <v>Nach Garantien und Kred.-.Der.</v>
      </c>
      <c r="G1132" s="1494"/>
      <c r="H1132" s="1112">
        <f>'Input Basel III'!$M38</f>
        <v>0</v>
      </c>
      <c r="U1132" s="1027"/>
      <c r="V1132" s="1027"/>
      <c r="W1132" s="1027"/>
    </row>
    <row r="1133" spans="2:23" ht="12.75" customHeight="1" x14ac:dyDescent="0.2">
      <c r="B1133" s="1083" t="str">
        <f>'Input Basel III'!$A$1</f>
        <v>15b</v>
      </c>
      <c r="C1133" s="1084" t="str">
        <f>'Input Basel III'!$B$1</f>
        <v>Input Basel III</v>
      </c>
      <c r="D1133" s="1091" t="str">
        <f>'Input Basel III'!$A$44</f>
        <v>3 BIZ, IWF und multilaterale Entwicklungsbanken</v>
      </c>
      <c r="E1133" s="1488" t="str">
        <f>'Input Basel III'!$B$51</f>
        <v>Risikogewicht 0%</v>
      </c>
      <c r="F1133" s="1494" t="str">
        <f>'Input Basel III'!$C$31</f>
        <v>Risikogewicht</v>
      </c>
      <c r="G1133" s="1494"/>
      <c r="H1133" s="1519">
        <f>'Input Basel III'!$C51</f>
        <v>0</v>
      </c>
      <c r="U1133" s="1027"/>
      <c r="V1133" s="1027"/>
      <c r="W1133" s="1027"/>
    </row>
    <row r="1134" spans="2:23" ht="12.75" customHeight="1" x14ac:dyDescent="0.2">
      <c r="B1134" s="1083" t="str">
        <f>'Input Basel III'!$A$1</f>
        <v>15b</v>
      </c>
      <c r="C1134" s="1084" t="str">
        <f>'Input Basel III'!$B$1</f>
        <v>Input Basel III</v>
      </c>
      <c r="D1134" s="1091" t="str">
        <f>'Input Basel III'!$A$44</f>
        <v>3 BIZ, IWF und multilaterale Entwicklungsbanken</v>
      </c>
      <c r="E1134" s="1516" t="str">
        <f>'Input Basel III'!$B$52</f>
        <v>Risikogewicht 20%</v>
      </c>
      <c r="F1134" s="1494" t="str">
        <f>'Input Basel III'!$C$31</f>
        <v>Risikogewicht</v>
      </c>
      <c r="G1134" s="1494"/>
      <c r="H1134" s="1519">
        <f>'Input Basel III'!$C52</f>
        <v>0.2</v>
      </c>
      <c r="U1134" s="1027"/>
      <c r="V1134" s="1027"/>
      <c r="W1134" s="1027"/>
    </row>
    <row r="1135" spans="2:23" ht="12.75" customHeight="1" x14ac:dyDescent="0.2">
      <c r="B1135" s="1083" t="str">
        <f>'Input Basel III'!$A$1</f>
        <v>15b</v>
      </c>
      <c r="C1135" s="1084" t="str">
        <f>'Input Basel III'!$B$1</f>
        <v>Input Basel III</v>
      </c>
      <c r="D1135" s="1091" t="str">
        <f>'Input Basel III'!$A$44</f>
        <v>3 BIZ, IWF und multilaterale Entwicklungsbanken</v>
      </c>
      <c r="E1135" s="1516" t="str">
        <f>'Input Basel III'!$B$53</f>
        <v>Risikogewicht 50% (ohne ungeratete Positionen)</v>
      </c>
      <c r="F1135" s="1494" t="str">
        <f>'Input Basel III'!$C$31</f>
        <v>Risikogewicht</v>
      </c>
      <c r="G1135" s="1494"/>
      <c r="H1135" s="1519">
        <f>'Input Basel III'!$C53</f>
        <v>0.5</v>
      </c>
      <c r="U1135" s="1027"/>
      <c r="V1135" s="1027"/>
      <c r="W1135" s="1027"/>
    </row>
    <row r="1136" spans="2:23" ht="12.75" customHeight="1" x14ac:dyDescent="0.2">
      <c r="B1136" s="1083" t="str">
        <f>'Input Basel III'!$A$1</f>
        <v>15b</v>
      </c>
      <c r="C1136" s="1084" t="str">
        <f>'Input Basel III'!$B$1</f>
        <v>Input Basel III</v>
      </c>
      <c r="D1136" s="1091" t="str">
        <f>'Input Basel III'!$A$44</f>
        <v>3 BIZ, IWF und multilaterale Entwicklungsbanken</v>
      </c>
      <c r="E1136" s="1516" t="str">
        <f>'Input Basel III'!$B$54</f>
        <v>Risikogewicht 100%</v>
      </c>
      <c r="F1136" s="1494" t="str">
        <f>'Input Basel III'!$C$31</f>
        <v>Risikogewicht</v>
      </c>
      <c r="G1136" s="1494"/>
      <c r="H1136" s="1519">
        <f>'Input Basel III'!$C54</f>
        <v>1</v>
      </c>
      <c r="U1136" s="1027"/>
      <c r="V1136" s="1027"/>
      <c r="W1136" s="1027"/>
    </row>
    <row r="1137" spans="2:23" ht="12.75" customHeight="1" x14ac:dyDescent="0.2">
      <c r="B1137" s="1083" t="str">
        <f>'Input Basel III'!$A$1</f>
        <v>15b</v>
      </c>
      <c r="C1137" s="1084" t="str">
        <f>'Input Basel III'!$B$1</f>
        <v>Input Basel III</v>
      </c>
      <c r="D1137" s="1091" t="str">
        <f>'Input Basel III'!$A$44</f>
        <v>3 BIZ, IWF und multilaterale Entwicklungsbanken</v>
      </c>
      <c r="E1137" s="1516" t="str">
        <f>'Input Basel III'!$B$56</f>
        <v>Nicht gerated 50%</v>
      </c>
      <c r="F1137" s="1494" t="str">
        <f>'Input Basel III'!$C$31</f>
        <v>Risikogewicht</v>
      </c>
      <c r="G1137" s="1494"/>
      <c r="H1137" s="1519">
        <f>'Input Basel III'!$C56</f>
        <v>0.5</v>
      </c>
      <c r="U1137" s="1027"/>
      <c r="V1137" s="1027"/>
      <c r="W1137" s="1027"/>
    </row>
    <row r="1138" spans="2:23" ht="12.75" customHeight="1" x14ac:dyDescent="0.2">
      <c r="B1138" s="1083" t="str">
        <f>'Input Basel III'!$A$1</f>
        <v>15b</v>
      </c>
      <c r="C1138" s="1084" t="str">
        <f>'Input Basel III'!$B$1</f>
        <v>Input Basel III</v>
      </c>
      <c r="D1138" s="1091" t="str">
        <f>'Input Basel III'!$A$44</f>
        <v>3 BIZ, IWF und multilaterale Entwicklungsbanken</v>
      </c>
      <c r="E1138" s="1110">
        <f>'Input Basel III'!$B$57</f>
        <v>0</v>
      </c>
      <c r="F1138" s="1494" t="str">
        <f>'Input Basel III'!$C$31</f>
        <v>Risikogewicht</v>
      </c>
      <c r="G1138" s="1494"/>
      <c r="H1138" s="1111">
        <f>'Input Basel III'!$C57</f>
        <v>0</v>
      </c>
      <c r="U1138" s="1027"/>
      <c r="V1138" s="1027"/>
      <c r="W1138" s="1027"/>
    </row>
    <row r="1139" spans="2:23" ht="12.75" customHeight="1" x14ac:dyDescent="0.2">
      <c r="B1139" s="1083" t="str">
        <f>'Input Basel III'!$A$1</f>
        <v>15b</v>
      </c>
      <c r="C1139" s="1084" t="str">
        <f>'Input Basel III'!$B$1</f>
        <v>Input Basel III</v>
      </c>
      <c r="D1139" s="1091" t="str">
        <f>'Input Basel III'!$A$44</f>
        <v>3 BIZ, IWF und multilaterale Entwicklungsbanken</v>
      </c>
      <c r="E1139" s="1488" t="str">
        <f>'Input Basel III'!$B$51</f>
        <v>Risikogewicht 0%</v>
      </c>
      <c r="F1139" s="1520" t="str">
        <f>'Input Basel III'!$G$49</f>
        <v>Positionen ohne Kreditrisikominderung (CRM)</v>
      </c>
      <c r="G1139" s="1520"/>
      <c r="H1139" s="1518">
        <f>'Input Basel III'!$G51</f>
        <v>0</v>
      </c>
      <c r="U1139" s="1027"/>
      <c r="V1139" s="1027"/>
      <c r="W1139" s="1027"/>
    </row>
    <row r="1140" spans="2:23" ht="12.75" customHeight="1" x14ac:dyDescent="0.2">
      <c r="B1140" s="1083" t="str">
        <f>'Input Basel III'!$A$1</f>
        <v>15b</v>
      </c>
      <c r="C1140" s="1084" t="str">
        <f>'Input Basel III'!$B$1</f>
        <v>Input Basel III</v>
      </c>
      <c r="D1140" s="1091" t="str">
        <f>'Input Basel III'!$A$44</f>
        <v>3 BIZ, IWF und multilaterale Entwicklungsbanken</v>
      </c>
      <c r="E1140" s="1516" t="str">
        <f>'Input Basel III'!$B$52</f>
        <v>Risikogewicht 20%</v>
      </c>
      <c r="F1140" s="1520" t="str">
        <f>'Input Basel III'!$G$49</f>
        <v>Positionen ohne Kreditrisikominderung (CRM)</v>
      </c>
      <c r="G1140" s="1520"/>
      <c r="H1140" s="1518">
        <f>'Input Basel III'!$G52</f>
        <v>0</v>
      </c>
      <c r="U1140" s="1027"/>
      <c r="V1140" s="1027"/>
      <c r="W1140" s="1027"/>
    </row>
    <row r="1141" spans="2:23" ht="12.75" customHeight="1" x14ac:dyDescent="0.2">
      <c r="B1141" s="1083" t="str">
        <f>'Input Basel III'!$A$1</f>
        <v>15b</v>
      </c>
      <c r="C1141" s="1084" t="str">
        <f>'Input Basel III'!$B$1</f>
        <v>Input Basel III</v>
      </c>
      <c r="D1141" s="1091" t="str">
        <f>'Input Basel III'!$A$44</f>
        <v>3 BIZ, IWF und multilaterale Entwicklungsbanken</v>
      </c>
      <c r="E1141" s="1516" t="str">
        <f>'Input Basel III'!$B$53</f>
        <v>Risikogewicht 50% (ohne ungeratete Positionen)</v>
      </c>
      <c r="F1141" s="1520" t="str">
        <f>'Input Basel III'!$G$49</f>
        <v>Positionen ohne Kreditrisikominderung (CRM)</v>
      </c>
      <c r="G1141" s="1520"/>
      <c r="H1141" s="1518">
        <f>'Input Basel III'!$G53</f>
        <v>0</v>
      </c>
      <c r="U1141" s="1027"/>
      <c r="V1141" s="1027"/>
      <c r="W1141" s="1027"/>
    </row>
    <row r="1142" spans="2:23" ht="12.75" customHeight="1" x14ac:dyDescent="0.2">
      <c r="B1142" s="1083" t="str">
        <f>'Input Basel III'!$A$1</f>
        <v>15b</v>
      </c>
      <c r="C1142" s="1084" t="str">
        <f>'Input Basel III'!$B$1</f>
        <v>Input Basel III</v>
      </c>
      <c r="D1142" s="1091" t="str">
        <f>'Input Basel III'!$A$44</f>
        <v>3 BIZ, IWF und multilaterale Entwicklungsbanken</v>
      </c>
      <c r="E1142" s="1516" t="str">
        <f>'Input Basel III'!$B$54</f>
        <v>Risikogewicht 100%</v>
      </c>
      <c r="F1142" s="1520" t="str">
        <f>'Input Basel III'!$G$49</f>
        <v>Positionen ohne Kreditrisikominderung (CRM)</v>
      </c>
      <c r="G1142" s="1520"/>
      <c r="H1142" s="1518">
        <f>'Input Basel III'!$G54</f>
        <v>0</v>
      </c>
      <c r="U1142" s="1027"/>
      <c r="V1142" s="1027"/>
      <c r="W1142" s="1027"/>
    </row>
    <row r="1143" spans="2:23" ht="12.75" customHeight="1" x14ac:dyDescent="0.2">
      <c r="B1143" s="1083" t="str">
        <f>'Input Basel III'!$A$1</f>
        <v>15b</v>
      </c>
      <c r="C1143" s="1084" t="str">
        <f>'Input Basel III'!$B$1</f>
        <v>Input Basel III</v>
      </c>
      <c r="D1143" s="1091" t="str">
        <f>'Input Basel III'!$A$44</f>
        <v>3 BIZ, IWF und multilaterale Entwicklungsbanken</v>
      </c>
      <c r="E1143" s="1516" t="str">
        <f>'Input Basel III'!$B$56</f>
        <v>Nicht gerated 50%</v>
      </c>
      <c r="F1143" s="1520" t="str">
        <f>'Input Basel III'!$G$49</f>
        <v>Positionen ohne Kreditrisikominderung (CRM)</v>
      </c>
      <c r="G1143" s="1520"/>
      <c r="H1143" s="1518">
        <f>'Input Basel III'!$G56</f>
        <v>0</v>
      </c>
      <c r="U1143" s="1027"/>
      <c r="V1143" s="1027"/>
      <c r="W1143" s="1027"/>
    </row>
    <row r="1144" spans="2:23" ht="12.75" customHeight="1" x14ac:dyDescent="0.2">
      <c r="B1144" s="1083" t="str">
        <f>'Input Basel III'!$A$1</f>
        <v>15b</v>
      </c>
      <c r="C1144" s="1084" t="str">
        <f>'Input Basel III'!$B$1</f>
        <v>Input Basel III</v>
      </c>
      <c r="D1144" s="1091" t="str">
        <f>'Input Basel III'!$A$44</f>
        <v>3 BIZ, IWF und multilaterale Entwicklungsbanken</v>
      </c>
      <c r="E1144" s="1110">
        <f>'Input Basel III'!$B$57</f>
        <v>0</v>
      </c>
      <c r="F1144" s="1520" t="str">
        <f>'Input Basel III'!$G$49</f>
        <v>Positionen ohne Kreditrisikominderung (CRM)</v>
      </c>
      <c r="G1144" s="1520"/>
      <c r="H1144" s="1112">
        <f>'Input Basel III'!$G57</f>
        <v>0</v>
      </c>
      <c r="U1144" s="1027"/>
      <c r="V1144" s="1027"/>
      <c r="W1144" s="1027"/>
    </row>
    <row r="1145" spans="2:23" ht="12.75" customHeight="1" x14ac:dyDescent="0.2">
      <c r="B1145" s="1083" t="str">
        <f>'Input Basel III'!$A$1</f>
        <v>15b</v>
      </c>
      <c r="C1145" s="1084" t="str">
        <f>'Input Basel III'!$B$1</f>
        <v>Input Basel III</v>
      </c>
      <c r="D1145" s="1091" t="str">
        <f>'Input Basel III'!$A$44</f>
        <v>3 BIZ, IWF und multilaterale Entwicklungsbanken</v>
      </c>
      <c r="E1145" s="1488" t="str">
        <f>'Input Basel III'!$B$51</f>
        <v>Risikogewicht 0%</v>
      </c>
      <c r="F1145" s="1520" t="str">
        <f>'Input Basel III'!$I$50</f>
        <v xml:space="preserve">Vor Besicherung </v>
      </c>
      <c r="G1145" s="1520"/>
      <c r="H1145" s="1518">
        <f>'Input Basel III'!$I51</f>
        <v>0</v>
      </c>
      <c r="U1145" s="1027"/>
      <c r="V1145" s="1027"/>
      <c r="W1145" s="1027"/>
    </row>
    <row r="1146" spans="2:23" ht="12.75" customHeight="1" x14ac:dyDescent="0.2">
      <c r="B1146" s="1083" t="str">
        <f>'Input Basel III'!$A$1</f>
        <v>15b</v>
      </c>
      <c r="C1146" s="1084" t="str">
        <f>'Input Basel III'!$B$1</f>
        <v>Input Basel III</v>
      </c>
      <c r="D1146" s="1091" t="str">
        <f>'Input Basel III'!$A$44</f>
        <v>3 BIZ, IWF und multilaterale Entwicklungsbanken</v>
      </c>
      <c r="E1146" s="1516" t="str">
        <f>'Input Basel III'!$B$52</f>
        <v>Risikogewicht 20%</v>
      </c>
      <c r="F1146" s="1520" t="str">
        <f>'Input Basel III'!$I$50</f>
        <v xml:space="preserve">Vor Besicherung </v>
      </c>
      <c r="G1146" s="1520"/>
      <c r="H1146" s="1518">
        <f>'Input Basel III'!$I52</f>
        <v>0</v>
      </c>
      <c r="U1146" s="1027"/>
      <c r="V1146" s="1027"/>
      <c r="W1146" s="1027"/>
    </row>
    <row r="1147" spans="2:23" ht="12.75" customHeight="1" x14ac:dyDescent="0.2">
      <c r="B1147" s="1083" t="str">
        <f>'Input Basel III'!$A$1</f>
        <v>15b</v>
      </c>
      <c r="C1147" s="1084" t="str">
        <f>'Input Basel III'!$B$1</f>
        <v>Input Basel III</v>
      </c>
      <c r="D1147" s="1091" t="str">
        <f>'Input Basel III'!$A$44</f>
        <v>3 BIZ, IWF und multilaterale Entwicklungsbanken</v>
      </c>
      <c r="E1147" s="1516" t="str">
        <f>'Input Basel III'!$B$53</f>
        <v>Risikogewicht 50% (ohne ungeratete Positionen)</v>
      </c>
      <c r="F1147" s="1520" t="str">
        <f>'Input Basel III'!$I$50</f>
        <v xml:space="preserve">Vor Besicherung </v>
      </c>
      <c r="G1147" s="1520"/>
      <c r="H1147" s="1518">
        <f>'Input Basel III'!$I53</f>
        <v>0</v>
      </c>
      <c r="U1147" s="1027"/>
      <c r="V1147" s="1027"/>
      <c r="W1147" s="1027"/>
    </row>
    <row r="1148" spans="2:23" ht="12.75" customHeight="1" x14ac:dyDescent="0.2">
      <c r="B1148" s="1083" t="str">
        <f>'Input Basel III'!$A$1</f>
        <v>15b</v>
      </c>
      <c r="C1148" s="1084" t="str">
        <f>'Input Basel III'!$B$1</f>
        <v>Input Basel III</v>
      </c>
      <c r="D1148" s="1091" t="str">
        <f>'Input Basel III'!$A$44</f>
        <v>3 BIZ, IWF und multilaterale Entwicklungsbanken</v>
      </c>
      <c r="E1148" s="1516" t="str">
        <f>'Input Basel III'!$B$54</f>
        <v>Risikogewicht 100%</v>
      </c>
      <c r="F1148" s="1520" t="str">
        <f>'Input Basel III'!$I$50</f>
        <v xml:space="preserve">Vor Besicherung </v>
      </c>
      <c r="G1148" s="1520"/>
      <c r="H1148" s="1518">
        <f>'Input Basel III'!$I54</f>
        <v>0</v>
      </c>
      <c r="U1148" s="1027"/>
      <c r="V1148" s="1027"/>
      <c r="W1148" s="1027"/>
    </row>
    <row r="1149" spans="2:23" ht="12.75" customHeight="1" x14ac:dyDescent="0.2">
      <c r="B1149" s="1083" t="str">
        <f>'Input Basel III'!$A$1</f>
        <v>15b</v>
      </c>
      <c r="C1149" s="1084" t="str">
        <f>'Input Basel III'!$B$1</f>
        <v>Input Basel III</v>
      </c>
      <c r="D1149" s="1091" t="str">
        <f>'Input Basel III'!$A$44</f>
        <v>3 BIZ, IWF und multilaterale Entwicklungsbanken</v>
      </c>
      <c r="E1149" s="1516" t="str">
        <f>'Input Basel III'!$B$56</f>
        <v>Nicht gerated 50%</v>
      </c>
      <c r="F1149" s="1520" t="str">
        <f>'Input Basel III'!$I$50</f>
        <v xml:space="preserve">Vor Besicherung </v>
      </c>
      <c r="G1149" s="1520"/>
      <c r="H1149" s="1518">
        <f>'Input Basel III'!$I56</f>
        <v>0</v>
      </c>
      <c r="U1149" s="1027"/>
      <c r="V1149" s="1027"/>
      <c r="W1149" s="1027"/>
    </row>
    <row r="1150" spans="2:23" ht="12.75" customHeight="1" x14ac:dyDescent="0.2">
      <c r="B1150" s="1083" t="str">
        <f>'Input Basel III'!$A$1</f>
        <v>15b</v>
      </c>
      <c r="C1150" s="1084" t="str">
        <f>'Input Basel III'!$B$1</f>
        <v>Input Basel III</v>
      </c>
      <c r="D1150" s="1091" t="str">
        <f>'Input Basel III'!$A$44</f>
        <v>3 BIZ, IWF und multilaterale Entwicklungsbanken</v>
      </c>
      <c r="E1150" s="1110">
        <f>'Input Basel III'!$B$57</f>
        <v>0</v>
      </c>
      <c r="F1150" s="1520" t="str">
        <f>'Input Basel III'!$I$50</f>
        <v xml:space="preserve">Vor Besicherung </v>
      </c>
      <c r="G1150" s="1520"/>
      <c r="H1150" s="1112">
        <f>'Input Basel III'!$I57</f>
        <v>0</v>
      </c>
      <c r="U1150" s="1027"/>
      <c r="V1150" s="1027"/>
      <c r="W1150" s="1027"/>
    </row>
    <row r="1151" spans="2:23" ht="12.75" customHeight="1" x14ac:dyDescent="0.2">
      <c r="B1151" s="1083" t="str">
        <f>'Input Basel III'!$A$1</f>
        <v>15b</v>
      </c>
      <c r="C1151" s="1084" t="str">
        <f>'Input Basel III'!$B$1</f>
        <v>Input Basel III</v>
      </c>
      <c r="D1151" s="1091" t="str">
        <f>'Input Basel III'!$A$44</f>
        <v>3 BIZ, IWF und multilaterale Entwicklungsbanken</v>
      </c>
      <c r="E1151" s="1488" t="str">
        <f>'Input Basel III'!$B$51</f>
        <v>Risikogewicht 0%</v>
      </c>
      <c r="F1151" s="1520" t="str">
        <f>'Input Basel III'!$J$50</f>
        <v>Nach Besicherung</v>
      </c>
      <c r="G1151" s="1520"/>
      <c r="H1151" s="1518">
        <f>'Input Basel III'!$J51</f>
        <v>0</v>
      </c>
      <c r="U1151" s="1027"/>
      <c r="V1151" s="1027"/>
      <c r="W1151" s="1027"/>
    </row>
    <row r="1152" spans="2:23" ht="12.75" customHeight="1" x14ac:dyDescent="0.2">
      <c r="B1152" s="1083" t="str">
        <f>'Input Basel III'!$A$1</f>
        <v>15b</v>
      </c>
      <c r="C1152" s="1084" t="str">
        <f>'Input Basel III'!$B$1</f>
        <v>Input Basel III</v>
      </c>
      <c r="D1152" s="1091" t="str">
        <f>'Input Basel III'!$A$44</f>
        <v>3 BIZ, IWF und multilaterale Entwicklungsbanken</v>
      </c>
      <c r="E1152" s="1516" t="str">
        <f>'Input Basel III'!$B$52</f>
        <v>Risikogewicht 20%</v>
      </c>
      <c r="F1152" s="1520" t="str">
        <f>'Input Basel III'!$J$50</f>
        <v>Nach Besicherung</v>
      </c>
      <c r="G1152" s="1520"/>
      <c r="H1152" s="1518">
        <f>'Input Basel III'!$J52</f>
        <v>0</v>
      </c>
      <c r="U1152" s="1027"/>
      <c r="V1152" s="1027"/>
      <c r="W1152" s="1027"/>
    </row>
    <row r="1153" spans="2:23" ht="12.75" customHeight="1" x14ac:dyDescent="0.2">
      <c r="B1153" s="1083" t="str">
        <f>'Input Basel III'!$A$1</f>
        <v>15b</v>
      </c>
      <c r="C1153" s="1084" t="str">
        <f>'Input Basel III'!$B$1</f>
        <v>Input Basel III</v>
      </c>
      <c r="D1153" s="1091" t="str">
        <f>'Input Basel III'!$A$44</f>
        <v>3 BIZ, IWF und multilaterale Entwicklungsbanken</v>
      </c>
      <c r="E1153" s="1516" t="str">
        <f>'Input Basel III'!$B$53</f>
        <v>Risikogewicht 50% (ohne ungeratete Positionen)</v>
      </c>
      <c r="F1153" s="1520" t="str">
        <f>'Input Basel III'!$J$50</f>
        <v>Nach Besicherung</v>
      </c>
      <c r="G1153" s="1520"/>
      <c r="H1153" s="1518">
        <f>'Input Basel III'!$J53</f>
        <v>0</v>
      </c>
      <c r="U1153" s="1027"/>
      <c r="V1153" s="1027"/>
      <c r="W1153" s="1027"/>
    </row>
    <row r="1154" spans="2:23" ht="12.75" customHeight="1" x14ac:dyDescent="0.2">
      <c r="B1154" s="1083" t="str">
        <f>'Input Basel III'!$A$1</f>
        <v>15b</v>
      </c>
      <c r="C1154" s="1084" t="str">
        <f>'Input Basel III'!$B$1</f>
        <v>Input Basel III</v>
      </c>
      <c r="D1154" s="1091" t="str">
        <f>'Input Basel III'!$A$44</f>
        <v>3 BIZ, IWF und multilaterale Entwicklungsbanken</v>
      </c>
      <c r="E1154" s="1516" t="str">
        <f>'Input Basel III'!$B$54</f>
        <v>Risikogewicht 100%</v>
      </c>
      <c r="F1154" s="1520" t="str">
        <f>'Input Basel III'!$J$50</f>
        <v>Nach Besicherung</v>
      </c>
      <c r="G1154" s="1520"/>
      <c r="H1154" s="1518">
        <f>'Input Basel III'!$J54</f>
        <v>0</v>
      </c>
      <c r="U1154" s="1027"/>
      <c r="V1154" s="1027"/>
      <c r="W1154" s="1027"/>
    </row>
    <row r="1155" spans="2:23" ht="12.75" customHeight="1" x14ac:dyDescent="0.2">
      <c r="B1155" s="1083" t="str">
        <f>'Input Basel III'!$A$1</f>
        <v>15b</v>
      </c>
      <c r="C1155" s="1084" t="str">
        <f>'Input Basel III'!$B$1</f>
        <v>Input Basel III</v>
      </c>
      <c r="D1155" s="1091" t="str">
        <f>'Input Basel III'!$A$44</f>
        <v>3 BIZ, IWF und multilaterale Entwicklungsbanken</v>
      </c>
      <c r="E1155" s="1516" t="str">
        <f>'Input Basel III'!$B$56</f>
        <v>Nicht gerated 50%</v>
      </c>
      <c r="F1155" s="1520" t="str">
        <f>'Input Basel III'!$J$50</f>
        <v>Nach Besicherung</v>
      </c>
      <c r="G1155" s="1494"/>
      <c r="H1155" s="1518">
        <f>'Input Basel III'!$J56</f>
        <v>0</v>
      </c>
      <c r="U1155" s="1027"/>
      <c r="V1155" s="1027"/>
      <c r="W1155" s="1027"/>
    </row>
    <row r="1156" spans="2:23" ht="12.75" customHeight="1" x14ac:dyDescent="0.2">
      <c r="B1156" s="1083" t="str">
        <f>'Input Basel III'!$A$1</f>
        <v>15b</v>
      </c>
      <c r="C1156" s="1084" t="str">
        <f>'Input Basel III'!$B$1</f>
        <v>Input Basel III</v>
      </c>
      <c r="D1156" s="1091" t="str">
        <f>'Input Basel III'!$A$44</f>
        <v>3 BIZ, IWF und multilaterale Entwicklungsbanken</v>
      </c>
      <c r="E1156" s="1110">
        <f>'Input Basel III'!$B$57</f>
        <v>0</v>
      </c>
      <c r="F1156" s="1520" t="str">
        <f>'Input Basel III'!$J$50</f>
        <v>Nach Besicherung</v>
      </c>
      <c r="G1156" s="1494"/>
      <c r="H1156" s="1112">
        <f>'Input Basel III'!$J57</f>
        <v>0</v>
      </c>
      <c r="U1156" s="1027"/>
      <c r="V1156" s="1027"/>
      <c r="W1156" s="1027"/>
    </row>
    <row r="1157" spans="2:23" ht="12.75" customHeight="1" x14ac:dyDescent="0.2">
      <c r="B1157" s="1083" t="str">
        <f>'Input Basel III'!$A$1</f>
        <v>15b</v>
      </c>
      <c r="C1157" s="1084" t="str">
        <f>'Input Basel III'!$B$1</f>
        <v>Input Basel III</v>
      </c>
      <c r="D1157" s="1091" t="str">
        <f>'Input Basel III'!$A$44</f>
        <v>3 BIZ, IWF und multilaterale Entwicklungsbanken</v>
      </c>
      <c r="E1157" s="1488" t="str">
        <f>'Input Basel III'!$B$51</f>
        <v>Risikogewicht 0%</v>
      </c>
      <c r="F1157" s="1494" t="str">
        <f>'Input Basel III'!$L$50</f>
        <v>Vor Garantien und Kreditderivate</v>
      </c>
      <c r="G1157" s="1494"/>
      <c r="H1157" s="1518">
        <f>'Input Basel III'!$L51</f>
        <v>0</v>
      </c>
      <c r="U1157" s="1027"/>
      <c r="V1157" s="1027"/>
      <c r="W1157" s="1027"/>
    </row>
    <row r="1158" spans="2:23" ht="12.75" customHeight="1" x14ac:dyDescent="0.2">
      <c r="B1158" s="1083" t="str">
        <f>'Input Basel III'!$A$1</f>
        <v>15b</v>
      </c>
      <c r="C1158" s="1084" t="str">
        <f>'Input Basel III'!$B$1</f>
        <v>Input Basel III</v>
      </c>
      <c r="D1158" s="1091" t="str">
        <f>'Input Basel III'!$A$44</f>
        <v>3 BIZ, IWF und multilaterale Entwicklungsbanken</v>
      </c>
      <c r="E1158" s="1516" t="str">
        <f>'Input Basel III'!$B$52</f>
        <v>Risikogewicht 20%</v>
      </c>
      <c r="F1158" s="1494" t="str">
        <f>'Input Basel III'!$L$50</f>
        <v>Vor Garantien und Kreditderivate</v>
      </c>
      <c r="G1158" s="1494"/>
      <c r="H1158" s="1518">
        <f>'Input Basel III'!$L52</f>
        <v>0</v>
      </c>
      <c r="U1158" s="1027"/>
      <c r="V1158" s="1027"/>
      <c r="W1158" s="1027"/>
    </row>
    <row r="1159" spans="2:23" ht="12.75" customHeight="1" x14ac:dyDescent="0.2">
      <c r="B1159" s="1083" t="str">
        <f>'Input Basel III'!$A$1</f>
        <v>15b</v>
      </c>
      <c r="C1159" s="1084" t="str">
        <f>'Input Basel III'!$B$1</f>
        <v>Input Basel III</v>
      </c>
      <c r="D1159" s="1091" t="str">
        <f>'Input Basel III'!$A$44</f>
        <v>3 BIZ, IWF und multilaterale Entwicklungsbanken</v>
      </c>
      <c r="E1159" s="1516" t="str">
        <f>'Input Basel III'!$B$53</f>
        <v>Risikogewicht 50% (ohne ungeratete Positionen)</v>
      </c>
      <c r="F1159" s="1494" t="str">
        <f>'Input Basel III'!$L$50</f>
        <v>Vor Garantien und Kreditderivate</v>
      </c>
      <c r="G1159" s="1494"/>
      <c r="H1159" s="1518">
        <f>'Input Basel III'!$L53</f>
        <v>0</v>
      </c>
      <c r="U1159" s="1027"/>
      <c r="V1159" s="1027"/>
      <c r="W1159" s="1027"/>
    </row>
    <row r="1160" spans="2:23" ht="12.75" customHeight="1" x14ac:dyDescent="0.2">
      <c r="B1160" s="1083" t="str">
        <f>'Input Basel III'!$A$1</f>
        <v>15b</v>
      </c>
      <c r="C1160" s="1084" t="str">
        <f>'Input Basel III'!$B$1</f>
        <v>Input Basel III</v>
      </c>
      <c r="D1160" s="1091" t="str">
        <f>'Input Basel III'!$A$44</f>
        <v>3 BIZ, IWF und multilaterale Entwicklungsbanken</v>
      </c>
      <c r="E1160" s="1516" t="str">
        <f>'Input Basel III'!$B$54</f>
        <v>Risikogewicht 100%</v>
      </c>
      <c r="F1160" s="1494" t="str">
        <f>'Input Basel III'!$L$50</f>
        <v>Vor Garantien und Kreditderivate</v>
      </c>
      <c r="G1160" s="1494"/>
      <c r="H1160" s="1518">
        <f>'Input Basel III'!$L54</f>
        <v>0</v>
      </c>
      <c r="U1160" s="1027"/>
      <c r="V1160" s="1027"/>
      <c r="W1160" s="1027"/>
    </row>
    <row r="1161" spans="2:23" ht="12.75" customHeight="1" x14ac:dyDescent="0.2">
      <c r="B1161" s="1083" t="str">
        <f>'Input Basel III'!$A$1</f>
        <v>15b</v>
      </c>
      <c r="C1161" s="1084" t="str">
        <f>'Input Basel III'!$B$1</f>
        <v>Input Basel III</v>
      </c>
      <c r="D1161" s="1091" t="str">
        <f>'Input Basel III'!$A$44</f>
        <v>3 BIZ, IWF und multilaterale Entwicklungsbanken</v>
      </c>
      <c r="E1161" s="1516" t="str">
        <f>'Input Basel III'!$B$56</f>
        <v>Nicht gerated 50%</v>
      </c>
      <c r="F1161" s="1494" t="str">
        <f>'Input Basel III'!$L$50</f>
        <v>Vor Garantien und Kreditderivate</v>
      </c>
      <c r="G1161" s="1494"/>
      <c r="H1161" s="1518">
        <f>'Input Basel III'!$L56</f>
        <v>0</v>
      </c>
      <c r="U1161" s="1027"/>
      <c r="V1161" s="1027"/>
      <c r="W1161" s="1027"/>
    </row>
    <row r="1162" spans="2:23" ht="12.75" customHeight="1" x14ac:dyDescent="0.2">
      <c r="B1162" s="1083" t="str">
        <f>'Input Basel III'!$A$1</f>
        <v>15b</v>
      </c>
      <c r="C1162" s="1084" t="str">
        <f>'Input Basel III'!$B$1</f>
        <v>Input Basel III</v>
      </c>
      <c r="D1162" s="1091" t="str">
        <f>'Input Basel III'!$A$44</f>
        <v>3 BIZ, IWF und multilaterale Entwicklungsbanken</v>
      </c>
      <c r="E1162" s="1110">
        <f>'Input Basel III'!$B$57</f>
        <v>0</v>
      </c>
      <c r="F1162" s="1494" t="str">
        <f>'Input Basel III'!$L$50</f>
        <v>Vor Garantien und Kreditderivate</v>
      </c>
      <c r="G1162" s="1494"/>
      <c r="H1162" s="1112">
        <f>'Input Basel III'!$L57</f>
        <v>0</v>
      </c>
      <c r="U1162" s="1027"/>
      <c r="V1162" s="1027"/>
      <c r="W1162" s="1027"/>
    </row>
    <row r="1163" spans="2:23" ht="12.75" customHeight="1" x14ac:dyDescent="0.2">
      <c r="B1163" s="1083" t="str">
        <f>'Input Basel III'!$A$1</f>
        <v>15b</v>
      </c>
      <c r="C1163" s="1084" t="str">
        <f>'Input Basel III'!$B$1</f>
        <v>Input Basel III</v>
      </c>
      <c r="D1163" s="1091" t="str">
        <f>'Input Basel III'!$A$44</f>
        <v>3 BIZ, IWF und multilaterale Entwicklungsbanken</v>
      </c>
      <c r="E1163" s="1488" t="str">
        <f>'Input Basel III'!$B$51</f>
        <v>Risikogewicht 0%</v>
      </c>
      <c r="F1163" s="1494" t="str">
        <f>'Input Basel III'!$M$50</f>
        <v>Nach Garantien und Kred.-.Der.</v>
      </c>
      <c r="G1163" s="1494"/>
      <c r="H1163" s="1518">
        <f>'Input Basel III'!$M51</f>
        <v>0</v>
      </c>
      <c r="U1163" s="1027"/>
      <c r="V1163" s="1027"/>
      <c r="W1163" s="1027"/>
    </row>
    <row r="1164" spans="2:23" ht="12.75" customHeight="1" x14ac:dyDescent="0.2">
      <c r="B1164" s="1083" t="str">
        <f>'Input Basel III'!$A$1</f>
        <v>15b</v>
      </c>
      <c r="C1164" s="1084" t="str">
        <f>'Input Basel III'!$B$1</f>
        <v>Input Basel III</v>
      </c>
      <c r="D1164" s="1091" t="str">
        <f>'Input Basel III'!$A$44</f>
        <v>3 BIZ, IWF und multilaterale Entwicklungsbanken</v>
      </c>
      <c r="E1164" s="1516" t="str">
        <f>'Input Basel III'!$B$52</f>
        <v>Risikogewicht 20%</v>
      </c>
      <c r="F1164" s="1494" t="str">
        <f>'Input Basel III'!$M$50</f>
        <v>Nach Garantien und Kred.-.Der.</v>
      </c>
      <c r="G1164" s="1494"/>
      <c r="H1164" s="1518">
        <f>'Input Basel III'!$M52</f>
        <v>0</v>
      </c>
      <c r="U1164" s="1027"/>
      <c r="V1164" s="1027"/>
      <c r="W1164" s="1027"/>
    </row>
    <row r="1165" spans="2:23" ht="12.75" customHeight="1" x14ac:dyDescent="0.2">
      <c r="B1165" s="1083" t="str">
        <f>'Input Basel III'!$A$1</f>
        <v>15b</v>
      </c>
      <c r="C1165" s="1084" t="str">
        <f>'Input Basel III'!$B$1</f>
        <v>Input Basel III</v>
      </c>
      <c r="D1165" s="1091" t="str">
        <f>'Input Basel III'!$A$44</f>
        <v>3 BIZ, IWF und multilaterale Entwicklungsbanken</v>
      </c>
      <c r="E1165" s="1516" t="str">
        <f>'Input Basel III'!$B$53</f>
        <v>Risikogewicht 50% (ohne ungeratete Positionen)</v>
      </c>
      <c r="F1165" s="1494" t="str">
        <f>'Input Basel III'!$M$50</f>
        <v>Nach Garantien und Kred.-.Der.</v>
      </c>
      <c r="G1165" s="1494"/>
      <c r="H1165" s="1518">
        <f>'Input Basel III'!$M53</f>
        <v>0</v>
      </c>
      <c r="U1165" s="1027"/>
      <c r="V1165" s="1027"/>
      <c r="W1165" s="1027"/>
    </row>
    <row r="1166" spans="2:23" ht="12.75" customHeight="1" x14ac:dyDescent="0.2">
      <c r="B1166" s="1083" t="str">
        <f>'Input Basel III'!$A$1</f>
        <v>15b</v>
      </c>
      <c r="C1166" s="1084" t="str">
        <f>'Input Basel III'!$B$1</f>
        <v>Input Basel III</v>
      </c>
      <c r="D1166" s="1091" t="str">
        <f>'Input Basel III'!$A$44</f>
        <v>3 BIZ, IWF und multilaterale Entwicklungsbanken</v>
      </c>
      <c r="E1166" s="1516" t="str">
        <f>'Input Basel III'!$B$54</f>
        <v>Risikogewicht 100%</v>
      </c>
      <c r="F1166" s="1494" t="str">
        <f>'Input Basel III'!$M$50</f>
        <v>Nach Garantien und Kred.-.Der.</v>
      </c>
      <c r="G1166" s="1494"/>
      <c r="H1166" s="1518">
        <f>'Input Basel III'!$M54</f>
        <v>0</v>
      </c>
      <c r="U1166" s="1027"/>
      <c r="V1166" s="1027"/>
      <c r="W1166" s="1027"/>
    </row>
    <row r="1167" spans="2:23" ht="12.75" customHeight="1" x14ac:dyDescent="0.2">
      <c r="B1167" s="1083" t="str">
        <f>'Input Basel III'!$A$1</f>
        <v>15b</v>
      </c>
      <c r="C1167" s="1084" t="str">
        <f>'Input Basel III'!$B$1</f>
        <v>Input Basel III</v>
      </c>
      <c r="D1167" s="1091" t="str">
        <f>'Input Basel III'!$A$44</f>
        <v>3 BIZ, IWF und multilaterale Entwicklungsbanken</v>
      </c>
      <c r="E1167" s="1516" t="str">
        <f>'Input Basel III'!$B$56</f>
        <v>Nicht gerated 50%</v>
      </c>
      <c r="F1167" s="1494" t="str">
        <f>'Input Basel III'!$M$50</f>
        <v>Nach Garantien und Kred.-.Der.</v>
      </c>
      <c r="G1167" s="1494"/>
      <c r="H1167" s="1518">
        <f>'Input Basel III'!$M56</f>
        <v>0</v>
      </c>
      <c r="U1167" s="1027"/>
      <c r="V1167" s="1027"/>
      <c r="W1167" s="1027"/>
    </row>
    <row r="1168" spans="2:23" ht="12.75" customHeight="1" x14ac:dyDescent="0.2">
      <c r="B1168" s="1083" t="str">
        <f>'Input Basel III'!$A$1</f>
        <v>15b</v>
      </c>
      <c r="C1168" s="1084" t="str">
        <f>'Input Basel III'!$B$1</f>
        <v>Input Basel III</v>
      </c>
      <c r="D1168" s="1091" t="str">
        <f>'Input Basel III'!$A$44</f>
        <v>3 BIZ, IWF und multilaterale Entwicklungsbanken</v>
      </c>
      <c r="E1168" s="1110">
        <f>'Input Basel III'!$B$57</f>
        <v>0</v>
      </c>
      <c r="F1168" s="1494" t="str">
        <f>'Input Basel III'!$M$50</f>
        <v>Nach Garantien und Kred.-.Der.</v>
      </c>
      <c r="G1168" s="1494"/>
      <c r="H1168" s="1112">
        <f>'Input Basel III'!$M57</f>
        <v>0</v>
      </c>
      <c r="U1168" s="1027"/>
      <c r="V1168" s="1027"/>
      <c r="W1168" s="1027"/>
    </row>
    <row r="1169" spans="2:23" ht="12.75" customHeight="1" x14ac:dyDescent="0.2">
      <c r="B1169" s="1083" t="str">
        <f>'Input Basel III'!$A$1</f>
        <v>15b</v>
      </c>
      <c r="C1169" s="1084" t="str">
        <f>'Input Basel III'!$B$1</f>
        <v>Input Basel III</v>
      </c>
      <c r="D1169" s="1091" t="str">
        <f>'Input Basel III'!$A$63</f>
        <v>4 Banken und Effektenhändler</v>
      </c>
      <c r="E1169" s="1488" t="str">
        <f>'Input Basel III'!$B$72</f>
        <v>Risikogewicht 20% (ohne ungeratete Positionen)</v>
      </c>
      <c r="F1169" s="1494" t="str">
        <f>'Input Basel III'!$C$31</f>
        <v>Risikogewicht</v>
      </c>
      <c r="G1169" s="1494"/>
      <c r="H1169" s="1519">
        <f>'Input Basel III'!$C72</f>
        <v>0.2</v>
      </c>
      <c r="U1169" s="1027"/>
      <c r="V1169" s="1027"/>
      <c r="W1169" s="1027"/>
    </row>
    <row r="1170" spans="2:23" ht="12.75" customHeight="1" x14ac:dyDescent="0.2">
      <c r="B1170" s="1083" t="str">
        <f>'Input Basel III'!$A$1</f>
        <v>15b</v>
      </c>
      <c r="C1170" s="1084" t="str">
        <f>'Input Basel III'!$B$1</f>
        <v>Input Basel III</v>
      </c>
      <c r="D1170" s="1091" t="str">
        <f>'Input Basel III'!$A$63</f>
        <v>4 Banken und Effektenhändler</v>
      </c>
      <c r="E1170" s="1488" t="str">
        <f>'Input Basel III'!$B$73</f>
        <v>Risikogewicht 50% (ohne ungeratete Positionen)</v>
      </c>
      <c r="F1170" s="1494" t="str">
        <f>'Input Basel III'!$C$31</f>
        <v>Risikogewicht</v>
      </c>
      <c r="G1170" s="1494"/>
      <c r="H1170" s="1519">
        <f>'Input Basel III'!$C73</f>
        <v>0.5</v>
      </c>
      <c r="U1170" s="1027"/>
      <c r="V1170" s="1027"/>
      <c r="W1170" s="1027"/>
    </row>
    <row r="1171" spans="2:23" ht="12.75" customHeight="1" x14ac:dyDescent="0.2">
      <c r="B1171" s="1083" t="str">
        <f>'Input Basel III'!$A$1</f>
        <v>15b</v>
      </c>
      <c r="C1171" s="1084" t="str">
        <f>'Input Basel III'!$B$1</f>
        <v>Input Basel III</v>
      </c>
      <c r="D1171" s="1091" t="str">
        <f>'Input Basel III'!$A$63</f>
        <v>4 Banken und Effektenhändler</v>
      </c>
      <c r="E1171" s="1516" t="str">
        <f>'Input Basel III'!$B$74</f>
        <v>Risikogewicht 100%</v>
      </c>
      <c r="F1171" s="1494" t="str">
        <f>'Input Basel III'!$C$31</f>
        <v>Risikogewicht</v>
      </c>
      <c r="G1171" s="1494"/>
      <c r="H1171" s="1519">
        <f>'Input Basel III'!$C74</f>
        <v>1</v>
      </c>
      <c r="U1171" s="1027"/>
      <c r="V1171" s="1027"/>
      <c r="W1171" s="1027"/>
    </row>
    <row r="1172" spans="2:23" ht="12.75" customHeight="1" x14ac:dyDescent="0.2">
      <c r="B1172" s="1083" t="str">
        <f>'Input Basel III'!$A$1</f>
        <v>15b</v>
      </c>
      <c r="C1172" s="1084" t="str">
        <f>'Input Basel III'!$B$1</f>
        <v>Input Basel III</v>
      </c>
      <c r="D1172" s="1091" t="str">
        <f>'Input Basel III'!$A$63</f>
        <v>4 Banken und Effektenhändler</v>
      </c>
      <c r="E1172" s="1516" t="str">
        <f>'Input Basel III'!$B$76</f>
        <v>nicht geratet 20%</v>
      </c>
      <c r="F1172" s="1494" t="str">
        <f>'Input Basel III'!$C$31</f>
        <v>Risikogewicht</v>
      </c>
      <c r="G1172" s="1494"/>
      <c r="H1172" s="1519">
        <f>'Input Basel III'!$C76</f>
        <v>0.2</v>
      </c>
      <c r="U1172" s="1027"/>
      <c r="V1172" s="1027"/>
      <c r="W1172" s="1027"/>
    </row>
    <row r="1173" spans="2:23" ht="12.75" customHeight="1" x14ac:dyDescent="0.2">
      <c r="B1173" s="1083" t="str">
        <f>'Input Basel III'!$A$1</f>
        <v>15b</v>
      </c>
      <c r="C1173" s="1084" t="str">
        <f>'Input Basel III'!$B$1</f>
        <v>Input Basel III</v>
      </c>
      <c r="D1173" s="1091" t="str">
        <f>'Input Basel III'!$A$63</f>
        <v>4 Banken und Effektenhändler</v>
      </c>
      <c r="E1173" s="1516" t="str">
        <f>'Input Basel III'!$B$77</f>
        <v>nicht geratet 50%</v>
      </c>
      <c r="F1173" s="1494" t="str">
        <f>'Input Basel III'!$C$31</f>
        <v>Risikogewicht</v>
      </c>
      <c r="G1173" s="1494"/>
      <c r="H1173" s="1519">
        <f>'Input Basel III'!$C77</f>
        <v>0.5</v>
      </c>
      <c r="U1173" s="1027"/>
      <c r="V1173" s="1027"/>
      <c r="W1173" s="1027"/>
    </row>
    <row r="1174" spans="2:23" ht="12.75" customHeight="1" x14ac:dyDescent="0.2">
      <c r="B1174" s="1083" t="str">
        <f>'Input Basel III'!$A$1</f>
        <v>15b</v>
      </c>
      <c r="C1174" s="1084" t="str">
        <f>'Input Basel III'!$B$1</f>
        <v>Input Basel III</v>
      </c>
      <c r="D1174" s="1091" t="str">
        <f>'Input Basel III'!$A$63</f>
        <v>4 Banken und Effektenhändler</v>
      </c>
      <c r="E1174" s="1110">
        <f>'Input Basel III'!$B$78</f>
        <v>0</v>
      </c>
      <c r="F1174" s="1520" t="str">
        <f>'Input Basel III'!$C$31</f>
        <v>Risikogewicht</v>
      </c>
      <c r="G1174" s="1520"/>
      <c r="H1174" s="1113">
        <f>'Input Basel III'!$C78</f>
        <v>0</v>
      </c>
      <c r="U1174" s="1027"/>
      <c r="V1174" s="1027"/>
      <c r="W1174" s="1027"/>
    </row>
    <row r="1175" spans="2:23" ht="12.75" customHeight="1" x14ac:dyDescent="0.2">
      <c r="B1175" s="1083" t="str">
        <f>'Input Basel III'!$A$1</f>
        <v>15b</v>
      </c>
      <c r="C1175" s="1084" t="str">
        <f>'Input Basel III'!$B$1</f>
        <v>Input Basel III</v>
      </c>
      <c r="D1175" s="1091" t="str">
        <f>'Input Basel III'!$A$63</f>
        <v>4 Banken und Effektenhändler</v>
      </c>
      <c r="E1175" s="1488" t="str">
        <f>'Input Basel III'!$B$72</f>
        <v>Risikogewicht 20% (ohne ungeratete Positionen)</v>
      </c>
      <c r="F1175" s="1520" t="str">
        <f>'Input Basel III'!$G$70</f>
        <v>Positionen ohne Kreditrisikominderung (CRM)</v>
      </c>
      <c r="G1175" s="1520"/>
      <c r="H1175" s="1518">
        <f>'Input Basel III'!$G72</f>
        <v>0</v>
      </c>
      <c r="U1175" s="1027"/>
      <c r="V1175" s="1027"/>
      <c r="W1175" s="1027"/>
    </row>
    <row r="1176" spans="2:23" ht="12.75" customHeight="1" x14ac:dyDescent="0.2">
      <c r="B1176" s="1083" t="str">
        <f>'Input Basel III'!$A$1</f>
        <v>15b</v>
      </c>
      <c r="C1176" s="1084" t="str">
        <f>'Input Basel III'!$B$1</f>
        <v>Input Basel III</v>
      </c>
      <c r="D1176" s="1091" t="str">
        <f>'Input Basel III'!$A$63</f>
        <v>4 Banken und Effektenhändler</v>
      </c>
      <c r="E1176" s="1488" t="str">
        <f>'Input Basel III'!$B$73</f>
        <v>Risikogewicht 50% (ohne ungeratete Positionen)</v>
      </c>
      <c r="F1176" s="1520" t="str">
        <f>'Input Basel III'!$G$70</f>
        <v>Positionen ohne Kreditrisikominderung (CRM)</v>
      </c>
      <c r="G1176" s="1520"/>
      <c r="H1176" s="1518">
        <f>'Input Basel III'!$G73</f>
        <v>0</v>
      </c>
      <c r="U1176" s="1027"/>
      <c r="V1176" s="1027"/>
      <c r="W1176" s="1027"/>
    </row>
    <row r="1177" spans="2:23" ht="12.75" customHeight="1" x14ac:dyDescent="0.2">
      <c r="B1177" s="1083" t="str">
        <f>'Input Basel III'!$A$1</f>
        <v>15b</v>
      </c>
      <c r="C1177" s="1084" t="str">
        <f>'Input Basel III'!$B$1</f>
        <v>Input Basel III</v>
      </c>
      <c r="D1177" s="1091" t="str">
        <f>'Input Basel III'!$A$63</f>
        <v>4 Banken und Effektenhändler</v>
      </c>
      <c r="E1177" s="1516" t="str">
        <f>'Input Basel III'!$B$74</f>
        <v>Risikogewicht 100%</v>
      </c>
      <c r="F1177" s="1520" t="str">
        <f>'Input Basel III'!$G$70</f>
        <v>Positionen ohne Kreditrisikominderung (CRM)</v>
      </c>
      <c r="G1177" s="1520"/>
      <c r="H1177" s="1518">
        <f>'Input Basel III'!$G74</f>
        <v>0</v>
      </c>
      <c r="U1177" s="1027"/>
      <c r="V1177" s="1027"/>
      <c r="W1177" s="1027"/>
    </row>
    <row r="1178" spans="2:23" ht="12.75" customHeight="1" x14ac:dyDescent="0.2">
      <c r="B1178" s="1083" t="str">
        <f>'Input Basel III'!$A$1</f>
        <v>15b</v>
      </c>
      <c r="C1178" s="1084" t="str">
        <f>'Input Basel III'!$B$1</f>
        <v>Input Basel III</v>
      </c>
      <c r="D1178" s="1091" t="str">
        <f>'Input Basel III'!$A$63</f>
        <v>4 Banken und Effektenhändler</v>
      </c>
      <c r="E1178" s="1516" t="str">
        <f>'Input Basel III'!$B$76</f>
        <v>nicht geratet 20%</v>
      </c>
      <c r="F1178" s="1520" t="str">
        <f>'Input Basel III'!$G$70</f>
        <v>Positionen ohne Kreditrisikominderung (CRM)</v>
      </c>
      <c r="G1178" s="1520"/>
      <c r="H1178" s="1518">
        <f>'Input Basel III'!$G76</f>
        <v>0</v>
      </c>
      <c r="U1178" s="1027"/>
      <c r="V1178" s="1027"/>
      <c r="W1178" s="1027"/>
    </row>
    <row r="1179" spans="2:23" ht="12.75" customHeight="1" x14ac:dyDescent="0.2">
      <c r="B1179" s="1083" t="str">
        <f>'Input Basel III'!$A$1</f>
        <v>15b</v>
      </c>
      <c r="C1179" s="1084" t="str">
        <f>'Input Basel III'!$B$1</f>
        <v>Input Basel III</v>
      </c>
      <c r="D1179" s="1091" t="str">
        <f>'Input Basel III'!$A$63</f>
        <v>4 Banken und Effektenhändler</v>
      </c>
      <c r="E1179" s="1516" t="str">
        <f>'Input Basel III'!$B$77</f>
        <v>nicht geratet 50%</v>
      </c>
      <c r="F1179" s="1520" t="str">
        <f>'Input Basel III'!$G$70</f>
        <v>Positionen ohne Kreditrisikominderung (CRM)</v>
      </c>
      <c r="G1179" s="1520"/>
      <c r="H1179" s="1518">
        <f>'Input Basel III'!$G77</f>
        <v>0</v>
      </c>
      <c r="U1179" s="1027"/>
      <c r="V1179" s="1027"/>
      <c r="W1179" s="1027"/>
    </row>
    <row r="1180" spans="2:23" ht="12.75" customHeight="1" x14ac:dyDescent="0.2">
      <c r="B1180" s="1083" t="str">
        <f>'Input Basel III'!$A$1</f>
        <v>15b</v>
      </c>
      <c r="C1180" s="1084" t="str">
        <f>'Input Basel III'!$B$1</f>
        <v>Input Basel III</v>
      </c>
      <c r="D1180" s="1091" t="str">
        <f>'Input Basel III'!$A$63</f>
        <v>4 Banken und Effektenhändler</v>
      </c>
      <c r="E1180" s="1110">
        <f>'Input Basel III'!$B$78</f>
        <v>0</v>
      </c>
      <c r="F1180" s="1520" t="str">
        <f>'Input Basel III'!$G$70</f>
        <v>Positionen ohne Kreditrisikominderung (CRM)</v>
      </c>
      <c r="G1180" s="1520"/>
      <c r="H1180" s="1112">
        <f>'Input Basel III'!$G78</f>
        <v>0</v>
      </c>
      <c r="U1180" s="1027"/>
      <c r="V1180" s="1027"/>
      <c r="W1180" s="1027"/>
    </row>
    <row r="1181" spans="2:23" ht="12.75" customHeight="1" x14ac:dyDescent="0.2">
      <c r="B1181" s="1083" t="str">
        <f>'Input Basel III'!$A$1</f>
        <v>15b</v>
      </c>
      <c r="C1181" s="1084" t="str">
        <f>'Input Basel III'!$B$1</f>
        <v>Input Basel III</v>
      </c>
      <c r="D1181" s="1091" t="str">
        <f>'Input Basel III'!$A$63</f>
        <v>4 Banken und Effektenhändler</v>
      </c>
      <c r="E1181" s="1488" t="str">
        <f>'Input Basel III'!$B$72</f>
        <v>Risikogewicht 20% (ohne ungeratete Positionen)</v>
      </c>
      <c r="F1181" s="1520" t="str">
        <f>'Input Basel III'!$I$71</f>
        <v xml:space="preserve">Vor Besicherung </v>
      </c>
      <c r="G1181" s="1520"/>
      <c r="H1181" s="1518">
        <f>'Input Basel III'!$I72</f>
        <v>0</v>
      </c>
      <c r="U1181" s="1027"/>
      <c r="V1181" s="1027"/>
      <c r="W1181" s="1027"/>
    </row>
    <row r="1182" spans="2:23" ht="12.75" customHeight="1" x14ac:dyDescent="0.2">
      <c r="B1182" s="1083" t="str">
        <f>'Input Basel III'!$A$1</f>
        <v>15b</v>
      </c>
      <c r="C1182" s="1084" t="str">
        <f>'Input Basel III'!$B$1</f>
        <v>Input Basel III</v>
      </c>
      <c r="D1182" s="1091" t="str">
        <f>'Input Basel III'!$A$63</f>
        <v>4 Banken und Effektenhändler</v>
      </c>
      <c r="E1182" s="1488" t="str">
        <f>'Input Basel III'!$B$73</f>
        <v>Risikogewicht 50% (ohne ungeratete Positionen)</v>
      </c>
      <c r="F1182" s="1520" t="str">
        <f>'Input Basel III'!$I$71</f>
        <v xml:space="preserve">Vor Besicherung </v>
      </c>
      <c r="G1182" s="1520"/>
      <c r="H1182" s="1518">
        <f>'Input Basel III'!$I73</f>
        <v>0</v>
      </c>
      <c r="U1182" s="1027"/>
      <c r="V1182" s="1027"/>
      <c r="W1182" s="1027"/>
    </row>
    <row r="1183" spans="2:23" ht="12.75" customHeight="1" x14ac:dyDescent="0.2">
      <c r="B1183" s="1083" t="str">
        <f>'Input Basel III'!$A$1</f>
        <v>15b</v>
      </c>
      <c r="C1183" s="1084" t="str">
        <f>'Input Basel III'!$B$1</f>
        <v>Input Basel III</v>
      </c>
      <c r="D1183" s="1091" t="str">
        <f>'Input Basel III'!$A$63</f>
        <v>4 Banken und Effektenhändler</v>
      </c>
      <c r="E1183" s="1516" t="str">
        <f>'Input Basel III'!$B$74</f>
        <v>Risikogewicht 100%</v>
      </c>
      <c r="F1183" s="1520" t="str">
        <f>'Input Basel III'!$I$71</f>
        <v xml:space="preserve">Vor Besicherung </v>
      </c>
      <c r="G1183" s="1520"/>
      <c r="H1183" s="1518">
        <f>'Input Basel III'!$I74</f>
        <v>0</v>
      </c>
      <c r="U1183" s="1027"/>
      <c r="V1183" s="1027"/>
      <c r="W1183" s="1027"/>
    </row>
    <row r="1184" spans="2:23" ht="12.75" customHeight="1" x14ac:dyDescent="0.2">
      <c r="B1184" s="1083" t="str">
        <f>'Input Basel III'!$A$1</f>
        <v>15b</v>
      </c>
      <c r="C1184" s="1084" t="str">
        <f>'Input Basel III'!$B$1</f>
        <v>Input Basel III</v>
      </c>
      <c r="D1184" s="1091" t="str">
        <f>'Input Basel III'!$A$63</f>
        <v>4 Banken und Effektenhändler</v>
      </c>
      <c r="E1184" s="1516" t="str">
        <f>'Input Basel III'!$B$76</f>
        <v>nicht geratet 20%</v>
      </c>
      <c r="F1184" s="1520" t="str">
        <f>'Input Basel III'!$I$71</f>
        <v xml:space="preserve">Vor Besicherung </v>
      </c>
      <c r="G1184" s="1520"/>
      <c r="H1184" s="1518">
        <f>'Input Basel III'!$I76</f>
        <v>0</v>
      </c>
      <c r="U1184" s="1027"/>
      <c r="V1184" s="1027"/>
      <c r="W1184" s="1027"/>
    </row>
    <row r="1185" spans="2:23" ht="12.75" customHeight="1" x14ac:dyDescent="0.2">
      <c r="B1185" s="1083" t="str">
        <f>'Input Basel III'!$A$1</f>
        <v>15b</v>
      </c>
      <c r="C1185" s="1084" t="str">
        <f>'Input Basel III'!$B$1</f>
        <v>Input Basel III</v>
      </c>
      <c r="D1185" s="1091" t="str">
        <f>'Input Basel III'!$A$63</f>
        <v>4 Banken und Effektenhändler</v>
      </c>
      <c r="E1185" s="1516" t="str">
        <f>'Input Basel III'!$B$77</f>
        <v>nicht geratet 50%</v>
      </c>
      <c r="F1185" s="1520" t="str">
        <f>'Input Basel III'!$I$71</f>
        <v xml:space="preserve">Vor Besicherung </v>
      </c>
      <c r="G1185" s="1520"/>
      <c r="H1185" s="1518">
        <f>'Input Basel III'!$I77</f>
        <v>0</v>
      </c>
      <c r="U1185" s="1027"/>
      <c r="V1185" s="1027"/>
      <c r="W1185" s="1027"/>
    </row>
    <row r="1186" spans="2:23" ht="12.75" customHeight="1" x14ac:dyDescent="0.2">
      <c r="B1186" s="1083" t="str">
        <f>'Input Basel III'!$A$1</f>
        <v>15b</v>
      </c>
      <c r="C1186" s="1084" t="str">
        <f>'Input Basel III'!$B$1</f>
        <v>Input Basel III</v>
      </c>
      <c r="D1186" s="1091" t="str">
        <f>'Input Basel III'!$A$63</f>
        <v>4 Banken und Effektenhändler</v>
      </c>
      <c r="E1186" s="1110">
        <f>'Input Basel III'!$B$78</f>
        <v>0</v>
      </c>
      <c r="F1186" s="1520" t="str">
        <f>'Input Basel III'!$I$71</f>
        <v xml:space="preserve">Vor Besicherung </v>
      </c>
      <c r="G1186" s="1520"/>
      <c r="H1186" s="1518">
        <f>'Input Basel III'!$I78</f>
        <v>0</v>
      </c>
      <c r="U1186" s="1027"/>
      <c r="V1186" s="1027"/>
      <c r="W1186" s="1027"/>
    </row>
    <row r="1187" spans="2:23" ht="12.75" customHeight="1" x14ac:dyDescent="0.2">
      <c r="B1187" s="1083" t="str">
        <f>'Input Basel III'!$A$1</f>
        <v>15b</v>
      </c>
      <c r="C1187" s="1084" t="str">
        <f>'Input Basel III'!$B$1</f>
        <v>Input Basel III</v>
      </c>
      <c r="D1187" s="1091" t="str">
        <f>'Input Basel III'!$A$63</f>
        <v>4 Banken und Effektenhändler</v>
      </c>
      <c r="E1187" s="1488" t="str">
        <f>'Input Basel III'!$B$72</f>
        <v>Risikogewicht 20% (ohne ungeratete Positionen)</v>
      </c>
      <c r="F1187" s="1520" t="str">
        <f>'Input Basel III'!$J$71</f>
        <v>Nach Besicherung</v>
      </c>
      <c r="G1187" s="1520"/>
      <c r="H1187" s="1518">
        <f>'Input Basel III'!$J72</f>
        <v>0</v>
      </c>
      <c r="U1187" s="1027"/>
      <c r="V1187" s="1027"/>
      <c r="W1187" s="1027"/>
    </row>
    <row r="1188" spans="2:23" ht="12.75" customHeight="1" x14ac:dyDescent="0.2">
      <c r="B1188" s="1083" t="str">
        <f>'Input Basel III'!$A$1</f>
        <v>15b</v>
      </c>
      <c r="C1188" s="1084" t="str">
        <f>'Input Basel III'!$B$1</f>
        <v>Input Basel III</v>
      </c>
      <c r="D1188" s="1091" t="str">
        <f>'Input Basel III'!$A$63</f>
        <v>4 Banken und Effektenhändler</v>
      </c>
      <c r="E1188" s="1488" t="str">
        <f>'Input Basel III'!$B$73</f>
        <v>Risikogewicht 50% (ohne ungeratete Positionen)</v>
      </c>
      <c r="F1188" s="1520" t="str">
        <f>'Input Basel III'!$J$71</f>
        <v>Nach Besicherung</v>
      </c>
      <c r="G1188" s="1520"/>
      <c r="H1188" s="1518">
        <f>'Input Basel III'!$J73</f>
        <v>0</v>
      </c>
      <c r="U1188" s="1027"/>
      <c r="V1188" s="1027"/>
      <c r="W1188" s="1027"/>
    </row>
    <row r="1189" spans="2:23" ht="12.75" customHeight="1" x14ac:dyDescent="0.2">
      <c r="B1189" s="1083" t="str">
        <f>'Input Basel III'!$A$1</f>
        <v>15b</v>
      </c>
      <c r="C1189" s="1084" t="str">
        <f>'Input Basel III'!$B$1</f>
        <v>Input Basel III</v>
      </c>
      <c r="D1189" s="1091" t="str">
        <f>'Input Basel III'!$A$63</f>
        <v>4 Banken und Effektenhändler</v>
      </c>
      <c r="E1189" s="1516" t="str">
        <f>'Input Basel III'!$B$74</f>
        <v>Risikogewicht 100%</v>
      </c>
      <c r="F1189" s="1520" t="str">
        <f>'Input Basel III'!$J$71</f>
        <v>Nach Besicherung</v>
      </c>
      <c r="G1189" s="1520"/>
      <c r="H1189" s="1518">
        <f>'Input Basel III'!$J74</f>
        <v>0</v>
      </c>
      <c r="U1189" s="1027"/>
      <c r="V1189" s="1027"/>
      <c r="W1189" s="1027"/>
    </row>
    <row r="1190" spans="2:23" ht="12.75" customHeight="1" x14ac:dyDescent="0.2">
      <c r="B1190" s="1083" t="str">
        <f>'Input Basel III'!$A$1</f>
        <v>15b</v>
      </c>
      <c r="C1190" s="1084" t="str">
        <f>'Input Basel III'!$B$1</f>
        <v>Input Basel III</v>
      </c>
      <c r="D1190" s="1091" t="str">
        <f>'Input Basel III'!$A$63</f>
        <v>4 Banken und Effektenhändler</v>
      </c>
      <c r="E1190" s="1516" t="str">
        <f>'Input Basel III'!$B$76</f>
        <v>nicht geratet 20%</v>
      </c>
      <c r="F1190" s="1520" t="str">
        <f>'Input Basel III'!$J$71</f>
        <v>Nach Besicherung</v>
      </c>
      <c r="G1190" s="1520"/>
      <c r="H1190" s="1518">
        <f>'Input Basel III'!$J76</f>
        <v>0</v>
      </c>
      <c r="U1190" s="1027"/>
      <c r="V1190" s="1027"/>
      <c r="W1190" s="1027"/>
    </row>
    <row r="1191" spans="2:23" ht="12.75" customHeight="1" x14ac:dyDescent="0.2">
      <c r="B1191" s="1083" t="str">
        <f>'Input Basel III'!$A$1</f>
        <v>15b</v>
      </c>
      <c r="C1191" s="1084" t="str">
        <f>'Input Basel III'!$B$1</f>
        <v>Input Basel III</v>
      </c>
      <c r="D1191" s="1091" t="str">
        <f>'Input Basel III'!$A$63</f>
        <v>4 Banken und Effektenhändler</v>
      </c>
      <c r="E1191" s="1516" t="str">
        <f>'Input Basel III'!$B$77</f>
        <v>nicht geratet 50%</v>
      </c>
      <c r="F1191" s="1520" t="str">
        <f>'Input Basel III'!$J$71</f>
        <v>Nach Besicherung</v>
      </c>
      <c r="G1191" s="1520"/>
      <c r="H1191" s="1518">
        <f>'Input Basel III'!$J77</f>
        <v>0</v>
      </c>
      <c r="U1191" s="1027"/>
      <c r="V1191" s="1027"/>
      <c r="W1191" s="1027"/>
    </row>
    <row r="1192" spans="2:23" ht="12.75" customHeight="1" x14ac:dyDescent="0.2">
      <c r="B1192" s="1083" t="str">
        <f>'Input Basel III'!$A$1</f>
        <v>15b</v>
      </c>
      <c r="C1192" s="1084" t="str">
        <f>'Input Basel III'!$B$1</f>
        <v>Input Basel III</v>
      </c>
      <c r="D1192" s="1091" t="str">
        <f>'Input Basel III'!$A$63</f>
        <v>4 Banken und Effektenhändler</v>
      </c>
      <c r="E1192" s="1110">
        <f>'Input Basel III'!$B$78</f>
        <v>0</v>
      </c>
      <c r="F1192" s="1520" t="str">
        <f>'Input Basel III'!$J$71</f>
        <v>Nach Besicherung</v>
      </c>
      <c r="G1192" s="1520"/>
      <c r="H1192" s="1112">
        <f>'Input Basel III'!$J78</f>
        <v>0</v>
      </c>
      <c r="U1192" s="1027"/>
      <c r="V1192" s="1027"/>
      <c r="W1192" s="1027"/>
    </row>
    <row r="1193" spans="2:23" ht="12.75" customHeight="1" x14ac:dyDescent="0.2">
      <c r="B1193" s="1083" t="str">
        <f>'Input Basel III'!$A$1</f>
        <v>15b</v>
      </c>
      <c r="C1193" s="1084" t="str">
        <f>'Input Basel III'!$B$1</f>
        <v>Input Basel III</v>
      </c>
      <c r="D1193" s="1091" t="str">
        <f>'Input Basel III'!$A$63</f>
        <v>4 Banken und Effektenhändler</v>
      </c>
      <c r="E1193" s="1488" t="str">
        <f>'Input Basel III'!$B$72</f>
        <v>Risikogewicht 20% (ohne ungeratete Positionen)</v>
      </c>
      <c r="F1193" s="1520" t="str">
        <f>'Input Basel III'!$L$71</f>
        <v>Vor Garantien und Kreditderivate</v>
      </c>
      <c r="G1193" s="1520"/>
      <c r="H1193" s="1518">
        <f>'Input Basel III'!$L72</f>
        <v>0</v>
      </c>
      <c r="U1193" s="1027"/>
      <c r="V1193" s="1027"/>
      <c r="W1193" s="1027"/>
    </row>
    <row r="1194" spans="2:23" ht="12.75" customHeight="1" x14ac:dyDescent="0.2">
      <c r="B1194" s="1083" t="str">
        <f>'Input Basel III'!$A$1</f>
        <v>15b</v>
      </c>
      <c r="C1194" s="1084" t="str">
        <f>'Input Basel III'!$B$1</f>
        <v>Input Basel III</v>
      </c>
      <c r="D1194" s="1091" t="str">
        <f>'Input Basel III'!$A$63</f>
        <v>4 Banken und Effektenhändler</v>
      </c>
      <c r="E1194" s="1488" t="str">
        <f>'Input Basel III'!$B$73</f>
        <v>Risikogewicht 50% (ohne ungeratete Positionen)</v>
      </c>
      <c r="F1194" s="1520" t="str">
        <f>'Input Basel III'!$L$71</f>
        <v>Vor Garantien und Kreditderivate</v>
      </c>
      <c r="G1194" s="1520"/>
      <c r="H1194" s="1518">
        <f>'Input Basel III'!$L73</f>
        <v>0</v>
      </c>
      <c r="U1194" s="1027"/>
      <c r="V1194" s="1027"/>
      <c r="W1194" s="1027"/>
    </row>
    <row r="1195" spans="2:23" ht="12.75" customHeight="1" x14ac:dyDescent="0.2">
      <c r="B1195" s="1083" t="str">
        <f>'Input Basel III'!$A$1</f>
        <v>15b</v>
      </c>
      <c r="C1195" s="1084" t="str">
        <f>'Input Basel III'!$B$1</f>
        <v>Input Basel III</v>
      </c>
      <c r="D1195" s="1091" t="str">
        <f>'Input Basel III'!$A$63</f>
        <v>4 Banken und Effektenhändler</v>
      </c>
      <c r="E1195" s="1516" t="str">
        <f>'Input Basel III'!$B$74</f>
        <v>Risikogewicht 100%</v>
      </c>
      <c r="F1195" s="1520" t="str">
        <f>'Input Basel III'!$L$71</f>
        <v>Vor Garantien und Kreditderivate</v>
      </c>
      <c r="G1195" s="1520"/>
      <c r="H1195" s="1518">
        <f>'Input Basel III'!$L74</f>
        <v>0</v>
      </c>
      <c r="U1195" s="1027"/>
      <c r="V1195" s="1027"/>
      <c r="W1195" s="1027"/>
    </row>
    <row r="1196" spans="2:23" ht="12.75" customHeight="1" x14ac:dyDescent="0.2">
      <c r="B1196" s="1083" t="str">
        <f>'Input Basel III'!$A$1</f>
        <v>15b</v>
      </c>
      <c r="C1196" s="1084" t="str">
        <f>'Input Basel III'!$B$1</f>
        <v>Input Basel III</v>
      </c>
      <c r="D1196" s="1091" t="str">
        <f>'Input Basel III'!$A$63</f>
        <v>4 Banken und Effektenhändler</v>
      </c>
      <c r="E1196" s="1516" t="str">
        <f>'Input Basel III'!$B$76</f>
        <v>nicht geratet 20%</v>
      </c>
      <c r="F1196" s="1520" t="str">
        <f>'Input Basel III'!$L$71</f>
        <v>Vor Garantien und Kreditderivate</v>
      </c>
      <c r="G1196" s="1520"/>
      <c r="H1196" s="1518">
        <f>'Input Basel III'!$L76</f>
        <v>0</v>
      </c>
      <c r="U1196" s="1027"/>
      <c r="V1196" s="1027"/>
      <c r="W1196" s="1027"/>
    </row>
    <row r="1197" spans="2:23" ht="12.75" customHeight="1" x14ac:dyDescent="0.2">
      <c r="B1197" s="1083" t="str">
        <f>'Input Basel III'!$A$1</f>
        <v>15b</v>
      </c>
      <c r="C1197" s="1084" t="str">
        <f>'Input Basel III'!$B$1</f>
        <v>Input Basel III</v>
      </c>
      <c r="D1197" s="1091" t="str">
        <f>'Input Basel III'!$A$63</f>
        <v>4 Banken und Effektenhändler</v>
      </c>
      <c r="E1197" s="1516" t="str">
        <f>'Input Basel III'!$B$77</f>
        <v>nicht geratet 50%</v>
      </c>
      <c r="F1197" s="1520" t="str">
        <f>'Input Basel III'!$L$71</f>
        <v>Vor Garantien und Kreditderivate</v>
      </c>
      <c r="G1197" s="1520"/>
      <c r="H1197" s="1518">
        <f>'Input Basel III'!$L77</f>
        <v>0</v>
      </c>
      <c r="U1197" s="1027"/>
      <c r="V1197" s="1027"/>
      <c r="W1197" s="1027"/>
    </row>
    <row r="1198" spans="2:23" ht="12.75" customHeight="1" x14ac:dyDescent="0.2">
      <c r="B1198" s="1083" t="str">
        <f>'Input Basel III'!$A$1</f>
        <v>15b</v>
      </c>
      <c r="C1198" s="1084" t="str">
        <f>'Input Basel III'!$B$1</f>
        <v>Input Basel III</v>
      </c>
      <c r="D1198" s="1091" t="str">
        <f>'Input Basel III'!$A$63</f>
        <v>4 Banken und Effektenhändler</v>
      </c>
      <c r="E1198" s="1110">
        <f>'Input Basel III'!$B$78</f>
        <v>0</v>
      </c>
      <c r="F1198" s="1520" t="str">
        <f>'Input Basel III'!$L$71</f>
        <v>Vor Garantien und Kreditderivate</v>
      </c>
      <c r="G1198" s="1520"/>
      <c r="H1198" s="1112">
        <f>'Input Basel III'!$L78</f>
        <v>0</v>
      </c>
      <c r="U1198" s="1027"/>
      <c r="V1198" s="1027"/>
      <c r="W1198" s="1027"/>
    </row>
    <row r="1199" spans="2:23" ht="12.75" customHeight="1" x14ac:dyDescent="0.2">
      <c r="B1199" s="1083" t="str">
        <f>'Input Basel III'!$A$1</f>
        <v>15b</v>
      </c>
      <c r="C1199" s="1084" t="str">
        <f>'Input Basel III'!$B$1</f>
        <v>Input Basel III</v>
      </c>
      <c r="D1199" s="1091" t="str">
        <f>'Input Basel III'!$A$63</f>
        <v>4 Banken und Effektenhändler</v>
      </c>
      <c r="E1199" s="1488" t="str">
        <f>'Input Basel III'!$B$72</f>
        <v>Risikogewicht 20% (ohne ungeratete Positionen)</v>
      </c>
      <c r="F1199" s="1520" t="str">
        <f>'Input Basel III'!$M$71</f>
        <v>Nach Garantien und Kred.-.Der.</v>
      </c>
      <c r="G1199" s="1520"/>
      <c r="H1199" s="1518">
        <f>'Input Basel III'!$M72</f>
        <v>0</v>
      </c>
      <c r="U1199" s="1027"/>
      <c r="V1199" s="1027"/>
      <c r="W1199" s="1027"/>
    </row>
    <row r="1200" spans="2:23" ht="12.75" customHeight="1" x14ac:dyDescent="0.2">
      <c r="B1200" s="1083" t="str">
        <f>'Input Basel III'!$A$1</f>
        <v>15b</v>
      </c>
      <c r="C1200" s="1084" t="str">
        <f>'Input Basel III'!$B$1</f>
        <v>Input Basel III</v>
      </c>
      <c r="D1200" s="1091" t="str">
        <f>'Input Basel III'!$A$63</f>
        <v>4 Banken und Effektenhändler</v>
      </c>
      <c r="E1200" s="1488" t="str">
        <f>'Input Basel III'!$B$73</f>
        <v>Risikogewicht 50% (ohne ungeratete Positionen)</v>
      </c>
      <c r="F1200" s="1520" t="str">
        <f>'Input Basel III'!$M$71</f>
        <v>Nach Garantien und Kred.-.Der.</v>
      </c>
      <c r="G1200" s="1520"/>
      <c r="H1200" s="1518">
        <f>'Input Basel III'!$M73</f>
        <v>0</v>
      </c>
      <c r="U1200" s="1027"/>
      <c r="V1200" s="1027"/>
      <c r="W1200" s="1027"/>
    </row>
    <row r="1201" spans="2:23" ht="12.75" customHeight="1" x14ac:dyDescent="0.2">
      <c r="B1201" s="1083" t="str">
        <f>'Input Basel III'!$A$1</f>
        <v>15b</v>
      </c>
      <c r="C1201" s="1084" t="str">
        <f>'Input Basel III'!$B$1</f>
        <v>Input Basel III</v>
      </c>
      <c r="D1201" s="1091" t="str">
        <f>'Input Basel III'!$A$63</f>
        <v>4 Banken und Effektenhändler</v>
      </c>
      <c r="E1201" s="1516" t="str">
        <f>'Input Basel III'!$B$74</f>
        <v>Risikogewicht 100%</v>
      </c>
      <c r="F1201" s="1520" t="str">
        <f>'Input Basel III'!$M$71</f>
        <v>Nach Garantien und Kred.-.Der.</v>
      </c>
      <c r="G1201" s="1520"/>
      <c r="H1201" s="1518">
        <f>'Input Basel III'!$M74</f>
        <v>0</v>
      </c>
      <c r="U1201" s="1027"/>
      <c r="V1201" s="1027"/>
      <c r="W1201" s="1027"/>
    </row>
    <row r="1202" spans="2:23" ht="12.75" customHeight="1" x14ac:dyDescent="0.2">
      <c r="B1202" s="1083" t="str">
        <f>'Input Basel III'!$A$1</f>
        <v>15b</v>
      </c>
      <c r="C1202" s="1084" t="str">
        <f>'Input Basel III'!$B$1</f>
        <v>Input Basel III</v>
      </c>
      <c r="D1202" s="1091" t="str">
        <f>'Input Basel III'!$A$63</f>
        <v>4 Banken und Effektenhändler</v>
      </c>
      <c r="E1202" s="1516" t="str">
        <f>'Input Basel III'!$B$76</f>
        <v>nicht geratet 20%</v>
      </c>
      <c r="F1202" s="1520" t="str">
        <f>'Input Basel III'!$M$71</f>
        <v>Nach Garantien und Kred.-.Der.</v>
      </c>
      <c r="G1202" s="1520"/>
      <c r="H1202" s="1518">
        <f>'Input Basel III'!$M76</f>
        <v>0</v>
      </c>
      <c r="U1202" s="1027"/>
      <c r="V1202" s="1027"/>
      <c r="W1202" s="1027"/>
    </row>
    <row r="1203" spans="2:23" ht="12.75" customHeight="1" x14ac:dyDescent="0.2">
      <c r="B1203" s="1083" t="str">
        <f>'Input Basel III'!$A$1</f>
        <v>15b</v>
      </c>
      <c r="C1203" s="1084" t="str">
        <f>'Input Basel III'!$B$1</f>
        <v>Input Basel III</v>
      </c>
      <c r="D1203" s="1091" t="str">
        <f>'Input Basel III'!$A$63</f>
        <v>4 Banken und Effektenhändler</v>
      </c>
      <c r="E1203" s="1516" t="str">
        <f>'Input Basel III'!$B$77</f>
        <v>nicht geratet 50%</v>
      </c>
      <c r="F1203" s="1520" t="str">
        <f>'Input Basel III'!$M$71</f>
        <v>Nach Garantien und Kred.-.Der.</v>
      </c>
      <c r="G1203" s="1520"/>
      <c r="H1203" s="1518">
        <f>'Input Basel III'!$M77</f>
        <v>0</v>
      </c>
      <c r="U1203" s="1027"/>
      <c r="V1203" s="1027"/>
      <c r="W1203" s="1027"/>
    </row>
    <row r="1204" spans="2:23" ht="12.75" customHeight="1" x14ac:dyDescent="0.2">
      <c r="B1204" s="1083" t="str">
        <f>'Input Basel III'!$A$1</f>
        <v>15b</v>
      </c>
      <c r="C1204" s="1084" t="str">
        <f>'Input Basel III'!$B$1</f>
        <v>Input Basel III</v>
      </c>
      <c r="D1204" s="1091" t="str">
        <f>'Input Basel III'!$A$63</f>
        <v>4 Banken und Effektenhändler</v>
      </c>
      <c r="E1204" s="1110">
        <f>'Input Basel III'!$B$78</f>
        <v>0</v>
      </c>
      <c r="F1204" s="1520" t="str">
        <f>'Input Basel III'!$M$71</f>
        <v>Nach Garantien und Kred.-.Der.</v>
      </c>
      <c r="G1204" s="1520"/>
      <c r="H1204" s="1112">
        <f>'Input Basel III'!$M78</f>
        <v>0</v>
      </c>
      <c r="U1204" s="1027"/>
      <c r="V1204" s="1027"/>
      <c r="W1204" s="1027"/>
    </row>
    <row r="1205" spans="2:23" ht="12.75" customHeight="1" x14ac:dyDescent="0.2">
      <c r="B1205" s="1083" t="str">
        <f>'Input Basel III'!$A$1</f>
        <v>15b</v>
      </c>
      <c r="C1205" s="1084" t="str">
        <f>'Input Basel III'!$B$1</f>
        <v>Input Basel III</v>
      </c>
      <c r="D1205" s="1091" t="str">
        <f>'Input Basel III'!$A$84</f>
        <v>5 Gemeinschaftseinrichtungen</v>
      </c>
      <c r="E1205" s="1516" t="str">
        <f>'Input Basel III'!$B$91</f>
        <v>Risikogewicht 20%</v>
      </c>
      <c r="F1205" s="1494" t="str">
        <f>'Input Basel III'!$C$31</f>
        <v>Risikogewicht</v>
      </c>
      <c r="G1205" s="1494"/>
      <c r="H1205" s="1519">
        <f>'Input Basel III'!$C91</f>
        <v>0.2</v>
      </c>
      <c r="U1205" s="1027"/>
      <c r="V1205" s="1027"/>
      <c r="W1205" s="1027"/>
    </row>
    <row r="1206" spans="2:23" ht="12.75" customHeight="1" x14ac:dyDescent="0.2">
      <c r="B1206" s="1083" t="str">
        <f>'Input Basel III'!$A$1</f>
        <v>15b</v>
      </c>
      <c r="C1206" s="1084" t="str">
        <f>'Input Basel III'!$B$1</f>
        <v>Input Basel III</v>
      </c>
      <c r="D1206" s="1091" t="str">
        <f>'Input Basel III'!$A$84</f>
        <v>5 Gemeinschaftseinrichtungen</v>
      </c>
      <c r="E1206" s="1516" t="str">
        <f>'Input Basel III'!$B$92</f>
        <v>Risikogewicht 50%</v>
      </c>
      <c r="F1206" s="1494" t="str">
        <f>'Input Basel III'!$C$31</f>
        <v>Risikogewicht</v>
      </c>
      <c r="G1206" s="1494"/>
      <c r="H1206" s="1519">
        <f>'Input Basel III'!$C92</f>
        <v>0.5</v>
      </c>
      <c r="U1206" s="1027"/>
      <c r="V1206" s="1027"/>
      <c r="W1206" s="1027"/>
    </row>
    <row r="1207" spans="2:23" ht="12.75" customHeight="1" x14ac:dyDescent="0.2">
      <c r="B1207" s="1083" t="str">
        <f>'Input Basel III'!$A$1</f>
        <v>15b</v>
      </c>
      <c r="C1207" s="1084" t="str">
        <f>'Input Basel III'!$B$1</f>
        <v>Input Basel III</v>
      </c>
      <c r="D1207" s="1091" t="str">
        <f>'Input Basel III'!$A$84</f>
        <v>5 Gemeinschaftseinrichtungen</v>
      </c>
      <c r="E1207" s="1516" t="str">
        <f>'Input Basel III'!$B$93</f>
        <v>Risikogewicht 100% (ohne ungeratete Positionen)</v>
      </c>
      <c r="F1207" s="1494" t="str">
        <f>'Input Basel III'!$C$31</f>
        <v>Risikogewicht</v>
      </c>
      <c r="G1207" s="1494"/>
      <c r="H1207" s="1519">
        <f>'Input Basel III'!$C93</f>
        <v>1</v>
      </c>
      <c r="U1207" s="1027"/>
      <c r="V1207" s="1027"/>
      <c r="W1207" s="1027"/>
    </row>
    <row r="1208" spans="2:23" ht="12.75" customHeight="1" x14ac:dyDescent="0.2">
      <c r="B1208" s="1083" t="str">
        <f>'Input Basel III'!$A$1</f>
        <v>15b</v>
      </c>
      <c r="C1208" s="1084" t="str">
        <f>'Input Basel III'!$B$1</f>
        <v>Input Basel III</v>
      </c>
      <c r="D1208" s="1091" t="str">
        <f>'Input Basel III'!$A$84</f>
        <v>5 Gemeinschaftseinrichtungen</v>
      </c>
      <c r="E1208" s="1516" t="str">
        <f>'Input Basel III'!$B$95</f>
        <v>nicht geratet 100%</v>
      </c>
      <c r="F1208" s="1494" t="str">
        <f>'Input Basel III'!$C$31</f>
        <v>Risikogewicht</v>
      </c>
      <c r="G1208" s="1494"/>
      <c r="H1208" s="1519">
        <f>'Input Basel III'!$C95</f>
        <v>1</v>
      </c>
      <c r="U1208" s="1027"/>
      <c r="V1208" s="1027"/>
      <c r="W1208" s="1027"/>
    </row>
    <row r="1209" spans="2:23" ht="12.75" customHeight="1" x14ac:dyDescent="0.2">
      <c r="B1209" s="1083" t="str">
        <f>'Input Basel III'!$A$1</f>
        <v>15b</v>
      </c>
      <c r="C1209" s="1084" t="str">
        <f>'Input Basel III'!$B$1</f>
        <v>Input Basel III</v>
      </c>
      <c r="D1209" s="1091" t="str">
        <f>'Input Basel III'!$A$84</f>
        <v>5 Gemeinschaftseinrichtungen</v>
      </c>
      <c r="E1209" s="1110">
        <f>'Input Basel III'!$B$96</f>
        <v>0</v>
      </c>
      <c r="F1209" s="1494" t="str">
        <f>'Input Basel III'!$C$31</f>
        <v>Risikogewicht</v>
      </c>
      <c r="G1209" s="1494"/>
      <c r="H1209" s="1111">
        <f>'Input Basel III'!$C96</f>
        <v>0</v>
      </c>
      <c r="U1209" s="1027"/>
      <c r="V1209" s="1027"/>
      <c r="W1209" s="1027"/>
    </row>
    <row r="1210" spans="2:23" ht="12.75" customHeight="1" x14ac:dyDescent="0.2">
      <c r="B1210" s="1083" t="str">
        <f>'Input Basel III'!$A$1</f>
        <v>15b</v>
      </c>
      <c r="C1210" s="1084" t="str">
        <f>'Input Basel III'!$B$1</f>
        <v>Input Basel III</v>
      </c>
      <c r="D1210" s="1091" t="str">
        <f>'Input Basel III'!$A$84</f>
        <v>5 Gemeinschaftseinrichtungen</v>
      </c>
      <c r="E1210" s="1516" t="str">
        <f>'Input Basel III'!$B$91</f>
        <v>Risikogewicht 20%</v>
      </c>
      <c r="F1210" s="1520" t="str">
        <f>'Input Basel III'!$G$89</f>
        <v>Positionen ohne Kreditrisikominderung (CRM)</v>
      </c>
      <c r="G1210" s="1520"/>
      <c r="H1210" s="1518">
        <f>'Input Basel III'!$G91</f>
        <v>0</v>
      </c>
      <c r="U1210" s="1027"/>
      <c r="V1210" s="1027"/>
      <c r="W1210" s="1027"/>
    </row>
    <row r="1211" spans="2:23" ht="12.75" customHeight="1" x14ac:dyDescent="0.2">
      <c r="B1211" s="1083" t="str">
        <f>'Input Basel III'!$A$1</f>
        <v>15b</v>
      </c>
      <c r="C1211" s="1084" t="str">
        <f>'Input Basel III'!$B$1</f>
        <v>Input Basel III</v>
      </c>
      <c r="D1211" s="1091" t="str">
        <f>'Input Basel III'!$A$84</f>
        <v>5 Gemeinschaftseinrichtungen</v>
      </c>
      <c r="E1211" s="1516" t="str">
        <f>'Input Basel III'!$B$92</f>
        <v>Risikogewicht 50%</v>
      </c>
      <c r="F1211" s="1520" t="str">
        <f>'Input Basel III'!$G$89</f>
        <v>Positionen ohne Kreditrisikominderung (CRM)</v>
      </c>
      <c r="G1211" s="1520"/>
      <c r="H1211" s="1518">
        <f>'Input Basel III'!$G92</f>
        <v>0</v>
      </c>
      <c r="U1211" s="1027"/>
      <c r="V1211" s="1027"/>
      <c r="W1211" s="1027"/>
    </row>
    <row r="1212" spans="2:23" ht="12.75" customHeight="1" x14ac:dyDescent="0.2">
      <c r="B1212" s="1083" t="str">
        <f>'Input Basel III'!$A$1</f>
        <v>15b</v>
      </c>
      <c r="C1212" s="1084" t="str">
        <f>'Input Basel III'!$B$1</f>
        <v>Input Basel III</v>
      </c>
      <c r="D1212" s="1091" t="str">
        <f>'Input Basel III'!$A$84</f>
        <v>5 Gemeinschaftseinrichtungen</v>
      </c>
      <c r="E1212" s="1516" t="str">
        <f>'Input Basel III'!$B$93</f>
        <v>Risikogewicht 100% (ohne ungeratete Positionen)</v>
      </c>
      <c r="F1212" s="1520" t="str">
        <f>'Input Basel III'!$G$89</f>
        <v>Positionen ohne Kreditrisikominderung (CRM)</v>
      </c>
      <c r="G1212" s="1520"/>
      <c r="H1212" s="1518">
        <f>'Input Basel III'!$G93</f>
        <v>0</v>
      </c>
      <c r="U1212" s="1027"/>
      <c r="V1212" s="1027"/>
      <c r="W1212" s="1027"/>
    </row>
    <row r="1213" spans="2:23" ht="12.75" customHeight="1" x14ac:dyDescent="0.2">
      <c r="B1213" s="1083" t="str">
        <f>'Input Basel III'!$A$1</f>
        <v>15b</v>
      </c>
      <c r="C1213" s="1084" t="str">
        <f>'Input Basel III'!$B$1</f>
        <v>Input Basel III</v>
      </c>
      <c r="D1213" s="1091" t="str">
        <f>'Input Basel III'!$A$84</f>
        <v>5 Gemeinschaftseinrichtungen</v>
      </c>
      <c r="E1213" s="1516" t="str">
        <f>'Input Basel III'!$B$95</f>
        <v>nicht geratet 100%</v>
      </c>
      <c r="F1213" s="1520" t="str">
        <f>'Input Basel III'!$G$89</f>
        <v>Positionen ohne Kreditrisikominderung (CRM)</v>
      </c>
      <c r="G1213" s="1520"/>
      <c r="H1213" s="1518">
        <f>'Input Basel III'!$G95</f>
        <v>0</v>
      </c>
      <c r="U1213" s="1027"/>
      <c r="V1213" s="1027"/>
      <c r="W1213" s="1027"/>
    </row>
    <row r="1214" spans="2:23" ht="12.75" customHeight="1" x14ac:dyDescent="0.2">
      <c r="B1214" s="1083" t="str">
        <f>'Input Basel III'!$A$1</f>
        <v>15b</v>
      </c>
      <c r="C1214" s="1084" t="str">
        <f>'Input Basel III'!$B$1</f>
        <v>Input Basel III</v>
      </c>
      <c r="D1214" s="1091" t="str">
        <f>'Input Basel III'!$A$84</f>
        <v>5 Gemeinschaftseinrichtungen</v>
      </c>
      <c r="E1214" s="1110">
        <f>'Input Basel III'!$B$96</f>
        <v>0</v>
      </c>
      <c r="F1214" s="1520" t="str">
        <f>'Input Basel III'!$G$89</f>
        <v>Positionen ohne Kreditrisikominderung (CRM)</v>
      </c>
      <c r="G1214" s="1520"/>
      <c r="H1214" s="1112">
        <f>'Input Basel III'!$G96</f>
        <v>0</v>
      </c>
      <c r="U1214" s="1027"/>
      <c r="V1214" s="1027"/>
      <c r="W1214" s="1027"/>
    </row>
    <row r="1215" spans="2:23" ht="12.75" customHeight="1" x14ac:dyDescent="0.2">
      <c r="B1215" s="1083" t="str">
        <f>'Input Basel III'!$A$1</f>
        <v>15b</v>
      </c>
      <c r="C1215" s="1084" t="str">
        <f>'Input Basel III'!$B$1</f>
        <v>Input Basel III</v>
      </c>
      <c r="D1215" s="1091" t="str">
        <f>'Input Basel III'!$A$84</f>
        <v>5 Gemeinschaftseinrichtungen</v>
      </c>
      <c r="E1215" s="1516" t="str">
        <f>'Input Basel III'!$B$91</f>
        <v>Risikogewicht 20%</v>
      </c>
      <c r="F1215" s="1520" t="str">
        <f>'Input Basel III'!$I$90</f>
        <v xml:space="preserve">Vor Besicherung </v>
      </c>
      <c r="G1215" s="1520"/>
      <c r="H1215" s="1518">
        <f>'Input Basel III'!$I91</f>
        <v>0</v>
      </c>
      <c r="U1215" s="1027"/>
      <c r="V1215" s="1027"/>
      <c r="W1215" s="1027"/>
    </row>
    <row r="1216" spans="2:23" ht="12.75" customHeight="1" x14ac:dyDescent="0.2">
      <c r="B1216" s="1083" t="str">
        <f>'Input Basel III'!$A$1</f>
        <v>15b</v>
      </c>
      <c r="C1216" s="1084" t="str">
        <f>'Input Basel III'!$B$1</f>
        <v>Input Basel III</v>
      </c>
      <c r="D1216" s="1091" t="str">
        <f>'Input Basel III'!$A$84</f>
        <v>5 Gemeinschaftseinrichtungen</v>
      </c>
      <c r="E1216" s="1516" t="str">
        <f>'Input Basel III'!$B$92</f>
        <v>Risikogewicht 50%</v>
      </c>
      <c r="F1216" s="1520" t="str">
        <f>'Input Basel III'!$I$90</f>
        <v xml:space="preserve">Vor Besicherung </v>
      </c>
      <c r="G1216" s="1520"/>
      <c r="H1216" s="1518">
        <f>'Input Basel III'!$I92</f>
        <v>0</v>
      </c>
      <c r="U1216" s="1027"/>
      <c r="V1216" s="1027"/>
      <c r="W1216" s="1027"/>
    </row>
    <row r="1217" spans="2:23" ht="12.75" customHeight="1" x14ac:dyDescent="0.2">
      <c r="B1217" s="1083" t="str">
        <f>'Input Basel III'!$A$1</f>
        <v>15b</v>
      </c>
      <c r="C1217" s="1084" t="str">
        <f>'Input Basel III'!$B$1</f>
        <v>Input Basel III</v>
      </c>
      <c r="D1217" s="1091" t="str">
        <f>'Input Basel III'!$A$84</f>
        <v>5 Gemeinschaftseinrichtungen</v>
      </c>
      <c r="E1217" s="1516" t="str">
        <f>'Input Basel III'!$B$93</f>
        <v>Risikogewicht 100% (ohne ungeratete Positionen)</v>
      </c>
      <c r="F1217" s="1520" t="str">
        <f>'Input Basel III'!$I$90</f>
        <v xml:space="preserve">Vor Besicherung </v>
      </c>
      <c r="G1217" s="1520"/>
      <c r="H1217" s="1518">
        <f>'Input Basel III'!$I93</f>
        <v>0</v>
      </c>
      <c r="U1217" s="1027"/>
      <c r="V1217" s="1027"/>
      <c r="W1217" s="1027"/>
    </row>
    <row r="1218" spans="2:23" ht="12.75" customHeight="1" x14ac:dyDescent="0.2">
      <c r="B1218" s="1083" t="str">
        <f>'Input Basel III'!$A$1</f>
        <v>15b</v>
      </c>
      <c r="C1218" s="1084" t="str">
        <f>'Input Basel III'!$B$1</f>
        <v>Input Basel III</v>
      </c>
      <c r="D1218" s="1091" t="str">
        <f>'Input Basel III'!$A$84</f>
        <v>5 Gemeinschaftseinrichtungen</v>
      </c>
      <c r="E1218" s="1516" t="str">
        <f>'Input Basel III'!$B$95</f>
        <v>nicht geratet 100%</v>
      </c>
      <c r="F1218" s="1520" t="str">
        <f>'Input Basel III'!$I$90</f>
        <v xml:space="preserve">Vor Besicherung </v>
      </c>
      <c r="G1218" s="1520"/>
      <c r="H1218" s="1518">
        <f>'Input Basel III'!$I95</f>
        <v>0</v>
      </c>
      <c r="U1218" s="1027"/>
      <c r="V1218" s="1027"/>
      <c r="W1218" s="1027"/>
    </row>
    <row r="1219" spans="2:23" ht="12.75" customHeight="1" x14ac:dyDescent="0.2">
      <c r="B1219" s="1083" t="str">
        <f>'Input Basel III'!$A$1</f>
        <v>15b</v>
      </c>
      <c r="C1219" s="1084" t="str">
        <f>'Input Basel III'!$B$1</f>
        <v>Input Basel III</v>
      </c>
      <c r="D1219" s="1091" t="str">
        <f>'Input Basel III'!$A$84</f>
        <v>5 Gemeinschaftseinrichtungen</v>
      </c>
      <c r="E1219" s="1110">
        <f>'Input Basel III'!$B$96</f>
        <v>0</v>
      </c>
      <c r="F1219" s="1520" t="str">
        <f>'Input Basel III'!$I$90</f>
        <v xml:space="preserve">Vor Besicherung </v>
      </c>
      <c r="G1219" s="1520"/>
      <c r="H1219" s="1112">
        <f>'Input Basel III'!$I96</f>
        <v>0</v>
      </c>
      <c r="U1219" s="1027"/>
      <c r="V1219" s="1027"/>
      <c r="W1219" s="1027"/>
    </row>
    <row r="1220" spans="2:23" ht="12.75" customHeight="1" x14ac:dyDescent="0.2">
      <c r="B1220" s="1083" t="str">
        <f>'Input Basel III'!$A$1</f>
        <v>15b</v>
      </c>
      <c r="C1220" s="1084" t="str">
        <f>'Input Basel III'!$B$1</f>
        <v>Input Basel III</v>
      </c>
      <c r="D1220" s="1091" t="str">
        <f>'Input Basel III'!$A$84</f>
        <v>5 Gemeinschaftseinrichtungen</v>
      </c>
      <c r="E1220" s="1516" t="str">
        <f>'Input Basel III'!$B$91</f>
        <v>Risikogewicht 20%</v>
      </c>
      <c r="F1220" s="1520" t="str">
        <f>'Input Basel III'!$J$90</f>
        <v>Nach Besicherung</v>
      </c>
      <c r="G1220" s="1520"/>
      <c r="H1220" s="1518">
        <f>'Input Basel III'!$J91</f>
        <v>0</v>
      </c>
      <c r="U1220" s="1027"/>
      <c r="V1220" s="1027"/>
      <c r="W1220" s="1027"/>
    </row>
    <row r="1221" spans="2:23" ht="12.75" customHeight="1" x14ac:dyDescent="0.2">
      <c r="B1221" s="1083" t="str">
        <f>'Input Basel III'!$A$1</f>
        <v>15b</v>
      </c>
      <c r="C1221" s="1084" t="str">
        <f>'Input Basel III'!$B$1</f>
        <v>Input Basel III</v>
      </c>
      <c r="D1221" s="1091" t="str">
        <f>'Input Basel III'!$A$84</f>
        <v>5 Gemeinschaftseinrichtungen</v>
      </c>
      <c r="E1221" s="1516" t="str">
        <f>'Input Basel III'!$B$92</f>
        <v>Risikogewicht 50%</v>
      </c>
      <c r="F1221" s="1520" t="str">
        <f>'Input Basel III'!$J$90</f>
        <v>Nach Besicherung</v>
      </c>
      <c r="G1221" s="1520"/>
      <c r="H1221" s="1518">
        <f>'Input Basel III'!$J92</f>
        <v>0</v>
      </c>
      <c r="U1221" s="1027"/>
      <c r="V1221" s="1027"/>
      <c r="W1221" s="1027"/>
    </row>
    <row r="1222" spans="2:23" ht="12.75" customHeight="1" x14ac:dyDescent="0.2">
      <c r="B1222" s="1083" t="str">
        <f>'Input Basel III'!$A$1</f>
        <v>15b</v>
      </c>
      <c r="C1222" s="1084" t="str">
        <f>'Input Basel III'!$B$1</f>
        <v>Input Basel III</v>
      </c>
      <c r="D1222" s="1091" t="str">
        <f>'Input Basel III'!$A$84</f>
        <v>5 Gemeinschaftseinrichtungen</v>
      </c>
      <c r="E1222" s="1516" t="str">
        <f>'Input Basel III'!$B$93</f>
        <v>Risikogewicht 100% (ohne ungeratete Positionen)</v>
      </c>
      <c r="F1222" s="1520" t="str">
        <f>'Input Basel III'!$J$90</f>
        <v>Nach Besicherung</v>
      </c>
      <c r="G1222" s="1520"/>
      <c r="H1222" s="1518">
        <f>'Input Basel III'!$J93</f>
        <v>0</v>
      </c>
      <c r="U1222" s="1027"/>
      <c r="V1222" s="1027"/>
      <c r="W1222" s="1027"/>
    </row>
    <row r="1223" spans="2:23" ht="12.75" customHeight="1" x14ac:dyDescent="0.2">
      <c r="B1223" s="1083" t="str">
        <f>'Input Basel III'!$A$1</f>
        <v>15b</v>
      </c>
      <c r="C1223" s="1084" t="str">
        <f>'Input Basel III'!$B$1</f>
        <v>Input Basel III</v>
      </c>
      <c r="D1223" s="1091" t="str">
        <f>'Input Basel III'!$A$84</f>
        <v>5 Gemeinschaftseinrichtungen</v>
      </c>
      <c r="E1223" s="1516" t="str">
        <f>'Input Basel III'!$B$95</f>
        <v>nicht geratet 100%</v>
      </c>
      <c r="F1223" s="1520" t="str">
        <f>'Input Basel III'!$J$90</f>
        <v>Nach Besicherung</v>
      </c>
      <c r="G1223" s="1520"/>
      <c r="H1223" s="1518">
        <f>'Input Basel III'!$J95</f>
        <v>0</v>
      </c>
      <c r="U1223" s="1027"/>
      <c r="V1223" s="1027"/>
      <c r="W1223" s="1027"/>
    </row>
    <row r="1224" spans="2:23" ht="12.75" customHeight="1" x14ac:dyDescent="0.2">
      <c r="B1224" s="1083" t="str">
        <f>'Input Basel III'!$A$1</f>
        <v>15b</v>
      </c>
      <c r="C1224" s="1084" t="str">
        <f>'Input Basel III'!$B$1</f>
        <v>Input Basel III</v>
      </c>
      <c r="D1224" s="1091" t="str">
        <f>'Input Basel III'!$A$84</f>
        <v>5 Gemeinschaftseinrichtungen</v>
      </c>
      <c r="E1224" s="1110">
        <f>'Input Basel III'!$B$96</f>
        <v>0</v>
      </c>
      <c r="F1224" s="1520" t="str">
        <f>'Input Basel III'!$J$90</f>
        <v>Nach Besicherung</v>
      </c>
      <c r="G1224" s="1520"/>
      <c r="H1224" s="1112">
        <f>'Input Basel III'!$J96</f>
        <v>0</v>
      </c>
      <c r="U1224" s="1027"/>
      <c r="V1224" s="1027"/>
      <c r="W1224" s="1027"/>
    </row>
    <row r="1225" spans="2:23" ht="12.75" customHeight="1" x14ac:dyDescent="0.2">
      <c r="B1225" s="1083" t="str">
        <f>'Input Basel III'!$A$1</f>
        <v>15b</v>
      </c>
      <c r="C1225" s="1084" t="str">
        <f>'Input Basel III'!$B$1</f>
        <v>Input Basel III</v>
      </c>
      <c r="D1225" s="1091" t="str">
        <f>'Input Basel III'!$A$84</f>
        <v>5 Gemeinschaftseinrichtungen</v>
      </c>
      <c r="E1225" s="1516" t="str">
        <f>'Input Basel III'!$B$91</f>
        <v>Risikogewicht 20%</v>
      </c>
      <c r="F1225" s="1520" t="str">
        <f>'Input Basel III'!$L$90</f>
        <v>Vor Garantien und Kreditderivate</v>
      </c>
      <c r="G1225" s="1520"/>
      <c r="H1225" s="1518">
        <f>'Input Basel III'!$L91</f>
        <v>0</v>
      </c>
      <c r="U1225" s="1027"/>
      <c r="V1225" s="1027"/>
      <c r="W1225" s="1027"/>
    </row>
    <row r="1226" spans="2:23" ht="12.75" customHeight="1" x14ac:dyDescent="0.2">
      <c r="B1226" s="1083" t="str">
        <f>'Input Basel III'!$A$1</f>
        <v>15b</v>
      </c>
      <c r="C1226" s="1084" t="str">
        <f>'Input Basel III'!$B$1</f>
        <v>Input Basel III</v>
      </c>
      <c r="D1226" s="1091" t="str">
        <f>'Input Basel III'!$A$84</f>
        <v>5 Gemeinschaftseinrichtungen</v>
      </c>
      <c r="E1226" s="1516" t="str">
        <f>'Input Basel III'!$B$92</f>
        <v>Risikogewicht 50%</v>
      </c>
      <c r="F1226" s="1520" t="str">
        <f>'Input Basel III'!$L$90</f>
        <v>Vor Garantien und Kreditderivate</v>
      </c>
      <c r="G1226" s="1520"/>
      <c r="H1226" s="1518">
        <f>'Input Basel III'!$L92</f>
        <v>0</v>
      </c>
      <c r="U1226" s="1027"/>
      <c r="V1226" s="1027"/>
      <c r="W1226" s="1027"/>
    </row>
    <row r="1227" spans="2:23" ht="12.75" customHeight="1" x14ac:dyDescent="0.2">
      <c r="B1227" s="1083" t="str">
        <f>'Input Basel III'!$A$1</f>
        <v>15b</v>
      </c>
      <c r="C1227" s="1084" t="str">
        <f>'Input Basel III'!$B$1</f>
        <v>Input Basel III</v>
      </c>
      <c r="D1227" s="1091" t="str">
        <f>'Input Basel III'!$A$84</f>
        <v>5 Gemeinschaftseinrichtungen</v>
      </c>
      <c r="E1227" s="1516" t="str">
        <f>'Input Basel III'!$B$93</f>
        <v>Risikogewicht 100% (ohne ungeratete Positionen)</v>
      </c>
      <c r="F1227" s="1520" t="str">
        <f>'Input Basel III'!$L$90</f>
        <v>Vor Garantien und Kreditderivate</v>
      </c>
      <c r="G1227" s="1520"/>
      <c r="H1227" s="1518">
        <f>'Input Basel III'!$L93</f>
        <v>0</v>
      </c>
      <c r="U1227" s="1027"/>
      <c r="V1227" s="1027"/>
      <c r="W1227" s="1027"/>
    </row>
    <row r="1228" spans="2:23" ht="12.75" customHeight="1" x14ac:dyDescent="0.2">
      <c r="B1228" s="1083" t="str">
        <f>'Input Basel III'!$A$1</f>
        <v>15b</v>
      </c>
      <c r="C1228" s="1084" t="str">
        <f>'Input Basel III'!$B$1</f>
        <v>Input Basel III</v>
      </c>
      <c r="D1228" s="1091" t="str">
        <f>'Input Basel III'!$A$84</f>
        <v>5 Gemeinschaftseinrichtungen</v>
      </c>
      <c r="E1228" s="1516" t="str">
        <f>'Input Basel III'!$B$95</f>
        <v>nicht geratet 100%</v>
      </c>
      <c r="F1228" s="1520" t="str">
        <f>'Input Basel III'!$L$90</f>
        <v>Vor Garantien und Kreditderivate</v>
      </c>
      <c r="G1228" s="1520"/>
      <c r="H1228" s="1518">
        <f>'Input Basel III'!$L95</f>
        <v>0</v>
      </c>
      <c r="U1228" s="1027"/>
      <c r="V1228" s="1027"/>
      <c r="W1228" s="1027"/>
    </row>
    <row r="1229" spans="2:23" ht="12.75" customHeight="1" x14ac:dyDescent="0.2">
      <c r="B1229" s="1083" t="str">
        <f>'Input Basel III'!$A$1</f>
        <v>15b</v>
      </c>
      <c r="C1229" s="1084" t="str">
        <f>'Input Basel III'!$B$1</f>
        <v>Input Basel III</v>
      </c>
      <c r="D1229" s="1091" t="str">
        <f>'Input Basel III'!$A$84</f>
        <v>5 Gemeinschaftseinrichtungen</v>
      </c>
      <c r="E1229" s="1110">
        <f>'Input Basel III'!$B$96</f>
        <v>0</v>
      </c>
      <c r="F1229" s="1520" t="str">
        <f>'Input Basel III'!$L$90</f>
        <v>Vor Garantien und Kreditderivate</v>
      </c>
      <c r="G1229" s="1520"/>
      <c r="H1229" s="1112">
        <f>'Input Basel III'!$L96</f>
        <v>0</v>
      </c>
      <c r="U1229" s="1027"/>
      <c r="V1229" s="1027"/>
      <c r="W1229" s="1027"/>
    </row>
    <row r="1230" spans="2:23" ht="12.75" customHeight="1" x14ac:dyDescent="0.2">
      <c r="B1230" s="1083" t="str">
        <f>'Input Basel III'!$A$1</f>
        <v>15b</v>
      </c>
      <c r="C1230" s="1084" t="str">
        <f>'Input Basel III'!$B$1</f>
        <v>Input Basel III</v>
      </c>
      <c r="D1230" s="1091" t="str">
        <f>'Input Basel III'!$A$84</f>
        <v>5 Gemeinschaftseinrichtungen</v>
      </c>
      <c r="E1230" s="1516" t="str">
        <f>'Input Basel III'!$B$91</f>
        <v>Risikogewicht 20%</v>
      </c>
      <c r="F1230" s="1494" t="str">
        <f>'Input Basel III'!$M$90</f>
        <v>Nach Garantien und Kred.-.Der.</v>
      </c>
      <c r="G1230" s="1494"/>
      <c r="H1230" s="1518">
        <f>'Input Basel III'!$M91</f>
        <v>0</v>
      </c>
      <c r="U1230" s="1027"/>
      <c r="V1230" s="1027"/>
      <c r="W1230" s="1027"/>
    </row>
    <row r="1231" spans="2:23" ht="12.75" customHeight="1" x14ac:dyDescent="0.2">
      <c r="B1231" s="1083" t="str">
        <f>'Input Basel III'!$A$1</f>
        <v>15b</v>
      </c>
      <c r="C1231" s="1084" t="str">
        <f>'Input Basel III'!$B$1</f>
        <v>Input Basel III</v>
      </c>
      <c r="D1231" s="1091" t="str">
        <f>'Input Basel III'!$A$84</f>
        <v>5 Gemeinschaftseinrichtungen</v>
      </c>
      <c r="E1231" s="1516" t="str">
        <f>'Input Basel III'!$B$92</f>
        <v>Risikogewicht 50%</v>
      </c>
      <c r="F1231" s="1494" t="str">
        <f>'Input Basel III'!$M$90</f>
        <v>Nach Garantien und Kred.-.Der.</v>
      </c>
      <c r="G1231" s="1494"/>
      <c r="H1231" s="1518">
        <f>'Input Basel III'!$M92</f>
        <v>0</v>
      </c>
      <c r="U1231" s="1027"/>
      <c r="V1231" s="1027"/>
      <c r="W1231" s="1027"/>
    </row>
    <row r="1232" spans="2:23" ht="12.75" customHeight="1" x14ac:dyDescent="0.2">
      <c r="B1232" s="1083" t="str">
        <f>'Input Basel III'!$A$1</f>
        <v>15b</v>
      </c>
      <c r="C1232" s="1084" t="str">
        <f>'Input Basel III'!$B$1</f>
        <v>Input Basel III</v>
      </c>
      <c r="D1232" s="1091" t="str">
        <f>'Input Basel III'!$A$84</f>
        <v>5 Gemeinschaftseinrichtungen</v>
      </c>
      <c r="E1232" s="1516" t="str">
        <f>'Input Basel III'!$B$93</f>
        <v>Risikogewicht 100% (ohne ungeratete Positionen)</v>
      </c>
      <c r="F1232" s="1494" t="str">
        <f>'Input Basel III'!$M$90</f>
        <v>Nach Garantien und Kred.-.Der.</v>
      </c>
      <c r="G1232" s="1494"/>
      <c r="H1232" s="1518">
        <f>'Input Basel III'!$M93</f>
        <v>0</v>
      </c>
      <c r="U1232" s="1027"/>
      <c r="V1232" s="1027"/>
      <c r="W1232" s="1027"/>
    </row>
    <row r="1233" spans="2:23" ht="12.75" customHeight="1" x14ac:dyDescent="0.2">
      <c r="B1233" s="1083" t="str">
        <f>'Input Basel III'!$A$1</f>
        <v>15b</v>
      </c>
      <c r="C1233" s="1084" t="str">
        <f>'Input Basel III'!$B$1</f>
        <v>Input Basel III</v>
      </c>
      <c r="D1233" s="1091" t="str">
        <f>'Input Basel III'!$A$84</f>
        <v>5 Gemeinschaftseinrichtungen</v>
      </c>
      <c r="E1233" s="1516" t="str">
        <f>'Input Basel III'!$B$95</f>
        <v>nicht geratet 100%</v>
      </c>
      <c r="F1233" s="1494" t="str">
        <f>'Input Basel III'!$M$90</f>
        <v>Nach Garantien und Kred.-.Der.</v>
      </c>
      <c r="G1233" s="1494"/>
      <c r="H1233" s="1518">
        <f>'Input Basel III'!$M95</f>
        <v>0</v>
      </c>
      <c r="U1233" s="1027"/>
      <c r="V1233" s="1027"/>
      <c r="W1233" s="1027"/>
    </row>
    <row r="1234" spans="2:23" ht="12.75" customHeight="1" x14ac:dyDescent="0.2">
      <c r="B1234" s="1083" t="str">
        <f>'Input Basel III'!$A$1</f>
        <v>15b</v>
      </c>
      <c r="C1234" s="1084" t="str">
        <f>'Input Basel III'!$B$1</f>
        <v>Input Basel III</v>
      </c>
      <c r="D1234" s="1091" t="str">
        <f>'Input Basel III'!$A$84</f>
        <v>5 Gemeinschaftseinrichtungen</v>
      </c>
      <c r="E1234" s="1110">
        <f>'Input Basel III'!$B$96</f>
        <v>0</v>
      </c>
      <c r="F1234" s="1494" t="str">
        <f>'Input Basel III'!$M$90</f>
        <v>Nach Garantien und Kred.-.Der.</v>
      </c>
      <c r="G1234" s="1494"/>
      <c r="H1234" s="1112">
        <f>'Input Basel III'!$M96</f>
        <v>0</v>
      </c>
      <c r="U1234" s="1027"/>
      <c r="V1234" s="1027"/>
      <c r="W1234" s="1027"/>
    </row>
    <row r="1235" spans="2:23" ht="12.75" customHeight="1" x14ac:dyDescent="0.2">
      <c r="B1235" s="1083" t="str">
        <f>'Input Basel III'!$A$1</f>
        <v>15b</v>
      </c>
      <c r="C1235" s="1084" t="str">
        <f>'Input Basel III'!$B$1</f>
        <v>Input Basel III</v>
      </c>
      <c r="D1235" s="1091" t="str">
        <f>'Input Basel III'!$A$102</f>
        <v>6 Börsen und Clearinghäuser</v>
      </c>
      <c r="E1235" s="1488" t="str">
        <f>'Input Basel III'!$B$109</f>
        <v>Risikogewicht 0%</v>
      </c>
      <c r="F1235" s="1494" t="str">
        <f>'Input Basel III'!$C$31</f>
        <v>Risikogewicht</v>
      </c>
      <c r="G1235" s="1494"/>
      <c r="H1235" s="1519">
        <f>'Input Basel III'!$C109</f>
        <v>0</v>
      </c>
      <c r="U1235" s="1027"/>
      <c r="V1235" s="1027"/>
      <c r="W1235" s="1027"/>
    </row>
    <row r="1236" spans="2:23" ht="12.75" customHeight="1" x14ac:dyDescent="0.2">
      <c r="B1236" s="1083" t="str">
        <f>'Input Basel III'!$A$1</f>
        <v>15b</v>
      </c>
      <c r="C1236" s="1084" t="str">
        <f>'Input Basel III'!$B$1</f>
        <v>Input Basel III</v>
      </c>
      <c r="D1236" s="1091" t="str">
        <f>'Input Basel III'!$A$102</f>
        <v>6 Börsen und Clearinghäuser</v>
      </c>
      <c r="E1236" s="1516" t="str">
        <f>'Input Basel III'!$B$111</f>
        <v>Risikogewicht 20%</v>
      </c>
      <c r="F1236" s="1494" t="str">
        <f>'Input Basel III'!$C$31</f>
        <v>Risikogewicht</v>
      </c>
      <c r="G1236" s="1494"/>
      <c r="H1236" s="1519">
        <f>'Input Basel III'!$C111</f>
        <v>0.2</v>
      </c>
      <c r="U1236" s="1027"/>
      <c r="V1236" s="1027"/>
      <c r="W1236" s="1027"/>
    </row>
    <row r="1237" spans="2:23" ht="12.75" customHeight="1" x14ac:dyDescent="0.2">
      <c r="B1237" s="1083" t="str">
        <f>'Input Basel III'!$A$1</f>
        <v>15b</v>
      </c>
      <c r="C1237" s="1084" t="str">
        <f>'Input Basel III'!$B$1</f>
        <v>Input Basel III</v>
      </c>
      <c r="D1237" s="1091" t="str">
        <f>'Input Basel III'!$A$102</f>
        <v>6 Börsen und Clearinghäuser</v>
      </c>
      <c r="E1237" s="1516" t="str">
        <f>'Input Basel III'!$B$112</f>
        <v>Risikogewicht 50%</v>
      </c>
      <c r="F1237" s="1494" t="str">
        <f>'Input Basel III'!$C$31</f>
        <v>Risikogewicht</v>
      </c>
      <c r="G1237" s="1494"/>
      <c r="H1237" s="1519">
        <f>'Input Basel III'!$C112</f>
        <v>0.5</v>
      </c>
      <c r="U1237" s="1027"/>
      <c r="V1237" s="1027"/>
      <c r="W1237" s="1027"/>
    </row>
    <row r="1238" spans="2:23" ht="12.75" customHeight="1" x14ac:dyDescent="0.2">
      <c r="B1238" s="1083" t="str">
        <f>'Input Basel III'!$A$1</f>
        <v>15b</v>
      </c>
      <c r="C1238" s="1084" t="str">
        <f>'Input Basel III'!$B$1</f>
        <v>Input Basel III</v>
      </c>
      <c r="D1238" s="1091" t="str">
        <f>'Input Basel III'!$A$102</f>
        <v>6 Börsen und Clearinghäuser</v>
      </c>
      <c r="E1238" s="1516" t="str">
        <f>'Input Basel III'!$B$113</f>
        <v>Risikogewicht 100% (ohne ungeratete Positionen)</v>
      </c>
      <c r="F1238" s="1494" t="str">
        <f>'Input Basel III'!$C$31</f>
        <v>Risikogewicht</v>
      </c>
      <c r="G1238" s="1494"/>
      <c r="H1238" s="1519">
        <f>'Input Basel III'!$C113</f>
        <v>1</v>
      </c>
      <c r="U1238" s="1027"/>
      <c r="V1238" s="1027"/>
      <c r="W1238" s="1027"/>
    </row>
    <row r="1239" spans="2:23" ht="12.75" customHeight="1" x14ac:dyDescent="0.2">
      <c r="B1239" s="1083" t="str">
        <f>'Input Basel III'!$A$1</f>
        <v>15b</v>
      </c>
      <c r="C1239" s="1084" t="str">
        <f>'Input Basel III'!$B$1</f>
        <v>Input Basel III</v>
      </c>
      <c r="D1239" s="1091" t="str">
        <f>'Input Basel III'!$A$102</f>
        <v>6 Börsen und Clearinghäuser</v>
      </c>
      <c r="E1239" s="1516" t="str">
        <f>'Input Basel III'!$B$115</f>
        <v>nicht geratet 100%</v>
      </c>
      <c r="F1239" s="1494" t="str">
        <f>'Input Basel III'!$C$31</f>
        <v>Risikogewicht</v>
      </c>
      <c r="G1239" s="1494"/>
      <c r="H1239" s="1519">
        <f>'Input Basel III'!$C115</f>
        <v>1</v>
      </c>
      <c r="U1239" s="1027"/>
      <c r="V1239" s="1027"/>
      <c r="W1239" s="1027"/>
    </row>
    <row r="1240" spans="2:23" ht="12.75" customHeight="1" x14ac:dyDescent="0.2">
      <c r="B1240" s="1083" t="str">
        <f>'Input Basel III'!$A$1</f>
        <v>15b</v>
      </c>
      <c r="C1240" s="1084" t="str">
        <f>'Input Basel III'!$B$1</f>
        <v>Input Basel III</v>
      </c>
      <c r="D1240" s="1091" t="str">
        <f>'Input Basel III'!$A$102</f>
        <v>6 Börsen und Clearinghäuser</v>
      </c>
      <c r="E1240" s="1110">
        <f>'Input Basel III'!$B$116</f>
        <v>0</v>
      </c>
      <c r="F1240" s="1494" t="str">
        <f>'Input Basel III'!$C$31</f>
        <v>Risikogewicht</v>
      </c>
      <c r="G1240" s="1494"/>
      <c r="H1240" s="1111">
        <f>'Input Basel III'!$C116</f>
        <v>0</v>
      </c>
      <c r="U1240" s="1027"/>
      <c r="V1240" s="1027"/>
      <c r="W1240" s="1027"/>
    </row>
    <row r="1241" spans="2:23" ht="12.75" customHeight="1" x14ac:dyDescent="0.2">
      <c r="B1241" s="1083" t="str">
        <f>'Input Basel III'!$A$1</f>
        <v>15b</v>
      </c>
      <c r="C1241" s="1084" t="str">
        <f>'Input Basel III'!$B$1</f>
        <v>Input Basel III</v>
      </c>
      <c r="D1241" s="1091" t="str">
        <f>'Input Basel III'!$A$102</f>
        <v>6 Börsen und Clearinghäuser</v>
      </c>
      <c r="E1241" s="1488" t="str">
        <f>'Input Basel III'!$B$109</f>
        <v>Risikogewicht 0%</v>
      </c>
      <c r="F1241" s="1494" t="str">
        <f>'Input Basel III'!$G$107</f>
        <v>Positionen ohne Kreditrisikominderung (CRM)</v>
      </c>
      <c r="G1241" s="1494"/>
      <c r="H1241" s="1518">
        <f>'Input Basel III'!$G109</f>
        <v>0</v>
      </c>
      <c r="U1241" s="1027"/>
      <c r="V1241" s="1027"/>
      <c r="W1241" s="1027"/>
    </row>
    <row r="1242" spans="2:23" ht="12.75" customHeight="1" x14ac:dyDescent="0.2">
      <c r="B1242" s="1083" t="str">
        <f>'Input Basel III'!$A$1</f>
        <v>15b</v>
      </c>
      <c r="C1242" s="1084" t="str">
        <f>'Input Basel III'!$B$1</f>
        <v>Input Basel III</v>
      </c>
      <c r="D1242" s="1091" t="str">
        <f>'Input Basel III'!$A$102</f>
        <v>6 Börsen und Clearinghäuser</v>
      </c>
      <c r="E1242" s="1516" t="str">
        <f>'Input Basel III'!$B$111</f>
        <v>Risikogewicht 20%</v>
      </c>
      <c r="F1242" s="1494" t="str">
        <f>'Input Basel III'!$G$107</f>
        <v>Positionen ohne Kreditrisikominderung (CRM)</v>
      </c>
      <c r="G1242" s="1494"/>
      <c r="H1242" s="1518">
        <f>'Input Basel III'!$G111</f>
        <v>0</v>
      </c>
      <c r="U1242" s="1027"/>
      <c r="V1242" s="1027"/>
      <c r="W1242" s="1027"/>
    </row>
    <row r="1243" spans="2:23" ht="12.75" customHeight="1" x14ac:dyDescent="0.2">
      <c r="B1243" s="1083" t="str">
        <f>'Input Basel III'!$A$1</f>
        <v>15b</v>
      </c>
      <c r="C1243" s="1084" t="str">
        <f>'Input Basel III'!$B$1</f>
        <v>Input Basel III</v>
      </c>
      <c r="D1243" s="1091" t="str">
        <f>'Input Basel III'!$A$102</f>
        <v>6 Börsen und Clearinghäuser</v>
      </c>
      <c r="E1243" s="1516" t="str">
        <f>'Input Basel III'!$B$112</f>
        <v>Risikogewicht 50%</v>
      </c>
      <c r="F1243" s="1494" t="str">
        <f>'Input Basel III'!$G$107</f>
        <v>Positionen ohne Kreditrisikominderung (CRM)</v>
      </c>
      <c r="G1243" s="1494"/>
      <c r="H1243" s="1518">
        <f>'Input Basel III'!$G112</f>
        <v>0</v>
      </c>
      <c r="U1243" s="1027"/>
      <c r="V1243" s="1027"/>
      <c r="W1243" s="1027"/>
    </row>
    <row r="1244" spans="2:23" ht="12.75" customHeight="1" x14ac:dyDescent="0.2">
      <c r="B1244" s="1083" t="str">
        <f>'Input Basel III'!$A$1</f>
        <v>15b</v>
      </c>
      <c r="C1244" s="1084" t="str">
        <f>'Input Basel III'!$B$1</f>
        <v>Input Basel III</v>
      </c>
      <c r="D1244" s="1091" t="str">
        <f>'Input Basel III'!$A$102</f>
        <v>6 Börsen und Clearinghäuser</v>
      </c>
      <c r="E1244" s="1516" t="str">
        <f>'Input Basel III'!$B$113</f>
        <v>Risikogewicht 100% (ohne ungeratete Positionen)</v>
      </c>
      <c r="F1244" s="1494" t="str">
        <f>'Input Basel III'!$G$107</f>
        <v>Positionen ohne Kreditrisikominderung (CRM)</v>
      </c>
      <c r="G1244" s="1494"/>
      <c r="H1244" s="1518">
        <f>'Input Basel III'!$G113</f>
        <v>0</v>
      </c>
      <c r="U1244" s="1027"/>
      <c r="V1244" s="1027"/>
      <c r="W1244" s="1027"/>
    </row>
    <row r="1245" spans="2:23" ht="12.75" customHeight="1" x14ac:dyDescent="0.2">
      <c r="B1245" s="1083" t="str">
        <f>'Input Basel III'!$A$1</f>
        <v>15b</v>
      </c>
      <c r="C1245" s="1084" t="str">
        <f>'Input Basel III'!$B$1</f>
        <v>Input Basel III</v>
      </c>
      <c r="D1245" s="1091" t="str">
        <f>'Input Basel III'!$A$102</f>
        <v>6 Börsen und Clearinghäuser</v>
      </c>
      <c r="E1245" s="1516" t="str">
        <f>'Input Basel III'!$B$115</f>
        <v>nicht geratet 100%</v>
      </c>
      <c r="F1245" s="1494" t="str">
        <f>'Input Basel III'!$G$107</f>
        <v>Positionen ohne Kreditrisikominderung (CRM)</v>
      </c>
      <c r="G1245" s="1494"/>
      <c r="H1245" s="1518">
        <f>'Input Basel III'!$G115</f>
        <v>0</v>
      </c>
      <c r="U1245" s="1027"/>
      <c r="V1245" s="1027"/>
      <c r="W1245" s="1027"/>
    </row>
    <row r="1246" spans="2:23" ht="12.75" customHeight="1" x14ac:dyDescent="0.2">
      <c r="B1246" s="1083" t="str">
        <f>'Input Basel III'!$A$1</f>
        <v>15b</v>
      </c>
      <c r="C1246" s="1084" t="str">
        <f>'Input Basel III'!$B$1</f>
        <v>Input Basel III</v>
      </c>
      <c r="D1246" s="1091" t="str">
        <f>'Input Basel III'!$A$102</f>
        <v>6 Börsen und Clearinghäuser</v>
      </c>
      <c r="E1246" s="1110">
        <f>'Input Basel III'!$B$116</f>
        <v>0</v>
      </c>
      <c r="F1246" s="1494" t="str">
        <f>'Input Basel III'!$G$107</f>
        <v>Positionen ohne Kreditrisikominderung (CRM)</v>
      </c>
      <c r="G1246" s="1494"/>
      <c r="H1246" s="1112">
        <f>'Input Basel III'!$G116</f>
        <v>0</v>
      </c>
      <c r="U1246" s="1027"/>
      <c r="V1246" s="1027"/>
      <c r="W1246" s="1027"/>
    </row>
    <row r="1247" spans="2:23" ht="12.75" customHeight="1" x14ac:dyDescent="0.2">
      <c r="B1247" s="1083" t="str">
        <f>'Input Basel III'!$A$1</f>
        <v>15b</v>
      </c>
      <c r="C1247" s="1084" t="str">
        <f>'Input Basel III'!$B$1</f>
        <v>Input Basel III</v>
      </c>
      <c r="D1247" s="1091" t="str">
        <f>'Input Basel III'!$A$102</f>
        <v>6 Börsen und Clearinghäuser</v>
      </c>
      <c r="E1247" s="1488" t="str">
        <f>'Input Basel III'!$B$109</f>
        <v>Risikogewicht 0%</v>
      </c>
      <c r="F1247" s="1494" t="str">
        <f>'Input Basel III'!$I$108</f>
        <v xml:space="preserve">Vor Besicherung </v>
      </c>
      <c r="G1247" s="1494"/>
      <c r="H1247" s="1518">
        <f>'Input Basel III'!$I109</f>
        <v>0</v>
      </c>
      <c r="U1247" s="1027"/>
      <c r="V1247" s="1027"/>
      <c r="W1247" s="1027"/>
    </row>
    <row r="1248" spans="2:23" ht="12.75" customHeight="1" x14ac:dyDescent="0.2">
      <c r="B1248" s="1083" t="str">
        <f>'Input Basel III'!$A$1</f>
        <v>15b</v>
      </c>
      <c r="C1248" s="1084" t="str">
        <f>'Input Basel III'!$B$1</f>
        <v>Input Basel III</v>
      </c>
      <c r="D1248" s="1091" t="str">
        <f>'Input Basel III'!$A$102</f>
        <v>6 Börsen und Clearinghäuser</v>
      </c>
      <c r="E1248" s="1516" t="str">
        <f>'Input Basel III'!$B$111</f>
        <v>Risikogewicht 20%</v>
      </c>
      <c r="F1248" s="1494" t="str">
        <f>'Input Basel III'!$I$108</f>
        <v xml:space="preserve">Vor Besicherung </v>
      </c>
      <c r="G1248" s="1494"/>
      <c r="H1248" s="1518">
        <f>'Input Basel III'!$I111</f>
        <v>0</v>
      </c>
      <c r="U1248" s="1027"/>
      <c r="V1248" s="1027"/>
      <c r="W1248" s="1027"/>
    </row>
    <row r="1249" spans="2:23" ht="12.75" customHeight="1" x14ac:dyDescent="0.2">
      <c r="B1249" s="1083" t="str">
        <f>'Input Basel III'!$A$1</f>
        <v>15b</v>
      </c>
      <c r="C1249" s="1084" t="str">
        <f>'Input Basel III'!$B$1</f>
        <v>Input Basel III</v>
      </c>
      <c r="D1249" s="1091" t="str">
        <f>'Input Basel III'!$A$102</f>
        <v>6 Börsen und Clearinghäuser</v>
      </c>
      <c r="E1249" s="1516" t="str">
        <f>'Input Basel III'!$B$112</f>
        <v>Risikogewicht 50%</v>
      </c>
      <c r="F1249" s="1494" t="str">
        <f>'Input Basel III'!$I$108</f>
        <v xml:space="preserve">Vor Besicherung </v>
      </c>
      <c r="G1249" s="1494"/>
      <c r="H1249" s="1518">
        <f>'Input Basel III'!$I112</f>
        <v>0</v>
      </c>
      <c r="U1249" s="1027"/>
      <c r="V1249" s="1027"/>
      <c r="W1249" s="1027"/>
    </row>
    <row r="1250" spans="2:23" ht="12.75" customHeight="1" x14ac:dyDescent="0.2">
      <c r="B1250" s="1083" t="str">
        <f>'Input Basel III'!$A$1</f>
        <v>15b</v>
      </c>
      <c r="C1250" s="1084" t="str">
        <f>'Input Basel III'!$B$1</f>
        <v>Input Basel III</v>
      </c>
      <c r="D1250" s="1091" t="str">
        <f>'Input Basel III'!$A$102</f>
        <v>6 Börsen und Clearinghäuser</v>
      </c>
      <c r="E1250" s="1516" t="str">
        <f>'Input Basel III'!$B$113</f>
        <v>Risikogewicht 100% (ohne ungeratete Positionen)</v>
      </c>
      <c r="F1250" s="1494" t="str">
        <f>'Input Basel III'!$I$108</f>
        <v xml:space="preserve">Vor Besicherung </v>
      </c>
      <c r="G1250" s="1494"/>
      <c r="H1250" s="1518">
        <f>'Input Basel III'!$I113</f>
        <v>0</v>
      </c>
      <c r="U1250" s="1027"/>
      <c r="V1250" s="1027"/>
      <c r="W1250" s="1027"/>
    </row>
    <row r="1251" spans="2:23" ht="12.75" customHeight="1" x14ac:dyDescent="0.2">
      <c r="B1251" s="1083" t="str">
        <f>'Input Basel III'!$A$1</f>
        <v>15b</v>
      </c>
      <c r="C1251" s="1084" t="str">
        <f>'Input Basel III'!$B$1</f>
        <v>Input Basel III</v>
      </c>
      <c r="D1251" s="1091" t="str">
        <f>'Input Basel III'!$A$102</f>
        <v>6 Börsen und Clearinghäuser</v>
      </c>
      <c r="E1251" s="1516" t="str">
        <f>'Input Basel III'!$B$115</f>
        <v>nicht geratet 100%</v>
      </c>
      <c r="F1251" s="1494" t="str">
        <f>'Input Basel III'!$I$108</f>
        <v xml:space="preserve">Vor Besicherung </v>
      </c>
      <c r="G1251" s="1494"/>
      <c r="H1251" s="1518">
        <f>'Input Basel III'!$I115</f>
        <v>0</v>
      </c>
      <c r="U1251" s="1027"/>
      <c r="V1251" s="1027"/>
      <c r="W1251" s="1027"/>
    </row>
    <row r="1252" spans="2:23" ht="12.75" customHeight="1" x14ac:dyDescent="0.2">
      <c r="B1252" s="1083" t="str">
        <f>'Input Basel III'!$A$1</f>
        <v>15b</v>
      </c>
      <c r="C1252" s="1084" t="str">
        <f>'Input Basel III'!$B$1</f>
        <v>Input Basel III</v>
      </c>
      <c r="D1252" s="1091" t="str">
        <f>'Input Basel III'!$A$102</f>
        <v>6 Börsen und Clearinghäuser</v>
      </c>
      <c r="E1252" s="1110">
        <f>'Input Basel III'!$B$116</f>
        <v>0</v>
      </c>
      <c r="F1252" s="1494" t="str">
        <f>'Input Basel III'!$I$108</f>
        <v xml:space="preserve">Vor Besicherung </v>
      </c>
      <c r="G1252" s="1494"/>
      <c r="H1252" s="1112">
        <f>'Input Basel III'!$I116</f>
        <v>0</v>
      </c>
      <c r="U1252" s="1027"/>
      <c r="V1252" s="1027"/>
      <c r="W1252" s="1027"/>
    </row>
    <row r="1253" spans="2:23" ht="12.75" customHeight="1" x14ac:dyDescent="0.2">
      <c r="B1253" s="1083" t="str">
        <f>'Input Basel III'!$A$1</f>
        <v>15b</v>
      </c>
      <c r="C1253" s="1084" t="str">
        <f>'Input Basel III'!$B$1</f>
        <v>Input Basel III</v>
      </c>
      <c r="D1253" s="1091" t="str">
        <f>'Input Basel III'!$A$102</f>
        <v>6 Börsen und Clearinghäuser</v>
      </c>
      <c r="E1253" s="1488" t="str">
        <f>'Input Basel III'!$B$109</f>
        <v>Risikogewicht 0%</v>
      </c>
      <c r="F1253" s="1494" t="str">
        <f>'Input Basel III'!$J$108</f>
        <v>Nach Besicherung</v>
      </c>
      <c r="G1253" s="1494"/>
      <c r="H1253" s="1518">
        <f>'Input Basel III'!$J109</f>
        <v>0</v>
      </c>
      <c r="U1253" s="1027"/>
      <c r="V1253" s="1027"/>
      <c r="W1253" s="1027"/>
    </row>
    <row r="1254" spans="2:23" ht="12.75" customHeight="1" x14ac:dyDescent="0.2">
      <c r="B1254" s="1083" t="str">
        <f>'Input Basel III'!$A$1</f>
        <v>15b</v>
      </c>
      <c r="C1254" s="1084" t="str">
        <f>'Input Basel III'!$B$1</f>
        <v>Input Basel III</v>
      </c>
      <c r="D1254" s="1091" t="str">
        <f>'Input Basel III'!$A$102</f>
        <v>6 Börsen und Clearinghäuser</v>
      </c>
      <c r="E1254" s="1516" t="str">
        <f>'Input Basel III'!$B$111</f>
        <v>Risikogewicht 20%</v>
      </c>
      <c r="F1254" s="1494" t="str">
        <f>'Input Basel III'!$J$108</f>
        <v>Nach Besicherung</v>
      </c>
      <c r="G1254" s="1494"/>
      <c r="H1254" s="1518">
        <f>'Input Basel III'!$J111</f>
        <v>0</v>
      </c>
      <c r="U1254" s="1027"/>
      <c r="V1254" s="1027"/>
      <c r="W1254" s="1027"/>
    </row>
    <row r="1255" spans="2:23" ht="12.75" customHeight="1" x14ac:dyDescent="0.2">
      <c r="B1255" s="1083" t="str">
        <f>'Input Basel III'!$A$1</f>
        <v>15b</v>
      </c>
      <c r="C1255" s="1084" t="str">
        <f>'Input Basel III'!$B$1</f>
        <v>Input Basel III</v>
      </c>
      <c r="D1255" s="1091" t="str">
        <f>'Input Basel III'!$A$102</f>
        <v>6 Börsen und Clearinghäuser</v>
      </c>
      <c r="E1255" s="1516" t="str">
        <f>'Input Basel III'!$B$112</f>
        <v>Risikogewicht 50%</v>
      </c>
      <c r="F1255" s="1494" t="str">
        <f>'Input Basel III'!$J$108</f>
        <v>Nach Besicherung</v>
      </c>
      <c r="G1255" s="1494"/>
      <c r="H1255" s="1518">
        <f>'Input Basel III'!$J112</f>
        <v>0</v>
      </c>
      <c r="U1255" s="1027"/>
      <c r="V1255" s="1027"/>
      <c r="W1255" s="1027"/>
    </row>
    <row r="1256" spans="2:23" ht="12.75" customHeight="1" x14ac:dyDescent="0.2">
      <c r="B1256" s="1083" t="str">
        <f>'Input Basel III'!$A$1</f>
        <v>15b</v>
      </c>
      <c r="C1256" s="1084" t="str">
        <f>'Input Basel III'!$B$1</f>
        <v>Input Basel III</v>
      </c>
      <c r="D1256" s="1091" t="str">
        <f>'Input Basel III'!$A$102</f>
        <v>6 Börsen und Clearinghäuser</v>
      </c>
      <c r="E1256" s="1516" t="str">
        <f>'Input Basel III'!$B$113</f>
        <v>Risikogewicht 100% (ohne ungeratete Positionen)</v>
      </c>
      <c r="F1256" s="1494" t="str">
        <f>'Input Basel III'!$J$108</f>
        <v>Nach Besicherung</v>
      </c>
      <c r="G1256" s="1494"/>
      <c r="H1256" s="1518">
        <f>'Input Basel III'!$J113</f>
        <v>0</v>
      </c>
      <c r="U1256" s="1027"/>
      <c r="V1256" s="1027"/>
      <c r="W1256" s="1027"/>
    </row>
    <row r="1257" spans="2:23" ht="12.75" customHeight="1" x14ac:dyDescent="0.2">
      <c r="B1257" s="1083" t="str">
        <f>'Input Basel III'!$A$1</f>
        <v>15b</v>
      </c>
      <c r="C1257" s="1084" t="str">
        <f>'Input Basel III'!$B$1</f>
        <v>Input Basel III</v>
      </c>
      <c r="D1257" s="1091" t="str">
        <f>'Input Basel III'!$A$102</f>
        <v>6 Börsen und Clearinghäuser</v>
      </c>
      <c r="E1257" s="1516" t="str">
        <f>'Input Basel III'!$B$115</f>
        <v>nicht geratet 100%</v>
      </c>
      <c r="F1257" s="1494" t="str">
        <f>'Input Basel III'!$J$108</f>
        <v>Nach Besicherung</v>
      </c>
      <c r="G1257" s="1520"/>
      <c r="H1257" s="1518">
        <f>'Input Basel III'!$J115</f>
        <v>0</v>
      </c>
      <c r="U1257" s="1027"/>
      <c r="V1257" s="1027"/>
      <c r="W1257" s="1027"/>
    </row>
    <row r="1258" spans="2:23" ht="12.75" customHeight="1" x14ac:dyDescent="0.2">
      <c r="B1258" s="1083" t="str">
        <f>'Input Basel III'!$A$1</f>
        <v>15b</v>
      </c>
      <c r="C1258" s="1084" t="str">
        <f>'Input Basel III'!$B$1</f>
        <v>Input Basel III</v>
      </c>
      <c r="D1258" s="1091" t="str">
        <f>'Input Basel III'!$A$102</f>
        <v>6 Börsen und Clearinghäuser</v>
      </c>
      <c r="E1258" s="1110">
        <f>'Input Basel III'!$B$116</f>
        <v>0</v>
      </c>
      <c r="F1258" s="1494" t="str">
        <f>'Input Basel III'!$J$108</f>
        <v>Nach Besicherung</v>
      </c>
      <c r="G1258" s="1520"/>
      <c r="H1258" s="1112">
        <f>'Input Basel III'!$J116</f>
        <v>0</v>
      </c>
      <c r="U1258" s="1027"/>
      <c r="V1258" s="1027"/>
      <c r="W1258" s="1027"/>
    </row>
    <row r="1259" spans="2:23" ht="12.75" customHeight="1" x14ac:dyDescent="0.2">
      <c r="B1259" s="1083" t="str">
        <f>'Input Basel III'!$A$1</f>
        <v>15b</v>
      </c>
      <c r="C1259" s="1084" t="str">
        <f>'Input Basel III'!$B$1</f>
        <v>Input Basel III</v>
      </c>
      <c r="D1259" s="1091" t="str">
        <f>'Input Basel III'!$A$102</f>
        <v>6 Börsen und Clearinghäuser</v>
      </c>
      <c r="E1259" s="1488" t="str">
        <f>'Input Basel III'!$B$109</f>
        <v>Risikogewicht 0%</v>
      </c>
      <c r="F1259" s="1520" t="str">
        <f>'Input Basel III'!$L$108</f>
        <v>Vor Garantien und Kreditderivate</v>
      </c>
      <c r="G1259" s="1520"/>
      <c r="H1259" s="1518">
        <f>'Input Basel III'!$L109</f>
        <v>0</v>
      </c>
      <c r="U1259" s="1027"/>
      <c r="V1259" s="1027"/>
      <c r="W1259" s="1027"/>
    </row>
    <row r="1260" spans="2:23" ht="12.75" customHeight="1" x14ac:dyDescent="0.2">
      <c r="B1260" s="1083" t="str">
        <f>'Input Basel III'!$A$1</f>
        <v>15b</v>
      </c>
      <c r="C1260" s="1084" t="str">
        <f>'Input Basel III'!$B$1</f>
        <v>Input Basel III</v>
      </c>
      <c r="D1260" s="1091" t="str">
        <f>'Input Basel III'!$A$102</f>
        <v>6 Börsen und Clearinghäuser</v>
      </c>
      <c r="E1260" s="1516" t="str">
        <f>'Input Basel III'!$B$111</f>
        <v>Risikogewicht 20%</v>
      </c>
      <c r="F1260" s="1520" t="str">
        <f>'Input Basel III'!$L$108</f>
        <v>Vor Garantien und Kreditderivate</v>
      </c>
      <c r="G1260" s="1520"/>
      <c r="H1260" s="1518">
        <f>'Input Basel III'!$L111</f>
        <v>0</v>
      </c>
      <c r="U1260" s="1027"/>
      <c r="V1260" s="1027"/>
      <c r="W1260" s="1027"/>
    </row>
    <row r="1261" spans="2:23" ht="12.75" customHeight="1" x14ac:dyDescent="0.2">
      <c r="B1261" s="1083" t="str">
        <f>'Input Basel III'!$A$1</f>
        <v>15b</v>
      </c>
      <c r="C1261" s="1084" t="str">
        <f>'Input Basel III'!$B$1</f>
        <v>Input Basel III</v>
      </c>
      <c r="D1261" s="1091" t="str">
        <f>'Input Basel III'!$A$102</f>
        <v>6 Börsen und Clearinghäuser</v>
      </c>
      <c r="E1261" s="1516" t="str">
        <f>'Input Basel III'!$B$112</f>
        <v>Risikogewicht 50%</v>
      </c>
      <c r="F1261" s="1520" t="str">
        <f>'Input Basel III'!$L$108</f>
        <v>Vor Garantien und Kreditderivate</v>
      </c>
      <c r="G1261" s="1520"/>
      <c r="H1261" s="1518">
        <f>'Input Basel III'!$L112</f>
        <v>0</v>
      </c>
      <c r="U1261" s="1027"/>
      <c r="V1261" s="1027"/>
      <c r="W1261" s="1027"/>
    </row>
    <row r="1262" spans="2:23" ht="12.75" customHeight="1" x14ac:dyDescent="0.2">
      <c r="B1262" s="1083" t="str">
        <f>'Input Basel III'!$A$1</f>
        <v>15b</v>
      </c>
      <c r="C1262" s="1084" t="str">
        <f>'Input Basel III'!$B$1</f>
        <v>Input Basel III</v>
      </c>
      <c r="D1262" s="1091" t="str">
        <f>'Input Basel III'!$A$102</f>
        <v>6 Börsen und Clearinghäuser</v>
      </c>
      <c r="E1262" s="1516" t="str">
        <f>'Input Basel III'!$B$113</f>
        <v>Risikogewicht 100% (ohne ungeratete Positionen)</v>
      </c>
      <c r="F1262" s="1520" t="str">
        <f>'Input Basel III'!$L$108</f>
        <v>Vor Garantien und Kreditderivate</v>
      </c>
      <c r="G1262" s="1520"/>
      <c r="H1262" s="1518">
        <f>'Input Basel III'!$L113</f>
        <v>0</v>
      </c>
      <c r="U1262" s="1027"/>
      <c r="V1262" s="1027"/>
      <c r="W1262" s="1027"/>
    </row>
    <row r="1263" spans="2:23" ht="12.75" customHeight="1" x14ac:dyDescent="0.2">
      <c r="B1263" s="1083" t="str">
        <f>'Input Basel III'!$A$1</f>
        <v>15b</v>
      </c>
      <c r="C1263" s="1084" t="str">
        <f>'Input Basel III'!$B$1</f>
        <v>Input Basel III</v>
      </c>
      <c r="D1263" s="1091" t="str">
        <f>'Input Basel III'!$A$102</f>
        <v>6 Börsen und Clearinghäuser</v>
      </c>
      <c r="E1263" s="1516" t="str">
        <f>'Input Basel III'!$B$115</f>
        <v>nicht geratet 100%</v>
      </c>
      <c r="F1263" s="1520" t="str">
        <f>'Input Basel III'!$L$108</f>
        <v>Vor Garantien und Kreditderivate</v>
      </c>
      <c r="G1263" s="1520"/>
      <c r="H1263" s="1518">
        <f>'Input Basel III'!$L115</f>
        <v>0</v>
      </c>
      <c r="U1263" s="1027"/>
      <c r="V1263" s="1027"/>
      <c r="W1263" s="1027"/>
    </row>
    <row r="1264" spans="2:23" ht="12.75" customHeight="1" x14ac:dyDescent="0.2">
      <c r="B1264" s="1083" t="str">
        <f>'Input Basel III'!$A$1</f>
        <v>15b</v>
      </c>
      <c r="C1264" s="1084" t="str">
        <f>'Input Basel III'!$B$1</f>
        <v>Input Basel III</v>
      </c>
      <c r="D1264" s="1091" t="str">
        <f>'Input Basel III'!$A$102</f>
        <v>6 Börsen und Clearinghäuser</v>
      </c>
      <c r="E1264" s="1110">
        <f>'Input Basel III'!$B$116</f>
        <v>0</v>
      </c>
      <c r="F1264" s="1520" t="str">
        <f>'Input Basel III'!$L$108</f>
        <v>Vor Garantien und Kreditderivate</v>
      </c>
      <c r="G1264" s="1520"/>
      <c r="H1264" s="1112">
        <f>'Input Basel III'!$L116</f>
        <v>0</v>
      </c>
      <c r="U1264" s="1027"/>
      <c r="V1264" s="1027"/>
      <c r="W1264" s="1027"/>
    </row>
    <row r="1265" spans="2:23" ht="12.75" customHeight="1" x14ac:dyDescent="0.2">
      <c r="B1265" s="1083" t="str">
        <f>'Input Basel III'!$A$1</f>
        <v>15b</v>
      </c>
      <c r="C1265" s="1084" t="str">
        <f>'Input Basel III'!$B$1</f>
        <v>Input Basel III</v>
      </c>
      <c r="D1265" s="1091" t="str">
        <f>'Input Basel III'!$A$102</f>
        <v>6 Börsen und Clearinghäuser</v>
      </c>
      <c r="E1265" s="1488" t="str">
        <f>'Input Basel III'!$B$109</f>
        <v>Risikogewicht 0%</v>
      </c>
      <c r="F1265" s="1520" t="str">
        <f>'Input Basel III'!$M$108</f>
        <v>Nach Garantien und Kred.-.Der.</v>
      </c>
      <c r="G1265" s="1520"/>
      <c r="H1265" s="1518">
        <f>'Input Basel III'!$M109</f>
        <v>0</v>
      </c>
      <c r="U1265" s="1027"/>
      <c r="V1265" s="1027"/>
      <c r="W1265" s="1027"/>
    </row>
    <row r="1266" spans="2:23" ht="12.75" customHeight="1" x14ac:dyDescent="0.2">
      <c r="B1266" s="1083" t="str">
        <f>'Input Basel III'!$A$1</f>
        <v>15b</v>
      </c>
      <c r="C1266" s="1084" t="str">
        <f>'Input Basel III'!$B$1</f>
        <v>Input Basel III</v>
      </c>
      <c r="D1266" s="1091" t="str">
        <f>'Input Basel III'!$A$102</f>
        <v>6 Börsen und Clearinghäuser</v>
      </c>
      <c r="E1266" s="1516" t="str">
        <f>'Input Basel III'!$B$111</f>
        <v>Risikogewicht 20%</v>
      </c>
      <c r="F1266" s="1520" t="str">
        <f>'Input Basel III'!$M$108</f>
        <v>Nach Garantien und Kred.-.Der.</v>
      </c>
      <c r="G1266" s="1520"/>
      <c r="H1266" s="1518">
        <f>'Input Basel III'!$M111</f>
        <v>0</v>
      </c>
      <c r="U1266" s="1027"/>
      <c r="V1266" s="1027"/>
      <c r="W1266" s="1027"/>
    </row>
    <row r="1267" spans="2:23" ht="12.75" customHeight="1" x14ac:dyDescent="0.2">
      <c r="B1267" s="1083" t="str">
        <f>'Input Basel III'!$A$1</f>
        <v>15b</v>
      </c>
      <c r="C1267" s="1084" t="str">
        <f>'Input Basel III'!$B$1</f>
        <v>Input Basel III</v>
      </c>
      <c r="D1267" s="1091" t="str">
        <f>'Input Basel III'!$A$102</f>
        <v>6 Börsen und Clearinghäuser</v>
      </c>
      <c r="E1267" s="1516" t="str">
        <f>'Input Basel III'!$B$112</f>
        <v>Risikogewicht 50%</v>
      </c>
      <c r="F1267" s="1520" t="str">
        <f>'Input Basel III'!$M$108</f>
        <v>Nach Garantien und Kred.-.Der.</v>
      </c>
      <c r="G1267" s="1520"/>
      <c r="H1267" s="1518">
        <f>'Input Basel III'!$M112</f>
        <v>0</v>
      </c>
      <c r="U1267" s="1027"/>
      <c r="V1267" s="1027"/>
      <c r="W1267" s="1027"/>
    </row>
    <row r="1268" spans="2:23" ht="12.75" customHeight="1" x14ac:dyDescent="0.2">
      <c r="B1268" s="1083" t="str">
        <f>'Input Basel III'!$A$1</f>
        <v>15b</v>
      </c>
      <c r="C1268" s="1084" t="str">
        <f>'Input Basel III'!$B$1</f>
        <v>Input Basel III</v>
      </c>
      <c r="D1268" s="1091" t="str">
        <f>'Input Basel III'!$A$102</f>
        <v>6 Börsen und Clearinghäuser</v>
      </c>
      <c r="E1268" s="1516" t="str">
        <f>'Input Basel III'!$B$113</f>
        <v>Risikogewicht 100% (ohne ungeratete Positionen)</v>
      </c>
      <c r="F1268" s="1520" t="str">
        <f>'Input Basel III'!$M$108</f>
        <v>Nach Garantien und Kred.-.Der.</v>
      </c>
      <c r="G1268" s="1520"/>
      <c r="H1268" s="1518">
        <f>'Input Basel III'!$M113</f>
        <v>0</v>
      </c>
      <c r="U1268" s="1027"/>
      <c r="V1268" s="1027"/>
      <c r="W1268" s="1027"/>
    </row>
    <row r="1269" spans="2:23" ht="12.75" customHeight="1" x14ac:dyDescent="0.2">
      <c r="B1269" s="1083" t="str">
        <f>'Input Basel III'!$A$1</f>
        <v>15b</v>
      </c>
      <c r="C1269" s="1084" t="str">
        <f>'Input Basel III'!$B$1</f>
        <v>Input Basel III</v>
      </c>
      <c r="D1269" s="1091" t="str">
        <f>'Input Basel III'!$A$102</f>
        <v>6 Börsen und Clearinghäuser</v>
      </c>
      <c r="E1269" s="1516" t="str">
        <f>'Input Basel III'!$B$115</f>
        <v>nicht geratet 100%</v>
      </c>
      <c r="F1269" s="1520" t="str">
        <f>'Input Basel III'!$M$108</f>
        <v>Nach Garantien und Kred.-.Der.</v>
      </c>
      <c r="G1269" s="1520"/>
      <c r="H1269" s="1518">
        <f>'Input Basel III'!$M115</f>
        <v>0</v>
      </c>
      <c r="U1269" s="1027"/>
      <c r="V1269" s="1027"/>
      <c r="W1269" s="1027"/>
    </row>
    <row r="1270" spans="2:23" ht="12.75" customHeight="1" x14ac:dyDescent="0.2">
      <c r="B1270" s="1083" t="str">
        <f>'Input Basel III'!$A$1</f>
        <v>15b</v>
      </c>
      <c r="C1270" s="1084" t="str">
        <f>'Input Basel III'!$B$1</f>
        <v>Input Basel III</v>
      </c>
      <c r="D1270" s="1091" t="str">
        <f>'Input Basel III'!$A$102</f>
        <v>6 Börsen und Clearinghäuser</v>
      </c>
      <c r="E1270" s="1110">
        <f>'Input Basel III'!$B$116</f>
        <v>0</v>
      </c>
      <c r="F1270" s="1520" t="str">
        <f>'Input Basel III'!$M$108</f>
        <v>Nach Garantien und Kred.-.Der.</v>
      </c>
      <c r="G1270" s="1520"/>
      <c r="H1270" s="1112">
        <f>'Input Basel III'!$M116</f>
        <v>0</v>
      </c>
      <c r="U1270" s="1027"/>
      <c r="V1270" s="1027"/>
      <c r="W1270" s="1027"/>
    </row>
    <row r="1271" spans="2:23" ht="12.75" customHeight="1" x14ac:dyDescent="0.2">
      <c r="B1271" s="1083" t="str">
        <f>'Input Basel III'!$A$1</f>
        <v>15b</v>
      </c>
      <c r="C1271" s="1084" t="str">
        <f>'Input Basel III'!$B$1</f>
        <v>Input Basel III</v>
      </c>
      <c r="D1271" s="1091" t="str">
        <f>'Input Basel III'!$A$122</f>
        <v xml:space="preserve">7 Unternehmen </v>
      </c>
      <c r="E1271" s="1516" t="str">
        <f>'Input Basel III'!$B$131</f>
        <v>Risikogewicht 20%</v>
      </c>
      <c r="F1271" s="1494" t="str">
        <f>'Input Basel III'!$C$31</f>
        <v>Risikogewicht</v>
      </c>
      <c r="G1271" s="1494"/>
      <c r="H1271" s="1519">
        <f>'Input Basel III'!$C131</f>
        <v>0.2</v>
      </c>
      <c r="U1271" s="1027"/>
      <c r="V1271" s="1027"/>
      <c r="W1271" s="1027"/>
    </row>
    <row r="1272" spans="2:23" ht="12.75" customHeight="1" x14ac:dyDescent="0.2">
      <c r="B1272" s="1083" t="str">
        <f>'Input Basel III'!$A$1</f>
        <v>15b</v>
      </c>
      <c r="C1272" s="1084" t="str">
        <f>'Input Basel III'!$B$1</f>
        <v>Input Basel III</v>
      </c>
      <c r="D1272" s="1091" t="str">
        <f>'Input Basel III'!$A$122</f>
        <v xml:space="preserve">7 Unternehmen </v>
      </c>
      <c r="E1272" s="1516" t="str">
        <f>'Input Basel III'!$B$132</f>
        <v>Risikogewicht 50%</v>
      </c>
      <c r="F1272" s="1494" t="str">
        <f>'Input Basel III'!$C$31</f>
        <v>Risikogewicht</v>
      </c>
      <c r="G1272" s="1494"/>
      <c r="H1272" s="1519">
        <f>'Input Basel III'!$C132</f>
        <v>0.5</v>
      </c>
      <c r="U1272" s="1027"/>
      <c r="V1272" s="1027"/>
      <c r="W1272" s="1027"/>
    </row>
    <row r="1273" spans="2:23" ht="12.75" customHeight="1" x14ac:dyDescent="0.2">
      <c r="B1273" s="1083" t="str">
        <f>'Input Basel III'!$A$1</f>
        <v>15b</v>
      </c>
      <c r="C1273" s="1084" t="str">
        <f>'Input Basel III'!$B$1</f>
        <v>Input Basel III</v>
      </c>
      <c r="D1273" s="1091" t="str">
        <f>'Input Basel III'!$A$122</f>
        <v xml:space="preserve">7 Unternehmen </v>
      </c>
      <c r="E1273" s="1516" t="str">
        <f>'Input Basel III'!$B$133</f>
        <v>Risikogewicht 100% (ohne ungeratete Positionen)</v>
      </c>
      <c r="F1273" s="1494" t="str">
        <f>'Input Basel III'!$C$31</f>
        <v>Risikogewicht</v>
      </c>
      <c r="G1273" s="1494"/>
      <c r="H1273" s="1519">
        <f>'Input Basel III'!$C133</f>
        <v>1</v>
      </c>
      <c r="U1273" s="1027"/>
      <c r="V1273" s="1027"/>
      <c r="W1273" s="1027"/>
    </row>
    <row r="1274" spans="2:23" ht="12.75" customHeight="1" x14ac:dyDescent="0.2">
      <c r="B1274" s="1083" t="str">
        <f>'Input Basel III'!$A$1</f>
        <v>15b</v>
      </c>
      <c r="C1274" s="1084" t="str">
        <f>'Input Basel III'!$B$1</f>
        <v>Input Basel III</v>
      </c>
      <c r="D1274" s="1091" t="str">
        <f>'Input Basel III'!$A$122</f>
        <v xml:space="preserve">7 Unternehmen </v>
      </c>
      <c r="E1274" s="1613" t="str">
        <f>'Input Basel III'!$B$135</f>
        <v>nicht geratet 100%</v>
      </c>
      <c r="F1274" s="1494" t="str">
        <f>'Input Basel III'!$C$31</f>
        <v>Risikogewicht</v>
      </c>
      <c r="G1274" s="1494"/>
      <c r="H1274" s="1519">
        <f>'Input Basel III'!$C135</f>
        <v>1</v>
      </c>
      <c r="U1274" s="1027"/>
      <c r="V1274" s="1027"/>
      <c r="W1274" s="1027"/>
    </row>
    <row r="1275" spans="2:23" ht="12.75" customHeight="1" x14ac:dyDescent="0.2">
      <c r="B1275" s="1083" t="str">
        <f>'Input Basel III'!$A$1</f>
        <v>15b</v>
      </c>
      <c r="C1275" s="1084" t="str">
        <f>'Input Basel III'!$B$1</f>
        <v>Input Basel III</v>
      </c>
      <c r="D1275" s="1091" t="str">
        <f>'Input Basel III'!$A$122</f>
        <v xml:space="preserve">7 Unternehmen </v>
      </c>
      <c r="E1275" s="1614"/>
      <c r="F1275" s="1615" t="str">
        <f>'Input Basel III'!$C$31</f>
        <v>Risikogewicht</v>
      </c>
      <c r="G1275" s="1615" t="s">
        <v>1992</v>
      </c>
      <c r="H1275" s="1616"/>
      <c r="U1275" s="1027"/>
      <c r="V1275" s="1027"/>
      <c r="W1275" s="1027"/>
    </row>
    <row r="1276" spans="2:23" ht="12.75" customHeight="1" x14ac:dyDescent="0.2">
      <c r="B1276" s="1083" t="str">
        <f>'Input Basel III'!$A$1</f>
        <v>15b</v>
      </c>
      <c r="C1276" s="1084" t="str">
        <f>'Input Basel III'!$B$1</f>
        <v>Input Basel III</v>
      </c>
      <c r="D1276" s="1091" t="str">
        <f>'Input Basel III'!$A$122</f>
        <v xml:space="preserve">7 Unternehmen </v>
      </c>
      <c r="E1276" s="1614"/>
      <c r="F1276" s="1615" t="str">
        <f>'Input Basel III'!$C$31</f>
        <v>Risikogewicht</v>
      </c>
      <c r="G1276" s="1615" t="s">
        <v>1992</v>
      </c>
      <c r="H1276" s="1616"/>
      <c r="U1276" s="1027"/>
      <c r="V1276" s="1027"/>
      <c r="W1276" s="1027"/>
    </row>
    <row r="1277" spans="2:23" ht="12.75" customHeight="1" x14ac:dyDescent="0.2">
      <c r="B1277" s="1083" t="str">
        <f>'Input Basel III'!$A$1</f>
        <v>15b</v>
      </c>
      <c r="C1277" s="1084" t="str">
        <f>'Input Basel III'!$B$1</f>
        <v>Input Basel III</v>
      </c>
      <c r="D1277" s="1091" t="str">
        <f>'Input Basel III'!$A$122</f>
        <v xml:space="preserve">7 Unternehmen </v>
      </c>
      <c r="E1277" s="1110">
        <f>'Input Basel III'!$B$136</f>
        <v>0</v>
      </c>
      <c r="F1277" s="1494" t="str">
        <f>'Input Basel III'!$C$31</f>
        <v>Risikogewicht</v>
      </c>
      <c r="G1277" s="1494"/>
      <c r="H1277" s="1111">
        <f>'Input Basel III'!$C136</f>
        <v>0</v>
      </c>
      <c r="U1277" s="1027"/>
      <c r="V1277" s="1027"/>
      <c r="W1277" s="1027"/>
    </row>
    <row r="1278" spans="2:23" ht="12.75" customHeight="1" x14ac:dyDescent="0.2">
      <c r="B1278" s="1083" t="str">
        <f>'Input Basel III'!$A$1</f>
        <v>15b</v>
      </c>
      <c r="C1278" s="1084" t="str">
        <f>'Input Basel III'!$B$1</f>
        <v>Input Basel III</v>
      </c>
      <c r="D1278" s="1091" t="str">
        <f>'Input Basel III'!$A$122</f>
        <v xml:space="preserve">7 Unternehmen </v>
      </c>
      <c r="E1278" s="1516" t="str">
        <f>'Input Basel III'!$B$131</f>
        <v>Risikogewicht 20%</v>
      </c>
      <c r="F1278" s="1520" t="str">
        <f>'Input Basel III'!$G$129</f>
        <v>Positionen ohne Kreditrisikominderung (CRM)</v>
      </c>
      <c r="G1278" s="1520"/>
      <c r="H1278" s="1518">
        <f>'Input Basel III'!$G131</f>
        <v>0</v>
      </c>
      <c r="U1278" s="1027"/>
      <c r="V1278" s="1027"/>
      <c r="W1278" s="1027"/>
    </row>
    <row r="1279" spans="2:23" ht="12.75" customHeight="1" x14ac:dyDescent="0.2">
      <c r="B1279" s="1083" t="str">
        <f>'Input Basel III'!$A$1</f>
        <v>15b</v>
      </c>
      <c r="C1279" s="1084" t="str">
        <f>'Input Basel III'!$B$1</f>
        <v>Input Basel III</v>
      </c>
      <c r="D1279" s="1091" t="str">
        <f>'Input Basel III'!$A$122</f>
        <v xml:space="preserve">7 Unternehmen </v>
      </c>
      <c r="E1279" s="1516" t="str">
        <f>'Input Basel III'!$B$132</f>
        <v>Risikogewicht 50%</v>
      </c>
      <c r="F1279" s="1520" t="str">
        <f>'Input Basel III'!$G$129</f>
        <v>Positionen ohne Kreditrisikominderung (CRM)</v>
      </c>
      <c r="G1279" s="1520"/>
      <c r="H1279" s="1518">
        <f>'Input Basel III'!$G132</f>
        <v>0</v>
      </c>
      <c r="U1279" s="1027"/>
      <c r="V1279" s="1027"/>
      <c r="W1279" s="1027"/>
    </row>
    <row r="1280" spans="2:23" ht="12.75" customHeight="1" x14ac:dyDescent="0.2">
      <c r="B1280" s="1083" t="str">
        <f>'Input Basel III'!$A$1</f>
        <v>15b</v>
      </c>
      <c r="C1280" s="1084" t="str">
        <f>'Input Basel III'!$B$1</f>
        <v>Input Basel III</v>
      </c>
      <c r="D1280" s="1091" t="str">
        <f>'Input Basel III'!$A$122</f>
        <v xml:space="preserve">7 Unternehmen </v>
      </c>
      <c r="E1280" s="1516" t="str">
        <f>'Input Basel III'!$B$133</f>
        <v>Risikogewicht 100% (ohne ungeratete Positionen)</v>
      </c>
      <c r="F1280" s="1520" t="str">
        <f>'Input Basel III'!$G$129</f>
        <v>Positionen ohne Kreditrisikominderung (CRM)</v>
      </c>
      <c r="G1280" s="1520"/>
      <c r="H1280" s="1518">
        <f>'Input Basel III'!$G133</f>
        <v>0</v>
      </c>
      <c r="U1280" s="1027"/>
      <c r="V1280" s="1027"/>
      <c r="W1280" s="1027"/>
    </row>
    <row r="1281" spans="2:23" ht="12.75" customHeight="1" x14ac:dyDescent="0.2">
      <c r="B1281" s="1083" t="str">
        <f>'Input Basel III'!$A$1</f>
        <v>15b</v>
      </c>
      <c r="C1281" s="1084" t="str">
        <f>'Input Basel III'!$B$1</f>
        <v>Input Basel III</v>
      </c>
      <c r="D1281" s="1091" t="str">
        <f>'Input Basel III'!$A$122</f>
        <v xml:space="preserve">7 Unternehmen </v>
      </c>
      <c r="E1281" s="1613" t="str">
        <f>'Input Basel III'!$B$135</f>
        <v>nicht geratet 100%</v>
      </c>
      <c r="F1281" s="1520" t="str">
        <f>'Input Basel III'!$G$129</f>
        <v>Positionen ohne Kreditrisikominderung (CRM)</v>
      </c>
      <c r="G1281" s="1520"/>
      <c r="H1281" s="1518">
        <f>'Input Basel III'!$G135</f>
        <v>0</v>
      </c>
      <c r="U1281" s="1027"/>
      <c r="V1281" s="1027"/>
      <c r="W1281" s="1027"/>
    </row>
    <row r="1282" spans="2:23" ht="12.75" customHeight="1" x14ac:dyDescent="0.2">
      <c r="B1282" s="1083" t="str">
        <f>'Input Basel III'!$A$1</f>
        <v>15b</v>
      </c>
      <c r="C1282" s="1084" t="str">
        <f>'Input Basel III'!$B$1</f>
        <v>Input Basel III</v>
      </c>
      <c r="D1282" s="1091" t="str">
        <f>'Input Basel III'!$A$122</f>
        <v xml:space="preserve">7 Unternehmen </v>
      </c>
      <c r="E1282" s="1608"/>
      <c r="F1282" s="1617" t="str">
        <f>'Input Basel III'!$G$129</f>
        <v>Positionen ohne Kreditrisikominderung (CRM)</v>
      </c>
      <c r="G1282" s="1617" t="s">
        <v>1992</v>
      </c>
      <c r="H1282" s="1518"/>
      <c r="U1282" s="1027"/>
      <c r="V1282" s="1027"/>
      <c r="W1282" s="1027"/>
    </row>
    <row r="1283" spans="2:23" ht="12.75" customHeight="1" x14ac:dyDescent="0.2">
      <c r="B1283" s="1083" t="str">
        <f>'Input Basel III'!$A$1</f>
        <v>15b</v>
      </c>
      <c r="C1283" s="1084" t="str">
        <f>'Input Basel III'!$B$1</f>
        <v>Input Basel III</v>
      </c>
      <c r="D1283" s="1091" t="str">
        <f>'Input Basel III'!$A$122</f>
        <v xml:space="preserve">7 Unternehmen </v>
      </c>
      <c r="E1283" s="1608"/>
      <c r="F1283" s="1617" t="str">
        <f>'Input Basel III'!$G$129</f>
        <v>Positionen ohne Kreditrisikominderung (CRM)</v>
      </c>
      <c r="G1283" s="1617" t="s">
        <v>1992</v>
      </c>
      <c r="H1283" s="1518"/>
      <c r="U1283" s="1027"/>
      <c r="V1283" s="1027"/>
      <c r="W1283" s="1027"/>
    </row>
    <row r="1284" spans="2:23" ht="12.75" customHeight="1" x14ac:dyDescent="0.2">
      <c r="B1284" s="1083" t="str">
        <f>'Input Basel III'!$A$1</f>
        <v>15b</v>
      </c>
      <c r="C1284" s="1084" t="str">
        <f>'Input Basel III'!$B$1</f>
        <v>Input Basel III</v>
      </c>
      <c r="D1284" s="1091" t="str">
        <f>'Input Basel III'!$A$122</f>
        <v xml:space="preserve">7 Unternehmen </v>
      </c>
      <c r="E1284" s="1110">
        <f>'Input Basel III'!$B$136</f>
        <v>0</v>
      </c>
      <c r="F1284" s="1520" t="str">
        <f>'Input Basel III'!$G$129</f>
        <v>Positionen ohne Kreditrisikominderung (CRM)</v>
      </c>
      <c r="G1284" s="1520"/>
      <c r="H1284" s="1112">
        <f>'Input Basel III'!$G136</f>
        <v>0</v>
      </c>
      <c r="U1284" s="1027"/>
      <c r="V1284" s="1027"/>
      <c r="W1284" s="1027"/>
    </row>
    <row r="1285" spans="2:23" ht="12.75" customHeight="1" x14ac:dyDescent="0.2">
      <c r="B1285" s="1083" t="str">
        <f>'Input Basel III'!$A$1</f>
        <v>15b</v>
      </c>
      <c r="C1285" s="1084" t="str">
        <f>'Input Basel III'!$B$1</f>
        <v>Input Basel III</v>
      </c>
      <c r="D1285" s="1091" t="str">
        <f>'Input Basel III'!$A$122</f>
        <v xml:space="preserve">7 Unternehmen </v>
      </c>
      <c r="E1285" s="1516" t="str">
        <f>'Input Basel III'!$B$131</f>
        <v>Risikogewicht 20%</v>
      </c>
      <c r="F1285" s="1520" t="str">
        <f>'Input Basel III'!$I$130</f>
        <v xml:space="preserve">Vor Besicherung </v>
      </c>
      <c r="G1285" s="1520"/>
      <c r="H1285" s="1518">
        <f>'Input Basel III'!$I131</f>
        <v>0</v>
      </c>
      <c r="U1285" s="1027"/>
      <c r="V1285" s="1027"/>
      <c r="W1285" s="1027"/>
    </row>
    <row r="1286" spans="2:23" ht="12.75" customHeight="1" x14ac:dyDescent="0.2">
      <c r="B1286" s="1083" t="str">
        <f>'Input Basel III'!$A$1</f>
        <v>15b</v>
      </c>
      <c r="C1286" s="1084" t="str">
        <f>'Input Basel III'!$B$1</f>
        <v>Input Basel III</v>
      </c>
      <c r="D1286" s="1091" t="str">
        <f>'Input Basel III'!$A$122</f>
        <v xml:space="preserve">7 Unternehmen </v>
      </c>
      <c r="E1286" s="1516" t="str">
        <f>'Input Basel III'!$B$132</f>
        <v>Risikogewicht 50%</v>
      </c>
      <c r="F1286" s="1520" t="str">
        <f>'Input Basel III'!$I$130</f>
        <v xml:space="preserve">Vor Besicherung </v>
      </c>
      <c r="G1286" s="1520"/>
      <c r="H1286" s="1518">
        <f>'Input Basel III'!$I132</f>
        <v>0</v>
      </c>
      <c r="U1286" s="1027"/>
      <c r="V1286" s="1027"/>
      <c r="W1286" s="1027"/>
    </row>
    <row r="1287" spans="2:23" ht="12.75" customHeight="1" x14ac:dyDescent="0.2">
      <c r="B1287" s="1083" t="str">
        <f>'Input Basel III'!$A$1</f>
        <v>15b</v>
      </c>
      <c r="C1287" s="1084" t="str">
        <f>'Input Basel III'!$B$1</f>
        <v>Input Basel III</v>
      </c>
      <c r="D1287" s="1091" t="str">
        <f>'Input Basel III'!$A$122</f>
        <v xml:space="preserve">7 Unternehmen </v>
      </c>
      <c r="E1287" s="1516" t="str">
        <f>'Input Basel III'!$B$133</f>
        <v>Risikogewicht 100% (ohne ungeratete Positionen)</v>
      </c>
      <c r="F1287" s="1520" t="str">
        <f>'Input Basel III'!$I$130</f>
        <v xml:space="preserve">Vor Besicherung </v>
      </c>
      <c r="G1287" s="1520"/>
      <c r="H1287" s="1518">
        <f>'Input Basel III'!$I133</f>
        <v>0</v>
      </c>
      <c r="U1287" s="1027"/>
      <c r="V1287" s="1027"/>
      <c r="W1287" s="1027"/>
    </row>
    <row r="1288" spans="2:23" ht="12.75" customHeight="1" x14ac:dyDescent="0.2">
      <c r="B1288" s="1083" t="str">
        <f>'Input Basel III'!$A$1</f>
        <v>15b</v>
      </c>
      <c r="C1288" s="1084" t="str">
        <f>'Input Basel III'!$B$1</f>
        <v>Input Basel III</v>
      </c>
      <c r="D1288" s="1091" t="str">
        <f>'Input Basel III'!$A$122</f>
        <v xml:space="preserve">7 Unternehmen </v>
      </c>
      <c r="E1288" s="1613" t="str">
        <f>'Input Basel III'!$B$135</f>
        <v>nicht geratet 100%</v>
      </c>
      <c r="F1288" s="1520" t="str">
        <f>'Input Basel III'!$I$130</f>
        <v xml:space="preserve">Vor Besicherung </v>
      </c>
      <c r="G1288" s="1520"/>
      <c r="H1288" s="1518">
        <f>'Input Basel III'!$I135</f>
        <v>0</v>
      </c>
      <c r="U1288" s="1027"/>
      <c r="V1288" s="1027"/>
      <c r="W1288" s="1027"/>
    </row>
    <row r="1289" spans="2:23" ht="12.75" customHeight="1" x14ac:dyDescent="0.2">
      <c r="B1289" s="1083" t="str">
        <f>'Input Basel III'!$A$1</f>
        <v>15b</v>
      </c>
      <c r="C1289" s="1084" t="str">
        <f>'Input Basel III'!$B$1</f>
        <v>Input Basel III</v>
      </c>
      <c r="D1289" s="1091" t="str">
        <f>'Input Basel III'!$A$122</f>
        <v xml:space="preserve">7 Unternehmen </v>
      </c>
      <c r="E1289" s="1608"/>
      <c r="F1289" s="1617" t="str">
        <f>'Input Basel III'!$I$130</f>
        <v xml:space="preserve">Vor Besicherung </v>
      </c>
      <c r="G1289" s="1617" t="s">
        <v>1992</v>
      </c>
      <c r="H1289" s="1518"/>
      <c r="U1289" s="1027"/>
      <c r="V1289" s="1027"/>
      <c r="W1289" s="1027"/>
    </row>
    <row r="1290" spans="2:23" ht="12.75" customHeight="1" x14ac:dyDescent="0.2">
      <c r="B1290" s="1083" t="str">
        <f>'Input Basel III'!$A$1</f>
        <v>15b</v>
      </c>
      <c r="C1290" s="1084" t="str">
        <f>'Input Basel III'!$B$1</f>
        <v>Input Basel III</v>
      </c>
      <c r="D1290" s="1091" t="str">
        <f>'Input Basel III'!$A$122</f>
        <v xml:space="preserve">7 Unternehmen </v>
      </c>
      <c r="E1290" s="1608"/>
      <c r="F1290" s="1617" t="str">
        <f>'Input Basel III'!$I$130</f>
        <v xml:space="preserve">Vor Besicherung </v>
      </c>
      <c r="G1290" s="1617" t="s">
        <v>1992</v>
      </c>
      <c r="H1290" s="1518"/>
      <c r="U1290" s="1027"/>
      <c r="V1290" s="1027"/>
      <c r="W1290" s="1027"/>
    </row>
    <row r="1291" spans="2:23" ht="12.75" customHeight="1" x14ac:dyDescent="0.2">
      <c r="B1291" s="1083" t="str">
        <f>'Input Basel III'!$A$1</f>
        <v>15b</v>
      </c>
      <c r="C1291" s="1084" t="str">
        <f>'Input Basel III'!$B$1</f>
        <v>Input Basel III</v>
      </c>
      <c r="D1291" s="1091" t="str">
        <f>'Input Basel III'!$A$122</f>
        <v xml:space="preserve">7 Unternehmen </v>
      </c>
      <c r="E1291" s="1110">
        <f>'Input Basel III'!$B$136</f>
        <v>0</v>
      </c>
      <c r="F1291" s="1520" t="str">
        <f>'Input Basel III'!$I$130</f>
        <v xml:space="preserve">Vor Besicherung </v>
      </c>
      <c r="G1291" s="1520"/>
      <c r="H1291" s="1112">
        <f>'Input Basel III'!$I136</f>
        <v>0</v>
      </c>
      <c r="U1291" s="1027"/>
      <c r="V1291" s="1027"/>
      <c r="W1291" s="1027"/>
    </row>
    <row r="1292" spans="2:23" ht="12.75" customHeight="1" x14ac:dyDescent="0.2">
      <c r="B1292" s="1083" t="str">
        <f>'Input Basel III'!$A$1</f>
        <v>15b</v>
      </c>
      <c r="C1292" s="1084" t="str">
        <f>'Input Basel III'!$B$1</f>
        <v>Input Basel III</v>
      </c>
      <c r="D1292" s="1091" t="str">
        <f>'Input Basel III'!$A$122</f>
        <v xml:space="preserve">7 Unternehmen </v>
      </c>
      <c r="E1292" s="1516" t="str">
        <f>'Input Basel III'!$B$131</f>
        <v>Risikogewicht 20%</v>
      </c>
      <c r="F1292" s="1520" t="str">
        <f>'Input Basel III'!$J$130</f>
        <v>Nach Besicherung</v>
      </c>
      <c r="G1292" s="1520"/>
      <c r="H1292" s="1518">
        <f>'Input Basel III'!$J131</f>
        <v>0</v>
      </c>
      <c r="U1292" s="1027"/>
      <c r="V1292" s="1027"/>
      <c r="W1292" s="1027"/>
    </row>
    <row r="1293" spans="2:23" ht="12.75" customHeight="1" x14ac:dyDescent="0.2">
      <c r="B1293" s="1083" t="str">
        <f>'Input Basel III'!$A$1</f>
        <v>15b</v>
      </c>
      <c r="C1293" s="1084" t="str">
        <f>'Input Basel III'!$B$1</f>
        <v>Input Basel III</v>
      </c>
      <c r="D1293" s="1091" t="str">
        <f>'Input Basel III'!$A$122</f>
        <v xml:space="preserve">7 Unternehmen </v>
      </c>
      <c r="E1293" s="1516" t="str">
        <f>'Input Basel III'!$B$132</f>
        <v>Risikogewicht 50%</v>
      </c>
      <c r="F1293" s="1520" t="str">
        <f>'Input Basel III'!$J$130</f>
        <v>Nach Besicherung</v>
      </c>
      <c r="G1293" s="1520"/>
      <c r="H1293" s="1518">
        <f>'Input Basel III'!$J132</f>
        <v>0</v>
      </c>
      <c r="U1293" s="1027"/>
      <c r="V1293" s="1027"/>
      <c r="W1293" s="1027"/>
    </row>
    <row r="1294" spans="2:23" ht="12.75" customHeight="1" x14ac:dyDescent="0.2">
      <c r="B1294" s="1083" t="str">
        <f>'Input Basel III'!$A$1</f>
        <v>15b</v>
      </c>
      <c r="C1294" s="1084" t="str">
        <f>'Input Basel III'!$B$1</f>
        <v>Input Basel III</v>
      </c>
      <c r="D1294" s="1091" t="str">
        <f>'Input Basel III'!$A$122</f>
        <v xml:space="preserve">7 Unternehmen </v>
      </c>
      <c r="E1294" s="1516" t="str">
        <f>'Input Basel III'!$B$133</f>
        <v>Risikogewicht 100% (ohne ungeratete Positionen)</v>
      </c>
      <c r="F1294" s="1520" t="str">
        <f>'Input Basel III'!$J$130</f>
        <v>Nach Besicherung</v>
      </c>
      <c r="G1294" s="1520"/>
      <c r="H1294" s="1518">
        <f>'Input Basel III'!$J133</f>
        <v>0</v>
      </c>
      <c r="U1294" s="1027"/>
      <c r="V1294" s="1027"/>
      <c r="W1294" s="1027"/>
    </row>
    <row r="1295" spans="2:23" ht="12.75" customHeight="1" x14ac:dyDescent="0.2">
      <c r="B1295" s="1083" t="str">
        <f>'Input Basel III'!$A$1</f>
        <v>15b</v>
      </c>
      <c r="C1295" s="1084" t="str">
        <f>'Input Basel III'!$B$1</f>
        <v>Input Basel III</v>
      </c>
      <c r="D1295" s="1091" t="str">
        <f>'Input Basel III'!$A$122</f>
        <v xml:space="preserve">7 Unternehmen </v>
      </c>
      <c r="E1295" s="1613" t="str">
        <f>'Input Basel III'!$B$135</f>
        <v>nicht geratet 100%</v>
      </c>
      <c r="F1295" s="1520" t="str">
        <f>'Input Basel III'!$J$130</f>
        <v>Nach Besicherung</v>
      </c>
      <c r="G1295" s="1520"/>
      <c r="H1295" s="1518">
        <f>'Input Basel III'!$J135</f>
        <v>0</v>
      </c>
      <c r="U1295" s="1027"/>
      <c r="V1295" s="1027"/>
      <c r="W1295" s="1027"/>
    </row>
    <row r="1296" spans="2:23" ht="12.75" customHeight="1" x14ac:dyDescent="0.2">
      <c r="B1296" s="1083" t="str">
        <f>'Input Basel III'!$A$1</f>
        <v>15b</v>
      </c>
      <c r="C1296" s="1084" t="str">
        <f>'Input Basel III'!$B$1</f>
        <v>Input Basel III</v>
      </c>
      <c r="D1296" s="1091" t="str">
        <f>'Input Basel III'!$A$122</f>
        <v xml:space="preserve">7 Unternehmen </v>
      </c>
      <c r="E1296" s="1608"/>
      <c r="F1296" s="1617" t="str">
        <f>'Input Basel III'!$J$130</f>
        <v>Nach Besicherung</v>
      </c>
      <c r="G1296" s="1617" t="s">
        <v>1992</v>
      </c>
      <c r="H1296" s="1518"/>
      <c r="U1296" s="1027"/>
      <c r="V1296" s="1027"/>
      <c r="W1296" s="1027"/>
    </row>
    <row r="1297" spans="2:23" ht="12.75" customHeight="1" x14ac:dyDescent="0.2">
      <c r="B1297" s="1083" t="str">
        <f>'Input Basel III'!$A$1</f>
        <v>15b</v>
      </c>
      <c r="C1297" s="1084" t="str">
        <f>'Input Basel III'!$B$1</f>
        <v>Input Basel III</v>
      </c>
      <c r="D1297" s="1091" t="str">
        <f>'Input Basel III'!$A$122</f>
        <v xml:space="preserve">7 Unternehmen </v>
      </c>
      <c r="E1297" s="1608"/>
      <c r="F1297" s="1617" t="str">
        <f>'Input Basel III'!$J$130</f>
        <v>Nach Besicherung</v>
      </c>
      <c r="G1297" s="1617" t="s">
        <v>1992</v>
      </c>
      <c r="H1297" s="1518"/>
      <c r="U1297" s="1027"/>
      <c r="V1297" s="1027"/>
      <c r="W1297" s="1027"/>
    </row>
    <row r="1298" spans="2:23" ht="12.75" customHeight="1" x14ac:dyDescent="0.2">
      <c r="B1298" s="1083" t="str">
        <f>'Input Basel III'!$A$1</f>
        <v>15b</v>
      </c>
      <c r="C1298" s="1084" t="str">
        <f>'Input Basel III'!$B$1</f>
        <v>Input Basel III</v>
      </c>
      <c r="D1298" s="1091" t="str">
        <f>'Input Basel III'!$A$122</f>
        <v xml:space="preserve">7 Unternehmen </v>
      </c>
      <c r="E1298" s="1110">
        <f>'Input Basel III'!$B$136</f>
        <v>0</v>
      </c>
      <c r="F1298" s="1520" t="str">
        <f>'Input Basel III'!$J$130</f>
        <v>Nach Besicherung</v>
      </c>
      <c r="G1298" s="1520"/>
      <c r="H1298" s="1112">
        <f>'Input Basel III'!$J136</f>
        <v>0</v>
      </c>
      <c r="U1298" s="1027"/>
      <c r="V1298" s="1027"/>
      <c r="W1298" s="1027"/>
    </row>
    <row r="1299" spans="2:23" ht="12.75" customHeight="1" x14ac:dyDescent="0.2">
      <c r="B1299" s="1083" t="str">
        <f>'Input Basel III'!$A$1</f>
        <v>15b</v>
      </c>
      <c r="C1299" s="1084" t="str">
        <f>'Input Basel III'!$B$1</f>
        <v>Input Basel III</v>
      </c>
      <c r="D1299" s="1091" t="str">
        <f>'Input Basel III'!$A$122</f>
        <v xml:space="preserve">7 Unternehmen </v>
      </c>
      <c r="E1299" s="1516" t="str">
        <f>'Input Basel III'!$B$131</f>
        <v>Risikogewicht 20%</v>
      </c>
      <c r="F1299" s="1520" t="str">
        <f>'Input Basel III'!$L$130</f>
        <v>Vor Garantien und Kreditderivate</v>
      </c>
      <c r="G1299" s="1520"/>
      <c r="H1299" s="1518">
        <f>'Input Basel III'!$L131</f>
        <v>0</v>
      </c>
      <c r="U1299" s="1027"/>
      <c r="V1299" s="1027"/>
      <c r="W1299" s="1027"/>
    </row>
    <row r="1300" spans="2:23" ht="12.75" customHeight="1" x14ac:dyDescent="0.2">
      <c r="B1300" s="1083" t="str">
        <f>'Input Basel III'!$A$1</f>
        <v>15b</v>
      </c>
      <c r="C1300" s="1084" t="str">
        <f>'Input Basel III'!$B$1</f>
        <v>Input Basel III</v>
      </c>
      <c r="D1300" s="1091" t="str">
        <f>'Input Basel III'!$A$122</f>
        <v xml:space="preserve">7 Unternehmen </v>
      </c>
      <c r="E1300" s="1516" t="str">
        <f>'Input Basel III'!$B$132</f>
        <v>Risikogewicht 50%</v>
      </c>
      <c r="F1300" s="1520" t="str">
        <f>'Input Basel III'!$L$130</f>
        <v>Vor Garantien und Kreditderivate</v>
      </c>
      <c r="G1300" s="1520"/>
      <c r="H1300" s="1518">
        <f>'Input Basel III'!$L132</f>
        <v>0</v>
      </c>
      <c r="U1300" s="1027"/>
      <c r="V1300" s="1027"/>
      <c r="W1300" s="1027"/>
    </row>
    <row r="1301" spans="2:23" ht="12.75" customHeight="1" x14ac:dyDescent="0.2">
      <c r="B1301" s="1083" t="str">
        <f>'Input Basel III'!$A$1</f>
        <v>15b</v>
      </c>
      <c r="C1301" s="1084" t="str">
        <f>'Input Basel III'!$B$1</f>
        <v>Input Basel III</v>
      </c>
      <c r="D1301" s="1091" t="str">
        <f>'Input Basel III'!$A$122</f>
        <v xml:space="preserve">7 Unternehmen </v>
      </c>
      <c r="E1301" s="1516" t="str">
        <f>'Input Basel III'!$B$133</f>
        <v>Risikogewicht 100% (ohne ungeratete Positionen)</v>
      </c>
      <c r="F1301" s="1520" t="str">
        <f>'Input Basel III'!$L$130</f>
        <v>Vor Garantien und Kreditderivate</v>
      </c>
      <c r="G1301" s="1520"/>
      <c r="H1301" s="1518">
        <f>'Input Basel III'!$L133</f>
        <v>0</v>
      </c>
      <c r="U1301" s="1027"/>
      <c r="V1301" s="1027"/>
      <c r="W1301" s="1027"/>
    </row>
    <row r="1302" spans="2:23" ht="12.75" customHeight="1" x14ac:dyDescent="0.2">
      <c r="B1302" s="1083" t="str">
        <f>'Input Basel III'!$A$1</f>
        <v>15b</v>
      </c>
      <c r="C1302" s="1084" t="str">
        <f>'Input Basel III'!$B$1</f>
        <v>Input Basel III</v>
      </c>
      <c r="D1302" s="1091" t="str">
        <f>'Input Basel III'!$A$122</f>
        <v xml:space="preserve">7 Unternehmen </v>
      </c>
      <c r="E1302" s="1613" t="str">
        <f>'Input Basel III'!$B$135</f>
        <v>nicht geratet 100%</v>
      </c>
      <c r="F1302" s="1520" t="str">
        <f>'Input Basel III'!$L$130</f>
        <v>Vor Garantien und Kreditderivate</v>
      </c>
      <c r="G1302" s="1520"/>
      <c r="H1302" s="1518">
        <f>'Input Basel III'!$L135</f>
        <v>0</v>
      </c>
      <c r="U1302" s="1027"/>
      <c r="V1302" s="1027"/>
      <c r="W1302" s="1027"/>
    </row>
    <row r="1303" spans="2:23" ht="12.75" customHeight="1" x14ac:dyDescent="0.2">
      <c r="B1303" s="1083" t="str">
        <f>'Input Basel III'!$A$1</f>
        <v>15b</v>
      </c>
      <c r="C1303" s="1084" t="str">
        <f>'Input Basel III'!$B$1</f>
        <v>Input Basel III</v>
      </c>
      <c r="D1303" s="1091" t="str">
        <f>'Input Basel III'!$A$122</f>
        <v xml:space="preserve">7 Unternehmen </v>
      </c>
      <c r="E1303" s="1608"/>
      <c r="F1303" s="1617" t="str">
        <f>'Input Basel III'!$L$130</f>
        <v>Vor Garantien und Kreditderivate</v>
      </c>
      <c r="G1303" s="1617" t="s">
        <v>1992</v>
      </c>
      <c r="H1303" s="1518"/>
      <c r="U1303" s="1027"/>
      <c r="V1303" s="1027"/>
      <c r="W1303" s="1027"/>
    </row>
    <row r="1304" spans="2:23" ht="12.75" customHeight="1" x14ac:dyDescent="0.2">
      <c r="B1304" s="1083" t="str">
        <f>'Input Basel III'!$A$1</f>
        <v>15b</v>
      </c>
      <c r="C1304" s="1084" t="str">
        <f>'Input Basel III'!$B$1</f>
        <v>Input Basel III</v>
      </c>
      <c r="D1304" s="1091" t="str">
        <f>'Input Basel III'!$A$122</f>
        <v xml:space="preserve">7 Unternehmen </v>
      </c>
      <c r="E1304" s="1608"/>
      <c r="F1304" s="1617" t="str">
        <f>'Input Basel III'!$L$130</f>
        <v>Vor Garantien und Kreditderivate</v>
      </c>
      <c r="G1304" s="1617" t="s">
        <v>1992</v>
      </c>
      <c r="H1304" s="1518"/>
      <c r="U1304" s="1027"/>
      <c r="V1304" s="1027"/>
      <c r="W1304" s="1027"/>
    </row>
    <row r="1305" spans="2:23" ht="12.75" customHeight="1" x14ac:dyDescent="0.2">
      <c r="B1305" s="1083" t="str">
        <f>'Input Basel III'!$A$1</f>
        <v>15b</v>
      </c>
      <c r="C1305" s="1084" t="str">
        <f>'Input Basel III'!$B$1</f>
        <v>Input Basel III</v>
      </c>
      <c r="D1305" s="1091" t="str">
        <f>'Input Basel III'!$A$122</f>
        <v xml:space="preserve">7 Unternehmen </v>
      </c>
      <c r="E1305" s="1110">
        <f>'Input Basel III'!$B$136</f>
        <v>0</v>
      </c>
      <c r="F1305" s="1520" t="str">
        <f>'Input Basel III'!$L$130</f>
        <v>Vor Garantien und Kreditderivate</v>
      </c>
      <c r="G1305" s="1520"/>
      <c r="H1305" s="1518">
        <f>'Input Basel III'!$L136</f>
        <v>0</v>
      </c>
      <c r="U1305" s="1027"/>
      <c r="V1305" s="1027"/>
      <c r="W1305" s="1027"/>
    </row>
    <row r="1306" spans="2:23" ht="12.75" customHeight="1" x14ac:dyDescent="0.2">
      <c r="B1306" s="1083" t="str">
        <f>'Input Basel III'!$A$1</f>
        <v>15b</v>
      </c>
      <c r="C1306" s="1084" t="str">
        <f>'Input Basel III'!$B$1</f>
        <v>Input Basel III</v>
      </c>
      <c r="D1306" s="1091" t="str">
        <f>'Input Basel III'!$A$122</f>
        <v xml:space="preserve">7 Unternehmen </v>
      </c>
      <c r="E1306" s="1516" t="str">
        <f>'Input Basel III'!$B$131</f>
        <v>Risikogewicht 20%</v>
      </c>
      <c r="F1306" s="1520" t="str">
        <f>'Input Basel III'!$M$130</f>
        <v>Nach Garantien und Kred.-.Der.</v>
      </c>
      <c r="G1306" s="1520"/>
      <c r="H1306" s="1518">
        <f>'Input Basel III'!$M131</f>
        <v>0</v>
      </c>
      <c r="U1306" s="1027"/>
      <c r="V1306" s="1027"/>
      <c r="W1306" s="1027"/>
    </row>
    <row r="1307" spans="2:23" ht="12.75" customHeight="1" x14ac:dyDescent="0.2">
      <c r="B1307" s="1083" t="str">
        <f>'Input Basel III'!$A$1</f>
        <v>15b</v>
      </c>
      <c r="C1307" s="1084" t="str">
        <f>'Input Basel III'!$B$1</f>
        <v>Input Basel III</v>
      </c>
      <c r="D1307" s="1091" t="str">
        <f>'Input Basel III'!$A$122</f>
        <v xml:space="preserve">7 Unternehmen </v>
      </c>
      <c r="E1307" s="1516" t="str">
        <f>'Input Basel III'!$B$132</f>
        <v>Risikogewicht 50%</v>
      </c>
      <c r="F1307" s="1520" t="str">
        <f>'Input Basel III'!$M$130</f>
        <v>Nach Garantien und Kred.-.Der.</v>
      </c>
      <c r="G1307" s="1520"/>
      <c r="H1307" s="1518">
        <f>'Input Basel III'!$M132</f>
        <v>0</v>
      </c>
      <c r="U1307" s="1027"/>
      <c r="V1307" s="1027"/>
      <c r="W1307" s="1027"/>
    </row>
    <row r="1308" spans="2:23" ht="12.75" customHeight="1" x14ac:dyDescent="0.2">
      <c r="B1308" s="1083" t="str">
        <f>'Input Basel III'!$A$1</f>
        <v>15b</v>
      </c>
      <c r="C1308" s="1084" t="str">
        <f>'Input Basel III'!$B$1</f>
        <v>Input Basel III</v>
      </c>
      <c r="D1308" s="1091" t="str">
        <f>'Input Basel III'!$A$122</f>
        <v xml:space="preserve">7 Unternehmen </v>
      </c>
      <c r="E1308" s="1516" t="str">
        <f>'Input Basel III'!$B$133</f>
        <v>Risikogewicht 100% (ohne ungeratete Positionen)</v>
      </c>
      <c r="F1308" s="1520" t="str">
        <f>'Input Basel III'!$M$130</f>
        <v>Nach Garantien und Kred.-.Der.</v>
      </c>
      <c r="G1308" s="1520"/>
      <c r="H1308" s="1518">
        <f>'Input Basel III'!$M133</f>
        <v>0</v>
      </c>
      <c r="U1308" s="1027"/>
      <c r="V1308" s="1027"/>
      <c r="W1308" s="1027"/>
    </row>
    <row r="1309" spans="2:23" ht="12.75" customHeight="1" x14ac:dyDescent="0.2">
      <c r="B1309" s="1083" t="str">
        <f>'Input Basel III'!$A$1</f>
        <v>15b</v>
      </c>
      <c r="C1309" s="1084" t="str">
        <f>'Input Basel III'!$B$1</f>
        <v>Input Basel III</v>
      </c>
      <c r="D1309" s="1091" t="str">
        <f>'Input Basel III'!$A$122</f>
        <v xml:space="preserve">7 Unternehmen </v>
      </c>
      <c r="E1309" s="1613" t="str">
        <f>'Input Basel III'!$B$135</f>
        <v>nicht geratet 100%</v>
      </c>
      <c r="F1309" s="1520" t="str">
        <f>'Input Basel III'!$M$130</f>
        <v>Nach Garantien und Kred.-.Der.</v>
      </c>
      <c r="G1309" s="1520"/>
      <c r="H1309" s="1518">
        <f>'Input Basel III'!$M135</f>
        <v>0</v>
      </c>
      <c r="U1309" s="1027"/>
      <c r="V1309" s="1027"/>
      <c r="W1309" s="1027"/>
    </row>
    <row r="1310" spans="2:23" ht="12.75" customHeight="1" x14ac:dyDescent="0.2">
      <c r="B1310" s="1083" t="str">
        <f>'Input Basel III'!$A$1</f>
        <v>15b</v>
      </c>
      <c r="C1310" s="1084" t="str">
        <f>'Input Basel III'!$B$1</f>
        <v>Input Basel III</v>
      </c>
      <c r="D1310" s="1091" t="str">
        <f>'Input Basel III'!$A$122</f>
        <v xml:space="preserve">7 Unternehmen </v>
      </c>
      <c r="E1310" s="1608"/>
      <c r="F1310" s="1617" t="str">
        <f>'Input Basel III'!$M$130</f>
        <v>Nach Garantien und Kred.-.Der.</v>
      </c>
      <c r="G1310" s="1617" t="s">
        <v>1992</v>
      </c>
      <c r="H1310" s="1518"/>
      <c r="U1310" s="1027"/>
      <c r="V1310" s="1027"/>
      <c r="W1310" s="1027"/>
    </row>
    <row r="1311" spans="2:23" ht="12.75" customHeight="1" x14ac:dyDescent="0.2">
      <c r="B1311" s="1083" t="str">
        <f>'Input Basel III'!$A$1</f>
        <v>15b</v>
      </c>
      <c r="C1311" s="1084" t="str">
        <f>'Input Basel III'!$B$1</f>
        <v>Input Basel III</v>
      </c>
      <c r="D1311" s="1091" t="str">
        <f>'Input Basel III'!$A$122</f>
        <v xml:space="preserve">7 Unternehmen </v>
      </c>
      <c r="E1311" s="1608"/>
      <c r="F1311" s="1617" t="str">
        <f>'Input Basel III'!$M$130</f>
        <v>Nach Garantien und Kred.-.Der.</v>
      </c>
      <c r="G1311" s="1617" t="s">
        <v>1992</v>
      </c>
      <c r="H1311" s="1518"/>
      <c r="U1311" s="1027"/>
      <c r="V1311" s="1027"/>
      <c r="W1311" s="1027"/>
    </row>
    <row r="1312" spans="2:23" ht="12.75" customHeight="1" x14ac:dyDescent="0.2">
      <c r="B1312" s="1083" t="str">
        <f>'Input Basel III'!$A$1</f>
        <v>15b</v>
      </c>
      <c r="C1312" s="1084" t="str">
        <f>'Input Basel III'!$B$1</f>
        <v>Input Basel III</v>
      </c>
      <c r="D1312" s="1091" t="str">
        <f>'Input Basel III'!$A$122</f>
        <v xml:space="preserve">7 Unternehmen </v>
      </c>
      <c r="E1312" s="1110">
        <f>'Input Basel III'!$B$136</f>
        <v>0</v>
      </c>
      <c r="F1312" s="1520" t="str">
        <f>'Input Basel III'!$M$130</f>
        <v>Nach Garantien und Kred.-.Der.</v>
      </c>
      <c r="G1312" s="1520"/>
      <c r="H1312" s="1112">
        <f>'Input Basel III'!$M136</f>
        <v>0</v>
      </c>
      <c r="U1312" s="1027"/>
      <c r="V1312" s="1027"/>
      <c r="W1312" s="1027"/>
    </row>
    <row r="1313" spans="2:23" ht="12.75" customHeight="1" x14ac:dyDescent="0.2">
      <c r="B1313" s="1083" t="str">
        <f>'Input Basel III'!$A$1</f>
        <v>15b</v>
      </c>
      <c r="C1313" s="1084" t="str">
        <f>'Input Basel III'!$B$1</f>
        <v>Input Basel III</v>
      </c>
      <c r="D1313" s="1091" t="str">
        <f>'Input Basel III'!$A$144</f>
        <v xml:space="preserve">8 Verbriefungen </v>
      </c>
      <c r="E1313" s="1516" t="str">
        <f>'Input Basel III'!$B$149</f>
        <v>Risikogewicht 20%</v>
      </c>
      <c r="F1313" s="1494" t="str">
        <f>'Input Basel III'!$C$31</f>
        <v>Risikogewicht</v>
      </c>
      <c r="G1313" s="1494"/>
      <c r="H1313" s="1519">
        <f>'Input Basel III'!$C149</f>
        <v>0.2</v>
      </c>
      <c r="U1313" s="1027"/>
      <c r="V1313" s="1027"/>
      <c r="W1313" s="1027"/>
    </row>
    <row r="1314" spans="2:23" ht="12.75" customHeight="1" x14ac:dyDescent="0.2">
      <c r="B1314" s="1083" t="str">
        <f>'Input Basel III'!$A$1</f>
        <v>15b</v>
      </c>
      <c r="C1314" s="1084" t="str">
        <f>'Input Basel III'!$B$1</f>
        <v>Input Basel III</v>
      </c>
      <c r="D1314" s="1091" t="str">
        <f>'Input Basel III'!$A$144</f>
        <v xml:space="preserve">8 Verbriefungen </v>
      </c>
      <c r="E1314" s="1516" t="str">
        <f>'Input Basel III'!$B$151</f>
        <v>Risikogewicht 50%</v>
      </c>
      <c r="F1314" s="1494" t="str">
        <f>'Input Basel III'!$C$31</f>
        <v>Risikogewicht</v>
      </c>
      <c r="G1314" s="1494"/>
      <c r="H1314" s="1519">
        <f>'Input Basel III'!$C151</f>
        <v>0.5</v>
      </c>
      <c r="U1314" s="1027"/>
      <c r="V1314" s="1027"/>
      <c r="W1314" s="1027"/>
    </row>
    <row r="1315" spans="2:23" ht="12.75" customHeight="1" x14ac:dyDescent="0.2">
      <c r="B1315" s="1083" t="str">
        <f>'Input Basel III'!$A$1</f>
        <v>15b</v>
      </c>
      <c r="C1315" s="1084" t="str">
        <f>'Input Basel III'!$B$1</f>
        <v>Input Basel III</v>
      </c>
      <c r="D1315" s="1091" t="str">
        <f>'Input Basel III'!$A$144</f>
        <v xml:space="preserve">8 Verbriefungen </v>
      </c>
      <c r="E1315" s="1516" t="str">
        <f>'Input Basel III'!$B$152</f>
        <v>Risikogewicht 100%</v>
      </c>
      <c r="F1315" s="1494" t="str">
        <f>'Input Basel III'!$C$31</f>
        <v>Risikogewicht</v>
      </c>
      <c r="G1315" s="1494"/>
      <c r="H1315" s="1519">
        <f>'Input Basel III'!$C152</f>
        <v>1</v>
      </c>
      <c r="U1315" s="1027"/>
      <c r="V1315" s="1027"/>
      <c r="W1315" s="1027"/>
    </row>
    <row r="1316" spans="2:23" ht="12.75" customHeight="1" x14ac:dyDescent="0.2">
      <c r="B1316" s="1083" t="str">
        <f>'Input Basel III'!$A$1</f>
        <v>15b</v>
      </c>
      <c r="C1316" s="1084" t="str">
        <f>'Input Basel III'!$B$1</f>
        <v>Input Basel III</v>
      </c>
      <c r="D1316" s="1091" t="str">
        <f>'Input Basel III'!$A$144</f>
        <v xml:space="preserve">8 Verbriefungen </v>
      </c>
      <c r="E1316" s="1516" t="str">
        <f>'Input Basel III'!$B$154</f>
        <v>Risikogewicht 350%</v>
      </c>
      <c r="F1316" s="1494" t="str">
        <f>'Input Basel III'!$C$31</f>
        <v>Risikogewicht</v>
      </c>
      <c r="G1316" s="1494"/>
      <c r="H1316" s="1519">
        <f>'Input Basel III'!$C154</f>
        <v>3.5</v>
      </c>
      <c r="U1316" s="1027"/>
      <c r="V1316" s="1027"/>
      <c r="W1316" s="1027"/>
    </row>
    <row r="1317" spans="2:23" ht="12.75" customHeight="1" x14ac:dyDescent="0.2">
      <c r="B1317" s="1083" t="str">
        <f>'Input Basel III'!$A$1</f>
        <v>15b</v>
      </c>
      <c r="C1317" s="1084" t="str">
        <f>'Input Basel III'!$B$1</f>
        <v>Input Basel III</v>
      </c>
      <c r="D1317" s="1091" t="str">
        <f>'Input Basel III'!$A$144</f>
        <v xml:space="preserve">8 Verbriefungen </v>
      </c>
      <c r="E1317" s="1516" t="str">
        <f>'Input Basel III'!$B$156</f>
        <v>Risikogewicht 1250% (ohne ungeratete Positionen)</v>
      </c>
      <c r="F1317" s="1494" t="str">
        <f>'Input Basel III'!$C$31</f>
        <v>Risikogewicht</v>
      </c>
      <c r="G1317" s="1494"/>
      <c r="H1317" s="1519">
        <f>'Input Basel III'!$C156</f>
        <v>12.5</v>
      </c>
      <c r="U1317" s="1027"/>
      <c r="V1317" s="1027"/>
      <c r="W1317" s="1027"/>
    </row>
    <row r="1318" spans="2:23" ht="12.75" customHeight="1" x14ac:dyDescent="0.2">
      <c r="B1318" s="1083" t="str">
        <f>'Input Basel III'!$A$1</f>
        <v>15b</v>
      </c>
      <c r="C1318" s="1084" t="str">
        <f>'Input Basel III'!$B$1</f>
        <v>Input Basel III</v>
      </c>
      <c r="D1318" s="1091" t="str">
        <f>'Input Basel III'!$A$144</f>
        <v xml:space="preserve">8 Verbriefungen </v>
      </c>
      <c r="E1318" s="1516" t="str">
        <f>'Input Basel III'!$B$157</f>
        <v>nicht geratet 1250%</v>
      </c>
      <c r="F1318" s="1494" t="str">
        <f>'Input Basel III'!$C$31</f>
        <v>Risikogewicht</v>
      </c>
      <c r="G1318" s="1494"/>
      <c r="H1318" s="1519">
        <f>'Input Basel III'!$C157</f>
        <v>12.5</v>
      </c>
      <c r="U1318" s="1027"/>
      <c r="V1318" s="1027"/>
      <c r="W1318" s="1027"/>
    </row>
    <row r="1319" spans="2:23" ht="12.75" customHeight="1" x14ac:dyDescent="0.2">
      <c r="B1319" s="1083" t="str">
        <f>'Input Basel III'!$A$1</f>
        <v>15b</v>
      </c>
      <c r="C1319" s="1084" t="str">
        <f>'Input Basel III'!$B$1</f>
        <v>Input Basel III</v>
      </c>
      <c r="D1319" s="1091" t="str">
        <f>'Input Basel III'!$A$144</f>
        <v xml:space="preserve">8 Verbriefungen </v>
      </c>
      <c r="E1319" s="1110">
        <f>'Input Basel III'!$B$158</f>
        <v>0</v>
      </c>
      <c r="F1319" s="1494" t="str">
        <f>'Input Basel III'!$C$31</f>
        <v>Risikogewicht</v>
      </c>
      <c r="G1319" s="1494"/>
      <c r="H1319" s="1111">
        <f>'Input Basel III'!$C158</f>
        <v>0</v>
      </c>
      <c r="U1319" s="1027"/>
      <c r="V1319" s="1027"/>
      <c r="W1319" s="1027"/>
    </row>
    <row r="1320" spans="2:23" ht="12.75" customHeight="1" x14ac:dyDescent="0.2">
      <c r="B1320" s="1083" t="str">
        <f>'Input Basel III'!$A$1</f>
        <v>15b</v>
      </c>
      <c r="C1320" s="1084" t="str">
        <f>'Input Basel III'!$B$1</f>
        <v>Input Basel III</v>
      </c>
      <c r="D1320" s="1091" t="str">
        <f>'Input Basel III'!$A$144</f>
        <v xml:space="preserve">8 Verbriefungen </v>
      </c>
      <c r="E1320" s="1516" t="str">
        <f>'Input Basel III'!$B$149</f>
        <v>Risikogewicht 20%</v>
      </c>
      <c r="F1320" s="1520" t="str">
        <f>'Input Basel III'!$G$147</f>
        <v>Positionen ohne Kreditrisikominderung (CRM)</v>
      </c>
      <c r="G1320" s="1520"/>
      <c r="H1320" s="1518">
        <f>'Input Basel III'!$G149</f>
        <v>0</v>
      </c>
      <c r="U1320" s="1027"/>
      <c r="V1320" s="1027"/>
      <c r="W1320" s="1027"/>
    </row>
    <row r="1321" spans="2:23" ht="12.75" customHeight="1" x14ac:dyDescent="0.2">
      <c r="B1321" s="1083" t="str">
        <f>'Input Basel III'!$A$1</f>
        <v>15b</v>
      </c>
      <c r="C1321" s="1084" t="str">
        <f>'Input Basel III'!$B$1</f>
        <v>Input Basel III</v>
      </c>
      <c r="D1321" s="1091" t="str">
        <f>'Input Basel III'!$A$144</f>
        <v xml:space="preserve">8 Verbriefungen </v>
      </c>
      <c r="E1321" s="1516" t="str">
        <f>'Input Basel III'!$B$151</f>
        <v>Risikogewicht 50%</v>
      </c>
      <c r="F1321" s="1520" t="str">
        <f>'Input Basel III'!$G$147</f>
        <v>Positionen ohne Kreditrisikominderung (CRM)</v>
      </c>
      <c r="G1321" s="1520"/>
      <c r="H1321" s="1518">
        <f>'Input Basel III'!$G151</f>
        <v>0</v>
      </c>
      <c r="U1321" s="1027"/>
      <c r="V1321" s="1027"/>
      <c r="W1321" s="1027"/>
    </row>
    <row r="1322" spans="2:23" ht="12.75" customHeight="1" x14ac:dyDescent="0.2">
      <c r="B1322" s="1083" t="str">
        <f>'Input Basel III'!$A$1</f>
        <v>15b</v>
      </c>
      <c r="C1322" s="1084" t="str">
        <f>'Input Basel III'!$B$1</f>
        <v>Input Basel III</v>
      </c>
      <c r="D1322" s="1091" t="str">
        <f>'Input Basel III'!$A$144</f>
        <v xml:space="preserve">8 Verbriefungen </v>
      </c>
      <c r="E1322" s="1516" t="str">
        <f>'Input Basel III'!$B$152</f>
        <v>Risikogewicht 100%</v>
      </c>
      <c r="F1322" s="1520" t="str">
        <f>'Input Basel III'!$G$147</f>
        <v>Positionen ohne Kreditrisikominderung (CRM)</v>
      </c>
      <c r="G1322" s="1520"/>
      <c r="H1322" s="1518">
        <f>'Input Basel III'!$G152</f>
        <v>0</v>
      </c>
      <c r="U1322" s="1027"/>
      <c r="V1322" s="1027"/>
      <c r="W1322" s="1027"/>
    </row>
    <row r="1323" spans="2:23" ht="12.75" customHeight="1" x14ac:dyDescent="0.2">
      <c r="B1323" s="1083" t="str">
        <f>'Input Basel III'!$A$1</f>
        <v>15b</v>
      </c>
      <c r="C1323" s="1084" t="str">
        <f>'Input Basel III'!$B$1</f>
        <v>Input Basel III</v>
      </c>
      <c r="D1323" s="1091" t="str">
        <f>'Input Basel III'!$A$144</f>
        <v xml:space="preserve">8 Verbriefungen </v>
      </c>
      <c r="E1323" s="1516" t="str">
        <f>'Input Basel III'!$B$154</f>
        <v>Risikogewicht 350%</v>
      </c>
      <c r="F1323" s="1520" t="str">
        <f>'Input Basel III'!$G$147</f>
        <v>Positionen ohne Kreditrisikominderung (CRM)</v>
      </c>
      <c r="G1323" s="1520"/>
      <c r="H1323" s="1518">
        <f>'Input Basel III'!$G154</f>
        <v>0</v>
      </c>
      <c r="U1323" s="1027"/>
      <c r="V1323" s="1027"/>
      <c r="W1323" s="1027"/>
    </row>
    <row r="1324" spans="2:23" ht="12.75" customHeight="1" x14ac:dyDescent="0.2">
      <c r="B1324" s="1083" t="str">
        <f>'Input Basel III'!$A$1</f>
        <v>15b</v>
      </c>
      <c r="C1324" s="1084" t="str">
        <f>'Input Basel III'!$B$1</f>
        <v>Input Basel III</v>
      </c>
      <c r="D1324" s="1091" t="str">
        <f>'Input Basel III'!$A$144</f>
        <v xml:space="preserve">8 Verbriefungen </v>
      </c>
      <c r="E1324" s="1516" t="str">
        <f>'Input Basel III'!$B$156</f>
        <v>Risikogewicht 1250% (ohne ungeratete Positionen)</v>
      </c>
      <c r="F1324" s="1520" t="str">
        <f>'Input Basel III'!$G$147</f>
        <v>Positionen ohne Kreditrisikominderung (CRM)</v>
      </c>
      <c r="G1324" s="1520"/>
      <c r="H1324" s="1518">
        <f>'Input Basel III'!$G156</f>
        <v>0</v>
      </c>
      <c r="U1324" s="1027"/>
      <c r="V1324" s="1027"/>
      <c r="W1324" s="1027"/>
    </row>
    <row r="1325" spans="2:23" ht="12.75" customHeight="1" x14ac:dyDescent="0.2">
      <c r="B1325" s="1083" t="str">
        <f>'Input Basel III'!$A$1</f>
        <v>15b</v>
      </c>
      <c r="C1325" s="1084" t="str">
        <f>'Input Basel III'!$B$1</f>
        <v>Input Basel III</v>
      </c>
      <c r="D1325" s="1091" t="str">
        <f>'Input Basel III'!$A$144</f>
        <v xml:space="preserve">8 Verbriefungen </v>
      </c>
      <c r="E1325" s="1516" t="str">
        <f>'Input Basel III'!$B$157</f>
        <v>nicht geratet 1250%</v>
      </c>
      <c r="F1325" s="1520" t="str">
        <f>'Input Basel III'!$G$147</f>
        <v>Positionen ohne Kreditrisikominderung (CRM)</v>
      </c>
      <c r="G1325" s="1520"/>
      <c r="H1325" s="1518">
        <f>'Input Basel III'!$G157</f>
        <v>0</v>
      </c>
      <c r="U1325" s="1027"/>
      <c r="V1325" s="1027"/>
      <c r="W1325" s="1027"/>
    </row>
    <row r="1326" spans="2:23" ht="12.75" customHeight="1" x14ac:dyDescent="0.2">
      <c r="B1326" s="1083" t="str">
        <f>'Input Basel III'!$A$1</f>
        <v>15b</v>
      </c>
      <c r="C1326" s="1084" t="str">
        <f>'Input Basel III'!$B$1</f>
        <v>Input Basel III</v>
      </c>
      <c r="D1326" s="1091" t="str">
        <f>'Input Basel III'!$A$144</f>
        <v xml:space="preserve">8 Verbriefungen </v>
      </c>
      <c r="E1326" s="1110">
        <f>'Input Basel III'!$B$158</f>
        <v>0</v>
      </c>
      <c r="F1326" s="1520" t="str">
        <f>'Input Basel III'!$G$147</f>
        <v>Positionen ohne Kreditrisikominderung (CRM)</v>
      </c>
      <c r="G1326" s="1520"/>
      <c r="H1326" s="1112">
        <f>'Input Basel III'!$G158</f>
        <v>0</v>
      </c>
      <c r="U1326" s="1027"/>
      <c r="V1326" s="1027"/>
      <c r="W1326" s="1027"/>
    </row>
    <row r="1327" spans="2:23" ht="12.75" customHeight="1" x14ac:dyDescent="0.2">
      <c r="B1327" s="1083" t="str">
        <f>'Input Basel III'!$A$1</f>
        <v>15b</v>
      </c>
      <c r="C1327" s="1084" t="str">
        <f>'Input Basel III'!$B$1</f>
        <v>Input Basel III</v>
      </c>
      <c r="D1327" s="1091" t="str">
        <f>'Input Basel III'!$A$144</f>
        <v xml:space="preserve">8 Verbriefungen </v>
      </c>
      <c r="E1327" s="1516" t="str">
        <f>'Input Basel III'!$B$149</f>
        <v>Risikogewicht 20%</v>
      </c>
      <c r="F1327" s="1520" t="str">
        <f>'Input Basel III'!$I$148</f>
        <v xml:space="preserve">Vor Besicherung </v>
      </c>
      <c r="G1327" s="1520"/>
      <c r="H1327" s="1518">
        <f>'Input Basel III'!$I149</f>
        <v>0</v>
      </c>
      <c r="U1327" s="1027"/>
      <c r="V1327" s="1027"/>
      <c r="W1327" s="1027"/>
    </row>
    <row r="1328" spans="2:23" ht="12.75" customHeight="1" x14ac:dyDescent="0.2">
      <c r="B1328" s="1083" t="str">
        <f>'Input Basel III'!$A$1</f>
        <v>15b</v>
      </c>
      <c r="C1328" s="1084" t="str">
        <f>'Input Basel III'!$B$1</f>
        <v>Input Basel III</v>
      </c>
      <c r="D1328" s="1091" t="str">
        <f>'Input Basel III'!$A$144</f>
        <v xml:space="preserve">8 Verbriefungen </v>
      </c>
      <c r="E1328" s="1516" t="str">
        <f>'Input Basel III'!$B$151</f>
        <v>Risikogewicht 50%</v>
      </c>
      <c r="F1328" s="1520" t="str">
        <f>'Input Basel III'!$I$148</f>
        <v xml:space="preserve">Vor Besicherung </v>
      </c>
      <c r="G1328" s="1520"/>
      <c r="H1328" s="1518">
        <f>'Input Basel III'!$I151</f>
        <v>0</v>
      </c>
      <c r="U1328" s="1027"/>
      <c r="V1328" s="1027"/>
      <c r="W1328" s="1027"/>
    </row>
    <row r="1329" spans="2:23" ht="12.75" customHeight="1" x14ac:dyDescent="0.2">
      <c r="B1329" s="1083" t="str">
        <f>'Input Basel III'!$A$1</f>
        <v>15b</v>
      </c>
      <c r="C1329" s="1084" t="str">
        <f>'Input Basel III'!$B$1</f>
        <v>Input Basel III</v>
      </c>
      <c r="D1329" s="1091" t="str">
        <f>'Input Basel III'!$A$144</f>
        <v xml:space="preserve">8 Verbriefungen </v>
      </c>
      <c r="E1329" s="1516" t="str">
        <f>'Input Basel III'!$B$152</f>
        <v>Risikogewicht 100%</v>
      </c>
      <c r="F1329" s="1520" t="str">
        <f>'Input Basel III'!$I$148</f>
        <v xml:space="preserve">Vor Besicherung </v>
      </c>
      <c r="G1329" s="1520"/>
      <c r="H1329" s="1518">
        <f>'Input Basel III'!$I152</f>
        <v>0</v>
      </c>
      <c r="U1329" s="1027"/>
      <c r="V1329" s="1027"/>
      <c r="W1329" s="1027"/>
    </row>
    <row r="1330" spans="2:23" ht="12.75" customHeight="1" x14ac:dyDescent="0.2">
      <c r="B1330" s="1083" t="str">
        <f>'Input Basel III'!$A$1</f>
        <v>15b</v>
      </c>
      <c r="C1330" s="1084" t="str">
        <f>'Input Basel III'!$B$1</f>
        <v>Input Basel III</v>
      </c>
      <c r="D1330" s="1091" t="str">
        <f>'Input Basel III'!$A$144</f>
        <v xml:space="preserve">8 Verbriefungen </v>
      </c>
      <c r="E1330" s="1516" t="str">
        <f>'Input Basel III'!$B$154</f>
        <v>Risikogewicht 350%</v>
      </c>
      <c r="F1330" s="1520" t="str">
        <f>'Input Basel III'!$I$148</f>
        <v xml:space="preserve">Vor Besicherung </v>
      </c>
      <c r="G1330" s="1520"/>
      <c r="H1330" s="1518">
        <f>'Input Basel III'!$I154</f>
        <v>0</v>
      </c>
      <c r="U1330" s="1027"/>
      <c r="V1330" s="1027"/>
      <c r="W1330" s="1027"/>
    </row>
    <row r="1331" spans="2:23" ht="12.75" customHeight="1" x14ac:dyDescent="0.2">
      <c r="B1331" s="1083" t="str">
        <f>'Input Basel III'!$A$1</f>
        <v>15b</v>
      </c>
      <c r="C1331" s="1084" t="str">
        <f>'Input Basel III'!$B$1</f>
        <v>Input Basel III</v>
      </c>
      <c r="D1331" s="1091" t="str">
        <f>'Input Basel III'!$A$144</f>
        <v xml:space="preserve">8 Verbriefungen </v>
      </c>
      <c r="E1331" s="1516" t="str">
        <f>'Input Basel III'!$B$156</f>
        <v>Risikogewicht 1250% (ohne ungeratete Positionen)</v>
      </c>
      <c r="F1331" s="1520" t="str">
        <f>'Input Basel III'!$I$148</f>
        <v xml:space="preserve">Vor Besicherung </v>
      </c>
      <c r="G1331" s="1520"/>
      <c r="H1331" s="1518">
        <f>'Input Basel III'!$I156</f>
        <v>0</v>
      </c>
      <c r="U1331" s="1027"/>
      <c r="V1331" s="1027"/>
      <c r="W1331" s="1027"/>
    </row>
    <row r="1332" spans="2:23" ht="12.75" customHeight="1" x14ac:dyDescent="0.2">
      <c r="B1332" s="1083" t="str">
        <f>'Input Basel III'!$A$1</f>
        <v>15b</v>
      </c>
      <c r="C1332" s="1084" t="str">
        <f>'Input Basel III'!$B$1</f>
        <v>Input Basel III</v>
      </c>
      <c r="D1332" s="1091" t="str">
        <f>'Input Basel III'!$A$144</f>
        <v xml:space="preserve">8 Verbriefungen </v>
      </c>
      <c r="E1332" s="1516" t="str">
        <f>'Input Basel III'!$B$157</f>
        <v>nicht geratet 1250%</v>
      </c>
      <c r="F1332" s="1520" t="str">
        <f>'Input Basel III'!$I$148</f>
        <v xml:space="preserve">Vor Besicherung </v>
      </c>
      <c r="G1332" s="1520"/>
      <c r="H1332" s="1518">
        <f>'Input Basel III'!$I157</f>
        <v>0</v>
      </c>
      <c r="U1332" s="1027"/>
      <c r="V1332" s="1027"/>
      <c r="W1332" s="1027"/>
    </row>
    <row r="1333" spans="2:23" ht="12.75" customHeight="1" x14ac:dyDescent="0.2">
      <c r="B1333" s="1083" t="str">
        <f>'Input Basel III'!$A$1</f>
        <v>15b</v>
      </c>
      <c r="C1333" s="1084" t="str">
        <f>'Input Basel III'!$B$1</f>
        <v>Input Basel III</v>
      </c>
      <c r="D1333" s="1091" t="str">
        <f>'Input Basel III'!$A$144</f>
        <v xml:space="preserve">8 Verbriefungen </v>
      </c>
      <c r="E1333" s="1110">
        <f>'Input Basel III'!$B$158</f>
        <v>0</v>
      </c>
      <c r="F1333" s="1520" t="str">
        <f>'Input Basel III'!$I$148</f>
        <v xml:space="preserve">Vor Besicherung </v>
      </c>
      <c r="G1333" s="1520"/>
      <c r="H1333" s="1112">
        <f>'Input Basel III'!$I158</f>
        <v>0</v>
      </c>
      <c r="U1333" s="1027"/>
      <c r="V1333" s="1027"/>
      <c r="W1333" s="1027"/>
    </row>
    <row r="1334" spans="2:23" ht="12.75" customHeight="1" x14ac:dyDescent="0.2">
      <c r="B1334" s="1083" t="str">
        <f>'Input Basel III'!$A$1</f>
        <v>15b</v>
      </c>
      <c r="C1334" s="1084" t="str">
        <f>'Input Basel III'!$B$1</f>
        <v>Input Basel III</v>
      </c>
      <c r="D1334" s="1091" t="str">
        <f>'Input Basel III'!$A$144</f>
        <v xml:space="preserve">8 Verbriefungen </v>
      </c>
      <c r="E1334" s="1516" t="str">
        <f>'Input Basel III'!$B$149</f>
        <v>Risikogewicht 20%</v>
      </c>
      <c r="F1334" s="1520" t="str">
        <f>'Input Basel III'!$J$148</f>
        <v>Nach Besicherung</v>
      </c>
      <c r="G1334" s="1520"/>
      <c r="H1334" s="1518">
        <f>'Input Basel III'!$J149</f>
        <v>0</v>
      </c>
      <c r="U1334" s="1027"/>
      <c r="V1334" s="1027"/>
      <c r="W1334" s="1027"/>
    </row>
    <row r="1335" spans="2:23" ht="12.75" customHeight="1" x14ac:dyDescent="0.2">
      <c r="B1335" s="1083" t="str">
        <f>'Input Basel III'!$A$1</f>
        <v>15b</v>
      </c>
      <c r="C1335" s="1084" t="str">
        <f>'Input Basel III'!$B$1</f>
        <v>Input Basel III</v>
      </c>
      <c r="D1335" s="1091" t="str">
        <f>'Input Basel III'!$A$144</f>
        <v xml:space="preserve">8 Verbriefungen </v>
      </c>
      <c r="E1335" s="1516" t="str">
        <f>'Input Basel III'!$B$151</f>
        <v>Risikogewicht 50%</v>
      </c>
      <c r="F1335" s="1520" t="str">
        <f>'Input Basel III'!$J$148</f>
        <v>Nach Besicherung</v>
      </c>
      <c r="G1335" s="1520"/>
      <c r="H1335" s="1518">
        <f>'Input Basel III'!$J151</f>
        <v>0</v>
      </c>
      <c r="U1335" s="1027"/>
      <c r="V1335" s="1027"/>
      <c r="W1335" s="1027"/>
    </row>
    <row r="1336" spans="2:23" ht="12.75" customHeight="1" x14ac:dyDescent="0.2">
      <c r="B1336" s="1083" t="str">
        <f>'Input Basel III'!$A$1</f>
        <v>15b</v>
      </c>
      <c r="C1336" s="1084" t="str">
        <f>'Input Basel III'!$B$1</f>
        <v>Input Basel III</v>
      </c>
      <c r="D1336" s="1091" t="str">
        <f>'Input Basel III'!$A$144</f>
        <v xml:space="preserve">8 Verbriefungen </v>
      </c>
      <c r="E1336" s="1516" t="str">
        <f>'Input Basel III'!$B$152</f>
        <v>Risikogewicht 100%</v>
      </c>
      <c r="F1336" s="1520" t="str">
        <f>'Input Basel III'!$J$148</f>
        <v>Nach Besicherung</v>
      </c>
      <c r="G1336" s="1520"/>
      <c r="H1336" s="1518">
        <f>'Input Basel III'!$J152</f>
        <v>0</v>
      </c>
      <c r="U1336" s="1027"/>
      <c r="V1336" s="1027"/>
      <c r="W1336" s="1027"/>
    </row>
    <row r="1337" spans="2:23" ht="12.75" customHeight="1" x14ac:dyDescent="0.2">
      <c r="B1337" s="1083" t="str">
        <f>'Input Basel III'!$A$1</f>
        <v>15b</v>
      </c>
      <c r="C1337" s="1084" t="str">
        <f>'Input Basel III'!$B$1</f>
        <v>Input Basel III</v>
      </c>
      <c r="D1337" s="1091" t="str">
        <f>'Input Basel III'!$A$144</f>
        <v xml:space="preserve">8 Verbriefungen </v>
      </c>
      <c r="E1337" s="1516" t="str">
        <f>'Input Basel III'!$B$154</f>
        <v>Risikogewicht 350%</v>
      </c>
      <c r="F1337" s="1520" t="str">
        <f>'Input Basel III'!$J$148</f>
        <v>Nach Besicherung</v>
      </c>
      <c r="G1337" s="1520"/>
      <c r="H1337" s="1518">
        <f>'Input Basel III'!$J154</f>
        <v>0</v>
      </c>
      <c r="U1337" s="1027"/>
      <c r="V1337" s="1027"/>
      <c r="W1337" s="1027"/>
    </row>
    <row r="1338" spans="2:23" ht="12.75" customHeight="1" x14ac:dyDescent="0.2">
      <c r="B1338" s="1083" t="str">
        <f>'Input Basel III'!$A$1</f>
        <v>15b</v>
      </c>
      <c r="C1338" s="1084" t="str">
        <f>'Input Basel III'!$B$1</f>
        <v>Input Basel III</v>
      </c>
      <c r="D1338" s="1091" t="str">
        <f>'Input Basel III'!$A$144</f>
        <v xml:space="preserve">8 Verbriefungen </v>
      </c>
      <c r="E1338" s="1516" t="str">
        <f>'Input Basel III'!$B$156</f>
        <v>Risikogewicht 1250% (ohne ungeratete Positionen)</v>
      </c>
      <c r="F1338" s="1520" t="str">
        <f>'Input Basel III'!$J$148</f>
        <v>Nach Besicherung</v>
      </c>
      <c r="G1338" s="1520"/>
      <c r="H1338" s="1518">
        <f>'Input Basel III'!$J156</f>
        <v>0</v>
      </c>
      <c r="U1338" s="1027"/>
      <c r="V1338" s="1027"/>
      <c r="W1338" s="1027"/>
    </row>
    <row r="1339" spans="2:23" ht="12.75" customHeight="1" x14ac:dyDescent="0.2">
      <c r="B1339" s="1083" t="str">
        <f>'Input Basel III'!$A$1</f>
        <v>15b</v>
      </c>
      <c r="C1339" s="1084" t="str">
        <f>'Input Basel III'!$B$1</f>
        <v>Input Basel III</v>
      </c>
      <c r="D1339" s="1091" t="str">
        <f>'Input Basel III'!$A$144</f>
        <v xml:space="preserve">8 Verbriefungen </v>
      </c>
      <c r="E1339" s="1516" t="str">
        <f>'Input Basel III'!$B$157</f>
        <v>nicht geratet 1250%</v>
      </c>
      <c r="F1339" s="1520" t="str">
        <f>'Input Basel III'!$J$148</f>
        <v>Nach Besicherung</v>
      </c>
      <c r="G1339" s="1520"/>
      <c r="H1339" s="1518">
        <f>'Input Basel III'!$J157</f>
        <v>0</v>
      </c>
      <c r="U1339" s="1027"/>
      <c r="V1339" s="1027"/>
      <c r="W1339" s="1027"/>
    </row>
    <row r="1340" spans="2:23" ht="12.75" customHeight="1" x14ac:dyDescent="0.2">
      <c r="B1340" s="1083" t="str">
        <f>'Input Basel III'!$A$1</f>
        <v>15b</v>
      </c>
      <c r="C1340" s="1084" t="str">
        <f>'Input Basel III'!$B$1</f>
        <v>Input Basel III</v>
      </c>
      <c r="D1340" s="1091" t="str">
        <f>'Input Basel III'!$A$144</f>
        <v xml:space="preserve">8 Verbriefungen </v>
      </c>
      <c r="E1340" s="1110">
        <f>'Input Basel III'!$B$158</f>
        <v>0</v>
      </c>
      <c r="F1340" s="1520" t="str">
        <f>'Input Basel III'!$J$148</f>
        <v>Nach Besicherung</v>
      </c>
      <c r="G1340" s="1520"/>
      <c r="H1340" s="1112">
        <f>'Input Basel III'!$J158</f>
        <v>0</v>
      </c>
      <c r="U1340" s="1027"/>
      <c r="V1340" s="1027"/>
      <c r="W1340" s="1027"/>
    </row>
    <row r="1341" spans="2:23" ht="12.75" customHeight="1" x14ac:dyDescent="0.2">
      <c r="B1341" s="1083" t="str">
        <f>'Input Basel III'!$A$1</f>
        <v>15b</v>
      </c>
      <c r="C1341" s="1084" t="str">
        <f>'Input Basel III'!$B$1</f>
        <v>Input Basel III</v>
      </c>
      <c r="D1341" s="1091" t="str">
        <f>'Input Basel III'!$A$144</f>
        <v xml:space="preserve">8 Verbriefungen </v>
      </c>
      <c r="E1341" s="1516" t="str">
        <f>'Input Basel III'!$B$149</f>
        <v>Risikogewicht 20%</v>
      </c>
      <c r="F1341" s="1520" t="str">
        <f>'Input Basel III'!$L$148</f>
        <v>Vor Garantien und Kreditderivate</v>
      </c>
      <c r="G1341" s="1520"/>
      <c r="H1341" s="1518">
        <f>'Input Basel III'!$L149</f>
        <v>0</v>
      </c>
      <c r="U1341" s="1027"/>
      <c r="V1341" s="1027"/>
      <c r="W1341" s="1027"/>
    </row>
    <row r="1342" spans="2:23" ht="12.75" customHeight="1" x14ac:dyDescent="0.2">
      <c r="B1342" s="1083" t="str">
        <f>'Input Basel III'!$A$1</f>
        <v>15b</v>
      </c>
      <c r="C1342" s="1084" t="str">
        <f>'Input Basel III'!$B$1</f>
        <v>Input Basel III</v>
      </c>
      <c r="D1342" s="1091" t="str">
        <f>'Input Basel III'!$A$144</f>
        <v xml:space="preserve">8 Verbriefungen </v>
      </c>
      <c r="E1342" s="1516" t="str">
        <f>'Input Basel III'!$B$151</f>
        <v>Risikogewicht 50%</v>
      </c>
      <c r="F1342" s="1520" t="str">
        <f>'Input Basel III'!$L$148</f>
        <v>Vor Garantien und Kreditderivate</v>
      </c>
      <c r="G1342" s="1520"/>
      <c r="H1342" s="1518">
        <f>'Input Basel III'!$L151</f>
        <v>0</v>
      </c>
      <c r="U1342" s="1027"/>
      <c r="V1342" s="1027"/>
      <c r="W1342" s="1027"/>
    </row>
    <row r="1343" spans="2:23" ht="12.75" customHeight="1" x14ac:dyDescent="0.2">
      <c r="B1343" s="1083" t="str">
        <f>'Input Basel III'!$A$1</f>
        <v>15b</v>
      </c>
      <c r="C1343" s="1084" t="str">
        <f>'Input Basel III'!$B$1</f>
        <v>Input Basel III</v>
      </c>
      <c r="D1343" s="1091" t="str">
        <f>'Input Basel III'!$A$144</f>
        <v xml:space="preserve">8 Verbriefungen </v>
      </c>
      <c r="E1343" s="1516" t="str">
        <f>'Input Basel III'!$B$152</f>
        <v>Risikogewicht 100%</v>
      </c>
      <c r="F1343" s="1520" t="str">
        <f>'Input Basel III'!$L$148</f>
        <v>Vor Garantien und Kreditderivate</v>
      </c>
      <c r="G1343" s="1520"/>
      <c r="H1343" s="1518">
        <f>'Input Basel III'!$L152</f>
        <v>0</v>
      </c>
      <c r="U1343" s="1027"/>
      <c r="V1343" s="1027"/>
      <c r="W1343" s="1027"/>
    </row>
    <row r="1344" spans="2:23" ht="12.75" customHeight="1" x14ac:dyDescent="0.2">
      <c r="B1344" s="1083" t="str">
        <f>'Input Basel III'!$A$1</f>
        <v>15b</v>
      </c>
      <c r="C1344" s="1084" t="str">
        <f>'Input Basel III'!$B$1</f>
        <v>Input Basel III</v>
      </c>
      <c r="D1344" s="1091" t="str">
        <f>'Input Basel III'!$A$144</f>
        <v xml:space="preserve">8 Verbriefungen </v>
      </c>
      <c r="E1344" s="1516" t="str">
        <f>'Input Basel III'!$B$154</f>
        <v>Risikogewicht 350%</v>
      </c>
      <c r="F1344" s="1520" t="str">
        <f>'Input Basel III'!$L$148</f>
        <v>Vor Garantien und Kreditderivate</v>
      </c>
      <c r="G1344" s="1520"/>
      <c r="H1344" s="1518">
        <f>'Input Basel III'!$L154</f>
        <v>0</v>
      </c>
      <c r="U1344" s="1027"/>
      <c r="V1344" s="1027"/>
      <c r="W1344" s="1027"/>
    </row>
    <row r="1345" spans="2:23" ht="12.75" customHeight="1" x14ac:dyDescent="0.2">
      <c r="B1345" s="1083" t="str">
        <f>'Input Basel III'!$A$1</f>
        <v>15b</v>
      </c>
      <c r="C1345" s="1084" t="str">
        <f>'Input Basel III'!$B$1</f>
        <v>Input Basel III</v>
      </c>
      <c r="D1345" s="1091" t="str">
        <f>'Input Basel III'!$A$144</f>
        <v xml:space="preserve">8 Verbriefungen </v>
      </c>
      <c r="E1345" s="1516" t="str">
        <f>'Input Basel III'!$B$156</f>
        <v>Risikogewicht 1250% (ohne ungeratete Positionen)</v>
      </c>
      <c r="F1345" s="1520" t="str">
        <f>'Input Basel III'!$L$148</f>
        <v>Vor Garantien und Kreditderivate</v>
      </c>
      <c r="G1345" s="1520"/>
      <c r="H1345" s="1518">
        <f>'Input Basel III'!$L156</f>
        <v>0</v>
      </c>
      <c r="U1345" s="1027"/>
      <c r="V1345" s="1027"/>
      <c r="W1345" s="1027"/>
    </row>
    <row r="1346" spans="2:23" ht="12.75" customHeight="1" x14ac:dyDescent="0.2">
      <c r="B1346" s="1083" t="str">
        <f>'Input Basel III'!$A$1</f>
        <v>15b</v>
      </c>
      <c r="C1346" s="1084" t="str">
        <f>'Input Basel III'!$B$1</f>
        <v>Input Basel III</v>
      </c>
      <c r="D1346" s="1091" t="str">
        <f>'Input Basel III'!$A$144</f>
        <v xml:space="preserve">8 Verbriefungen </v>
      </c>
      <c r="E1346" s="1516" t="str">
        <f>'Input Basel III'!$B$157</f>
        <v>nicht geratet 1250%</v>
      </c>
      <c r="F1346" s="1520" t="str">
        <f>'Input Basel III'!$L$148</f>
        <v>Vor Garantien und Kreditderivate</v>
      </c>
      <c r="G1346" s="1520"/>
      <c r="H1346" s="1518">
        <f>'Input Basel III'!$L157</f>
        <v>0</v>
      </c>
      <c r="U1346" s="1027"/>
      <c r="V1346" s="1027"/>
      <c r="W1346" s="1027"/>
    </row>
    <row r="1347" spans="2:23" ht="12.75" customHeight="1" x14ac:dyDescent="0.2">
      <c r="B1347" s="1083" t="str">
        <f>'Input Basel III'!$A$1</f>
        <v>15b</v>
      </c>
      <c r="C1347" s="1084" t="str">
        <f>'Input Basel III'!$B$1</f>
        <v>Input Basel III</v>
      </c>
      <c r="D1347" s="1091" t="str">
        <f>'Input Basel III'!$A$144</f>
        <v xml:space="preserve">8 Verbriefungen </v>
      </c>
      <c r="E1347" s="1110">
        <f>'Input Basel III'!$B$158</f>
        <v>0</v>
      </c>
      <c r="F1347" s="1520" t="str">
        <f>'Input Basel III'!$L$148</f>
        <v>Vor Garantien und Kreditderivate</v>
      </c>
      <c r="G1347" s="1520"/>
      <c r="H1347" s="1112">
        <f>'Input Basel III'!$L158</f>
        <v>0</v>
      </c>
      <c r="U1347" s="1027"/>
      <c r="V1347" s="1027"/>
      <c r="W1347" s="1027"/>
    </row>
    <row r="1348" spans="2:23" ht="12.75" customHeight="1" x14ac:dyDescent="0.2">
      <c r="B1348" s="1083" t="str">
        <f>'Input Basel III'!$A$1</f>
        <v>15b</v>
      </c>
      <c r="C1348" s="1084" t="str">
        <f>'Input Basel III'!$B$1</f>
        <v>Input Basel III</v>
      </c>
      <c r="D1348" s="1091" t="str">
        <f>'Input Basel III'!$A$144</f>
        <v xml:space="preserve">8 Verbriefungen </v>
      </c>
      <c r="E1348" s="1516" t="str">
        <f>'Input Basel III'!$B$149</f>
        <v>Risikogewicht 20%</v>
      </c>
      <c r="F1348" s="1520" t="str">
        <f>'Input Basel III'!$M$148</f>
        <v>Nach Garantien und Kred.-.Der.</v>
      </c>
      <c r="G1348" s="1520"/>
      <c r="H1348" s="1518">
        <f>'Input Basel III'!$M149</f>
        <v>0</v>
      </c>
      <c r="U1348" s="1027"/>
      <c r="V1348" s="1027"/>
      <c r="W1348" s="1027"/>
    </row>
    <row r="1349" spans="2:23" ht="12.75" customHeight="1" x14ac:dyDescent="0.2">
      <c r="B1349" s="1083" t="str">
        <f>'Input Basel III'!$A$1</f>
        <v>15b</v>
      </c>
      <c r="C1349" s="1084" t="str">
        <f>'Input Basel III'!$B$1</f>
        <v>Input Basel III</v>
      </c>
      <c r="D1349" s="1091" t="str">
        <f>'Input Basel III'!$A$144</f>
        <v xml:space="preserve">8 Verbriefungen </v>
      </c>
      <c r="E1349" s="1516" t="str">
        <f>'Input Basel III'!$B$151</f>
        <v>Risikogewicht 50%</v>
      </c>
      <c r="F1349" s="1520" t="str">
        <f>'Input Basel III'!$M$148</f>
        <v>Nach Garantien und Kred.-.Der.</v>
      </c>
      <c r="G1349" s="1520"/>
      <c r="H1349" s="1518">
        <f>'Input Basel III'!$M151</f>
        <v>0</v>
      </c>
      <c r="U1349" s="1027"/>
      <c r="V1349" s="1027"/>
      <c r="W1349" s="1027"/>
    </row>
    <row r="1350" spans="2:23" ht="12.75" customHeight="1" x14ac:dyDescent="0.2">
      <c r="B1350" s="1083" t="str">
        <f>'Input Basel III'!$A$1</f>
        <v>15b</v>
      </c>
      <c r="C1350" s="1084" t="str">
        <f>'Input Basel III'!$B$1</f>
        <v>Input Basel III</v>
      </c>
      <c r="D1350" s="1091" t="str">
        <f>'Input Basel III'!$A$144</f>
        <v xml:space="preserve">8 Verbriefungen </v>
      </c>
      <c r="E1350" s="1516" t="str">
        <f>'Input Basel III'!$B$152</f>
        <v>Risikogewicht 100%</v>
      </c>
      <c r="F1350" s="1520" t="str">
        <f>'Input Basel III'!$M$148</f>
        <v>Nach Garantien und Kred.-.Der.</v>
      </c>
      <c r="G1350" s="1520"/>
      <c r="H1350" s="1518">
        <f>'Input Basel III'!$M152</f>
        <v>0</v>
      </c>
      <c r="U1350" s="1027"/>
      <c r="V1350" s="1027"/>
      <c r="W1350" s="1027"/>
    </row>
    <row r="1351" spans="2:23" ht="12.75" customHeight="1" x14ac:dyDescent="0.2">
      <c r="B1351" s="1083" t="str">
        <f>'Input Basel III'!$A$1</f>
        <v>15b</v>
      </c>
      <c r="C1351" s="1084" t="str">
        <f>'Input Basel III'!$B$1</f>
        <v>Input Basel III</v>
      </c>
      <c r="D1351" s="1091" t="str">
        <f>'Input Basel III'!$A$144</f>
        <v xml:space="preserve">8 Verbriefungen </v>
      </c>
      <c r="E1351" s="1516" t="str">
        <f>'Input Basel III'!$B$154</f>
        <v>Risikogewicht 350%</v>
      </c>
      <c r="F1351" s="1520" t="str">
        <f>'Input Basel III'!$M$148</f>
        <v>Nach Garantien und Kred.-.Der.</v>
      </c>
      <c r="G1351" s="1520"/>
      <c r="H1351" s="1518">
        <f>'Input Basel III'!$M154</f>
        <v>0</v>
      </c>
      <c r="U1351" s="1027"/>
      <c r="V1351" s="1027"/>
      <c r="W1351" s="1027"/>
    </row>
    <row r="1352" spans="2:23" ht="12.75" customHeight="1" x14ac:dyDescent="0.2">
      <c r="B1352" s="1083" t="str">
        <f>'Input Basel III'!$A$1</f>
        <v>15b</v>
      </c>
      <c r="C1352" s="1084" t="str">
        <f>'Input Basel III'!$B$1</f>
        <v>Input Basel III</v>
      </c>
      <c r="D1352" s="1091" t="str">
        <f>'Input Basel III'!$A$144</f>
        <v xml:space="preserve">8 Verbriefungen </v>
      </c>
      <c r="E1352" s="1516" t="str">
        <f>'Input Basel III'!$B$156</f>
        <v>Risikogewicht 1250% (ohne ungeratete Positionen)</v>
      </c>
      <c r="F1352" s="1520" t="str">
        <f>'Input Basel III'!$M$148</f>
        <v>Nach Garantien und Kred.-.Der.</v>
      </c>
      <c r="G1352" s="1520"/>
      <c r="H1352" s="1518">
        <f>'Input Basel III'!$M156</f>
        <v>0</v>
      </c>
      <c r="U1352" s="1027"/>
      <c r="V1352" s="1027"/>
      <c r="W1352" s="1027"/>
    </row>
    <row r="1353" spans="2:23" ht="12.75" customHeight="1" x14ac:dyDescent="0.2">
      <c r="B1353" s="1083" t="str">
        <f>'Input Basel III'!$A$1</f>
        <v>15b</v>
      </c>
      <c r="C1353" s="1084" t="str">
        <f>'Input Basel III'!$B$1</f>
        <v>Input Basel III</v>
      </c>
      <c r="D1353" s="1091" t="str">
        <f>'Input Basel III'!$A$144</f>
        <v xml:space="preserve">8 Verbriefungen </v>
      </c>
      <c r="E1353" s="1516" t="str">
        <f>'Input Basel III'!$B$157</f>
        <v>nicht geratet 1250%</v>
      </c>
      <c r="F1353" s="1520" t="str">
        <f>'Input Basel III'!$M$148</f>
        <v>Nach Garantien und Kred.-.Der.</v>
      </c>
      <c r="G1353" s="1520"/>
      <c r="H1353" s="1518">
        <f>'Input Basel III'!$M157</f>
        <v>0</v>
      </c>
      <c r="U1353" s="1027"/>
      <c r="V1353" s="1027"/>
      <c r="W1353" s="1027"/>
    </row>
    <row r="1354" spans="2:23" ht="12.75" customHeight="1" x14ac:dyDescent="0.2">
      <c r="B1354" s="1083" t="str">
        <f>'Input Basel III'!$A$1</f>
        <v>15b</v>
      </c>
      <c r="C1354" s="1084" t="str">
        <f>'Input Basel III'!$B$1</f>
        <v>Input Basel III</v>
      </c>
      <c r="D1354" s="1091" t="str">
        <f>'Input Basel III'!$A$144</f>
        <v xml:space="preserve">8 Verbriefungen </v>
      </c>
      <c r="E1354" s="1110">
        <f>'Input Basel III'!$B$158</f>
        <v>0</v>
      </c>
      <c r="F1354" s="1520" t="str">
        <f>'Input Basel III'!$M$148</f>
        <v>Nach Garantien und Kred.-.Der.</v>
      </c>
      <c r="G1354" s="1520"/>
      <c r="H1354" s="1112">
        <f>'Input Basel III'!$M158</f>
        <v>0</v>
      </c>
      <c r="U1354" s="1027"/>
      <c r="V1354" s="1027"/>
      <c r="W1354" s="1027"/>
    </row>
    <row r="1355" spans="2:23" ht="12.75" customHeight="1" x14ac:dyDescent="0.2">
      <c r="B1355" s="1083" t="str">
        <f>'Input Basel III'!$A$1</f>
        <v>15b</v>
      </c>
      <c r="C1355" s="1084" t="str">
        <f>'Input Basel III'!$B$1</f>
        <v>Input Basel III</v>
      </c>
      <c r="D1355" s="1091" t="str">
        <f>'Input Basel III'!$A$168</f>
        <v>1 Natürliche Personen und Kleinnunternehmen (Retail)</v>
      </c>
      <c r="E1355" s="1488" t="str">
        <f>'Input Basel III'!$B$175</f>
        <v>Retailpositionen, wenn der Gesamtwert der Positionen nach Art 37 Abs. 1, ohne grundpfandrechtliche Sicherung, gegenüber einer Gegenpartei 1,5 Mio Franken und 1% aller Retailpositionen nicht übersteigt</v>
      </c>
      <c r="F1355" s="1494" t="str">
        <f>'Input Basel III'!$C$31</f>
        <v>Risikogewicht</v>
      </c>
      <c r="G1355" s="1494"/>
      <c r="H1355" s="1519">
        <f>'Input Basel III'!$C175</f>
        <v>0.75</v>
      </c>
      <c r="U1355" s="1027"/>
      <c r="V1355" s="1027"/>
      <c r="W1355" s="1027"/>
    </row>
    <row r="1356" spans="2:23" ht="12.75" customHeight="1" x14ac:dyDescent="0.2">
      <c r="B1356" s="1083" t="str">
        <f>'Input Basel III'!$A$1</f>
        <v>15b</v>
      </c>
      <c r="C1356" s="1084" t="str">
        <f>'Input Basel III'!$B$1</f>
        <v>Input Basel III</v>
      </c>
      <c r="D1356" s="1091" t="str">
        <f>'Input Basel III'!$A$168</f>
        <v>1 Natürliche Personen und Kleinnunternehmen (Retail)</v>
      </c>
      <c r="E1356" s="1488" t="str">
        <f>'Input Basel III'!$B$176</f>
        <v>Übrige Retailpositionen</v>
      </c>
      <c r="F1356" s="1494" t="str">
        <f>'Input Basel III'!$C$31</f>
        <v>Risikogewicht</v>
      </c>
      <c r="G1356" s="1494"/>
      <c r="H1356" s="1519">
        <f>'Input Basel III'!$C176</f>
        <v>1</v>
      </c>
      <c r="U1356" s="1027"/>
      <c r="V1356" s="1027"/>
      <c r="W1356" s="1027"/>
    </row>
    <row r="1357" spans="2:23" ht="12.75" customHeight="1" x14ac:dyDescent="0.2">
      <c r="B1357" s="1083" t="str">
        <f>'Input Basel III'!$A$1</f>
        <v>15b</v>
      </c>
      <c r="C1357" s="1084" t="str">
        <f>'Input Basel III'!$B$1</f>
        <v>Input Basel III</v>
      </c>
      <c r="D1357" s="1091" t="str">
        <f>'Input Basel III'!$A$168</f>
        <v>1 Natürliche Personen und Kleinnunternehmen (Retail)</v>
      </c>
      <c r="E1357" s="1110">
        <f>'Input Basel III'!$B$177</f>
        <v>0</v>
      </c>
      <c r="F1357" s="1494" t="str">
        <f>'Input Basel III'!$C$31</f>
        <v>Risikogewicht</v>
      </c>
      <c r="G1357" s="1494"/>
      <c r="H1357" s="1111">
        <f>'Input Basel III'!$C177</f>
        <v>0</v>
      </c>
      <c r="U1357" s="1027"/>
      <c r="V1357" s="1027"/>
      <c r="W1357" s="1027"/>
    </row>
    <row r="1358" spans="2:23" ht="12.75" customHeight="1" x14ac:dyDescent="0.2">
      <c r="B1358" s="1083" t="str">
        <f>'Input Basel III'!$A$1</f>
        <v>15b</v>
      </c>
      <c r="C1358" s="1084" t="str">
        <f>'Input Basel III'!$B$1</f>
        <v>Input Basel III</v>
      </c>
      <c r="D1358" s="1091" t="str">
        <f>'Input Basel III'!$A$168</f>
        <v>1 Natürliche Personen und Kleinnunternehmen (Retail)</v>
      </c>
      <c r="E1358" s="1488" t="str">
        <f>'Input Basel III'!$B$175</f>
        <v>Retailpositionen, wenn der Gesamtwert der Positionen nach Art 37 Abs. 1, ohne grundpfandrechtliche Sicherung, gegenüber einer Gegenpartei 1,5 Mio Franken und 1% aller Retailpositionen nicht übersteigt</v>
      </c>
      <c r="F1358" s="1494" t="str">
        <f>'Input Basel III'!$G$173</f>
        <v>Positionen ohne Kreditrisikominderung (CRM)</v>
      </c>
      <c r="G1358" s="1494"/>
      <c r="H1358" s="1518">
        <f>'Input Basel III'!$G175</f>
        <v>0</v>
      </c>
      <c r="U1358" s="1027"/>
      <c r="V1358" s="1027"/>
      <c r="W1358" s="1027"/>
    </row>
    <row r="1359" spans="2:23" ht="12.75" customHeight="1" x14ac:dyDescent="0.2">
      <c r="B1359" s="1083" t="str">
        <f>'Input Basel III'!$A$1</f>
        <v>15b</v>
      </c>
      <c r="C1359" s="1084" t="str">
        <f>'Input Basel III'!$B$1</f>
        <v>Input Basel III</v>
      </c>
      <c r="D1359" s="1091" t="str">
        <f>'Input Basel III'!$A$168</f>
        <v>1 Natürliche Personen und Kleinnunternehmen (Retail)</v>
      </c>
      <c r="E1359" s="1488" t="str">
        <f>'Input Basel III'!$B$176</f>
        <v>Übrige Retailpositionen</v>
      </c>
      <c r="F1359" s="1494" t="str">
        <f>'Input Basel III'!$G$173</f>
        <v>Positionen ohne Kreditrisikominderung (CRM)</v>
      </c>
      <c r="G1359" s="1494"/>
      <c r="H1359" s="1518">
        <f>'Input Basel III'!$G176</f>
        <v>0</v>
      </c>
      <c r="U1359" s="1027"/>
      <c r="V1359" s="1027"/>
      <c r="W1359" s="1027"/>
    </row>
    <row r="1360" spans="2:23" ht="12.75" customHeight="1" x14ac:dyDescent="0.2">
      <c r="B1360" s="1083" t="str">
        <f>'Input Basel III'!$A$1</f>
        <v>15b</v>
      </c>
      <c r="C1360" s="1084" t="str">
        <f>'Input Basel III'!$B$1</f>
        <v>Input Basel III</v>
      </c>
      <c r="D1360" s="1091" t="str">
        <f>'Input Basel III'!$A$168</f>
        <v>1 Natürliche Personen und Kleinnunternehmen (Retail)</v>
      </c>
      <c r="E1360" s="1110">
        <f>'Input Basel III'!$B$177</f>
        <v>0</v>
      </c>
      <c r="F1360" s="1494" t="str">
        <f>'Input Basel III'!$G$173</f>
        <v>Positionen ohne Kreditrisikominderung (CRM)</v>
      </c>
      <c r="G1360" s="1494"/>
      <c r="H1360" s="1112">
        <f>'Input Basel III'!$G177</f>
        <v>0</v>
      </c>
      <c r="U1360" s="1027"/>
      <c r="V1360" s="1027"/>
      <c r="W1360" s="1027"/>
    </row>
    <row r="1361" spans="2:23" ht="12.75" customHeight="1" x14ac:dyDescent="0.2">
      <c r="B1361" s="1083" t="str">
        <f>'Input Basel III'!$A$1</f>
        <v>15b</v>
      </c>
      <c r="C1361" s="1084" t="str">
        <f>'Input Basel III'!$B$1</f>
        <v>Input Basel III</v>
      </c>
      <c r="D1361" s="1091" t="str">
        <f>'Input Basel III'!$A$168</f>
        <v>1 Natürliche Personen und Kleinnunternehmen (Retail)</v>
      </c>
      <c r="E1361" s="1488" t="str">
        <f>'Input Basel III'!$B$175</f>
        <v>Retailpositionen, wenn der Gesamtwert der Positionen nach Art 37 Abs. 1, ohne grundpfandrechtliche Sicherung, gegenüber einer Gegenpartei 1,5 Mio Franken und 1% aller Retailpositionen nicht übersteigt</v>
      </c>
      <c r="F1361" s="1494" t="str">
        <f>'Input Basel III'!$I$174</f>
        <v xml:space="preserve">Vor Besicherung </v>
      </c>
      <c r="G1361" s="1494"/>
      <c r="H1361" s="1518">
        <f>'Input Basel III'!$I175</f>
        <v>0</v>
      </c>
      <c r="U1361" s="1027"/>
      <c r="V1361" s="1027"/>
      <c r="W1361" s="1027"/>
    </row>
    <row r="1362" spans="2:23" ht="12.75" customHeight="1" x14ac:dyDescent="0.2">
      <c r="B1362" s="1083" t="str">
        <f>'Input Basel III'!$A$1</f>
        <v>15b</v>
      </c>
      <c r="C1362" s="1084" t="str">
        <f>'Input Basel III'!$B$1</f>
        <v>Input Basel III</v>
      </c>
      <c r="D1362" s="1091" t="str">
        <f>'Input Basel III'!$A$168</f>
        <v>1 Natürliche Personen und Kleinnunternehmen (Retail)</v>
      </c>
      <c r="E1362" s="1488" t="str">
        <f>'Input Basel III'!$B$176</f>
        <v>Übrige Retailpositionen</v>
      </c>
      <c r="F1362" s="1494" t="str">
        <f>'Input Basel III'!$I$174</f>
        <v xml:space="preserve">Vor Besicherung </v>
      </c>
      <c r="G1362" s="1494"/>
      <c r="H1362" s="1518">
        <f>'Input Basel III'!$I176</f>
        <v>0</v>
      </c>
      <c r="U1362" s="1027"/>
      <c r="V1362" s="1027"/>
      <c r="W1362" s="1027"/>
    </row>
    <row r="1363" spans="2:23" ht="12.75" customHeight="1" x14ac:dyDescent="0.2">
      <c r="B1363" s="1083" t="str">
        <f>'Input Basel III'!$A$1</f>
        <v>15b</v>
      </c>
      <c r="C1363" s="1084" t="str">
        <f>'Input Basel III'!$B$1</f>
        <v>Input Basel III</v>
      </c>
      <c r="D1363" s="1091" t="str">
        <f>'Input Basel III'!$A$168</f>
        <v>1 Natürliche Personen und Kleinnunternehmen (Retail)</v>
      </c>
      <c r="E1363" s="1110">
        <f>'Input Basel III'!$B$177</f>
        <v>0</v>
      </c>
      <c r="F1363" s="1494" t="str">
        <f>'Input Basel III'!$I$174</f>
        <v xml:space="preserve">Vor Besicherung </v>
      </c>
      <c r="G1363" s="1494"/>
      <c r="H1363" s="1112">
        <f>'Input Basel III'!$I177</f>
        <v>0</v>
      </c>
      <c r="U1363" s="1027"/>
      <c r="V1363" s="1027"/>
      <c r="W1363" s="1027"/>
    </row>
    <row r="1364" spans="2:23" ht="12.75" customHeight="1" x14ac:dyDescent="0.2">
      <c r="B1364" s="1083" t="str">
        <f>'Input Basel III'!$A$1</f>
        <v>15b</v>
      </c>
      <c r="C1364" s="1084" t="str">
        <f>'Input Basel III'!$B$1</f>
        <v>Input Basel III</v>
      </c>
      <c r="D1364" s="1091" t="str">
        <f>'Input Basel III'!$A$168</f>
        <v>1 Natürliche Personen und Kleinnunternehmen (Retail)</v>
      </c>
      <c r="E1364" s="1488" t="str">
        <f>'Input Basel III'!$B$175</f>
        <v>Retailpositionen, wenn der Gesamtwert der Positionen nach Art 37 Abs. 1, ohne grundpfandrechtliche Sicherung, gegenüber einer Gegenpartei 1,5 Mio Franken und 1% aller Retailpositionen nicht übersteigt</v>
      </c>
      <c r="F1364" s="1494" t="str">
        <f>'Input Basel III'!$J$174</f>
        <v>Nach Besicherung</v>
      </c>
      <c r="G1364" s="1494"/>
      <c r="H1364" s="1518">
        <f>'Input Basel III'!$J175</f>
        <v>0</v>
      </c>
      <c r="U1364" s="1027"/>
      <c r="V1364" s="1027"/>
      <c r="W1364" s="1027"/>
    </row>
    <row r="1365" spans="2:23" ht="12.75" customHeight="1" x14ac:dyDescent="0.2">
      <c r="B1365" s="1083" t="str">
        <f>'Input Basel III'!$A$1</f>
        <v>15b</v>
      </c>
      <c r="C1365" s="1084" t="str">
        <f>'Input Basel III'!$B$1</f>
        <v>Input Basel III</v>
      </c>
      <c r="D1365" s="1091" t="str">
        <f>'Input Basel III'!$A$168</f>
        <v>1 Natürliche Personen und Kleinnunternehmen (Retail)</v>
      </c>
      <c r="E1365" s="1488" t="str">
        <f>'Input Basel III'!$B$176</f>
        <v>Übrige Retailpositionen</v>
      </c>
      <c r="F1365" s="1494" t="str">
        <f>'Input Basel III'!$J$174</f>
        <v>Nach Besicherung</v>
      </c>
      <c r="G1365" s="1494"/>
      <c r="H1365" s="1518">
        <f>'Input Basel III'!$J176</f>
        <v>0</v>
      </c>
      <c r="U1365" s="1027"/>
      <c r="V1365" s="1027"/>
      <c r="W1365" s="1027"/>
    </row>
    <row r="1366" spans="2:23" ht="12.75" customHeight="1" x14ac:dyDescent="0.2">
      <c r="B1366" s="1083" t="str">
        <f>'Input Basel III'!$A$1</f>
        <v>15b</v>
      </c>
      <c r="C1366" s="1084" t="str">
        <f>'Input Basel III'!$B$1</f>
        <v>Input Basel III</v>
      </c>
      <c r="D1366" s="1091" t="str">
        <f>'Input Basel III'!$A$168</f>
        <v>1 Natürliche Personen und Kleinnunternehmen (Retail)</v>
      </c>
      <c r="E1366" s="1110">
        <f>'Input Basel III'!$B$177</f>
        <v>0</v>
      </c>
      <c r="F1366" s="1494" t="str">
        <f>'Input Basel III'!$J$174</f>
        <v>Nach Besicherung</v>
      </c>
      <c r="G1366" s="1494"/>
      <c r="H1366" s="1112">
        <f>'Input Basel III'!$J177</f>
        <v>0</v>
      </c>
      <c r="U1366" s="1027"/>
      <c r="V1366" s="1027"/>
      <c r="W1366" s="1027"/>
    </row>
    <row r="1367" spans="2:23" ht="12.75" customHeight="1" x14ac:dyDescent="0.2">
      <c r="B1367" s="1083" t="str">
        <f>'Input Basel III'!$A$1</f>
        <v>15b</v>
      </c>
      <c r="C1367" s="1084" t="str">
        <f>'Input Basel III'!$B$1</f>
        <v>Input Basel III</v>
      </c>
      <c r="D1367" s="1091" t="str">
        <f>'Input Basel III'!$A$168</f>
        <v>1 Natürliche Personen und Kleinnunternehmen (Retail)</v>
      </c>
      <c r="E1367" s="1488" t="str">
        <f>'Input Basel III'!$B$175</f>
        <v>Retailpositionen, wenn der Gesamtwert der Positionen nach Art 37 Abs. 1, ohne grundpfandrechtliche Sicherung, gegenüber einer Gegenpartei 1,5 Mio Franken und 1% aller Retailpositionen nicht übersteigt</v>
      </c>
      <c r="F1367" s="1494" t="str">
        <f>'Input Basel III'!$L$174</f>
        <v>Vor Garantien und Kreditderivate</v>
      </c>
      <c r="G1367" s="1494"/>
      <c r="H1367" s="1518">
        <f>'Input Basel III'!$L175</f>
        <v>0</v>
      </c>
      <c r="U1367" s="1027"/>
      <c r="V1367" s="1027"/>
      <c r="W1367" s="1027"/>
    </row>
    <row r="1368" spans="2:23" ht="12.75" customHeight="1" x14ac:dyDescent="0.2">
      <c r="B1368" s="1083" t="str">
        <f>'Input Basel III'!$A$1</f>
        <v>15b</v>
      </c>
      <c r="C1368" s="1084" t="str">
        <f>'Input Basel III'!$B$1</f>
        <v>Input Basel III</v>
      </c>
      <c r="D1368" s="1091" t="str">
        <f>'Input Basel III'!$A$168</f>
        <v>1 Natürliche Personen und Kleinnunternehmen (Retail)</v>
      </c>
      <c r="E1368" s="1488" t="str">
        <f>'Input Basel III'!$B$176</f>
        <v>Übrige Retailpositionen</v>
      </c>
      <c r="F1368" s="1494" t="str">
        <f>'Input Basel III'!$L$174</f>
        <v>Vor Garantien und Kreditderivate</v>
      </c>
      <c r="G1368" s="1494"/>
      <c r="H1368" s="1518">
        <f>'Input Basel III'!$L176</f>
        <v>0</v>
      </c>
      <c r="U1368" s="1027"/>
      <c r="V1368" s="1027"/>
      <c r="W1368" s="1027"/>
    </row>
    <row r="1369" spans="2:23" ht="12.75" customHeight="1" x14ac:dyDescent="0.2">
      <c r="B1369" s="1083" t="str">
        <f>'Input Basel III'!$A$1</f>
        <v>15b</v>
      </c>
      <c r="C1369" s="1084" t="str">
        <f>'Input Basel III'!$B$1</f>
        <v>Input Basel III</v>
      </c>
      <c r="D1369" s="1091" t="str">
        <f>'Input Basel III'!$A$168</f>
        <v>1 Natürliche Personen und Kleinnunternehmen (Retail)</v>
      </c>
      <c r="E1369" s="1110">
        <f>'Input Basel III'!$B$177</f>
        <v>0</v>
      </c>
      <c r="F1369" s="1494" t="str">
        <f>'Input Basel III'!$L$174</f>
        <v>Vor Garantien und Kreditderivate</v>
      </c>
      <c r="G1369" s="1494"/>
      <c r="H1369" s="1112">
        <f>'Input Basel III'!$L177</f>
        <v>0</v>
      </c>
      <c r="U1369" s="1027"/>
      <c r="V1369" s="1027"/>
      <c r="W1369" s="1027"/>
    </row>
    <row r="1370" spans="2:23" ht="12.75" customHeight="1" x14ac:dyDescent="0.2">
      <c r="B1370" s="1083" t="str">
        <f>'Input Basel III'!$A$1</f>
        <v>15b</v>
      </c>
      <c r="C1370" s="1084" t="str">
        <f>'Input Basel III'!$B$1</f>
        <v>Input Basel III</v>
      </c>
      <c r="D1370" s="1091" t="str">
        <f>'Input Basel III'!$A$168</f>
        <v>1 Natürliche Personen und Kleinnunternehmen (Retail)</v>
      </c>
      <c r="E1370" s="1488" t="str">
        <f>'Input Basel III'!$B$175</f>
        <v>Retailpositionen, wenn der Gesamtwert der Positionen nach Art 37 Abs. 1, ohne grundpfandrechtliche Sicherung, gegenüber einer Gegenpartei 1,5 Mio Franken und 1% aller Retailpositionen nicht übersteigt</v>
      </c>
      <c r="F1370" s="1494" t="str">
        <f>'Input Basel III'!$M$174</f>
        <v>Nach Garantien und Kred.-.Der.</v>
      </c>
      <c r="G1370" s="1494"/>
      <c r="H1370" s="1518">
        <f>'Input Basel III'!$M175</f>
        <v>0</v>
      </c>
      <c r="U1370" s="1027"/>
      <c r="V1370" s="1027"/>
      <c r="W1370" s="1027"/>
    </row>
    <row r="1371" spans="2:23" ht="12.75" customHeight="1" x14ac:dyDescent="0.2">
      <c r="B1371" s="1083" t="str">
        <f>'Input Basel III'!$A$1</f>
        <v>15b</v>
      </c>
      <c r="C1371" s="1084" t="str">
        <f>'Input Basel III'!$B$1</f>
        <v>Input Basel III</v>
      </c>
      <c r="D1371" s="1091" t="str">
        <f>'Input Basel III'!$A$168</f>
        <v>1 Natürliche Personen und Kleinnunternehmen (Retail)</v>
      </c>
      <c r="E1371" s="1488" t="str">
        <f>'Input Basel III'!$B$176</f>
        <v>Übrige Retailpositionen</v>
      </c>
      <c r="F1371" s="1494" t="str">
        <f>'Input Basel III'!$M$174</f>
        <v>Nach Garantien und Kred.-.Der.</v>
      </c>
      <c r="G1371" s="1494"/>
      <c r="H1371" s="1518">
        <f>'Input Basel III'!$M176</f>
        <v>0</v>
      </c>
      <c r="U1371" s="1027"/>
      <c r="V1371" s="1027"/>
      <c r="W1371" s="1027"/>
    </row>
    <row r="1372" spans="2:23" ht="12.75" customHeight="1" x14ac:dyDescent="0.2">
      <c r="B1372" s="1083" t="str">
        <f>'Input Basel III'!$A$1</f>
        <v>15b</v>
      </c>
      <c r="C1372" s="1084" t="str">
        <f>'Input Basel III'!$B$1</f>
        <v>Input Basel III</v>
      </c>
      <c r="D1372" s="1091" t="str">
        <f>'Input Basel III'!$A$168</f>
        <v>1 Natürliche Personen und Kleinnunternehmen (Retail)</v>
      </c>
      <c r="E1372" s="1110">
        <f>'Input Basel III'!$B$177</f>
        <v>0</v>
      </c>
      <c r="F1372" s="1494" t="str">
        <f>'Input Basel III'!$M$174</f>
        <v>Nach Garantien und Kred.-.Der.</v>
      </c>
      <c r="G1372" s="1494"/>
      <c r="H1372" s="1112">
        <f>'Input Basel III'!$M177</f>
        <v>0</v>
      </c>
      <c r="U1372" s="1027"/>
      <c r="V1372" s="1027"/>
      <c r="W1372" s="1027"/>
    </row>
    <row r="1373" spans="2:23" ht="12.75" customHeight="1" x14ac:dyDescent="0.2">
      <c r="B1373" s="1083" t="str">
        <f>'Input Basel III'!$A$1</f>
        <v>15b</v>
      </c>
      <c r="C1373" s="1084" t="str">
        <f>'Input Basel III'!$B$1</f>
        <v>Input Basel III</v>
      </c>
      <c r="D1373" s="1091" t="str">
        <f>'Input Basel III'!$A$184</f>
        <v>2 Pfandbriefe</v>
      </c>
      <c r="E1373" s="1516" t="str">
        <f>'Input Basel III'!$B$191</f>
        <v>Inländische Pfandbriefe</v>
      </c>
      <c r="F1373" s="1494" t="str">
        <f>'Input Basel III'!$C$31</f>
        <v>Risikogewicht</v>
      </c>
      <c r="G1373" s="1494"/>
      <c r="H1373" s="1519">
        <f>'Input Basel III'!$C191</f>
        <v>0.2</v>
      </c>
      <c r="U1373" s="1027"/>
      <c r="V1373" s="1027"/>
      <c r="W1373" s="1027"/>
    </row>
    <row r="1374" spans="2:23" ht="12.75" customHeight="1" x14ac:dyDescent="0.2">
      <c r="B1374" s="1083" t="str">
        <f>'Input Basel III'!$A$1</f>
        <v>15b</v>
      </c>
      <c r="C1374" s="1084" t="str">
        <f>'Input Basel III'!$B$1</f>
        <v>Input Basel III</v>
      </c>
      <c r="D1374" s="1091" t="str">
        <f>'Input Basel III'!$A$184</f>
        <v>2 Pfandbriefe</v>
      </c>
      <c r="E1374" s="1110">
        <f>'Input Basel III'!$B$192</f>
        <v>0</v>
      </c>
      <c r="F1374" s="1494" t="str">
        <f>'Input Basel III'!$C$31</f>
        <v>Risikogewicht</v>
      </c>
      <c r="G1374" s="1494"/>
      <c r="H1374" s="1111">
        <f>'Input Basel III'!$C192</f>
        <v>0</v>
      </c>
      <c r="U1374" s="1027"/>
      <c r="V1374" s="1027"/>
      <c r="W1374" s="1027"/>
    </row>
    <row r="1375" spans="2:23" ht="12.75" customHeight="1" x14ac:dyDescent="0.2">
      <c r="B1375" s="1083" t="str">
        <f>'Input Basel III'!$A$1</f>
        <v>15b</v>
      </c>
      <c r="C1375" s="1084" t="str">
        <f>'Input Basel III'!$B$1</f>
        <v>Input Basel III</v>
      </c>
      <c r="D1375" s="1091" t="str">
        <f>'Input Basel III'!$A$184</f>
        <v>2 Pfandbriefe</v>
      </c>
      <c r="E1375" s="1516" t="str">
        <f>'Input Basel III'!$B$191</f>
        <v>Inländische Pfandbriefe</v>
      </c>
      <c r="F1375" s="1494" t="str">
        <f>'Input Basel III'!$G$189</f>
        <v>Positionen ohne Kreditrisikominderung (CRM)</v>
      </c>
      <c r="G1375" s="1494"/>
      <c r="H1375" s="1518">
        <f>'Input Basel III'!$G191</f>
        <v>0</v>
      </c>
      <c r="U1375" s="1027"/>
      <c r="V1375" s="1027"/>
      <c r="W1375" s="1027"/>
    </row>
    <row r="1376" spans="2:23" ht="12.75" customHeight="1" x14ac:dyDescent="0.2">
      <c r="B1376" s="1083" t="str">
        <f>'Input Basel III'!$A$1</f>
        <v>15b</v>
      </c>
      <c r="C1376" s="1084" t="str">
        <f>'Input Basel III'!$B$1</f>
        <v>Input Basel III</v>
      </c>
      <c r="D1376" s="1091" t="str">
        <f>'Input Basel III'!$A$184</f>
        <v>2 Pfandbriefe</v>
      </c>
      <c r="E1376" s="1110">
        <f>'Input Basel III'!$B$192</f>
        <v>0</v>
      </c>
      <c r="F1376" s="1494" t="str">
        <f>'Input Basel III'!$G$189</f>
        <v>Positionen ohne Kreditrisikominderung (CRM)</v>
      </c>
      <c r="G1376" s="1520"/>
      <c r="H1376" s="1112">
        <f>'Input Basel III'!$G192</f>
        <v>0</v>
      </c>
      <c r="U1376" s="1027"/>
      <c r="V1376" s="1027"/>
      <c r="W1376" s="1027"/>
    </row>
    <row r="1377" spans="2:23" ht="12.75" customHeight="1" x14ac:dyDescent="0.2">
      <c r="B1377" s="1083" t="str">
        <f>'Input Basel III'!$A$1</f>
        <v>15b</v>
      </c>
      <c r="C1377" s="1084" t="str">
        <f>'Input Basel III'!$B$1</f>
        <v>Input Basel III</v>
      </c>
      <c r="D1377" s="1091" t="str">
        <f>'Input Basel III'!$A$184</f>
        <v>2 Pfandbriefe</v>
      </c>
      <c r="E1377" s="1516" t="str">
        <f>'Input Basel III'!$B$191</f>
        <v>Inländische Pfandbriefe</v>
      </c>
      <c r="F1377" s="1520" t="str">
        <f>'Input Basel III'!$I$190</f>
        <v xml:space="preserve">Vor Besicherung </v>
      </c>
      <c r="G1377" s="1520"/>
      <c r="H1377" s="1518">
        <f>'Input Basel III'!$I191</f>
        <v>0</v>
      </c>
      <c r="U1377" s="1027"/>
      <c r="V1377" s="1027"/>
      <c r="W1377" s="1027"/>
    </row>
    <row r="1378" spans="2:23" ht="12.75" customHeight="1" x14ac:dyDescent="0.2">
      <c r="B1378" s="1083" t="str">
        <f>'Input Basel III'!$A$1</f>
        <v>15b</v>
      </c>
      <c r="C1378" s="1084" t="str">
        <f>'Input Basel III'!$B$1</f>
        <v>Input Basel III</v>
      </c>
      <c r="D1378" s="1091" t="str">
        <f>'Input Basel III'!$A$184</f>
        <v>2 Pfandbriefe</v>
      </c>
      <c r="E1378" s="1110">
        <f>'Input Basel III'!$B$192</f>
        <v>0</v>
      </c>
      <c r="F1378" s="1520" t="str">
        <f>'Input Basel III'!$I$190</f>
        <v xml:space="preserve">Vor Besicherung </v>
      </c>
      <c r="G1378" s="1520"/>
      <c r="H1378" s="1112">
        <f>'Input Basel III'!$I192</f>
        <v>0</v>
      </c>
      <c r="U1378" s="1027"/>
      <c r="V1378" s="1027"/>
      <c r="W1378" s="1027"/>
    </row>
    <row r="1379" spans="2:23" ht="12.75" customHeight="1" x14ac:dyDescent="0.2">
      <c r="B1379" s="1083" t="str">
        <f>'Input Basel III'!$A$1</f>
        <v>15b</v>
      </c>
      <c r="C1379" s="1084" t="str">
        <f>'Input Basel III'!$B$1</f>
        <v>Input Basel III</v>
      </c>
      <c r="D1379" s="1091" t="str">
        <f>'Input Basel III'!$A$184</f>
        <v>2 Pfandbriefe</v>
      </c>
      <c r="E1379" s="1516" t="str">
        <f>'Input Basel III'!$B$191</f>
        <v>Inländische Pfandbriefe</v>
      </c>
      <c r="F1379" s="1520" t="str">
        <f>'Input Basel III'!$J$190</f>
        <v>Nach Besicherung</v>
      </c>
      <c r="G1379" s="1520"/>
      <c r="H1379" s="1518">
        <f>'Input Basel III'!$J191</f>
        <v>0</v>
      </c>
      <c r="U1379" s="1027"/>
      <c r="V1379" s="1027"/>
      <c r="W1379" s="1027"/>
    </row>
    <row r="1380" spans="2:23" ht="12.75" customHeight="1" x14ac:dyDescent="0.2">
      <c r="B1380" s="1083" t="str">
        <f>'Input Basel III'!$A$1</f>
        <v>15b</v>
      </c>
      <c r="C1380" s="1084" t="str">
        <f>'Input Basel III'!$B$1</f>
        <v>Input Basel III</v>
      </c>
      <c r="D1380" s="1091" t="str">
        <f>'Input Basel III'!$A$184</f>
        <v>2 Pfandbriefe</v>
      </c>
      <c r="E1380" s="1110">
        <f>'Input Basel III'!$B$192</f>
        <v>0</v>
      </c>
      <c r="F1380" s="1520" t="str">
        <f>'Input Basel III'!$J$190</f>
        <v>Nach Besicherung</v>
      </c>
      <c r="G1380" s="1520"/>
      <c r="H1380" s="1112">
        <f>'Input Basel III'!$J192</f>
        <v>0</v>
      </c>
      <c r="U1380" s="1027"/>
      <c r="V1380" s="1027"/>
      <c r="W1380" s="1027"/>
    </row>
    <row r="1381" spans="2:23" ht="12.75" customHeight="1" x14ac:dyDescent="0.2">
      <c r="B1381" s="1083" t="str">
        <f>'Input Basel III'!$A$1</f>
        <v>15b</v>
      </c>
      <c r="C1381" s="1084" t="str">
        <f>'Input Basel III'!$B$1</f>
        <v>Input Basel III</v>
      </c>
      <c r="D1381" s="1091" t="str">
        <f>'Input Basel III'!$A$184</f>
        <v>2 Pfandbriefe</v>
      </c>
      <c r="E1381" s="1516" t="str">
        <f>'Input Basel III'!$B$191</f>
        <v>Inländische Pfandbriefe</v>
      </c>
      <c r="F1381" s="1520" t="str">
        <f>'Input Basel III'!$L$190</f>
        <v>Vor Garantien und Kreditderivate</v>
      </c>
      <c r="G1381" s="1520"/>
      <c r="H1381" s="1518">
        <f>'Input Basel III'!$L191</f>
        <v>0</v>
      </c>
      <c r="U1381" s="1027"/>
      <c r="V1381" s="1027"/>
      <c r="W1381" s="1027"/>
    </row>
    <row r="1382" spans="2:23" ht="12.75" customHeight="1" x14ac:dyDescent="0.2">
      <c r="B1382" s="1083" t="str">
        <f>'Input Basel III'!$A$1</f>
        <v>15b</v>
      </c>
      <c r="C1382" s="1084" t="str">
        <f>'Input Basel III'!$B$1</f>
        <v>Input Basel III</v>
      </c>
      <c r="D1382" s="1091" t="str">
        <f>'Input Basel III'!$A$184</f>
        <v>2 Pfandbriefe</v>
      </c>
      <c r="E1382" s="1110">
        <f>'Input Basel III'!$B$192</f>
        <v>0</v>
      </c>
      <c r="F1382" s="1520" t="str">
        <f>'Input Basel III'!$L$190</f>
        <v>Vor Garantien und Kreditderivate</v>
      </c>
      <c r="G1382" s="1520"/>
      <c r="H1382" s="1112">
        <f>'Input Basel III'!$L192</f>
        <v>0</v>
      </c>
      <c r="U1382" s="1027"/>
      <c r="V1382" s="1027"/>
      <c r="W1382" s="1027"/>
    </row>
    <row r="1383" spans="2:23" ht="12.75" customHeight="1" x14ac:dyDescent="0.2">
      <c r="B1383" s="1083" t="str">
        <f>'Input Basel III'!$A$1</f>
        <v>15b</v>
      </c>
      <c r="C1383" s="1084" t="str">
        <f>'Input Basel III'!$B$1</f>
        <v>Input Basel III</v>
      </c>
      <c r="D1383" s="1091" t="str">
        <f>'Input Basel III'!$A$184</f>
        <v>2 Pfandbriefe</v>
      </c>
      <c r="E1383" s="1516" t="str">
        <f>'Input Basel III'!$B$191</f>
        <v>Inländische Pfandbriefe</v>
      </c>
      <c r="F1383" s="1520" t="str">
        <f>'Input Basel III'!$M$190</f>
        <v>Nach Garantien und Kred.-.Der.</v>
      </c>
      <c r="G1383" s="1520"/>
      <c r="H1383" s="1518">
        <f>'Input Basel III'!$M191</f>
        <v>0</v>
      </c>
      <c r="U1383" s="1027"/>
      <c r="V1383" s="1027"/>
      <c r="W1383" s="1027"/>
    </row>
    <row r="1384" spans="2:23" ht="12.75" customHeight="1" x14ac:dyDescent="0.2">
      <c r="B1384" s="1083" t="str">
        <f>'Input Basel III'!$A$1</f>
        <v>15b</v>
      </c>
      <c r="C1384" s="1084" t="str">
        <f>'Input Basel III'!$B$1</f>
        <v>Input Basel III</v>
      </c>
      <c r="D1384" s="1091" t="str">
        <f>'Input Basel III'!$A$184</f>
        <v>2 Pfandbriefe</v>
      </c>
      <c r="E1384" s="1110">
        <f>'Input Basel III'!$B$192</f>
        <v>0</v>
      </c>
      <c r="F1384" s="1520" t="str">
        <f>'Input Basel III'!$M$190</f>
        <v>Nach Garantien und Kred.-.Der.</v>
      </c>
      <c r="G1384" s="1520"/>
      <c r="H1384" s="1112">
        <f>'Input Basel III'!$M192</f>
        <v>0</v>
      </c>
      <c r="U1384" s="1027"/>
      <c r="V1384" s="1027"/>
      <c r="W1384" s="1027"/>
    </row>
    <row r="1385" spans="2:23" ht="12.75" customHeight="1" x14ac:dyDescent="0.2">
      <c r="B1385" s="1083" t="str">
        <f>'Input Basel III'!$A$1</f>
        <v>15b</v>
      </c>
      <c r="C1385" s="1084" t="str">
        <f>'Input Basel III'!$B$1</f>
        <v>Input Basel III</v>
      </c>
      <c r="D1385" s="1091" t="str">
        <f>'Input Basel III'!$A$197</f>
        <v>3 Direkt und indirekt grundpfandgesicherte Positionen</v>
      </c>
      <c r="E1385"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85" s="1494" t="str">
        <f>'Input Basel III'!$C$31</f>
        <v>Risikogewicht</v>
      </c>
      <c r="G1385" s="1494"/>
      <c r="H1385" s="1519">
        <f>'Input Basel III'!$C201</f>
        <v>0.35</v>
      </c>
      <c r="U1385" s="1027"/>
      <c r="V1385" s="1027"/>
      <c r="W1385" s="1027"/>
    </row>
    <row r="1386" spans="2:23" ht="12.75" customHeight="1" x14ac:dyDescent="0.2">
      <c r="B1386" s="1083" t="str">
        <f>'Input Basel III'!$A$1</f>
        <v>15b</v>
      </c>
      <c r="C1386" s="1084" t="str">
        <f>'Input Basel III'!$B$1</f>
        <v>Input Basel III</v>
      </c>
      <c r="D1386" s="1091" t="str">
        <f>'Input Basel III'!$A$197</f>
        <v>3 Direkt und indirekt grundpfandgesicherte Positionen</v>
      </c>
      <c r="E1386" s="1608"/>
      <c r="F1386" s="1617" t="str">
        <f>'Input Basel III'!$C$31</f>
        <v>Risikogewicht</v>
      </c>
      <c r="G1386" s="1617" t="s">
        <v>1992</v>
      </c>
      <c r="H1386" s="1618"/>
      <c r="U1386" s="1027"/>
      <c r="V1386" s="1027"/>
      <c r="W1386" s="1027"/>
    </row>
    <row r="1387" spans="2:23" ht="12.75" customHeight="1" x14ac:dyDescent="0.2">
      <c r="B1387" s="1083" t="str">
        <f>'Input Basel III'!$A$1</f>
        <v>15b</v>
      </c>
      <c r="C1387" s="1084" t="str">
        <f>'Input Basel III'!$B$1</f>
        <v>Input Basel III</v>
      </c>
      <c r="D1387" s="1091" t="str">
        <f>'Input Basel III'!$A$197</f>
        <v>3 Direkt und indirekt grundpfandgesicherte Positionen</v>
      </c>
      <c r="E1387" s="1608"/>
      <c r="F1387" s="1617" t="str">
        <f>'Input Basel III'!$C$31</f>
        <v>Risikogewicht</v>
      </c>
      <c r="G1387" s="1617" t="s">
        <v>1992</v>
      </c>
      <c r="H1387" s="1618"/>
      <c r="U1387" s="1027"/>
      <c r="V1387" s="1027"/>
      <c r="W1387" s="1027"/>
    </row>
    <row r="1388" spans="2:23" ht="12.75" customHeight="1" x14ac:dyDescent="0.2">
      <c r="B1388" s="1083" t="str">
        <f>'Input Basel III'!$A$1</f>
        <v>15b</v>
      </c>
      <c r="C1388" s="1084" t="str">
        <f>'Input Basel III'!$B$1</f>
        <v>Input Basel III</v>
      </c>
      <c r="D1388" s="1091" t="str">
        <f>'Input Basel III'!$A$197</f>
        <v>3 Direkt und indirekt grundpfandgesicherte Positionen</v>
      </c>
      <c r="E1388" s="1608"/>
      <c r="F1388" s="1617" t="str">
        <f>'Input Basel III'!$C$31</f>
        <v>Risikogewicht</v>
      </c>
      <c r="G1388" s="1617" t="s">
        <v>1992</v>
      </c>
      <c r="H1388" s="1618"/>
      <c r="U1388" s="1027"/>
      <c r="V1388" s="1027"/>
      <c r="W1388" s="1027"/>
    </row>
    <row r="1389" spans="2:23" ht="12.75" customHeight="1" x14ac:dyDescent="0.2">
      <c r="B1389" s="1083" t="str">
        <f>'Input Basel III'!$A$1</f>
        <v>15b</v>
      </c>
      <c r="C1389" s="1084" t="str">
        <f>'Input Basel III'!$B$1</f>
        <v>Input Basel III</v>
      </c>
      <c r="D1389" s="1091" t="str">
        <f>'Input Basel III'!$A$197</f>
        <v>3 Direkt und indirekt grundpfandgesicherte Positionen</v>
      </c>
      <c r="E1389" s="1608"/>
      <c r="F1389" s="1617" t="str">
        <f>'Input Basel III'!$C$31</f>
        <v>Risikogewicht</v>
      </c>
      <c r="G1389" s="1617" t="s">
        <v>1992</v>
      </c>
      <c r="H1389" s="1618"/>
      <c r="U1389" s="1027"/>
      <c r="V1389" s="1027"/>
      <c r="W1389" s="1027"/>
    </row>
    <row r="1390" spans="2:23" ht="12.75" customHeight="1" x14ac:dyDescent="0.2">
      <c r="B1390" s="1083" t="str">
        <f>'Input Basel III'!$A$1</f>
        <v>15b</v>
      </c>
      <c r="C1390" s="1084" t="str">
        <f>'Input Basel III'!$B$1</f>
        <v>Input Basel III</v>
      </c>
      <c r="D1390" s="1091" t="str">
        <f>'Input Basel III'!$A$197</f>
        <v>3 Direkt und indirekt grundpfandgesicherte Positionen</v>
      </c>
      <c r="E1390" s="1608"/>
      <c r="F1390" s="1617" t="str">
        <f>'Input Basel III'!$C$31</f>
        <v>Risikogewicht</v>
      </c>
      <c r="G1390" s="1617" t="s">
        <v>1992</v>
      </c>
      <c r="H1390" s="1618"/>
      <c r="U1390" s="1027"/>
      <c r="V1390" s="1027"/>
      <c r="W1390" s="1027"/>
    </row>
    <row r="1391" spans="2:23" ht="12.75" customHeight="1" x14ac:dyDescent="0.2">
      <c r="B1391" s="1083" t="str">
        <f>'Input Basel III'!$A$1</f>
        <v>15b</v>
      </c>
      <c r="C1391" s="1084" t="str">
        <f>'Input Basel III'!$B$1</f>
        <v>Input Basel III</v>
      </c>
      <c r="D1391" s="1091" t="str">
        <f>'Input Basel III'!$A$197</f>
        <v>3 Direkt und indirekt grundpfandgesicherte Positionen</v>
      </c>
      <c r="E1391" s="1516" t="str">
        <f>'Input Basel III'!$B$204</f>
        <v xml:space="preserve">Direkt und indirekt grundpfandgesicherte Positionen: Übrige Liegenschaften </v>
      </c>
      <c r="F1391" s="1494" t="str">
        <f>'Input Basel III'!$C$31</f>
        <v>Risikogewicht</v>
      </c>
      <c r="G1391" s="1494"/>
      <c r="H1391" s="1519">
        <f>'Input Basel III'!$C204</f>
        <v>1</v>
      </c>
      <c r="U1391" s="1027"/>
      <c r="V1391" s="1027"/>
      <c r="W1391" s="1027"/>
    </row>
    <row r="1392" spans="2:23" ht="12.75" customHeight="1" x14ac:dyDescent="0.2">
      <c r="B1392" s="1083" t="str">
        <f>'Input Basel III'!$A$1</f>
        <v>15b</v>
      </c>
      <c r="C1392" s="1084" t="str">
        <f>'Input Basel III'!$B$1</f>
        <v>Input Basel III</v>
      </c>
      <c r="D1392" s="1091" t="str">
        <f>'Input Basel III'!$A$197</f>
        <v>3 Direkt und indirekt grundpfandgesicherte Positionen</v>
      </c>
      <c r="E1392" s="1110">
        <f>'Input Basel III'!$B$205</f>
        <v>0</v>
      </c>
      <c r="F1392" s="1494" t="str">
        <f>'Input Basel III'!$C$31</f>
        <v>Risikogewicht</v>
      </c>
      <c r="G1392" s="1494"/>
      <c r="H1392" s="1111">
        <f>'Input Basel III'!$C205</f>
        <v>0</v>
      </c>
      <c r="U1392" s="1027"/>
      <c r="V1392" s="1027"/>
      <c r="W1392" s="1027"/>
    </row>
    <row r="1393" spans="2:23" ht="12.75" customHeight="1" x14ac:dyDescent="0.2">
      <c r="B1393" s="1083" t="str">
        <f>'Input Basel III'!$A$1</f>
        <v>15b</v>
      </c>
      <c r="C1393" s="1084" t="str">
        <f>'Input Basel III'!$B$1</f>
        <v>Input Basel III</v>
      </c>
      <c r="D1393" s="1091" t="str">
        <f>'Input Basel III'!$A$197</f>
        <v>3 Direkt und indirekt grundpfandgesicherte Positionen</v>
      </c>
      <c r="E1393"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93" s="1520" t="str">
        <f>'Input Basel III'!$G$199</f>
        <v>Positionen ohne Kreditrisikominderung (CRM)</v>
      </c>
      <c r="G1393" s="1520"/>
      <c r="H1393" s="1518">
        <f>'Input Basel III'!$G201</f>
        <v>0</v>
      </c>
      <c r="U1393" s="1027"/>
      <c r="V1393" s="1027"/>
      <c r="W1393" s="1027"/>
    </row>
    <row r="1394" spans="2:23" ht="12.75" customHeight="1" x14ac:dyDescent="0.2">
      <c r="B1394" s="1083" t="str">
        <f>'Input Basel III'!$A$1</f>
        <v>15b</v>
      </c>
      <c r="C1394" s="1084" t="str">
        <f>'Input Basel III'!$B$1</f>
        <v>Input Basel III</v>
      </c>
      <c r="D1394" s="1091" t="str">
        <f>'Input Basel III'!$A$197</f>
        <v>3 Direkt und indirekt grundpfandgesicherte Positionen</v>
      </c>
      <c r="E1394" s="151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394" s="1520" t="str">
        <f>'Input Basel III'!$G$199</f>
        <v>Positionen ohne Kreditrisikominderung (CRM)</v>
      </c>
      <c r="G1394" s="1520"/>
      <c r="H1394" s="1518">
        <f>'Input Basel III'!$G202</f>
        <v>0</v>
      </c>
      <c r="U1394" s="1027"/>
      <c r="V1394" s="1027"/>
      <c r="W1394" s="1027"/>
    </row>
    <row r="1395" spans="2:23" ht="12.75" customHeight="1" x14ac:dyDescent="0.2">
      <c r="B1395" s="1083" t="str">
        <f>'Input Basel III'!$A$1</f>
        <v>15b</v>
      </c>
      <c r="C1395" s="1084" t="str">
        <f>'Input Basel III'!$B$1</f>
        <v>Input Basel III</v>
      </c>
      <c r="D1395" s="1091" t="str">
        <f>'Input Basel III'!$A$197</f>
        <v>3 Direkt und indirekt grundpfandgesicherte Positionen</v>
      </c>
      <c r="E1395" s="1608"/>
      <c r="F1395" s="1617" t="str">
        <f>'Input Basel III'!$G$199</f>
        <v>Positionen ohne Kreditrisikominderung (CRM)</v>
      </c>
      <c r="G1395" s="1617" t="s">
        <v>1992</v>
      </c>
      <c r="H1395" s="1618"/>
      <c r="U1395" s="1027"/>
      <c r="V1395" s="1027"/>
      <c r="W1395" s="1027"/>
    </row>
    <row r="1396" spans="2:23" ht="12.75" customHeight="1" x14ac:dyDescent="0.2">
      <c r="B1396" s="1083" t="str">
        <f>'Input Basel III'!$A$1</f>
        <v>15b</v>
      </c>
      <c r="C1396" s="1084" t="str">
        <f>'Input Basel III'!$B$1</f>
        <v>Input Basel III</v>
      </c>
      <c r="D1396" s="1091" t="str">
        <f>'Input Basel III'!$A$197</f>
        <v>3 Direkt und indirekt grundpfandgesicherte Positionen</v>
      </c>
      <c r="E1396" s="1608"/>
      <c r="F1396" s="1617" t="str">
        <f>'Input Basel III'!$G$199</f>
        <v>Positionen ohne Kreditrisikominderung (CRM)</v>
      </c>
      <c r="G1396" s="1617" t="s">
        <v>1992</v>
      </c>
      <c r="H1396" s="1618"/>
      <c r="U1396" s="1027"/>
      <c r="V1396" s="1027"/>
      <c r="W1396" s="1027"/>
    </row>
    <row r="1397" spans="2:23" ht="12.75" customHeight="1" x14ac:dyDescent="0.2">
      <c r="B1397" s="1083" t="str">
        <f>'Input Basel III'!$A$1</f>
        <v>15b</v>
      </c>
      <c r="C1397" s="1084" t="str">
        <f>'Input Basel III'!$B$1</f>
        <v>Input Basel III</v>
      </c>
      <c r="D1397" s="1091" t="str">
        <f>'Input Basel III'!$A$197</f>
        <v>3 Direkt und indirekt grundpfandgesicherte Positionen</v>
      </c>
      <c r="E1397" s="1608"/>
      <c r="F1397" s="1617" t="str">
        <f>'Input Basel III'!$G$199</f>
        <v>Positionen ohne Kreditrisikominderung (CRM)</v>
      </c>
      <c r="G1397" s="1617" t="s">
        <v>1992</v>
      </c>
      <c r="H1397" s="1618"/>
      <c r="U1397" s="1027"/>
      <c r="V1397" s="1027"/>
      <c r="W1397" s="1027"/>
    </row>
    <row r="1398" spans="2:23" ht="12.75" customHeight="1" x14ac:dyDescent="0.2">
      <c r="B1398" s="1083" t="str">
        <f>'Input Basel III'!$A$1</f>
        <v>15b</v>
      </c>
      <c r="C1398" s="1084" t="str">
        <f>'Input Basel III'!$B$1</f>
        <v>Input Basel III</v>
      </c>
      <c r="D1398" s="1091" t="str">
        <f>'Input Basel III'!$A$197</f>
        <v>3 Direkt und indirekt grundpfandgesicherte Positionen</v>
      </c>
      <c r="E1398" s="1608"/>
      <c r="F1398" s="1617" t="str">
        <f>'Input Basel III'!$G$199</f>
        <v>Positionen ohne Kreditrisikominderung (CRM)</v>
      </c>
      <c r="G1398" s="1617" t="s">
        <v>1992</v>
      </c>
      <c r="H1398" s="1618"/>
      <c r="U1398" s="1027"/>
      <c r="V1398" s="1027"/>
      <c r="W1398" s="1027"/>
    </row>
    <row r="1399" spans="2:23" ht="12.75" customHeight="1" x14ac:dyDescent="0.2">
      <c r="B1399" s="1083" t="str">
        <f>'Input Basel III'!$A$1</f>
        <v>15b</v>
      </c>
      <c r="C1399" s="1084" t="str">
        <f>'Input Basel III'!$B$1</f>
        <v>Input Basel III</v>
      </c>
      <c r="D1399" s="1091" t="str">
        <f>'Input Basel III'!$A$197</f>
        <v>3 Direkt und indirekt grundpfandgesicherte Positionen</v>
      </c>
      <c r="E1399" s="1608"/>
      <c r="F1399" s="1617" t="str">
        <f>'Input Basel III'!$G$199</f>
        <v>Positionen ohne Kreditrisikominderung (CRM)</v>
      </c>
      <c r="G1399" s="1617" t="s">
        <v>1992</v>
      </c>
      <c r="H1399" s="1618"/>
      <c r="U1399" s="1027"/>
      <c r="V1399" s="1027"/>
      <c r="W1399" s="1027"/>
    </row>
    <row r="1400" spans="2:23" ht="12.75" customHeight="1" x14ac:dyDescent="0.2">
      <c r="B1400" s="1083" t="str">
        <f>'Input Basel III'!$A$1</f>
        <v>15b</v>
      </c>
      <c r="C1400" s="1084" t="str">
        <f>'Input Basel III'!$B$1</f>
        <v>Input Basel III</v>
      </c>
      <c r="D1400" s="1091" t="str">
        <f>'Input Basel III'!$A$197</f>
        <v>3 Direkt und indirekt grundpfandgesicherte Positionen</v>
      </c>
      <c r="E1400" s="1110">
        <f>'Input Basel III'!$B$205</f>
        <v>0</v>
      </c>
      <c r="F1400" s="1520" t="str">
        <f>'Input Basel III'!$G$199</f>
        <v>Positionen ohne Kreditrisikominderung (CRM)</v>
      </c>
      <c r="G1400" s="1520"/>
      <c r="H1400" s="1112">
        <f>'Input Basel III'!$G205</f>
        <v>0</v>
      </c>
      <c r="U1400" s="1027"/>
      <c r="V1400" s="1027"/>
      <c r="W1400" s="1027"/>
    </row>
    <row r="1401" spans="2:23" ht="12.75" customHeight="1" x14ac:dyDescent="0.2">
      <c r="B1401" s="1083" t="str">
        <f>'Input Basel III'!$A$1</f>
        <v>15b</v>
      </c>
      <c r="C1401" s="1084" t="str">
        <f>'Input Basel III'!$B$1</f>
        <v>Input Basel III</v>
      </c>
      <c r="D1401" s="1091" t="str">
        <f>'Input Basel III'!$A$197</f>
        <v>3 Direkt und indirekt grundpfandgesicherte Positionen</v>
      </c>
      <c r="E1401"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1" s="1520" t="str">
        <f>'Input Basel III'!$I$200</f>
        <v xml:space="preserve">Vor Besicherung </v>
      </c>
      <c r="G1401" s="1520"/>
      <c r="H1401" s="1518">
        <f>'Input Basel III'!$I201</f>
        <v>0</v>
      </c>
      <c r="U1401" s="1027"/>
      <c r="V1401" s="1027"/>
      <c r="W1401" s="1027"/>
    </row>
    <row r="1402" spans="2:23" ht="12.75" customHeight="1" x14ac:dyDescent="0.2">
      <c r="B1402" s="1083" t="str">
        <f>'Input Basel III'!$A$1</f>
        <v>15b</v>
      </c>
      <c r="C1402" s="1084" t="str">
        <f>'Input Basel III'!$B$1</f>
        <v>Input Basel III</v>
      </c>
      <c r="D1402" s="1091" t="str">
        <f>'Input Basel III'!$A$197</f>
        <v>3 Direkt und indirekt grundpfandgesicherte Positionen</v>
      </c>
      <c r="E1402" s="151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02" s="1520" t="str">
        <f>'Input Basel III'!$I$200</f>
        <v xml:space="preserve">Vor Besicherung </v>
      </c>
      <c r="G1402" s="1520"/>
      <c r="H1402" s="1518">
        <f>'Input Basel III'!$I202</f>
        <v>0</v>
      </c>
      <c r="U1402" s="1027"/>
      <c r="V1402" s="1027"/>
      <c r="W1402" s="1027"/>
    </row>
    <row r="1403" spans="2:23" ht="12.75" customHeight="1" x14ac:dyDescent="0.2">
      <c r="B1403" s="1083" t="str">
        <f>'Input Basel III'!$A$1</f>
        <v>15b</v>
      </c>
      <c r="C1403" s="1084" t="str">
        <f>'Input Basel III'!$B$1</f>
        <v>Input Basel III</v>
      </c>
      <c r="D1403" s="1091" t="str">
        <f>'Input Basel III'!$A$197</f>
        <v>3 Direkt und indirekt grundpfandgesicherte Positionen</v>
      </c>
      <c r="E1403" s="1608"/>
      <c r="F1403" s="1617" t="str">
        <f>'Input Basel III'!$I$200</f>
        <v xml:space="preserve">Vor Besicherung </v>
      </c>
      <c r="G1403" s="1617" t="s">
        <v>1992</v>
      </c>
      <c r="H1403" s="1618"/>
      <c r="U1403" s="1027"/>
      <c r="V1403" s="1027"/>
      <c r="W1403" s="1027"/>
    </row>
    <row r="1404" spans="2:23" ht="12.75" customHeight="1" x14ac:dyDescent="0.2">
      <c r="B1404" s="1083" t="str">
        <f>'Input Basel III'!$A$1</f>
        <v>15b</v>
      </c>
      <c r="C1404" s="1084" t="str">
        <f>'Input Basel III'!$B$1</f>
        <v>Input Basel III</v>
      </c>
      <c r="D1404" s="1091" t="str">
        <f>'Input Basel III'!$A$197</f>
        <v>3 Direkt und indirekt grundpfandgesicherte Positionen</v>
      </c>
      <c r="E1404" s="1608"/>
      <c r="F1404" s="1617" t="str">
        <f>'Input Basel III'!$I$200</f>
        <v xml:space="preserve">Vor Besicherung </v>
      </c>
      <c r="G1404" s="1617" t="s">
        <v>1992</v>
      </c>
      <c r="H1404" s="1618"/>
      <c r="U1404" s="1027"/>
      <c r="V1404" s="1027"/>
      <c r="W1404" s="1027"/>
    </row>
    <row r="1405" spans="2:23" ht="12.75" customHeight="1" x14ac:dyDescent="0.2">
      <c r="B1405" s="1083" t="str">
        <f>'Input Basel III'!$A$1</f>
        <v>15b</v>
      </c>
      <c r="C1405" s="1084" t="str">
        <f>'Input Basel III'!$B$1</f>
        <v>Input Basel III</v>
      </c>
      <c r="D1405" s="1091" t="str">
        <f>'Input Basel III'!$A$197</f>
        <v>3 Direkt und indirekt grundpfandgesicherte Positionen</v>
      </c>
      <c r="E1405" s="1608"/>
      <c r="F1405" s="1617" t="str">
        <f>'Input Basel III'!$I$200</f>
        <v xml:space="preserve">Vor Besicherung </v>
      </c>
      <c r="G1405" s="1617" t="s">
        <v>1992</v>
      </c>
      <c r="H1405" s="1618"/>
      <c r="U1405" s="1027"/>
      <c r="V1405" s="1027"/>
      <c r="W1405" s="1027"/>
    </row>
    <row r="1406" spans="2:23" ht="12.75" customHeight="1" x14ac:dyDescent="0.2">
      <c r="B1406" s="1083" t="str">
        <f>'Input Basel III'!$A$1</f>
        <v>15b</v>
      </c>
      <c r="C1406" s="1084" t="str">
        <f>'Input Basel III'!$B$1</f>
        <v>Input Basel III</v>
      </c>
      <c r="D1406" s="1091" t="str">
        <f>'Input Basel III'!$A$197</f>
        <v>3 Direkt und indirekt grundpfandgesicherte Positionen</v>
      </c>
      <c r="E1406" s="1608"/>
      <c r="F1406" s="1617" t="str">
        <f>'Input Basel III'!$I$200</f>
        <v xml:space="preserve">Vor Besicherung </v>
      </c>
      <c r="G1406" s="1617" t="s">
        <v>1992</v>
      </c>
      <c r="H1406" s="1618"/>
      <c r="U1406" s="1027"/>
      <c r="V1406" s="1027"/>
      <c r="W1406" s="1027"/>
    </row>
    <row r="1407" spans="2:23" ht="12.75" customHeight="1" x14ac:dyDescent="0.2">
      <c r="B1407" s="1083" t="str">
        <f>'Input Basel III'!$A$1</f>
        <v>15b</v>
      </c>
      <c r="C1407" s="1084" t="str">
        <f>'Input Basel III'!$B$1</f>
        <v>Input Basel III</v>
      </c>
      <c r="D1407" s="1091" t="str">
        <f>'Input Basel III'!$A$197</f>
        <v>3 Direkt und indirekt grundpfandgesicherte Positionen</v>
      </c>
      <c r="E1407" s="1608"/>
      <c r="F1407" s="1617" t="str">
        <f>'Input Basel III'!$I$200</f>
        <v xml:space="preserve">Vor Besicherung </v>
      </c>
      <c r="G1407" s="1617" t="s">
        <v>1992</v>
      </c>
      <c r="H1407" s="1618"/>
      <c r="U1407" s="1027"/>
      <c r="V1407" s="1027"/>
      <c r="W1407" s="1027"/>
    </row>
    <row r="1408" spans="2:23" ht="12.75" customHeight="1" x14ac:dyDescent="0.2">
      <c r="B1408" s="1083" t="str">
        <f>'Input Basel III'!$A$1</f>
        <v>15b</v>
      </c>
      <c r="C1408" s="1084" t="str">
        <f>'Input Basel III'!$B$1</f>
        <v>Input Basel III</v>
      </c>
      <c r="D1408" s="1091" t="str">
        <f>'Input Basel III'!$A$197</f>
        <v>3 Direkt und indirekt grundpfandgesicherte Positionen</v>
      </c>
      <c r="E1408" s="1110">
        <f>'Input Basel III'!$B$205</f>
        <v>0</v>
      </c>
      <c r="F1408" s="1520" t="str">
        <f>'Input Basel III'!$I$200</f>
        <v xml:space="preserve">Vor Besicherung </v>
      </c>
      <c r="G1408" s="1520"/>
      <c r="H1408" s="1112">
        <f>'Input Basel III'!$I205</f>
        <v>0</v>
      </c>
      <c r="U1408" s="1027"/>
      <c r="V1408" s="1027"/>
      <c r="W1408" s="1027"/>
    </row>
    <row r="1409" spans="2:23" ht="12.75" customHeight="1" x14ac:dyDescent="0.2">
      <c r="B1409" s="1083" t="str">
        <f>'Input Basel III'!$A$1</f>
        <v>15b</v>
      </c>
      <c r="C1409" s="1084" t="str">
        <f>'Input Basel III'!$B$1</f>
        <v>Input Basel III</v>
      </c>
      <c r="D1409" s="1091" t="str">
        <f>'Input Basel III'!$A$197</f>
        <v>3 Direkt und indirekt grundpfandgesicherte Positionen</v>
      </c>
      <c r="E1409"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9" s="1520" t="str">
        <f>'Input Basel III'!$J$200</f>
        <v>Nach Besicherung</v>
      </c>
      <c r="G1409" s="1520"/>
      <c r="H1409" s="1518">
        <f>'Input Basel III'!$J201</f>
        <v>0</v>
      </c>
      <c r="U1409" s="1027"/>
      <c r="V1409" s="1027"/>
      <c r="W1409" s="1027"/>
    </row>
    <row r="1410" spans="2:23" ht="12.75" customHeight="1" x14ac:dyDescent="0.2">
      <c r="B1410" s="1083" t="str">
        <f>'Input Basel III'!$A$1</f>
        <v>15b</v>
      </c>
      <c r="C1410" s="1084" t="str">
        <f>'Input Basel III'!$B$1</f>
        <v>Input Basel III</v>
      </c>
      <c r="D1410" s="1091" t="str">
        <f>'Input Basel III'!$A$197</f>
        <v>3 Direkt und indirekt grundpfandgesicherte Positionen</v>
      </c>
      <c r="E1410" s="151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0" s="1520" t="str">
        <f>'Input Basel III'!$J$200</f>
        <v>Nach Besicherung</v>
      </c>
      <c r="G1410" s="1520"/>
      <c r="H1410" s="1518">
        <f>'Input Basel III'!$J202</f>
        <v>0</v>
      </c>
      <c r="U1410" s="1027"/>
      <c r="V1410" s="1027"/>
      <c r="W1410" s="1027"/>
    </row>
    <row r="1411" spans="2:23" ht="12.75" customHeight="1" x14ac:dyDescent="0.2">
      <c r="B1411" s="1083" t="str">
        <f>'Input Basel III'!$A$1</f>
        <v>15b</v>
      </c>
      <c r="C1411" s="1084" t="str">
        <f>'Input Basel III'!$B$1</f>
        <v>Input Basel III</v>
      </c>
      <c r="D1411" s="1091" t="str">
        <f>'Input Basel III'!$A$197</f>
        <v>3 Direkt und indirekt grundpfandgesicherte Positionen</v>
      </c>
      <c r="E1411" s="1608"/>
      <c r="F1411" s="1617" t="str">
        <f>'Input Basel III'!$J$200</f>
        <v>Nach Besicherung</v>
      </c>
      <c r="G1411" s="1617" t="s">
        <v>1992</v>
      </c>
      <c r="H1411" s="1618"/>
      <c r="U1411" s="1027"/>
      <c r="V1411" s="1027"/>
      <c r="W1411" s="1027"/>
    </row>
    <row r="1412" spans="2:23" ht="12.75" customHeight="1" x14ac:dyDescent="0.2">
      <c r="B1412" s="1083" t="str">
        <f>'Input Basel III'!$A$1</f>
        <v>15b</v>
      </c>
      <c r="C1412" s="1084" t="str">
        <f>'Input Basel III'!$B$1</f>
        <v>Input Basel III</v>
      </c>
      <c r="D1412" s="1091" t="str">
        <f>'Input Basel III'!$A$197</f>
        <v>3 Direkt und indirekt grundpfandgesicherte Positionen</v>
      </c>
      <c r="E1412" s="1608"/>
      <c r="F1412" s="1617" t="str">
        <f>'Input Basel III'!$J$200</f>
        <v>Nach Besicherung</v>
      </c>
      <c r="G1412" s="1617" t="s">
        <v>1992</v>
      </c>
      <c r="H1412" s="1618"/>
      <c r="U1412" s="1027"/>
      <c r="V1412" s="1027"/>
      <c r="W1412" s="1027"/>
    </row>
    <row r="1413" spans="2:23" ht="12.75" customHeight="1" x14ac:dyDescent="0.2">
      <c r="B1413" s="1083" t="str">
        <f>'Input Basel III'!$A$1</f>
        <v>15b</v>
      </c>
      <c r="C1413" s="1084" t="str">
        <f>'Input Basel III'!$B$1</f>
        <v>Input Basel III</v>
      </c>
      <c r="D1413" s="1091" t="str">
        <f>'Input Basel III'!$A$197</f>
        <v>3 Direkt und indirekt grundpfandgesicherte Positionen</v>
      </c>
      <c r="E1413" s="1608"/>
      <c r="F1413" s="1617" t="str">
        <f>'Input Basel III'!$J$200</f>
        <v>Nach Besicherung</v>
      </c>
      <c r="G1413" s="1617" t="s">
        <v>1992</v>
      </c>
      <c r="H1413" s="1618"/>
      <c r="U1413" s="1027"/>
      <c r="V1413" s="1027"/>
      <c r="W1413" s="1027"/>
    </row>
    <row r="1414" spans="2:23" ht="12.75" customHeight="1" x14ac:dyDescent="0.2">
      <c r="B1414" s="1083" t="str">
        <f>'Input Basel III'!$A$1</f>
        <v>15b</v>
      </c>
      <c r="C1414" s="1084" t="str">
        <f>'Input Basel III'!$B$1</f>
        <v>Input Basel III</v>
      </c>
      <c r="D1414" s="1091" t="str">
        <f>'Input Basel III'!$A$197</f>
        <v>3 Direkt und indirekt grundpfandgesicherte Positionen</v>
      </c>
      <c r="E1414" s="1608"/>
      <c r="F1414" s="1617" t="str">
        <f>'Input Basel III'!$J$200</f>
        <v>Nach Besicherung</v>
      </c>
      <c r="G1414" s="1617" t="s">
        <v>1992</v>
      </c>
      <c r="H1414" s="1618"/>
      <c r="U1414" s="1027"/>
      <c r="V1414" s="1027"/>
      <c r="W1414" s="1027"/>
    </row>
    <row r="1415" spans="2:23" ht="12.75" customHeight="1" x14ac:dyDescent="0.2">
      <c r="B1415" s="1083" t="str">
        <f>'Input Basel III'!$A$1</f>
        <v>15b</v>
      </c>
      <c r="C1415" s="1084" t="str">
        <f>'Input Basel III'!$B$1</f>
        <v>Input Basel III</v>
      </c>
      <c r="D1415" s="1091" t="str">
        <f>'Input Basel III'!$A$197</f>
        <v>3 Direkt und indirekt grundpfandgesicherte Positionen</v>
      </c>
      <c r="E1415" s="1608"/>
      <c r="F1415" s="1617" t="str">
        <f>'Input Basel III'!$J$200</f>
        <v>Nach Besicherung</v>
      </c>
      <c r="G1415" s="1617" t="s">
        <v>1992</v>
      </c>
      <c r="H1415" s="1618"/>
      <c r="U1415" s="1027"/>
      <c r="V1415" s="1027"/>
      <c r="W1415" s="1027"/>
    </row>
    <row r="1416" spans="2:23" ht="12.75" customHeight="1" x14ac:dyDescent="0.2">
      <c r="B1416" s="1083" t="str">
        <f>'Input Basel III'!$A$1</f>
        <v>15b</v>
      </c>
      <c r="C1416" s="1084" t="str">
        <f>'Input Basel III'!$B$1</f>
        <v>Input Basel III</v>
      </c>
      <c r="D1416" s="1091" t="str">
        <f>'Input Basel III'!$A$197</f>
        <v>3 Direkt und indirekt grundpfandgesicherte Positionen</v>
      </c>
      <c r="E1416" s="1110">
        <f>'Input Basel III'!$B$205</f>
        <v>0</v>
      </c>
      <c r="F1416" s="1520" t="str">
        <f>'Input Basel III'!$J$200</f>
        <v>Nach Besicherung</v>
      </c>
      <c r="G1416" s="1520"/>
      <c r="H1416" s="1112">
        <f>'Input Basel III'!$J205</f>
        <v>0</v>
      </c>
      <c r="U1416" s="1027"/>
      <c r="V1416" s="1027"/>
      <c r="W1416" s="1027"/>
    </row>
    <row r="1417" spans="2:23" ht="12.75" customHeight="1" x14ac:dyDescent="0.2">
      <c r="B1417" s="1083" t="str">
        <f>'Input Basel III'!$A$1</f>
        <v>15b</v>
      </c>
      <c r="C1417" s="1084" t="str">
        <f>'Input Basel III'!$B$1</f>
        <v>Input Basel III</v>
      </c>
      <c r="D1417" s="1091" t="str">
        <f>'Input Basel III'!$A$197</f>
        <v>3 Direkt und indirekt grundpfandgesicherte Positionen</v>
      </c>
      <c r="E1417"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17" s="1520" t="str">
        <f>'Input Basel III'!$L$200</f>
        <v>Vor Garantien und Kreditderivate</v>
      </c>
      <c r="G1417" s="1520"/>
      <c r="H1417" s="1518">
        <f>'Input Basel III'!$L201</f>
        <v>0</v>
      </c>
      <c r="U1417" s="1027"/>
      <c r="V1417" s="1027"/>
      <c r="W1417" s="1027"/>
    </row>
    <row r="1418" spans="2:23" ht="12.75" customHeight="1" x14ac:dyDescent="0.2">
      <c r="B1418" s="1083" t="str">
        <f>'Input Basel III'!$A$1</f>
        <v>15b</v>
      </c>
      <c r="C1418" s="1084" t="str">
        <f>'Input Basel III'!$B$1</f>
        <v>Input Basel III</v>
      </c>
      <c r="D1418" s="1091" t="str">
        <f>'Input Basel III'!$A$197</f>
        <v>3 Direkt und indirekt grundpfandgesicherte Positionen</v>
      </c>
      <c r="E1418" s="151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8" s="1520" t="str">
        <f>'Input Basel III'!$L$200</f>
        <v>Vor Garantien und Kreditderivate</v>
      </c>
      <c r="G1418" s="1520"/>
      <c r="H1418" s="1518">
        <f>'Input Basel III'!$L202</f>
        <v>0</v>
      </c>
      <c r="U1418" s="1027"/>
      <c r="V1418" s="1027"/>
      <c r="W1418" s="1027"/>
    </row>
    <row r="1419" spans="2:23" ht="12.75" customHeight="1" x14ac:dyDescent="0.2">
      <c r="B1419" s="1083" t="str">
        <f>'Input Basel III'!$A$1</f>
        <v>15b</v>
      </c>
      <c r="C1419" s="1084" t="str">
        <f>'Input Basel III'!$B$1</f>
        <v>Input Basel III</v>
      </c>
      <c r="D1419" s="1091" t="str">
        <f>'Input Basel III'!$A$197</f>
        <v>3 Direkt und indirekt grundpfandgesicherte Positionen</v>
      </c>
      <c r="E1419" s="1608"/>
      <c r="F1419" s="1617" t="str">
        <f>'Input Basel III'!$L$200</f>
        <v>Vor Garantien und Kreditderivate</v>
      </c>
      <c r="G1419" s="1617" t="s">
        <v>1992</v>
      </c>
      <c r="H1419" s="1618"/>
      <c r="U1419" s="1027"/>
      <c r="V1419" s="1027"/>
      <c r="W1419" s="1027"/>
    </row>
    <row r="1420" spans="2:23" ht="12.75" customHeight="1" x14ac:dyDescent="0.2">
      <c r="B1420" s="1083" t="str">
        <f>'Input Basel III'!$A$1</f>
        <v>15b</v>
      </c>
      <c r="C1420" s="1084" t="str">
        <f>'Input Basel III'!$B$1</f>
        <v>Input Basel III</v>
      </c>
      <c r="D1420" s="1091" t="str">
        <f>'Input Basel III'!$A$197</f>
        <v>3 Direkt und indirekt grundpfandgesicherte Positionen</v>
      </c>
      <c r="E1420" s="1608"/>
      <c r="F1420" s="1617" t="str">
        <f>'Input Basel III'!$L$200</f>
        <v>Vor Garantien und Kreditderivate</v>
      </c>
      <c r="G1420" s="1617" t="s">
        <v>1992</v>
      </c>
      <c r="H1420" s="1618"/>
      <c r="U1420" s="1027"/>
      <c r="V1420" s="1027"/>
      <c r="W1420" s="1027"/>
    </row>
    <row r="1421" spans="2:23" ht="12.75" customHeight="1" x14ac:dyDescent="0.2">
      <c r="B1421" s="1083" t="str">
        <f>'Input Basel III'!$A$1</f>
        <v>15b</v>
      </c>
      <c r="C1421" s="1084" t="str">
        <f>'Input Basel III'!$B$1</f>
        <v>Input Basel III</v>
      </c>
      <c r="D1421" s="1091" t="str">
        <f>'Input Basel III'!$A$197</f>
        <v>3 Direkt und indirekt grundpfandgesicherte Positionen</v>
      </c>
      <c r="E1421" s="1608"/>
      <c r="F1421" s="1617" t="str">
        <f>'Input Basel III'!$L$200</f>
        <v>Vor Garantien und Kreditderivate</v>
      </c>
      <c r="G1421" s="1617" t="s">
        <v>1992</v>
      </c>
      <c r="H1421" s="1618"/>
      <c r="U1421" s="1027"/>
      <c r="V1421" s="1027"/>
      <c r="W1421" s="1027"/>
    </row>
    <row r="1422" spans="2:23" ht="12.75" customHeight="1" x14ac:dyDescent="0.2">
      <c r="B1422" s="1083" t="str">
        <f>'Input Basel III'!$A$1</f>
        <v>15b</v>
      </c>
      <c r="C1422" s="1084" t="str">
        <f>'Input Basel III'!$B$1</f>
        <v>Input Basel III</v>
      </c>
      <c r="D1422" s="1091" t="str">
        <f>'Input Basel III'!$A$197</f>
        <v>3 Direkt und indirekt grundpfandgesicherte Positionen</v>
      </c>
      <c r="E1422" s="1608"/>
      <c r="F1422" s="1617" t="str">
        <f>'Input Basel III'!$L$200</f>
        <v>Vor Garantien und Kreditderivate</v>
      </c>
      <c r="G1422" s="1617" t="s">
        <v>1992</v>
      </c>
      <c r="H1422" s="1618"/>
      <c r="U1422" s="1027"/>
      <c r="V1422" s="1027"/>
      <c r="W1422" s="1027"/>
    </row>
    <row r="1423" spans="2:23" ht="12.75" customHeight="1" x14ac:dyDescent="0.2">
      <c r="B1423" s="1083" t="str">
        <f>'Input Basel III'!$A$1</f>
        <v>15b</v>
      </c>
      <c r="C1423" s="1084" t="str">
        <f>'Input Basel III'!$B$1</f>
        <v>Input Basel III</v>
      </c>
      <c r="D1423" s="1091" t="str">
        <f>'Input Basel III'!$A$197</f>
        <v>3 Direkt und indirekt grundpfandgesicherte Positionen</v>
      </c>
      <c r="E1423" s="1608"/>
      <c r="F1423" s="1617" t="str">
        <f>'Input Basel III'!$L$200</f>
        <v>Vor Garantien und Kreditderivate</v>
      </c>
      <c r="G1423" s="1617" t="s">
        <v>1992</v>
      </c>
      <c r="H1423" s="1618"/>
      <c r="U1423" s="1027"/>
      <c r="V1423" s="1027"/>
      <c r="W1423" s="1027"/>
    </row>
    <row r="1424" spans="2:23" ht="12.75" customHeight="1" x14ac:dyDescent="0.2">
      <c r="B1424" s="1083" t="str">
        <f>'Input Basel III'!$A$1</f>
        <v>15b</v>
      </c>
      <c r="C1424" s="1084" t="str">
        <f>'Input Basel III'!$B$1</f>
        <v>Input Basel III</v>
      </c>
      <c r="D1424" s="1091" t="str">
        <f>'Input Basel III'!$A$197</f>
        <v>3 Direkt und indirekt grundpfandgesicherte Positionen</v>
      </c>
      <c r="E1424" s="1110">
        <f>'Input Basel III'!$B$205</f>
        <v>0</v>
      </c>
      <c r="F1424" s="1520" t="str">
        <f>'Input Basel III'!$L$200</f>
        <v>Vor Garantien und Kreditderivate</v>
      </c>
      <c r="G1424" s="1520"/>
      <c r="H1424" s="1112">
        <f>'Input Basel III'!$L205</f>
        <v>0</v>
      </c>
      <c r="U1424" s="1027"/>
      <c r="V1424" s="1027"/>
      <c r="W1424" s="1027"/>
    </row>
    <row r="1425" spans="2:23" ht="12.75" customHeight="1" x14ac:dyDescent="0.2">
      <c r="B1425" s="1083" t="str">
        <f>'Input Basel III'!$A$1</f>
        <v>15b</v>
      </c>
      <c r="C1425" s="1084" t="str">
        <f>'Input Basel III'!$B$1</f>
        <v>Input Basel III</v>
      </c>
      <c r="D1425" s="1091" t="str">
        <f>'Input Basel III'!$A$197</f>
        <v>3 Direkt und indirekt grundpfandgesicherte Positionen</v>
      </c>
      <c r="E1425" s="151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25" s="1520" t="str">
        <f>'Input Basel III'!$M$200</f>
        <v>Nach Garantien und Kred.-.Der.</v>
      </c>
      <c r="G1425" s="1520"/>
      <c r="H1425" s="1518">
        <f>'Input Basel III'!$M201</f>
        <v>0</v>
      </c>
      <c r="U1425" s="1027"/>
      <c r="V1425" s="1027"/>
      <c r="W1425" s="1027"/>
    </row>
    <row r="1426" spans="2:23" ht="12.75" customHeight="1" x14ac:dyDescent="0.2">
      <c r="B1426" s="1083" t="str">
        <f>'Input Basel III'!$A$1</f>
        <v>15b</v>
      </c>
      <c r="C1426" s="1084" t="str">
        <f>'Input Basel III'!$B$1</f>
        <v>Input Basel III</v>
      </c>
      <c r="D1426" s="1091" t="str">
        <f>'Input Basel III'!$A$197</f>
        <v>3 Direkt und indirekt grundpfandgesicherte Positionen</v>
      </c>
      <c r="E1426" s="151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26" s="1520" t="str">
        <f>'Input Basel III'!$M$200</f>
        <v>Nach Garantien und Kred.-.Der.</v>
      </c>
      <c r="G1426" s="1520"/>
      <c r="H1426" s="1518">
        <f>'Input Basel III'!$M202</f>
        <v>0</v>
      </c>
      <c r="U1426" s="1027"/>
      <c r="V1426" s="1027"/>
      <c r="W1426" s="1027"/>
    </row>
    <row r="1427" spans="2:23" ht="12.75" customHeight="1" x14ac:dyDescent="0.2">
      <c r="B1427" s="1083" t="str">
        <f>'Input Basel III'!$A$1</f>
        <v>15b</v>
      </c>
      <c r="C1427" s="1084" t="str">
        <f>'Input Basel III'!$B$1</f>
        <v>Input Basel III</v>
      </c>
      <c r="D1427" s="1091" t="str">
        <f>'Input Basel III'!$A$197</f>
        <v>3 Direkt und indirekt grundpfandgesicherte Positionen</v>
      </c>
      <c r="E1427" s="1608"/>
      <c r="F1427" s="1617" t="str">
        <f>'Input Basel III'!$M$200</f>
        <v>Nach Garantien und Kred.-.Der.</v>
      </c>
      <c r="G1427" s="1617" t="s">
        <v>1992</v>
      </c>
      <c r="H1427" s="1618"/>
      <c r="U1427" s="1027"/>
      <c r="V1427" s="1027"/>
      <c r="W1427" s="1027"/>
    </row>
    <row r="1428" spans="2:23" ht="12.75" customHeight="1" x14ac:dyDescent="0.2">
      <c r="B1428" s="1083" t="str">
        <f>'Input Basel III'!$A$1</f>
        <v>15b</v>
      </c>
      <c r="C1428" s="1084" t="str">
        <f>'Input Basel III'!$B$1</f>
        <v>Input Basel III</v>
      </c>
      <c r="D1428" s="1091" t="str">
        <f>'Input Basel III'!$A$197</f>
        <v>3 Direkt und indirekt grundpfandgesicherte Positionen</v>
      </c>
      <c r="E1428" s="1608"/>
      <c r="F1428" s="1617" t="str">
        <f>'Input Basel III'!$M$200</f>
        <v>Nach Garantien und Kred.-.Der.</v>
      </c>
      <c r="G1428" s="1617" t="s">
        <v>1992</v>
      </c>
      <c r="H1428" s="1618"/>
      <c r="U1428" s="1027"/>
      <c r="V1428" s="1027"/>
      <c r="W1428" s="1027"/>
    </row>
    <row r="1429" spans="2:23" ht="12.75" customHeight="1" x14ac:dyDescent="0.2">
      <c r="B1429" s="1083" t="str">
        <f>'Input Basel III'!$A$1</f>
        <v>15b</v>
      </c>
      <c r="C1429" s="1084" t="str">
        <f>'Input Basel III'!$B$1</f>
        <v>Input Basel III</v>
      </c>
      <c r="D1429" s="1091" t="str">
        <f>'Input Basel III'!$A$197</f>
        <v>3 Direkt und indirekt grundpfandgesicherte Positionen</v>
      </c>
      <c r="E1429" s="1608"/>
      <c r="F1429" s="1617" t="str">
        <f>'Input Basel III'!$M$200</f>
        <v>Nach Garantien und Kred.-.Der.</v>
      </c>
      <c r="G1429" s="1617" t="s">
        <v>1992</v>
      </c>
      <c r="H1429" s="1618"/>
      <c r="U1429" s="1027"/>
      <c r="V1429" s="1027"/>
      <c r="W1429" s="1027"/>
    </row>
    <row r="1430" spans="2:23" ht="12.75" customHeight="1" x14ac:dyDescent="0.2">
      <c r="B1430" s="1083" t="str">
        <f>'Input Basel III'!$A$1</f>
        <v>15b</v>
      </c>
      <c r="C1430" s="1084" t="str">
        <f>'Input Basel III'!$B$1</f>
        <v>Input Basel III</v>
      </c>
      <c r="D1430" s="1091" t="str">
        <f>'Input Basel III'!$A$197</f>
        <v>3 Direkt und indirekt grundpfandgesicherte Positionen</v>
      </c>
      <c r="E1430" s="1608"/>
      <c r="F1430" s="1617" t="str">
        <f>'Input Basel III'!$M$200</f>
        <v>Nach Garantien und Kred.-.Der.</v>
      </c>
      <c r="G1430" s="1617" t="s">
        <v>1992</v>
      </c>
      <c r="H1430" s="1618"/>
      <c r="U1430" s="1027"/>
      <c r="V1430" s="1027"/>
      <c r="W1430" s="1027"/>
    </row>
    <row r="1431" spans="2:23" ht="12.75" customHeight="1" x14ac:dyDescent="0.2">
      <c r="B1431" s="1083" t="str">
        <f>'Input Basel III'!$A$1</f>
        <v>15b</v>
      </c>
      <c r="C1431" s="1084" t="str">
        <f>'Input Basel III'!$B$1</f>
        <v>Input Basel III</v>
      </c>
      <c r="D1431" s="1091" t="str">
        <f>'Input Basel III'!$A$197</f>
        <v>3 Direkt und indirekt grundpfandgesicherte Positionen</v>
      </c>
      <c r="E1431" s="1608"/>
      <c r="F1431" s="1617" t="str">
        <f>'Input Basel III'!$M$200</f>
        <v>Nach Garantien und Kred.-.Der.</v>
      </c>
      <c r="G1431" s="1617" t="s">
        <v>1992</v>
      </c>
      <c r="H1431" s="1618"/>
      <c r="U1431" s="1027"/>
      <c r="V1431" s="1027"/>
      <c r="W1431" s="1027"/>
    </row>
    <row r="1432" spans="2:23" ht="12.75" customHeight="1" x14ac:dyDescent="0.2">
      <c r="B1432" s="1083" t="str">
        <f>'Input Basel III'!$A$1</f>
        <v>15b</v>
      </c>
      <c r="C1432" s="1084" t="str">
        <f>'Input Basel III'!$B$1</f>
        <v>Input Basel III</v>
      </c>
      <c r="D1432" s="1091" t="str">
        <f>'Input Basel III'!$A$197</f>
        <v>3 Direkt und indirekt grundpfandgesicherte Positionen</v>
      </c>
      <c r="E1432" s="1110">
        <f>'Input Basel III'!$B$205</f>
        <v>0</v>
      </c>
      <c r="F1432" s="1520" t="str">
        <f>'Input Basel III'!$M$200</f>
        <v>Nach Garantien und Kred.-.Der.</v>
      </c>
      <c r="G1432" s="1520"/>
      <c r="H1432" s="1112">
        <f>'Input Basel III'!$M205</f>
        <v>0</v>
      </c>
      <c r="U1432" s="1027"/>
      <c r="V1432" s="1027"/>
      <c r="W1432" s="1027"/>
    </row>
    <row r="1433" spans="2:23" ht="12.75" customHeight="1" x14ac:dyDescent="0.2">
      <c r="B1433" s="1083" t="str">
        <f>'Input Basel III'!$A$1</f>
        <v>15b</v>
      </c>
      <c r="C1433" s="1084" t="str">
        <f>'Input Basel III'!$B$1</f>
        <v>Input Basel III</v>
      </c>
      <c r="D1433" s="1091" t="str">
        <f>'Input Basel III'!$A$211</f>
        <v>4 Nachrangige Positionen</v>
      </c>
      <c r="E1433" s="1488" t="str">
        <f>'Input Basel III'!$B$218</f>
        <v>Nachrangige Positionen gegenüber öffentlichrechtlichen Körperschaften, deren Risikogewicht nach Anhang 2  (SA-BIZ) höchstens 50 % beträgt</v>
      </c>
      <c r="F1433" s="1494" t="str">
        <f>'Input Basel III'!$C$31</f>
        <v>Risikogewicht</v>
      </c>
      <c r="G1433" s="1494"/>
      <c r="H1433" s="1521">
        <f>'Input Basel III'!$C218</f>
        <v>0</v>
      </c>
      <c r="U1433" s="1027"/>
      <c r="V1433" s="1027"/>
      <c r="W1433" s="1027"/>
    </row>
    <row r="1434" spans="2:23" ht="12.75" customHeight="1" x14ac:dyDescent="0.2">
      <c r="B1434" s="1083" t="str">
        <f>'Input Basel III'!$A$1</f>
        <v>15b</v>
      </c>
      <c r="C1434" s="1084" t="str">
        <f>'Input Basel III'!$B$1</f>
        <v>Input Basel III</v>
      </c>
      <c r="D1434" s="1091" t="str">
        <f>'Input Basel III'!$A$211</f>
        <v>4 Nachrangige Positionen</v>
      </c>
      <c r="E1434" s="1488" t="str">
        <f>'Input Basel III'!$B$219</f>
        <v>Übrige nachrangige Positionen</v>
      </c>
      <c r="F1434" s="1494" t="str">
        <f>'Input Basel III'!$C$31</f>
        <v>Risikogewicht</v>
      </c>
      <c r="G1434" s="1494"/>
      <c r="H1434" s="1521">
        <f>'Input Basel III'!$C219</f>
        <v>0</v>
      </c>
      <c r="U1434" s="1027"/>
      <c r="V1434" s="1027"/>
      <c r="W1434" s="1027"/>
    </row>
    <row r="1435" spans="2:23" ht="12.75" customHeight="1" x14ac:dyDescent="0.2">
      <c r="B1435" s="1083" t="str">
        <f>'Input Basel III'!$A$1</f>
        <v>15b</v>
      </c>
      <c r="C1435" s="1084" t="str">
        <f>'Input Basel III'!$B$1</f>
        <v>Input Basel III</v>
      </c>
      <c r="D1435" s="1091" t="str">
        <f>'Input Basel III'!$A$211</f>
        <v>4 Nachrangige Positionen</v>
      </c>
      <c r="E1435" s="1110">
        <f>'Input Basel III'!$B$220</f>
        <v>0</v>
      </c>
      <c r="F1435" s="1494" t="str">
        <f>'Input Basel III'!$C$31</f>
        <v>Risikogewicht</v>
      </c>
      <c r="G1435" s="1494"/>
      <c r="H1435" s="1111">
        <f>'Input Basel III'!$C220</f>
        <v>0</v>
      </c>
      <c r="U1435" s="1027"/>
      <c r="V1435" s="1027"/>
      <c r="W1435" s="1027"/>
    </row>
    <row r="1436" spans="2:23" ht="12.75" customHeight="1" x14ac:dyDescent="0.2">
      <c r="B1436" s="1083" t="str">
        <f>'Input Basel III'!$A$1</f>
        <v>15b</v>
      </c>
      <c r="C1436" s="1084" t="str">
        <f>'Input Basel III'!$B$1</f>
        <v>Input Basel III</v>
      </c>
      <c r="D1436" s="1091" t="str">
        <f>'Input Basel III'!$A$211</f>
        <v>4 Nachrangige Positionen</v>
      </c>
      <c r="E1436" s="1488" t="str">
        <f>'Input Basel III'!$B$218</f>
        <v>Nachrangige Positionen gegenüber öffentlichrechtlichen Körperschaften, deren Risikogewicht nach Anhang 2  (SA-BIZ) höchstens 50 % beträgt</v>
      </c>
      <c r="F1436" s="1496" t="str">
        <f>'Input Basel III'!$G$216</f>
        <v>Positionen ohne Kreditrisikominderung (CRM)</v>
      </c>
      <c r="G1436" s="1494"/>
      <c r="H1436" s="1518">
        <f>'Input Basel III'!$G218</f>
        <v>0</v>
      </c>
      <c r="U1436" s="1027"/>
      <c r="V1436" s="1027"/>
      <c r="W1436" s="1027"/>
    </row>
    <row r="1437" spans="2:23" ht="12.75" customHeight="1" x14ac:dyDescent="0.2">
      <c r="B1437" s="1083" t="str">
        <f>'Input Basel III'!$A$1</f>
        <v>15b</v>
      </c>
      <c r="C1437" s="1084" t="str">
        <f>'Input Basel III'!$B$1</f>
        <v>Input Basel III</v>
      </c>
      <c r="D1437" s="1091" t="str">
        <f>'Input Basel III'!$A$211</f>
        <v>4 Nachrangige Positionen</v>
      </c>
      <c r="E1437" s="1488" t="str">
        <f>'Input Basel III'!$B$219</f>
        <v>Übrige nachrangige Positionen</v>
      </c>
      <c r="F1437" s="1496" t="str">
        <f>'Input Basel III'!$G$216</f>
        <v>Positionen ohne Kreditrisikominderung (CRM)</v>
      </c>
      <c r="G1437" s="1494"/>
      <c r="H1437" s="1518">
        <f>'Input Basel III'!$G219</f>
        <v>0</v>
      </c>
      <c r="U1437" s="1027"/>
      <c r="V1437" s="1027"/>
      <c r="W1437" s="1027"/>
    </row>
    <row r="1438" spans="2:23" ht="12.75" customHeight="1" x14ac:dyDescent="0.2">
      <c r="B1438" s="1083" t="str">
        <f>'Input Basel III'!$A$1</f>
        <v>15b</v>
      </c>
      <c r="C1438" s="1084" t="str">
        <f>'Input Basel III'!$B$1</f>
        <v>Input Basel III</v>
      </c>
      <c r="D1438" s="1091" t="str">
        <f>'Input Basel III'!$A$211</f>
        <v>4 Nachrangige Positionen</v>
      </c>
      <c r="E1438" s="1110">
        <f>'Input Basel III'!$B$220</f>
        <v>0</v>
      </c>
      <c r="F1438" s="1496" t="str">
        <f>'Input Basel III'!$G$216</f>
        <v>Positionen ohne Kreditrisikominderung (CRM)</v>
      </c>
      <c r="G1438" s="1494"/>
      <c r="H1438" s="1112">
        <f>'Input Basel III'!$G220</f>
        <v>0</v>
      </c>
      <c r="U1438" s="1027"/>
      <c r="V1438" s="1027"/>
      <c r="W1438" s="1027"/>
    </row>
    <row r="1439" spans="2:23" ht="12.75" customHeight="1" x14ac:dyDescent="0.2">
      <c r="B1439" s="1083" t="str">
        <f>'Input Basel III'!$A$1</f>
        <v>15b</v>
      </c>
      <c r="C1439" s="1084" t="str">
        <f>'Input Basel III'!$B$1</f>
        <v>Input Basel III</v>
      </c>
      <c r="D1439" s="1091" t="str">
        <f>'Input Basel III'!$A$211</f>
        <v>4 Nachrangige Positionen</v>
      </c>
      <c r="E1439" s="1488" t="str">
        <f>'Input Basel III'!$B$218</f>
        <v>Nachrangige Positionen gegenüber öffentlichrechtlichen Körperschaften, deren Risikogewicht nach Anhang 2  (SA-BIZ) höchstens 50 % beträgt</v>
      </c>
      <c r="F1439" s="1494" t="str">
        <f>'Input Basel III'!$I$217</f>
        <v xml:space="preserve">Vor Besicherung </v>
      </c>
      <c r="G1439" s="1494"/>
      <c r="H1439" s="1518">
        <f>'Input Basel III'!$I218</f>
        <v>0</v>
      </c>
      <c r="U1439" s="1027"/>
      <c r="V1439" s="1027"/>
      <c r="W1439" s="1027"/>
    </row>
    <row r="1440" spans="2:23" ht="12.75" customHeight="1" x14ac:dyDescent="0.2">
      <c r="B1440" s="1083" t="str">
        <f>'Input Basel III'!$A$1</f>
        <v>15b</v>
      </c>
      <c r="C1440" s="1084" t="str">
        <f>'Input Basel III'!$B$1</f>
        <v>Input Basel III</v>
      </c>
      <c r="D1440" s="1091" t="str">
        <f>'Input Basel III'!$A$211</f>
        <v>4 Nachrangige Positionen</v>
      </c>
      <c r="E1440" s="1488" t="str">
        <f>'Input Basel III'!$B$219</f>
        <v>Übrige nachrangige Positionen</v>
      </c>
      <c r="F1440" s="1494" t="str">
        <f>'Input Basel III'!$I$217</f>
        <v xml:space="preserve">Vor Besicherung </v>
      </c>
      <c r="G1440" s="1494"/>
      <c r="H1440" s="1518">
        <f>'Input Basel III'!$I219</f>
        <v>0</v>
      </c>
      <c r="U1440" s="1027"/>
      <c r="V1440" s="1027"/>
      <c r="W1440" s="1027"/>
    </row>
    <row r="1441" spans="2:23" ht="12.75" customHeight="1" x14ac:dyDescent="0.2">
      <c r="B1441" s="1083" t="str">
        <f>'Input Basel III'!$A$1</f>
        <v>15b</v>
      </c>
      <c r="C1441" s="1084" t="str">
        <f>'Input Basel III'!$B$1</f>
        <v>Input Basel III</v>
      </c>
      <c r="D1441" s="1091" t="str">
        <f>'Input Basel III'!$A$211</f>
        <v>4 Nachrangige Positionen</v>
      </c>
      <c r="E1441" s="1110">
        <f>'Input Basel III'!$B$220</f>
        <v>0</v>
      </c>
      <c r="F1441" s="1494" t="str">
        <f>'Input Basel III'!$I$217</f>
        <v xml:space="preserve">Vor Besicherung </v>
      </c>
      <c r="G1441" s="1494"/>
      <c r="H1441" s="1112">
        <f>'Input Basel III'!$I220</f>
        <v>0</v>
      </c>
      <c r="U1441" s="1027"/>
      <c r="V1441" s="1027"/>
      <c r="W1441" s="1027"/>
    </row>
    <row r="1442" spans="2:23" ht="12.75" customHeight="1" x14ac:dyDescent="0.2">
      <c r="B1442" s="1083" t="str">
        <f>'Input Basel III'!$A$1</f>
        <v>15b</v>
      </c>
      <c r="C1442" s="1084" t="str">
        <f>'Input Basel III'!$B$1</f>
        <v>Input Basel III</v>
      </c>
      <c r="D1442" s="1091" t="str">
        <f>'Input Basel III'!$A$211</f>
        <v>4 Nachrangige Positionen</v>
      </c>
      <c r="E1442" s="1488" t="str">
        <f>'Input Basel III'!$B$218</f>
        <v>Nachrangige Positionen gegenüber öffentlichrechtlichen Körperschaften, deren Risikogewicht nach Anhang 2  (SA-BIZ) höchstens 50 % beträgt</v>
      </c>
      <c r="F1442" s="1494" t="str">
        <f>'Input Basel III'!$J$217</f>
        <v>Nach Besicherung</v>
      </c>
      <c r="G1442" s="1494"/>
      <c r="H1442" s="1518">
        <f>'Input Basel III'!$J218</f>
        <v>0</v>
      </c>
      <c r="U1442" s="1027"/>
      <c r="V1442" s="1027"/>
      <c r="W1442" s="1027"/>
    </row>
    <row r="1443" spans="2:23" ht="12.75" customHeight="1" x14ac:dyDescent="0.2">
      <c r="B1443" s="1083" t="str">
        <f>'Input Basel III'!$A$1</f>
        <v>15b</v>
      </c>
      <c r="C1443" s="1084" t="str">
        <f>'Input Basel III'!$B$1</f>
        <v>Input Basel III</v>
      </c>
      <c r="D1443" s="1091" t="str">
        <f>'Input Basel III'!$A$211</f>
        <v>4 Nachrangige Positionen</v>
      </c>
      <c r="E1443" s="1488" t="str">
        <f>'Input Basel III'!$B$219</f>
        <v>Übrige nachrangige Positionen</v>
      </c>
      <c r="F1443" s="1494" t="str">
        <f>'Input Basel III'!$J$217</f>
        <v>Nach Besicherung</v>
      </c>
      <c r="G1443" s="1494"/>
      <c r="H1443" s="1518">
        <f>'Input Basel III'!$J219</f>
        <v>0</v>
      </c>
      <c r="U1443" s="1027"/>
      <c r="V1443" s="1027"/>
      <c r="W1443" s="1027"/>
    </row>
    <row r="1444" spans="2:23" ht="12.75" customHeight="1" x14ac:dyDescent="0.2">
      <c r="B1444" s="1083" t="str">
        <f>'Input Basel III'!$A$1</f>
        <v>15b</v>
      </c>
      <c r="C1444" s="1084" t="str">
        <f>'Input Basel III'!$B$1</f>
        <v>Input Basel III</v>
      </c>
      <c r="D1444" s="1091" t="str">
        <f>'Input Basel III'!$A$211</f>
        <v>4 Nachrangige Positionen</v>
      </c>
      <c r="E1444" s="1110">
        <f>'Input Basel III'!$B$220</f>
        <v>0</v>
      </c>
      <c r="F1444" s="1494" t="str">
        <f>'Input Basel III'!$J$217</f>
        <v>Nach Besicherung</v>
      </c>
      <c r="G1444" s="1494"/>
      <c r="H1444" s="1112">
        <f>'Input Basel III'!$J220</f>
        <v>0</v>
      </c>
      <c r="U1444" s="1027"/>
      <c r="V1444" s="1027"/>
      <c r="W1444" s="1027"/>
    </row>
    <row r="1445" spans="2:23" ht="12.75" customHeight="1" x14ac:dyDescent="0.2">
      <c r="B1445" s="1083" t="str">
        <f>'Input Basel III'!$A$1</f>
        <v>15b</v>
      </c>
      <c r="C1445" s="1084" t="str">
        <f>'Input Basel III'!$B$1</f>
        <v>Input Basel III</v>
      </c>
      <c r="D1445" s="1091" t="str">
        <f>'Input Basel III'!$A$211</f>
        <v>4 Nachrangige Positionen</v>
      </c>
      <c r="E1445" s="1488" t="str">
        <f>'Input Basel III'!$B$218</f>
        <v>Nachrangige Positionen gegenüber öffentlichrechtlichen Körperschaften, deren Risikogewicht nach Anhang 2  (SA-BIZ) höchstens 50 % beträgt</v>
      </c>
      <c r="F1445" s="1494" t="str">
        <f>'Input Basel III'!$L$217</f>
        <v>Vor Garantien und Kreditderivate</v>
      </c>
      <c r="G1445" s="1494"/>
      <c r="H1445" s="1518">
        <f>'Input Basel III'!$L218</f>
        <v>0</v>
      </c>
      <c r="U1445" s="1027"/>
      <c r="V1445" s="1027"/>
      <c r="W1445" s="1027"/>
    </row>
    <row r="1446" spans="2:23" ht="12.75" customHeight="1" x14ac:dyDescent="0.2">
      <c r="B1446" s="1083" t="str">
        <f>'Input Basel III'!$A$1</f>
        <v>15b</v>
      </c>
      <c r="C1446" s="1084" t="str">
        <f>'Input Basel III'!$B$1</f>
        <v>Input Basel III</v>
      </c>
      <c r="D1446" s="1091" t="str">
        <f>'Input Basel III'!$A$211</f>
        <v>4 Nachrangige Positionen</v>
      </c>
      <c r="E1446" s="1488" t="str">
        <f>'Input Basel III'!$B$219</f>
        <v>Übrige nachrangige Positionen</v>
      </c>
      <c r="F1446" s="1494" t="str">
        <f>'Input Basel III'!$L$217</f>
        <v>Vor Garantien und Kreditderivate</v>
      </c>
      <c r="G1446" s="1494"/>
      <c r="H1446" s="1518">
        <f>'Input Basel III'!$L219</f>
        <v>0</v>
      </c>
      <c r="U1446" s="1027"/>
      <c r="V1446" s="1027"/>
      <c r="W1446" s="1027"/>
    </row>
    <row r="1447" spans="2:23" ht="12.75" customHeight="1" x14ac:dyDescent="0.2">
      <c r="B1447" s="1083" t="str">
        <f>'Input Basel III'!$A$1</f>
        <v>15b</v>
      </c>
      <c r="C1447" s="1084" t="str">
        <f>'Input Basel III'!$B$1</f>
        <v>Input Basel III</v>
      </c>
      <c r="D1447" s="1091" t="str">
        <f>'Input Basel III'!$A$211</f>
        <v>4 Nachrangige Positionen</v>
      </c>
      <c r="E1447" s="1110">
        <f>'Input Basel III'!$B$220</f>
        <v>0</v>
      </c>
      <c r="F1447" s="1494" t="str">
        <f>'Input Basel III'!$L$217</f>
        <v>Vor Garantien und Kreditderivate</v>
      </c>
      <c r="G1447" s="1494"/>
      <c r="H1447" s="1112">
        <f>'Input Basel III'!$L220</f>
        <v>0</v>
      </c>
      <c r="U1447" s="1027"/>
      <c r="V1447" s="1027"/>
      <c r="W1447" s="1027"/>
    </row>
    <row r="1448" spans="2:23" ht="12.75" customHeight="1" x14ac:dyDescent="0.2">
      <c r="B1448" s="1083" t="str">
        <f>'Input Basel III'!$A$1</f>
        <v>15b</v>
      </c>
      <c r="C1448" s="1084" t="str">
        <f>'Input Basel III'!$B$1</f>
        <v>Input Basel III</v>
      </c>
      <c r="D1448" s="1091" t="str">
        <f>'Input Basel III'!$A$211</f>
        <v>4 Nachrangige Positionen</v>
      </c>
      <c r="E1448" s="1488" t="str">
        <f>'Input Basel III'!$B$218</f>
        <v>Nachrangige Positionen gegenüber öffentlichrechtlichen Körperschaften, deren Risikogewicht nach Anhang 2  (SA-BIZ) höchstens 50 % beträgt</v>
      </c>
      <c r="F1448" s="1494" t="str">
        <f>'Input Basel III'!$M$217</f>
        <v>Nach Garantien und Kred.-.Der.</v>
      </c>
      <c r="G1448" s="1494"/>
      <c r="H1448" s="1518">
        <f>'Input Basel III'!$M218</f>
        <v>0</v>
      </c>
      <c r="U1448" s="1027"/>
      <c r="V1448" s="1027"/>
      <c r="W1448" s="1027"/>
    </row>
    <row r="1449" spans="2:23" ht="12.75" customHeight="1" x14ac:dyDescent="0.2">
      <c r="B1449" s="1083" t="str">
        <f>'Input Basel III'!$A$1</f>
        <v>15b</v>
      </c>
      <c r="C1449" s="1084" t="str">
        <f>'Input Basel III'!$B$1</f>
        <v>Input Basel III</v>
      </c>
      <c r="D1449" s="1091" t="str">
        <f>'Input Basel III'!$A$211</f>
        <v>4 Nachrangige Positionen</v>
      </c>
      <c r="E1449" s="1488" t="str">
        <f>'Input Basel III'!$B$219</f>
        <v>Übrige nachrangige Positionen</v>
      </c>
      <c r="F1449" s="1494" t="str">
        <f>'Input Basel III'!$M$217</f>
        <v>Nach Garantien und Kred.-.Der.</v>
      </c>
      <c r="G1449" s="1494"/>
      <c r="H1449" s="1518">
        <f>'Input Basel III'!$M219</f>
        <v>0</v>
      </c>
      <c r="U1449" s="1027"/>
      <c r="V1449" s="1027"/>
      <c r="W1449" s="1027"/>
    </row>
    <row r="1450" spans="2:23" ht="12.75" customHeight="1" x14ac:dyDescent="0.2">
      <c r="B1450" s="1083" t="str">
        <f>'Input Basel III'!$A$1</f>
        <v>15b</v>
      </c>
      <c r="C1450" s="1084" t="str">
        <f>'Input Basel III'!$B$1</f>
        <v>Input Basel III</v>
      </c>
      <c r="D1450" s="1091" t="str">
        <f>'Input Basel III'!$A$211</f>
        <v>4 Nachrangige Positionen</v>
      </c>
      <c r="E1450" s="1110">
        <f>'Input Basel III'!$B$220</f>
        <v>0</v>
      </c>
      <c r="F1450" s="1494" t="str">
        <f>'Input Basel III'!$M$217</f>
        <v>Nach Garantien und Kred.-.Der.</v>
      </c>
      <c r="G1450" s="1494"/>
      <c r="H1450" s="1112">
        <f>'Input Basel III'!$M220</f>
        <v>0</v>
      </c>
      <c r="U1450" s="1027"/>
      <c r="V1450" s="1027"/>
      <c r="W1450" s="1027"/>
    </row>
    <row r="1451" spans="2:23" ht="12.75" customHeight="1" x14ac:dyDescent="0.2">
      <c r="B1451" s="1083" t="str">
        <f>'Input Basel III'!$A$1</f>
        <v>15b</v>
      </c>
      <c r="C1451" s="1084" t="str">
        <f>'Input Basel III'!$B$1</f>
        <v>Input Basel III</v>
      </c>
      <c r="D1451" s="1091" t="str">
        <f>'Input Basel III'!$A$226</f>
        <v>5 Überfällige Positionen</v>
      </c>
      <c r="E1451" s="1488" t="str">
        <f>'Input Basel III'!$B$235</f>
        <v>Die um die Einzelwertberichtigungen korrigierten Positionen nach Ziffer 3.1, wobei grundpfandgesicherte Positionen nach den Ziffern 3.2-3.4 als unbesichert gelten</v>
      </c>
      <c r="F1451" s="1494" t="str">
        <f>'Input Basel III'!$C$31</f>
        <v>Risikogewicht</v>
      </c>
      <c r="G1451" s="1494"/>
      <c r="H1451" s="1519">
        <f>'Input Basel III'!$C235</f>
        <v>1</v>
      </c>
      <c r="U1451" s="1027"/>
      <c r="V1451" s="1027"/>
      <c r="W1451" s="1027"/>
    </row>
    <row r="1452" spans="2:23" ht="12.75" customHeight="1" x14ac:dyDescent="0.2">
      <c r="B1452" s="1083" t="str">
        <f>'Input Basel III'!$A$1</f>
        <v>15b</v>
      </c>
      <c r="C1452" s="1084" t="str">
        <f>'Input Basel III'!$B$1</f>
        <v>Input Basel III</v>
      </c>
      <c r="D1452" s="1091" t="str">
        <f>'Input Basel III'!$A$226</f>
        <v>5 Überfällige Positionen</v>
      </c>
      <c r="E1452" s="1488" t="str">
        <f>'Input Basel III'!$B$236</f>
        <v>Die um die Einzelwertberichtigungen korrigierten unbesicherten Positionsanteile, sofern die Einzelwertberichtigungen mindestens 20 % des ausstehenden Betrags ausmachen</v>
      </c>
      <c r="F1452" s="1494" t="str">
        <f>'Input Basel III'!$C$31</f>
        <v>Risikogewicht</v>
      </c>
      <c r="G1452" s="1494"/>
      <c r="H1452" s="1519">
        <f>'Input Basel III'!$C236</f>
        <v>1</v>
      </c>
      <c r="U1452" s="1027"/>
      <c r="V1452" s="1027"/>
      <c r="W1452" s="1027"/>
    </row>
    <row r="1453" spans="2:23" ht="12.75" customHeight="1" x14ac:dyDescent="0.2">
      <c r="B1453" s="1083" t="str">
        <f>'Input Basel III'!$A$1</f>
        <v>15b</v>
      </c>
      <c r="C1453" s="1084" t="str">
        <f>'Input Basel III'!$B$1</f>
        <v>Input Basel III</v>
      </c>
      <c r="D1453" s="1091" t="str">
        <f>'Input Basel III'!$A$226</f>
        <v>5 Überfällige Positionen</v>
      </c>
      <c r="E1453" s="1488" t="str">
        <f>'Input Basel III'!$B$237</f>
        <v>Die um die Einzelwertberichtigungen korrigierten unbesicherten Positionsanteile, sofern die Einzelwertberichtigungen weniger als 20 % des ausstehenden Betrags ausmachen</v>
      </c>
      <c r="F1453" s="1494" t="str">
        <f>'Input Basel III'!$C$31</f>
        <v>Risikogewicht</v>
      </c>
      <c r="G1453" s="1494"/>
      <c r="H1453" s="1519">
        <f>'Input Basel III'!$C237</f>
        <v>1.5</v>
      </c>
      <c r="U1453" s="1027"/>
      <c r="V1453" s="1027"/>
      <c r="W1453" s="1027"/>
    </row>
    <row r="1454" spans="2:23" ht="12.75" customHeight="1" x14ac:dyDescent="0.2">
      <c r="B1454" s="1083" t="str">
        <f>'Input Basel III'!$A$1</f>
        <v>15b</v>
      </c>
      <c r="C1454" s="1084" t="str">
        <f>'Input Basel III'!$B$1</f>
        <v>Input Basel III</v>
      </c>
      <c r="D1454" s="1091" t="str">
        <f>'Input Basel III'!$A$226</f>
        <v>5 Überfällige Positionen</v>
      </c>
      <c r="E1454" s="1110">
        <f>'Input Basel III'!$B$238</f>
        <v>0</v>
      </c>
      <c r="F1454" s="1494" t="str">
        <f>'Input Basel III'!$C$31</f>
        <v>Risikogewicht</v>
      </c>
      <c r="G1454" s="1494"/>
      <c r="H1454" s="1111">
        <f>'Input Basel III'!$C238</f>
        <v>0</v>
      </c>
      <c r="U1454" s="1027"/>
      <c r="V1454" s="1027"/>
      <c r="W1454" s="1027"/>
    </row>
    <row r="1455" spans="2:23" ht="12.75" customHeight="1" x14ac:dyDescent="0.2">
      <c r="B1455" s="1083" t="str">
        <f>'Input Basel III'!$A$1</f>
        <v>15b</v>
      </c>
      <c r="C1455" s="1084" t="str">
        <f>'Input Basel III'!$B$1</f>
        <v>Input Basel III</v>
      </c>
      <c r="D1455" s="1091" t="str">
        <f>'Input Basel III'!$A$226</f>
        <v>5 Überfällige Positionen</v>
      </c>
      <c r="E1455" s="1488" t="str">
        <f>'Input Basel III'!$B$235</f>
        <v>Die um die Einzelwertberichtigungen korrigierten Positionen nach Ziffer 3.1, wobei grundpfandgesicherte Positionen nach den Ziffern 3.2-3.4 als unbesichert gelten</v>
      </c>
      <c r="F1455" s="1496" t="str">
        <f>'Input Basel III'!$G$233</f>
        <v>Positionen ohne Kreditrisikominderung (CRM)</v>
      </c>
      <c r="G1455" s="1494"/>
      <c r="H1455" s="1518">
        <f>'Input Basel III'!$G235</f>
        <v>0</v>
      </c>
      <c r="U1455" s="1027"/>
      <c r="V1455" s="1027"/>
      <c r="W1455" s="1027"/>
    </row>
    <row r="1456" spans="2:23" ht="12.75" customHeight="1" x14ac:dyDescent="0.2">
      <c r="B1456" s="1083" t="str">
        <f>'Input Basel III'!$A$1</f>
        <v>15b</v>
      </c>
      <c r="C1456" s="1084" t="str">
        <f>'Input Basel III'!$B$1</f>
        <v>Input Basel III</v>
      </c>
      <c r="D1456" s="1091" t="str">
        <f>'Input Basel III'!$A$226</f>
        <v>5 Überfällige Positionen</v>
      </c>
      <c r="E1456" s="1488" t="str">
        <f>'Input Basel III'!$B$236</f>
        <v>Die um die Einzelwertberichtigungen korrigierten unbesicherten Positionsanteile, sofern die Einzelwertberichtigungen mindestens 20 % des ausstehenden Betrags ausmachen</v>
      </c>
      <c r="F1456" s="1496" t="str">
        <f>'Input Basel III'!$G$233</f>
        <v>Positionen ohne Kreditrisikominderung (CRM)</v>
      </c>
      <c r="G1456" s="1494"/>
      <c r="H1456" s="1518">
        <f>'Input Basel III'!$G236</f>
        <v>0</v>
      </c>
      <c r="U1456" s="1027"/>
      <c r="V1456" s="1027"/>
      <c r="W1456" s="1027"/>
    </row>
    <row r="1457" spans="2:23" ht="12.75" customHeight="1" x14ac:dyDescent="0.2">
      <c r="B1457" s="1083" t="str">
        <f>'Input Basel III'!$A$1</f>
        <v>15b</v>
      </c>
      <c r="C1457" s="1084" t="str">
        <f>'Input Basel III'!$B$1</f>
        <v>Input Basel III</v>
      </c>
      <c r="D1457" s="1091" t="str">
        <f>'Input Basel III'!$A$226</f>
        <v>5 Überfällige Positionen</v>
      </c>
      <c r="E1457" s="1488" t="str">
        <f>'Input Basel III'!$B$237</f>
        <v>Die um die Einzelwertberichtigungen korrigierten unbesicherten Positionsanteile, sofern die Einzelwertberichtigungen weniger als 20 % des ausstehenden Betrags ausmachen</v>
      </c>
      <c r="F1457" s="1496" t="str">
        <f>'Input Basel III'!$G$233</f>
        <v>Positionen ohne Kreditrisikominderung (CRM)</v>
      </c>
      <c r="G1457" s="1494"/>
      <c r="H1457" s="1518">
        <f>'Input Basel III'!$G237</f>
        <v>0</v>
      </c>
      <c r="U1457" s="1027"/>
      <c r="V1457" s="1027"/>
      <c r="W1457" s="1027"/>
    </row>
    <row r="1458" spans="2:23" ht="12.75" customHeight="1" x14ac:dyDescent="0.2">
      <c r="B1458" s="1083" t="str">
        <f>'Input Basel III'!$A$1</f>
        <v>15b</v>
      </c>
      <c r="C1458" s="1084" t="str">
        <f>'Input Basel III'!$B$1</f>
        <v>Input Basel III</v>
      </c>
      <c r="D1458" s="1091" t="str">
        <f>'Input Basel III'!$A$226</f>
        <v>5 Überfällige Positionen</v>
      </c>
      <c r="E1458" s="1110">
        <f>'Input Basel III'!$B$238</f>
        <v>0</v>
      </c>
      <c r="F1458" s="1496" t="str">
        <f>'Input Basel III'!$G$233</f>
        <v>Positionen ohne Kreditrisikominderung (CRM)</v>
      </c>
      <c r="G1458" s="1494"/>
      <c r="H1458" s="1112">
        <f>'Input Basel III'!$G238</f>
        <v>0</v>
      </c>
      <c r="U1458" s="1027"/>
      <c r="V1458" s="1027"/>
      <c r="W1458" s="1027"/>
    </row>
    <row r="1459" spans="2:23" ht="12.75" customHeight="1" x14ac:dyDescent="0.2">
      <c r="B1459" s="1083" t="str">
        <f>'Input Basel III'!$A$1</f>
        <v>15b</v>
      </c>
      <c r="C1459" s="1084" t="str">
        <f>'Input Basel III'!$B$1</f>
        <v>Input Basel III</v>
      </c>
      <c r="D1459" s="1091" t="str">
        <f>'Input Basel III'!$A$226</f>
        <v>5 Überfällige Positionen</v>
      </c>
      <c r="E1459" s="1488" t="str">
        <f>'Input Basel III'!$B$235</f>
        <v>Die um die Einzelwertberichtigungen korrigierten Positionen nach Ziffer 3.1, wobei grundpfandgesicherte Positionen nach den Ziffern 3.2-3.4 als unbesichert gelten</v>
      </c>
      <c r="F1459" s="1496" t="str">
        <f>'Input Basel III'!$I$234</f>
        <v xml:space="preserve">Vor Besicherung </v>
      </c>
      <c r="G1459" s="1494"/>
      <c r="H1459" s="1518">
        <f>'Input Basel III'!$I235</f>
        <v>0</v>
      </c>
      <c r="U1459" s="1027"/>
      <c r="V1459" s="1027"/>
      <c r="W1459" s="1027"/>
    </row>
    <row r="1460" spans="2:23" ht="12.75" customHeight="1" x14ac:dyDescent="0.2">
      <c r="B1460" s="1083" t="str">
        <f>'Input Basel III'!$A$1</f>
        <v>15b</v>
      </c>
      <c r="C1460" s="1084" t="str">
        <f>'Input Basel III'!$B$1</f>
        <v>Input Basel III</v>
      </c>
      <c r="D1460" s="1091" t="str">
        <f>'Input Basel III'!$A$226</f>
        <v>5 Überfällige Positionen</v>
      </c>
      <c r="E1460" s="1488" t="str">
        <f>'Input Basel III'!$B$236</f>
        <v>Die um die Einzelwertberichtigungen korrigierten unbesicherten Positionsanteile, sofern die Einzelwertberichtigungen mindestens 20 % des ausstehenden Betrags ausmachen</v>
      </c>
      <c r="F1460" s="1496" t="str">
        <f>'Input Basel III'!$I$234</f>
        <v xml:space="preserve">Vor Besicherung </v>
      </c>
      <c r="G1460" s="1494"/>
      <c r="H1460" s="1518">
        <f>'Input Basel III'!$I236</f>
        <v>0</v>
      </c>
      <c r="U1460" s="1027"/>
      <c r="V1460" s="1027"/>
      <c r="W1460" s="1027"/>
    </row>
    <row r="1461" spans="2:23" ht="12.75" customHeight="1" x14ac:dyDescent="0.2">
      <c r="B1461" s="1083" t="str">
        <f>'Input Basel III'!$A$1</f>
        <v>15b</v>
      </c>
      <c r="C1461" s="1084" t="str">
        <f>'Input Basel III'!$B$1</f>
        <v>Input Basel III</v>
      </c>
      <c r="D1461" s="1091" t="str">
        <f>'Input Basel III'!$A$226</f>
        <v>5 Überfällige Positionen</v>
      </c>
      <c r="E1461" s="1488" t="str">
        <f>'Input Basel III'!$B$237</f>
        <v>Die um die Einzelwertberichtigungen korrigierten unbesicherten Positionsanteile, sofern die Einzelwertberichtigungen weniger als 20 % des ausstehenden Betrags ausmachen</v>
      </c>
      <c r="F1461" s="1496" t="str">
        <f>'Input Basel III'!$I$234</f>
        <v xml:space="preserve">Vor Besicherung </v>
      </c>
      <c r="G1461" s="1494"/>
      <c r="H1461" s="1518">
        <f>'Input Basel III'!$I237</f>
        <v>0</v>
      </c>
      <c r="U1461" s="1027"/>
      <c r="V1461" s="1027"/>
      <c r="W1461" s="1027"/>
    </row>
    <row r="1462" spans="2:23" ht="12.75" customHeight="1" x14ac:dyDescent="0.2">
      <c r="B1462" s="1083" t="str">
        <f>'Input Basel III'!$A$1</f>
        <v>15b</v>
      </c>
      <c r="C1462" s="1084" t="str">
        <f>'Input Basel III'!$B$1</f>
        <v>Input Basel III</v>
      </c>
      <c r="D1462" s="1091" t="str">
        <f>'Input Basel III'!$A$226</f>
        <v>5 Überfällige Positionen</v>
      </c>
      <c r="E1462" s="1110">
        <f>'Input Basel III'!$B$238</f>
        <v>0</v>
      </c>
      <c r="F1462" s="1496" t="str">
        <f>'Input Basel III'!$I$234</f>
        <v xml:space="preserve">Vor Besicherung </v>
      </c>
      <c r="G1462" s="1494"/>
      <c r="H1462" s="1112">
        <f>'Input Basel III'!$I238</f>
        <v>0</v>
      </c>
      <c r="U1462" s="1027"/>
      <c r="V1462" s="1027"/>
      <c r="W1462" s="1027"/>
    </row>
    <row r="1463" spans="2:23" ht="12.75" customHeight="1" x14ac:dyDescent="0.2">
      <c r="B1463" s="1083" t="str">
        <f>'Input Basel III'!$A$1</f>
        <v>15b</v>
      </c>
      <c r="C1463" s="1084" t="str">
        <f>'Input Basel III'!$B$1</f>
        <v>Input Basel III</v>
      </c>
      <c r="D1463" s="1091" t="str">
        <f>'Input Basel III'!$A$226</f>
        <v>5 Überfällige Positionen</v>
      </c>
      <c r="E1463" s="1488" t="str">
        <f>'Input Basel III'!$B$235</f>
        <v>Die um die Einzelwertberichtigungen korrigierten Positionen nach Ziffer 3.1, wobei grundpfandgesicherte Positionen nach den Ziffern 3.2-3.4 als unbesichert gelten</v>
      </c>
      <c r="F1463" s="1496" t="str">
        <f>'Input Basel III'!$J$234</f>
        <v>Nach Besicherung</v>
      </c>
      <c r="G1463" s="1494"/>
      <c r="H1463" s="1518">
        <f>'Input Basel III'!$J235</f>
        <v>0</v>
      </c>
      <c r="U1463" s="1027"/>
      <c r="V1463" s="1027"/>
      <c r="W1463" s="1027"/>
    </row>
    <row r="1464" spans="2:23" ht="12.75" customHeight="1" x14ac:dyDescent="0.2">
      <c r="B1464" s="1083" t="str">
        <f>'Input Basel III'!$A$1</f>
        <v>15b</v>
      </c>
      <c r="C1464" s="1084" t="str">
        <f>'Input Basel III'!$B$1</f>
        <v>Input Basel III</v>
      </c>
      <c r="D1464" s="1091" t="str">
        <f>'Input Basel III'!$A$226</f>
        <v>5 Überfällige Positionen</v>
      </c>
      <c r="E1464" s="1488" t="str">
        <f>'Input Basel III'!$B$236</f>
        <v>Die um die Einzelwertberichtigungen korrigierten unbesicherten Positionsanteile, sofern die Einzelwertberichtigungen mindestens 20 % des ausstehenden Betrags ausmachen</v>
      </c>
      <c r="F1464" s="1496" t="str">
        <f>'Input Basel III'!$J$234</f>
        <v>Nach Besicherung</v>
      </c>
      <c r="G1464" s="1494"/>
      <c r="H1464" s="1518">
        <f>'Input Basel III'!$J236</f>
        <v>0</v>
      </c>
      <c r="U1464" s="1027"/>
      <c r="V1464" s="1027"/>
      <c r="W1464" s="1027"/>
    </row>
    <row r="1465" spans="2:23" ht="12.75" customHeight="1" x14ac:dyDescent="0.2">
      <c r="B1465" s="1083" t="str">
        <f>'Input Basel III'!$A$1</f>
        <v>15b</v>
      </c>
      <c r="C1465" s="1084" t="str">
        <f>'Input Basel III'!$B$1</f>
        <v>Input Basel III</v>
      </c>
      <c r="D1465" s="1091" t="str">
        <f>'Input Basel III'!$A$226</f>
        <v>5 Überfällige Positionen</v>
      </c>
      <c r="E1465" s="1488" t="str">
        <f>'Input Basel III'!$B$237</f>
        <v>Die um die Einzelwertberichtigungen korrigierten unbesicherten Positionsanteile, sofern die Einzelwertberichtigungen weniger als 20 % des ausstehenden Betrags ausmachen</v>
      </c>
      <c r="F1465" s="1496" t="str">
        <f>'Input Basel III'!$J$234</f>
        <v>Nach Besicherung</v>
      </c>
      <c r="G1465" s="1494"/>
      <c r="H1465" s="1518">
        <f>'Input Basel III'!$J237</f>
        <v>0</v>
      </c>
      <c r="U1465" s="1027"/>
      <c r="V1465" s="1027"/>
      <c r="W1465" s="1027"/>
    </row>
    <row r="1466" spans="2:23" ht="12.75" customHeight="1" x14ac:dyDescent="0.2">
      <c r="B1466" s="1083" t="str">
        <f>'Input Basel III'!$A$1</f>
        <v>15b</v>
      </c>
      <c r="C1466" s="1084" t="str">
        <f>'Input Basel III'!$B$1</f>
        <v>Input Basel III</v>
      </c>
      <c r="D1466" s="1091" t="str">
        <f>'Input Basel III'!$A$226</f>
        <v>5 Überfällige Positionen</v>
      </c>
      <c r="E1466" s="1110">
        <f>'Input Basel III'!$B$238</f>
        <v>0</v>
      </c>
      <c r="F1466" s="1496" t="str">
        <f>'Input Basel III'!$J$234</f>
        <v>Nach Besicherung</v>
      </c>
      <c r="G1466" s="1494"/>
      <c r="H1466" s="1112">
        <f>'Input Basel III'!$J238</f>
        <v>0</v>
      </c>
      <c r="U1466" s="1027"/>
      <c r="V1466" s="1027"/>
      <c r="W1466" s="1027"/>
    </row>
    <row r="1467" spans="2:23" ht="12.75" customHeight="1" x14ac:dyDescent="0.2">
      <c r="B1467" s="1083" t="str">
        <f>'Input Basel III'!$A$1</f>
        <v>15b</v>
      </c>
      <c r="C1467" s="1084" t="str">
        <f>'Input Basel III'!$B$1</f>
        <v>Input Basel III</v>
      </c>
      <c r="D1467" s="1091" t="str">
        <f>'Input Basel III'!$A$226</f>
        <v>5 Überfällige Positionen</v>
      </c>
      <c r="E1467" s="1488" t="str">
        <f>'Input Basel III'!$B$235</f>
        <v>Die um die Einzelwertberichtigungen korrigierten Positionen nach Ziffer 3.1, wobei grundpfandgesicherte Positionen nach den Ziffern 3.2-3.4 als unbesichert gelten</v>
      </c>
      <c r="F1467" s="1496" t="str">
        <f>'Input Basel III'!$L$234</f>
        <v>Vor Garantien und Kreditderivate</v>
      </c>
      <c r="G1467" s="1494"/>
      <c r="H1467" s="1518">
        <f>'Input Basel III'!$L235</f>
        <v>0</v>
      </c>
      <c r="U1467" s="1027"/>
      <c r="V1467" s="1027"/>
      <c r="W1467" s="1027"/>
    </row>
    <row r="1468" spans="2:23" ht="12.75" customHeight="1" x14ac:dyDescent="0.2">
      <c r="B1468" s="1083" t="str">
        <f>'Input Basel III'!$A$1</f>
        <v>15b</v>
      </c>
      <c r="C1468" s="1084" t="str">
        <f>'Input Basel III'!$B$1</f>
        <v>Input Basel III</v>
      </c>
      <c r="D1468" s="1091" t="str">
        <f>'Input Basel III'!$A$226</f>
        <v>5 Überfällige Positionen</v>
      </c>
      <c r="E1468" s="1488" t="str">
        <f>'Input Basel III'!$B$236</f>
        <v>Die um die Einzelwertberichtigungen korrigierten unbesicherten Positionsanteile, sofern die Einzelwertberichtigungen mindestens 20 % des ausstehenden Betrags ausmachen</v>
      </c>
      <c r="F1468" s="1496" t="str">
        <f>'Input Basel III'!$L$234</f>
        <v>Vor Garantien und Kreditderivate</v>
      </c>
      <c r="G1468" s="1494"/>
      <c r="H1468" s="1518">
        <f>'Input Basel III'!$L236</f>
        <v>0</v>
      </c>
      <c r="U1468" s="1027"/>
      <c r="V1468" s="1027"/>
      <c r="W1468" s="1027"/>
    </row>
    <row r="1469" spans="2:23" ht="12.75" customHeight="1" x14ac:dyDescent="0.2">
      <c r="B1469" s="1083" t="str">
        <f>'Input Basel III'!$A$1</f>
        <v>15b</v>
      </c>
      <c r="C1469" s="1084" t="str">
        <f>'Input Basel III'!$B$1</f>
        <v>Input Basel III</v>
      </c>
      <c r="D1469" s="1091" t="str">
        <f>'Input Basel III'!$A$226</f>
        <v>5 Überfällige Positionen</v>
      </c>
      <c r="E1469" s="1488" t="str">
        <f>'Input Basel III'!$B$237</f>
        <v>Die um die Einzelwertberichtigungen korrigierten unbesicherten Positionsanteile, sofern die Einzelwertberichtigungen weniger als 20 % des ausstehenden Betrags ausmachen</v>
      </c>
      <c r="F1469" s="1496" t="str">
        <f>'Input Basel III'!$L$234</f>
        <v>Vor Garantien und Kreditderivate</v>
      </c>
      <c r="G1469" s="1494"/>
      <c r="H1469" s="1518">
        <f>'Input Basel III'!$L237</f>
        <v>0</v>
      </c>
      <c r="U1469" s="1027"/>
      <c r="V1469" s="1027"/>
      <c r="W1469" s="1027"/>
    </row>
    <row r="1470" spans="2:23" ht="12.75" customHeight="1" x14ac:dyDescent="0.2">
      <c r="B1470" s="1083" t="str">
        <f>'Input Basel III'!$A$1</f>
        <v>15b</v>
      </c>
      <c r="C1470" s="1084" t="str">
        <f>'Input Basel III'!$B$1</f>
        <v>Input Basel III</v>
      </c>
      <c r="D1470" s="1091" t="str">
        <f>'Input Basel III'!$A$226</f>
        <v>5 Überfällige Positionen</v>
      </c>
      <c r="E1470" s="1110">
        <f>'Input Basel III'!$B$238</f>
        <v>0</v>
      </c>
      <c r="F1470" s="1496" t="str">
        <f>'Input Basel III'!$L$234</f>
        <v>Vor Garantien und Kreditderivate</v>
      </c>
      <c r="G1470" s="1494"/>
      <c r="H1470" s="1112">
        <f>'Input Basel III'!$L238</f>
        <v>0</v>
      </c>
      <c r="U1470" s="1027"/>
      <c r="V1470" s="1027"/>
      <c r="W1470" s="1027"/>
    </row>
    <row r="1471" spans="2:23" ht="12.75" customHeight="1" x14ac:dyDescent="0.2">
      <c r="B1471" s="1083" t="str">
        <f>'Input Basel III'!$A$1</f>
        <v>15b</v>
      </c>
      <c r="C1471" s="1084" t="str">
        <f>'Input Basel III'!$B$1</f>
        <v>Input Basel III</v>
      </c>
      <c r="D1471" s="1091" t="str">
        <f>'Input Basel III'!$A$226</f>
        <v>5 Überfällige Positionen</v>
      </c>
      <c r="E1471" s="1488" t="str">
        <f>'Input Basel III'!$B$235</f>
        <v>Die um die Einzelwertberichtigungen korrigierten Positionen nach Ziffer 3.1, wobei grundpfandgesicherte Positionen nach den Ziffern 3.2-3.4 als unbesichert gelten</v>
      </c>
      <c r="F1471" s="1496" t="str">
        <f>'Input Basel III'!$M$234</f>
        <v>Nach Garantien und Kred.-.Der.</v>
      </c>
      <c r="G1471" s="1494"/>
      <c r="H1471" s="1518">
        <f>'Input Basel III'!$M235</f>
        <v>0</v>
      </c>
      <c r="U1471" s="1027"/>
      <c r="V1471" s="1027"/>
      <c r="W1471" s="1027"/>
    </row>
    <row r="1472" spans="2:23" ht="12.75" customHeight="1" x14ac:dyDescent="0.2">
      <c r="B1472" s="1083" t="str">
        <f>'Input Basel III'!$A$1</f>
        <v>15b</v>
      </c>
      <c r="C1472" s="1084" t="str">
        <f>'Input Basel III'!$B$1</f>
        <v>Input Basel III</v>
      </c>
      <c r="D1472" s="1091" t="str">
        <f>'Input Basel III'!$A$226</f>
        <v>5 Überfällige Positionen</v>
      </c>
      <c r="E1472" s="1488" t="str">
        <f>'Input Basel III'!$B$236</f>
        <v>Die um die Einzelwertberichtigungen korrigierten unbesicherten Positionsanteile, sofern die Einzelwertberichtigungen mindestens 20 % des ausstehenden Betrags ausmachen</v>
      </c>
      <c r="F1472" s="1496" t="str">
        <f>'Input Basel III'!$M$234</f>
        <v>Nach Garantien und Kred.-.Der.</v>
      </c>
      <c r="G1472" s="1494"/>
      <c r="H1472" s="1518">
        <f>'Input Basel III'!$M236</f>
        <v>0</v>
      </c>
      <c r="U1472" s="1027"/>
      <c r="V1472" s="1027"/>
      <c r="W1472" s="1027"/>
    </row>
    <row r="1473" spans="2:23" ht="12.75" customHeight="1" x14ac:dyDescent="0.2">
      <c r="B1473" s="1083" t="str">
        <f>'Input Basel III'!$A$1</f>
        <v>15b</v>
      </c>
      <c r="C1473" s="1084" t="str">
        <f>'Input Basel III'!$B$1</f>
        <v>Input Basel III</v>
      </c>
      <c r="D1473" s="1091" t="str">
        <f>'Input Basel III'!$A$226</f>
        <v>5 Überfällige Positionen</v>
      </c>
      <c r="E1473" s="1488" t="str">
        <f>'Input Basel III'!$B$237</f>
        <v>Die um die Einzelwertberichtigungen korrigierten unbesicherten Positionsanteile, sofern die Einzelwertberichtigungen weniger als 20 % des ausstehenden Betrags ausmachen</v>
      </c>
      <c r="F1473" s="1496" t="str">
        <f>'Input Basel III'!$M$234</f>
        <v>Nach Garantien und Kred.-.Der.</v>
      </c>
      <c r="G1473" s="1494"/>
      <c r="H1473" s="1518">
        <f>'Input Basel III'!$M237</f>
        <v>0</v>
      </c>
      <c r="U1473" s="1027"/>
      <c r="V1473" s="1027"/>
      <c r="W1473" s="1027"/>
    </row>
    <row r="1474" spans="2:23" ht="12.75" customHeight="1" x14ac:dyDescent="0.2">
      <c r="B1474" s="1083" t="str">
        <f>'Input Basel III'!$A$1</f>
        <v>15b</v>
      </c>
      <c r="C1474" s="1084" t="str">
        <f>'Input Basel III'!$B$1</f>
        <v>Input Basel III</v>
      </c>
      <c r="D1474" s="1091" t="str">
        <f>'Input Basel III'!$A$226</f>
        <v>5 Überfällige Positionen</v>
      </c>
      <c r="E1474" s="1110">
        <f>'Input Basel III'!$B$238</f>
        <v>0</v>
      </c>
      <c r="F1474" s="1496" t="str">
        <f>'Input Basel III'!$M$234</f>
        <v>Nach Garantien und Kred.-.Der.</v>
      </c>
      <c r="G1474" s="1520"/>
      <c r="H1474" s="1112">
        <f>'Input Basel III'!$M238</f>
        <v>0</v>
      </c>
      <c r="U1474" s="1027"/>
      <c r="V1474" s="1027"/>
      <c r="W1474" s="1027"/>
    </row>
    <row r="1475" spans="2:23" ht="12.75" customHeight="1" x14ac:dyDescent="0.2">
      <c r="B1475" s="1083" t="str">
        <f>'Input Basel III'!$A$1</f>
        <v>15b</v>
      </c>
      <c r="C1475" s="1084" t="str">
        <f>'Input Basel III'!$B$1</f>
        <v>Input Basel III</v>
      </c>
      <c r="D1475" s="1091" t="str">
        <f>'Input Basel III'!$A$243</f>
        <v>6 Übrige Positionen</v>
      </c>
      <c r="E1475" s="1488" t="str">
        <f>'Input Basel III'!$B$250</f>
        <v xml:space="preserve">Flüssige Mittel, jedoch ohne Positionen unter Blatt "Positionsklassen",  A.) 6.2  </v>
      </c>
      <c r="F1475" s="1494" t="str">
        <f>'Input Basel III'!$C$31</f>
        <v>Risikogewicht</v>
      </c>
      <c r="G1475" s="1494"/>
      <c r="H1475" s="1519">
        <f>'Input Basel III'!$C250</f>
        <v>0</v>
      </c>
      <c r="U1475" s="1027"/>
      <c r="V1475" s="1027"/>
      <c r="W1475" s="1027"/>
    </row>
    <row r="1476" spans="2:23" ht="12.75" customHeight="1" x14ac:dyDescent="0.2">
      <c r="B1476" s="1083" t="str">
        <f>'Input Basel III'!$A$1</f>
        <v>15b</v>
      </c>
      <c r="C1476" s="1084" t="str">
        <f>'Input Basel III'!$B$1</f>
        <v>Input Basel III</v>
      </c>
      <c r="D1476" s="1091" t="str">
        <f>'Input Basel III'!$A$243</f>
        <v>6 Übrige Positionen</v>
      </c>
      <c r="E1476" s="1488" t="str">
        <f>'Input Basel III'!$B$251</f>
        <v>Kreditäquivalente aus Einzahlungs- und Nachschussverpflichtungen</v>
      </c>
      <c r="F1476" s="1494" t="str">
        <f>'Input Basel III'!$C$31</f>
        <v>Risikogewicht</v>
      </c>
      <c r="G1476" s="1494"/>
      <c r="H1476" s="1519">
        <f>'Input Basel III'!$C251</f>
        <v>1</v>
      </c>
      <c r="U1476" s="1027"/>
      <c r="V1476" s="1027"/>
      <c r="W1476" s="1027"/>
    </row>
    <row r="1477" spans="2:23" ht="12.75" customHeight="1" x14ac:dyDescent="0.2">
      <c r="B1477" s="1083" t="str">
        <f>'Input Basel III'!$A$1</f>
        <v>15b</v>
      </c>
      <c r="C1477" s="1084" t="str">
        <f>'Input Basel III'!$B$1</f>
        <v>Input Basel III</v>
      </c>
      <c r="D1477" s="1091" t="str">
        <f>'Input Basel III'!$A$243</f>
        <v>6 Übrige Positionen</v>
      </c>
      <c r="E1477" s="1488" t="str">
        <f>'Input Basel III'!$B$252</f>
        <v>Übrige Positionen (inkl. Rechnungsbegrenzungsposten)</v>
      </c>
      <c r="F1477" s="1494" t="str">
        <f>'Input Basel III'!$C$31</f>
        <v>Risikogewicht</v>
      </c>
      <c r="G1477" s="1494"/>
      <c r="H1477" s="1519">
        <f>'Input Basel III'!$C252</f>
        <v>1</v>
      </c>
      <c r="U1477" s="1027"/>
      <c r="V1477" s="1027"/>
      <c r="W1477" s="1027"/>
    </row>
    <row r="1478" spans="2:23" ht="12.75" customHeight="1" x14ac:dyDescent="0.2">
      <c r="B1478" s="1083" t="str">
        <f>'Input Basel III'!$A$1</f>
        <v>15b</v>
      </c>
      <c r="C1478" s="1084" t="str">
        <f>'Input Basel III'!$B$1</f>
        <v>Input Basel III</v>
      </c>
      <c r="D1478" s="1091" t="str">
        <f>'Input Basel III'!$A$243</f>
        <v>6 Übrige Positionen</v>
      </c>
      <c r="E1478" s="1110">
        <f>'Input Basel III'!$B$253</f>
        <v>0</v>
      </c>
      <c r="F1478" s="1494" t="str">
        <f>'Input Basel III'!$C$31</f>
        <v>Risikogewicht</v>
      </c>
      <c r="G1478" s="1494"/>
      <c r="H1478" s="1111">
        <f>'Input Basel III'!$C253</f>
        <v>0</v>
      </c>
      <c r="U1478" s="1027"/>
      <c r="V1478" s="1027"/>
      <c r="W1478" s="1027"/>
    </row>
    <row r="1479" spans="2:23" ht="12.75" customHeight="1" x14ac:dyDescent="0.2">
      <c r="B1479" s="1083" t="str">
        <f>'Input Basel III'!$A$1</f>
        <v>15b</v>
      </c>
      <c r="C1479" s="1084" t="str">
        <f>'Input Basel III'!$B$1</f>
        <v>Input Basel III</v>
      </c>
      <c r="D1479" s="1091" t="str">
        <f>'Input Basel III'!$A$243</f>
        <v>6 Übrige Positionen</v>
      </c>
      <c r="E1479" s="1488" t="str">
        <f>'Input Basel III'!$B$250</f>
        <v xml:space="preserve">Flüssige Mittel, jedoch ohne Positionen unter Blatt "Positionsklassen",  A.) 6.2  </v>
      </c>
      <c r="F1479" s="1494" t="str">
        <f>'Input Basel III'!$G$248</f>
        <v>Positionen ohne Kreditrisikominderung (CRM)</v>
      </c>
      <c r="G1479" s="1494"/>
      <c r="H1479" s="1518">
        <f>'Input Basel III'!$G250</f>
        <v>0</v>
      </c>
      <c r="U1479" s="1027"/>
      <c r="V1479" s="1027"/>
      <c r="W1479" s="1027"/>
    </row>
    <row r="1480" spans="2:23" ht="12.75" customHeight="1" x14ac:dyDescent="0.2">
      <c r="B1480" s="1083" t="str">
        <f>'Input Basel III'!$A$1</f>
        <v>15b</v>
      </c>
      <c r="C1480" s="1084" t="str">
        <f>'Input Basel III'!$B$1</f>
        <v>Input Basel III</v>
      </c>
      <c r="D1480" s="1091" t="str">
        <f>'Input Basel III'!$A$243</f>
        <v>6 Übrige Positionen</v>
      </c>
      <c r="E1480" s="1488" t="str">
        <f>'Input Basel III'!$B$251</f>
        <v>Kreditäquivalente aus Einzahlungs- und Nachschussverpflichtungen</v>
      </c>
      <c r="F1480" s="1494" t="str">
        <f>'Input Basel III'!$G$248</f>
        <v>Positionen ohne Kreditrisikominderung (CRM)</v>
      </c>
      <c r="G1480" s="1494"/>
      <c r="H1480" s="1518">
        <f>'Input Basel III'!$G251</f>
        <v>0</v>
      </c>
      <c r="U1480" s="1027"/>
      <c r="V1480" s="1027"/>
      <c r="W1480" s="1027"/>
    </row>
    <row r="1481" spans="2:23" ht="12.75" customHeight="1" x14ac:dyDescent="0.2">
      <c r="B1481" s="1083" t="str">
        <f>'Input Basel III'!$A$1</f>
        <v>15b</v>
      </c>
      <c r="C1481" s="1084" t="str">
        <f>'Input Basel III'!$B$1</f>
        <v>Input Basel III</v>
      </c>
      <c r="D1481" s="1091" t="str">
        <f>'Input Basel III'!$A$243</f>
        <v>6 Übrige Positionen</v>
      </c>
      <c r="E1481" s="1488" t="str">
        <f>'Input Basel III'!$B$252</f>
        <v>Übrige Positionen (inkl. Rechnungsbegrenzungsposten)</v>
      </c>
      <c r="F1481" s="1494" t="str">
        <f>'Input Basel III'!$G$248</f>
        <v>Positionen ohne Kreditrisikominderung (CRM)</v>
      </c>
      <c r="G1481" s="1494"/>
      <c r="H1481" s="1518">
        <f>'Input Basel III'!$G252</f>
        <v>0</v>
      </c>
      <c r="U1481" s="1027"/>
      <c r="V1481" s="1027"/>
      <c r="W1481" s="1027"/>
    </row>
    <row r="1482" spans="2:23" ht="12.75" customHeight="1" x14ac:dyDescent="0.2">
      <c r="B1482" s="1083" t="str">
        <f>'Input Basel III'!$A$1</f>
        <v>15b</v>
      </c>
      <c r="C1482" s="1084" t="str">
        <f>'Input Basel III'!$B$1</f>
        <v>Input Basel III</v>
      </c>
      <c r="D1482" s="1091" t="str">
        <f>'Input Basel III'!$A$243</f>
        <v>6 Übrige Positionen</v>
      </c>
      <c r="E1482" s="1110">
        <f>'Input Basel III'!$B$253</f>
        <v>0</v>
      </c>
      <c r="F1482" s="1494" t="str">
        <f>'Input Basel III'!$G$248</f>
        <v>Positionen ohne Kreditrisikominderung (CRM)</v>
      </c>
      <c r="G1482" s="1494"/>
      <c r="H1482" s="1112">
        <f>'Input Basel III'!$G253</f>
        <v>0</v>
      </c>
      <c r="U1482" s="1027"/>
      <c r="V1482" s="1027"/>
      <c r="W1482" s="1027"/>
    </row>
    <row r="1483" spans="2:23" ht="12.75" customHeight="1" x14ac:dyDescent="0.2">
      <c r="B1483" s="1083" t="str">
        <f>'Input Basel III'!$A$1</f>
        <v>15b</v>
      </c>
      <c r="C1483" s="1084" t="str">
        <f>'Input Basel III'!$B$1</f>
        <v>Input Basel III</v>
      </c>
      <c r="D1483" s="1091" t="str">
        <f>'Input Basel III'!$A$243</f>
        <v>6 Übrige Positionen</v>
      </c>
      <c r="E1483" s="1488" t="str">
        <f>'Input Basel III'!$B$250</f>
        <v xml:space="preserve">Flüssige Mittel, jedoch ohne Positionen unter Blatt "Positionsklassen",  A.) 6.2  </v>
      </c>
      <c r="F1483" s="1494" t="str">
        <f>'Input Basel III'!$I$249</f>
        <v xml:space="preserve">Vor Besicherung </v>
      </c>
      <c r="G1483" s="1494"/>
      <c r="H1483" s="1518">
        <f>'Input Basel III'!$I250</f>
        <v>0</v>
      </c>
      <c r="U1483" s="1027"/>
      <c r="V1483" s="1027"/>
      <c r="W1483" s="1027"/>
    </row>
    <row r="1484" spans="2:23" ht="12.75" customHeight="1" x14ac:dyDescent="0.2">
      <c r="B1484" s="1083" t="str">
        <f>'Input Basel III'!$A$1</f>
        <v>15b</v>
      </c>
      <c r="C1484" s="1084" t="str">
        <f>'Input Basel III'!$B$1</f>
        <v>Input Basel III</v>
      </c>
      <c r="D1484" s="1091" t="str">
        <f>'Input Basel III'!$A$243</f>
        <v>6 Übrige Positionen</v>
      </c>
      <c r="E1484" s="1488" t="str">
        <f>'Input Basel III'!$B$251</f>
        <v>Kreditäquivalente aus Einzahlungs- und Nachschussverpflichtungen</v>
      </c>
      <c r="F1484" s="1494" t="str">
        <f>'Input Basel III'!$I$249</f>
        <v xml:space="preserve">Vor Besicherung </v>
      </c>
      <c r="G1484" s="1494"/>
      <c r="H1484" s="1518">
        <f>'Input Basel III'!$I251</f>
        <v>0</v>
      </c>
      <c r="U1484" s="1027"/>
      <c r="V1484" s="1027"/>
      <c r="W1484" s="1027"/>
    </row>
    <row r="1485" spans="2:23" ht="12.75" customHeight="1" x14ac:dyDescent="0.2">
      <c r="B1485" s="1083" t="str">
        <f>'Input Basel III'!$A$1</f>
        <v>15b</v>
      </c>
      <c r="C1485" s="1084" t="str">
        <f>'Input Basel III'!$B$1</f>
        <v>Input Basel III</v>
      </c>
      <c r="D1485" s="1091" t="str">
        <f>'Input Basel III'!$A$243</f>
        <v>6 Übrige Positionen</v>
      </c>
      <c r="E1485" s="1488" t="str">
        <f>'Input Basel III'!$B$252</f>
        <v>Übrige Positionen (inkl. Rechnungsbegrenzungsposten)</v>
      </c>
      <c r="F1485" s="1494" t="str">
        <f>'Input Basel III'!$I$249</f>
        <v xml:space="preserve">Vor Besicherung </v>
      </c>
      <c r="G1485" s="1494"/>
      <c r="H1485" s="1518">
        <f>'Input Basel III'!$I252</f>
        <v>0</v>
      </c>
      <c r="U1485" s="1027"/>
      <c r="V1485" s="1027"/>
      <c r="W1485" s="1027"/>
    </row>
    <row r="1486" spans="2:23" ht="12.75" customHeight="1" x14ac:dyDescent="0.2">
      <c r="B1486" s="1083" t="str">
        <f>'Input Basel III'!$A$1</f>
        <v>15b</v>
      </c>
      <c r="C1486" s="1084" t="str">
        <f>'Input Basel III'!$B$1</f>
        <v>Input Basel III</v>
      </c>
      <c r="D1486" s="1091" t="str">
        <f>'Input Basel III'!$A$243</f>
        <v>6 Übrige Positionen</v>
      </c>
      <c r="E1486" s="1110">
        <f>'Input Basel III'!$B$253</f>
        <v>0</v>
      </c>
      <c r="F1486" s="1494" t="str">
        <f>'Input Basel III'!$I$249</f>
        <v xml:space="preserve">Vor Besicherung </v>
      </c>
      <c r="G1486" s="1494"/>
      <c r="H1486" s="1112">
        <f>'Input Basel III'!$I253</f>
        <v>0</v>
      </c>
      <c r="U1486" s="1027"/>
      <c r="V1486" s="1027"/>
      <c r="W1486" s="1027"/>
    </row>
    <row r="1487" spans="2:23" ht="12.75" customHeight="1" x14ac:dyDescent="0.2">
      <c r="B1487" s="1083" t="str">
        <f>'Input Basel III'!$A$1</f>
        <v>15b</v>
      </c>
      <c r="C1487" s="1084" t="str">
        <f>'Input Basel III'!$B$1</f>
        <v>Input Basel III</v>
      </c>
      <c r="D1487" s="1091" t="str">
        <f>'Input Basel III'!$A$243</f>
        <v>6 Übrige Positionen</v>
      </c>
      <c r="E1487" s="1488" t="str">
        <f>'Input Basel III'!$B$250</f>
        <v xml:space="preserve">Flüssige Mittel, jedoch ohne Positionen unter Blatt "Positionsklassen",  A.) 6.2  </v>
      </c>
      <c r="F1487" s="1494" t="str">
        <f>'Input Basel III'!$J$249</f>
        <v>Nach Besicherung</v>
      </c>
      <c r="G1487" s="1494"/>
      <c r="H1487" s="1518">
        <f>'Input Basel III'!$J250</f>
        <v>0</v>
      </c>
      <c r="U1487" s="1027"/>
      <c r="V1487" s="1027"/>
      <c r="W1487" s="1027"/>
    </row>
    <row r="1488" spans="2:23" ht="12.75" customHeight="1" x14ac:dyDescent="0.2">
      <c r="B1488" s="1083" t="str">
        <f>'Input Basel III'!$A$1</f>
        <v>15b</v>
      </c>
      <c r="C1488" s="1084" t="str">
        <f>'Input Basel III'!$B$1</f>
        <v>Input Basel III</v>
      </c>
      <c r="D1488" s="1091" t="str">
        <f>'Input Basel III'!$A$243</f>
        <v>6 Übrige Positionen</v>
      </c>
      <c r="E1488" s="1488" t="str">
        <f>'Input Basel III'!$B$251</f>
        <v>Kreditäquivalente aus Einzahlungs- und Nachschussverpflichtungen</v>
      </c>
      <c r="F1488" s="1494" t="str">
        <f>'Input Basel III'!$J$249</f>
        <v>Nach Besicherung</v>
      </c>
      <c r="G1488" s="1494"/>
      <c r="H1488" s="1518">
        <f>'Input Basel III'!$J251</f>
        <v>0</v>
      </c>
      <c r="U1488" s="1027"/>
      <c r="V1488" s="1027"/>
      <c r="W1488" s="1027"/>
    </row>
    <row r="1489" spans="2:23" ht="12.75" customHeight="1" x14ac:dyDescent="0.2">
      <c r="B1489" s="1083" t="str">
        <f>'Input Basel III'!$A$1</f>
        <v>15b</v>
      </c>
      <c r="C1489" s="1084" t="str">
        <f>'Input Basel III'!$B$1</f>
        <v>Input Basel III</v>
      </c>
      <c r="D1489" s="1091" t="str">
        <f>'Input Basel III'!$A$243</f>
        <v>6 Übrige Positionen</v>
      </c>
      <c r="E1489" s="1488" t="str">
        <f>'Input Basel III'!$B$252</f>
        <v>Übrige Positionen (inkl. Rechnungsbegrenzungsposten)</v>
      </c>
      <c r="F1489" s="1494" t="str">
        <f>'Input Basel III'!$J$249</f>
        <v>Nach Besicherung</v>
      </c>
      <c r="G1489" s="1494"/>
      <c r="H1489" s="1518">
        <f>'Input Basel III'!$J252</f>
        <v>0</v>
      </c>
      <c r="U1489" s="1027"/>
      <c r="V1489" s="1027"/>
      <c r="W1489" s="1027"/>
    </row>
    <row r="1490" spans="2:23" ht="12.75" customHeight="1" x14ac:dyDescent="0.2">
      <c r="B1490" s="1083" t="str">
        <f>'Input Basel III'!$A$1</f>
        <v>15b</v>
      </c>
      <c r="C1490" s="1084" t="str">
        <f>'Input Basel III'!$B$1</f>
        <v>Input Basel III</v>
      </c>
      <c r="D1490" s="1091" t="str">
        <f>'Input Basel III'!$A$243</f>
        <v>6 Übrige Positionen</v>
      </c>
      <c r="E1490" s="1110">
        <f>'Input Basel III'!$B$253</f>
        <v>0</v>
      </c>
      <c r="F1490" s="1494" t="str">
        <f>'Input Basel III'!$J$249</f>
        <v>Nach Besicherung</v>
      </c>
      <c r="G1490" s="1494"/>
      <c r="H1490" s="1112">
        <f>'Input Basel III'!$J253</f>
        <v>0</v>
      </c>
      <c r="U1490" s="1027"/>
      <c r="V1490" s="1027"/>
      <c r="W1490" s="1027"/>
    </row>
    <row r="1491" spans="2:23" ht="12.75" customHeight="1" x14ac:dyDescent="0.2">
      <c r="B1491" s="1083" t="str">
        <f>'Input Basel III'!$A$1</f>
        <v>15b</v>
      </c>
      <c r="C1491" s="1084" t="str">
        <f>'Input Basel III'!$B$1</f>
        <v>Input Basel III</v>
      </c>
      <c r="D1491" s="1091" t="str">
        <f>'Input Basel III'!$A$243</f>
        <v>6 Übrige Positionen</v>
      </c>
      <c r="E1491" s="1488" t="str">
        <f>'Input Basel III'!$B$250</f>
        <v xml:space="preserve">Flüssige Mittel, jedoch ohne Positionen unter Blatt "Positionsklassen",  A.) 6.2  </v>
      </c>
      <c r="F1491" s="1494" t="str">
        <f>'Input Basel III'!$L$249</f>
        <v>Vor Garantien und Kreditderivate</v>
      </c>
      <c r="G1491" s="1494"/>
      <c r="H1491" s="1518">
        <f>'Input Basel III'!$L250</f>
        <v>0</v>
      </c>
      <c r="U1491" s="1027"/>
      <c r="V1491" s="1027"/>
      <c r="W1491" s="1027"/>
    </row>
    <row r="1492" spans="2:23" ht="12.75" customHeight="1" x14ac:dyDescent="0.2">
      <c r="B1492" s="1083" t="str">
        <f>'Input Basel III'!$A$1</f>
        <v>15b</v>
      </c>
      <c r="C1492" s="1084" t="str">
        <f>'Input Basel III'!$B$1</f>
        <v>Input Basel III</v>
      </c>
      <c r="D1492" s="1091" t="str">
        <f>'Input Basel III'!$A$243</f>
        <v>6 Übrige Positionen</v>
      </c>
      <c r="E1492" s="1488" t="str">
        <f>'Input Basel III'!$B$251</f>
        <v>Kreditäquivalente aus Einzahlungs- und Nachschussverpflichtungen</v>
      </c>
      <c r="F1492" s="1494" t="str">
        <f>'Input Basel III'!$L$249</f>
        <v>Vor Garantien und Kreditderivate</v>
      </c>
      <c r="G1492" s="1494"/>
      <c r="H1492" s="1518">
        <f>'Input Basel III'!$L251</f>
        <v>0</v>
      </c>
      <c r="U1492" s="1027"/>
      <c r="V1492" s="1027"/>
      <c r="W1492" s="1027"/>
    </row>
    <row r="1493" spans="2:23" ht="12.75" customHeight="1" x14ac:dyDescent="0.2">
      <c r="B1493" s="1083" t="str">
        <f>'Input Basel III'!$A$1</f>
        <v>15b</v>
      </c>
      <c r="C1493" s="1084" t="str">
        <f>'Input Basel III'!$B$1</f>
        <v>Input Basel III</v>
      </c>
      <c r="D1493" s="1091" t="str">
        <f>'Input Basel III'!$A$243</f>
        <v>6 Übrige Positionen</v>
      </c>
      <c r="E1493" s="1488" t="str">
        <f>'Input Basel III'!$B$252</f>
        <v>Übrige Positionen (inkl. Rechnungsbegrenzungsposten)</v>
      </c>
      <c r="F1493" s="1494" t="str">
        <f>'Input Basel III'!$L$249</f>
        <v>Vor Garantien und Kreditderivate</v>
      </c>
      <c r="G1493" s="1494"/>
      <c r="H1493" s="1518">
        <f>'Input Basel III'!$L252</f>
        <v>0</v>
      </c>
      <c r="U1493" s="1027"/>
      <c r="V1493" s="1027"/>
      <c r="W1493" s="1027"/>
    </row>
    <row r="1494" spans="2:23" ht="12.75" customHeight="1" x14ac:dyDescent="0.2">
      <c r="B1494" s="1083" t="str">
        <f>'Input Basel III'!$A$1</f>
        <v>15b</v>
      </c>
      <c r="C1494" s="1084" t="str">
        <f>'Input Basel III'!$B$1</f>
        <v>Input Basel III</v>
      </c>
      <c r="D1494" s="1091" t="str">
        <f>'Input Basel III'!$A$243</f>
        <v>6 Übrige Positionen</v>
      </c>
      <c r="E1494" s="1110">
        <f>'Input Basel III'!$B$253</f>
        <v>0</v>
      </c>
      <c r="F1494" s="1494" t="str">
        <f>'Input Basel III'!$L$249</f>
        <v>Vor Garantien und Kreditderivate</v>
      </c>
      <c r="G1494" s="1494"/>
      <c r="H1494" s="1112">
        <f>'Input Basel III'!$L253</f>
        <v>0</v>
      </c>
      <c r="U1494" s="1027"/>
      <c r="V1494" s="1027"/>
      <c r="W1494" s="1027"/>
    </row>
    <row r="1495" spans="2:23" ht="12.75" customHeight="1" x14ac:dyDescent="0.2">
      <c r="B1495" s="1083" t="str">
        <f>'Input Basel III'!$A$1</f>
        <v>15b</v>
      </c>
      <c r="C1495" s="1084" t="str">
        <f>'Input Basel III'!$B$1</f>
        <v>Input Basel III</v>
      </c>
      <c r="D1495" s="1091" t="str">
        <f>'Input Basel III'!$A$243</f>
        <v>6 Übrige Positionen</v>
      </c>
      <c r="E1495" s="1488" t="str">
        <f>'Input Basel III'!$B$250</f>
        <v xml:space="preserve">Flüssige Mittel, jedoch ohne Positionen unter Blatt "Positionsklassen",  A.) 6.2  </v>
      </c>
      <c r="F1495" s="1494" t="str">
        <f>'Input Basel III'!$M$249</f>
        <v>Nach Garantien und Kred.-.Der.</v>
      </c>
      <c r="G1495" s="1494"/>
      <c r="H1495" s="1518">
        <f>'Input Basel III'!$M250</f>
        <v>0</v>
      </c>
      <c r="U1495" s="1027"/>
      <c r="V1495" s="1027"/>
      <c r="W1495" s="1027"/>
    </row>
    <row r="1496" spans="2:23" ht="12.75" customHeight="1" x14ac:dyDescent="0.2">
      <c r="B1496" s="1083" t="str">
        <f>'Input Basel III'!$A$1</f>
        <v>15b</v>
      </c>
      <c r="C1496" s="1084" t="str">
        <f>'Input Basel III'!$B$1</f>
        <v>Input Basel III</v>
      </c>
      <c r="D1496" s="1091" t="str">
        <f>'Input Basel III'!$A$243</f>
        <v>6 Übrige Positionen</v>
      </c>
      <c r="E1496" s="1488" t="str">
        <f>'Input Basel III'!$B$251</f>
        <v>Kreditäquivalente aus Einzahlungs- und Nachschussverpflichtungen</v>
      </c>
      <c r="F1496" s="1494" t="str">
        <f>'Input Basel III'!$M$249</f>
        <v>Nach Garantien und Kred.-.Der.</v>
      </c>
      <c r="G1496" s="1494"/>
      <c r="H1496" s="1518">
        <f>'Input Basel III'!$M251</f>
        <v>0</v>
      </c>
      <c r="U1496" s="1027"/>
      <c r="V1496" s="1027"/>
      <c r="W1496" s="1027"/>
    </row>
    <row r="1497" spans="2:23" ht="12.75" customHeight="1" x14ac:dyDescent="0.2">
      <c r="B1497" s="1083" t="str">
        <f>'Input Basel III'!$A$1</f>
        <v>15b</v>
      </c>
      <c r="C1497" s="1084" t="str">
        <f>'Input Basel III'!$B$1</f>
        <v>Input Basel III</v>
      </c>
      <c r="D1497" s="1091" t="str">
        <f>'Input Basel III'!$A$243</f>
        <v>6 Übrige Positionen</v>
      </c>
      <c r="E1497" s="1488" t="str">
        <f>'Input Basel III'!$B$252</f>
        <v>Übrige Positionen (inkl. Rechnungsbegrenzungsposten)</v>
      </c>
      <c r="F1497" s="1494" t="str">
        <f>'Input Basel III'!$M$249</f>
        <v>Nach Garantien und Kred.-.Der.</v>
      </c>
      <c r="G1497" s="1494"/>
      <c r="H1497" s="1518">
        <f>'Input Basel III'!$M252</f>
        <v>0</v>
      </c>
      <c r="U1497" s="1027"/>
      <c r="V1497" s="1027"/>
      <c r="W1497" s="1027"/>
    </row>
    <row r="1498" spans="2:23" ht="12.75" customHeight="1" thickBot="1" x14ac:dyDescent="0.25">
      <c r="B1498" s="1085" t="str">
        <f>'Input Basel III'!$A$1</f>
        <v>15b</v>
      </c>
      <c r="C1498" s="1086" t="str">
        <f>'Input Basel III'!$B$1</f>
        <v>Input Basel III</v>
      </c>
      <c r="D1498" s="1092" t="str">
        <f>'Input Basel III'!$A$243</f>
        <v>6 Übrige Positionen</v>
      </c>
      <c r="E1498" s="1114">
        <f>'Input Basel III'!$B$253</f>
        <v>0</v>
      </c>
      <c r="F1498" s="1500" t="str">
        <f>'Input Basel III'!$M$249</f>
        <v>Nach Garantien und Kred.-.Der.</v>
      </c>
      <c r="G1498" s="1500"/>
      <c r="H1498" s="1115">
        <f>'Input Basel III'!$M253</f>
        <v>0</v>
      </c>
      <c r="U1498" s="1027"/>
      <c r="V1498" s="1027"/>
      <c r="W1498" s="1027"/>
    </row>
    <row r="1499" spans="2:23" ht="13.5" thickBot="1" x14ac:dyDescent="0.25">
      <c r="B1499" s="1087"/>
      <c r="C1499" s="1087"/>
      <c r="D1499" s="1075"/>
      <c r="E1499" s="1483"/>
      <c r="F1499" s="1484"/>
      <c r="G1499" s="1484"/>
      <c r="H1499" s="1035"/>
      <c r="U1499" s="1027"/>
      <c r="V1499" s="1027"/>
      <c r="W1499" s="1027"/>
    </row>
    <row r="1500" spans="2:23" x14ac:dyDescent="0.2">
      <c r="B1500" s="1080">
        <f>HE_Insurance_Risk!$A$1</f>
        <v>37</v>
      </c>
      <c r="C1500" s="1081" t="str">
        <f>HE_Insurance_Risk!$B$1</f>
        <v>Versicherungsrisiko</v>
      </c>
      <c r="D1500" s="1082" t="str">
        <f>HE_Insurance_Risk!$C$9</f>
        <v>Versicherungstechnisches Risiko für 2025</v>
      </c>
      <c r="E1500" s="1486" t="str">
        <f>HE_Insurance_Risk!$W$17</f>
        <v>Total KVG inkl. UVG</v>
      </c>
      <c r="F1500" s="1486" t="str">
        <f>HE_Insurance_Risk!$C10</f>
        <v>Erwartungswert</v>
      </c>
      <c r="G1500" s="1492"/>
      <c r="H1500" s="1522">
        <f>HE_Insurance_Risk!$W10</f>
        <v>0</v>
      </c>
      <c r="U1500" s="1027"/>
      <c r="V1500" s="1027"/>
      <c r="W1500" s="1027"/>
    </row>
    <row r="1501" spans="2:23" x14ac:dyDescent="0.2">
      <c r="B1501" s="1083">
        <f>HE_Insurance_Risk!$A$1</f>
        <v>37</v>
      </c>
      <c r="C1501" s="1084" t="str">
        <f>HE_Insurance_Risk!$B$1</f>
        <v>Versicherungsrisiko</v>
      </c>
      <c r="D1501" s="1091" t="str">
        <f>HE_Insurance_Risk!$C$9</f>
        <v>Versicherungstechnisches Risiko für 2025</v>
      </c>
      <c r="E1501" s="1488" t="str">
        <f>HE_Insurance_Risk!$W$17</f>
        <v>Total KVG inkl. UVG</v>
      </c>
      <c r="F1501" s="1488" t="str">
        <f>HE_Insurance_Risk!$C11</f>
        <v>Standardabweichung</v>
      </c>
      <c r="G1501" s="1494"/>
      <c r="H1501" s="1116">
        <f>HE_Insurance_Risk!$W11</f>
        <v>0</v>
      </c>
      <c r="U1501" s="1027"/>
      <c r="V1501" s="1027"/>
      <c r="W1501" s="1027"/>
    </row>
    <row r="1502" spans="2:23" x14ac:dyDescent="0.2">
      <c r="B1502" s="1083">
        <f>HE_Insurance_Risk!$A$1</f>
        <v>37</v>
      </c>
      <c r="C1502" s="1084" t="str">
        <f>HE_Insurance_Risk!$B$1</f>
        <v>Versicherungsrisiko</v>
      </c>
      <c r="D1502" s="1091" t="str">
        <f>HE_Insurance_Risk!$C$9</f>
        <v>Versicherungstechnisches Risiko für 2025</v>
      </c>
      <c r="E1502" s="1488" t="str">
        <f>HE_Insurance_Risk!$W$17</f>
        <v>Total KVG inkl. UVG</v>
      </c>
      <c r="F1502" s="1488" t="str">
        <f>HE_Insurance_Risk!$C12</f>
        <v>Value at Risk</v>
      </c>
      <c r="G1502" s="1494"/>
      <c r="H1502" s="1116">
        <f>HE_Insurance_Risk!$W12</f>
        <v>0</v>
      </c>
      <c r="U1502" s="1027"/>
      <c r="V1502" s="1027"/>
      <c r="W1502" s="1027"/>
    </row>
    <row r="1503" spans="2:23" x14ac:dyDescent="0.2">
      <c r="B1503" s="1083">
        <f>HE_Insurance_Risk!$A$1</f>
        <v>37</v>
      </c>
      <c r="C1503" s="1084" t="str">
        <f>HE_Insurance_Risk!$B$1</f>
        <v>Versicherungsrisiko</v>
      </c>
      <c r="D1503" s="1091" t="str">
        <f>HE_Insurance_Risk!$C$9</f>
        <v>Versicherungstechnisches Risiko für 2025</v>
      </c>
      <c r="E1503" s="1488" t="str">
        <f>HE_Insurance_Risk!$W$17</f>
        <v>Total KVG inkl. UVG</v>
      </c>
      <c r="F1503" s="1488" t="str">
        <f>HE_Insurance_Risk!$C13</f>
        <v>Expected Shortfall</v>
      </c>
      <c r="G1503" s="1494"/>
      <c r="H1503" s="1523">
        <f>HE_Insurance_Risk!$W13</f>
        <v>0</v>
      </c>
      <c r="U1503" s="1027"/>
      <c r="V1503" s="1027"/>
      <c r="W1503" s="1027"/>
    </row>
    <row r="1504" spans="2:23" x14ac:dyDescent="0.2">
      <c r="B1504" s="1083">
        <f>HE_Insurance_Risk!$A$1</f>
        <v>37</v>
      </c>
      <c r="C1504" s="1084" t="str">
        <f>HE_Insurance_Risk!$B$1</f>
        <v>Versicherungsrisiko</v>
      </c>
      <c r="D1504" s="1091" t="str">
        <f>HE_Insurance_Risk!$C$9</f>
        <v>Versicherungstechnisches Risiko für 2025</v>
      </c>
      <c r="E1504" s="1488" t="str">
        <f>HE_Insurance_Risk!$AB$17</f>
        <v>Total KVG inkl. UVG und VVG</v>
      </c>
      <c r="F1504" s="1488" t="str">
        <f>HE_Insurance_Risk!$C10</f>
        <v>Erwartungswert</v>
      </c>
      <c r="G1504" s="1494"/>
      <c r="H1504" s="1117">
        <f>HE_Insurance_Risk!$AB10</f>
        <v>0</v>
      </c>
      <c r="U1504" s="1027"/>
      <c r="V1504" s="1027"/>
      <c r="W1504" s="1027"/>
    </row>
    <row r="1505" spans="2:23" x14ac:dyDescent="0.2">
      <c r="B1505" s="1083">
        <f>HE_Insurance_Risk!$A$1</f>
        <v>37</v>
      </c>
      <c r="C1505" s="1084" t="str">
        <f>HE_Insurance_Risk!$B$1</f>
        <v>Versicherungsrisiko</v>
      </c>
      <c r="D1505" s="1091" t="str">
        <f>HE_Insurance_Risk!$C$9</f>
        <v>Versicherungstechnisches Risiko für 2025</v>
      </c>
      <c r="E1505" s="1488" t="str">
        <f>HE_Insurance_Risk!$AB$17</f>
        <v>Total KVG inkl. UVG und VVG</v>
      </c>
      <c r="F1505" s="1488" t="str">
        <f>HE_Insurance_Risk!$C11</f>
        <v>Standardabweichung</v>
      </c>
      <c r="G1505" s="1494"/>
      <c r="H1505" s="1106">
        <f>HE_Insurance_Risk!$AB11</f>
        <v>0</v>
      </c>
      <c r="U1505" s="1027"/>
      <c r="V1505" s="1027"/>
      <c r="W1505" s="1027"/>
    </row>
    <row r="1506" spans="2:23" x14ac:dyDescent="0.2">
      <c r="B1506" s="1083">
        <f>HE_Insurance_Risk!$A$1</f>
        <v>37</v>
      </c>
      <c r="C1506" s="1084" t="str">
        <f>HE_Insurance_Risk!$B$1</f>
        <v>Versicherungsrisiko</v>
      </c>
      <c r="D1506" s="1091" t="str">
        <f>HE_Insurance_Risk!$C$9</f>
        <v>Versicherungstechnisches Risiko für 2025</v>
      </c>
      <c r="E1506" s="1488" t="str">
        <f>HE_Insurance_Risk!$AB$17</f>
        <v>Total KVG inkl. UVG und VVG</v>
      </c>
      <c r="F1506" s="1488" t="str">
        <f>HE_Insurance_Risk!$C12</f>
        <v>Value at Risk</v>
      </c>
      <c r="G1506" s="1494"/>
      <c r="H1506" s="1106">
        <f>HE_Insurance_Risk!$AB12</f>
        <v>0</v>
      </c>
      <c r="U1506" s="1027"/>
      <c r="V1506" s="1027"/>
      <c r="W1506" s="1027"/>
    </row>
    <row r="1507" spans="2:23" x14ac:dyDescent="0.2">
      <c r="B1507" s="1083">
        <f>HE_Insurance_Risk!$A$1</f>
        <v>37</v>
      </c>
      <c r="C1507" s="1084" t="str">
        <f>HE_Insurance_Risk!$B$1</f>
        <v>Versicherungsrisiko</v>
      </c>
      <c r="D1507" s="1091" t="str">
        <f>HE_Insurance_Risk!$C$9</f>
        <v>Versicherungstechnisches Risiko für 2025</v>
      </c>
      <c r="E1507" s="1488" t="str">
        <f>HE_Insurance_Risk!$AB$17</f>
        <v>Total KVG inkl. UVG und VVG</v>
      </c>
      <c r="F1507" s="1488" t="str">
        <f>HE_Insurance_Risk!$C13</f>
        <v>Expected Shortfall</v>
      </c>
      <c r="G1507" s="1494"/>
      <c r="H1507" s="1117">
        <f>HE_Insurance_Risk!$AB13</f>
        <v>0</v>
      </c>
      <c r="U1507" s="1027"/>
      <c r="V1507" s="1027"/>
      <c r="W1507" s="1027"/>
    </row>
    <row r="1508" spans="2:23" x14ac:dyDescent="0.2">
      <c r="B1508" s="1083"/>
      <c r="C1508" s="1084"/>
      <c r="D1508" s="1091"/>
      <c r="E1508" s="1494"/>
      <c r="F1508" s="1488"/>
      <c r="G1508" s="1494"/>
      <c r="H1508" s="1118"/>
      <c r="U1508" s="1027"/>
      <c r="V1508" s="1027"/>
      <c r="W1508" s="1027"/>
    </row>
    <row r="1509" spans="2:23" x14ac:dyDescent="0.2">
      <c r="B1509" s="1083">
        <f>HE_Insurance_Risk!$A$1</f>
        <v>37</v>
      </c>
      <c r="C1509" s="1084" t="str">
        <f>HE_Insurance_Risk!$B$1</f>
        <v>Versicherungsrisiko</v>
      </c>
      <c r="D1509" s="1091" t="str">
        <f>HE_Insurance_Risk!$C$15</f>
        <v>Erwartungswert und Standardabweichung</v>
      </c>
      <c r="E1509" s="1494" t="str">
        <f>HE_Insurance_Risk!$F$17</f>
        <v>Kollektiv VVG</v>
      </c>
      <c r="F1509" s="1488" t="str">
        <f>HE_Insurance_Risk!$C21</f>
        <v>Versicherungstechnische Erträge</v>
      </c>
      <c r="G1509" s="1494"/>
      <c r="H1509" s="1119">
        <f>HE_Insurance_Risk!$F21</f>
        <v>0</v>
      </c>
      <c r="U1509" s="1027"/>
      <c r="V1509" s="1027"/>
      <c r="W1509" s="1027"/>
    </row>
    <row r="1510" spans="2:23" x14ac:dyDescent="0.2">
      <c r="B1510" s="1083">
        <f>HE_Insurance_Risk!$A$1</f>
        <v>37</v>
      </c>
      <c r="C1510" s="1084" t="str">
        <f>HE_Insurance_Risk!$B$1</f>
        <v>Versicherungsrisiko</v>
      </c>
      <c r="D1510" s="1091" t="str">
        <f>HE_Insurance_Risk!$C$15</f>
        <v>Erwartungswert und Standardabweichung</v>
      </c>
      <c r="E1510" s="1494" t="str">
        <f>HE_Insurance_Risk!$F$17</f>
        <v>Kollektiv VVG</v>
      </c>
      <c r="F1510" s="1488" t="str">
        <f>HE_Insurance_Risk!$C24</f>
        <v>Bruttoprämien</v>
      </c>
      <c r="G1510" s="1494"/>
      <c r="H1510" s="1120">
        <f>HE_Insurance_Risk!$F24</f>
        <v>0</v>
      </c>
      <c r="U1510" s="1027"/>
      <c r="V1510" s="1027"/>
      <c r="W1510" s="1027"/>
    </row>
    <row r="1511" spans="2:23" x14ac:dyDescent="0.2">
      <c r="B1511" s="1083">
        <f>HE_Insurance_Risk!$A$1</f>
        <v>37</v>
      </c>
      <c r="C1511" s="1084" t="str">
        <f>HE_Insurance_Risk!$B$1</f>
        <v>Versicherungsrisiko</v>
      </c>
      <c r="D1511" s="1091" t="str">
        <f>HE_Insurance_Risk!$C$15</f>
        <v>Erwartungswert und Standardabweichung</v>
      </c>
      <c r="E1511" s="1494" t="str">
        <f>HE_Insurance_Risk!$F$17</f>
        <v>Kollektiv VVG</v>
      </c>
      <c r="F1511" s="1488" t="str">
        <f>HE_Insurance_Risk!$C25</f>
        <v>Erlösminderungen</v>
      </c>
      <c r="G1511" s="1494"/>
      <c r="H1511" s="1120">
        <f>HE_Insurance_Risk!$F25</f>
        <v>0</v>
      </c>
      <c r="U1511" s="1027"/>
      <c r="V1511" s="1027"/>
      <c r="W1511" s="1027"/>
    </row>
    <row r="1512" spans="2:23" x14ac:dyDescent="0.2">
      <c r="B1512" s="1083">
        <f>HE_Insurance_Risk!$A$1</f>
        <v>37</v>
      </c>
      <c r="C1512" s="1084" t="str">
        <f>HE_Insurance_Risk!$B$1</f>
        <v>Versicherungsrisiko</v>
      </c>
      <c r="D1512" s="1091" t="str">
        <f>HE_Insurance_Risk!$C$15</f>
        <v>Erwartungswert und Standardabweichung</v>
      </c>
      <c r="E1512" s="1494" t="str">
        <f>HE_Insurance_Risk!$F$17</f>
        <v>Kollektiv VVG</v>
      </c>
      <c r="F1512" s="1488" t="str">
        <f>HE_Insurance_Risk!$C27</f>
        <v>Verdiente Prämien vor Rückversicherung</v>
      </c>
      <c r="G1512" s="1494"/>
      <c r="H1512" s="1106">
        <f>HE_Insurance_Risk!$F27</f>
        <v>0</v>
      </c>
      <c r="U1512" s="1027"/>
      <c r="V1512" s="1027"/>
      <c r="W1512" s="1027"/>
    </row>
    <row r="1513" spans="2:23" x14ac:dyDescent="0.2">
      <c r="B1513" s="1083">
        <f>HE_Insurance_Risk!$A$1</f>
        <v>37</v>
      </c>
      <c r="C1513" s="1084" t="str">
        <f>HE_Insurance_Risk!$B$1</f>
        <v>Versicherungsrisiko</v>
      </c>
      <c r="D1513" s="1091" t="str">
        <f>HE_Insurance_Risk!$C$15</f>
        <v>Erwartungswert und Standardabweichung</v>
      </c>
      <c r="E1513" s="1494" t="str">
        <f>HE_Insurance_Risk!$F$17</f>
        <v>Kollektiv VVG</v>
      </c>
      <c r="F1513" s="1488" t="str">
        <f>HE_Insurance_Risk!$C28</f>
        <v>Prämienanteile der passiven Rückversicherung</v>
      </c>
      <c r="G1513" s="1494"/>
      <c r="H1513" s="1120">
        <f>HE_Insurance_Risk!$F28</f>
        <v>0</v>
      </c>
      <c r="U1513" s="1027"/>
      <c r="V1513" s="1027"/>
      <c r="W1513" s="1027"/>
    </row>
    <row r="1514" spans="2:23" x14ac:dyDescent="0.2">
      <c r="B1514" s="1083">
        <f>HE_Insurance_Risk!$A$1</f>
        <v>37</v>
      </c>
      <c r="C1514" s="1084" t="str">
        <f>HE_Insurance_Risk!$B$1</f>
        <v>Versicherungsrisiko</v>
      </c>
      <c r="D1514" s="1091" t="str">
        <f>HE_Insurance_Risk!$C$15</f>
        <v>Erwartungswert und Standardabweichung</v>
      </c>
      <c r="E1514" s="1494" t="str">
        <f>HE_Insurance_Risk!$F$17</f>
        <v>Kollektiv VVG</v>
      </c>
      <c r="F1514" s="1488" t="str">
        <f>HE_Insurance_Risk!$C30</f>
        <v>Verdiente Prämien nach Rückversicherung</v>
      </c>
      <c r="G1514" s="1494"/>
      <c r="H1514" s="1106">
        <f>HE_Insurance_Risk!$F30</f>
        <v>0</v>
      </c>
      <c r="U1514" s="1027"/>
      <c r="V1514" s="1027"/>
      <c r="W1514" s="1027"/>
    </row>
    <row r="1515" spans="2:23" x14ac:dyDescent="0.2">
      <c r="B1515" s="1083">
        <f>HE_Insurance_Risk!$A$1</f>
        <v>37</v>
      </c>
      <c r="C1515" s="1084" t="str">
        <f>HE_Insurance_Risk!$B$1</f>
        <v>Versicherungsrisiko</v>
      </c>
      <c r="D1515" s="1091" t="str">
        <f>HE_Insurance_Risk!$C$15</f>
        <v>Erwartungswert und Standardabweichung</v>
      </c>
      <c r="E1515" s="1494" t="str">
        <f>HE_Insurance_Risk!$F$17</f>
        <v>Kollektiv VVG</v>
      </c>
      <c r="F1515" s="1488" t="str">
        <f>HE_Insurance_Risk!$C32</f>
        <v>Sonstige versicherungstechnische Erträge</v>
      </c>
      <c r="G1515" s="1494"/>
      <c r="H1515" s="1120">
        <f>HE_Insurance_Risk!$F32</f>
        <v>0</v>
      </c>
      <c r="U1515" s="1027"/>
      <c r="V1515" s="1027"/>
      <c r="W1515" s="1027"/>
    </row>
    <row r="1516" spans="2:23" x14ac:dyDescent="0.2">
      <c r="B1516" s="1083">
        <f>HE_Insurance_Risk!$A$1</f>
        <v>37</v>
      </c>
      <c r="C1516" s="1084" t="str">
        <f>HE_Insurance_Risk!$B$1</f>
        <v>Versicherungsrisiko</v>
      </c>
      <c r="D1516" s="1091" t="str">
        <f>HE_Insurance_Risk!$C$15</f>
        <v>Erwartungswert und Standardabweichung</v>
      </c>
      <c r="E1516" s="1494" t="str">
        <f>HE_Insurance_Risk!$F$17</f>
        <v>Kollektiv VVG</v>
      </c>
      <c r="F1516" s="1488" t="str">
        <f>HE_Insurance_Risk!$C33</f>
        <v>Überschussbeteiligungen</v>
      </c>
      <c r="G1516" s="1494"/>
      <c r="H1516" s="1120">
        <f>HE_Insurance_Risk!$F33</f>
        <v>0</v>
      </c>
      <c r="U1516" s="1027"/>
      <c r="V1516" s="1027"/>
      <c r="W1516" s="1027"/>
    </row>
    <row r="1517" spans="2:23" x14ac:dyDescent="0.2">
      <c r="B1517" s="1083"/>
      <c r="C1517" s="1084"/>
      <c r="D1517" s="1091"/>
      <c r="E1517" s="1494"/>
      <c r="F1517" s="1488"/>
      <c r="G1517" s="1494"/>
      <c r="H1517" s="1116"/>
      <c r="U1517" s="1027"/>
      <c r="V1517" s="1027"/>
      <c r="W1517" s="1027"/>
    </row>
    <row r="1518" spans="2:23" x14ac:dyDescent="0.2">
      <c r="B1518" s="1083">
        <f>HE_Insurance_Risk!$A$1</f>
        <v>37</v>
      </c>
      <c r="C1518" s="1084" t="str">
        <f>HE_Insurance_Risk!$B$1</f>
        <v>Versicherungsrisiko</v>
      </c>
      <c r="D1518" s="1091" t="str">
        <f>HE_Insurance_Risk!$C$15</f>
        <v>Erwartungswert und Standardabweichung</v>
      </c>
      <c r="E1518" s="1494" t="str">
        <f>HE_Insurance_Risk!$F$17</f>
        <v>Kollektiv VVG</v>
      </c>
      <c r="F1518" s="1488" t="str">
        <f>HE_Insurance_Risk!$C35</f>
        <v>Versicherungstechnische Aufwendungen</v>
      </c>
      <c r="G1518" s="1494"/>
      <c r="H1518" s="1119">
        <f>HE_Insurance_Risk!$F35</f>
        <v>0</v>
      </c>
      <c r="U1518" s="1027"/>
      <c r="V1518" s="1027"/>
      <c r="W1518" s="1027"/>
    </row>
    <row r="1519" spans="2:23" x14ac:dyDescent="0.2">
      <c r="B1519" s="1083">
        <f>HE_Insurance_Risk!$A$1</f>
        <v>37</v>
      </c>
      <c r="C1519" s="1084" t="str">
        <f>HE_Insurance_Risk!$B$1</f>
        <v>Versicherungsrisiko</v>
      </c>
      <c r="D1519" s="1091" t="str">
        <f>HE_Insurance_Risk!$C$15</f>
        <v>Erwartungswert und Standardabweichung</v>
      </c>
      <c r="E1519" s="1494" t="str">
        <f>HE_Insurance_Risk!$F$17</f>
        <v>Kollektiv VVG</v>
      </c>
      <c r="F1519" s="1488" t="str">
        <f>HE_Insurance_Risk!$C38</f>
        <v>Bruttoleistungen (Behandlungsjahr 2025)</v>
      </c>
      <c r="G1519" s="1494"/>
      <c r="H1519" s="1120">
        <f>HE_Insurance_Risk!$F38</f>
        <v>0</v>
      </c>
      <c r="U1519" s="1027"/>
      <c r="V1519" s="1027"/>
      <c r="W1519" s="1027"/>
    </row>
    <row r="1520" spans="2:23" x14ac:dyDescent="0.2">
      <c r="B1520" s="1083">
        <f>HE_Insurance_Risk!$A$1</f>
        <v>37</v>
      </c>
      <c r="C1520" s="1084" t="str">
        <f>HE_Insurance_Risk!$B$1</f>
        <v>Versicherungsrisiko</v>
      </c>
      <c r="D1520" s="1091" t="str">
        <f>HE_Insurance_Risk!$C$15</f>
        <v>Erwartungswert und Standardabweichung</v>
      </c>
      <c r="E1520" s="1494" t="str">
        <f>HE_Insurance_Risk!$F$17</f>
        <v>Kollektiv VVG</v>
      </c>
      <c r="F1520" s="1488" t="str">
        <f>HE_Insurance_Risk!$C39</f>
        <v>Kostenbeteiligungen (Behandlungsjahr 2025)</v>
      </c>
      <c r="G1520" s="1494"/>
      <c r="H1520" s="1106">
        <f>HE_Insurance_Risk!$F39</f>
        <v>0</v>
      </c>
      <c r="U1520" s="1027"/>
      <c r="V1520" s="1027"/>
      <c r="W1520" s="1027"/>
    </row>
    <row r="1521" spans="2:23" x14ac:dyDescent="0.2">
      <c r="B1521" s="1083">
        <f>HE_Insurance_Risk!$A$1</f>
        <v>37</v>
      </c>
      <c r="C1521" s="1084" t="str">
        <f>HE_Insurance_Risk!$B$1</f>
        <v>Versicherungsrisiko</v>
      </c>
      <c r="D1521" s="1091" t="str">
        <f>HE_Insurance_Risk!$C$15</f>
        <v>Erwartungswert und Standardabweichung</v>
      </c>
      <c r="E1521" s="1494" t="str">
        <f>HE_Insurance_Risk!$F$17</f>
        <v>Kollektiv VVG</v>
      </c>
      <c r="F1521" s="1488" t="str">
        <f>HE_Insurance_Risk!$C40</f>
        <v>Sonstige Leistungen  (Behandlungsjahr 2025)</v>
      </c>
      <c r="G1521" s="1494"/>
      <c r="H1521" s="1120">
        <f>HE_Insurance_Risk!$F40</f>
        <v>0</v>
      </c>
      <c r="U1521" s="1027"/>
      <c r="V1521" s="1027"/>
      <c r="W1521" s="1027"/>
    </row>
    <row r="1522" spans="2:23" x14ac:dyDescent="0.2">
      <c r="B1522" s="1083">
        <f>HE_Insurance_Risk!$A$1</f>
        <v>37</v>
      </c>
      <c r="C1522" s="1084" t="str">
        <f>HE_Insurance_Risk!$B$1</f>
        <v>Versicherungsrisiko</v>
      </c>
      <c r="D1522" s="1091" t="str">
        <f>HE_Insurance_Risk!$C$15</f>
        <v>Erwartungswert und Standardabweichung</v>
      </c>
      <c r="E1522" s="1494" t="str">
        <f>HE_Insurance_Risk!$F$17</f>
        <v>Kollektiv VVG</v>
      </c>
      <c r="F1522" s="1488" t="str">
        <f>HE_Insurance_Risk!$C42</f>
        <v>Leistungen vor Rückversicherung</v>
      </c>
      <c r="G1522" s="1494"/>
      <c r="H1522" s="1106">
        <f>HE_Insurance_Risk!$F42</f>
        <v>0</v>
      </c>
      <c r="U1522" s="1027"/>
      <c r="V1522" s="1027"/>
      <c r="W1522" s="1027"/>
    </row>
    <row r="1523" spans="2:23" ht="25.5" x14ac:dyDescent="0.2">
      <c r="B1523" s="1083">
        <f>HE_Insurance_Risk!$A$1</f>
        <v>37</v>
      </c>
      <c r="C1523" s="1084" t="str">
        <f>HE_Insurance_Risk!$B$1</f>
        <v>Versicherungsrisiko</v>
      </c>
      <c r="D1523" s="1091" t="str">
        <f>HE_Insurance_Risk!$C$15</f>
        <v>Erwartungswert und Standardabweichung</v>
      </c>
      <c r="E1523" s="1494" t="str">
        <f>HE_Insurance_Risk!$F$17</f>
        <v>Kollektiv VVG</v>
      </c>
      <c r="F1523" s="1488" t="str">
        <f>HE_Insurance_Risk!$C43</f>
        <v>Leistungsanteile der passiven Rückversicherung</v>
      </c>
      <c r="G1523" s="1494"/>
      <c r="H1523" s="1120">
        <f>HE_Insurance_Risk!$F43</f>
        <v>0</v>
      </c>
      <c r="U1523" s="1027"/>
      <c r="V1523" s="1027"/>
      <c r="W1523" s="1027"/>
    </row>
    <row r="1524" spans="2:23" x14ac:dyDescent="0.2">
      <c r="B1524" s="1083">
        <f>HE_Insurance_Risk!$A$1</f>
        <v>37</v>
      </c>
      <c r="C1524" s="1084" t="str">
        <f>HE_Insurance_Risk!$B$1</f>
        <v>Versicherungsrisiko</v>
      </c>
      <c r="D1524" s="1091" t="str">
        <f>HE_Insurance_Risk!$C$15</f>
        <v>Erwartungswert und Standardabweichung</v>
      </c>
      <c r="E1524" s="1494" t="str">
        <f>HE_Insurance_Risk!$F$17</f>
        <v>Kollektiv VVG</v>
      </c>
      <c r="F1524" s="1488" t="str">
        <f>HE_Insurance_Risk!$C45</f>
        <v>Leistungen nach Rückversicherung</v>
      </c>
      <c r="G1524" s="1494"/>
      <c r="H1524" s="1106">
        <f>HE_Insurance_Risk!$F45</f>
        <v>0</v>
      </c>
      <c r="U1524" s="1027"/>
      <c r="V1524" s="1027"/>
      <c r="W1524" s="1027"/>
    </row>
    <row r="1525" spans="2:23" x14ac:dyDescent="0.2">
      <c r="B1525" s="1083">
        <f>HE_Insurance_Risk!$A$1</f>
        <v>37</v>
      </c>
      <c r="C1525" s="1084" t="str">
        <f>HE_Insurance_Risk!$B$1</f>
        <v>Versicherungsrisiko</v>
      </c>
      <c r="D1525" s="1091" t="str">
        <f>HE_Insurance_Risk!$C$15</f>
        <v>Erwartungswert und Standardabweichung</v>
      </c>
      <c r="E1525" s="1494" t="str">
        <f>HE_Insurance_Risk!$F$17</f>
        <v>Kollektiv VVG</v>
      </c>
      <c r="F1525" s="1488"/>
      <c r="G1525" s="1524" t="s">
        <v>1810</v>
      </c>
      <c r="U1525" s="1027"/>
      <c r="V1525" s="1027"/>
      <c r="W1525" s="1027"/>
    </row>
    <row r="1526" spans="2:23" ht="25.5" x14ac:dyDescent="0.2">
      <c r="B1526" s="1083">
        <f>HE_Insurance_Risk!$A$1</f>
        <v>37</v>
      </c>
      <c r="C1526" s="1084" t="str">
        <f>HE_Insurance_Risk!$B$1</f>
        <v>Versicherungsrisiko</v>
      </c>
      <c r="D1526" s="1091" t="str">
        <f>HE_Insurance_Risk!$C$15</f>
        <v>Erwartungswert und Standardabweichung</v>
      </c>
      <c r="E1526" s="1494" t="str">
        <f>HE_Insurance_Risk!$F$17</f>
        <v>Kollektiv VVG</v>
      </c>
      <c r="F1526" s="1488" t="str">
        <f>HE_Insurance_Risk!$C47</f>
        <v>Veränderung der Alterungsrückstellungen und Deckungskapitalien</v>
      </c>
      <c r="G1526" s="1494"/>
      <c r="H1526" s="1120">
        <f>HE_Insurance_Risk!$F47</f>
        <v>0</v>
      </c>
      <c r="U1526" s="1027"/>
      <c r="V1526" s="1027"/>
      <c r="W1526" s="1027"/>
    </row>
    <row r="1527" spans="2:23" ht="25.5" x14ac:dyDescent="0.2">
      <c r="B1527" s="1083">
        <f>HE_Insurance_Risk!$A$1</f>
        <v>37</v>
      </c>
      <c r="C1527" s="1084" t="str">
        <f>HE_Insurance_Risk!$B$1</f>
        <v>Versicherungsrisiko</v>
      </c>
      <c r="D1527" s="1091" t="str">
        <f>HE_Insurance_Risk!$C$15</f>
        <v>Erwartungswert und Standardabweichung</v>
      </c>
      <c r="E1527" s="1494" t="str">
        <f>HE_Insurance_Risk!$F$17</f>
        <v>Kollektiv VVG</v>
      </c>
      <c r="F1527" s="1488" t="str">
        <f>HE_Insurance_Risk!$C48</f>
        <v>Veränderung der sonstigen technischen Rückstellungen</v>
      </c>
      <c r="G1527" s="1494"/>
      <c r="H1527" s="1120">
        <f>HE_Insurance_Risk!$F48</f>
        <v>0</v>
      </c>
      <c r="U1527" s="1027"/>
      <c r="V1527" s="1027"/>
      <c r="W1527" s="1027"/>
    </row>
    <row r="1528" spans="2:23" x14ac:dyDescent="0.2">
      <c r="B1528" s="1083">
        <f>HE_Insurance_Risk!$A$1</f>
        <v>37</v>
      </c>
      <c r="C1528" s="1084" t="str">
        <f>HE_Insurance_Risk!$B$1</f>
        <v>Versicherungsrisiko</v>
      </c>
      <c r="D1528" s="1091" t="str">
        <f>HE_Insurance_Risk!$C$15</f>
        <v>Erwartungswert und Standardabweichung</v>
      </c>
      <c r="E1528" s="1494" t="str">
        <f>HE_Insurance_Risk!$F$17</f>
        <v>Kollektiv VVG</v>
      </c>
      <c r="F1528" s="1488" t="str">
        <f>HE_Insurance_Risk!$C50</f>
        <v>Risikoausgleich (2025)</v>
      </c>
      <c r="G1528" s="1494"/>
      <c r="H1528" s="1106">
        <f>HE_Insurance_Risk!$F50</f>
        <v>0</v>
      </c>
      <c r="U1528" s="1027"/>
      <c r="V1528" s="1027"/>
      <c r="W1528" s="1027"/>
    </row>
    <row r="1529" spans="2:23" x14ac:dyDescent="0.2">
      <c r="B1529" s="1083">
        <f>HE_Insurance_Risk!$A$1</f>
        <v>37</v>
      </c>
      <c r="C1529" s="1084" t="str">
        <f>HE_Insurance_Risk!$B$1</f>
        <v>Versicherungsrisiko</v>
      </c>
      <c r="D1529" s="1091" t="str">
        <f>HE_Insurance_Risk!$C$15</f>
        <v>Erwartungswert und Standardabweichung</v>
      </c>
      <c r="E1529" s="1494" t="str">
        <f>HE_Insurance_Risk!$F$17</f>
        <v>Kollektiv VVG</v>
      </c>
      <c r="F1529" s="1488" t="str">
        <f>HE_Insurance_Risk!$C51</f>
        <v>Andere Aufwendungen</v>
      </c>
      <c r="G1529" s="1494"/>
      <c r="H1529" s="1120">
        <f>HE_Insurance_Risk!$F51</f>
        <v>0</v>
      </c>
      <c r="U1529" s="1027"/>
      <c r="V1529" s="1027"/>
      <c r="W1529" s="1027"/>
    </row>
    <row r="1530" spans="2:23" ht="25.5" x14ac:dyDescent="0.2">
      <c r="B1530" s="1083">
        <f>HE_Insurance_Risk!$A$1</f>
        <v>37</v>
      </c>
      <c r="C1530" s="1084" t="str">
        <f>HE_Insurance_Risk!$B$1</f>
        <v>Versicherungsrisiko</v>
      </c>
      <c r="D1530" s="1091" t="str">
        <f>HE_Insurance_Risk!$C$15</f>
        <v>Erwartungswert und Standardabweichung</v>
      </c>
      <c r="E1530" s="1494" t="str">
        <f>HE_Insurance_Risk!$F$17</f>
        <v>Kollektiv VVG</v>
      </c>
      <c r="F1530" s="1488" t="str">
        <f>HE_Insurance_Risk!$C53</f>
        <v>Schaden- und Leistungsaufwand für eigene Rechnung</v>
      </c>
      <c r="G1530" s="1494"/>
      <c r="H1530" s="1121">
        <f>HE_Insurance_Risk!$F53</f>
        <v>0</v>
      </c>
      <c r="U1530" s="1027"/>
      <c r="V1530" s="1027"/>
      <c r="W1530" s="1027"/>
    </row>
    <row r="1531" spans="2:23" ht="25.5" x14ac:dyDescent="0.2">
      <c r="B1531" s="1083">
        <f>HE_Insurance_Risk!$A$1</f>
        <v>37</v>
      </c>
      <c r="C1531" s="1084" t="str">
        <f>HE_Insurance_Risk!$B$1</f>
        <v>Versicherungsrisiko</v>
      </c>
      <c r="D1531" s="1091" t="str">
        <f>HE_Insurance_Risk!$C$15</f>
        <v>Erwartungswert und Standardabweichung</v>
      </c>
      <c r="E1531" s="1494" t="str">
        <f>HE_Insurance_Risk!$F$17</f>
        <v>Kollektiv VVG</v>
      </c>
      <c r="F1531" s="1488" t="str">
        <f>HE_Insurance_Risk!$C55</f>
        <v>Aufwendungen für den Betrieb, Verwaltungsaufwand</v>
      </c>
      <c r="G1531" s="1494"/>
      <c r="H1531" s="1120">
        <f>HE_Insurance_Risk!$F55</f>
        <v>0</v>
      </c>
      <c r="U1531" s="1027"/>
      <c r="V1531" s="1027"/>
      <c r="W1531" s="1027"/>
    </row>
    <row r="1532" spans="2:23" x14ac:dyDescent="0.2">
      <c r="B1532" s="1083"/>
      <c r="C1532" s="1084"/>
      <c r="D1532" s="1091"/>
      <c r="E1532" s="1494"/>
      <c r="F1532" s="1488"/>
      <c r="G1532" s="1494"/>
      <c r="H1532" s="1116"/>
      <c r="U1532" s="1027"/>
      <c r="V1532" s="1027"/>
      <c r="W1532" s="1027"/>
    </row>
    <row r="1533" spans="2:23" x14ac:dyDescent="0.2">
      <c r="B1533" s="1083">
        <f>HE_Insurance_Risk!$A$1</f>
        <v>37</v>
      </c>
      <c r="C1533" s="1084" t="str">
        <f>HE_Insurance_Risk!$B$1</f>
        <v>Versicherungsrisiko</v>
      </c>
      <c r="D1533" s="1091" t="str">
        <f>HE_Insurance_Risk!$C$15</f>
        <v>Erwartungswert und Standardabweichung</v>
      </c>
      <c r="E1533" s="1494" t="str">
        <f>HE_Insurance_Risk!$F$17</f>
        <v>Kollektiv VVG</v>
      </c>
      <c r="F1533" s="1488" t="str">
        <f>HE_Insurance_Risk!$C57</f>
        <v>Versicherungstechnisches Resultat</v>
      </c>
      <c r="G1533" s="1494"/>
      <c r="H1533" s="1119">
        <f>HE_Insurance_Risk!$F57</f>
        <v>0</v>
      </c>
      <c r="U1533" s="1027"/>
      <c r="V1533" s="1027"/>
      <c r="W1533" s="1027"/>
    </row>
    <row r="1534" spans="2:23" x14ac:dyDescent="0.2">
      <c r="B1534" s="1083"/>
      <c r="C1534" s="1084"/>
      <c r="D1534" s="1091"/>
      <c r="E1534" s="1494"/>
      <c r="F1534" s="1488"/>
      <c r="G1534" s="1494"/>
      <c r="H1534" s="1122"/>
      <c r="U1534" s="1027"/>
      <c r="V1534" s="1027"/>
      <c r="W1534" s="1027"/>
    </row>
    <row r="1535" spans="2:23" ht="25.5" x14ac:dyDescent="0.2">
      <c r="B1535" s="1083">
        <f>HE_Insurance_Risk!$A$1</f>
        <v>37</v>
      </c>
      <c r="C1535" s="1084" t="str">
        <f>HE_Insurance_Risk!$B$1</f>
        <v>Versicherungsrisiko</v>
      </c>
      <c r="D1535" s="1091" t="str">
        <f>HE_Insurance_Risk!$C$15</f>
        <v>Erwartungswert und Standardabweichung</v>
      </c>
      <c r="E1535" s="1494" t="str">
        <f>HE_Insurance_Risk!$F$17</f>
        <v>Kollektiv VVG</v>
      </c>
      <c r="F1535" s="1488" t="str">
        <f>HE_Insurance_Risk!$C59</f>
        <v>Erwartete Anzahl Versicherte (Durschnittbestand)</v>
      </c>
      <c r="G1535" s="1494"/>
      <c r="H1535" s="1123" t="str">
        <f>IF(ISNUMBER(HE_Insurance_Risk!$F$59),HE_Insurance_Risk!$F$59,"")</f>
        <v/>
      </c>
      <c r="U1535" s="1027"/>
      <c r="V1535" s="1027"/>
      <c r="W1535" s="1027"/>
    </row>
    <row r="1536" spans="2:23" x14ac:dyDescent="0.2">
      <c r="B1536" s="1083"/>
      <c r="C1536" s="1084"/>
      <c r="D1536" s="1091"/>
      <c r="E1536" s="1494"/>
      <c r="F1536" s="1488"/>
      <c r="G1536" s="1494"/>
      <c r="H1536" s="1122"/>
      <c r="U1536" s="1027"/>
      <c r="V1536" s="1027"/>
      <c r="W1536" s="1027"/>
    </row>
    <row r="1537" spans="2:23" x14ac:dyDescent="0.2">
      <c r="B1537" s="1083"/>
      <c r="C1537" s="1084"/>
      <c r="D1537" s="1091"/>
      <c r="E1537" s="1494"/>
      <c r="F1537" s="1488"/>
      <c r="G1537" s="1494"/>
      <c r="H1537" s="1124"/>
      <c r="U1537" s="1027"/>
      <c r="V1537" s="1027"/>
      <c r="W1537" s="1027"/>
    </row>
    <row r="1538" spans="2:23" ht="12.75" customHeight="1" x14ac:dyDescent="0.2">
      <c r="B1538" s="1083">
        <f>HE_Insurance_Risk!$A$1</f>
        <v>37</v>
      </c>
      <c r="C1538" s="1084" t="str">
        <f>HE_Insurance_Risk!$B$1</f>
        <v>Versicherungsrisiko</v>
      </c>
      <c r="D1538" s="1091" t="str">
        <f>HE_Insurance_Risk!$C$61</f>
        <v>Variabilität</v>
      </c>
      <c r="E1538" s="1494" t="str">
        <f>HE_Insurance_Risk!$F$17</f>
        <v>Kollektiv VVG</v>
      </c>
      <c r="F1538" s="1488" t="str">
        <f>HE_Insurance_Risk!$C65</f>
        <v>Erwartete Anzahl Schadenfälle bzw. Erkrankte</v>
      </c>
      <c r="G1538" s="1494"/>
      <c r="H1538" s="1125" t="str">
        <f>IF(ISNUMBER(HE_Insurance_Risk!$F$65),HE_Insurance_Risk!$F$65,"")</f>
        <v/>
      </c>
      <c r="U1538" s="1027"/>
      <c r="V1538" s="1027"/>
      <c r="W1538" s="1027"/>
    </row>
    <row r="1539" spans="2:23" ht="12.75" customHeight="1" x14ac:dyDescent="0.2">
      <c r="B1539" s="1083"/>
      <c r="C1539" s="1084"/>
      <c r="D1539" s="1091"/>
      <c r="E1539" s="1494"/>
      <c r="F1539" s="1488"/>
      <c r="G1539" s="1494"/>
      <c r="H1539" s="1126"/>
      <c r="U1539" s="1027"/>
      <c r="V1539" s="1027"/>
      <c r="W1539" s="1027"/>
    </row>
    <row r="1540" spans="2:23" ht="12.75" customHeight="1" x14ac:dyDescent="0.2">
      <c r="B1540" s="1083">
        <f>HE_Insurance_Risk!$A$1</f>
        <v>37</v>
      </c>
      <c r="C1540" s="1084" t="str">
        <f>HE_Insurance_Risk!$B$1</f>
        <v>Versicherungsrisiko</v>
      </c>
      <c r="D1540" s="1091" t="str">
        <f>HE_Insurance_Risk!$C$61</f>
        <v>Variabilität</v>
      </c>
      <c r="E1540" s="1494" t="str">
        <f>HE_Insurance_Risk!$F$17</f>
        <v>Kollektiv VVG</v>
      </c>
      <c r="F1540" s="1488" t="str">
        <f>HE_Insurance_Risk!$C67</f>
        <v>Variationskoeffizient des Einzelschadens</v>
      </c>
      <c r="G1540" s="1494"/>
      <c r="H1540" s="1122"/>
      <c r="U1540" s="1027"/>
      <c r="V1540" s="1027"/>
      <c r="W1540" s="1027"/>
    </row>
    <row r="1541" spans="2:23" ht="12.75" customHeight="1" x14ac:dyDescent="0.2">
      <c r="B1541" s="1083">
        <f>HE_Insurance_Risk!$A$1</f>
        <v>37</v>
      </c>
      <c r="C1541" s="1084" t="str">
        <f>HE_Insurance_Risk!$B$1</f>
        <v>Versicherungsrisiko</v>
      </c>
      <c r="D1541" s="1091" t="str">
        <f>HE_Insurance_Risk!$C$61</f>
        <v>Variabilität</v>
      </c>
      <c r="E1541" s="1494" t="str">
        <f>HE_Insurance_Risk!$F$17</f>
        <v>Kollektiv VVG</v>
      </c>
      <c r="F1541" s="1488" t="str">
        <f>HE_Insurance_Risk!$C68</f>
        <v>Standardwert (vor Rückversicherung)</v>
      </c>
      <c r="G1541" s="1494"/>
      <c r="H1541" s="1525">
        <f>HE_Insurance_Risk!$F68</f>
        <v>2.5</v>
      </c>
      <c r="U1541" s="1027"/>
      <c r="V1541" s="1027"/>
      <c r="W1541" s="1027"/>
    </row>
    <row r="1542" spans="2:23" ht="12.75" customHeight="1" x14ac:dyDescent="0.2">
      <c r="B1542" s="1083">
        <f>HE_Insurance_Risk!$A$1</f>
        <v>37</v>
      </c>
      <c r="C1542" s="1084" t="str">
        <f>HE_Insurance_Risk!$B$1</f>
        <v>Versicherungsrisiko</v>
      </c>
      <c r="D1542" s="1091" t="str">
        <f>HE_Insurance_Risk!$C$61</f>
        <v>Variabilität</v>
      </c>
      <c r="E1542" s="1494" t="str">
        <f>HE_Insurance_Risk!$F$17</f>
        <v>Kollektiv VVG</v>
      </c>
      <c r="F1542" s="1488" t="str">
        <f>HE_Insurance_Risk!$C69</f>
        <v>errechneter Wert nach Rückversicherung</v>
      </c>
      <c r="G1542" s="1494"/>
      <c r="H1542" s="1127"/>
      <c r="U1542" s="1027"/>
      <c r="V1542" s="1027"/>
      <c r="W1542" s="1027"/>
    </row>
    <row r="1543" spans="2:23" ht="12.75" customHeight="1" x14ac:dyDescent="0.2">
      <c r="B1543" s="1083">
        <f>HE_Insurance_Risk!$A$1</f>
        <v>37</v>
      </c>
      <c r="C1543" s="1084" t="str">
        <f>HE_Insurance_Risk!$B$1</f>
        <v>Versicherungsrisiko</v>
      </c>
      <c r="D1543" s="1091" t="str">
        <f>HE_Insurance_Risk!$C$61</f>
        <v>Variabilität</v>
      </c>
      <c r="E1543" s="1494" t="str">
        <f>HE_Insurance_Risk!$F$17</f>
        <v>Kollektiv VVG</v>
      </c>
      <c r="F1543" s="1488" t="str">
        <f>HE_Insurance_Risk!$C70</f>
        <v>benutzter Wert (Abweichung vom Standard: begründen)</v>
      </c>
      <c r="G1543" s="1494"/>
      <c r="H1543" s="1128">
        <f>HE_Insurance_Risk!$F70</f>
        <v>2.5</v>
      </c>
      <c r="U1543" s="1027"/>
      <c r="V1543" s="1027"/>
      <c r="W1543" s="1027"/>
    </row>
    <row r="1544" spans="2:23" ht="12.75" customHeight="1" x14ac:dyDescent="0.2">
      <c r="B1544" s="1083"/>
      <c r="C1544" s="1084"/>
      <c r="D1544" s="1091"/>
      <c r="E1544" s="1494"/>
      <c r="F1544" s="1488"/>
      <c r="G1544" s="1494"/>
      <c r="H1544" s="1122"/>
      <c r="U1544" s="1027"/>
      <c r="V1544" s="1027"/>
      <c r="W1544" s="1027"/>
    </row>
    <row r="1545" spans="2:23" ht="12.75" customHeight="1" x14ac:dyDescent="0.2">
      <c r="B1545" s="1083">
        <f>HE_Insurance_Risk!$A$1</f>
        <v>37</v>
      </c>
      <c r="C1545" s="1084" t="str">
        <f>HE_Insurance_Risk!$B$1</f>
        <v>Versicherungsrisiko</v>
      </c>
      <c r="D1545" s="1091" t="str">
        <f>HE_Insurance_Risk!$C$61</f>
        <v>Variabilität</v>
      </c>
      <c r="E1545" s="1494" t="str">
        <f>HE_Insurance_Risk!$F$17</f>
        <v>Kollektiv VVG</v>
      </c>
      <c r="F1545" s="1488" t="str">
        <f>HE_Insurance_Risk!$C72</f>
        <v>Resultat: Variationskoeffizient des Zufallsrisikos</v>
      </c>
      <c r="G1545" s="1494"/>
      <c r="H1545" s="1124"/>
      <c r="U1545" s="1027"/>
      <c r="V1545" s="1027"/>
      <c r="W1545" s="1027"/>
    </row>
    <row r="1546" spans="2:23" ht="12.75" customHeight="1" x14ac:dyDescent="0.2">
      <c r="B1546" s="1083">
        <f>HE_Insurance_Risk!$A$1</f>
        <v>37</v>
      </c>
      <c r="C1546" s="1084" t="str">
        <f>HE_Insurance_Risk!$B$1</f>
        <v>Versicherungsrisiko</v>
      </c>
      <c r="D1546" s="1091" t="str">
        <f>HE_Insurance_Risk!$C$61</f>
        <v>Variabilität</v>
      </c>
      <c r="E1546" s="1494" t="str">
        <f>HE_Insurance_Risk!$F$17</f>
        <v>Kollektiv VVG</v>
      </c>
      <c r="F1546" s="1488" t="str">
        <f>HE_Insurance_Risk!$C73</f>
        <v>errechneter Wert vor Rückversicherung</v>
      </c>
      <c r="G1546" s="1494"/>
      <c r="H1546" s="1129" t="str">
        <f>HE_Insurance_Risk!$F73</f>
        <v/>
      </c>
      <c r="U1546" s="1027"/>
      <c r="V1546" s="1027"/>
      <c r="W1546" s="1027"/>
    </row>
    <row r="1547" spans="2:23" ht="12.75" customHeight="1" x14ac:dyDescent="0.2">
      <c r="B1547" s="1083">
        <f>HE_Insurance_Risk!$A$1</f>
        <v>37</v>
      </c>
      <c r="C1547" s="1084" t="str">
        <f>HE_Insurance_Risk!$B$1</f>
        <v>Versicherungsrisiko</v>
      </c>
      <c r="D1547" s="1091" t="str">
        <f>HE_Insurance_Risk!$C$61</f>
        <v>Variabilität</v>
      </c>
      <c r="E1547" s="1494" t="str">
        <f>HE_Insurance_Risk!$F$17</f>
        <v>Kollektiv VVG</v>
      </c>
      <c r="F1547" s="1488" t="str">
        <f>HE_Insurance_Risk!$C74</f>
        <v>errechneter Wert nach Rückversicherung</v>
      </c>
      <c r="G1547" s="1494"/>
      <c r="H1547" s="1129">
        <f>HE_Insurance_Risk!$F74</f>
        <v>0</v>
      </c>
      <c r="U1547" s="1027"/>
      <c r="V1547" s="1027"/>
      <c r="W1547" s="1027"/>
    </row>
    <row r="1548" spans="2:23" ht="12.75" customHeight="1" x14ac:dyDescent="0.2">
      <c r="B1548" s="1083">
        <f>HE_Insurance_Risk!$A$1</f>
        <v>37</v>
      </c>
      <c r="C1548" s="1084" t="str">
        <f>HE_Insurance_Risk!$B$1</f>
        <v>Versicherungsrisiko</v>
      </c>
      <c r="D1548" s="1091" t="str">
        <f>HE_Insurance_Risk!$C$61</f>
        <v>Variabilität</v>
      </c>
      <c r="E1548" s="1494" t="str">
        <f>HE_Insurance_Risk!$F$17</f>
        <v>Kollektiv VVG</v>
      </c>
      <c r="F1548" s="1488" t="str">
        <f>HE_Insurance_Risk!$C75</f>
        <v>benutzter Wert</v>
      </c>
      <c r="G1548" s="1494"/>
      <c r="H1548" s="1130" t="str">
        <f>HE_Insurance_Risk!$F75</f>
        <v/>
      </c>
      <c r="U1548" s="1027"/>
      <c r="V1548" s="1027"/>
      <c r="W1548" s="1027"/>
    </row>
    <row r="1549" spans="2:23" ht="12.75" customHeight="1" x14ac:dyDescent="0.2">
      <c r="B1549" s="1083"/>
      <c r="C1549" s="1084"/>
      <c r="D1549" s="1091"/>
      <c r="E1549" s="1494"/>
      <c r="F1549" s="1488"/>
      <c r="G1549" s="1494"/>
      <c r="H1549" s="1122"/>
      <c r="U1549" s="1027"/>
      <c r="V1549" s="1027"/>
      <c r="W1549" s="1027"/>
    </row>
    <row r="1550" spans="2:23" ht="12.75" customHeight="1" x14ac:dyDescent="0.2">
      <c r="B1550" s="1083">
        <f>HE_Insurance_Risk!$A$1</f>
        <v>37</v>
      </c>
      <c r="C1550" s="1084" t="str">
        <f>HE_Insurance_Risk!$B$1</f>
        <v>Versicherungsrisiko</v>
      </c>
      <c r="D1550" s="1091" t="str">
        <f>HE_Insurance_Risk!$C$61</f>
        <v>Variabilität</v>
      </c>
      <c r="E1550" s="1494" t="str">
        <f>HE_Insurance_Risk!$F$17</f>
        <v>Kollektiv VVG</v>
      </c>
      <c r="F1550" s="1488" t="str">
        <f>HE_Insurance_Risk!$C78</f>
        <v>Variationskoeffizient des Parameterrisikos</v>
      </c>
      <c r="G1550" s="1494"/>
      <c r="H1550" s="1124"/>
      <c r="U1550" s="1027"/>
      <c r="V1550" s="1027"/>
      <c r="W1550" s="1027"/>
    </row>
    <row r="1551" spans="2:23" ht="12.75" customHeight="1" x14ac:dyDescent="0.2">
      <c r="B1551" s="1083">
        <f>HE_Insurance_Risk!$A$1</f>
        <v>37</v>
      </c>
      <c r="C1551" s="1084" t="str">
        <f>HE_Insurance_Risk!$B$1</f>
        <v>Versicherungsrisiko</v>
      </c>
      <c r="D1551" s="1091" t="str">
        <f>HE_Insurance_Risk!$C$61</f>
        <v>Variabilität</v>
      </c>
      <c r="E1551" s="1494" t="str">
        <f>HE_Insurance_Risk!$F$17</f>
        <v>Kollektiv VVG</v>
      </c>
      <c r="F1551" s="1488" t="str">
        <f>HE_Insurance_Risk!$C79</f>
        <v>Standardwert (vor Rückversicherung)</v>
      </c>
      <c r="G1551" s="1494"/>
      <c r="H1551" s="1526">
        <f>HE_Insurance_Risk!$F79</f>
        <v>5.7500000000000002E-2</v>
      </c>
      <c r="U1551" s="1027"/>
      <c r="V1551" s="1027"/>
      <c r="W1551" s="1027"/>
    </row>
    <row r="1552" spans="2:23" ht="12.75" customHeight="1" x14ac:dyDescent="0.2">
      <c r="B1552" s="1083">
        <f>HE_Insurance_Risk!$A$1</f>
        <v>37</v>
      </c>
      <c r="C1552" s="1084" t="str">
        <f>HE_Insurance_Risk!$B$1</f>
        <v>Versicherungsrisiko</v>
      </c>
      <c r="D1552" s="1091" t="str">
        <f>HE_Insurance_Risk!$C$61</f>
        <v>Variabilität</v>
      </c>
      <c r="E1552" s="1494" t="str">
        <f>HE_Insurance_Risk!$F$17</f>
        <v>Kollektiv VVG</v>
      </c>
      <c r="F1552" s="1488" t="str">
        <f>HE_Insurance_Risk!$C80</f>
        <v>errechneter Wert nach Rückversicherung</v>
      </c>
      <c r="G1552" s="1494"/>
      <c r="H1552" s="1131"/>
      <c r="U1552" s="1027"/>
      <c r="V1552" s="1027"/>
      <c r="W1552" s="1027"/>
    </row>
    <row r="1553" spans="2:23" ht="12.75" customHeight="1" x14ac:dyDescent="0.2">
      <c r="B1553" s="1083">
        <f>HE_Insurance_Risk!$A$1</f>
        <v>37</v>
      </c>
      <c r="C1553" s="1084" t="str">
        <f>HE_Insurance_Risk!$B$1</f>
        <v>Versicherungsrisiko</v>
      </c>
      <c r="D1553" s="1091" t="str">
        <f>HE_Insurance_Risk!$C$61</f>
        <v>Variabilität</v>
      </c>
      <c r="E1553" s="1494" t="str">
        <f>HE_Insurance_Risk!$F$17</f>
        <v>Kollektiv VVG</v>
      </c>
      <c r="F1553" s="1488" t="str">
        <f>HE_Insurance_Risk!$C81</f>
        <v>benutzter Wert (Abweichung vom Standard begründen)</v>
      </c>
      <c r="G1553" s="1494"/>
      <c r="H1553" s="1130">
        <f>HE_Insurance_Risk!$F81</f>
        <v>5.7500000000000002E-2</v>
      </c>
      <c r="U1553" s="1027"/>
      <c r="V1553" s="1027"/>
      <c r="W1553" s="1027"/>
    </row>
    <row r="1554" spans="2:23" ht="12.75" customHeight="1" x14ac:dyDescent="0.2">
      <c r="B1554" s="1083"/>
      <c r="C1554" s="1084"/>
      <c r="D1554" s="1091"/>
      <c r="E1554" s="1494"/>
      <c r="F1554" s="1488"/>
      <c r="G1554" s="1494"/>
      <c r="H1554" s="1124"/>
      <c r="U1554" s="1027"/>
      <c r="V1554" s="1027"/>
      <c r="W1554" s="1027"/>
    </row>
    <row r="1555" spans="2:23" ht="12.75" customHeight="1" x14ac:dyDescent="0.2">
      <c r="B1555" s="1083">
        <f>HE_Insurance_Risk!$A$1</f>
        <v>37</v>
      </c>
      <c r="C1555" s="1084" t="str">
        <f>HE_Insurance_Risk!$B$1</f>
        <v>Versicherungsrisiko</v>
      </c>
      <c r="D1555" s="1091" t="str">
        <f>HE_Insurance_Risk!$C$61</f>
        <v>Variabilität</v>
      </c>
      <c r="E1555" s="1494" t="str">
        <f>HE_Insurance_Risk!$F$17</f>
        <v>Kollektiv VVG</v>
      </c>
      <c r="F1555" s="1527" t="str">
        <f>HE_Insurance_Risk!$C84</f>
        <v>Variationskoeffizient der jährlichen Leistungen</v>
      </c>
      <c r="G1555" s="1494"/>
      <c r="H1555" s="1132">
        <f>HE_Insurance_Risk!$F84</f>
        <v>0.1</v>
      </c>
      <c r="U1555" s="1027"/>
      <c r="V1555" s="1027"/>
      <c r="W1555" s="1027"/>
    </row>
    <row r="1556" spans="2:23" ht="12.75" customHeight="1" x14ac:dyDescent="0.2">
      <c r="B1556" s="1083">
        <f>HE_Insurance_Risk!$A$1</f>
        <v>37</v>
      </c>
      <c r="C1556" s="1084" t="str">
        <f>HE_Insurance_Risk!$B$1</f>
        <v>Versicherungsrisiko</v>
      </c>
      <c r="D1556" s="1091" t="str">
        <f>HE_Insurance_Risk!$C$61</f>
        <v>Variabilität</v>
      </c>
      <c r="E1556" s="1494" t="str">
        <f>HE_Insurance_Risk!$F$17</f>
        <v>Kollektiv VVG</v>
      </c>
      <c r="F1556" s="1527" t="str">
        <f>HE_Insurance_Risk!$C85</f>
        <v>benutzter Variationskoeffizient</v>
      </c>
      <c r="G1556" s="1494"/>
      <c r="H1556" s="1130">
        <f>HE_Insurance_Risk!$F85</f>
        <v>0.1</v>
      </c>
      <c r="U1556" s="1027"/>
      <c r="V1556" s="1027"/>
      <c r="W1556" s="1027"/>
    </row>
    <row r="1557" spans="2:23" ht="12.75" customHeight="1" x14ac:dyDescent="0.2">
      <c r="B1557" s="1083"/>
      <c r="C1557" s="1084"/>
      <c r="D1557" s="1091"/>
      <c r="E1557" s="1494"/>
      <c r="F1557" s="1488"/>
      <c r="G1557" s="1494"/>
      <c r="H1557" s="1129"/>
      <c r="U1557" s="1027"/>
      <c r="V1557" s="1027"/>
      <c r="W1557" s="1027"/>
    </row>
    <row r="1558" spans="2:23" ht="12.75" customHeight="1" x14ac:dyDescent="0.2">
      <c r="B1558" s="1083">
        <f>HE_Insurance_Risk!$A$1</f>
        <v>37</v>
      </c>
      <c r="C1558" s="1084" t="str">
        <f>HE_Insurance_Risk!$B$1</f>
        <v>Versicherungsrisiko</v>
      </c>
      <c r="D1558" s="1091" t="str">
        <f>HE_Insurance_Risk!$C$61</f>
        <v>Variabilität</v>
      </c>
      <c r="E1558" s="1494" t="str">
        <f>HE_Insurance_Risk!$F$17</f>
        <v>Kollektiv VVG</v>
      </c>
      <c r="F1558" s="1488" t="str">
        <f>HE_Insurance_Risk!$C92</f>
        <v>Standardabweichung des versicherungstechnischen Risikos</v>
      </c>
      <c r="G1558" s="1494"/>
      <c r="H1558" s="1119">
        <f>HE_Insurance_Risk!$F92</f>
        <v>0</v>
      </c>
      <c r="U1558" s="1027"/>
      <c r="V1558" s="1027"/>
      <c r="W1558" s="1027"/>
    </row>
    <row r="1559" spans="2:23" ht="12.75" customHeight="1" x14ac:dyDescent="0.2">
      <c r="B1559" s="1083"/>
      <c r="C1559" s="1084"/>
      <c r="D1559" s="1091"/>
      <c r="E1559" s="1494"/>
      <c r="F1559" s="1488"/>
      <c r="G1559" s="1494"/>
      <c r="H1559" s="1133"/>
      <c r="U1559" s="1027"/>
      <c r="V1559" s="1027"/>
      <c r="W1559" s="1027"/>
    </row>
    <row r="1560" spans="2:23" ht="12.75" customHeight="1" x14ac:dyDescent="0.2">
      <c r="B1560" s="1083"/>
      <c r="C1560" s="1084"/>
      <c r="D1560" s="1091"/>
      <c r="E1560" s="1494"/>
      <c r="F1560" s="1488"/>
      <c r="G1560" s="1494"/>
      <c r="H1560" s="1133"/>
      <c r="U1560" s="1027"/>
      <c r="V1560" s="1027"/>
      <c r="W1560" s="1027"/>
    </row>
    <row r="1561" spans="2:23" ht="12.75" customHeight="1" x14ac:dyDescent="0.2">
      <c r="B1561" s="1083">
        <f>HE_Insurance_Risk!$A$1</f>
        <v>37</v>
      </c>
      <c r="C1561" s="1084" t="str">
        <f>HE_Insurance_Risk!$B$1</f>
        <v>Versicherungsrisiko</v>
      </c>
      <c r="D1561" s="1091" t="str">
        <f>HE_Insurance_Risk!$C$15</f>
        <v>Erwartungswert und Standardabweichung</v>
      </c>
      <c r="E1561" s="1494" t="str">
        <f>HE_Insurance_Risk!$H$17</f>
        <v>Einzel VVG</v>
      </c>
      <c r="F1561" s="1488" t="str">
        <f>HE_Insurance_Risk!$C21</f>
        <v>Versicherungstechnische Erträge</v>
      </c>
      <c r="G1561" s="1494"/>
      <c r="H1561" s="1119">
        <f>HE_Insurance_Risk!$H21</f>
        <v>0</v>
      </c>
      <c r="U1561" s="1027"/>
      <c r="V1561" s="1027"/>
      <c r="W1561" s="1027"/>
    </row>
    <row r="1562" spans="2:23" ht="12.75" customHeight="1" x14ac:dyDescent="0.2">
      <c r="B1562" s="1083">
        <f>HE_Insurance_Risk!$A$1</f>
        <v>37</v>
      </c>
      <c r="C1562" s="1084" t="str">
        <f>HE_Insurance_Risk!$B$1</f>
        <v>Versicherungsrisiko</v>
      </c>
      <c r="D1562" s="1091" t="str">
        <f>HE_Insurance_Risk!$C$15</f>
        <v>Erwartungswert und Standardabweichung</v>
      </c>
      <c r="E1562" s="1494" t="str">
        <f>HE_Insurance_Risk!$H$17</f>
        <v>Einzel VVG</v>
      </c>
      <c r="F1562" s="1488" t="str">
        <f>HE_Insurance_Risk!$C24</f>
        <v>Bruttoprämien</v>
      </c>
      <c r="G1562" s="1494"/>
      <c r="H1562" s="1120">
        <f>HE_Insurance_Risk!$H24</f>
        <v>0</v>
      </c>
      <c r="U1562" s="1027"/>
      <c r="V1562" s="1027"/>
      <c r="W1562" s="1027"/>
    </row>
    <row r="1563" spans="2:23" ht="12.75" customHeight="1" x14ac:dyDescent="0.2">
      <c r="B1563" s="1083">
        <f>HE_Insurance_Risk!$A$1</f>
        <v>37</v>
      </c>
      <c r="C1563" s="1084" t="str">
        <f>HE_Insurance_Risk!$B$1</f>
        <v>Versicherungsrisiko</v>
      </c>
      <c r="D1563" s="1091" t="str">
        <f>HE_Insurance_Risk!$C$15</f>
        <v>Erwartungswert und Standardabweichung</v>
      </c>
      <c r="E1563" s="1494" t="str">
        <f>HE_Insurance_Risk!$H$17</f>
        <v>Einzel VVG</v>
      </c>
      <c r="F1563" s="1488" t="str">
        <f>HE_Insurance_Risk!$C25</f>
        <v>Erlösminderungen</v>
      </c>
      <c r="G1563" s="1494"/>
      <c r="H1563" s="1120">
        <f>HE_Insurance_Risk!$H25</f>
        <v>0</v>
      </c>
      <c r="U1563" s="1027"/>
      <c r="V1563" s="1027"/>
      <c r="W1563" s="1027"/>
    </row>
    <row r="1564" spans="2:23" ht="12.75" customHeight="1" x14ac:dyDescent="0.2">
      <c r="B1564" s="1083">
        <f>HE_Insurance_Risk!$A$1</f>
        <v>37</v>
      </c>
      <c r="C1564" s="1084" t="str">
        <f>HE_Insurance_Risk!$B$1</f>
        <v>Versicherungsrisiko</v>
      </c>
      <c r="D1564" s="1091" t="str">
        <f>HE_Insurance_Risk!$C$15</f>
        <v>Erwartungswert und Standardabweichung</v>
      </c>
      <c r="E1564" s="1494" t="str">
        <f>HE_Insurance_Risk!$H$17</f>
        <v>Einzel VVG</v>
      </c>
      <c r="F1564" s="1488" t="str">
        <f>HE_Insurance_Risk!$C27</f>
        <v>Verdiente Prämien vor Rückversicherung</v>
      </c>
      <c r="G1564" s="1494"/>
      <c r="H1564" s="1106">
        <f>HE_Insurance_Risk!$H27</f>
        <v>0</v>
      </c>
      <c r="U1564" s="1027"/>
      <c r="V1564" s="1027"/>
      <c r="W1564" s="1027"/>
    </row>
    <row r="1565" spans="2:23" ht="12.75" customHeight="1" x14ac:dyDescent="0.2">
      <c r="B1565" s="1083">
        <f>HE_Insurance_Risk!$A$1</f>
        <v>37</v>
      </c>
      <c r="C1565" s="1084" t="str">
        <f>HE_Insurance_Risk!$B$1</f>
        <v>Versicherungsrisiko</v>
      </c>
      <c r="D1565" s="1091" t="str">
        <f>HE_Insurance_Risk!$C$15</f>
        <v>Erwartungswert und Standardabweichung</v>
      </c>
      <c r="E1565" s="1494" t="str">
        <f>HE_Insurance_Risk!$H$17</f>
        <v>Einzel VVG</v>
      </c>
      <c r="F1565" s="1488" t="str">
        <f>HE_Insurance_Risk!$C28</f>
        <v>Prämienanteile der passiven Rückversicherung</v>
      </c>
      <c r="G1565" s="1494"/>
      <c r="H1565" s="1120">
        <f>HE_Insurance_Risk!$H28</f>
        <v>0</v>
      </c>
      <c r="U1565" s="1027"/>
      <c r="V1565" s="1027"/>
      <c r="W1565" s="1027"/>
    </row>
    <row r="1566" spans="2:23" ht="12.75" customHeight="1" x14ac:dyDescent="0.2">
      <c r="B1566" s="1083">
        <f>HE_Insurance_Risk!$A$1</f>
        <v>37</v>
      </c>
      <c r="C1566" s="1084" t="str">
        <f>HE_Insurance_Risk!$B$1</f>
        <v>Versicherungsrisiko</v>
      </c>
      <c r="D1566" s="1091" t="str">
        <f>HE_Insurance_Risk!$C$15</f>
        <v>Erwartungswert und Standardabweichung</v>
      </c>
      <c r="E1566" s="1494" t="str">
        <f>HE_Insurance_Risk!$H$17</f>
        <v>Einzel VVG</v>
      </c>
      <c r="F1566" s="1488" t="str">
        <f>HE_Insurance_Risk!$C30</f>
        <v>Verdiente Prämien nach Rückversicherung</v>
      </c>
      <c r="G1566" s="1494"/>
      <c r="H1566" s="1106">
        <f>HE_Insurance_Risk!$H30</f>
        <v>0</v>
      </c>
      <c r="U1566" s="1027"/>
      <c r="V1566" s="1027"/>
      <c r="W1566" s="1027"/>
    </row>
    <row r="1567" spans="2:23" ht="12.75" customHeight="1" x14ac:dyDescent="0.2">
      <c r="B1567" s="1083">
        <f>HE_Insurance_Risk!$A$1</f>
        <v>37</v>
      </c>
      <c r="C1567" s="1084" t="str">
        <f>HE_Insurance_Risk!$B$1</f>
        <v>Versicherungsrisiko</v>
      </c>
      <c r="D1567" s="1091" t="str">
        <f>HE_Insurance_Risk!$C$15</f>
        <v>Erwartungswert und Standardabweichung</v>
      </c>
      <c r="E1567" s="1494" t="str">
        <f>HE_Insurance_Risk!$H$17</f>
        <v>Einzel VVG</v>
      </c>
      <c r="F1567" s="1488" t="str">
        <f>HE_Insurance_Risk!$C32</f>
        <v>Sonstige versicherungstechnische Erträge</v>
      </c>
      <c r="G1567" s="1494"/>
      <c r="H1567" s="1120">
        <f>HE_Insurance_Risk!$H32</f>
        <v>0</v>
      </c>
      <c r="U1567" s="1027"/>
      <c r="V1567" s="1027"/>
      <c r="W1567" s="1027"/>
    </row>
    <row r="1568" spans="2:23" ht="12.75" customHeight="1" x14ac:dyDescent="0.2">
      <c r="B1568" s="1083">
        <f>HE_Insurance_Risk!$A$1</f>
        <v>37</v>
      </c>
      <c r="C1568" s="1084" t="str">
        <f>HE_Insurance_Risk!$B$1</f>
        <v>Versicherungsrisiko</v>
      </c>
      <c r="D1568" s="1091" t="str">
        <f>HE_Insurance_Risk!$C$15</f>
        <v>Erwartungswert und Standardabweichung</v>
      </c>
      <c r="E1568" s="1494" t="str">
        <f>HE_Insurance_Risk!$H$17</f>
        <v>Einzel VVG</v>
      </c>
      <c r="F1568" s="1488" t="str">
        <f>HE_Insurance_Risk!$C33</f>
        <v>Überschussbeteiligungen</v>
      </c>
      <c r="G1568" s="1494"/>
      <c r="H1568" s="1106">
        <f>HE_Insurance_Risk!$H33</f>
        <v>0</v>
      </c>
      <c r="U1568" s="1027"/>
      <c r="V1568" s="1027"/>
      <c r="W1568" s="1027"/>
    </row>
    <row r="1569" spans="2:23" ht="12.75" customHeight="1" x14ac:dyDescent="0.2">
      <c r="B1569" s="1083"/>
      <c r="C1569" s="1084"/>
      <c r="D1569" s="1091"/>
      <c r="E1569" s="1494"/>
      <c r="F1569" s="1488"/>
      <c r="G1569" s="1494"/>
      <c r="H1569" s="1116"/>
      <c r="U1569" s="1027"/>
      <c r="V1569" s="1027"/>
      <c r="W1569" s="1027"/>
    </row>
    <row r="1570" spans="2:23" ht="12.75" customHeight="1" x14ac:dyDescent="0.2">
      <c r="B1570" s="1083">
        <f>HE_Insurance_Risk!$A$1</f>
        <v>37</v>
      </c>
      <c r="C1570" s="1084" t="str">
        <f>HE_Insurance_Risk!$B$1</f>
        <v>Versicherungsrisiko</v>
      </c>
      <c r="D1570" s="1091" t="str">
        <f>HE_Insurance_Risk!$C$15</f>
        <v>Erwartungswert und Standardabweichung</v>
      </c>
      <c r="E1570" s="1494" t="str">
        <f>HE_Insurance_Risk!$H$17</f>
        <v>Einzel VVG</v>
      </c>
      <c r="F1570" s="1488" t="str">
        <f>HE_Insurance_Risk!$C35</f>
        <v>Versicherungstechnische Aufwendungen</v>
      </c>
      <c r="G1570" s="1494"/>
      <c r="H1570" s="1119">
        <f>HE_Insurance_Risk!$H35</f>
        <v>0</v>
      </c>
      <c r="U1570" s="1027"/>
      <c r="V1570" s="1027"/>
      <c r="W1570" s="1027"/>
    </row>
    <row r="1571" spans="2:23" ht="12.75" customHeight="1" x14ac:dyDescent="0.2">
      <c r="B1571" s="1083">
        <f>HE_Insurance_Risk!$A$1</f>
        <v>37</v>
      </c>
      <c r="C1571" s="1084" t="str">
        <f>HE_Insurance_Risk!$B$1</f>
        <v>Versicherungsrisiko</v>
      </c>
      <c r="D1571" s="1091" t="str">
        <f>HE_Insurance_Risk!$C$15</f>
        <v>Erwartungswert und Standardabweichung</v>
      </c>
      <c r="E1571" s="1494" t="str">
        <f>HE_Insurance_Risk!$H$17</f>
        <v>Einzel VVG</v>
      </c>
      <c r="F1571" s="1488" t="str">
        <f>HE_Insurance_Risk!$C38</f>
        <v>Bruttoleistungen (Behandlungsjahr 2025)</v>
      </c>
      <c r="G1571" s="1494"/>
      <c r="H1571" s="1120">
        <f>HE_Insurance_Risk!$H38</f>
        <v>0</v>
      </c>
      <c r="U1571" s="1027"/>
      <c r="V1571" s="1027"/>
      <c r="W1571" s="1027"/>
    </row>
    <row r="1572" spans="2:23" ht="12.75" customHeight="1" x14ac:dyDescent="0.2">
      <c r="B1572" s="1083">
        <f>HE_Insurance_Risk!$A$1</f>
        <v>37</v>
      </c>
      <c r="C1572" s="1084" t="str">
        <f>HE_Insurance_Risk!$B$1</f>
        <v>Versicherungsrisiko</v>
      </c>
      <c r="D1572" s="1091" t="str">
        <f>HE_Insurance_Risk!$C$15</f>
        <v>Erwartungswert und Standardabweichung</v>
      </c>
      <c r="E1572" s="1494" t="str">
        <f>HE_Insurance_Risk!$H$17</f>
        <v>Einzel VVG</v>
      </c>
      <c r="F1572" s="1488" t="str">
        <f>HE_Insurance_Risk!$C39</f>
        <v>Kostenbeteiligungen (Behandlungsjahr 2025)</v>
      </c>
      <c r="G1572" s="1494"/>
      <c r="H1572" s="1120">
        <f>HE_Insurance_Risk!$H39</f>
        <v>0</v>
      </c>
      <c r="U1572" s="1027"/>
      <c r="V1572" s="1027"/>
      <c r="W1572" s="1027"/>
    </row>
    <row r="1573" spans="2:23" ht="12.75" customHeight="1" x14ac:dyDescent="0.2">
      <c r="B1573" s="1083">
        <f>HE_Insurance_Risk!$A$1</f>
        <v>37</v>
      </c>
      <c r="C1573" s="1084" t="str">
        <f>HE_Insurance_Risk!$B$1</f>
        <v>Versicherungsrisiko</v>
      </c>
      <c r="D1573" s="1091" t="str">
        <f>HE_Insurance_Risk!$C$15</f>
        <v>Erwartungswert und Standardabweichung</v>
      </c>
      <c r="E1573" s="1494" t="str">
        <f>HE_Insurance_Risk!$H$17</f>
        <v>Einzel VVG</v>
      </c>
      <c r="F1573" s="1488" t="str">
        <f>HE_Insurance_Risk!$C40</f>
        <v>Sonstige Leistungen  (Behandlungsjahr 2025)</v>
      </c>
      <c r="G1573" s="1494"/>
      <c r="H1573" s="1120">
        <f>HE_Insurance_Risk!$H40</f>
        <v>0</v>
      </c>
      <c r="U1573" s="1027"/>
      <c r="V1573" s="1027"/>
      <c r="W1573" s="1027"/>
    </row>
    <row r="1574" spans="2:23" ht="12.75" customHeight="1" x14ac:dyDescent="0.2">
      <c r="B1574" s="1083">
        <f>HE_Insurance_Risk!$A$1</f>
        <v>37</v>
      </c>
      <c r="C1574" s="1084" t="str">
        <f>HE_Insurance_Risk!$B$1</f>
        <v>Versicherungsrisiko</v>
      </c>
      <c r="D1574" s="1091" t="str">
        <f>HE_Insurance_Risk!$C$15</f>
        <v>Erwartungswert und Standardabweichung</v>
      </c>
      <c r="E1574" s="1494" t="str">
        <f>HE_Insurance_Risk!$H$17</f>
        <v>Einzel VVG</v>
      </c>
      <c r="F1574" s="1488" t="str">
        <f>HE_Insurance_Risk!$C42</f>
        <v>Leistungen vor Rückversicherung</v>
      </c>
      <c r="G1574" s="1494"/>
      <c r="H1574" s="1106">
        <f>HE_Insurance_Risk!$H42</f>
        <v>0</v>
      </c>
      <c r="U1574" s="1027"/>
      <c r="V1574" s="1027"/>
      <c r="W1574" s="1027"/>
    </row>
    <row r="1575" spans="2:23" ht="12.75" customHeight="1" x14ac:dyDescent="0.2">
      <c r="B1575" s="1083">
        <f>HE_Insurance_Risk!$A$1</f>
        <v>37</v>
      </c>
      <c r="C1575" s="1084" t="str">
        <f>HE_Insurance_Risk!$B$1</f>
        <v>Versicherungsrisiko</v>
      </c>
      <c r="D1575" s="1091" t="str">
        <f>HE_Insurance_Risk!$C$15</f>
        <v>Erwartungswert und Standardabweichung</v>
      </c>
      <c r="E1575" s="1494" t="str">
        <f>HE_Insurance_Risk!$H$17</f>
        <v>Einzel VVG</v>
      </c>
      <c r="F1575" s="1488" t="str">
        <f>HE_Insurance_Risk!$C43</f>
        <v>Leistungsanteile der passiven Rückversicherung</v>
      </c>
      <c r="G1575" s="1494"/>
      <c r="H1575" s="1120">
        <f>HE_Insurance_Risk!$H43</f>
        <v>0</v>
      </c>
      <c r="U1575" s="1027"/>
      <c r="V1575" s="1027"/>
      <c r="W1575" s="1027"/>
    </row>
    <row r="1576" spans="2:23" ht="12.75" customHeight="1" x14ac:dyDescent="0.2">
      <c r="B1576" s="1083">
        <f>HE_Insurance_Risk!$A$1</f>
        <v>37</v>
      </c>
      <c r="C1576" s="1084" t="str">
        <f>HE_Insurance_Risk!$B$1</f>
        <v>Versicherungsrisiko</v>
      </c>
      <c r="D1576" s="1091" t="str">
        <f>HE_Insurance_Risk!$C$15</f>
        <v>Erwartungswert und Standardabweichung</v>
      </c>
      <c r="E1576" s="1494" t="str">
        <f>HE_Insurance_Risk!$H$17</f>
        <v>Einzel VVG</v>
      </c>
      <c r="F1576" s="1488" t="str">
        <f>HE_Insurance_Risk!$C45</f>
        <v>Leistungen nach Rückversicherung</v>
      </c>
      <c r="G1576" s="1494"/>
      <c r="H1576" s="1106">
        <f>HE_Insurance_Risk!$H45</f>
        <v>0</v>
      </c>
      <c r="U1576" s="1027"/>
      <c r="V1576" s="1027"/>
      <c r="W1576" s="1027"/>
    </row>
    <row r="1577" spans="2:23" ht="12.75" customHeight="1" x14ac:dyDescent="0.2">
      <c r="B1577" s="1083">
        <f>HE_Insurance_Risk!$A$1</f>
        <v>37</v>
      </c>
      <c r="C1577" s="1084" t="str">
        <f>HE_Insurance_Risk!$B$1</f>
        <v>Versicherungsrisiko</v>
      </c>
      <c r="D1577" s="1091" t="str">
        <f>HE_Insurance_Risk!$C$15</f>
        <v>Erwartungswert und Standardabweichung</v>
      </c>
      <c r="E1577" s="1494" t="str">
        <f>HE_Insurance_Risk!$H$17</f>
        <v>Einzel VVG</v>
      </c>
      <c r="F1577" s="1488"/>
      <c r="G1577" s="1524" t="s">
        <v>1810</v>
      </c>
      <c r="U1577" s="1027"/>
      <c r="V1577" s="1027"/>
      <c r="W1577" s="1027"/>
    </row>
    <row r="1578" spans="2:23" ht="12.75" customHeight="1" x14ac:dyDescent="0.2">
      <c r="B1578" s="1083">
        <f>HE_Insurance_Risk!$A$1</f>
        <v>37</v>
      </c>
      <c r="C1578" s="1084" t="str">
        <f>HE_Insurance_Risk!$B$1</f>
        <v>Versicherungsrisiko</v>
      </c>
      <c r="D1578" s="1091" t="str">
        <f>HE_Insurance_Risk!$C$15</f>
        <v>Erwartungswert und Standardabweichung</v>
      </c>
      <c r="E1578" s="1494" t="str">
        <f>HE_Insurance_Risk!$H$17</f>
        <v>Einzel VVG</v>
      </c>
      <c r="F1578" s="1488" t="str">
        <f>HE_Insurance_Risk!$C47</f>
        <v>Veränderung der Alterungsrückstellungen und Deckungskapitalien</v>
      </c>
      <c r="G1578" s="1494"/>
      <c r="H1578" s="1120">
        <f>HE_Insurance_Risk!$H47</f>
        <v>0</v>
      </c>
      <c r="U1578" s="1027"/>
      <c r="V1578" s="1027"/>
      <c r="W1578" s="1027"/>
    </row>
    <row r="1579" spans="2:23" ht="12.75" customHeight="1" x14ac:dyDescent="0.2">
      <c r="B1579" s="1083">
        <f>HE_Insurance_Risk!$A$1</f>
        <v>37</v>
      </c>
      <c r="C1579" s="1084" t="str">
        <f>HE_Insurance_Risk!$B$1</f>
        <v>Versicherungsrisiko</v>
      </c>
      <c r="D1579" s="1091" t="str">
        <f>HE_Insurance_Risk!$C$15</f>
        <v>Erwartungswert und Standardabweichung</v>
      </c>
      <c r="E1579" s="1494" t="str">
        <f>HE_Insurance_Risk!$H$17</f>
        <v>Einzel VVG</v>
      </c>
      <c r="F1579" s="1488" t="str">
        <f>HE_Insurance_Risk!$C48</f>
        <v>Veränderung der sonstigen technischen Rückstellungen</v>
      </c>
      <c r="G1579" s="1494"/>
      <c r="H1579" s="1120">
        <f>HE_Insurance_Risk!$H48</f>
        <v>0</v>
      </c>
      <c r="U1579" s="1027"/>
      <c r="V1579" s="1027"/>
      <c r="W1579" s="1027"/>
    </row>
    <row r="1580" spans="2:23" ht="12.75" customHeight="1" x14ac:dyDescent="0.2">
      <c r="B1580" s="1083">
        <f>HE_Insurance_Risk!$A$1</f>
        <v>37</v>
      </c>
      <c r="C1580" s="1084" t="str">
        <f>HE_Insurance_Risk!$B$1</f>
        <v>Versicherungsrisiko</v>
      </c>
      <c r="D1580" s="1091" t="str">
        <f>HE_Insurance_Risk!$C$15</f>
        <v>Erwartungswert und Standardabweichung</v>
      </c>
      <c r="E1580" s="1494" t="str">
        <f>HE_Insurance_Risk!$H$17</f>
        <v>Einzel VVG</v>
      </c>
      <c r="F1580" s="1488" t="str">
        <f>HE_Insurance_Risk!$C50</f>
        <v>Risikoausgleich (2025)</v>
      </c>
      <c r="G1580" s="1494"/>
      <c r="H1580" s="1106">
        <f>HE_Insurance_Risk!$H50</f>
        <v>0</v>
      </c>
      <c r="U1580" s="1027"/>
      <c r="V1580" s="1027"/>
      <c r="W1580" s="1027"/>
    </row>
    <row r="1581" spans="2:23" ht="12.75" customHeight="1" x14ac:dyDescent="0.2">
      <c r="B1581" s="1083">
        <f>HE_Insurance_Risk!$A$1</f>
        <v>37</v>
      </c>
      <c r="C1581" s="1084" t="str">
        <f>HE_Insurance_Risk!$B$1</f>
        <v>Versicherungsrisiko</v>
      </c>
      <c r="D1581" s="1091" t="str">
        <f>HE_Insurance_Risk!$C$15</f>
        <v>Erwartungswert und Standardabweichung</v>
      </c>
      <c r="E1581" s="1494" t="str">
        <f>HE_Insurance_Risk!$H$17</f>
        <v>Einzel VVG</v>
      </c>
      <c r="F1581" s="1488" t="str">
        <f>HE_Insurance_Risk!$C51</f>
        <v>Andere Aufwendungen</v>
      </c>
      <c r="G1581" s="1494"/>
      <c r="H1581" s="1120">
        <f>HE_Insurance_Risk!$H51</f>
        <v>0</v>
      </c>
      <c r="U1581" s="1027"/>
      <c r="V1581" s="1027"/>
      <c r="W1581" s="1027"/>
    </row>
    <row r="1582" spans="2:23" ht="12.75" customHeight="1" x14ac:dyDescent="0.2">
      <c r="B1582" s="1083">
        <f>HE_Insurance_Risk!$A$1</f>
        <v>37</v>
      </c>
      <c r="C1582" s="1084" t="str">
        <f>HE_Insurance_Risk!$B$1</f>
        <v>Versicherungsrisiko</v>
      </c>
      <c r="D1582" s="1091" t="str">
        <f>HE_Insurance_Risk!$C$15</f>
        <v>Erwartungswert und Standardabweichung</v>
      </c>
      <c r="E1582" s="1494" t="str">
        <f>HE_Insurance_Risk!$H$17</f>
        <v>Einzel VVG</v>
      </c>
      <c r="F1582" s="1488" t="str">
        <f>HE_Insurance_Risk!$C53</f>
        <v>Schaden- und Leistungsaufwand für eigene Rechnung</v>
      </c>
      <c r="G1582" s="1494"/>
      <c r="H1582" s="1121">
        <f>HE_Insurance_Risk!$H53</f>
        <v>0</v>
      </c>
      <c r="U1582" s="1027"/>
      <c r="V1582" s="1027"/>
      <c r="W1582" s="1027"/>
    </row>
    <row r="1583" spans="2:23" ht="12.75" customHeight="1" x14ac:dyDescent="0.2">
      <c r="B1583" s="1083">
        <f>HE_Insurance_Risk!$A$1</f>
        <v>37</v>
      </c>
      <c r="C1583" s="1084" t="str">
        <f>HE_Insurance_Risk!$B$1</f>
        <v>Versicherungsrisiko</v>
      </c>
      <c r="D1583" s="1091" t="str">
        <f>HE_Insurance_Risk!$C$15</f>
        <v>Erwartungswert und Standardabweichung</v>
      </c>
      <c r="E1583" s="1494" t="str">
        <f>HE_Insurance_Risk!$H$17</f>
        <v>Einzel VVG</v>
      </c>
      <c r="F1583" s="1488" t="str">
        <f>HE_Insurance_Risk!$C55</f>
        <v>Aufwendungen für den Betrieb, Verwaltungsaufwand</v>
      </c>
      <c r="G1583" s="1494"/>
      <c r="H1583" s="1120">
        <f>HE_Insurance_Risk!$H55</f>
        <v>0</v>
      </c>
      <c r="U1583" s="1027"/>
      <c r="V1583" s="1027"/>
      <c r="W1583" s="1027"/>
    </row>
    <row r="1584" spans="2:23" ht="12.75" customHeight="1" x14ac:dyDescent="0.2">
      <c r="B1584" s="1083"/>
      <c r="C1584" s="1084"/>
      <c r="D1584" s="1091"/>
      <c r="E1584" s="1494"/>
      <c r="F1584" s="1488"/>
      <c r="G1584" s="1494"/>
      <c r="H1584" s="1116"/>
      <c r="U1584" s="1027"/>
      <c r="V1584" s="1027"/>
      <c r="W1584" s="1027"/>
    </row>
    <row r="1585" spans="2:23" ht="12.75" customHeight="1" x14ac:dyDescent="0.2">
      <c r="B1585" s="1083">
        <f>HE_Insurance_Risk!$A$1</f>
        <v>37</v>
      </c>
      <c r="C1585" s="1084" t="str">
        <f>HE_Insurance_Risk!$B$1</f>
        <v>Versicherungsrisiko</v>
      </c>
      <c r="D1585" s="1091" t="str">
        <f>HE_Insurance_Risk!$C$15</f>
        <v>Erwartungswert und Standardabweichung</v>
      </c>
      <c r="E1585" s="1494" t="str">
        <f>HE_Insurance_Risk!$H$17</f>
        <v>Einzel VVG</v>
      </c>
      <c r="F1585" s="1488" t="str">
        <f>HE_Insurance_Risk!$C57</f>
        <v>Versicherungstechnisches Resultat</v>
      </c>
      <c r="G1585" s="1494"/>
      <c r="H1585" s="1119">
        <f>HE_Insurance_Risk!$H57</f>
        <v>0</v>
      </c>
      <c r="U1585" s="1027"/>
      <c r="V1585" s="1027"/>
      <c r="W1585" s="1027"/>
    </row>
    <row r="1586" spans="2:23" ht="12.75" customHeight="1" x14ac:dyDescent="0.2">
      <c r="B1586" s="1083"/>
      <c r="C1586" s="1084"/>
      <c r="D1586" s="1091"/>
      <c r="E1586" s="1494"/>
      <c r="F1586" s="1488"/>
      <c r="G1586" s="1494"/>
      <c r="H1586" s="1122"/>
      <c r="U1586" s="1027"/>
      <c r="V1586" s="1027"/>
      <c r="W1586" s="1027"/>
    </row>
    <row r="1587" spans="2:23" ht="12.75" customHeight="1" x14ac:dyDescent="0.2">
      <c r="B1587" s="1083">
        <f>HE_Insurance_Risk!$A$1</f>
        <v>37</v>
      </c>
      <c r="C1587" s="1084" t="str">
        <f>HE_Insurance_Risk!$B$1</f>
        <v>Versicherungsrisiko</v>
      </c>
      <c r="D1587" s="1091" t="str">
        <f>HE_Insurance_Risk!$C$15</f>
        <v>Erwartungswert und Standardabweichung</v>
      </c>
      <c r="E1587" s="1494" t="str">
        <f>HE_Insurance_Risk!$H$17</f>
        <v>Einzel VVG</v>
      </c>
      <c r="F1587" s="1488" t="str">
        <f>HE_Insurance_Risk!$C59</f>
        <v>Erwartete Anzahl Versicherte (Durschnittbestand)</v>
      </c>
      <c r="G1587" s="1494"/>
      <c r="H1587" s="1504" t="str">
        <f>IF(ISNUMBER(HE_Insurance_Risk!$H$59),HE_Insurance_Risk!$H$59,"")</f>
        <v/>
      </c>
      <c r="U1587" s="1027"/>
      <c r="V1587" s="1027"/>
      <c r="W1587" s="1027"/>
    </row>
    <row r="1588" spans="2:23" ht="12.75" customHeight="1" x14ac:dyDescent="0.2">
      <c r="B1588" s="1083"/>
      <c r="C1588" s="1084"/>
      <c r="D1588" s="1091"/>
      <c r="E1588" s="1494"/>
      <c r="F1588" s="1488"/>
      <c r="G1588" s="1494"/>
      <c r="H1588" s="1122"/>
      <c r="U1588" s="1027"/>
      <c r="V1588" s="1027"/>
      <c r="W1588" s="1027"/>
    </row>
    <row r="1589" spans="2:23" ht="12.75" customHeight="1" x14ac:dyDescent="0.2">
      <c r="B1589" s="1083"/>
      <c r="C1589" s="1084"/>
      <c r="D1589" s="1091"/>
      <c r="E1589" s="1494"/>
      <c r="F1589" s="1488"/>
      <c r="G1589" s="1494"/>
      <c r="H1589" s="1124"/>
      <c r="U1589" s="1027"/>
      <c r="V1589" s="1027"/>
      <c r="W1589" s="1027"/>
    </row>
    <row r="1590" spans="2:23" ht="12.75" customHeight="1" x14ac:dyDescent="0.2">
      <c r="B1590" s="1083">
        <f>HE_Insurance_Risk!$A$1</f>
        <v>37</v>
      </c>
      <c r="C1590" s="1084" t="str">
        <f>HE_Insurance_Risk!$B$1</f>
        <v>Versicherungsrisiko</v>
      </c>
      <c r="D1590" s="1091" t="str">
        <f>HE_Insurance_Risk!$C$61</f>
        <v>Variabilität</v>
      </c>
      <c r="E1590" s="1494" t="str">
        <f>HE_Insurance_Risk!$H$17</f>
        <v>Einzel VVG</v>
      </c>
      <c r="F1590" s="1488" t="str">
        <f>HE_Insurance_Risk!$C65</f>
        <v>Erwartete Anzahl Schadenfälle bzw. Erkrankte</v>
      </c>
      <c r="G1590" s="1494"/>
      <c r="H1590" s="1125" t="str">
        <f>IF(ISNUMBER(HE_Insurance_Risk!$H$65),HE_Insurance_Risk!$H$65,"")</f>
        <v/>
      </c>
      <c r="U1590" s="1027"/>
      <c r="V1590" s="1027"/>
      <c r="W1590" s="1027"/>
    </row>
    <row r="1591" spans="2:23" ht="12.75" customHeight="1" x14ac:dyDescent="0.2">
      <c r="B1591" s="1083"/>
      <c r="C1591" s="1084"/>
      <c r="D1591" s="1091"/>
      <c r="E1591" s="1494"/>
      <c r="F1591" s="1488"/>
      <c r="G1591" s="1494"/>
      <c r="H1591" s="1122"/>
      <c r="U1591" s="1027"/>
      <c r="V1591" s="1027"/>
      <c r="W1591" s="1027"/>
    </row>
    <row r="1592" spans="2:23" ht="12.75" customHeight="1" x14ac:dyDescent="0.2">
      <c r="B1592" s="1083">
        <f>HE_Insurance_Risk!$A$1</f>
        <v>37</v>
      </c>
      <c r="C1592" s="1084" t="str">
        <f>HE_Insurance_Risk!$B$1</f>
        <v>Versicherungsrisiko</v>
      </c>
      <c r="D1592" s="1091" t="str">
        <f>HE_Insurance_Risk!$C$61</f>
        <v>Variabilität</v>
      </c>
      <c r="E1592" s="1494" t="str">
        <f>HE_Insurance_Risk!$H$17</f>
        <v>Einzel VVG</v>
      </c>
      <c r="F1592" s="1488" t="str">
        <f>HE_Insurance_Risk!$C67</f>
        <v>Variationskoeffizient des Einzelschadens</v>
      </c>
      <c r="G1592" s="1494"/>
      <c r="H1592" s="1122">
        <f>HE_Insurance_Risk!$H67</f>
        <v>0</v>
      </c>
      <c r="U1592" s="1027"/>
      <c r="V1592" s="1027"/>
      <c r="W1592" s="1027"/>
    </row>
    <row r="1593" spans="2:23" ht="12.75" customHeight="1" x14ac:dyDescent="0.2">
      <c r="B1593" s="1083">
        <f>HE_Insurance_Risk!$A$1</f>
        <v>37</v>
      </c>
      <c r="C1593" s="1084" t="str">
        <f>HE_Insurance_Risk!$B$1</f>
        <v>Versicherungsrisiko</v>
      </c>
      <c r="D1593" s="1091" t="str">
        <f>HE_Insurance_Risk!$C$61</f>
        <v>Variabilität</v>
      </c>
      <c r="E1593" s="1494" t="str">
        <f>HE_Insurance_Risk!$H$17</f>
        <v>Einzel VVG</v>
      </c>
      <c r="F1593" s="1488" t="str">
        <f>HE_Insurance_Risk!$C68</f>
        <v>Standardwert (vor Rückversicherung)</v>
      </c>
      <c r="G1593" s="1494"/>
      <c r="H1593" s="1525">
        <f>HE_Insurance_Risk!$H68</f>
        <v>5</v>
      </c>
      <c r="U1593" s="1027"/>
      <c r="V1593" s="1027"/>
      <c r="W1593" s="1027"/>
    </row>
    <row r="1594" spans="2:23" ht="12.75" customHeight="1" x14ac:dyDescent="0.2">
      <c r="B1594" s="1083">
        <f>HE_Insurance_Risk!$A$1</f>
        <v>37</v>
      </c>
      <c r="C1594" s="1084" t="str">
        <f>HE_Insurance_Risk!$B$1</f>
        <v>Versicherungsrisiko</v>
      </c>
      <c r="D1594" s="1091" t="str">
        <f>HE_Insurance_Risk!$C$61</f>
        <v>Variabilität</v>
      </c>
      <c r="E1594" s="1494" t="str">
        <f>HE_Insurance_Risk!$H$17</f>
        <v>Einzel VVG</v>
      </c>
      <c r="F1594" s="1488" t="str">
        <f>HE_Insurance_Risk!$C69</f>
        <v>errechneter Wert nach Rückversicherung</v>
      </c>
      <c r="G1594" s="1494"/>
      <c r="H1594" s="1127"/>
      <c r="U1594" s="1027"/>
      <c r="V1594" s="1027"/>
      <c r="W1594" s="1027"/>
    </row>
    <row r="1595" spans="2:23" ht="12.75" customHeight="1" x14ac:dyDescent="0.2">
      <c r="B1595" s="1083">
        <f>HE_Insurance_Risk!$A$1</f>
        <v>37</v>
      </c>
      <c r="C1595" s="1084" t="str">
        <f>HE_Insurance_Risk!$B$1</f>
        <v>Versicherungsrisiko</v>
      </c>
      <c r="D1595" s="1091" t="str">
        <f>HE_Insurance_Risk!$C$61</f>
        <v>Variabilität</v>
      </c>
      <c r="E1595" s="1494" t="str">
        <f>HE_Insurance_Risk!$H$17</f>
        <v>Einzel VVG</v>
      </c>
      <c r="F1595" s="1488" t="str">
        <f>HE_Insurance_Risk!$C70</f>
        <v>benutzter Wert (Abweichung vom Standard: begründen)</v>
      </c>
      <c r="G1595" s="1494"/>
      <c r="H1595" s="1128">
        <f>HE_Insurance_Risk!$H70</f>
        <v>5</v>
      </c>
      <c r="U1595" s="1027"/>
      <c r="V1595" s="1027"/>
      <c r="W1595" s="1027"/>
    </row>
    <row r="1596" spans="2:23" ht="12.75" customHeight="1" x14ac:dyDescent="0.2">
      <c r="B1596" s="1083"/>
      <c r="C1596" s="1084"/>
      <c r="D1596" s="1091"/>
      <c r="E1596" s="1494"/>
      <c r="F1596" s="1488"/>
      <c r="G1596" s="1494"/>
      <c r="H1596" s="1124"/>
      <c r="U1596" s="1027"/>
      <c r="V1596" s="1027"/>
      <c r="W1596" s="1027"/>
    </row>
    <row r="1597" spans="2:23" ht="12.75" customHeight="1" x14ac:dyDescent="0.2">
      <c r="B1597" s="1083">
        <f>HE_Insurance_Risk!$A$1</f>
        <v>37</v>
      </c>
      <c r="C1597" s="1084" t="str">
        <f>HE_Insurance_Risk!$B$1</f>
        <v>Versicherungsrisiko</v>
      </c>
      <c r="D1597" s="1091" t="str">
        <f>HE_Insurance_Risk!$C$61</f>
        <v>Variabilität</v>
      </c>
      <c r="E1597" s="1494" t="str">
        <f>HE_Insurance_Risk!$H$17</f>
        <v>Einzel VVG</v>
      </c>
      <c r="F1597" s="1488" t="str">
        <f>HE_Insurance_Risk!$C72</f>
        <v>Resultat: Variationskoeffizient des Zufallsrisikos</v>
      </c>
      <c r="G1597" s="1494"/>
      <c r="H1597" s="1124">
        <f>HE_Insurance_Risk!$H72</f>
        <v>0</v>
      </c>
      <c r="U1597" s="1027"/>
      <c r="V1597" s="1027"/>
      <c r="W1597" s="1027"/>
    </row>
    <row r="1598" spans="2:23" ht="12.75" customHeight="1" x14ac:dyDescent="0.2">
      <c r="B1598" s="1083">
        <f>HE_Insurance_Risk!$A$1</f>
        <v>37</v>
      </c>
      <c r="C1598" s="1084" t="str">
        <f>HE_Insurance_Risk!$B$1</f>
        <v>Versicherungsrisiko</v>
      </c>
      <c r="D1598" s="1091" t="str">
        <f>HE_Insurance_Risk!$C$61</f>
        <v>Variabilität</v>
      </c>
      <c r="E1598" s="1494" t="str">
        <f>HE_Insurance_Risk!$H$17</f>
        <v>Einzel VVG</v>
      </c>
      <c r="F1598" s="1488" t="str">
        <f>HE_Insurance_Risk!$C73</f>
        <v>errechneter Wert vor Rückversicherung</v>
      </c>
      <c r="G1598" s="1494"/>
      <c r="H1598" s="1129" t="str">
        <f>HE_Insurance_Risk!$H73</f>
        <v/>
      </c>
      <c r="U1598" s="1027"/>
      <c r="V1598" s="1027"/>
      <c r="W1598" s="1027"/>
    </row>
    <row r="1599" spans="2:23" ht="12.75" customHeight="1" x14ac:dyDescent="0.2">
      <c r="B1599" s="1083">
        <f>HE_Insurance_Risk!$A$1</f>
        <v>37</v>
      </c>
      <c r="C1599" s="1084" t="str">
        <f>HE_Insurance_Risk!$B$1</f>
        <v>Versicherungsrisiko</v>
      </c>
      <c r="D1599" s="1091" t="str">
        <f>HE_Insurance_Risk!$C$61</f>
        <v>Variabilität</v>
      </c>
      <c r="E1599" s="1494" t="str">
        <f>HE_Insurance_Risk!$H$17</f>
        <v>Einzel VVG</v>
      </c>
      <c r="F1599" s="1488" t="str">
        <f>HE_Insurance_Risk!$C74</f>
        <v>errechneter Wert nach Rückversicherung</v>
      </c>
      <c r="G1599" s="1494"/>
      <c r="H1599" s="1129">
        <f>HE_Insurance_Risk!$H74</f>
        <v>0</v>
      </c>
      <c r="U1599" s="1027"/>
      <c r="V1599" s="1027"/>
      <c r="W1599" s="1027"/>
    </row>
    <row r="1600" spans="2:23" ht="12.75" customHeight="1" x14ac:dyDescent="0.2">
      <c r="B1600" s="1083">
        <f>HE_Insurance_Risk!$A$1</f>
        <v>37</v>
      </c>
      <c r="C1600" s="1084" t="str">
        <f>HE_Insurance_Risk!$B$1</f>
        <v>Versicherungsrisiko</v>
      </c>
      <c r="D1600" s="1091" t="str">
        <f>HE_Insurance_Risk!$C$61</f>
        <v>Variabilität</v>
      </c>
      <c r="E1600" s="1494" t="str">
        <f>HE_Insurance_Risk!$H$17</f>
        <v>Einzel VVG</v>
      </c>
      <c r="F1600" s="1488" t="str">
        <f>HE_Insurance_Risk!$C75</f>
        <v>benutzter Wert</v>
      </c>
      <c r="G1600" s="1494"/>
      <c r="H1600" s="1130">
        <f>HE_Insurance_Risk!$H75</f>
        <v>0</v>
      </c>
      <c r="U1600" s="1027"/>
      <c r="V1600" s="1027"/>
      <c r="W1600" s="1027"/>
    </row>
    <row r="1601" spans="2:23" ht="12.75" customHeight="1" x14ac:dyDescent="0.2">
      <c r="B1601" s="1083"/>
      <c r="C1601" s="1084"/>
      <c r="D1601" s="1091"/>
      <c r="E1601" s="1494"/>
      <c r="F1601" s="1488"/>
      <c r="G1601" s="1494"/>
      <c r="H1601" s="1124"/>
      <c r="U1601" s="1027"/>
      <c r="V1601" s="1027"/>
      <c r="W1601" s="1027"/>
    </row>
    <row r="1602" spans="2:23" ht="12.75" customHeight="1" x14ac:dyDescent="0.2">
      <c r="B1602" s="1083">
        <f>HE_Insurance_Risk!$A$1</f>
        <v>37</v>
      </c>
      <c r="C1602" s="1084" t="str">
        <f>HE_Insurance_Risk!$B$1</f>
        <v>Versicherungsrisiko</v>
      </c>
      <c r="D1602" s="1091" t="str">
        <f>HE_Insurance_Risk!$C$61</f>
        <v>Variabilität</v>
      </c>
      <c r="E1602" s="1494" t="str">
        <f>HE_Insurance_Risk!$H$17</f>
        <v>Einzel VVG</v>
      </c>
      <c r="F1602" s="1488" t="str">
        <f>HE_Insurance_Risk!$C78</f>
        <v>Variationskoeffizient des Parameterrisikos</v>
      </c>
      <c r="G1602" s="1494"/>
      <c r="H1602" s="1124">
        <f>HE_Insurance_Risk!$H78</f>
        <v>0</v>
      </c>
      <c r="U1602" s="1027"/>
      <c r="V1602" s="1027"/>
      <c r="W1602" s="1027"/>
    </row>
    <row r="1603" spans="2:23" ht="12.75" customHeight="1" x14ac:dyDescent="0.2">
      <c r="B1603" s="1083">
        <f>HE_Insurance_Risk!$A$1</f>
        <v>37</v>
      </c>
      <c r="C1603" s="1084" t="str">
        <f>HE_Insurance_Risk!$B$1</f>
        <v>Versicherungsrisiko</v>
      </c>
      <c r="D1603" s="1091" t="str">
        <f>HE_Insurance_Risk!$C$61</f>
        <v>Variabilität</v>
      </c>
      <c r="E1603" s="1494" t="str">
        <f>HE_Insurance_Risk!$H$17</f>
        <v>Einzel VVG</v>
      </c>
      <c r="F1603" s="1488" t="str">
        <f>HE_Insurance_Risk!$C79</f>
        <v>Standardwert (vor Rückversicherung)</v>
      </c>
      <c r="G1603" s="1494"/>
      <c r="H1603" s="1526">
        <f>HE_Insurance_Risk!$H79</f>
        <v>5.7500000000000002E-2</v>
      </c>
      <c r="U1603" s="1027"/>
      <c r="V1603" s="1027"/>
      <c r="W1603" s="1027"/>
    </row>
    <row r="1604" spans="2:23" ht="12.75" customHeight="1" x14ac:dyDescent="0.2">
      <c r="B1604" s="1083">
        <f>HE_Insurance_Risk!$A$1</f>
        <v>37</v>
      </c>
      <c r="C1604" s="1084" t="str">
        <f>HE_Insurance_Risk!$B$1</f>
        <v>Versicherungsrisiko</v>
      </c>
      <c r="D1604" s="1091" t="str">
        <f>HE_Insurance_Risk!$C$61</f>
        <v>Variabilität</v>
      </c>
      <c r="E1604" s="1494" t="str">
        <f>HE_Insurance_Risk!$H$17</f>
        <v>Einzel VVG</v>
      </c>
      <c r="F1604" s="1488" t="str">
        <f>HE_Insurance_Risk!$C80</f>
        <v>errechneter Wert nach Rückversicherung</v>
      </c>
      <c r="G1604" s="1494"/>
      <c r="H1604" s="1131">
        <f>HE_Insurance_Risk!$H80</f>
        <v>0</v>
      </c>
      <c r="U1604" s="1027"/>
      <c r="V1604" s="1027"/>
      <c r="W1604" s="1027"/>
    </row>
    <row r="1605" spans="2:23" ht="12.75" customHeight="1" x14ac:dyDescent="0.2">
      <c r="B1605" s="1083">
        <f>HE_Insurance_Risk!$A$1</f>
        <v>37</v>
      </c>
      <c r="C1605" s="1084" t="str">
        <f>HE_Insurance_Risk!$B$1</f>
        <v>Versicherungsrisiko</v>
      </c>
      <c r="D1605" s="1091" t="str">
        <f>HE_Insurance_Risk!$C$61</f>
        <v>Variabilität</v>
      </c>
      <c r="E1605" s="1494" t="str">
        <f>HE_Insurance_Risk!$H$17</f>
        <v>Einzel VVG</v>
      </c>
      <c r="F1605" s="1488" t="str">
        <f>HE_Insurance_Risk!$C81</f>
        <v>benutzter Wert (Abweichung vom Standard begründen)</v>
      </c>
      <c r="G1605" s="1494"/>
      <c r="H1605" s="1130">
        <f>HE_Insurance_Risk!$H81</f>
        <v>5.7500000000000002E-2</v>
      </c>
      <c r="U1605" s="1027"/>
      <c r="V1605" s="1027"/>
      <c r="W1605" s="1027"/>
    </row>
    <row r="1606" spans="2:23" ht="12.75" customHeight="1" x14ac:dyDescent="0.2">
      <c r="B1606" s="1083"/>
      <c r="C1606" s="1084"/>
      <c r="D1606" s="1091"/>
      <c r="E1606" s="1494"/>
      <c r="F1606" s="1488"/>
      <c r="G1606" s="1494"/>
      <c r="H1606" s="1124"/>
      <c r="U1606" s="1027"/>
      <c r="V1606" s="1027"/>
      <c r="W1606" s="1027"/>
    </row>
    <row r="1607" spans="2:23" ht="12.75" customHeight="1" x14ac:dyDescent="0.2">
      <c r="B1607" s="1083">
        <f>HE_Insurance_Risk!$A$1</f>
        <v>37</v>
      </c>
      <c r="C1607" s="1084" t="str">
        <f>HE_Insurance_Risk!$B$1</f>
        <v>Versicherungsrisiko</v>
      </c>
      <c r="D1607" s="1091" t="str">
        <f>HE_Insurance_Risk!$C$61</f>
        <v>Variabilität</v>
      </c>
      <c r="E1607" s="1494" t="str">
        <f>HE_Insurance_Risk!$H$17</f>
        <v>Einzel VVG</v>
      </c>
      <c r="F1607" s="1527" t="str">
        <f>HE_Insurance_Risk!$C84</f>
        <v>Variationskoeffizient der jährlichen Leistungen</v>
      </c>
      <c r="G1607" s="1494"/>
      <c r="H1607" s="1132">
        <f>HE_Insurance_Risk!$H84</f>
        <v>0.1</v>
      </c>
      <c r="U1607" s="1027"/>
      <c r="V1607" s="1027"/>
      <c r="W1607" s="1027"/>
    </row>
    <row r="1608" spans="2:23" ht="12.75" customHeight="1" x14ac:dyDescent="0.2">
      <c r="B1608" s="1083">
        <f>HE_Insurance_Risk!$A$1</f>
        <v>37</v>
      </c>
      <c r="C1608" s="1084" t="str">
        <f>HE_Insurance_Risk!$B$1</f>
        <v>Versicherungsrisiko</v>
      </c>
      <c r="D1608" s="1091" t="str">
        <f>HE_Insurance_Risk!$C$61</f>
        <v>Variabilität</v>
      </c>
      <c r="E1608" s="1494" t="str">
        <f>HE_Insurance_Risk!$H$17</f>
        <v>Einzel VVG</v>
      </c>
      <c r="F1608" s="1527" t="str">
        <f>HE_Insurance_Risk!$C85</f>
        <v>benutzter Variationskoeffizient</v>
      </c>
      <c r="G1608" s="1494"/>
      <c r="H1608" s="1134">
        <f>HE_Insurance_Risk!$H85</f>
        <v>0.1</v>
      </c>
      <c r="U1608" s="1027"/>
      <c r="V1608" s="1027"/>
      <c r="W1608" s="1027"/>
    </row>
    <row r="1609" spans="2:23" ht="12.75" customHeight="1" x14ac:dyDescent="0.2">
      <c r="B1609" s="1083"/>
      <c r="C1609" s="1084"/>
      <c r="D1609" s="1091"/>
      <c r="E1609" s="1494"/>
      <c r="F1609" s="1488"/>
      <c r="G1609" s="1494"/>
      <c r="H1609" s="1129"/>
      <c r="U1609" s="1027"/>
      <c r="V1609" s="1027"/>
      <c r="W1609" s="1027"/>
    </row>
    <row r="1610" spans="2:23" ht="12.75" customHeight="1" x14ac:dyDescent="0.2">
      <c r="B1610" s="1083">
        <f>HE_Insurance_Risk!$A$1</f>
        <v>37</v>
      </c>
      <c r="C1610" s="1084" t="str">
        <f>HE_Insurance_Risk!$B$1</f>
        <v>Versicherungsrisiko</v>
      </c>
      <c r="D1610" s="1091" t="str">
        <f>HE_Insurance_Risk!$C$61</f>
        <v>Variabilität</v>
      </c>
      <c r="E1610" s="1494" t="str">
        <f>HE_Insurance_Risk!$H$17</f>
        <v>Einzel VVG</v>
      </c>
      <c r="F1610" s="1488" t="str">
        <f>HE_Insurance_Risk!$C92</f>
        <v>Standardabweichung des versicherungstechnischen Risikos</v>
      </c>
      <c r="G1610" s="1494"/>
      <c r="H1610" s="1119">
        <f>HE_Insurance_Risk!$H92</f>
        <v>0</v>
      </c>
      <c r="U1610" s="1027"/>
      <c r="V1610" s="1027"/>
      <c r="W1610" s="1027"/>
    </row>
    <row r="1611" spans="2:23" ht="12.75" customHeight="1" x14ac:dyDescent="0.2">
      <c r="B1611" s="1083"/>
      <c r="C1611" s="1084"/>
      <c r="D1611" s="1091"/>
      <c r="E1611" s="1494"/>
      <c r="F1611" s="1488"/>
      <c r="G1611" s="1494"/>
      <c r="H1611" s="1133"/>
      <c r="U1611" s="1027"/>
      <c r="V1611" s="1027"/>
      <c r="W1611" s="1027"/>
    </row>
    <row r="1612" spans="2:23" ht="12.75" customHeight="1" x14ac:dyDescent="0.2">
      <c r="B1612" s="1083"/>
      <c r="C1612" s="1084"/>
      <c r="D1612" s="1091"/>
      <c r="E1612" s="1494"/>
      <c r="F1612" s="1488"/>
      <c r="G1612" s="1494"/>
      <c r="H1612" s="1133"/>
      <c r="U1612" s="1027"/>
      <c r="V1612" s="1027"/>
      <c r="W1612" s="1027"/>
    </row>
    <row r="1613" spans="2:23" ht="12.75" customHeight="1" x14ac:dyDescent="0.2">
      <c r="B1613" s="1083">
        <f>HE_Insurance_Risk!$A$1</f>
        <v>37</v>
      </c>
      <c r="C1613" s="1084" t="str">
        <f>HE_Insurance_Risk!$B$1</f>
        <v>Versicherungsrisiko</v>
      </c>
      <c r="D1613" s="1091" t="str">
        <f>HE_Insurance_Risk!$C$15</f>
        <v>Erwartungswert und Standardabweichung</v>
      </c>
      <c r="E1613" s="1494" t="str">
        <f>HE_Insurance_Risk!$J$17</f>
        <v>UVG</v>
      </c>
      <c r="F1613" s="1488" t="str">
        <f>HE_Insurance_Risk!$C21</f>
        <v>Versicherungstechnische Erträge</v>
      </c>
      <c r="G1613" s="1494"/>
      <c r="H1613" s="1119">
        <f>HE_Insurance_Risk!$J21</f>
        <v>0</v>
      </c>
      <c r="U1613" s="1027"/>
      <c r="V1613" s="1027"/>
      <c r="W1613" s="1027"/>
    </row>
    <row r="1614" spans="2:23" ht="12.75" customHeight="1" x14ac:dyDescent="0.2">
      <c r="B1614" s="1083">
        <f>HE_Insurance_Risk!$A$1</f>
        <v>37</v>
      </c>
      <c r="C1614" s="1084" t="str">
        <f>HE_Insurance_Risk!$B$1</f>
        <v>Versicherungsrisiko</v>
      </c>
      <c r="D1614" s="1091" t="str">
        <f>HE_Insurance_Risk!$C$15</f>
        <v>Erwartungswert und Standardabweichung</v>
      </c>
      <c r="E1614" s="1494" t="str">
        <f>HE_Insurance_Risk!$J$17</f>
        <v>UVG</v>
      </c>
      <c r="F1614" s="1488" t="str">
        <f>HE_Insurance_Risk!$C24</f>
        <v>Bruttoprämien</v>
      </c>
      <c r="G1614" s="1494"/>
      <c r="H1614" s="1120">
        <f>HE_Insurance_Risk!$J24</f>
        <v>0</v>
      </c>
      <c r="U1614" s="1027"/>
      <c r="V1614" s="1027"/>
      <c r="W1614" s="1027"/>
    </row>
    <row r="1615" spans="2:23" ht="12.75" customHeight="1" x14ac:dyDescent="0.2">
      <c r="B1615" s="1083">
        <f>HE_Insurance_Risk!$A$1</f>
        <v>37</v>
      </c>
      <c r="C1615" s="1084" t="str">
        <f>HE_Insurance_Risk!$B$1</f>
        <v>Versicherungsrisiko</v>
      </c>
      <c r="D1615" s="1091" t="str">
        <f>HE_Insurance_Risk!$C$15</f>
        <v>Erwartungswert und Standardabweichung</v>
      </c>
      <c r="E1615" s="1494" t="str">
        <f>HE_Insurance_Risk!$J$17</f>
        <v>UVG</v>
      </c>
      <c r="F1615" s="1488" t="str">
        <f>HE_Insurance_Risk!$C25</f>
        <v>Erlösminderungen</v>
      </c>
      <c r="G1615" s="1494"/>
      <c r="H1615" s="1120">
        <f>HE_Insurance_Risk!$J25</f>
        <v>0</v>
      </c>
      <c r="U1615" s="1027"/>
      <c r="V1615" s="1027"/>
      <c r="W1615" s="1027"/>
    </row>
    <row r="1616" spans="2:23" ht="12.75" customHeight="1" x14ac:dyDescent="0.2">
      <c r="B1616" s="1083">
        <f>HE_Insurance_Risk!$A$1</f>
        <v>37</v>
      </c>
      <c r="C1616" s="1084" t="str">
        <f>HE_Insurance_Risk!$B$1</f>
        <v>Versicherungsrisiko</v>
      </c>
      <c r="D1616" s="1091" t="str">
        <f>HE_Insurance_Risk!$C$15</f>
        <v>Erwartungswert und Standardabweichung</v>
      </c>
      <c r="E1616" s="1494" t="str">
        <f>HE_Insurance_Risk!$J$17</f>
        <v>UVG</v>
      </c>
      <c r="F1616" s="1488" t="str">
        <f>HE_Insurance_Risk!$C27</f>
        <v>Verdiente Prämien vor Rückversicherung</v>
      </c>
      <c r="G1616" s="1494"/>
      <c r="H1616" s="1106">
        <f>HE_Insurance_Risk!$J27</f>
        <v>0</v>
      </c>
      <c r="U1616" s="1027"/>
      <c r="V1616" s="1027"/>
      <c r="W1616" s="1027"/>
    </row>
    <row r="1617" spans="2:23" ht="12.75" customHeight="1" x14ac:dyDescent="0.2">
      <c r="B1617" s="1083">
        <f>HE_Insurance_Risk!$A$1</f>
        <v>37</v>
      </c>
      <c r="C1617" s="1084" t="str">
        <f>HE_Insurance_Risk!$B$1</f>
        <v>Versicherungsrisiko</v>
      </c>
      <c r="D1617" s="1091" t="str">
        <f>HE_Insurance_Risk!$C$15</f>
        <v>Erwartungswert und Standardabweichung</v>
      </c>
      <c r="E1617" s="1494" t="str">
        <f>HE_Insurance_Risk!$J$17</f>
        <v>UVG</v>
      </c>
      <c r="F1617" s="1488" t="str">
        <f>HE_Insurance_Risk!$C28</f>
        <v>Prämienanteile der passiven Rückversicherung</v>
      </c>
      <c r="G1617" s="1494"/>
      <c r="H1617" s="1120">
        <f>HE_Insurance_Risk!$J28</f>
        <v>0</v>
      </c>
      <c r="U1617" s="1027"/>
      <c r="V1617" s="1027"/>
      <c r="W1617" s="1027"/>
    </row>
    <row r="1618" spans="2:23" ht="12.75" customHeight="1" x14ac:dyDescent="0.2">
      <c r="B1618" s="1083">
        <f>HE_Insurance_Risk!$A$1</f>
        <v>37</v>
      </c>
      <c r="C1618" s="1084" t="str">
        <f>HE_Insurance_Risk!$B$1</f>
        <v>Versicherungsrisiko</v>
      </c>
      <c r="D1618" s="1091" t="str">
        <f>HE_Insurance_Risk!$C$15</f>
        <v>Erwartungswert und Standardabweichung</v>
      </c>
      <c r="E1618" s="1494" t="str">
        <f>HE_Insurance_Risk!$J$17</f>
        <v>UVG</v>
      </c>
      <c r="F1618" s="1488" t="str">
        <f>HE_Insurance_Risk!$C30</f>
        <v>Verdiente Prämien nach Rückversicherung</v>
      </c>
      <c r="G1618" s="1494"/>
      <c r="H1618" s="1106">
        <f>HE_Insurance_Risk!$J30</f>
        <v>0</v>
      </c>
      <c r="U1618" s="1027"/>
      <c r="V1618" s="1027"/>
      <c r="W1618" s="1027"/>
    </row>
    <row r="1619" spans="2:23" ht="12.75" customHeight="1" x14ac:dyDescent="0.2">
      <c r="B1619" s="1083">
        <f>HE_Insurance_Risk!$A$1</f>
        <v>37</v>
      </c>
      <c r="C1619" s="1084" t="str">
        <f>HE_Insurance_Risk!$B$1</f>
        <v>Versicherungsrisiko</v>
      </c>
      <c r="D1619" s="1091" t="str">
        <f>HE_Insurance_Risk!$C$15</f>
        <v>Erwartungswert und Standardabweichung</v>
      </c>
      <c r="E1619" s="1494" t="str">
        <f>HE_Insurance_Risk!$J$17</f>
        <v>UVG</v>
      </c>
      <c r="F1619" s="1488" t="str">
        <f>HE_Insurance_Risk!$C32</f>
        <v>Sonstige versicherungstechnische Erträge</v>
      </c>
      <c r="G1619" s="1494"/>
      <c r="H1619" s="1120">
        <f>HE_Insurance_Risk!$J32</f>
        <v>0</v>
      </c>
      <c r="U1619" s="1027"/>
      <c r="V1619" s="1027"/>
      <c r="W1619" s="1027"/>
    </row>
    <row r="1620" spans="2:23" ht="12.75" customHeight="1" x14ac:dyDescent="0.2">
      <c r="B1620" s="1083">
        <f>HE_Insurance_Risk!$A$1</f>
        <v>37</v>
      </c>
      <c r="C1620" s="1084" t="str">
        <f>HE_Insurance_Risk!$B$1</f>
        <v>Versicherungsrisiko</v>
      </c>
      <c r="D1620" s="1091" t="str">
        <f>HE_Insurance_Risk!$C$15</f>
        <v>Erwartungswert und Standardabweichung</v>
      </c>
      <c r="E1620" s="1494" t="str">
        <f>HE_Insurance_Risk!$J$17</f>
        <v>UVG</v>
      </c>
      <c r="F1620" s="1488" t="str">
        <f>HE_Insurance_Risk!$C33</f>
        <v>Überschussbeteiligungen</v>
      </c>
      <c r="G1620" s="1494"/>
      <c r="H1620" s="1106">
        <f>HE_Insurance_Risk!$J33</f>
        <v>0</v>
      </c>
      <c r="U1620" s="1027"/>
      <c r="V1620" s="1027"/>
      <c r="W1620" s="1027"/>
    </row>
    <row r="1621" spans="2:23" ht="12.75" customHeight="1" x14ac:dyDescent="0.2">
      <c r="B1621" s="1083"/>
      <c r="C1621" s="1084"/>
      <c r="D1621" s="1091"/>
      <c r="E1621" s="1494"/>
      <c r="F1621" s="1488"/>
      <c r="G1621" s="1494"/>
      <c r="H1621" s="1116"/>
      <c r="U1621" s="1027"/>
      <c r="V1621" s="1027"/>
      <c r="W1621" s="1027"/>
    </row>
    <row r="1622" spans="2:23" ht="12.75" customHeight="1" x14ac:dyDescent="0.2">
      <c r="B1622" s="1083">
        <f>HE_Insurance_Risk!$A$1</f>
        <v>37</v>
      </c>
      <c r="C1622" s="1084" t="str">
        <f>HE_Insurance_Risk!$B$1</f>
        <v>Versicherungsrisiko</v>
      </c>
      <c r="D1622" s="1091" t="str">
        <f>HE_Insurance_Risk!$C$15</f>
        <v>Erwartungswert und Standardabweichung</v>
      </c>
      <c r="E1622" s="1494" t="str">
        <f>HE_Insurance_Risk!$J$17</f>
        <v>UVG</v>
      </c>
      <c r="F1622" s="1488" t="str">
        <f>HE_Insurance_Risk!$C35</f>
        <v>Versicherungstechnische Aufwendungen</v>
      </c>
      <c r="G1622" s="1494"/>
      <c r="H1622" s="1119">
        <f>HE_Insurance_Risk!$J35</f>
        <v>0</v>
      </c>
      <c r="U1622" s="1027"/>
      <c r="V1622" s="1027"/>
      <c r="W1622" s="1027"/>
    </row>
    <row r="1623" spans="2:23" ht="12.75" customHeight="1" x14ac:dyDescent="0.2">
      <c r="B1623" s="1083">
        <f>HE_Insurance_Risk!$A$1</f>
        <v>37</v>
      </c>
      <c r="C1623" s="1084" t="str">
        <f>HE_Insurance_Risk!$B$1</f>
        <v>Versicherungsrisiko</v>
      </c>
      <c r="D1623" s="1091" t="str">
        <f>HE_Insurance_Risk!$C$15</f>
        <v>Erwartungswert und Standardabweichung</v>
      </c>
      <c r="E1623" s="1494" t="str">
        <f>HE_Insurance_Risk!$J$17</f>
        <v>UVG</v>
      </c>
      <c r="F1623" s="1488" t="str">
        <f>HE_Insurance_Risk!$C38</f>
        <v>Bruttoleistungen (Behandlungsjahr 2025)</v>
      </c>
      <c r="G1623" s="1494"/>
      <c r="H1623" s="1120">
        <f>HE_Insurance_Risk!$J38</f>
        <v>0</v>
      </c>
      <c r="U1623" s="1027"/>
      <c r="V1623" s="1027"/>
      <c r="W1623" s="1027"/>
    </row>
    <row r="1624" spans="2:23" ht="12.75" customHeight="1" x14ac:dyDescent="0.2">
      <c r="B1624" s="1083">
        <f>HE_Insurance_Risk!$A$1</f>
        <v>37</v>
      </c>
      <c r="C1624" s="1084" t="str">
        <f>HE_Insurance_Risk!$B$1</f>
        <v>Versicherungsrisiko</v>
      </c>
      <c r="D1624" s="1091" t="str">
        <f>HE_Insurance_Risk!$C$15</f>
        <v>Erwartungswert und Standardabweichung</v>
      </c>
      <c r="E1624" s="1494" t="str">
        <f>HE_Insurance_Risk!$J$17</f>
        <v>UVG</v>
      </c>
      <c r="F1624" s="1488" t="str">
        <f>HE_Insurance_Risk!$C39</f>
        <v>Kostenbeteiligungen (Behandlungsjahr 2025)</v>
      </c>
      <c r="G1624" s="1494"/>
      <c r="H1624" s="1106">
        <f>HE_Insurance_Risk!$J39</f>
        <v>0</v>
      </c>
      <c r="U1624" s="1027"/>
      <c r="V1624" s="1027"/>
      <c r="W1624" s="1027"/>
    </row>
    <row r="1625" spans="2:23" ht="12.75" customHeight="1" x14ac:dyDescent="0.2">
      <c r="B1625" s="1083">
        <f>HE_Insurance_Risk!$A$1</f>
        <v>37</v>
      </c>
      <c r="C1625" s="1084" t="str">
        <f>HE_Insurance_Risk!$B$1</f>
        <v>Versicherungsrisiko</v>
      </c>
      <c r="D1625" s="1091" t="str">
        <f>HE_Insurance_Risk!$C$15</f>
        <v>Erwartungswert und Standardabweichung</v>
      </c>
      <c r="E1625" s="1494" t="str">
        <f>HE_Insurance_Risk!$J$17</f>
        <v>UVG</v>
      </c>
      <c r="F1625" s="1488" t="str">
        <f>HE_Insurance_Risk!$C40</f>
        <v>Sonstige Leistungen  (Behandlungsjahr 2025)</v>
      </c>
      <c r="G1625" s="1494"/>
      <c r="H1625" s="1120">
        <f>HE_Insurance_Risk!$J40</f>
        <v>0</v>
      </c>
      <c r="U1625" s="1027"/>
      <c r="V1625" s="1027"/>
      <c r="W1625" s="1027"/>
    </row>
    <row r="1626" spans="2:23" ht="12.75" customHeight="1" x14ac:dyDescent="0.2">
      <c r="B1626" s="1083">
        <f>HE_Insurance_Risk!$A$1</f>
        <v>37</v>
      </c>
      <c r="C1626" s="1084" t="str">
        <f>HE_Insurance_Risk!$B$1</f>
        <v>Versicherungsrisiko</v>
      </c>
      <c r="D1626" s="1091" t="str">
        <f>HE_Insurance_Risk!$C$15</f>
        <v>Erwartungswert und Standardabweichung</v>
      </c>
      <c r="E1626" s="1494" t="str">
        <f>HE_Insurance_Risk!$J$17</f>
        <v>UVG</v>
      </c>
      <c r="F1626" s="1488" t="str">
        <f>HE_Insurance_Risk!$C42</f>
        <v>Leistungen vor Rückversicherung</v>
      </c>
      <c r="G1626" s="1494"/>
      <c r="H1626" s="1106">
        <f>HE_Insurance_Risk!$J42</f>
        <v>0</v>
      </c>
      <c r="U1626" s="1027"/>
      <c r="V1626" s="1027"/>
      <c r="W1626" s="1027"/>
    </row>
    <row r="1627" spans="2:23" ht="12.75" customHeight="1" x14ac:dyDescent="0.2">
      <c r="B1627" s="1083">
        <f>HE_Insurance_Risk!$A$1</f>
        <v>37</v>
      </c>
      <c r="C1627" s="1084" t="str">
        <f>HE_Insurance_Risk!$B$1</f>
        <v>Versicherungsrisiko</v>
      </c>
      <c r="D1627" s="1091" t="str">
        <f>HE_Insurance_Risk!$C$15</f>
        <v>Erwartungswert und Standardabweichung</v>
      </c>
      <c r="E1627" s="1494" t="str">
        <f>HE_Insurance_Risk!$J$17</f>
        <v>UVG</v>
      </c>
      <c r="F1627" s="1488" t="str">
        <f>HE_Insurance_Risk!$C43</f>
        <v>Leistungsanteile der passiven Rückversicherung</v>
      </c>
      <c r="G1627" s="1494"/>
      <c r="H1627" s="1120">
        <f>HE_Insurance_Risk!$J43</f>
        <v>0</v>
      </c>
      <c r="U1627" s="1027"/>
      <c r="V1627" s="1027"/>
      <c r="W1627" s="1027"/>
    </row>
    <row r="1628" spans="2:23" ht="12.75" customHeight="1" x14ac:dyDescent="0.2">
      <c r="B1628" s="1083">
        <f>HE_Insurance_Risk!$A$1</f>
        <v>37</v>
      </c>
      <c r="C1628" s="1084" t="str">
        <f>HE_Insurance_Risk!$B$1</f>
        <v>Versicherungsrisiko</v>
      </c>
      <c r="D1628" s="1091" t="str">
        <f>HE_Insurance_Risk!$C$15</f>
        <v>Erwartungswert und Standardabweichung</v>
      </c>
      <c r="E1628" s="1494" t="str">
        <f>HE_Insurance_Risk!$J$17</f>
        <v>UVG</v>
      </c>
      <c r="F1628" s="1488" t="str">
        <f>HE_Insurance_Risk!$C45</f>
        <v>Leistungen nach Rückversicherung</v>
      </c>
      <c r="G1628" s="1494"/>
      <c r="H1628" s="1106">
        <f>HE_Insurance_Risk!$J45</f>
        <v>0</v>
      </c>
      <c r="U1628" s="1027"/>
      <c r="V1628" s="1027"/>
      <c r="W1628" s="1027"/>
    </row>
    <row r="1629" spans="2:23" ht="12.75" customHeight="1" x14ac:dyDescent="0.2">
      <c r="B1629" s="1083">
        <f>HE_Insurance_Risk!$A$1</f>
        <v>37</v>
      </c>
      <c r="C1629" s="1084" t="str">
        <f>HE_Insurance_Risk!$B$1</f>
        <v>Versicherungsrisiko</v>
      </c>
      <c r="D1629" s="1091" t="str">
        <f>HE_Insurance_Risk!$C$15</f>
        <v>Erwartungswert und Standardabweichung</v>
      </c>
      <c r="E1629" s="1494" t="str">
        <f>HE_Insurance_Risk!$J$17</f>
        <v>UVG</v>
      </c>
      <c r="F1629" s="1488"/>
      <c r="G1629" s="1524" t="s">
        <v>1810</v>
      </c>
      <c r="U1629" s="1027"/>
      <c r="V1629" s="1027"/>
      <c r="W1629" s="1027"/>
    </row>
    <row r="1630" spans="2:23" ht="12.75" customHeight="1" x14ac:dyDescent="0.2">
      <c r="B1630" s="1083">
        <f>HE_Insurance_Risk!$A$1</f>
        <v>37</v>
      </c>
      <c r="C1630" s="1084" t="str">
        <f>HE_Insurance_Risk!$B$1</f>
        <v>Versicherungsrisiko</v>
      </c>
      <c r="D1630" s="1091" t="str">
        <f>HE_Insurance_Risk!$C$15</f>
        <v>Erwartungswert und Standardabweichung</v>
      </c>
      <c r="E1630" s="1494" t="str">
        <f>HE_Insurance_Risk!$J$17</f>
        <v>UVG</v>
      </c>
      <c r="F1630" s="1488" t="str">
        <f>HE_Insurance_Risk!$C47</f>
        <v>Veränderung der Alterungsrückstellungen und Deckungskapitalien</v>
      </c>
      <c r="G1630" s="1494"/>
      <c r="H1630" s="1120">
        <f>HE_Insurance_Risk!$J47</f>
        <v>0</v>
      </c>
      <c r="U1630" s="1027"/>
      <c r="V1630" s="1027"/>
      <c r="W1630" s="1027"/>
    </row>
    <row r="1631" spans="2:23" ht="12.75" customHeight="1" x14ac:dyDescent="0.2">
      <c r="B1631" s="1083">
        <f>HE_Insurance_Risk!$A$1</f>
        <v>37</v>
      </c>
      <c r="C1631" s="1084" t="str">
        <f>HE_Insurance_Risk!$B$1</f>
        <v>Versicherungsrisiko</v>
      </c>
      <c r="D1631" s="1091" t="str">
        <f>HE_Insurance_Risk!$C$15</f>
        <v>Erwartungswert und Standardabweichung</v>
      </c>
      <c r="E1631" s="1494" t="str">
        <f>HE_Insurance_Risk!$J$17</f>
        <v>UVG</v>
      </c>
      <c r="F1631" s="1488" t="str">
        <f>HE_Insurance_Risk!$C48</f>
        <v>Veränderung der sonstigen technischen Rückstellungen</v>
      </c>
      <c r="G1631" s="1494"/>
      <c r="H1631" s="1120">
        <f>HE_Insurance_Risk!$J48</f>
        <v>0</v>
      </c>
      <c r="U1631" s="1027"/>
      <c r="V1631" s="1027"/>
      <c r="W1631" s="1027"/>
    </row>
    <row r="1632" spans="2:23" ht="12.75" customHeight="1" x14ac:dyDescent="0.2">
      <c r="B1632" s="1083">
        <f>HE_Insurance_Risk!$A$1</f>
        <v>37</v>
      </c>
      <c r="C1632" s="1084" t="str">
        <f>HE_Insurance_Risk!$B$1</f>
        <v>Versicherungsrisiko</v>
      </c>
      <c r="D1632" s="1091" t="str">
        <f>HE_Insurance_Risk!$C$15</f>
        <v>Erwartungswert und Standardabweichung</v>
      </c>
      <c r="E1632" s="1494" t="str">
        <f>HE_Insurance_Risk!$J$17</f>
        <v>UVG</v>
      </c>
      <c r="F1632" s="1488" t="str">
        <f>HE_Insurance_Risk!$C50</f>
        <v>Risikoausgleich (2025)</v>
      </c>
      <c r="G1632" s="1494"/>
      <c r="H1632" s="1106">
        <f>HE_Insurance_Risk!$J50</f>
        <v>0</v>
      </c>
      <c r="U1632" s="1027"/>
      <c r="V1632" s="1027"/>
      <c r="W1632" s="1027"/>
    </row>
    <row r="1633" spans="2:23" ht="12.75" customHeight="1" x14ac:dyDescent="0.2">
      <c r="B1633" s="1083">
        <f>HE_Insurance_Risk!$A$1</f>
        <v>37</v>
      </c>
      <c r="C1633" s="1084" t="str">
        <f>HE_Insurance_Risk!$B$1</f>
        <v>Versicherungsrisiko</v>
      </c>
      <c r="D1633" s="1091" t="str">
        <f>HE_Insurance_Risk!$C$15</f>
        <v>Erwartungswert und Standardabweichung</v>
      </c>
      <c r="E1633" s="1494" t="str">
        <f>HE_Insurance_Risk!$J$17</f>
        <v>UVG</v>
      </c>
      <c r="F1633" s="1488" t="str">
        <f>HE_Insurance_Risk!$C51</f>
        <v>Andere Aufwendungen</v>
      </c>
      <c r="G1633" s="1494"/>
      <c r="H1633" s="1120">
        <f>HE_Insurance_Risk!$J51</f>
        <v>0</v>
      </c>
      <c r="U1633" s="1027"/>
      <c r="V1633" s="1027"/>
      <c r="W1633" s="1027"/>
    </row>
    <row r="1634" spans="2:23" ht="12.75" customHeight="1" x14ac:dyDescent="0.2">
      <c r="B1634" s="1083">
        <f>HE_Insurance_Risk!$A$1</f>
        <v>37</v>
      </c>
      <c r="C1634" s="1084" t="str">
        <f>HE_Insurance_Risk!$B$1</f>
        <v>Versicherungsrisiko</v>
      </c>
      <c r="D1634" s="1091" t="str">
        <f>HE_Insurance_Risk!$C$15</f>
        <v>Erwartungswert und Standardabweichung</v>
      </c>
      <c r="E1634" s="1494" t="str">
        <f>HE_Insurance_Risk!$J$17</f>
        <v>UVG</v>
      </c>
      <c r="F1634" s="1488" t="str">
        <f>HE_Insurance_Risk!$C53</f>
        <v>Schaden- und Leistungsaufwand für eigene Rechnung</v>
      </c>
      <c r="G1634" s="1494"/>
      <c r="H1634" s="1121">
        <f>HE_Insurance_Risk!$J53</f>
        <v>0</v>
      </c>
      <c r="U1634" s="1027"/>
      <c r="V1634" s="1027"/>
      <c r="W1634" s="1027"/>
    </row>
    <row r="1635" spans="2:23" ht="12.75" customHeight="1" x14ac:dyDescent="0.2">
      <c r="B1635" s="1083">
        <f>HE_Insurance_Risk!$A$1</f>
        <v>37</v>
      </c>
      <c r="C1635" s="1084" t="str">
        <f>HE_Insurance_Risk!$B$1</f>
        <v>Versicherungsrisiko</v>
      </c>
      <c r="D1635" s="1091" t="str">
        <f>HE_Insurance_Risk!$C$15</f>
        <v>Erwartungswert und Standardabweichung</v>
      </c>
      <c r="E1635" s="1494" t="str">
        <f>HE_Insurance_Risk!$J$17</f>
        <v>UVG</v>
      </c>
      <c r="F1635" s="1488" t="str">
        <f>HE_Insurance_Risk!$C55</f>
        <v>Aufwendungen für den Betrieb, Verwaltungsaufwand</v>
      </c>
      <c r="G1635" s="1494"/>
      <c r="H1635" s="1120">
        <f>HE_Insurance_Risk!$J55</f>
        <v>0</v>
      </c>
      <c r="U1635" s="1027"/>
      <c r="V1635" s="1027"/>
      <c r="W1635" s="1027"/>
    </row>
    <row r="1636" spans="2:23" ht="12.75" customHeight="1" x14ac:dyDescent="0.2">
      <c r="B1636" s="1083"/>
      <c r="C1636" s="1084"/>
      <c r="D1636" s="1091"/>
      <c r="E1636" s="1494"/>
      <c r="F1636" s="1488"/>
      <c r="G1636" s="1494"/>
      <c r="H1636" s="1116"/>
      <c r="U1636" s="1027"/>
      <c r="V1636" s="1027"/>
      <c r="W1636" s="1027"/>
    </row>
    <row r="1637" spans="2:23" ht="12.75" customHeight="1" x14ac:dyDescent="0.2">
      <c r="B1637" s="1083">
        <f>HE_Insurance_Risk!$A$1</f>
        <v>37</v>
      </c>
      <c r="C1637" s="1084" t="str">
        <f>HE_Insurance_Risk!$B$1</f>
        <v>Versicherungsrisiko</v>
      </c>
      <c r="D1637" s="1091" t="str">
        <f>HE_Insurance_Risk!$C$15</f>
        <v>Erwartungswert und Standardabweichung</v>
      </c>
      <c r="E1637" s="1494" t="str">
        <f>HE_Insurance_Risk!$J$17</f>
        <v>UVG</v>
      </c>
      <c r="F1637" s="1488" t="str">
        <f>HE_Insurance_Risk!$C57</f>
        <v>Versicherungstechnisches Resultat</v>
      </c>
      <c r="G1637" s="1494"/>
      <c r="H1637" s="1119">
        <f>HE_Insurance_Risk!$J57</f>
        <v>0</v>
      </c>
      <c r="U1637" s="1027"/>
      <c r="V1637" s="1027"/>
      <c r="W1637" s="1027"/>
    </row>
    <row r="1638" spans="2:23" ht="12.75" customHeight="1" x14ac:dyDescent="0.2">
      <c r="B1638" s="1083"/>
      <c r="C1638" s="1084"/>
      <c r="D1638" s="1091"/>
      <c r="E1638" s="1494"/>
      <c r="F1638" s="1488"/>
      <c r="G1638" s="1494"/>
      <c r="H1638" s="1122"/>
      <c r="U1638" s="1027"/>
      <c r="V1638" s="1027"/>
      <c r="W1638" s="1027"/>
    </row>
    <row r="1639" spans="2:23" ht="12.75" customHeight="1" x14ac:dyDescent="0.2">
      <c r="B1639" s="1083">
        <f>HE_Insurance_Risk!$A$1</f>
        <v>37</v>
      </c>
      <c r="C1639" s="1084" t="str">
        <f>HE_Insurance_Risk!$B$1</f>
        <v>Versicherungsrisiko</v>
      </c>
      <c r="D1639" s="1091" t="str">
        <f>HE_Insurance_Risk!$C$15</f>
        <v>Erwartungswert und Standardabweichung</v>
      </c>
      <c r="E1639" s="1494" t="str">
        <f>HE_Insurance_Risk!$J$17</f>
        <v>UVG</v>
      </c>
      <c r="F1639" s="1488" t="str">
        <f>HE_Insurance_Risk!$C59</f>
        <v>Erwartete Anzahl Versicherte (Durschnittbestand)</v>
      </c>
      <c r="G1639" s="1494"/>
      <c r="H1639" s="1223" t="str">
        <f>IF(ISNUMBER(HE_Insurance_Risk!$J$59),HE_Insurance_Risk!$J$59,"")</f>
        <v/>
      </c>
      <c r="U1639" s="1027"/>
      <c r="V1639" s="1027"/>
      <c r="W1639" s="1027"/>
    </row>
    <row r="1640" spans="2:23" ht="12.75" customHeight="1" x14ac:dyDescent="0.2">
      <c r="B1640" s="1083"/>
      <c r="C1640" s="1084"/>
      <c r="D1640" s="1091"/>
      <c r="E1640" s="1494"/>
      <c r="F1640" s="1488"/>
      <c r="G1640" s="1494"/>
      <c r="H1640" s="1122"/>
      <c r="U1640" s="1027"/>
      <c r="V1640" s="1027"/>
      <c r="W1640" s="1027"/>
    </row>
    <row r="1641" spans="2:23" ht="12.75" customHeight="1" x14ac:dyDescent="0.2">
      <c r="B1641" s="1083"/>
      <c r="C1641" s="1084"/>
      <c r="D1641" s="1091"/>
      <c r="E1641" s="1494"/>
      <c r="F1641" s="1488"/>
      <c r="G1641" s="1494"/>
      <c r="H1641" s="1124"/>
      <c r="U1641" s="1027"/>
      <c r="V1641" s="1027"/>
      <c r="W1641" s="1027"/>
    </row>
    <row r="1642" spans="2:23" ht="12.75" customHeight="1" x14ac:dyDescent="0.2">
      <c r="B1642" s="1083">
        <f>HE_Insurance_Risk!$A$1</f>
        <v>37</v>
      </c>
      <c r="C1642" s="1084" t="str">
        <f>HE_Insurance_Risk!$B$1</f>
        <v>Versicherungsrisiko</v>
      </c>
      <c r="D1642" s="1091" t="str">
        <f>HE_Insurance_Risk!$C$61</f>
        <v>Variabilität</v>
      </c>
      <c r="E1642" s="1494" t="str">
        <f>HE_Insurance_Risk!$J$17</f>
        <v>UVG</v>
      </c>
      <c r="F1642" s="1488" t="str">
        <f>HE_Insurance_Risk!$C65</f>
        <v>Erwartete Anzahl Schadenfälle bzw. Erkrankte</v>
      </c>
      <c r="G1642" s="1494"/>
      <c r="H1642" s="1223" t="str">
        <f>IF(ISNUMBER(HE_Insurance_Risk!$J$65),HE_Insurance_Risk!$J$65,"")</f>
        <v/>
      </c>
      <c r="U1642" s="1027"/>
      <c r="V1642" s="1027"/>
      <c r="W1642" s="1027"/>
    </row>
    <row r="1643" spans="2:23" ht="12.75" customHeight="1" x14ac:dyDescent="0.2">
      <c r="B1643" s="1083"/>
      <c r="C1643" s="1084"/>
      <c r="D1643" s="1091"/>
      <c r="E1643" s="1494"/>
      <c r="F1643" s="1488"/>
      <c r="G1643" s="1494"/>
      <c r="H1643" s="1126"/>
      <c r="U1643" s="1027"/>
      <c r="V1643" s="1027"/>
      <c r="W1643" s="1027"/>
    </row>
    <row r="1644" spans="2:23" ht="12.75" customHeight="1" x14ac:dyDescent="0.2">
      <c r="B1644" s="1083">
        <f>HE_Insurance_Risk!$A$1</f>
        <v>37</v>
      </c>
      <c r="C1644" s="1084" t="str">
        <f>HE_Insurance_Risk!$B$1</f>
        <v>Versicherungsrisiko</v>
      </c>
      <c r="D1644" s="1091" t="str">
        <f>HE_Insurance_Risk!$C$61</f>
        <v>Variabilität</v>
      </c>
      <c r="E1644" s="1494" t="str">
        <f>HE_Insurance_Risk!$J$17</f>
        <v>UVG</v>
      </c>
      <c r="F1644" s="1488" t="str">
        <f>HE_Insurance_Risk!$C67</f>
        <v>Variationskoeffizient des Einzelschadens</v>
      </c>
      <c r="G1644" s="1494"/>
      <c r="H1644" s="1122">
        <f>HE_Insurance_Risk!$J67</f>
        <v>0</v>
      </c>
      <c r="U1644" s="1027"/>
      <c r="V1644" s="1027"/>
      <c r="W1644" s="1027"/>
    </row>
    <row r="1645" spans="2:23" ht="12.75" customHeight="1" x14ac:dyDescent="0.2">
      <c r="B1645" s="1083">
        <f>HE_Insurance_Risk!$A$1</f>
        <v>37</v>
      </c>
      <c r="C1645" s="1084" t="str">
        <f>HE_Insurance_Risk!$B$1</f>
        <v>Versicherungsrisiko</v>
      </c>
      <c r="D1645" s="1091" t="str">
        <f>HE_Insurance_Risk!$C$61</f>
        <v>Variabilität</v>
      </c>
      <c r="E1645" s="1494" t="str">
        <f>HE_Insurance_Risk!$J$17</f>
        <v>UVG</v>
      </c>
      <c r="F1645" s="1488" t="str">
        <f>HE_Insurance_Risk!$C68</f>
        <v>Standardwert (vor Rückversicherung)</v>
      </c>
      <c r="G1645" s="1494"/>
      <c r="H1645" s="1122">
        <f>HE_Insurance_Risk!$J68</f>
        <v>0</v>
      </c>
      <c r="U1645" s="1027"/>
      <c r="V1645" s="1027"/>
      <c r="W1645" s="1027"/>
    </row>
    <row r="1646" spans="2:23" ht="12.75" customHeight="1" x14ac:dyDescent="0.2">
      <c r="B1646" s="1083">
        <f>HE_Insurance_Risk!$A$1</f>
        <v>37</v>
      </c>
      <c r="C1646" s="1084" t="str">
        <f>HE_Insurance_Risk!$B$1</f>
        <v>Versicherungsrisiko</v>
      </c>
      <c r="D1646" s="1091" t="str">
        <f>HE_Insurance_Risk!$C$61</f>
        <v>Variabilität</v>
      </c>
      <c r="E1646" s="1494" t="str">
        <f>HE_Insurance_Risk!$J$17</f>
        <v>UVG</v>
      </c>
      <c r="F1646" s="1488" t="str">
        <f>HE_Insurance_Risk!$C69</f>
        <v>errechneter Wert nach Rückversicherung</v>
      </c>
      <c r="G1646" s="1494"/>
      <c r="H1646" s="1122"/>
      <c r="U1646" s="1027"/>
      <c r="V1646" s="1027"/>
      <c r="W1646" s="1027"/>
    </row>
    <row r="1647" spans="2:23" ht="12.75" customHeight="1" x14ac:dyDescent="0.2">
      <c r="B1647" s="1083">
        <f>HE_Insurance_Risk!$A$1</f>
        <v>37</v>
      </c>
      <c r="C1647" s="1084" t="str">
        <f>HE_Insurance_Risk!$B$1</f>
        <v>Versicherungsrisiko</v>
      </c>
      <c r="D1647" s="1091" t="str">
        <f>HE_Insurance_Risk!$C$61</f>
        <v>Variabilität</v>
      </c>
      <c r="E1647" s="1494" t="str">
        <f>HE_Insurance_Risk!$J$17</f>
        <v>UVG</v>
      </c>
      <c r="F1647" s="1488" t="str">
        <f>HE_Insurance_Risk!$C70</f>
        <v>benutzter Wert (Abweichung vom Standard: begründen)</v>
      </c>
      <c r="G1647" s="1494"/>
      <c r="H1647" s="1122">
        <f>HE_Insurance_Risk!$J70</f>
        <v>0</v>
      </c>
      <c r="U1647" s="1027"/>
      <c r="V1647" s="1027"/>
      <c r="W1647" s="1027"/>
    </row>
    <row r="1648" spans="2:23" ht="12.75" customHeight="1" x14ac:dyDescent="0.2">
      <c r="B1648" s="1083"/>
      <c r="C1648" s="1084"/>
      <c r="D1648" s="1091"/>
      <c r="E1648" s="1494"/>
      <c r="F1648" s="1488"/>
      <c r="G1648" s="1494"/>
      <c r="H1648" s="1122"/>
      <c r="U1648" s="1027"/>
      <c r="V1648" s="1027"/>
      <c r="W1648" s="1027"/>
    </row>
    <row r="1649" spans="2:23" ht="12.75" customHeight="1" x14ac:dyDescent="0.2">
      <c r="B1649" s="1083">
        <f>HE_Insurance_Risk!$A$1</f>
        <v>37</v>
      </c>
      <c r="C1649" s="1084" t="str">
        <f>HE_Insurance_Risk!$B$1</f>
        <v>Versicherungsrisiko</v>
      </c>
      <c r="D1649" s="1091" t="str">
        <f>HE_Insurance_Risk!$C$61</f>
        <v>Variabilität</v>
      </c>
      <c r="E1649" s="1494" t="str">
        <f>HE_Insurance_Risk!$J$17</f>
        <v>UVG</v>
      </c>
      <c r="F1649" s="1488" t="str">
        <f>HE_Insurance_Risk!$C72</f>
        <v>Resultat: Variationskoeffizient des Zufallsrisikos</v>
      </c>
      <c r="G1649" s="1494"/>
      <c r="H1649" s="1124">
        <f>HE_Insurance_Risk!$J72</f>
        <v>0</v>
      </c>
      <c r="U1649" s="1027"/>
      <c r="V1649" s="1027"/>
      <c r="W1649" s="1027"/>
    </row>
    <row r="1650" spans="2:23" ht="12.75" customHeight="1" x14ac:dyDescent="0.2">
      <c r="B1650" s="1083">
        <f>HE_Insurance_Risk!$A$1</f>
        <v>37</v>
      </c>
      <c r="C1650" s="1084" t="str">
        <f>HE_Insurance_Risk!$B$1</f>
        <v>Versicherungsrisiko</v>
      </c>
      <c r="D1650" s="1091" t="str">
        <f>HE_Insurance_Risk!$C$61</f>
        <v>Variabilität</v>
      </c>
      <c r="E1650" s="1494" t="str">
        <f>HE_Insurance_Risk!$J$17</f>
        <v>UVG</v>
      </c>
      <c r="F1650" s="1488" t="str">
        <f>HE_Insurance_Risk!$C73</f>
        <v>errechneter Wert vor Rückversicherung</v>
      </c>
      <c r="G1650" s="1494"/>
      <c r="H1650" s="1122" t="str">
        <f>HE_Insurance_Risk!$J73</f>
        <v/>
      </c>
      <c r="U1650" s="1027"/>
      <c r="V1650" s="1027"/>
      <c r="W1650" s="1027"/>
    </row>
    <row r="1651" spans="2:23" ht="12.75" customHeight="1" x14ac:dyDescent="0.2">
      <c r="B1651" s="1083">
        <f>HE_Insurance_Risk!$A$1</f>
        <v>37</v>
      </c>
      <c r="C1651" s="1084" t="str">
        <f>HE_Insurance_Risk!$B$1</f>
        <v>Versicherungsrisiko</v>
      </c>
      <c r="D1651" s="1091" t="str">
        <f>HE_Insurance_Risk!$C$61</f>
        <v>Variabilität</v>
      </c>
      <c r="E1651" s="1494" t="str">
        <f>HE_Insurance_Risk!$J$17</f>
        <v>UVG</v>
      </c>
      <c r="F1651" s="1488" t="str">
        <f>HE_Insurance_Risk!$C74</f>
        <v>errechneter Wert nach Rückversicherung</v>
      </c>
      <c r="G1651" s="1494"/>
      <c r="H1651" s="1122">
        <f>HE_Insurance_Risk!$J74</f>
        <v>0</v>
      </c>
      <c r="U1651" s="1027"/>
      <c r="V1651" s="1027"/>
      <c r="W1651" s="1027"/>
    </row>
    <row r="1652" spans="2:23" ht="12.75" customHeight="1" x14ac:dyDescent="0.2">
      <c r="B1652" s="1083">
        <f>HE_Insurance_Risk!$A$1</f>
        <v>37</v>
      </c>
      <c r="C1652" s="1084" t="str">
        <f>HE_Insurance_Risk!$B$1</f>
        <v>Versicherungsrisiko</v>
      </c>
      <c r="D1652" s="1091" t="str">
        <f>HE_Insurance_Risk!$C$61</f>
        <v>Variabilität</v>
      </c>
      <c r="E1652" s="1494" t="str">
        <f>HE_Insurance_Risk!$J$17</f>
        <v>UVG</v>
      </c>
      <c r="F1652" s="1488" t="str">
        <f>HE_Insurance_Risk!$C75</f>
        <v>benutzter Wert</v>
      </c>
      <c r="G1652" s="1494"/>
      <c r="H1652" s="1122">
        <f>HE_Insurance_Risk!$J75</f>
        <v>0.05</v>
      </c>
      <c r="U1652" s="1027"/>
      <c r="V1652" s="1027"/>
      <c r="W1652" s="1027"/>
    </row>
    <row r="1653" spans="2:23" ht="12.75" customHeight="1" x14ac:dyDescent="0.2">
      <c r="B1653" s="1083"/>
      <c r="C1653" s="1084"/>
      <c r="D1653" s="1091"/>
      <c r="E1653" s="1494"/>
      <c r="F1653" s="1488"/>
      <c r="G1653" s="1494"/>
      <c r="H1653" s="1122"/>
      <c r="U1653" s="1027"/>
      <c r="V1653" s="1027"/>
      <c r="W1653" s="1027"/>
    </row>
    <row r="1654" spans="2:23" ht="12.75" customHeight="1" x14ac:dyDescent="0.2">
      <c r="B1654" s="1083">
        <f>HE_Insurance_Risk!$A$1</f>
        <v>37</v>
      </c>
      <c r="C1654" s="1084" t="str">
        <f>HE_Insurance_Risk!$B$1</f>
        <v>Versicherungsrisiko</v>
      </c>
      <c r="D1654" s="1091" t="str">
        <f>HE_Insurance_Risk!$C$61</f>
        <v>Variabilität</v>
      </c>
      <c r="E1654" s="1494" t="str">
        <f>HE_Insurance_Risk!$J$17</f>
        <v>UVG</v>
      </c>
      <c r="F1654" s="1488" t="str">
        <f>HE_Insurance_Risk!$C78</f>
        <v>Variationskoeffizient des Parameterrisikos</v>
      </c>
      <c r="G1654" s="1494"/>
      <c r="H1654" s="1124">
        <f>HE_Insurance_Risk!$J78</f>
        <v>0</v>
      </c>
      <c r="U1654" s="1027"/>
      <c r="V1654" s="1027"/>
      <c r="W1654" s="1027"/>
    </row>
    <row r="1655" spans="2:23" ht="12.75" customHeight="1" x14ac:dyDescent="0.2">
      <c r="B1655" s="1083">
        <f>HE_Insurance_Risk!$A$1</f>
        <v>37</v>
      </c>
      <c r="C1655" s="1084" t="str">
        <f>HE_Insurance_Risk!$B$1</f>
        <v>Versicherungsrisiko</v>
      </c>
      <c r="D1655" s="1091" t="str">
        <f>HE_Insurance_Risk!$C$61</f>
        <v>Variabilität</v>
      </c>
      <c r="E1655" s="1494" t="str">
        <f>HE_Insurance_Risk!$J$17</f>
        <v>UVG</v>
      </c>
      <c r="F1655" s="1488" t="str">
        <f>HE_Insurance_Risk!$C79</f>
        <v>Standardwert (vor Rückversicherung)</v>
      </c>
      <c r="G1655" s="1494"/>
      <c r="H1655" s="1124">
        <f>HE_Insurance_Risk!$J79</f>
        <v>0.05</v>
      </c>
      <c r="U1655" s="1027"/>
      <c r="V1655" s="1027"/>
      <c r="W1655" s="1027"/>
    </row>
    <row r="1656" spans="2:23" ht="12.75" customHeight="1" x14ac:dyDescent="0.2">
      <c r="B1656" s="1083">
        <f>HE_Insurance_Risk!$A$1</f>
        <v>37</v>
      </c>
      <c r="C1656" s="1084" t="str">
        <f>HE_Insurance_Risk!$B$1</f>
        <v>Versicherungsrisiko</v>
      </c>
      <c r="D1656" s="1091" t="str">
        <f>HE_Insurance_Risk!$C$61</f>
        <v>Variabilität</v>
      </c>
      <c r="E1656" s="1494" t="str">
        <f>HE_Insurance_Risk!$J$17</f>
        <v>UVG</v>
      </c>
      <c r="F1656" s="1488" t="str">
        <f>HE_Insurance_Risk!$C80</f>
        <v>errechneter Wert nach Rückversicherung</v>
      </c>
      <c r="G1656" s="1494"/>
      <c r="H1656" s="1124">
        <f>HE_Insurance_Risk!$J80</f>
        <v>0</v>
      </c>
      <c r="U1656" s="1027"/>
      <c r="V1656" s="1027"/>
      <c r="W1656" s="1027"/>
    </row>
    <row r="1657" spans="2:23" ht="12.75" customHeight="1" x14ac:dyDescent="0.2">
      <c r="B1657" s="1083">
        <f>HE_Insurance_Risk!$A$1</f>
        <v>37</v>
      </c>
      <c r="C1657" s="1084" t="str">
        <f>HE_Insurance_Risk!$B$1</f>
        <v>Versicherungsrisiko</v>
      </c>
      <c r="D1657" s="1091" t="str">
        <f>HE_Insurance_Risk!$C$61</f>
        <v>Variabilität</v>
      </c>
      <c r="E1657" s="1494" t="str">
        <f>HE_Insurance_Risk!$J$17</f>
        <v>UVG</v>
      </c>
      <c r="F1657" s="1488" t="str">
        <f>HE_Insurance_Risk!$C81</f>
        <v>benutzter Wert (Abweichung vom Standard begründen)</v>
      </c>
      <c r="G1657" s="1494"/>
      <c r="H1657" s="1124">
        <f>HE_Insurance_Risk!$J81</f>
        <v>0.05</v>
      </c>
      <c r="U1657" s="1027"/>
      <c r="V1657" s="1027"/>
      <c r="W1657" s="1027"/>
    </row>
    <row r="1658" spans="2:23" ht="12.75" customHeight="1" x14ac:dyDescent="0.2">
      <c r="B1658" s="1083"/>
      <c r="C1658" s="1084"/>
      <c r="D1658" s="1091"/>
      <c r="E1658" s="1494"/>
      <c r="F1658" s="1488"/>
      <c r="G1658" s="1494"/>
      <c r="H1658" s="1124"/>
      <c r="U1658" s="1027"/>
      <c r="V1658" s="1027"/>
      <c r="W1658" s="1027"/>
    </row>
    <row r="1659" spans="2:23" ht="12.75" customHeight="1" x14ac:dyDescent="0.2">
      <c r="B1659" s="1083">
        <f>HE_Insurance_Risk!$A$1</f>
        <v>37</v>
      </c>
      <c r="C1659" s="1084" t="str">
        <f>HE_Insurance_Risk!$B$1</f>
        <v>Versicherungsrisiko</v>
      </c>
      <c r="D1659" s="1091" t="str">
        <f>HE_Insurance_Risk!$C$61</f>
        <v>Variabilität</v>
      </c>
      <c r="E1659" s="1494" t="str">
        <f>HE_Insurance_Risk!$J$17</f>
        <v>UVG</v>
      </c>
      <c r="F1659" s="1527" t="str">
        <f>HE_Insurance_Risk!$C84</f>
        <v>Variationskoeffizient der jährlichen Leistungen</v>
      </c>
      <c r="G1659" s="1494"/>
      <c r="H1659" s="1135">
        <f>HE_Insurance_Risk!$J84</f>
        <v>7.0710678118654766E-2</v>
      </c>
      <c r="U1659" s="1027"/>
      <c r="V1659" s="1027"/>
      <c r="W1659" s="1027"/>
    </row>
    <row r="1660" spans="2:23" ht="12.75" customHeight="1" x14ac:dyDescent="0.2">
      <c r="B1660" s="1083">
        <f>HE_Insurance_Risk!$A$1</f>
        <v>37</v>
      </c>
      <c r="C1660" s="1084" t="str">
        <f>HE_Insurance_Risk!$B$1</f>
        <v>Versicherungsrisiko</v>
      </c>
      <c r="D1660" s="1091" t="str">
        <f>HE_Insurance_Risk!$C$61</f>
        <v>Variabilität</v>
      </c>
      <c r="E1660" s="1494" t="str">
        <f>HE_Insurance_Risk!$J$17</f>
        <v>UVG</v>
      </c>
      <c r="F1660" s="1527" t="str">
        <f>HE_Insurance_Risk!$C85</f>
        <v>benutzter Variationskoeffizient</v>
      </c>
      <c r="G1660" s="1494"/>
      <c r="H1660" s="1130">
        <f>HE_Insurance_Risk!$J85</f>
        <v>7.0710678118654766E-2</v>
      </c>
      <c r="U1660" s="1027"/>
      <c r="V1660" s="1027"/>
      <c r="W1660" s="1027"/>
    </row>
    <row r="1661" spans="2:23" ht="12.75" customHeight="1" x14ac:dyDescent="0.2">
      <c r="B1661" s="1083"/>
      <c r="C1661" s="1084"/>
      <c r="D1661" s="1091"/>
      <c r="E1661" s="1494"/>
      <c r="F1661" s="1488"/>
      <c r="G1661" s="1494"/>
      <c r="H1661" s="1124"/>
      <c r="U1661" s="1027"/>
      <c r="V1661" s="1027"/>
      <c r="W1661" s="1027"/>
    </row>
    <row r="1662" spans="2:23" ht="12.75" customHeight="1" x14ac:dyDescent="0.2">
      <c r="B1662" s="1083">
        <f>HE_Insurance_Risk!$A$1</f>
        <v>37</v>
      </c>
      <c r="C1662" s="1084" t="str">
        <f>HE_Insurance_Risk!$B$1</f>
        <v>Versicherungsrisiko</v>
      </c>
      <c r="D1662" s="1091" t="str">
        <f>HE_Insurance_Risk!$C$61</f>
        <v>Variabilität</v>
      </c>
      <c r="E1662" s="1494" t="str">
        <f>HE_Insurance_Risk!$J$17</f>
        <v>UVG</v>
      </c>
      <c r="F1662" s="1488" t="str">
        <f>HE_Insurance_Risk!$C92</f>
        <v>Standardabweichung des versicherungstechnischen Risikos</v>
      </c>
      <c r="G1662" s="1494"/>
      <c r="H1662" s="1119">
        <f>HE_Insurance_Risk!$J92</f>
        <v>0</v>
      </c>
      <c r="U1662" s="1027"/>
      <c r="V1662" s="1027"/>
      <c r="W1662" s="1027"/>
    </row>
    <row r="1663" spans="2:23" ht="12.75" customHeight="1" x14ac:dyDescent="0.2">
      <c r="B1663" s="1083"/>
      <c r="C1663" s="1084"/>
      <c r="D1663" s="1091"/>
      <c r="E1663" s="1494"/>
      <c r="F1663" s="1488"/>
      <c r="G1663" s="1494"/>
      <c r="H1663" s="1133"/>
      <c r="U1663" s="1027"/>
      <c r="V1663" s="1027"/>
      <c r="W1663" s="1027"/>
    </row>
    <row r="1664" spans="2:23" ht="12.75" customHeight="1" x14ac:dyDescent="0.2">
      <c r="B1664" s="1083"/>
      <c r="C1664" s="1084"/>
      <c r="D1664" s="1091"/>
      <c r="E1664" s="1494"/>
      <c r="F1664" s="1488"/>
      <c r="G1664" s="1494"/>
      <c r="H1664" s="1133"/>
      <c r="U1664" s="1027"/>
      <c r="V1664" s="1027"/>
      <c r="W1664" s="1027"/>
    </row>
    <row r="1665" spans="2:23" ht="12.75" customHeight="1" x14ac:dyDescent="0.2">
      <c r="B1665" s="1083">
        <f>HE_Insurance_Risk!$A$1</f>
        <v>37</v>
      </c>
      <c r="C1665" s="1084" t="str">
        <f>HE_Insurance_Risk!$B$1</f>
        <v>Versicherungsrisiko</v>
      </c>
      <c r="D1665" s="1091" t="str">
        <f>HE_Insurance_Risk!$C$15</f>
        <v>Erwartungswert und Standardabweichung</v>
      </c>
      <c r="E1665" s="1494" t="str">
        <f>HE_Insurance_Risk!$L$17</f>
        <v>KVG-Taggeld Einzel</v>
      </c>
      <c r="F1665" s="1488" t="str">
        <f>HE_Insurance_Risk!$C21</f>
        <v>Versicherungstechnische Erträge</v>
      </c>
      <c r="G1665" s="1494"/>
      <c r="H1665" s="1119">
        <f>HE_Insurance_Risk!$L21</f>
        <v>0</v>
      </c>
      <c r="U1665" s="1027"/>
      <c r="V1665" s="1027"/>
      <c r="W1665" s="1027"/>
    </row>
    <row r="1666" spans="2:23" ht="12.75" customHeight="1" x14ac:dyDescent="0.2">
      <c r="B1666" s="1083">
        <f>HE_Insurance_Risk!$A$1</f>
        <v>37</v>
      </c>
      <c r="C1666" s="1084" t="str">
        <f>HE_Insurance_Risk!$B$1</f>
        <v>Versicherungsrisiko</v>
      </c>
      <c r="D1666" s="1091" t="str">
        <f>HE_Insurance_Risk!$C$15</f>
        <v>Erwartungswert und Standardabweichung</v>
      </c>
      <c r="E1666" s="1494" t="str">
        <f>HE_Insurance_Risk!$L$17</f>
        <v>KVG-Taggeld Einzel</v>
      </c>
      <c r="F1666" s="1488" t="str">
        <f>HE_Insurance_Risk!$C24</f>
        <v>Bruttoprämien</v>
      </c>
      <c r="G1666" s="1494"/>
      <c r="H1666" s="1120">
        <f>HE_Insurance_Risk!$L24</f>
        <v>0</v>
      </c>
      <c r="U1666" s="1027"/>
      <c r="V1666" s="1027"/>
      <c r="W1666" s="1027"/>
    </row>
    <row r="1667" spans="2:23" ht="12.75" customHeight="1" x14ac:dyDescent="0.2">
      <c r="B1667" s="1083">
        <f>HE_Insurance_Risk!$A$1</f>
        <v>37</v>
      </c>
      <c r="C1667" s="1084" t="str">
        <f>HE_Insurance_Risk!$B$1</f>
        <v>Versicherungsrisiko</v>
      </c>
      <c r="D1667" s="1091" t="str">
        <f>HE_Insurance_Risk!$C$15</f>
        <v>Erwartungswert und Standardabweichung</v>
      </c>
      <c r="E1667" s="1494" t="str">
        <f>HE_Insurance_Risk!$L$17</f>
        <v>KVG-Taggeld Einzel</v>
      </c>
      <c r="F1667" s="1488" t="str">
        <f>HE_Insurance_Risk!$C25</f>
        <v>Erlösminderungen</v>
      </c>
      <c r="G1667" s="1494"/>
      <c r="H1667" s="1120">
        <f>HE_Insurance_Risk!$L25</f>
        <v>0</v>
      </c>
      <c r="U1667" s="1027"/>
      <c r="V1667" s="1027"/>
      <c r="W1667" s="1027"/>
    </row>
    <row r="1668" spans="2:23" ht="12.75" customHeight="1" x14ac:dyDescent="0.2">
      <c r="B1668" s="1083">
        <f>HE_Insurance_Risk!$A$1</f>
        <v>37</v>
      </c>
      <c r="C1668" s="1084" t="str">
        <f>HE_Insurance_Risk!$B$1</f>
        <v>Versicherungsrisiko</v>
      </c>
      <c r="D1668" s="1091" t="str">
        <f>HE_Insurance_Risk!$C$15</f>
        <v>Erwartungswert und Standardabweichung</v>
      </c>
      <c r="E1668" s="1494" t="str">
        <f>HE_Insurance_Risk!$L$17</f>
        <v>KVG-Taggeld Einzel</v>
      </c>
      <c r="F1668" s="1488" t="str">
        <f>HE_Insurance_Risk!$C27</f>
        <v>Verdiente Prämien vor Rückversicherung</v>
      </c>
      <c r="G1668" s="1494"/>
      <c r="H1668" s="1106">
        <f>HE_Insurance_Risk!$L27</f>
        <v>0</v>
      </c>
      <c r="U1668" s="1027"/>
      <c r="V1668" s="1027"/>
      <c r="W1668" s="1027"/>
    </row>
    <row r="1669" spans="2:23" ht="12.75" customHeight="1" x14ac:dyDescent="0.2">
      <c r="B1669" s="1083">
        <f>HE_Insurance_Risk!$A$1</f>
        <v>37</v>
      </c>
      <c r="C1669" s="1084" t="str">
        <f>HE_Insurance_Risk!$B$1</f>
        <v>Versicherungsrisiko</v>
      </c>
      <c r="D1669" s="1091" t="str">
        <f>HE_Insurance_Risk!$C$15</f>
        <v>Erwartungswert und Standardabweichung</v>
      </c>
      <c r="E1669" s="1494" t="str">
        <f>HE_Insurance_Risk!$L$17</f>
        <v>KVG-Taggeld Einzel</v>
      </c>
      <c r="F1669" s="1488" t="str">
        <f>HE_Insurance_Risk!$C28</f>
        <v>Prämienanteile der passiven Rückversicherung</v>
      </c>
      <c r="G1669" s="1494"/>
      <c r="H1669" s="1120">
        <f>HE_Insurance_Risk!$L28</f>
        <v>0</v>
      </c>
      <c r="U1669" s="1027"/>
      <c r="V1669" s="1027"/>
      <c r="W1669" s="1027"/>
    </row>
    <row r="1670" spans="2:23" ht="12.75" customHeight="1" x14ac:dyDescent="0.2">
      <c r="B1670" s="1083">
        <f>HE_Insurance_Risk!$A$1</f>
        <v>37</v>
      </c>
      <c r="C1670" s="1084" t="str">
        <f>HE_Insurance_Risk!$B$1</f>
        <v>Versicherungsrisiko</v>
      </c>
      <c r="D1670" s="1091" t="str">
        <f>HE_Insurance_Risk!$C$15</f>
        <v>Erwartungswert und Standardabweichung</v>
      </c>
      <c r="E1670" s="1494" t="str">
        <f>HE_Insurance_Risk!$L$17</f>
        <v>KVG-Taggeld Einzel</v>
      </c>
      <c r="F1670" s="1488" t="str">
        <f>HE_Insurance_Risk!$C30</f>
        <v>Verdiente Prämien nach Rückversicherung</v>
      </c>
      <c r="G1670" s="1494"/>
      <c r="H1670" s="1106">
        <f>HE_Insurance_Risk!$L30</f>
        <v>0</v>
      </c>
      <c r="U1670" s="1027"/>
      <c r="V1670" s="1027"/>
      <c r="W1670" s="1027"/>
    </row>
    <row r="1671" spans="2:23" ht="12.75" customHeight="1" x14ac:dyDescent="0.2">
      <c r="B1671" s="1083">
        <f>HE_Insurance_Risk!$A$1</f>
        <v>37</v>
      </c>
      <c r="C1671" s="1084" t="str">
        <f>HE_Insurance_Risk!$B$1</f>
        <v>Versicherungsrisiko</v>
      </c>
      <c r="D1671" s="1091" t="str">
        <f>HE_Insurance_Risk!$C$15</f>
        <v>Erwartungswert und Standardabweichung</v>
      </c>
      <c r="E1671" s="1494" t="str">
        <f>HE_Insurance_Risk!$L$17</f>
        <v>KVG-Taggeld Einzel</v>
      </c>
      <c r="F1671" s="1488" t="str">
        <f>HE_Insurance_Risk!$C32</f>
        <v>Sonstige versicherungstechnische Erträge</v>
      </c>
      <c r="G1671" s="1494"/>
      <c r="H1671" s="1120">
        <f>HE_Insurance_Risk!$L32</f>
        <v>0</v>
      </c>
      <c r="U1671" s="1027"/>
      <c r="V1671" s="1027"/>
      <c r="W1671" s="1027"/>
    </row>
    <row r="1672" spans="2:23" ht="12.75" customHeight="1" x14ac:dyDescent="0.2">
      <c r="B1672" s="1083">
        <f>HE_Insurance_Risk!$A$1</f>
        <v>37</v>
      </c>
      <c r="C1672" s="1084" t="str">
        <f>HE_Insurance_Risk!$B$1</f>
        <v>Versicherungsrisiko</v>
      </c>
      <c r="D1672" s="1091" t="str">
        <f>HE_Insurance_Risk!$C$15</f>
        <v>Erwartungswert und Standardabweichung</v>
      </c>
      <c r="E1672" s="1494" t="str">
        <f>HE_Insurance_Risk!$L$17</f>
        <v>KVG-Taggeld Einzel</v>
      </c>
      <c r="F1672" s="1488" t="str">
        <f>HE_Insurance_Risk!$C33</f>
        <v>Überschussbeteiligungen</v>
      </c>
      <c r="G1672" s="1494"/>
      <c r="H1672" s="1106">
        <f>HE_Insurance_Risk!$L33</f>
        <v>0</v>
      </c>
      <c r="U1672" s="1027"/>
      <c r="V1672" s="1027"/>
      <c r="W1672" s="1027"/>
    </row>
    <row r="1673" spans="2:23" ht="12.75" customHeight="1" x14ac:dyDescent="0.2">
      <c r="B1673" s="1083"/>
      <c r="C1673" s="1084"/>
      <c r="D1673" s="1091"/>
      <c r="E1673" s="1494"/>
      <c r="F1673" s="1488"/>
      <c r="G1673" s="1494"/>
      <c r="H1673" s="1116"/>
      <c r="U1673" s="1027"/>
      <c r="V1673" s="1027"/>
      <c r="W1673" s="1027"/>
    </row>
    <row r="1674" spans="2:23" ht="12.75" customHeight="1" x14ac:dyDescent="0.2">
      <c r="B1674" s="1083">
        <f>HE_Insurance_Risk!$A$1</f>
        <v>37</v>
      </c>
      <c r="C1674" s="1084" t="str">
        <f>HE_Insurance_Risk!$B$1</f>
        <v>Versicherungsrisiko</v>
      </c>
      <c r="D1674" s="1091" t="str">
        <f>HE_Insurance_Risk!$C$15</f>
        <v>Erwartungswert und Standardabweichung</v>
      </c>
      <c r="E1674" s="1494" t="str">
        <f>HE_Insurance_Risk!$L$17</f>
        <v>KVG-Taggeld Einzel</v>
      </c>
      <c r="F1674" s="1488" t="str">
        <f>HE_Insurance_Risk!$C35</f>
        <v>Versicherungstechnische Aufwendungen</v>
      </c>
      <c r="G1674" s="1494"/>
      <c r="H1674" s="1119">
        <f>HE_Insurance_Risk!$L35</f>
        <v>0</v>
      </c>
      <c r="U1674" s="1027"/>
      <c r="V1674" s="1027"/>
      <c r="W1674" s="1027"/>
    </row>
    <row r="1675" spans="2:23" ht="12.75" customHeight="1" x14ac:dyDescent="0.2">
      <c r="B1675" s="1083">
        <f>HE_Insurance_Risk!$A$1</f>
        <v>37</v>
      </c>
      <c r="C1675" s="1084" t="str">
        <f>HE_Insurance_Risk!$B$1</f>
        <v>Versicherungsrisiko</v>
      </c>
      <c r="D1675" s="1091" t="str">
        <f>HE_Insurance_Risk!$C$15</f>
        <v>Erwartungswert und Standardabweichung</v>
      </c>
      <c r="E1675" s="1494" t="str">
        <f>HE_Insurance_Risk!$L$17</f>
        <v>KVG-Taggeld Einzel</v>
      </c>
      <c r="F1675" s="1488" t="str">
        <f>HE_Insurance_Risk!$C38</f>
        <v>Bruttoleistungen (Behandlungsjahr 2025)</v>
      </c>
      <c r="G1675" s="1494"/>
      <c r="H1675" s="1120">
        <f>HE_Insurance_Risk!$L38</f>
        <v>0</v>
      </c>
      <c r="U1675" s="1027"/>
      <c r="V1675" s="1027"/>
      <c r="W1675" s="1027"/>
    </row>
    <row r="1676" spans="2:23" ht="12.75" customHeight="1" x14ac:dyDescent="0.2">
      <c r="B1676" s="1083">
        <f>HE_Insurance_Risk!$A$1</f>
        <v>37</v>
      </c>
      <c r="C1676" s="1084" t="str">
        <f>HE_Insurance_Risk!$B$1</f>
        <v>Versicherungsrisiko</v>
      </c>
      <c r="D1676" s="1091" t="str">
        <f>HE_Insurance_Risk!$C$15</f>
        <v>Erwartungswert und Standardabweichung</v>
      </c>
      <c r="E1676" s="1494" t="str">
        <f>HE_Insurance_Risk!$L$17</f>
        <v>KVG-Taggeld Einzel</v>
      </c>
      <c r="F1676" s="1488" t="str">
        <f>HE_Insurance_Risk!$C39</f>
        <v>Kostenbeteiligungen (Behandlungsjahr 2025)</v>
      </c>
      <c r="G1676" s="1494"/>
      <c r="H1676" s="1106">
        <f>HE_Insurance_Risk!$L39</f>
        <v>0</v>
      </c>
      <c r="U1676" s="1027"/>
      <c r="V1676" s="1027"/>
      <c r="W1676" s="1027"/>
    </row>
    <row r="1677" spans="2:23" ht="12.75" customHeight="1" x14ac:dyDescent="0.2">
      <c r="B1677" s="1083">
        <f>HE_Insurance_Risk!$A$1</f>
        <v>37</v>
      </c>
      <c r="C1677" s="1084" t="str">
        <f>HE_Insurance_Risk!$B$1</f>
        <v>Versicherungsrisiko</v>
      </c>
      <c r="D1677" s="1091" t="str">
        <f>HE_Insurance_Risk!$C$15</f>
        <v>Erwartungswert und Standardabweichung</v>
      </c>
      <c r="E1677" s="1494" t="str">
        <f>HE_Insurance_Risk!$L$17</f>
        <v>KVG-Taggeld Einzel</v>
      </c>
      <c r="F1677" s="1488" t="str">
        <f>HE_Insurance_Risk!$C40</f>
        <v>Sonstige Leistungen  (Behandlungsjahr 2025)</v>
      </c>
      <c r="G1677" s="1494"/>
      <c r="H1677" s="1120">
        <f>HE_Insurance_Risk!$L40</f>
        <v>0</v>
      </c>
      <c r="U1677" s="1027"/>
      <c r="V1677" s="1027"/>
      <c r="W1677" s="1027"/>
    </row>
    <row r="1678" spans="2:23" ht="12.75" customHeight="1" x14ac:dyDescent="0.2">
      <c r="B1678" s="1083">
        <f>HE_Insurance_Risk!$A$1</f>
        <v>37</v>
      </c>
      <c r="C1678" s="1084" t="str">
        <f>HE_Insurance_Risk!$B$1</f>
        <v>Versicherungsrisiko</v>
      </c>
      <c r="D1678" s="1091" t="str">
        <f>HE_Insurance_Risk!$C$15</f>
        <v>Erwartungswert und Standardabweichung</v>
      </c>
      <c r="E1678" s="1494" t="str">
        <f>HE_Insurance_Risk!$L$17</f>
        <v>KVG-Taggeld Einzel</v>
      </c>
      <c r="F1678" s="1488" t="str">
        <f>HE_Insurance_Risk!$C42</f>
        <v>Leistungen vor Rückversicherung</v>
      </c>
      <c r="G1678" s="1494"/>
      <c r="H1678" s="1106">
        <f>HE_Insurance_Risk!$L42</f>
        <v>0</v>
      </c>
      <c r="U1678" s="1027"/>
      <c r="V1678" s="1027"/>
      <c r="W1678" s="1027"/>
    </row>
    <row r="1679" spans="2:23" ht="12.75" customHeight="1" x14ac:dyDescent="0.2">
      <c r="B1679" s="1083">
        <f>HE_Insurance_Risk!$A$1</f>
        <v>37</v>
      </c>
      <c r="C1679" s="1084" t="str">
        <f>HE_Insurance_Risk!$B$1</f>
        <v>Versicherungsrisiko</v>
      </c>
      <c r="D1679" s="1091" t="str">
        <f>HE_Insurance_Risk!$C$15</f>
        <v>Erwartungswert und Standardabweichung</v>
      </c>
      <c r="E1679" s="1494" t="str">
        <f>HE_Insurance_Risk!$L$17</f>
        <v>KVG-Taggeld Einzel</v>
      </c>
      <c r="F1679" s="1488" t="str">
        <f>HE_Insurance_Risk!$C43</f>
        <v>Leistungsanteile der passiven Rückversicherung</v>
      </c>
      <c r="G1679" s="1494"/>
      <c r="H1679" s="1120">
        <f>HE_Insurance_Risk!$L43</f>
        <v>0</v>
      </c>
      <c r="U1679" s="1027"/>
      <c r="V1679" s="1027"/>
      <c r="W1679" s="1027"/>
    </row>
    <row r="1680" spans="2:23" ht="12.75" customHeight="1" x14ac:dyDescent="0.2">
      <c r="B1680" s="1083">
        <f>HE_Insurance_Risk!$A$1</f>
        <v>37</v>
      </c>
      <c r="C1680" s="1084" t="str">
        <f>HE_Insurance_Risk!$B$1</f>
        <v>Versicherungsrisiko</v>
      </c>
      <c r="D1680" s="1091" t="str">
        <f>HE_Insurance_Risk!$C$15</f>
        <v>Erwartungswert und Standardabweichung</v>
      </c>
      <c r="E1680" s="1494" t="str">
        <f>HE_Insurance_Risk!$L$17</f>
        <v>KVG-Taggeld Einzel</v>
      </c>
      <c r="F1680" s="1488" t="str">
        <f>HE_Insurance_Risk!$C45</f>
        <v>Leistungen nach Rückversicherung</v>
      </c>
      <c r="G1680" s="1494"/>
      <c r="H1680" s="1106">
        <f>HE_Insurance_Risk!$L45</f>
        <v>0</v>
      </c>
      <c r="U1680" s="1027"/>
      <c r="V1680" s="1027"/>
      <c r="W1680" s="1027"/>
    </row>
    <row r="1681" spans="2:23" ht="12.75" customHeight="1" x14ac:dyDescent="0.2">
      <c r="B1681" s="1083">
        <f>HE_Insurance_Risk!$A$1</f>
        <v>37</v>
      </c>
      <c r="C1681" s="1084" t="str">
        <f>HE_Insurance_Risk!$B$1</f>
        <v>Versicherungsrisiko</v>
      </c>
      <c r="D1681" s="1091" t="str">
        <f>HE_Insurance_Risk!$C$15</f>
        <v>Erwartungswert und Standardabweichung</v>
      </c>
      <c r="E1681" s="1494" t="str">
        <f>HE_Insurance_Risk!$L$17</f>
        <v>KVG-Taggeld Einzel</v>
      </c>
      <c r="F1681" s="1488"/>
      <c r="G1681" s="1524" t="s">
        <v>1810</v>
      </c>
      <c r="U1681" s="1027"/>
      <c r="V1681" s="1027"/>
      <c r="W1681" s="1027"/>
    </row>
    <row r="1682" spans="2:23" ht="12.75" customHeight="1" x14ac:dyDescent="0.2">
      <c r="B1682" s="1083">
        <f>HE_Insurance_Risk!$A$1</f>
        <v>37</v>
      </c>
      <c r="C1682" s="1084" t="str">
        <f>HE_Insurance_Risk!$B$1</f>
        <v>Versicherungsrisiko</v>
      </c>
      <c r="D1682" s="1091" t="str">
        <f>HE_Insurance_Risk!$C$15</f>
        <v>Erwartungswert und Standardabweichung</v>
      </c>
      <c r="E1682" s="1494" t="str">
        <f>HE_Insurance_Risk!$L$17</f>
        <v>KVG-Taggeld Einzel</v>
      </c>
      <c r="F1682" s="1488" t="str">
        <f>HE_Insurance_Risk!$C47</f>
        <v>Veränderung der Alterungsrückstellungen und Deckungskapitalien</v>
      </c>
      <c r="G1682" s="1494"/>
      <c r="H1682" s="1120">
        <f>HE_Insurance_Risk!$L47</f>
        <v>0</v>
      </c>
      <c r="U1682" s="1027"/>
      <c r="V1682" s="1027"/>
      <c r="W1682" s="1027"/>
    </row>
    <row r="1683" spans="2:23" ht="12.75" customHeight="1" x14ac:dyDescent="0.2">
      <c r="B1683" s="1083">
        <f>HE_Insurance_Risk!$A$1</f>
        <v>37</v>
      </c>
      <c r="C1683" s="1084" t="str">
        <f>HE_Insurance_Risk!$B$1</f>
        <v>Versicherungsrisiko</v>
      </c>
      <c r="D1683" s="1091" t="str">
        <f>HE_Insurance_Risk!$C$15</f>
        <v>Erwartungswert und Standardabweichung</v>
      </c>
      <c r="E1683" s="1494" t="str">
        <f>HE_Insurance_Risk!$L$17</f>
        <v>KVG-Taggeld Einzel</v>
      </c>
      <c r="F1683" s="1488" t="str">
        <f>HE_Insurance_Risk!$C48</f>
        <v>Veränderung der sonstigen technischen Rückstellungen</v>
      </c>
      <c r="G1683" s="1494"/>
      <c r="H1683" s="1106">
        <f>HE_Insurance_Risk!$L48</f>
        <v>0</v>
      </c>
      <c r="U1683" s="1027"/>
      <c r="V1683" s="1027"/>
      <c r="W1683" s="1027"/>
    </row>
    <row r="1684" spans="2:23" ht="12.75" customHeight="1" x14ac:dyDescent="0.2">
      <c r="B1684" s="1083">
        <f>HE_Insurance_Risk!$A$1</f>
        <v>37</v>
      </c>
      <c r="C1684" s="1084" t="str">
        <f>HE_Insurance_Risk!$B$1</f>
        <v>Versicherungsrisiko</v>
      </c>
      <c r="D1684" s="1091" t="str">
        <f>HE_Insurance_Risk!$C$15</f>
        <v>Erwartungswert und Standardabweichung</v>
      </c>
      <c r="E1684" s="1494" t="str">
        <f>HE_Insurance_Risk!$L$17</f>
        <v>KVG-Taggeld Einzel</v>
      </c>
      <c r="F1684" s="1488" t="str">
        <f>HE_Insurance_Risk!$C50</f>
        <v>Risikoausgleich (2025)</v>
      </c>
      <c r="G1684" s="1494"/>
      <c r="H1684" s="1106">
        <f>HE_Insurance_Risk!$L50</f>
        <v>0</v>
      </c>
      <c r="U1684" s="1027"/>
      <c r="V1684" s="1027"/>
      <c r="W1684" s="1027"/>
    </row>
    <row r="1685" spans="2:23" ht="12.75" customHeight="1" x14ac:dyDescent="0.2">
      <c r="B1685" s="1083">
        <f>HE_Insurance_Risk!$A$1</f>
        <v>37</v>
      </c>
      <c r="C1685" s="1084" t="str">
        <f>HE_Insurance_Risk!$B$1</f>
        <v>Versicherungsrisiko</v>
      </c>
      <c r="D1685" s="1091" t="str">
        <f>HE_Insurance_Risk!$C$15</f>
        <v>Erwartungswert und Standardabweichung</v>
      </c>
      <c r="E1685" s="1494" t="str">
        <f>HE_Insurance_Risk!$L$17</f>
        <v>KVG-Taggeld Einzel</v>
      </c>
      <c r="F1685" s="1488" t="str">
        <f>HE_Insurance_Risk!$C51</f>
        <v>Andere Aufwendungen</v>
      </c>
      <c r="G1685" s="1494"/>
      <c r="H1685" s="1106">
        <f>HE_Insurance_Risk!$L51</f>
        <v>0</v>
      </c>
      <c r="U1685" s="1027"/>
      <c r="V1685" s="1027"/>
      <c r="W1685" s="1027"/>
    </row>
    <row r="1686" spans="2:23" ht="12.75" customHeight="1" x14ac:dyDescent="0.2">
      <c r="B1686" s="1083">
        <f>HE_Insurance_Risk!$A$1</f>
        <v>37</v>
      </c>
      <c r="C1686" s="1084" t="str">
        <f>HE_Insurance_Risk!$B$1</f>
        <v>Versicherungsrisiko</v>
      </c>
      <c r="D1686" s="1091" t="str">
        <f>HE_Insurance_Risk!$C$15</f>
        <v>Erwartungswert und Standardabweichung</v>
      </c>
      <c r="E1686" s="1494" t="str">
        <f>HE_Insurance_Risk!$L$17</f>
        <v>KVG-Taggeld Einzel</v>
      </c>
      <c r="F1686" s="1488" t="str">
        <f>HE_Insurance_Risk!$C53</f>
        <v>Schaden- und Leistungsaufwand für eigene Rechnung</v>
      </c>
      <c r="G1686" s="1494"/>
      <c r="H1686" s="1121">
        <f>HE_Insurance_Risk!$L53</f>
        <v>0</v>
      </c>
      <c r="U1686" s="1027"/>
      <c r="V1686" s="1027"/>
      <c r="W1686" s="1027"/>
    </row>
    <row r="1687" spans="2:23" ht="12.75" customHeight="1" x14ac:dyDescent="0.2">
      <c r="B1687" s="1083">
        <f>HE_Insurance_Risk!$A$1</f>
        <v>37</v>
      </c>
      <c r="C1687" s="1084" t="str">
        <f>HE_Insurance_Risk!$B$1</f>
        <v>Versicherungsrisiko</v>
      </c>
      <c r="D1687" s="1091" t="str">
        <f>HE_Insurance_Risk!$C$15</f>
        <v>Erwartungswert und Standardabweichung</v>
      </c>
      <c r="E1687" s="1494" t="str">
        <f>HE_Insurance_Risk!$L$17</f>
        <v>KVG-Taggeld Einzel</v>
      </c>
      <c r="F1687" s="1488" t="str">
        <f>HE_Insurance_Risk!$C55</f>
        <v>Aufwendungen für den Betrieb, Verwaltungsaufwand</v>
      </c>
      <c r="G1687" s="1494"/>
      <c r="H1687" s="1120">
        <f>HE_Insurance_Risk!$L55</f>
        <v>0</v>
      </c>
      <c r="U1687" s="1027"/>
      <c r="V1687" s="1027"/>
      <c r="W1687" s="1027"/>
    </row>
    <row r="1688" spans="2:23" ht="12.75" customHeight="1" x14ac:dyDescent="0.2">
      <c r="B1688" s="1083"/>
      <c r="C1688" s="1084"/>
      <c r="D1688" s="1091"/>
      <c r="E1688" s="1494"/>
      <c r="F1688" s="1488"/>
      <c r="G1688" s="1494"/>
      <c r="H1688" s="1116"/>
      <c r="U1688" s="1027"/>
      <c r="V1688" s="1027"/>
      <c r="W1688" s="1027"/>
    </row>
    <row r="1689" spans="2:23" ht="12.75" customHeight="1" x14ac:dyDescent="0.2">
      <c r="B1689" s="1083">
        <f>HE_Insurance_Risk!$A$1</f>
        <v>37</v>
      </c>
      <c r="C1689" s="1084" t="str">
        <f>HE_Insurance_Risk!$B$1</f>
        <v>Versicherungsrisiko</v>
      </c>
      <c r="D1689" s="1091" t="str">
        <f>HE_Insurance_Risk!$C$15</f>
        <v>Erwartungswert und Standardabweichung</v>
      </c>
      <c r="E1689" s="1494" t="str">
        <f>HE_Insurance_Risk!$L$17</f>
        <v>KVG-Taggeld Einzel</v>
      </c>
      <c r="F1689" s="1488" t="str">
        <f>HE_Insurance_Risk!$C57</f>
        <v>Versicherungstechnisches Resultat</v>
      </c>
      <c r="G1689" s="1494"/>
      <c r="H1689" s="1119">
        <f>HE_Insurance_Risk!$L57</f>
        <v>0</v>
      </c>
      <c r="U1689" s="1027"/>
      <c r="V1689" s="1027"/>
      <c r="W1689" s="1027"/>
    </row>
    <row r="1690" spans="2:23" ht="12.75" customHeight="1" x14ac:dyDescent="0.2">
      <c r="B1690" s="1083"/>
      <c r="C1690" s="1084"/>
      <c r="D1690" s="1091"/>
      <c r="E1690" s="1494"/>
      <c r="F1690" s="1488"/>
      <c r="G1690" s="1494"/>
      <c r="H1690" s="1122"/>
      <c r="U1690" s="1027"/>
      <c r="V1690" s="1027"/>
      <c r="W1690" s="1027"/>
    </row>
    <row r="1691" spans="2:23" ht="12.75" customHeight="1" x14ac:dyDescent="0.2">
      <c r="B1691" s="1083">
        <f>HE_Insurance_Risk!$A$1</f>
        <v>37</v>
      </c>
      <c r="C1691" s="1084" t="str">
        <f>HE_Insurance_Risk!$B$1</f>
        <v>Versicherungsrisiko</v>
      </c>
      <c r="D1691" s="1091" t="str">
        <f>HE_Insurance_Risk!$C$15</f>
        <v>Erwartungswert und Standardabweichung</v>
      </c>
      <c r="E1691" s="1494" t="str">
        <f>HE_Insurance_Risk!$L$17</f>
        <v>KVG-Taggeld Einzel</v>
      </c>
      <c r="F1691" s="1488" t="str">
        <f>HE_Insurance_Risk!$C59</f>
        <v>Erwartete Anzahl Versicherte (Durschnittbestand)</v>
      </c>
      <c r="G1691" s="1494"/>
      <c r="H1691" s="1504" t="str">
        <f>IF(ISNUMBER(HE_Insurance_Risk!$L$59),HE_Insurance_Risk!$L$59,"")</f>
        <v/>
      </c>
      <c r="U1691" s="1027"/>
      <c r="V1691" s="1027"/>
      <c r="W1691" s="1027"/>
    </row>
    <row r="1692" spans="2:23" ht="12.75" customHeight="1" x14ac:dyDescent="0.2">
      <c r="B1692" s="1083"/>
      <c r="C1692" s="1084"/>
      <c r="D1692" s="1091"/>
      <c r="E1692" s="1494"/>
      <c r="F1692" s="1488"/>
      <c r="G1692" s="1494"/>
      <c r="H1692" s="1122"/>
      <c r="U1692" s="1027"/>
      <c r="V1692" s="1027"/>
      <c r="W1692" s="1027"/>
    </row>
    <row r="1693" spans="2:23" ht="12.75" customHeight="1" x14ac:dyDescent="0.2">
      <c r="B1693" s="1083"/>
      <c r="C1693" s="1084"/>
      <c r="D1693" s="1091"/>
      <c r="E1693" s="1494"/>
      <c r="F1693" s="1488"/>
      <c r="G1693" s="1494"/>
      <c r="H1693" s="1124"/>
      <c r="U1693" s="1027"/>
      <c r="V1693" s="1027"/>
      <c r="W1693" s="1027"/>
    </row>
    <row r="1694" spans="2:23" ht="12.75" customHeight="1" x14ac:dyDescent="0.2">
      <c r="B1694" s="1083">
        <f>HE_Insurance_Risk!$A$1</f>
        <v>37</v>
      </c>
      <c r="C1694" s="1084" t="str">
        <f>HE_Insurance_Risk!$B$1</f>
        <v>Versicherungsrisiko</v>
      </c>
      <c r="D1694" s="1091" t="str">
        <f>HE_Insurance_Risk!$C$61</f>
        <v>Variabilität</v>
      </c>
      <c r="E1694" s="1494" t="str">
        <f>HE_Insurance_Risk!$L$17</f>
        <v>KVG-Taggeld Einzel</v>
      </c>
      <c r="F1694" s="1488" t="str">
        <f>HE_Insurance_Risk!$C65</f>
        <v>Erwartete Anzahl Schadenfälle bzw. Erkrankte</v>
      </c>
      <c r="G1694" s="1494"/>
      <c r="H1694" s="1125" t="str">
        <f>IF(ISNUMBER(HE_Insurance_Risk!$L$65),HE_Insurance_Risk!$L$65,"")</f>
        <v/>
      </c>
      <c r="U1694" s="1027"/>
      <c r="V1694" s="1027"/>
      <c r="W1694" s="1027"/>
    </row>
    <row r="1695" spans="2:23" ht="12.75" customHeight="1" x14ac:dyDescent="0.2">
      <c r="B1695" s="1083"/>
      <c r="C1695" s="1084"/>
      <c r="D1695" s="1091"/>
      <c r="E1695" s="1494"/>
      <c r="F1695" s="1488"/>
      <c r="G1695" s="1494"/>
      <c r="H1695" s="1122"/>
      <c r="U1695" s="1027"/>
      <c r="V1695" s="1027"/>
      <c r="W1695" s="1027"/>
    </row>
    <row r="1696" spans="2:23" ht="12.75" customHeight="1" x14ac:dyDescent="0.2">
      <c r="B1696" s="1083">
        <f>HE_Insurance_Risk!$A$1</f>
        <v>37</v>
      </c>
      <c r="C1696" s="1084" t="str">
        <f>HE_Insurance_Risk!$B$1</f>
        <v>Versicherungsrisiko</v>
      </c>
      <c r="D1696" s="1091" t="str">
        <f>HE_Insurance_Risk!$C$61</f>
        <v>Variabilität</v>
      </c>
      <c r="E1696" s="1494" t="str">
        <f>HE_Insurance_Risk!$L$17</f>
        <v>KVG-Taggeld Einzel</v>
      </c>
      <c r="F1696" s="1488" t="str">
        <f>HE_Insurance_Risk!$C67</f>
        <v>Variationskoeffizient des Einzelschadens</v>
      </c>
      <c r="G1696" s="1494"/>
      <c r="H1696" s="1122">
        <f>HE_Insurance_Risk!$L67</f>
        <v>0</v>
      </c>
      <c r="U1696" s="1027"/>
      <c r="V1696" s="1027"/>
      <c r="W1696" s="1027"/>
    </row>
    <row r="1697" spans="2:23" ht="12.75" customHeight="1" x14ac:dyDescent="0.2">
      <c r="B1697" s="1083">
        <f>HE_Insurance_Risk!$A$1</f>
        <v>37</v>
      </c>
      <c r="C1697" s="1084" t="str">
        <f>HE_Insurance_Risk!$B$1</f>
        <v>Versicherungsrisiko</v>
      </c>
      <c r="D1697" s="1091" t="str">
        <f>HE_Insurance_Risk!$C$61</f>
        <v>Variabilität</v>
      </c>
      <c r="E1697" s="1494" t="str">
        <f>HE_Insurance_Risk!$L$17</f>
        <v>KVG-Taggeld Einzel</v>
      </c>
      <c r="F1697" s="1488" t="str">
        <f>HE_Insurance_Risk!$C68</f>
        <v>Standardwert (vor Rückversicherung)</v>
      </c>
      <c r="G1697" s="1494"/>
      <c r="H1697" s="1525">
        <f>HE_Insurance_Risk!$L68</f>
        <v>2.5</v>
      </c>
      <c r="U1697" s="1027"/>
      <c r="V1697" s="1027"/>
      <c r="W1697" s="1027"/>
    </row>
    <row r="1698" spans="2:23" ht="12.75" customHeight="1" x14ac:dyDescent="0.2">
      <c r="B1698" s="1083">
        <f>HE_Insurance_Risk!$A$1</f>
        <v>37</v>
      </c>
      <c r="C1698" s="1084" t="str">
        <f>HE_Insurance_Risk!$B$1</f>
        <v>Versicherungsrisiko</v>
      </c>
      <c r="D1698" s="1091" t="str">
        <f>HE_Insurance_Risk!$C$61</f>
        <v>Variabilität</v>
      </c>
      <c r="E1698" s="1494" t="str">
        <f>HE_Insurance_Risk!$L$17</f>
        <v>KVG-Taggeld Einzel</v>
      </c>
      <c r="F1698" s="1488" t="str">
        <f>HE_Insurance_Risk!$C69</f>
        <v>errechneter Wert nach Rückversicherung</v>
      </c>
      <c r="G1698" s="1494"/>
      <c r="H1698" s="1127">
        <f>HE_Insurance_Risk!$L69</f>
        <v>2.5</v>
      </c>
      <c r="U1698" s="1027"/>
      <c r="V1698" s="1027"/>
      <c r="W1698" s="1027"/>
    </row>
    <row r="1699" spans="2:23" ht="12.75" customHeight="1" x14ac:dyDescent="0.2">
      <c r="B1699" s="1083">
        <f>HE_Insurance_Risk!$A$1</f>
        <v>37</v>
      </c>
      <c r="C1699" s="1084" t="str">
        <f>HE_Insurance_Risk!$B$1</f>
        <v>Versicherungsrisiko</v>
      </c>
      <c r="D1699" s="1091" t="str">
        <f>HE_Insurance_Risk!$C$61</f>
        <v>Variabilität</v>
      </c>
      <c r="E1699" s="1494" t="str">
        <f>HE_Insurance_Risk!$L$17</f>
        <v>KVG-Taggeld Einzel</v>
      </c>
      <c r="F1699" s="1488" t="str">
        <f>HE_Insurance_Risk!$C70</f>
        <v>benutzter Wert (Abweichung vom Standard: begründen)</v>
      </c>
      <c r="G1699" s="1494"/>
      <c r="H1699" s="1128">
        <f>HE_Insurance_Risk!$L70</f>
        <v>2.5</v>
      </c>
      <c r="U1699" s="1027"/>
      <c r="V1699" s="1027"/>
      <c r="W1699" s="1027"/>
    </row>
    <row r="1700" spans="2:23" ht="12.75" customHeight="1" x14ac:dyDescent="0.2">
      <c r="B1700" s="1083"/>
      <c r="C1700" s="1084"/>
      <c r="D1700" s="1091"/>
      <c r="E1700" s="1494"/>
      <c r="F1700" s="1488"/>
      <c r="G1700" s="1494"/>
      <c r="H1700" s="1124"/>
      <c r="U1700" s="1027"/>
      <c r="V1700" s="1027"/>
      <c r="W1700" s="1027"/>
    </row>
    <row r="1701" spans="2:23" ht="12.75" customHeight="1" x14ac:dyDescent="0.2">
      <c r="B1701" s="1083">
        <f>HE_Insurance_Risk!$A$1</f>
        <v>37</v>
      </c>
      <c r="C1701" s="1084" t="str">
        <f>HE_Insurance_Risk!$B$1</f>
        <v>Versicherungsrisiko</v>
      </c>
      <c r="D1701" s="1091" t="str">
        <f>HE_Insurance_Risk!$C$61</f>
        <v>Variabilität</v>
      </c>
      <c r="E1701" s="1494" t="str">
        <f>HE_Insurance_Risk!$L$17</f>
        <v>KVG-Taggeld Einzel</v>
      </c>
      <c r="F1701" s="1488" t="str">
        <f>HE_Insurance_Risk!$C72</f>
        <v>Resultat: Variationskoeffizient des Zufallsrisikos</v>
      </c>
      <c r="G1701" s="1494"/>
      <c r="H1701" s="1124">
        <f>HE_Insurance_Risk!$L72</f>
        <v>0</v>
      </c>
      <c r="U1701" s="1027"/>
      <c r="V1701" s="1027"/>
      <c r="W1701" s="1027"/>
    </row>
    <row r="1702" spans="2:23" ht="12.75" customHeight="1" x14ac:dyDescent="0.2">
      <c r="B1702" s="1083">
        <f>HE_Insurance_Risk!$A$1</f>
        <v>37</v>
      </c>
      <c r="C1702" s="1084" t="str">
        <f>HE_Insurance_Risk!$B$1</f>
        <v>Versicherungsrisiko</v>
      </c>
      <c r="D1702" s="1091" t="str">
        <f>HE_Insurance_Risk!$C$61</f>
        <v>Variabilität</v>
      </c>
      <c r="E1702" s="1494" t="str">
        <f>HE_Insurance_Risk!$L$17</f>
        <v>KVG-Taggeld Einzel</v>
      </c>
      <c r="F1702" s="1488" t="str">
        <f>HE_Insurance_Risk!$C73</f>
        <v>errechneter Wert vor Rückversicherung</v>
      </c>
      <c r="G1702" s="1494"/>
      <c r="H1702" s="1129" t="str">
        <f>HE_Insurance_Risk!$L73</f>
        <v/>
      </c>
      <c r="U1702" s="1027"/>
      <c r="V1702" s="1027"/>
      <c r="W1702" s="1027"/>
    </row>
    <row r="1703" spans="2:23" ht="12.75" customHeight="1" x14ac:dyDescent="0.2">
      <c r="B1703" s="1083">
        <f>HE_Insurance_Risk!$A$1</f>
        <v>37</v>
      </c>
      <c r="C1703" s="1084" t="str">
        <f>HE_Insurance_Risk!$B$1</f>
        <v>Versicherungsrisiko</v>
      </c>
      <c r="D1703" s="1091" t="str">
        <f>HE_Insurance_Risk!$C$61</f>
        <v>Variabilität</v>
      </c>
      <c r="E1703" s="1494" t="str">
        <f>HE_Insurance_Risk!$L$17</f>
        <v>KVG-Taggeld Einzel</v>
      </c>
      <c r="F1703" s="1488" t="str">
        <f>HE_Insurance_Risk!$C74</f>
        <v>errechneter Wert nach Rückversicherung</v>
      </c>
      <c r="G1703" s="1494"/>
      <c r="H1703" s="1129" t="str">
        <f>HE_Insurance_Risk!$L74</f>
        <v/>
      </c>
      <c r="U1703" s="1027"/>
      <c r="V1703" s="1027"/>
      <c r="W1703" s="1027"/>
    </row>
    <row r="1704" spans="2:23" ht="12.75" customHeight="1" x14ac:dyDescent="0.2">
      <c r="B1704" s="1083">
        <f>HE_Insurance_Risk!$A$1</f>
        <v>37</v>
      </c>
      <c r="C1704" s="1084" t="str">
        <f>HE_Insurance_Risk!$B$1</f>
        <v>Versicherungsrisiko</v>
      </c>
      <c r="D1704" s="1091" t="str">
        <f>HE_Insurance_Risk!$C$61</f>
        <v>Variabilität</v>
      </c>
      <c r="E1704" s="1494" t="str">
        <f>HE_Insurance_Risk!$L$17</f>
        <v>KVG-Taggeld Einzel</v>
      </c>
      <c r="F1704" s="1488" t="str">
        <f>HE_Insurance_Risk!$C75</f>
        <v>benutzter Wert</v>
      </c>
      <c r="G1704" s="1494"/>
      <c r="H1704" s="1130" t="str">
        <f>HE_Insurance_Risk!$L75</f>
        <v/>
      </c>
      <c r="U1704" s="1027"/>
      <c r="V1704" s="1027"/>
      <c r="W1704" s="1027"/>
    </row>
    <row r="1705" spans="2:23" ht="12.75" customHeight="1" x14ac:dyDescent="0.2">
      <c r="B1705" s="1083"/>
      <c r="C1705" s="1084"/>
      <c r="D1705" s="1091"/>
      <c r="E1705" s="1494"/>
      <c r="F1705" s="1488"/>
      <c r="G1705" s="1494"/>
      <c r="H1705" s="1124"/>
      <c r="U1705" s="1027"/>
      <c r="V1705" s="1027"/>
      <c r="W1705" s="1027"/>
    </row>
    <row r="1706" spans="2:23" ht="12.75" customHeight="1" x14ac:dyDescent="0.2">
      <c r="B1706" s="1083">
        <f>HE_Insurance_Risk!$A$1</f>
        <v>37</v>
      </c>
      <c r="C1706" s="1084" t="str">
        <f>HE_Insurance_Risk!$B$1</f>
        <v>Versicherungsrisiko</v>
      </c>
      <c r="D1706" s="1091" t="str">
        <f>HE_Insurance_Risk!$C$61</f>
        <v>Variabilität</v>
      </c>
      <c r="E1706" s="1494" t="str">
        <f>HE_Insurance_Risk!$L$17</f>
        <v>KVG-Taggeld Einzel</v>
      </c>
      <c r="F1706" s="1488" t="str">
        <f>HE_Insurance_Risk!$C78</f>
        <v>Variationskoeffizient des Parameterrisikos</v>
      </c>
      <c r="G1706" s="1494"/>
      <c r="H1706" s="1124">
        <f>HE_Insurance_Risk!$L78</f>
        <v>0</v>
      </c>
      <c r="U1706" s="1027"/>
      <c r="V1706" s="1027"/>
      <c r="W1706" s="1027"/>
    </row>
    <row r="1707" spans="2:23" ht="12.75" customHeight="1" x14ac:dyDescent="0.2">
      <c r="B1707" s="1083">
        <f>HE_Insurance_Risk!$A$1</f>
        <v>37</v>
      </c>
      <c r="C1707" s="1084" t="str">
        <f>HE_Insurance_Risk!$B$1</f>
        <v>Versicherungsrisiko</v>
      </c>
      <c r="D1707" s="1091" t="str">
        <f>HE_Insurance_Risk!$C$61</f>
        <v>Variabilität</v>
      </c>
      <c r="E1707" s="1494" t="str">
        <f>HE_Insurance_Risk!$L$17</f>
        <v>KVG-Taggeld Einzel</v>
      </c>
      <c r="F1707" s="1488" t="str">
        <f>HE_Insurance_Risk!$C79</f>
        <v>Standardwert (vor Rückversicherung)</v>
      </c>
      <c r="G1707" s="1494"/>
      <c r="H1707" s="1526">
        <f>HE_Insurance_Risk!$L79</f>
        <v>0.05</v>
      </c>
      <c r="U1707" s="1027"/>
      <c r="V1707" s="1027"/>
      <c r="W1707" s="1027"/>
    </row>
    <row r="1708" spans="2:23" ht="12.75" customHeight="1" x14ac:dyDescent="0.2">
      <c r="B1708" s="1083">
        <f>HE_Insurance_Risk!$A$1</f>
        <v>37</v>
      </c>
      <c r="C1708" s="1084" t="str">
        <f>HE_Insurance_Risk!$B$1</f>
        <v>Versicherungsrisiko</v>
      </c>
      <c r="D1708" s="1091" t="str">
        <f>HE_Insurance_Risk!$C$61</f>
        <v>Variabilität</v>
      </c>
      <c r="E1708" s="1494" t="str">
        <f>HE_Insurance_Risk!$L$17</f>
        <v>KVG-Taggeld Einzel</v>
      </c>
      <c r="F1708" s="1488" t="str">
        <f>HE_Insurance_Risk!$C80</f>
        <v>errechneter Wert nach Rückversicherung</v>
      </c>
      <c r="G1708" s="1494"/>
      <c r="H1708" s="1131">
        <f>HE_Insurance_Risk!$L80</f>
        <v>0.05</v>
      </c>
      <c r="U1708" s="1027"/>
      <c r="V1708" s="1027"/>
      <c r="W1708" s="1027"/>
    </row>
    <row r="1709" spans="2:23" ht="12.75" customHeight="1" x14ac:dyDescent="0.2">
      <c r="B1709" s="1083">
        <f>HE_Insurance_Risk!$A$1</f>
        <v>37</v>
      </c>
      <c r="C1709" s="1084" t="str">
        <f>HE_Insurance_Risk!$B$1</f>
        <v>Versicherungsrisiko</v>
      </c>
      <c r="D1709" s="1091" t="str">
        <f>HE_Insurance_Risk!$C$61</f>
        <v>Variabilität</v>
      </c>
      <c r="E1709" s="1494" t="str">
        <f>HE_Insurance_Risk!$L$17</f>
        <v>KVG-Taggeld Einzel</v>
      </c>
      <c r="F1709" s="1488" t="str">
        <f>HE_Insurance_Risk!$C81</f>
        <v>benutzter Wert (Abweichung vom Standard begründen)</v>
      </c>
      <c r="G1709" s="1494"/>
      <c r="H1709" s="1130">
        <f>HE_Insurance_Risk!$L81</f>
        <v>0.05</v>
      </c>
      <c r="U1709" s="1027"/>
      <c r="V1709" s="1027"/>
      <c r="W1709" s="1027"/>
    </row>
    <row r="1710" spans="2:23" ht="12.75" customHeight="1" x14ac:dyDescent="0.2">
      <c r="B1710" s="1083"/>
      <c r="C1710" s="1084"/>
      <c r="D1710" s="1091"/>
      <c r="E1710" s="1494"/>
      <c r="F1710" s="1488"/>
      <c r="G1710" s="1494"/>
      <c r="H1710" s="1124"/>
      <c r="U1710" s="1027"/>
      <c r="V1710" s="1027"/>
      <c r="W1710" s="1027"/>
    </row>
    <row r="1711" spans="2:23" ht="12.75" customHeight="1" x14ac:dyDescent="0.2">
      <c r="B1711" s="1083">
        <f>HE_Insurance_Risk!$A$1</f>
        <v>37</v>
      </c>
      <c r="C1711" s="1084" t="str">
        <f>HE_Insurance_Risk!$B$1</f>
        <v>Versicherungsrisiko</v>
      </c>
      <c r="D1711" s="1091" t="str">
        <f>HE_Insurance_Risk!$C$61</f>
        <v>Variabilität</v>
      </c>
      <c r="E1711" s="1494" t="str">
        <f>HE_Insurance_Risk!$L$17</f>
        <v>KVG-Taggeld Einzel</v>
      </c>
      <c r="F1711" s="1527" t="str">
        <f>HE_Insurance_Risk!$C84</f>
        <v>Variationskoeffizient der jährlichen Leistungen</v>
      </c>
      <c r="G1711" s="1494"/>
      <c r="H1711" s="1132">
        <f>HE_Insurance_Risk!$L84</f>
        <v>0.1</v>
      </c>
      <c r="U1711" s="1027"/>
      <c r="V1711" s="1027"/>
      <c r="W1711" s="1027"/>
    </row>
    <row r="1712" spans="2:23" ht="12.75" customHeight="1" x14ac:dyDescent="0.2">
      <c r="B1712" s="1083">
        <f>HE_Insurance_Risk!$A$1</f>
        <v>37</v>
      </c>
      <c r="C1712" s="1084" t="str">
        <f>HE_Insurance_Risk!$B$1</f>
        <v>Versicherungsrisiko</v>
      </c>
      <c r="D1712" s="1091" t="str">
        <f>HE_Insurance_Risk!$C$61</f>
        <v>Variabilität</v>
      </c>
      <c r="E1712" s="1494" t="str">
        <f>HE_Insurance_Risk!$L$17</f>
        <v>KVG-Taggeld Einzel</v>
      </c>
      <c r="F1712" s="1527" t="str">
        <f>HE_Insurance_Risk!$C85</f>
        <v>benutzter Variationskoeffizient</v>
      </c>
      <c r="G1712" s="1494"/>
      <c r="H1712" s="1134">
        <f>HE_Insurance_Risk!$L85</f>
        <v>0.1</v>
      </c>
      <c r="U1712" s="1027"/>
      <c r="V1712" s="1027"/>
      <c r="W1712" s="1027"/>
    </row>
    <row r="1713" spans="2:23" ht="12.75" customHeight="1" x14ac:dyDescent="0.2">
      <c r="B1713" s="1083"/>
      <c r="C1713" s="1084"/>
      <c r="D1713" s="1091"/>
      <c r="E1713" s="1494"/>
      <c r="F1713" s="1488"/>
      <c r="G1713" s="1494"/>
      <c r="H1713" s="1129"/>
      <c r="U1713" s="1027"/>
      <c r="V1713" s="1027"/>
      <c r="W1713" s="1027"/>
    </row>
    <row r="1714" spans="2:23" ht="12.75" customHeight="1" x14ac:dyDescent="0.2">
      <c r="B1714" s="1083">
        <f>HE_Insurance_Risk!$A$1</f>
        <v>37</v>
      </c>
      <c r="C1714" s="1084" t="str">
        <f>HE_Insurance_Risk!$B$1</f>
        <v>Versicherungsrisiko</v>
      </c>
      <c r="D1714" s="1091" t="str">
        <f>HE_Insurance_Risk!$C$61</f>
        <v>Variabilität</v>
      </c>
      <c r="E1714" s="1494" t="str">
        <f>HE_Insurance_Risk!$L$17</f>
        <v>KVG-Taggeld Einzel</v>
      </c>
      <c r="F1714" s="1488" t="str">
        <f>HE_Insurance_Risk!$C92</f>
        <v>Standardabweichung des versicherungstechnischen Risikos</v>
      </c>
      <c r="G1714" s="1494"/>
      <c r="H1714" s="1119">
        <f>HE_Insurance_Risk!$L92</f>
        <v>0</v>
      </c>
      <c r="U1714" s="1027"/>
      <c r="V1714" s="1027"/>
      <c r="W1714" s="1027"/>
    </row>
    <row r="1715" spans="2:23" ht="12.75" customHeight="1" x14ac:dyDescent="0.2">
      <c r="B1715" s="1083"/>
      <c r="C1715" s="1084"/>
      <c r="D1715" s="1091"/>
      <c r="E1715" s="1494"/>
      <c r="F1715" s="1488"/>
      <c r="G1715" s="1494"/>
      <c r="H1715" s="1133"/>
      <c r="U1715" s="1027"/>
      <c r="V1715" s="1027"/>
      <c r="W1715" s="1027"/>
    </row>
    <row r="1716" spans="2:23" ht="12.75" customHeight="1" x14ac:dyDescent="0.2">
      <c r="B1716" s="1083"/>
      <c r="C1716" s="1084"/>
      <c r="D1716" s="1091"/>
      <c r="E1716" s="1494"/>
      <c r="F1716" s="1488"/>
      <c r="G1716" s="1494"/>
      <c r="H1716" s="1133"/>
      <c r="U1716" s="1027"/>
      <c r="V1716" s="1027"/>
      <c r="W1716" s="1027"/>
    </row>
    <row r="1717" spans="2:23" ht="12.75" customHeight="1" x14ac:dyDescent="0.2">
      <c r="B1717" s="1083">
        <f>HE_Insurance_Risk!$A$1</f>
        <v>37</v>
      </c>
      <c r="C1717" s="1084" t="str">
        <f>HE_Insurance_Risk!$B$1</f>
        <v>Versicherungsrisiko</v>
      </c>
      <c r="D1717" s="1091" t="str">
        <f>HE_Insurance_Risk!$C$15</f>
        <v>Erwartungswert und Standardabweichung</v>
      </c>
      <c r="E1717" s="1494" t="str">
        <f>HE_Insurance_Risk!$N$17</f>
        <v>KVG-Taggeld Kollektiv</v>
      </c>
      <c r="F1717" s="1488" t="str">
        <f>HE_Insurance_Risk!C21</f>
        <v>Versicherungstechnische Erträge</v>
      </c>
      <c r="G1717" s="1494"/>
      <c r="H1717" s="1119">
        <f>HE_Insurance_Risk!$N21</f>
        <v>0</v>
      </c>
      <c r="U1717" s="1027"/>
      <c r="V1717" s="1027"/>
      <c r="W1717" s="1027"/>
    </row>
    <row r="1718" spans="2:23" ht="12.75" customHeight="1" x14ac:dyDescent="0.2">
      <c r="B1718" s="1083">
        <f>HE_Insurance_Risk!$A$1</f>
        <v>37</v>
      </c>
      <c r="C1718" s="1084" t="str">
        <f>HE_Insurance_Risk!$B$1</f>
        <v>Versicherungsrisiko</v>
      </c>
      <c r="D1718" s="1091" t="str">
        <f>HE_Insurance_Risk!$C$15</f>
        <v>Erwartungswert und Standardabweichung</v>
      </c>
      <c r="E1718" s="1494" t="str">
        <f>HE_Insurance_Risk!$N$17</f>
        <v>KVG-Taggeld Kollektiv</v>
      </c>
      <c r="F1718" s="1488" t="str">
        <f>HE_Insurance_Risk!$C24</f>
        <v>Bruttoprämien</v>
      </c>
      <c r="G1718" s="1494"/>
      <c r="H1718" s="1120">
        <f>HE_Insurance_Risk!$N24</f>
        <v>0</v>
      </c>
      <c r="U1718" s="1027"/>
      <c r="V1718" s="1027"/>
      <c r="W1718" s="1027"/>
    </row>
    <row r="1719" spans="2:23" ht="12.75" customHeight="1" x14ac:dyDescent="0.2">
      <c r="B1719" s="1083">
        <f>HE_Insurance_Risk!$A$1</f>
        <v>37</v>
      </c>
      <c r="C1719" s="1084" t="str">
        <f>HE_Insurance_Risk!$B$1</f>
        <v>Versicherungsrisiko</v>
      </c>
      <c r="D1719" s="1091" t="str">
        <f>HE_Insurance_Risk!$C$15</f>
        <v>Erwartungswert und Standardabweichung</v>
      </c>
      <c r="E1719" s="1494" t="str">
        <f>HE_Insurance_Risk!$N$17</f>
        <v>KVG-Taggeld Kollektiv</v>
      </c>
      <c r="F1719" s="1488" t="str">
        <f>HE_Insurance_Risk!$C25</f>
        <v>Erlösminderungen</v>
      </c>
      <c r="G1719" s="1494"/>
      <c r="H1719" s="1120">
        <f>HE_Insurance_Risk!$N25</f>
        <v>0</v>
      </c>
      <c r="U1719" s="1027"/>
      <c r="V1719" s="1027"/>
      <c r="W1719" s="1027"/>
    </row>
    <row r="1720" spans="2:23" ht="12.75" customHeight="1" x14ac:dyDescent="0.2">
      <c r="B1720" s="1083">
        <f>HE_Insurance_Risk!$A$1</f>
        <v>37</v>
      </c>
      <c r="C1720" s="1084" t="str">
        <f>HE_Insurance_Risk!$B$1</f>
        <v>Versicherungsrisiko</v>
      </c>
      <c r="D1720" s="1091" t="str">
        <f>HE_Insurance_Risk!$C$15</f>
        <v>Erwartungswert und Standardabweichung</v>
      </c>
      <c r="E1720" s="1494" t="str">
        <f>HE_Insurance_Risk!$N$17</f>
        <v>KVG-Taggeld Kollektiv</v>
      </c>
      <c r="F1720" s="1488" t="str">
        <f>HE_Insurance_Risk!$C27</f>
        <v>Verdiente Prämien vor Rückversicherung</v>
      </c>
      <c r="G1720" s="1494"/>
      <c r="H1720" s="1106">
        <f>HE_Insurance_Risk!$N27</f>
        <v>0</v>
      </c>
      <c r="U1720" s="1027"/>
      <c r="V1720" s="1027"/>
      <c r="W1720" s="1027"/>
    </row>
    <row r="1721" spans="2:23" ht="12.75" customHeight="1" x14ac:dyDescent="0.2">
      <c r="B1721" s="1083">
        <f>HE_Insurance_Risk!$A$1</f>
        <v>37</v>
      </c>
      <c r="C1721" s="1084" t="str">
        <f>HE_Insurance_Risk!$B$1</f>
        <v>Versicherungsrisiko</v>
      </c>
      <c r="D1721" s="1091" t="str">
        <f>HE_Insurance_Risk!$C$15</f>
        <v>Erwartungswert und Standardabweichung</v>
      </c>
      <c r="E1721" s="1494" t="str">
        <f>HE_Insurance_Risk!$N$17</f>
        <v>KVG-Taggeld Kollektiv</v>
      </c>
      <c r="F1721" s="1488" t="str">
        <f>HE_Insurance_Risk!$C28</f>
        <v>Prämienanteile der passiven Rückversicherung</v>
      </c>
      <c r="G1721" s="1494"/>
      <c r="H1721" s="1120">
        <f>HE_Insurance_Risk!$N28</f>
        <v>0</v>
      </c>
      <c r="U1721" s="1027"/>
      <c r="V1721" s="1027"/>
      <c r="W1721" s="1027"/>
    </row>
    <row r="1722" spans="2:23" ht="12.75" customHeight="1" x14ac:dyDescent="0.2">
      <c r="B1722" s="1083">
        <f>HE_Insurance_Risk!$A$1</f>
        <v>37</v>
      </c>
      <c r="C1722" s="1084" t="str">
        <f>HE_Insurance_Risk!$B$1</f>
        <v>Versicherungsrisiko</v>
      </c>
      <c r="D1722" s="1091" t="str">
        <f>HE_Insurance_Risk!$C$15</f>
        <v>Erwartungswert und Standardabweichung</v>
      </c>
      <c r="E1722" s="1494" t="str">
        <f>HE_Insurance_Risk!$N$17</f>
        <v>KVG-Taggeld Kollektiv</v>
      </c>
      <c r="F1722" s="1488" t="str">
        <f>HE_Insurance_Risk!$C30</f>
        <v>Verdiente Prämien nach Rückversicherung</v>
      </c>
      <c r="G1722" s="1494"/>
      <c r="H1722" s="1106">
        <f>HE_Insurance_Risk!$N30</f>
        <v>0</v>
      </c>
      <c r="U1722" s="1027"/>
      <c r="V1722" s="1027"/>
      <c r="W1722" s="1027"/>
    </row>
    <row r="1723" spans="2:23" ht="12.75" customHeight="1" x14ac:dyDescent="0.2">
      <c r="B1723" s="1083">
        <f>HE_Insurance_Risk!$A$1</f>
        <v>37</v>
      </c>
      <c r="C1723" s="1084" t="str">
        <f>HE_Insurance_Risk!$B$1</f>
        <v>Versicherungsrisiko</v>
      </c>
      <c r="D1723" s="1091" t="str">
        <f>HE_Insurance_Risk!$C$15</f>
        <v>Erwartungswert und Standardabweichung</v>
      </c>
      <c r="E1723" s="1494" t="str">
        <f>HE_Insurance_Risk!$N$17</f>
        <v>KVG-Taggeld Kollektiv</v>
      </c>
      <c r="F1723" s="1488" t="str">
        <f>HE_Insurance_Risk!$C32</f>
        <v>Sonstige versicherungstechnische Erträge</v>
      </c>
      <c r="G1723" s="1494"/>
      <c r="H1723" s="1120">
        <f>HE_Insurance_Risk!$N32</f>
        <v>0</v>
      </c>
      <c r="U1723" s="1027"/>
      <c r="V1723" s="1027"/>
      <c r="W1723" s="1027"/>
    </row>
    <row r="1724" spans="2:23" ht="12.75" customHeight="1" x14ac:dyDescent="0.2">
      <c r="B1724" s="1083">
        <f>HE_Insurance_Risk!$A$1</f>
        <v>37</v>
      </c>
      <c r="C1724" s="1084" t="str">
        <f>HE_Insurance_Risk!$B$1</f>
        <v>Versicherungsrisiko</v>
      </c>
      <c r="D1724" s="1091" t="str">
        <f>HE_Insurance_Risk!$C$15</f>
        <v>Erwartungswert und Standardabweichung</v>
      </c>
      <c r="E1724" s="1494" t="str">
        <f>HE_Insurance_Risk!$N$17</f>
        <v>KVG-Taggeld Kollektiv</v>
      </c>
      <c r="F1724" s="1488" t="str">
        <f>HE_Insurance_Risk!$C33</f>
        <v>Überschussbeteiligungen</v>
      </c>
      <c r="G1724" s="1494"/>
      <c r="H1724" s="1120">
        <f>HE_Insurance_Risk!$N33</f>
        <v>0</v>
      </c>
      <c r="U1724" s="1027"/>
      <c r="V1724" s="1027"/>
      <c r="W1724" s="1027"/>
    </row>
    <row r="1725" spans="2:23" ht="12.75" customHeight="1" x14ac:dyDescent="0.2">
      <c r="B1725" s="1083"/>
      <c r="C1725" s="1084"/>
      <c r="D1725" s="1091"/>
      <c r="E1725" s="1494"/>
      <c r="F1725" s="1488"/>
      <c r="G1725" s="1494"/>
      <c r="H1725" s="1116"/>
      <c r="U1725" s="1027"/>
      <c r="V1725" s="1027"/>
      <c r="W1725" s="1027"/>
    </row>
    <row r="1726" spans="2:23" ht="12.75" customHeight="1" x14ac:dyDescent="0.2">
      <c r="B1726" s="1083">
        <f>HE_Insurance_Risk!$A$1</f>
        <v>37</v>
      </c>
      <c r="C1726" s="1084" t="str">
        <f>HE_Insurance_Risk!$B$1</f>
        <v>Versicherungsrisiko</v>
      </c>
      <c r="D1726" s="1091" t="str">
        <f>HE_Insurance_Risk!$C$15</f>
        <v>Erwartungswert und Standardabweichung</v>
      </c>
      <c r="E1726" s="1494" t="str">
        <f>HE_Insurance_Risk!$N$17</f>
        <v>KVG-Taggeld Kollektiv</v>
      </c>
      <c r="F1726" s="1488" t="str">
        <f>HE_Insurance_Risk!$C35</f>
        <v>Versicherungstechnische Aufwendungen</v>
      </c>
      <c r="G1726" s="1494"/>
      <c r="H1726" s="1119">
        <f>HE_Insurance_Risk!$N35</f>
        <v>0</v>
      </c>
      <c r="U1726" s="1027"/>
      <c r="V1726" s="1027"/>
      <c r="W1726" s="1027"/>
    </row>
    <row r="1727" spans="2:23" ht="12.75" customHeight="1" x14ac:dyDescent="0.2">
      <c r="B1727" s="1083">
        <f>HE_Insurance_Risk!$A$1</f>
        <v>37</v>
      </c>
      <c r="C1727" s="1084" t="str">
        <f>HE_Insurance_Risk!$B$1</f>
        <v>Versicherungsrisiko</v>
      </c>
      <c r="D1727" s="1091" t="str">
        <f>HE_Insurance_Risk!$C$15</f>
        <v>Erwartungswert und Standardabweichung</v>
      </c>
      <c r="E1727" s="1494" t="str">
        <f>HE_Insurance_Risk!$N$17</f>
        <v>KVG-Taggeld Kollektiv</v>
      </c>
      <c r="F1727" s="1488" t="str">
        <f>HE_Insurance_Risk!$C38</f>
        <v>Bruttoleistungen (Behandlungsjahr 2025)</v>
      </c>
      <c r="G1727" s="1494"/>
      <c r="H1727" s="1120">
        <f>HE_Insurance_Risk!$N38</f>
        <v>0</v>
      </c>
      <c r="U1727" s="1027"/>
      <c r="V1727" s="1027"/>
      <c r="W1727" s="1027"/>
    </row>
    <row r="1728" spans="2:23" ht="12.75" customHeight="1" x14ac:dyDescent="0.2">
      <c r="B1728" s="1083">
        <f>HE_Insurance_Risk!$A$1</f>
        <v>37</v>
      </c>
      <c r="C1728" s="1084" t="str">
        <f>HE_Insurance_Risk!$B$1</f>
        <v>Versicherungsrisiko</v>
      </c>
      <c r="D1728" s="1091" t="str">
        <f>HE_Insurance_Risk!$C$15</f>
        <v>Erwartungswert und Standardabweichung</v>
      </c>
      <c r="E1728" s="1494" t="str">
        <f>HE_Insurance_Risk!$N$17</f>
        <v>KVG-Taggeld Kollektiv</v>
      </c>
      <c r="F1728" s="1488" t="str">
        <f>HE_Insurance_Risk!$C39</f>
        <v>Kostenbeteiligungen (Behandlungsjahr 2025)</v>
      </c>
      <c r="G1728" s="1494"/>
      <c r="H1728" s="1106">
        <f>HE_Insurance_Risk!$N39</f>
        <v>0</v>
      </c>
      <c r="U1728" s="1027"/>
      <c r="V1728" s="1027"/>
      <c r="W1728" s="1027"/>
    </row>
    <row r="1729" spans="2:23" ht="12.75" customHeight="1" x14ac:dyDescent="0.2">
      <c r="B1729" s="1083">
        <f>HE_Insurance_Risk!$A$1</f>
        <v>37</v>
      </c>
      <c r="C1729" s="1084" t="str">
        <f>HE_Insurance_Risk!$B$1</f>
        <v>Versicherungsrisiko</v>
      </c>
      <c r="D1729" s="1091" t="str">
        <f>HE_Insurance_Risk!$C$15</f>
        <v>Erwartungswert und Standardabweichung</v>
      </c>
      <c r="E1729" s="1494" t="str">
        <f>HE_Insurance_Risk!$N$17</f>
        <v>KVG-Taggeld Kollektiv</v>
      </c>
      <c r="F1729" s="1488" t="str">
        <f>HE_Insurance_Risk!$C40</f>
        <v>Sonstige Leistungen  (Behandlungsjahr 2025)</v>
      </c>
      <c r="G1729" s="1494"/>
      <c r="H1729" s="1120">
        <f>HE_Insurance_Risk!$N40</f>
        <v>0</v>
      </c>
      <c r="U1729" s="1027"/>
      <c r="V1729" s="1027"/>
      <c r="W1729" s="1027"/>
    </row>
    <row r="1730" spans="2:23" ht="12.75" customHeight="1" x14ac:dyDescent="0.2">
      <c r="B1730" s="1083">
        <f>HE_Insurance_Risk!$A$1</f>
        <v>37</v>
      </c>
      <c r="C1730" s="1084" t="str">
        <f>HE_Insurance_Risk!$B$1</f>
        <v>Versicherungsrisiko</v>
      </c>
      <c r="D1730" s="1091" t="str">
        <f>HE_Insurance_Risk!$C$15</f>
        <v>Erwartungswert und Standardabweichung</v>
      </c>
      <c r="E1730" s="1494" t="str">
        <f>HE_Insurance_Risk!$N$17</f>
        <v>KVG-Taggeld Kollektiv</v>
      </c>
      <c r="F1730" s="1488" t="str">
        <f>HE_Insurance_Risk!$C42</f>
        <v>Leistungen vor Rückversicherung</v>
      </c>
      <c r="G1730" s="1494"/>
      <c r="H1730" s="1106">
        <f>HE_Insurance_Risk!$N42</f>
        <v>0</v>
      </c>
      <c r="U1730" s="1027"/>
      <c r="V1730" s="1027"/>
      <c r="W1730" s="1027"/>
    </row>
    <row r="1731" spans="2:23" ht="12.75" customHeight="1" x14ac:dyDescent="0.2">
      <c r="B1731" s="1083">
        <f>HE_Insurance_Risk!$A$1</f>
        <v>37</v>
      </c>
      <c r="C1731" s="1084" t="str">
        <f>HE_Insurance_Risk!$B$1</f>
        <v>Versicherungsrisiko</v>
      </c>
      <c r="D1731" s="1091" t="str">
        <f>HE_Insurance_Risk!$C$15</f>
        <v>Erwartungswert und Standardabweichung</v>
      </c>
      <c r="E1731" s="1494" t="str">
        <f>HE_Insurance_Risk!$N$17</f>
        <v>KVG-Taggeld Kollektiv</v>
      </c>
      <c r="F1731" s="1488" t="str">
        <f>HE_Insurance_Risk!$C43</f>
        <v>Leistungsanteile der passiven Rückversicherung</v>
      </c>
      <c r="G1731" s="1494"/>
      <c r="H1731" s="1120">
        <f>HE_Insurance_Risk!$N43</f>
        <v>0</v>
      </c>
      <c r="U1731" s="1027"/>
      <c r="V1731" s="1027"/>
      <c r="W1731" s="1027"/>
    </row>
    <row r="1732" spans="2:23" ht="12.75" customHeight="1" x14ac:dyDescent="0.2">
      <c r="B1732" s="1083">
        <f>HE_Insurance_Risk!$A$1</f>
        <v>37</v>
      </c>
      <c r="C1732" s="1084" t="str">
        <f>HE_Insurance_Risk!$B$1</f>
        <v>Versicherungsrisiko</v>
      </c>
      <c r="D1732" s="1091" t="str">
        <f>HE_Insurance_Risk!$C$15</f>
        <v>Erwartungswert und Standardabweichung</v>
      </c>
      <c r="E1732" s="1494" t="str">
        <f>HE_Insurance_Risk!$N$17</f>
        <v>KVG-Taggeld Kollektiv</v>
      </c>
      <c r="F1732" s="1488" t="str">
        <f>HE_Insurance_Risk!$C45</f>
        <v>Leistungen nach Rückversicherung</v>
      </c>
      <c r="G1732" s="1494"/>
      <c r="H1732" s="1106">
        <f>HE_Insurance_Risk!$N45</f>
        <v>0</v>
      </c>
      <c r="U1732" s="1027"/>
      <c r="V1732" s="1027"/>
      <c r="W1732" s="1027"/>
    </row>
    <row r="1733" spans="2:23" ht="12.75" customHeight="1" x14ac:dyDescent="0.2">
      <c r="B1733" s="1083">
        <f>HE_Insurance_Risk!$A$1</f>
        <v>37</v>
      </c>
      <c r="C1733" s="1084" t="str">
        <f>HE_Insurance_Risk!$B$1</f>
        <v>Versicherungsrisiko</v>
      </c>
      <c r="D1733" s="1091" t="str">
        <f>HE_Insurance_Risk!$C$15</f>
        <v>Erwartungswert und Standardabweichung</v>
      </c>
      <c r="E1733" s="1494" t="str">
        <f>HE_Insurance_Risk!$N$17</f>
        <v>KVG-Taggeld Kollektiv</v>
      </c>
      <c r="F1733" s="1488"/>
      <c r="G1733" s="1524" t="s">
        <v>1810</v>
      </c>
      <c r="U1733" s="1027"/>
      <c r="V1733" s="1027"/>
      <c r="W1733" s="1027"/>
    </row>
    <row r="1734" spans="2:23" ht="12.75" customHeight="1" x14ac:dyDescent="0.2">
      <c r="B1734" s="1083">
        <f>HE_Insurance_Risk!$A$1</f>
        <v>37</v>
      </c>
      <c r="C1734" s="1084" t="str">
        <f>HE_Insurance_Risk!$B$1</f>
        <v>Versicherungsrisiko</v>
      </c>
      <c r="D1734" s="1091" t="str">
        <f>HE_Insurance_Risk!$C$15</f>
        <v>Erwartungswert und Standardabweichung</v>
      </c>
      <c r="E1734" s="1494" t="str">
        <f>HE_Insurance_Risk!$N$17</f>
        <v>KVG-Taggeld Kollektiv</v>
      </c>
      <c r="F1734" s="1488" t="str">
        <f>HE_Insurance_Risk!$C47</f>
        <v>Veränderung der Alterungsrückstellungen und Deckungskapitalien</v>
      </c>
      <c r="G1734" s="1494"/>
      <c r="H1734" s="1106">
        <f>HE_Insurance_Risk!$N47</f>
        <v>0</v>
      </c>
      <c r="U1734" s="1027"/>
      <c r="V1734" s="1027"/>
      <c r="W1734" s="1027"/>
    </row>
    <row r="1735" spans="2:23" ht="12.75" customHeight="1" x14ac:dyDescent="0.2">
      <c r="B1735" s="1083">
        <f>HE_Insurance_Risk!$A$1</f>
        <v>37</v>
      </c>
      <c r="C1735" s="1084" t="str">
        <f>HE_Insurance_Risk!$B$1</f>
        <v>Versicherungsrisiko</v>
      </c>
      <c r="D1735" s="1091" t="str">
        <f>HE_Insurance_Risk!$C$15</f>
        <v>Erwartungswert und Standardabweichung</v>
      </c>
      <c r="E1735" s="1494" t="str">
        <f>HE_Insurance_Risk!$N$17</f>
        <v>KVG-Taggeld Kollektiv</v>
      </c>
      <c r="F1735" s="1488" t="str">
        <f>HE_Insurance_Risk!$C48</f>
        <v>Veränderung der sonstigen technischen Rückstellungen</v>
      </c>
      <c r="G1735" s="1494"/>
      <c r="H1735" s="1106">
        <f>HE_Insurance_Risk!$N48</f>
        <v>0</v>
      </c>
      <c r="U1735" s="1027"/>
      <c r="V1735" s="1027"/>
      <c r="W1735" s="1027"/>
    </row>
    <row r="1736" spans="2:23" ht="12.75" customHeight="1" x14ac:dyDescent="0.2">
      <c r="B1736" s="1083">
        <f>HE_Insurance_Risk!$A$1</f>
        <v>37</v>
      </c>
      <c r="C1736" s="1084" t="str">
        <f>HE_Insurance_Risk!$B$1</f>
        <v>Versicherungsrisiko</v>
      </c>
      <c r="D1736" s="1091" t="str">
        <f>HE_Insurance_Risk!$C$15</f>
        <v>Erwartungswert und Standardabweichung</v>
      </c>
      <c r="E1736" s="1494" t="str">
        <f>HE_Insurance_Risk!$N$17</f>
        <v>KVG-Taggeld Kollektiv</v>
      </c>
      <c r="F1736" s="1488" t="str">
        <f>HE_Insurance_Risk!$C50</f>
        <v>Risikoausgleich (2025)</v>
      </c>
      <c r="G1736" s="1494"/>
      <c r="H1736" s="1106">
        <f>HE_Insurance_Risk!$N50</f>
        <v>0</v>
      </c>
      <c r="U1736" s="1027"/>
      <c r="V1736" s="1027"/>
      <c r="W1736" s="1027"/>
    </row>
    <row r="1737" spans="2:23" ht="12.75" customHeight="1" x14ac:dyDescent="0.2">
      <c r="B1737" s="1083">
        <f>HE_Insurance_Risk!$A$1</f>
        <v>37</v>
      </c>
      <c r="C1737" s="1084" t="str">
        <f>HE_Insurance_Risk!$B$1</f>
        <v>Versicherungsrisiko</v>
      </c>
      <c r="D1737" s="1091" t="str">
        <f>HE_Insurance_Risk!$C$15</f>
        <v>Erwartungswert und Standardabweichung</v>
      </c>
      <c r="E1737" s="1494" t="str">
        <f>HE_Insurance_Risk!$N$17</f>
        <v>KVG-Taggeld Kollektiv</v>
      </c>
      <c r="F1737" s="1488" t="str">
        <f>HE_Insurance_Risk!$C51</f>
        <v>Andere Aufwendungen</v>
      </c>
      <c r="G1737" s="1494"/>
      <c r="H1737" s="1106">
        <f>HE_Insurance_Risk!$N51</f>
        <v>0</v>
      </c>
      <c r="U1737" s="1027"/>
      <c r="V1737" s="1027"/>
      <c r="W1737" s="1027"/>
    </row>
    <row r="1738" spans="2:23" ht="12.75" customHeight="1" x14ac:dyDescent="0.2">
      <c r="B1738" s="1083">
        <f>HE_Insurance_Risk!$A$1</f>
        <v>37</v>
      </c>
      <c r="C1738" s="1084" t="str">
        <f>HE_Insurance_Risk!$B$1</f>
        <v>Versicherungsrisiko</v>
      </c>
      <c r="D1738" s="1091" t="str">
        <f>HE_Insurance_Risk!$C$15</f>
        <v>Erwartungswert und Standardabweichung</v>
      </c>
      <c r="E1738" s="1494" t="str">
        <f>HE_Insurance_Risk!$N$17</f>
        <v>KVG-Taggeld Kollektiv</v>
      </c>
      <c r="F1738" s="1488" t="str">
        <f>HE_Insurance_Risk!$C53</f>
        <v>Schaden- und Leistungsaufwand für eigene Rechnung</v>
      </c>
      <c r="G1738" s="1494"/>
      <c r="H1738" s="1121">
        <f>HE_Insurance_Risk!$N53</f>
        <v>0</v>
      </c>
      <c r="U1738" s="1027"/>
      <c r="V1738" s="1027"/>
      <c r="W1738" s="1027"/>
    </row>
    <row r="1739" spans="2:23" ht="12.75" customHeight="1" x14ac:dyDescent="0.2">
      <c r="B1739" s="1083">
        <f>HE_Insurance_Risk!$A$1</f>
        <v>37</v>
      </c>
      <c r="C1739" s="1084" t="str">
        <f>HE_Insurance_Risk!$B$1</f>
        <v>Versicherungsrisiko</v>
      </c>
      <c r="D1739" s="1091" t="str">
        <f>HE_Insurance_Risk!$C$15</f>
        <v>Erwartungswert und Standardabweichung</v>
      </c>
      <c r="E1739" s="1494" t="str">
        <f>HE_Insurance_Risk!$N$17</f>
        <v>KVG-Taggeld Kollektiv</v>
      </c>
      <c r="F1739" s="1488" t="str">
        <f>HE_Insurance_Risk!$C55</f>
        <v>Aufwendungen für den Betrieb, Verwaltungsaufwand</v>
      </c>
      <c r="G1739" s="1494"/>
      <c r="H1739" s="1120">
        <f>HE_Insurance_Risk!$N55</f>
        <v>0</v>
      </c>
      <c r="U1739" s="1027"/>
      <c r="V1739" s="1027"/>
      <c r="W1739" s="1027"/>
    </row>
    <row r="1740" spans="2:23" ht="12.75" customHeight="1" x14ac:dyDescent="0.2">
      <c r="B1740" s="1083"/>
      <c r="C1740" s="1084"/>
      <c r="D1740" s="1091"/>
      <c r="E1740" s="1494"/>
      <c r="F1740" s="1488"/>
      <c r="G1740" s="1494"/>
      <c r="H1740" s="1116"/>
      <c r="U1740" s="1027"/>
      <c r="V1740" s="1027"/>
      <c r="W1740" s="1027"/>
    </row>
    <row r="1741" spans="2:23" ht="12.75" customHeight="1" x14ac:dyDescent="0.2">
      <c r="B1741" s="1083">
        <f>HE_Insurance_Risk!$A$1</f>
        <v>37</v>
      </c>
      <c r="C1741" s="1084" t="str">
        <f>HE_Insurance_Risk!$B$1</f>
        <v>Versicherungsrisiko</v>
      </c>
      <c r="D1741" s="1091" t="str">
        <f>HE_Insurance_Risk!$C$15</f>
        <v>Erwartungswert und Standardabweichung</v>
      </c>
      <c r="E1741" s="1494" t="str">
        <f>HE_Insurance_Risk!$N$17</f>
        <v>KVG-Taggeld Kollektiv</v>
      </c>
      <c r="F1741" s="1488" t="str">
        <f>HE_Insurance_Risk!$C57</f>
        <v>Versicherungstechnisches Resultat</v>
      </c>
      <c r="G1741" s="1494"/>
      <c r="H1741" s="1119">
        <f>HE_Insurance_Risk!$N57</f>
        <v>0</v>
      </c>
      <c r="U1741" s="1027"/>
      <c r="V1741" s="1027"/>
      <c r="W1741" s="1027"/>
    </row>
    <row r="1742" spans="2:23" ht="12.75" customHeight="1" x14ac:dyDescent="0.2">
      <c r="B1742" s="1083"/>
      <c r="C1742" s="1084"/>
      <c r="D1742" s="1091"/>
      <c r="E1742" s="1494"/>
      <c r="F1742" s="1488"/>
      <c r="G1742" s="1494"/>
      <c r="H1742" s="1122"/>
      <c r="U1742" s="1027"/>
      <c r="V1742" s="1027"/>
      <c r="W1742" s="1027"/>
    </row>
    <row r="1743" spans="2:23" ht="12.75" customHeight="1" x14ac:dyDescent="0.2">
      <c r="B1743" s="1083">
        <f>HE_Insurance_Risk!$A$1</f>
        <v>37</v>
      </c>
      <c r="C1743" s="1084" t="str">
        <f>HE_Insurance_Risk!$B$1</f>
        <v>Versicherungsrisiko</v>
      </c>
      <c r="D1743" s="1091" t="str">
        <f>HE_Insurance_Risk!$C$15</f>
        <v>Erwartungswert und Standardabweichung</v>
      </c>
      <c r="E1743" s="1494" t="str">
        <f>HE_Insurance_Risk!$N$17</f>
        <v>KVG-Taggeld Kollektiv</v>
      </c>
      <c r="F1743" s="1488" t="str">
        <f>HE_Insurance_Risk!$C59</f>
        <v>Erwartete Anzahl Versicherte (Durschnittbestand)</v>
      </c>
      <c r="G1743" s="1494"/>
      <c r="H1743" s="1223" t="str">
        <f>IF(ISNUMBER(HE_Insurance_Risk!$N$59),HE_Insurance_Risk!$N$59,"")</f>
        <v/>
      </c>
      <c r="U1743" s="1027"/>
      <c r="V1743" s="1027"/>
      <c r="W1743" s="1027"/>
    </row>
    <row r="1744" spans="2:23" ht="12.75" customHeight="1" x14ac:dyDescent="0.2">
      <c r="B1744" s="1083"/>
      <c r="C1744" s="1084"/>
      <c r="D1744" s="1091"/>
      <c r="E1744" s="1494"/>
      <c r="F1744" s="1488"/>
      <c r="G1744" s="1494"/>
      <c r="H1744" s="1122"/>
      <c r="U1744" s="1027"/>
      <c r="V1744" s="1027"/>
      <c r="W1744" s="1027"/>
    </row>
    <row r="1745" spans="2:23" ht="12.75" customHeight="1" x14ac:dyDescent="0.2">
      <c r="B1745" s="1083"/>
      <c r="C1745" s="1084"/>
      <c r="D1745" s="1091"/>
      <c r="E1745" s="1494"/>
      <c r="F1745" s="1488"/>
      <c r="G1745" s="1494"/>
      <c r="H1745" s="1124"/>
      <c r="U1745" s="1027"/>
      <c r="V1745" s="1027"/>
      <c r="W1745" s="1027"/>
    </row>
    <row r="1746" spans="2:23" ht="12.75" customHeight="1" x14ac:dyDescent="0.2">
      <c r="B1746" s="1083">
        <f>HE_Insurance_Risk!$A$1</f>
        <v>37</v>
      </c>
      <c r="C1746" s="1084" t="str">
        <f>HE_Insurance_Risk!$B$1</f>
        <v>Versicherungsrisiko</v>
      </c>
      <c r="D1746" s="1091" t="str">
        <f>HE_Insurance_Risk!$C$61</f>
        <v>Variabilität</v>
      </c>
      <c r="E1746" s="1494" t="str">
        <f>HE_Insurance_Risk!$N$17</f>
        <v>KVG-Taggeld Kollektiv</v>
      </c>
      <c r="F1746" s="1488" t="str">
        <f>HE_Insurance_Risk!$C65</f>
        <v>Erwartete Anzahl Schadenfälle bzw. Erkrankte</v>
      </c>
      <c r="G1746" s="1494"/>
      <c r="H1746" s="1125" t="str">
        <f>IF(ISNUMBER(HE_Insurance_Risk!$N$65),HE_Insurance_Risk!$N$65,"")</f>
        <v/>
      </c>
      <c r="U1746" s="1027"/>
      <c r="V1746" s="1027"/>
      <c r="W1746" s="1027"/>
    </row>
    <row r="1747" spans="2:23" ht="12.75" customHeight="1" x14ac:dyDescent="0.2">
      <c r="B1747" s="1083"/>
      <c r="C1747" s="1084"/>
      <c r="D1747" s="1091"/>
      <c r="E1747" s="1494"/>
      <c r="F1747" s="1488"/>
      <c r="G1747" s="1494"/>
      <c r="H1747" s="1122"/>
      <c r="U1747" s="1027"/>
      <c r="V1747" s="1027"/>
      <c r="W1747" s="1027"/>
    </row>
    <row r="1748" spans="2:23" ht="12.75" customHeight="1" x14ac:dyDescent="0.2">
      <c r="B1748" s="1083">
        <f>HE_Insurance_Risk!$A$1</f>
        <v>37</v>
      </c>
      <c r="C1748" s="1084" t="str">
        <f>HE_Insurance_Risk!$B$1</f>
        <v>Versicherungsrisiko</v>
      </c>
      <c r="D1748" s="1091" t="str">
        <f>HE_Insurance_Risk!$C$61</f>
        <v>Variabilität</v>
      </c>
      <c r="E1748" s="1494" t="str">
        <f>HE_Insurance_Risk!$N$17</f>
        <v>KVG-Taggeld Kollektiv</v>
      </c>
      <c r="F1748" s="1488" t="str">
        <f>HE_Insurance_Risk!$C67</f>
        <v>Variationskoeffizient des Einzelschadens</v>
      </c>
      <c r="G1748" s="1494"/>
      <c r="H1748" s="1122">
        <f>HE_Insurance_Risk!$N67</f>
        <v>0</v>
      </c>
      <c r="U1748" s="1027"/>
      <c r="V1748" s="1027"/>
      <c r="W1748" s="1027"/>
    </row>
    <row r="1749" spans="2:23" ht="12.75" customHeight="1" x14ac:dyDescent="0.2">
      <c r="B1749" s="1083">
        <f>HE_Insurance_Risk!$A$1</f>
        <v>37</v>
      </c>
      <c r="C1749" s="1084" t="str">
        <f>HE_Insurance_Risk!$B$1</f>
        <v>Versicherungsrisiko</v>
      </c>
      <c r="D1749" s="1091" t="str">
        <f>HE_Insurance_Risk!$C$61</f>
        <v>Variabilität</v>
      </c>
      <c r="E1749" s="1494" t="str">
        <f>HE_Insurance_Risk!$N$17</f>
        <v>KVG-Taggeld Kollektiv</v>
      </c>
      <c r="F1749" s="1488" t="str">
        <f>HE_Insurance_Risk!$C68</f>
        <v>Standardwert (vor Rückversicherung)</v>
      </c>
      <c r="G1749" s="1494"/>
      <c r="H1749" s="1525">
        <f>HE_Insurance_Risk!$N68</f>
        <v>2.5</v>
      </c>
      <c r="U1749" s="1027"/>
      <c r="V1749" s="1027"/>
      <c r="W1749" s="1027"/>
    </row>
    <row r="1750" spans="2:23" ht="12.75" customHeight="1" x14ac:dyDescent="0.2">
      <c r="B1750" s="1083">
        <f>HE_Insurance_Risk!$A$1</f>
        <v>37</v>
      </c>
      <c r="C1750" s="1084" t="str">
        <f>HE_Insurance_Risk!$B$1</f>
        <v>Versicherungsrisiko</v>
      </c>
      <c r="D1750" s="1091" t="str">
        <f>HE_Insurance_Risk!$C$61</f>
        <v>Variabilität</v>
      </c>
      <c r="E1750" s="1494" t="str">
        <f>HE_Insurance_Risk!$N$17</f>
        <v>KVG-Taggeld Kollektiv</v>
      </c>
      <c r="F1750" s="1488" t="str">
        <f>HE_Insurance_Risk!$C69</f>
        <v>errechneter Wert nach Rückversicherung</v>
      </c>
      <c r="G1750" s="1494"/>
      <c r="H1750" s="1127">
        <f>HE_Insurance_Risk!$N69</f>
        <v>2.5</v>
      </c>
      <c r="U1750" s="1027"/>
      <c r="V1750" s="1027"/>
      <c r="W1750" s="1027"/>
    </row>
    <row r="1751" spans="2:23" ht="12.75" customHeight="1" x14ac:dyDescent="0.2">
      <c r="B1751" s="1083">
        <f>HE_Insurance_Risk!$A$1</f>
        <v>37</v>
      </c>
      <c r="C1751" s="1084" t="str">
        <f>HE_Insurance_Risk!$B$1</f>
        <v>Versicherungsrisiko</v>
      </c>
      <c r="D1751" s="1091" t="str">
        <f>HE_Insurance_Risk!$C$61</f>
        <v>Variabilität</v>
      </c>
      <c r="E1751" s="1494" t="str">
        <f>HE_Insurance_Risk!$N$17</f>
        <v>KVG-Taggeld Kollektiv</v>
      </c>
      <c r="F1751" s="1488" t="str">
        <f>HE_Insurance_Risk!$C70</f>
        <v>benutzter Wert (Abweichung vom Standard: begründen)</v>
      </c>
      <c r="G1751" s="1494"/>
      <c r="H1751" s="1128">
        <f>HE_Insurance_Risk!$N70</f>
        <v>2.5</v>
      </c>
      <c r="U1751" s="1027"/>
      <c r="V1751" s="1027"/>
      <c r="W1751" s="1027"/>
    </row>
    <row r="1752" spans="2:23" ht="12.75" customHeight="1" x14ac:dyDescent="0.2">
      <c r="B1752" s="1083"/>
      <c r="C1752" s="1084"/>
      <c r="D1752" s="1091"/>
      <c r="E1752" s="1494"/>
      <c r="F1752" s="1488"/>
      <c r="G1752" s="1494"/>
      <c r="H1752" s="1124"/>
      <c r="U1752" s="1027"/>
      <c r="V1752" s="1027"/>
      <c r="W1752" s="1027"/>
    </row>
    <row r="1753" spans="2:23" ht="12.75" customHeight="1" x14ac:dyDescent="0.2">
      <c r="B1753" s="1083">
        <f>HE_Insurance_Risk!$A$1</f>
        <v>37</v>
      </c>
      <c r="C1753" s="1084" t="str">
        <f>HE_Insurance_Risk!$B$1</f>
        <v>Versicherungsrisiko</v>
      </c>
      <c r="D1753" s="1091" t="str">
        <f>HE_Insurance_Risk!$C$61</f>
        <v>Variabilität</v>
      </c>
      <c r="E1753" s="1494" t="str">
        <f>HE_Insurance_Risk!$N$17</f>
        <v>KVG-Taggeld Kollektiv</v>
      </c>
      <c r="F1753" s="1488" t="str">
        <f>HE_Insurance_Risk!$C72</f>
        <v>Resultat: Variationskoeffizient des Zufallsrisikos</v>
      </c>
      <c r="G1753" s="1494"/>
      <c r="H1753" s="1124">
        <f>HE_Insurance_Risk!$N72</f>
        <v>0</v>
      </c>
      <c r="U1753" s="1027"/>
      <c r="V1753" s="1027"/>
      <c r="W1753" s="1027"/>
    </row>
    <row r="1754" spans="2:23" ht="12.75" customHeight="1" x14ac:dyDescent="0.2">
      <c r="B1754" s="1083">
        <f>HE_Insurance_Risk!$A$1</f>
        <v>37</v>
      </c>
      <c r="C1754" s="1084" t="str">
        <f>HE_Insurance_Risk!$B$1</f>
        <v>Versicherungsrisiko</v>
      </c>
      <c r="D1754" s="1091" t="str">
        <f>HE_Insurance_Risk!$C$61</f>
        <v>Variabilität</v>
      </c>
      <c r="E1754" s="1494" t="str">
        <f>HE_Insurance_Risk!$N$17</f>
        <v>KVG-Taggeld Kollektiv</v>
      </c>
      <c r="F1754" s="1488" t="str">
        <f>HE_Insurance_Risk!$C73</f>
        <v>errechneter Wert vor Rückversicherung</v>
      </c>
      <c r="G1754" s="1494"/>
      <c r="H1754" s="1129" t="str">
        <f>HE_Insurance_Risk!$N73</f>
        <v/>
      </c>
      <c r="U1754" s="1027"/>
      <c r="V1754" s="1027"/>
      <c r="W1754" s="1027"/>
    </row>
    <row r="1755" spans="2:23" ht="12.75" customHeight="1" x14ac:dyDescent="0.2">
      <c r="B1755" s="1083">
        <f>HE_Insurance_Risk!$A$1</f>
        <v>37</v>
      </c>
      <c r="C1755" s="1084" t="str">
        <f>HE_Insurance_Risk!$B$1</f>
        <v>Versicherungsrisiko</v>
      </c>
      <c r="D1755" s="1091" t="str">
        <f>HE_Insurance_Risk!$C$61</f>
        <v>Variabilität</v>
      </c>
      <c r="E1755" s="1494" t="str">
        <f>HE_Insurance_Risk!$N$17</f>
        <v>KVG-Taggeld Kollektiv</v>
      </c>
      <c r="F1755" s="1488" t="str">
        <f>HE_Insurance_Risk!$C74</f>
        <v>errechneter Wert nach Rückversicherung</v>
      </c>
      <c r="G1755" s="1494"/>
      <c r="H1755" s="1129" t="str">
        <f>HE_Insurance_Risk!$N74</f>
        <v/>
      </c>
      <c r="U1755" s="1027"/>
      <c r="V1755" s="1027"/>
      <c r="W1755" s="1027"/>
    </row>
    <row r="1756" spans="2:23" ht="12.75" customHeight="1" x14ac:dyDescent="0.2">
      <c r="B1756" s="1083">
        <f>HE_Insurance_Risk!$A$1</f>
        <v>37</v>
      </c>
      <c r="C1756" s="1084" t="str">
        <f>HE_Insurance_Risk!$B$1</f>
        <v>Versicherungsrisiko</v>
      </c>
      <c r="D1756" s="1091" t="str">
        <f>HE_Insurance_Risk!$C$61</f>
        <v>Variabilität</v>
      </c>
      <c r="E1756" s="1494" t="str">
        <f>HE_Insurance_Risk!$N$17</f>
        <v>KVG-Taggeld Kollektiv</v>
      </c>
      <c r="F1756" s="1488" t="str">
        <f>HE_Insurance_Risk!$C75</f>
        <v>benutzter Wert</v>
      </c>
      <c r="G1756" s="1494"/>
      <c r="H1756" s="1130" t="str">
        <f>HE_Insurance_Risk!$N75</f>
        <v/>
      </c>
      <c r="U1756" s="1027"/>
      <c r="V1756" s="1027"/>
      <c r="W1756" s="1027"/>
    </row>
    <row r="1757" spans="2:23" ht="12.75" customHeight="1" x14ac:dyDescent="0.2">
      <c r="B1757" s="1083"/>
      <c r="C1757" s="1084"/>
      <c r="D1757" s="1091"/>
      <c r="E1757" s="1494"/>
      <c r="F1757" s="1488"/>
      <c r="G1757" s="1494"/>
      <c r="H1757" s="1124"/>
      <c r="U1757" s="1027"/>
      <c r="V1757" s="1027"/>
      <c r="W1757" s="1027"/>
    </row>
    <row r="1758" spans="2:23" ht="12.75" customHeight="1" x14ac:dyDescent="0.2">
      <c r="B1758" s="1083">
        <f>HE_Insurance_Risk!$A$1</f>
        <v>37</v>
      </c>
      <c r="C1758" s="1084" t="str">
        <f>HE_Insurance_Risk!$B$1</f>
        <v>Versicherungsrisiko</v>
      </c>
      <c r="D1758" s="1091" t="str">
        <f>HE_Insurance_Risk!$C$61</f>
        <v>Variabilität</v>
      </c>
      <c r="E1758" s="1494" t="str">
        <f>HE_Insurance_Risk!$N$17</f>
        <v>KVG-Taggeld Kollektiv</v>
      </c>
      <c r="F1758" s="1488" t="str">
        <f>HE_Insurance_Risk!$C78</f>
        <v>Variationskoeffizient des Parameterrisikos</v>
      </c>
      <c r="G1758" s="1494"/>
      <c r="H1758" s="1124">
        <f>HE_Insurance_Risk!$N78</f>
        <v>0</v>
      </c>
      <c r="U1758" s="1027"/>
      <c r="V1758" s="1027"/>
      <c r="W1758" s="1027"/>
    </row>
    <row r="1759" spans="2:23" ht="12.75" customHeight="1" x14ac:dyDescent="0.2">
      <c r="B1759" s="1083">
        <f>HE_Insurance_Risk!$A$1</f>
        <v>37</v>
      </c>
      <c r="C1759" s="1084" t="str">
        <f>HE_Insurance_Risk!$B$1</f>
        <v>Versicherungsrisiko</v>
      </c>
      <c r="D1759" s="1091" t="str">
        <f>HE_Insurance_Risk!$C$61</f>
        <v>Variabilität</v>
      </c>
      <c r="E1759" s="1494" t="str">
        <f>HE_Insurance_Risk!$N$17</f>
        <v>KVG-Taggeld Kollektiv</v>
      </c>
      <c r="F1759" s="1488" t="str">
        <f>HE_Insurance_Risk!$C79</f>
        <v>Standardwert (vor Rückversicherung)</v>
      </c>
      <c r="G1759" s="1494"/>
      <c r="H1759" s="1526">
        <f>HE_Insurance_Risk!$N79</f>
        <v>7.0000000000000007E-2</v>
      </c>
      <c r="U1759" s="1027"/>
      <c r="V1759" s="1027"/>
      <c r="W1759" s="1027"/>
    </row>
    <row r="1760" spans="2:23" ht="12.75" customHeight="1" x14ac:dyDescent="0.2">
      <c r="B1760" s="1083">
        <f>HE_Insurance_Risk!$A$1</f>
        <v>37</v>
      </c>
      <c r="C1760" s="1084" t="str">
        <f>HE_Insurance_Risk!$B$1</f>
        <v>Versicherungsrisiko</v>
      </c>
      <c r="D1760" s="1091" t="str">
        <f>HE_Insurance_Risk!$C$61</f>
        <v>Variabilität</v>
      </c>
      <c r="E1760" s="1494" t="str">
        <f>HE_Insurance_Risk!$N$17</f>
        <v>KVG-Taggeld Kollektiv</v>
      </c>
      <c r="F1760" s="1488" t="str">
        <f>HE_Insurance_Risk!$C80</f>
        <v>errechneter Wert nach Rückversicherung</v>
      </c>
      <c r="G1760" s="1494"/>
      <c r="H1760" s="1131">
        <f>HE_Insurance_Risk!$N80</f>
        <v>7.0000000000000007E-2</v>
      </c>
      <c r="U1760" s="1027"/>
      <c r="V1760" s="1027"/>
      <c r="W1760" s="1027"/>
    </row>
    <row r="1761" spans="2:23" ht="12.75" customHeight="1" x14ac:dyDescent="0.2">
      <c r="B1761" s="1083">
        <f>HE_Insurance_Risk!$A$1</f>
        <v>37</v>
      </c>
      <c r="C1761" s="1084" t="str">
        <f>HE_Insurance_Risk!$B$1</f>
        <v>Versicherungsrisiko</v>
      </c>
      <c r="D1761" s="1091" t="str">
        <f>HE_Insurance_Risk!$C$61</f>
        <v>Variabilität</v>
      </c>
      <c r="E1761" s="1494" t="str">
        <f>HE_Insurance_Risk!$N$17</f>
        <v>KVG-Taggeld Kollektiv</v>
      </c>
      <c r="F1761" s="1488" t="str">
        <f>HE_Insurance_Risk!$C81</f>
        <v>benutzter Wert (Abweichung vom Standard begründen)</v>
      </c>
      <c r="G1761" s="1494"/>
      <c r="H1761" s="1130">
        <f>HE_Insurance_Risk!$N81</f>
        <v>7.0000000000000007E-2</v>
      </c>
      <c r="U1761" s="1027"/>
      <c r="V1761" s="1027"/>
      <c r="W1761" s="1027"/>
    </row>
    <row r="1762" spans="2:23" ht="12.75" customHeight="1" x14ac:dyDescent="0.2">
      <c r="B1762" s="1083"/>
      <c r="C1762" s="1084"/>
      <c r="D1762" s="1091"/>
      <c r="E1762" s="1494"/>
      <c r="F1762" s="1488"/>
      <c r="G1762" s="1494"/>
      <c r="H1762" s="1124"/>
      <c r="U1762" s="1027"/>
      <c r="V1762" s="1027"/>
      <c r="W1762" s="1027"/>
    </row>
    <row r="1763" spans="2:23" ht="12.75" customHeight="1" x14ac:dyDescent="0.2">
      <c r="B1763" s="1083">
        <f>HE_Insurance_Risk!$A$1</f>
        <v>37</v>
      </c>
      <c r="C1763" s="1084" t="str">
        <f>HE_Insurance_Risk!$B$1</f>
        <v>Versicherungsrisiko</v>
      </c>
      <c r="D1763" s="1091" t="str">
        <f>HE_Insurance_Risk!$C$61</f>
        <v>Variabilität</v>
      </c>
      <c r="E1763" s="1494" t="str">
        <f>HE_Insurance_Risk!$N$17</f>
        <v>KVG-Taggeld Kollektiv</v>
      </c>
      <c r="F1763" s="1527" t="str">
        <f>HE_Insurance_Risk!$C84</f>
        <v>Variationskoeffizient der jährlichen Leistungen</v>
      </c>
      <c r="G1763" s="1494"/>
      <c r="H1763" s="1132">
        <f>HE_Insurance_Risk!$N84</f>
        <v>0.1</v>
      </c>
      <c r="U1763" s="1027"/>
      <c r="V1763" s="1027"/>
      <c r="W1763" s="1027"/>
    </row>
    <row r="1764" spans="2:23" ht="12.75" customHeight="1" x14ac:dyDescent="0.2">
      <c r="B1764" s="1083">
        <f>HE_Insurance_Risk!$A$1</f>
        <v>37</v>
      </c>
      <c r="C1764" s="1084" t="str">
        <f>HE_Insurance_Risk!$B$1</f>
        <v>Versicherungsrisiko</v>
      </c>
      <c r="D1764" s="1091" t="str">
        <f>HE_Insurance_Risk!$C$61</f>
        <v>Variabilität</v>
      </c>
      <c r="E1764" s="1494" t="str">
        <f>HE_Insurance_Risk!$N$17</f>
        <v>KVG-Taggeld Kollektiv</v>
      </c>
      <c r="F1764" s="1527" t="str">
        <f>HE_Insurance_Risk!$C85</f>
        <v>benutzter Variationskoeffizient</v>
      </c>
      <c r="G1764" s="1494"/>
      <c r="H1764" s="1134">
        <f>HE_Insurance_Risk!$N85</f>
        <v>0.1</v>
      </c>
      <c r="U1764" s="1027"/>
      <c r="V1764" s="1027"/>
      <c r="W1764" s="1027"/>
    </row>
    <row r="1765" spans="2:23" ht="12.75" customHeight="1" x14ac:dyDescent="0.2">
      <c r="B1765" s="1083"/>
      <c r="C1765" s="1084"/>
      <c r="D1765" s="1091"/>
      <c r="E1765" s="1494"/>
      <c r="F1765" s="1488"/>
      <c r="G1765" s="1494"/>
      <c r="H1765" s="1129"/>
      <c r="U1765" s="1027"/>
      <c r="V1765" s="1027"/>
      <c r="W1765" s="1027"/>
    </row>
    <row r="1766" spans="2:23" ht="12.75" customHeight="1" x14ac:dyDescent="0.2">
      <c r="B1766" s="1083">
        <f>HE_Insurance_Risk!$A$1</f>
        <v>37</v>
      </c>
      <c r="C1766" s="1084" t="str">
        <f>HE_Insurance_Risk!$B$1</f>
        <v>Versicherungsrisiko</v>
      </c>
      <c r="D1766" s="1091" t="str">
        <f>HE_Insurance_Risk!$C$61</f>
        <v>Variabilität</v>
      </c>
      <c r="E1766" s="1494" t="str">
        <f>HE_Insurance_Risk!$N$17</f>
        <v>KVG-Taggeld Kollektiv</v>
      </c>
      <c r="F1766" s="1488" t="str">
        <f>HE_Insurance_Risk!$C92</f>
        <v>Standardabweichung des versicherungstechnischen Risikos</v>
      </c>
      <c r="G1766" s="1494"/>
      <c r="H1766" s="1119">
        <f>HE_Insurance_Risk!$N92</f>
        <v>0</v>
      </c>
      <c r="U1766" s="1027"/>
      <c r="V1766" s="1027"/>
      <c r="W1766" s="1027"/>
    </row>
    <row r="1767" spans="2:23" ht="12.75" customHeight="1" x14ac:dyDescent="0.2">
      <c r="B1767" s="1083"/>
      <c r="C1767" s="1084"/>
      <c r="D1767" s="1091"/>
      <c r="E1767" s="1494"/>
      <c r="F1767" s="1488"/>
      <c r="G1767" s="1494"/>
      <c r="H1767" s="1133"/>
      <c r="U1767" s="1027"/>
      <c r="V1767" s="1027"/>
      <c r="W1767" s="1027"/>
    </row>
    <row r="1768" spans="2:23" ht="12.75" customHeight="1" x14ac:dyDescent="0.2">
      <c r="B1768" s="1083"/>
      <c r="C1768" s="1084"/>
      <c r="D1768" s="1091"/>
      <c r="E1768" s="1494"/>
      <c r="F1768" s="1488"/>
      <c r="G1768" s="1494"/>
      <c r="H1768" s="1133"/>
      <c r="U1768" s="1027"/>
      <c r="V1768" s="1027"/>
      <c r="W1768" s="1027"/>
    </row>
    <row r="1769" spans="2:23" ht="12.75" customHeight="1" x14ac:dyDescent="0.2">
      <c r="B1769" s="1083">
        <f>HE_Insurance_Risk!$A$1</f>
        <v>37</v>
      </c>
      <c r="C1769" s="1084" t="str">
        <f>HE_Insurance_Risk!$B$1</f>
        <v>Versicherungsrisiko</v>
      </c>
      <c r="D1769" s="1091" t="str">
        <f>HE_Insurance_Risk!$C$15</f>
        <v>Erwartungswert und Standardabweichung</v>
      </c>
      <c r="E1769" s="1494" t="str">
        <f>HE_Insurance_Risk!$R$17</f>
        <v>OKP CH</v>
      </c>
      <c r="F1769" s="1488" t="str">
        <f>HE_Insurance_Risk!$C21</f>
        <v>Versicherungstechnische Erträge</v>
      </c>
      <c r="G1769" s="1494"/>
      <c r="H1769" s="1119">
        <f>HE_Insurance_Risk!$R21</f>
        <v>0</v>
      </c>
      <c r="U1769" s="1027"/>
      <c r="V1769" s="1027"/>
      <c r="W1769" s="1027"/>
    </row>
    <row r="1770" spans="2:23" ht="12.75" customHeight="1" x14ac:dyDescent="0.2">
      <c r="B1770" s="1083">
        <f>HE_Insurance_Risk!$A$1</f>
        <v>37</v>
      </c>
      <c r="C1770" s="1084" t="str">
        <f>HE_Insurance_Risk!$B$1</f>
        <v>Versicherungsrisiko</v>
      </c>
      <c r="D1770" s="1091" t="str">
        <f>HE_Insurance_Risk!$C$15</f>
        <v>Erwartungswert und Standardabweichung</v>
      </c>
      <c r="E1770" s="1494" t="str">
        <f>HE_Insurance_Risk!$R$17</f>
        <v>OKP CH</v>
      </c>
      <c r="F1770" s="1488" t="str">
        <f>HE_Insurance_Risk!$C24</f>
        <v>Bruttoprämien</v>
      </c>
      <c r="G1770" s="1494"/>
      <c r="H1770" s="1120">
        <f>HE_Insurance_Risk!$R24</f>
        <v>0</v>
      </c>
      <c r="U1770" s="1027"/>
      <c r="V1770" s="1027"/>
      <c r="W1770" s="1027"/>
    </row>
    <row r="1771" spans="2:23" ht="12.75" customHeight="1" x14ac:dyDescent="0.2">
      <c r="B1771" s="1083">
        <f>HE_Insurance_Risk!$A$1</f>
        <v>37</v>
      </c>
      <c r="C1771" s="1084" t="str">
        <f>HE_Insurance_Risk!$B$1</f>
        <v>Versicherungsrisiko</v>
      </c>
      <c r="D1771" s="1091" t="str">
        <f>HE_Insurance_Risk!$C$15</f>
        <v>Erwartungswert und Standardabweichung</v>
      </c>
      <c r="E1771" s="1494" t="str">
        <f>HE_Insurance_Risk!$R$17</f>
        <v>OKP CH</v>
      </c>
      <c r="F1771" s="1488" t="str">
        <f>HE_Insurance_Risk!$C25</f>
        <v>Erlösminderungen</v>
      </c>
      <c r="G1771" s="1494"/>
      <c r="H1771" s="1120">
        <f>HE_Insurance_Risk!$R25</f>
        <v>0</v>
      </c>
      <c r="U1771" s="1027"/>
      <c r="V1771" s="1027"/>
      <c r="W1771" s="1027"/>
    </row>
    <row r="1772" spans="2:23" ht="12.75" customHeight="1" x14ac:dyDescent="0.2">
      <c r="B1772" s="1083">
        <f>HE_Insurance_Risk!$A$1</f>
        <v>37</v>
      </c>
      <c r="C1772" s="1084" t="str">
        <f>HE_Insurance_Risk!$B$1</f>
        <v>Versicherungsrisiko</v>
      </c>
      <c r="D1772" s="1091" t="str">
        <f>HE_Insurance_Risk!$C$15</f>
        <v>Erwartungswert und Standardabweichung</v>
      </c>
      <c r="E1772" s="1494" t="str">
        <f>HE_Insurance_Risk!$R$17</f>
        <v>OKP CH</v>
      </c>
      <c r="F1772" s="1488" t="str">
        <f>HE_Insurance_Risk!$C27</f>
        <v>Verdiente Prämien vor Rückversicherung</v>
      </c>
      <c r="G1772" s="1494"/>
      <c r="H1772" s="1106">
        <f>HE_Insurance_Risk!$R27</f>
        <v>0</v>
      </c>
      <c r="U1772" s="1027"/>
      <c r="V1772" s="1027"/>
      <c r="W1772" s="1027"/>
    </row>
    <row r="1773" spans="2:23" ht="12.75" customHeight="1" x14ac:dyDescent="0.2">
      <c r="B1773" s="1083">
        <f>HE_Insurance_Risk!$A$1</f>
        <v>37</v>
      </c>
      <c r="C1773" s="1084" t="str">
        <f>HE_Insurance_Risk!$B$1</f>
        <v>Versicherungsrisiko</v>
      </c>
      <c r="D1773" s="1091" t="str">
        <f>HE_Insurance_Risk!$C$15</f>
        <v>Erwartungswert und Standardabweichung</v>
      </c>
      <c r="E1773" s="1494" t="str">
        <f>HE_Insurance_Risk!$R$17</f>
        <v>OKP CH</v>
      </c>
      <c r="F1773" s="1488" t="str">
        <f>HE_Insurance_Risk!$C28</f>
        <v>Prämienanteile der passiven Rückversicherung</v>
      </c>
      <c r="G1773" s="1494"/>
      <c r="H1773" s="1120">
        <f>HE_Insurance_Risk!$R28</f>
        <v>0</v>
      </c>
      <c r="U1773" s="1027"/>
      <c r="V1773" s="1027"/>
      <c r="W1773" s="1027"/>
    </row>
    <row r="1774" spans="2:23" ht="12.75" customHeight="1" x14ac:dyDescent="0.2">
      <c r="B1774" s="1083">
        <f>HE_Insurance_Risk!$A$1</f>
        <v>37</v>
      </c>
      <c r="C1774" s="1084" t="str">
        <f>HE_Insurance_Risk!$B$1</f>
        <v>Versicherungsrisiko</v>
      </c>
      <c r="D1774" s="1091" t="str">
        <f>HE_Insurance_Risk!$C$15</f>
        <v>Erwartungswert und Standardabweichung</v>
      </c>
      <c r="E1774" s="1494" t="str">
        <f>HE_Insurance_Risk!$R$17</f>
        <v>OKP CH</v>
      </c>
      <c r="F1774" s="1488" t="str">
        <f>HE_Insurance_Risk!$C30</f>
        <v>Verdiente Prämien nach Rückversicherung</v>
      </c>
      <c r="G1774" s="1494"/>
      <c r="H1774" s="1106">
        <f>HE_Insurance_Risk!$R30</f>
        <v>0</v>
      </c>
      <c r="U1774" s="1027"/>
      <c r="V1774" s="1027"/>
      <c r="W1774" s="1027"/>
    </row>
    <row r="1775" spans="2:23" ht="12.75" customHeight="1" x14ac:dyDescent="0.2">
      <c r="B1775" s="1083">
        <f>HE_Insurance_Risk!$A$1</f>
        <v>37</v>
      </c>
      <c r="C1775" s="1084" t="str">
        <f>HE_Insurance_Risk!$B$1</f>
        <v>Versicherungsrisiko</v>
      </c>
      <c r="D1775" s="1091" t="str">
        <f>HE_Insurance_Risk!$C$15</f>
        <v>Erwartungswert und Standardabweichung</v>
      </c>
      <c r="E1775" s="1494" t="str">
        <f>HE_Insurance_Risk!$R$17</f>
        <v>OKP CH</v>
      </c>
      <c r="F1775" s="1488" t="str">
        <f>HE_Insurance_Risk!$C32</f>
        <v>Sonstige versicherungstechnische Erträge</v>
      </c>
      <c r="G1775" s="1494"/>
      <c r="H1775" s="1120">
        <f>HE_Insurance_Risk!$R32</f>
        <v>0</v>
      </c>
      <c r="U1775" s="1027"/>
      <c r="V1775" s="1027"/>
      <c r="W1775" s="1027"/>
    </row>
    <row r="1776" spans="2:23" ht="12.75" customHeight="1" x14ac:dyDescent="0.2">
      <c r="B1776" s="1083">
        <f>HE_Insurance_Risk!$A$1</f>
        <v>37</v>
      </c>
      <c r="C1776" s="1084" t="str">
        <f>HE_Insurance_Risk!$B$1</f>
        <v>Versicherungsrisiko</v>
      </c>
      <c r="D1776" s="1091" t="str">
        <f>HE_Insurance_Risk!$C$15</f>
        <v>Erwartungswert und Standardabweichung</v>
      </c>
      <c r="E1776" s="1494" t="str">
        <f>HE_Insurance_Risk!$R$17</f>
        <v>OKP CH</v>
      </c>
      <c r="F1776" s="1488" t="str">
        <f>HE_Insurance_Risk!$C33</f>
        <v>Überschussbeteiligungen</v>
      </c>
      <c r="G1776" s="1494"/>
      <c r="H1776" s="1106">
        <f>HE_Insurance_Risk!$R33</f>
        <v>0</v>
      </c>
      <c r="U1776" s="1027"/>
      <c r="V1776" s="1027"/>
      <c r="W1776" s="1027"/>
    </row>
    <row r="1777" spans="2:23" ht="12.75" customHeight="1" x14ac:dyDescent="0.2">
      <c r="B1777" s="1083"/>
      <c r="C1777" s="1084"/>
      <c r="D1777" s="1091"/>
      <c r="E1777" s="1494"/>
      <c r="F1777" s="1488"/>
      <c r="G1777" s="1494"/>
      <c r="H1777" s="1116"/>
      <c r="U1777" s="1027"/>
      <c r="V1777" s="1027"/>
      <c r="W1777" s="1027"/>
    </row>
    <row r="1778" spans="2:23" ht="12.75" customHeight="1" x14ac:dyDescent="0.2">
      <c r="B1778" s="1083">
        <f>HE_Insurance_Risk!$A$1</f>
        <v>37</v>
      </c>
      <c r="C1778" s="1084" t="str">
        <f>HE_Insurance_Risk!$B$1</f>
        <v>Versicherungsrisiko</v>
      </c>
      <c r="D1778" s="1091" t="str">
        <f>HE_Insurance_Risk!$C$15</f>
        <v>Erwartungswert und Standardabweichung</v>
      </c>
      <c r="E1778" s="1494" t="str">
        <f>HE_Insurance_Risk!$R$17</f>
        <v>OKP CH</v>
      </c>
      <c r="F1778" s="1488" t="str">
        <f>HE_Insurance_Risk!$C35</f>
        <v>Versicherungstechnische Aufwendungen</v>
      </c>
      <c r="G1778" s="1494"/>
      <c r="H1778" s="1119">
        <f>HE_Insurance_Risk!$R35</f>
        <v>0</v>
      </c>
      <c r="U1778" s="1027"/>
      <c r="V1778" s="1027"/>
      <c r="W1778" s="1027"/>
    </row>
    <row r="1779" spans="2:23" ht="12.75" customHeight="1" x14ac:dyDescent="0.2">
      <c r="B1779" s="1083">
        <f>HE_Insurance_Risk!$A$1</f>
        <v>37</v>
      </c>
      <c r="C1779" s="1084" t="str">
        <f>HE_Insurance_Risk!$B$1</f>
        <v>Versicherungsrisiko</v>
      </c>
      <c r="D1779" s="1091" t="str">
        <f>HE_Insurance_Risk!$C$15</f>
        <v>Erwartungswert und Standardabweichung</v>
      </c>
      <c r="E1779" s="1494" t="str">
        <f>HE_Insurance_Risk!$R$17</f>
        <v>OKP CH</v>
      </c>
      <c r="F1779" s="1488" t="str">
        <f>HE_Insurance_Risk!$C38</f>
        <v>Bruttoleistungen (Behandlungsjahr 2025)</v>
      </c>
      <c r="G1779" s="1494"/>
      <c r="H1779" s="1120">
        <f>HE_Insurance_Risk!$R38</f>
        <v>0</v>
      </c>
      <c r="U1779" s="1027"/>
      <c r="V1779" s="1027"/>
      <c r="W1779" s="1027"/>
    </row>
    <row r="1780" spans="2:23" ht="12.75" customHeight="1" x14ac:dyDescent="0.2">
      <c r="B1780" s="1083">
        <f>HE_Insurance_Risk!$A$1</f>
        <v>37</v>
      </c>
      <c r="C1780" s="1084" t="str">
        <f>HE_Insurance_Risk!$B$1</f>
        <v>Versicherungsrisiko</v>
      </c>
      <c r="D1780" s="1091" t="str">
        <f>HE_Insurance_Risk!$C$15</f>
        <v>Erwartungswert und Standardabweichung</v>
      </c>
      <c r="E1780" s="1494" t="str">
        <f>HE_Insurance_Risk!$R$17</f>
        <v>OKP CH</v>
      </c>
      <c r="F1780" s="1488" t="str">
        <f>HE_Insurance_Risk!$C39</f>
        <v>Kostenbeteiligungen (Behandlungsjahr 2025)</v>
      </c>
      <c r="G1780" s="1494"/>
      <c r="H1780" s="1120">
        <f>HE_Insurance_Risk!$R39</f>
        <v>0</v>
      </c>
      <c r="U1780" s="1027"/>
      <c r="V1780" s="1027"/>
      <c r="W1780" s="1027"/>
    </row>
    <row r="1781" spans="2:23" ht="12.75" customHeight="1" x14ac:dyDescent="0.2">
      <c r="B1781" s="1083">
        <f>HE_Insurance_Risk!$A$1</f>
        <v>37</v>
      </c>
      <c r="C1781" s="1084" t="str">
        <f>HE_Insurance_Risk!$B$1</f>
        <v>Versicherungsrisiko</v>
      </c>
      <c r="D1781" s="1091" t="str">
        <f>HE_Insurance_Risk!$C$15</f>
        <v>Erwartungswert und Standardabweichung</v>
      </c>
      <c r="E1781" s="1494" t="str">
        <f>HE_Insurance_Risk!$R$17</f>
        <v>OKP CH</v>
      </c>
      <c r="F1781" s="1488" t="str">
        <f>HE_Insurance_Risk!$C40</f>
        <v>Sonstige Leistungen  (Behandlungsjahr 2025)</v>
      </c>
      <c r="G1781" s="1494"/>
      <c r="H1781" s="1120">
        <f>HE_Insurance_Risk!$R40</f>
        <v>0</v>
      </c>
      <c r="U1781" s="1027"/>
      <c r="V1781" s="1027"/>
      <c r="W1781" s="1027"/>
    </row>
    <row r="1782" spans="2:23" ht="12.75" customHeight="1" x14ac:dyDescent="0.2">
      <c r="B1782" s="1083">
        <f>HE_Insurance_Risk!$A$1</f>
        <v>37</v>
      </c>
      <c r="C1782" s="1084" t="str">
        <f>HE_Insurance_Risk!$B$1</f>
        <v>Versicherungsrisiko</v>
      </c>
      <c r="D1782" s="1091" t="str">
        <f>HE_Insurance_Risk!$C$15</f>
        <v>Erwartungswert und Standardabweichung</v>
      </c>
      <c r="E1782" s="1494" t="str">
        <f>HE_Insurance_Risk!$R$17</f>
        <v>OKP CH</v>
      </c>
      <c r="F1782" s="1488" t="str">
        <f>HE_Insurance_Risk!$C42</f>
        <v>Leistungen vor Rückversicherung</v>
      </c>
      <c r="G1782" s="1494"/>
      <c r="H1782" s="1106">
        <f>HE_Insurance_Risk!$R42</f>
        <v>0</v>
      </c>
      <c r="U1782" s="1027"/>
      <c r="V1782" s="1027"/>
      <c r="W1782" s="1027"/>
    </row>
    <row r="1783" spans="2:23" ht="12.75" customHeight="1" x14ac:dyDescent="0.2">
      <c r="B1783" s="1083">
        <f>HE_Insurance_Risk!$A$1</f>
        <v>37</v>
      </c>
      <c r="C1783" s="1084" t="str">
        <f>HE_Insurance_Risk!$B$1</f>
        <v>Versicherungsrisiko</v>
      </c>
      <c r="D1783" s="1091" t="str">
        <f>HE_Insurance_Risk!$C$15</f>
        <v>Erwartungswert und Standardabweichung</v>
      </c>
      <c r="E1783" s="1494" t="str">
        <f>HE_Insurance_Risk!$R$17</f>
        <v>OKP CH</v>
      </c>
      <c r="F1783" s="1488" t="str">
        <f>HE_Insurance_Risk!$C43</f>
        <v>Leistungsanteile der passiven Rückversicherung</v>
      </c>
      <c r="G1783" s="1494"/>
      <c r="H1783" s="1120">
        <f>HE_Insurance_Risk!$R43</f>
        <v>0</v>
      </c>
      <c r="U1783" s="1027"/>
      <c r="V1783" s="1027"/>
      <c r="W1783" s="1027"/>
    </row>
    <row r="1784" spans="2:23" ht="12.75" customHeight="1" x14ac:dyDescent="0.2">
      <c r="B1784" s="1083">
        <f>HE_Insurance_Risk!$A$1</f>
        <v>37</v>
      </c>
      <c r="C1784" s="1084" t="str">
        <f>HE_Insurance_Risk!$B$1</f>
        <v>Versicherungsrisiko</v>
      </c>
      <c r="D1784" s="1091" t="str">
        <f>HE_Insurance_Risk!$C$15</f>
        <v>Erwartungswert und Standardabweichung</v>
      </c>
      <c r="E1784" s="1494" t="str">
        <f>HE_Insurance_Risk!$R$17</f>
        <v>OKP CH</v>
      </c>
      <c r="F1784" s="1488" t="str">
        <f>HE_Insurance_Risk!$C45</f>
        <v>Leistungen nach Rückversicherung</v>
      </c>
      <c r="G1784" s="1494"/>
      <c r="H1784" s="1106">
        <f>HE_Insurance_Risk!$R45</f>
        <v>0</v>
      </c>
      <c r="U1784" s="1027"/>
      <c r="V1784" s="1027"/>
      <c r="W1784" s="1027"/>
    </row>
    <row r="1785" spans="2:23" ht="12.75" customHeight="1" x14ac:dyDescent="0.2">
      <c r="B1785" s="1083">
        <f>HE_Insurance_Risk!$A$1</f>
        <v>37</v>
      </c>
      <c r="C1785" s="1084" t="str">
        <f>HE_Insurance_Risk!$B$1</f>
        <v>Versicherungsrisiko</v>
      </c>
      <c r="D1785" s="1091" t="str">
        <f>HE_Insurance_Risk!$C$15</f>
        <v>Erwartungswert und Standardabweichung</v>
      </c>
      <c r="E1785" s="1494" t="str">
        <f>HE_Insurance_Risk!$R$17</f>
        <v>OKP CH</v>
      </c>
      <c r="F1785" s="1488"/>
      <c r="G1785" s="1524" t="s">
        <v>1810</v>
      </c>
      <c r="U1785" s="1027"/>
      <c r="V1785" s="1027"/>
      <c r="W1785" s="1027"/>
    </row>
    <row r="1786" spans="2:23" ht="12.75" customHeight="1" x14ac:dyDescent="0.2">
      <c r="B1786" s="1083">
        <f>HE_Insurance_Risk!$A$1</f>
        <v>37</v>
      </c>
      <c r="C1786" s="1084" t="str">
        <f>HE_Insurance_Risk!$B$1</f>
        <v>Versicherungsrisiko</v>
      </c>
      <c r="D1786" s="1091" t="str">
        <f>HE_Insurance_Risk!$C$15</f>
        <v>Erwartungswert und Standardabweichung</v>
      </c>
      <c r="E1786" s="1494" t="str">
        <f>HE_Insurance_Risk!$R$17</f>
        <v>OKP CH</v>
      </c>
      <c r="F1786" s="1488" t="str">
        <f>HE_Insurance_Risk!$C47</f>
        <v>Veränderung der Alterungsrückstellungen und Deckungskapitalien</v>
      </c>
      <c r="G1786" s="1494"/>
      <c r="H1786" s="1106">
        <f>HE_Insurance_Risk!$R47</f>
        <v>0</v>
      </c>
      <c r="U1786" s="1027"/>
      <c r="V1786" s="1027"/>
      <c r="W1786" s="1027"/>
    </row>
    <row r="1787" spans="2:23" ht="12.75" customHeight="1" x14ac:dyDescent="0.2">
      <c r="B1787" s="1083">
        <f>HE_Insurance_Risk!$A$1</f>
        <v>37</v>
      </c>
      <c r="C1787" s="1084" t="str">
        <f>HE_Insurance_Risk!$B$1</f>
        <v>Versicherungsrisiko</v>
      </c>
      <c r="D1787" s="1091" t="str">
        <f>HE_Insurance_Risk!$C$15</f>
        <v>Erwartungswert und Standardabweichung</v>
      </c>
      <c r="E1787" s="1494" t="str">
        <f>HE_Insurance_Risk!$R$17</f>
        <v>OKP CH</v>
      </c>
      <c r="F1787" s="1488" t="str">
        <f>HE_Insurance_Risk!$C48</f>
        <v>Veränderung der sonstigen technischen Rückstellungen</v>
      </c>
      <c r="G1787" s="1494"/>
      <c r="H1787" s="1106">
        <f>HE_Insurance_Risk!$R48</f>
        <v>0</v>
      </c>
      <c r="U1787" s="1027"/>
      <c r="V1787" s="1027"/>
      <c r="W1787" s="1027"/>
    </row>
    <row r="1788" spans="2:23" ht="12.75" customHeight="1" x14ac:dyDescent="0.2">
      <c r="B1788" s="1083">
        <f>HE_Insurance_Risk!$A$1</f>
        <v>37</v>
      </c>
      <c r="C1788" s="1084" t="str">
        <f>HE_Insurance_Risk!$B$1</f>
        <v>Versicherungsrisiko</v>
      </c>
      <c r="D1788" s="1091" t="str">
        <f>HE_Insurance_Risk!$C$15</f>
        <v>Erwartungswert und Standardabweichung</v>
      </c>
      <c r="E1788" s="1494" t="str">
        <f>HE_Insurance_Risk!$R$17</f>
        <v>OKP CH</v>
      </c>
      <c r="F1788" s="1488" t="str">
        <f>HE_Insurance_Risk!$C50</f>
        <v>Risikoausgleich (2025)</v>
      </c>
      <c r="G1788" s="1494"/>
      <c r="H1788" s="1120">
        <f>HE_Insurance_Risk!$R50</f>
        <v>0</v>
      </c>
      <c r="U1788" s="1027"/>
      <c r="V1788" s="1027"/>
      <c r="W1788" s="1027"/>
    </row>
    <row r="1789" spans="2:23" ht="12.75" customHeight="1" x14ac:dyDescent="0.2">
      <c r="B1789" s="1083">
        <f>HE_Insurance_Risk!$A$1</f>
        <v>37</v>
      </c>
      <c r="C1789" s="1084" t="str">
        <f>HE_Insurance_Risk!$B$1</f>
        <v>Versicherungsrisiko</v>
      </c>
      <c r="D1789" s="1091" t="str">
        <f>HE_Insurance_Risk!$C$15</f>
        <v>Erwartungswert und Standardabweichung</v>
      </c>
      <c r="E1789" s="1494" t="str">
        <f>HE_Insurance_Risk!$R$17</f>
        <v>OKP CH</v>
      </c>
      <c r="F1789" s="1488" t="str">
        <f>HE_Insurance_Risk!$C51</f>
        <v>Andere Aufwendungen</v>
      </c>
      <c r="G1789" s="1494"/>
      <c r="H1789" s="1106">
        <f>HE_Insurance_Risk!$R51</f>
        <v>0</v>
      </c>
      <c r="U1789" s="1027"/>
      <c r="V1789" s="1027"/>
      <c r="W1789" s="1027"/>
    </row>
    <row r="1790" spans="2:23" ht="12.75" customHeight="1" x14ac:dyDescent="0.2">
      <c r="B1790" s="1083">
        <f>HE_Insurance_Risk!$A$1</f>
        <v>37</v>
      </c>
      <c r="C1790" s="1084" t="str">
        <f>HE_Insurance_Risk!$B$1</f>
        <v>Versicherungsrisiko</v>
      </c>
      <c r="D1790" s="1091" t="str">
        <f>HE_Insurance_Risk!$C$15</f>
        <v>Erwartungswert und Standardabweichung</v>
      </c>
      <c r="E1790" s="1494" t="str">
        <f>HE_Insurance_Risk!$R$17</f>
        <v>OKP CH</v>
      </c>
      <c r="F1790" s="1488" t="str">
        <f>HE_Insurance_Risk!$C53</f>
        <v>Schaden- und Leistungsaufwand für eigene Rechnung</v>
      </c>
      <c r="G1790" s="1494"/>
      <c r="H1790" s="1121">
        <f>HE_Insurance_Risk!$R53</f>
        <v>0</v>
      </c>
      <c r="U1790" s="1027"/>
      <c r="V1790" s="1027"/>
      <c r="W1790" s="1027"/>
    </row>
    <row r="1791" spans="2:23" ht="12.75" customHeight="1" x14ac:dyDescent="0.2">
      <c r="B1791" s="1083">
        <f>HE_Insurance_Risk!$A$1</f>
        <v>37</v>
      </c>
      <c r="C1791" s="1084" t="str">
        <f>HE_Insurance_Risk!$B$1</f>
        <v>Versicherungsrisiko</v>
      </c>
      <c r="D1791" s="1091" t="str">
        <f>HE_Insurance_Risk!$C$15</f>
        <v>Erwartungswert und Standardabweichung</v>
      </c>
      <c r="E1791" s="1494" t="str">
        <f>HE_Insurance_Risk!$R$17</f>
        <v>OKP CH</v>
      </c>
      <c r="F1791" s="1488" t="str">
        <f>HE_Insurance_Risk!$C55</f>
        <v>Aufwendungen für den Betrieb, Verwaltungsaufwand</v>
      </c>
      <c r="G1791" s="1494"/>
      <c r="H1791" s="1120">
        <f>HE_Insurance_Risk!$R55</f>
        <v>0</v>
      </c>
      <c r="U1791" s="1027"/>
      <c r="V1791" s="1027"/>
      <c r="W1791" s="1027"/>
    </row>
    <row r="1792" spans="2:23" ht="12.75" customHeight="1" x14ac:dyDescent="0.2">
      <c r="B1792" s="1083"/>
      <c r="C1792" s="1084"/>
      <c r="D1792" s="1091"/>
      <c r="E1792" s="1494"/>
      <c r="F1792" s="1488"/>
      <c r="G1792" s="1494"/>
      <c r="H1792" s="1116"/>
      <c r="U1792" s="1027"/>
      <c r="V1792" s="1027"/>
      <c r="W1792" s="1027"/>
    </row>
    <row r="1793" spans="2:23" ht="12.75" customHeight="1" x14ac:dyDescent="0.2">
      <c r="B1793" s="1083">
        <f>HE_Insurance_Risk!$A$1</f>
        <v>37</v>
      </c>
      <c r="C1793" s="1084" t="str">
        <f>HE_Insurance_Risk!$B$1</f>
        <v>Versicherungsrisiko</v>
      </c>
      <c r="D1793" s="1091" t="str">
        <f>HE_Insurance_Risk!$C$15</f>
        <v>Erwartungswert und Standardabweichung</v>
      </c>
      <c r="E1793" s="1494" t="str">
        <f>HE_Insurance_Risk!$R$17</f>
        <v>OKP CH</v>
      </c>
      <c r="F1793" s="1488" t="str">
        <f>HE_Insurance_Risk!$C57</f>
        <v>Versicherungstechnisches Resultat</v>
      </c>
      <c r="G1793" s="1494"/>
      <c r="H1793" s="1119">
        <f>HE_Insurance_Risk!$R57</f>
        <v>0</v>
      </c>
      <c r="U1793" s="1027"/>
      <c r="V1793" s="1027"/>
      <c r="W1793" s="1027"/>
    </row>
    <row r="1794" spans="2:23" ht="12.75" customHeight="1" x14ac:dyDescent="0.2">
      <c r="B1794" s="1083"/>
      <c r="C1794" s="1084"/>
      <c r="D1794" s="1091"/>
      <c r="E1794" s="1494"/>
      <c r="F1794" s="1488"/>
      <c r="G1794" s="1494"/>
      <c r="H1794" s="1122"/>
      <c r="U1794" s="1027"/>
      <c r="V1794" s="1027"/>
      <c r="W1794" s="1027"/>
    </row>
    <row r="1795" spans="2:23" ht="12.75" customHeight="1" x14ac:dyDescent="0.2">
      <c r="B1795" s="1083">
        <f>HE_Insurance_Risk!$A$1</f>
        <v>37</v>
      </c>
      <c r="C1795" s="1084" t="str">
        <f>HE_Insurance_Risk!$B$1</f>
        <v>Versicherungsrisiko</v>
      </c>
      <c r="D1795" s="1091" t="str">
        <f>HE_Insurance_Risk!$C$15</f>
        <v>Erwartungswert und Standardabweichung</v>
      </c>
      <c r="E1795" s="1494" t="str">
        <f>HE_Insurance_Risk!$R$17</f>
        <v>OKP CH</v>
      </c>
      <c r="F1795" s="1488" t="str">
        <f>HE_Insurance_Risk!$C59</f>
        <v>Erwartete Anzahl Versicherte (Durschnittbestand)</v>
      </c>
      <c r="G1795" s="1494"/>
      <c r="H1795" s="1504" t="str">
        <f>IF(ISNUMBER(HE_Insurance_Risk!$R$59),HE_Insurance_Risk!$R$59,"")</f>
        <v/>
      </c>
      <c r="U1795" s="1027"/>
      <c r="V1795" s="1027"/>
      <c r="W1795" s="1027"/>
    </row>
    <row r="1796" spans="2:23" ht="12.75" customHeight="1" x14ac:dyDescent="0.2">
      <c r="B1796" s="1083"/>
      <c r="C1796" s="1084"/>
      <c r="D1796" s="1091"/>
      <c r="E1796" s="1494"/>
      <c r="F1796" s="1488"/>
      <c r="G1796" s="1494"/>
      <c r="H1796" s="1122"/>
      <c r="U1796" s="1027"/>
      <c r="V1796" s="1027"/>
      <c r="W1796" s="1027"/>
    </row>
    <row r="1797" spans="2:23" ht="12.75" customHeight="1" x14ac:dyDescent="0.2">
      <c r="B1797" s="1083"/>
      <c r="C1797" s="1084"/>
      <c r="D1797" s="1091"/>
      <c r="E1797" s="1494"/>
      <c r="F1797" s="1488"/>
      <c r="G1797" s="1494"/>
      <c r="H1797" s="1124"/>
      <c r="U1797" s="1027"/>
      <c r="V1797" s="1027"/>
      <c r="W1797" s="1027"/>
    </row>
    <row r="1798" spans="2:23" ht="12.75" customHeight="1" x14ac:dyDescent="0.2">
      <c r="B1798" s="1083">
        <f>HE_Insurance_Risk!$A$1</f>
        <v>37</v>
      </c>
      <c r="C1798" s="1084" t="str">
        <f>HE_Insurance_Risk!$B$1</f>
        <v>Versicherungsrisiko</v>
      </c>
      <c r="D1798" s="1091" t="str">
        <f>HE_Insurance_Risk!$C$61</f>
        <v>Variabilität</v>
      </c>
      <c r="E1798" s="1494" t="str">
        <f>HE_Insurance_Risk!$R$17</f>
        <v>OKP CH</v>
      </c>
      <c r="F1798" s="1488" t="str">
        <f>HE_Insurance_Risk!$C65</f>
        <v>Erwartete Anzahl Schadenfälle bzw. Erkrankte</v>
      </c>
      <c r="G1798" s="1494"/>
      <c r="H1798" s="1123" t="str">
        <f>IF(ISNUMBER(HE_Insurance_Risk!$R$65),HE_Insurance_Risk!$R$65,"")</f>
        <v/>
      </c>
      <c r="U1798" s="1027"/>
      <c r="V1798" s="1027"/>
      <c r="W1798" s="1027"/>
    </row>
    <row r="1799" spans="2:23" ht="12.75" customHeight="1" x14ac:dyDescent="0.2">
      <c r="B1799" s="1083"/>
      <c r="C1799" s="1084"/>
      <c r="D1799" s="1091"/>
      <c r="E1799" s="1494"/>
      <c r="F1799" s="1488"/>
      <c r="G1799" s="1494"/>
      <c r="H1799" s="1122"/>
      <c r="U1799" s="1027"/>
      <c r="V1799" s="1027"/>
      <c r="W1799" s="1027"/>
    </row>
    <row r="1800" spans="2:23" ht="12.75" customHeight="1" x14ac:dyDescent="0.2">
      <c r="B1800" s="1083">
        <f>HE_Insurance_Risk!$A$1</f>
        <v>37</v>
      </c>
      <c r="C1800" s="1084" t="str">
        <f>HE_Insurance_Risk!$B$1</f>
        <v>Versicherungsrisiko</v>
      </c>
      <c r="D1800" s="1091" t="str">
        <f>HE_Insurance_Risk!$C$61</f>
        <v>Variabilität</v>
      </c>
      <c r="E1800" s="1494" t="str">
        <f>HE_Insurance_Risk!$R$17</f>
        <v>OKP CH</v>
      </c>
      <c r="F1800" s="1488" t="str">
        <f>HE_Insurance_Risk!$C67</f>
        <v>Variationskoeffizient des Einzelschadens</v>
      </c>
      <c r="G1800" s="1494"/>
      <c r="H1800" s="1122">
        <f>HE_Insurance_Risk!$R67</f>
        <v>0</v>
      </c>
      <c r="U1800" s="1027"/>
      <c r="V1800" s="1027"/>
      <c r="W1800" s="1027"/>
    </row>
    <row r="1801" spans="2:23" ht="12.75" customHeight="1" x14ac:dyDescent="0.2">
      <c r="B1801" s="1083">
        <f>HE_Insurance_Risk!$A$1</f>
        <v>37</v>
      </c>
      <c r="C1801" s="1084" t="str">
        <f>HE_Insurance_Risk!$B$1</f>
        <v>Versicherungsrisiko</v>
      </c>
      <c r="D1801" s="1091" t="str">
        <f>HE_Insurance_Risk!$C$61</f>
        <v>Variabilität</v>
      </c>
      <c r="E1801" s="1494" t="str">
        <f>HE_Insurance_Risk!$R$17</f>
        <v>OKP CH</v>
      </c>
      <c r="F1801" s="1488" t="str">
        <f>HE_Insurance_Risk!$C68</f>
        <v>Standardwert (vor Rückversicherung)</v>
      </c>
      <c r="G1801" s="1494"/>
      <c r="H1801" s="1525">
        <f>HE_Insurance_Risk!$R68</f>
        <v>0</v>
      </c>
      <c r="U1801" s="1027"/>
      <c r="V1801" s="1027"/>
      <c r="W1801" s="1027"/>
    </row>
    <row r="1802" spans="2:23" ht="12.75" customHeight="1" x14ac:dyDescent="0.2">
      <c r="B1802" s="1083">
        <f>HE_Insurance_Risk!$A$1</f>
        <v>37</v>
      </c>
      <c r="C1802" s="1084" t="str">
        <f>HE_Insurance_Risk!$B$1</f>
        <v>Versicherungsrisiko</v>
      </c>
      <c r="D1802" s="1091" t="str">
        <f>HE_Insurance_Risk!$C$61</f>
        <v>Variabilität</v>
      </c>
      <c r="E1802" s="1494" t="str">
        <f>HE_Insurance_Risk!$R$17</f>
        <v>OKP CH</v>
      </c>
      <c r="F1802" s="1488" t="str">
        <f>HE_Insurance_Risk!$C69</f>
        <v>errechneter Wert nach Rückversicherung</v>
      </c>
      <c r="G1802" s="1494"/>
      <c r="H1802" s="1127">
        <f>HE_Insurance_Risk!$R69</f>
        <v>0</v>
      </c>
      <c r="U1802" s="1027"/>
      <c r="V1802" s="1027"/>
      <c r="W1802" s="1027"/>
    </row>
    <row r="1803" spans="2:23" ht="12.75" customHeight="1" x14ac:dyDescent="0.2">
      <c r="B1803" s="1083">
        <f>HE_Insurance_Risk!$A$1</f>
        <v>37</v>
      </c>
      <c r="C1803" s="1084" t="str">
        <f>HE_Insurance_Risk!$B$1</f>
        <v>Versicherungsrisiko</v>
      </c>
      <c r="D1803" s="1091" t="str">
        <f>HE_Insurance_Risk!$C$61</f>
        <v>Variabilität</v>
      </c>
      <c r="E1803" s="1494" t="str">
        <f>HE_Insurance_Risk!$R$17</f>
        <v>OKP CH</v>
      </c>
      <c r="F1803" s="1488" t="str">
        <f>HE_Insurance_Risk!$C70</f>
        <v>benutzter Wert (Abweichung vom Standard: begründen)</v>
      </c>
      <c r="G1803" s="1494"/>
      <c r="H1803" s="1128">
        <f>HE_Insurance_Risk!$R70</f>
        <v>0</v>
      </c>
      <c r="U1803" s="1027"/>
      <c r="V1803" s="1027"/>
      <c r="W1803" s="1027"/>
    </row>
    <row r="1804" spans="2:23" ht="12.75" customHeight="1" x14ac:dyDescent="0.2">
      <c r="B1804" s="1083"/>
      <c r="C1804" s="1084"/>
      <c r="D1804" s="1091"/>
      <c r="E1804" s="1494"/>
      <c r="F1804" s="1488"/>
      <c r="G1804" s="1494"/>
      <c r="H1804" s="1124"/>
      <c r="U1804" s="1027"/>
      <c r="V1804" s="1027"/>
      <c r="W1804" s="1027"/>
    </row>
    <row r="1805" spans="2:23" ht="12.75" customHeight="1" x14ac:dyDescent="0.2">
      <c r="B1805" s="1083">
        <f>HE_Insurance_Risk!$A$1</f>
        <v>37</v>
      </c>
      <c r="C1805" s="1084" t="str">
        <f>HE_Insurance_Risk!$B$1</f>
        <v>Versicherungsrisiko</v>
      </c>
      <c r="D1805" s="1091" t="str">
        <f>HE_Insurance_Risk!$C$61</f>
        <v>Variabilität</v>
      </c>
      <c r="E1805" s="1494" t="str">
        <f>HE_Insurance_Risk!$R$17</f>
        <v>OKP CH</v>
      </c>
      <c r="F1805" s="1488" t="str">
        <f>HE_Insurance_Risk!$C72</f>
        <v>Resultat: Variationskoeffizient des Zufallsrisikos</v>
      </c>
      <c r="G1805" s="1494"/>
      <c r="H1805" s="1124">
        <f>HE_Insurance_Risk!$R72</f>
        <v>0</v>
      </c>
      <c r="U1805" s="1027"/>
      <c r="V1805" s="1027"/>
      <c r="W1805" s="1027"/>
    </row>
    <row r="1806" spans="2:23" ht="12.75" customHeight="1" x14ac:dyDescent="0.2">
      <c r="B1806" s="1083">
        <f>HE_Insurance_Risk!$A$1</f>
        <v>37</v>
      </c>
      <c r="C1806" s="1084" t="str">
        <f>HE_Insurance_Risk!$B$1</f>
        <v>Versicherungsrisiko</v>
      </c>
      <c r="D1806" s="1091" t="str">
        <f>HE_Insurance_Risk!$C$61</f>
        <v>Variabilität</v>
      </c>
      <c r="E1806" s="1494" t="str">
        <f>HE_Insurance_Risk!$R$17</f>
        <v>OKP CH</v>
      </c>
      <c r="F1806" s="1488" t="str">
        <f>HE_Insurance_Risk!$C73</f>
        <v>errechneter Wert vor Rückversicherung</v>
      </c>
      <c r="G1806" s="1494"/>
      <c r="H1806" s="1129" t="str">
        <f>HE_Insurance_Risk!$R73</f>
        <v/>
      </c>
      <c r="U1806" s="1027"/>
      <c r="V1806" s="1027"/>
      <c r="W1806" s="1027"/>
    </row>
    <row r="1807" spans="2:23" ht="12.75" customHeight="1" x14ac:dyDescent="0.2">
      <c r="B1807" s="1083">
        <f>HE_Insurance_Risk!$A$1</f>
        <v>37</v>
      </c>
      <c r="C1807" s="1084" t="str">
        <f>HE_Insurance_Risk!$B$1</f>
        <v>Versicherungsrisiko</v>
      </c>
      <c r="D1807" s="1091" t="str">
        <f>HE_Insurance_Risk!$C$61</f>
        <v>Variabilität</v>
      </c>
      <c r="E1807" s="1494" t="str">
        <f>HE_Insurance_Risk!$R$17</f>
        <v>OKP CH</v>
      </c>
      <c r="F1807" s="1488" t="str">
        <f>HE_Insurance_Risk!$C74</f>
        <v>errechneter Wert nach Rückversicherung</v>
      </c>
      <c r="G1807" s="1494"/>
      <c r="H1807" s="1129">
        <f>HE_Insurance_Risk!$R74</f>
        <v>0</v>
      </c>
      <c r="U1807" s="1027"/>
      <c r="V1807" s="1027"/>
      <c r="W1807" s="1027"/>
    </row>
    <row r="1808" spans="2:23" ht="12.75" customHeight="1" x14ac:dyDescent="0.2">
      <c r="B1808" s="1083">
        <f>HE_Insurance_Risk!$A$1</f>
        <v>37</v>
      </c>
      <c r="C1808" s="1084" t="str">
        <f>HE_Insurance_Risk!$B$1</f>
        <v>Versicherungsrisiko</v>
      </c>
      <c r="D1808" s="1091" t="str">
        <f>HE_Insurance_Risk!$C$61</f>
        <v>Variabilität</v>
      </c>
      <c r="E1808" s="1494" t="str">
        <f>HE_Insurance_Risk!$R$17</f>
        <v>OKP CH</v>
      </c>
      <c r="F1808" s="1488" t="str">
        <f>HE_Insurance_Risk!$C75</f>
        <v>benutzter Wert</v>
      </c>
      <c r="G1808" s="1494"/>
      <c r="H1808" s="1130">
        <f>HE_Insurance_Risk!$R75</f>
        <v>0</v>
      </c>
      <c r="U1808" s="1027"/>
      <c r="V1808" s="1027"/>
      <c r="W1808" s="1027"/>
    </row>
    <row r="1809" spans="2:23" ht="12.75" customHeight="1" x14ac:dyDescent="0.2">
      <c r="B1809" s="1083"/>
      <c r="C1809" s="1084"/>
      <c r="D1809" s="1091"/>
      <c r="E1809" s="1494"/>
      <c r="F1809" s="1488"/>
      <c r="G1809" s="1494"/>
      <c r="H1809" s="1124"/>
      <c r="U1809" s="1027"/>
      <c r="V1809" s="1027"/>
      <c r="W1809" s="1027"/>
    </row>
    <row r="1810" spans="2:23" ht="12.75" customHeight="1" x14ac:dyDescent="0.2">
      <c r="B1810" s="1083">
        <f>HE_Insurance_Risk!$A$1</f>
        <v>37</v>
      </c>
      <c r="C1810" s="1084" t="str">
        <f>HE_Insurance_Risk!$B$1</f>
        <v>Versicherungsrisiko</v>
      </c>
      <c r="D1810" s="1091" t="str">
        <f>HE_Insurance_Risk!$C$61</f>
        <v>Variabilität</v>
      </c>
      <c r="E1810" s="1494" t="str">
        <f>HE_Insurance_Risk!$R$17</f>
        <v>OKP CH</v>
      </c>
      <c r="F1810" s="1488" t="str">
        <f>HE_Insurance_Risk!$C78</f>
        <v>Variationskoeffizient des Parameterrisikos</v>
      </c>
      <c r="G1810" s="1494"/>
      <c r="H1810" s="1124">
        <f>HE_Insurance_Risk!$R78</f>
        <v>0</v>
      </c>
      <c r="U1810" s="1027"/>
      <c r="V1810" s="1027"/>
      <c r="W1810" s="1027"/>
    </row>
    <row r="1811" spans="2:23" ht="12.75" customHeight="1" x14ac:dyDescent="0.2">
      <c r="B1811" s="1083">
        <f>HE_Insurance_Risk!$A$1</f>
        <v>37</v>
      </c>
      <c r="C1811" s="1084" t="str">
        <f>HE_Insurance_Risk!$B$1</f>
        <v>Versicherungsrisiko</v>
      </c>
      <c r="D1811" s="1091" t="str">
        <f>HE_Insurance_Risk!$C$61</f>
        <v>Variabilität</v>
      </c>
      <c r="E1811" s="1494" t="str">
        <f>HE_Insurance_Risk!$R$17</f>
        <v>OKP CH</v>
      </c>
      <c r="F1811" s="1488" t="str">
        <f>HE_Insurance_Risk!$C79</f>
        <v>Standardwert (vor Rückversicherung)</v>
      </c>
      <c r="G1811" s="1494"/>
      <c r="H1811" s="1526">
        <f>HE_Insurance_Risk!$R79</f>
        <v>0.06</v>
      </c>
      <c r="U1811" s="1027"/>
      <c r="V1811" s="1027"/>
      <c r="W1811" s="1027"/>
    </row>
    <row r="1812" spans="2:23" ht="12.75" customHeight="1" x14ac:dyDescent="0.2">
      <c r="B1812" s="1083">
        <f>HE_Insurance_Risk!$A$1</f>
        <v>37</v>
      </c>
      <c r="C1812" s="1084" t="str">
        <f>HE_Insurance_Risk!$B$1</f>
        <v>Versicherungsrisiko</v>
      </c>
      <c r="D1812" s="1091" t="str">
        <f>HE_Insurance_Risk!$C$61</f>
        <v>Variabilität</v>
      </c>
      <c r="E1812" s="1494" t="str">
        <f>HE_Insurance_Risk!$R$17</f>
        <v>OKP CH</v>
      </c>
      <c r="F1812" s="1488" t="str">
        <f>HE_Insurance_Risk!$C80</f>
        <v>errechneter Wert nach Rückversicherung</v>
      </c>
      <c r="G1812" s="1494"/>
      <c r="H1812" s="1131">
        <f>HE_Insurance_Risk!$R80</f>
        <v>0.06</v>
      </c>
      <c r="U1812" s="1027"/>
      <c r="V1812" s="1027"/>
      <c r="W1812" s="1027"/>
    </row>
    <row r="1813" spans="2:23" ht="12.75" customHeight="1" x14ac:dyDescent="0.2">
      <c r="B1813" s="1083">
        <f>HE_Insurance_Risk!$A$1</f>
        <v>37</v>
      </c>
      <c r="C1813" s="1084" t="str">
        <f>HE_Insurance_Risk!$B$1</f>
        <v>Versicherungsrisiko</v>
      </c>
      <c r="D1813" s="1091" t="str">
        <f>HE_Insurance_Risk!$C$61</f>
        <v>Variabilität</v>
      </c>
      <c r="E1813" s="1494" t="str">
        <f>HE_Insurance_Risk!$R$17</f>
        <v>OKP CH</v>
      </c>
      <c r="F1813" s="1488" t="str">
        <f>HE_Insurance_Risk!$C81</f>
        <v>benutzter Wert (Abweichung vom Standard begründen)</v>
      </c>
      <c r="G1813" s="1494"/>
      <c r="H1813" s="1130">
        <f>HE_Insurance_Risk!$R81</f>
        <v>0.06</v>
      </c>
      <c r="U1813" s="1027"/>
      <c r="V1813" s="1027"/>
      <c r="W1813" s="1027"/>
    </row>
    <row r="1814" spans="2:23" ht="12.75" customHeight="1" x14ac:dyDescent="0.2">
      <c r="B1814" s="1083"/>
      <c r="C1814" s="1084"/>
      <c r="D1814" s="1091"/>
      <c r="E1814" s="1494"/>
      <c r="F1814" s="1488"/>
      <c r="G1814" s="1494"/>
      <c r="H1814" s="1124"/>
      <c r="U1814" s="1027"/>
      <c r="V1814" s="1027"/>
      <c r="W1814" s="1027"/>
    </row>
    <row r="1815" spans="2:23" ht="12.75" customHeight="1" x14ac:dyDescent="0.2">
      <c r="B1815" s="1083">
        <f>HE_Insurance_Risk!$A$1</f>
        <v>37</v>
      </c>
      <c r="C1815" s="1084" t="str">
        <f>HE_Insurance_Risk!$B$1</f>
        <v>Versicherungsrisiko</v>
      </c>
      <c r="D1815" s="1091" t="str">
        <f>HE_Insurance_Risk!$C$61</f>
        <v>Variabilität</v>
      </c>
      <c r="E1815" s="1494" t="str">
        <f>HE_Insurance_Risk!$R$17</f>
        <v>OKP CH</v>
      </c>
      <c r="F1815" s="1527" t="str">
        <f>HE_Insurance_Risk!$C84</f>
        <v>Variationskoeffizient der jährlichen Leistungen</v>
      </c>
      <c r="G1815" s="1494"/>
      <c r="H1815" s="1132">
        <f>HE_Insurance_Risk!$R84</f>
        <v>0.06</v>
      </c>
      <c r="U1815" s="1027"/>
      <c r="V1815" s="1027"/>
      <c r="W1815" s="1027"/>
    </row>
    <row r="1816" spans="2:23" ht="12.75" customHeight="1" x14ac:dyDescent="0.2">
      <c r="B1816" s="1083">
        <f>HE_Insurance_Risk!$A$1</f>
        <v>37</v>
      </c>
      <c r="C1816" s="1084" t="str">
        <f>HE_Insurance_Risk!$B$1</f>
        <v>Versicherungsrisiko</v>
      </c>
      <c r="D1816" s="1091" t="str">
        <f>HE_Insurance_Risk!$C$61</f>
        <v>Variabilität</v>
      </c>
      <c r="E1816" s="1494" t="str">
        <f>HE_Insurance_Risk!$R$17</f>
        <v>OKP CH</v>
      </c>
      <c r="F1816" s="1527" t="str">
        <f>HE_Insurance_Risk!$C85</f>
        <v>benutzter Variationskoeffizient</v>
      </c>
      <c r="G1816" s="1494"/>
      <c r="H1816" s="1134">
        <f>HE_Insurance_Risk!$R85</f>
        <v>0.06</v>
      </c>
      <c r="U1816" s="1027"/>
      <c r="V1816" s="1027"/>
      <c r="W1816" s="1027"/>
    </row>
    <row r="1817" spans="2:23" ht="12.75" customHeight="1" x14ac:dyDescent="0.2">
      <c r="B1817" s="1083"/>
      <c r="C1817" s="1084"/>
      <c r="D1817" s="1091"/>
      <c r="E1817" s="1494"/>
      <c r="F1817" s="1488"/>
      <c r="G1817" s="1494"/>
      <c r="H1817" s="1129"/>
      <c r="U1817" s="1027"/>
      <c r="V1817" s="1027"/>
      <c r="W1817" s="1027"/>
    </row>
    <row r="1818" spans="2:23" s="1534" customFormat="1" ht="12.75" customHeight="1" x14ac:dyDescent="0.2">
      <c r="B1818" s="1528">
        <f>HE_Insurance_Risk!$A$1</f>
        <v>37</v>
      </c>
      <c r="C1818" s="1529" t="str">
        <f>HE_Insurance_Risk!$B$1</f>
        <v>Versicherungsrisiko</v>
      </c>
      <c r="D1818" s="1530" t="str">
        <f>HE_Insurance_Risk!$C$61</f>
        <v>Variabilität</v>
      </c>
      <c r="E1818" s="1531" t="str">
        <f>HE_Insurance_Risk!$R$17</f>
        <v>OKP CH</v>
      </c>
      <c r="F1818" s="1532" t="str">
        <f>HE_Insurance_Risk!$C92</f>
        <v>Standardabweichung des versicherungstechnischen Risikos</v>
      </c>
      <c r="G1818" s="1531" t="s">
        <v>1808</v>
      </c>
      <c r="H1818" s="1533">
        <f>HE_Insurance_Risk!$R$92</f>
        <v>0</v>
      </c>
    </row>
    <row r="1819" spans="2:23" ht="12.75" customHeight="1" x14ac:dyDescent="0.2">
      <c r="B1819" s="1083"/>
      <c r="C1819" s="1084"/>
      <c r="D1819" s="1091"/>
      <c r="E1819" s="1494"/>
      <c r="F1819" s="1488"/>
      <c r="G1819" s="1494"/>
      <c r="H1819" s="1133"/>
      <c r="U1819" s="1027"/>
      <c r="V1819" s="1027"/>
      <c r="W1819" s="1027"/>
    </row>
    <row r="1820" spans="2:23" ht="12.75" customHeight="1" x14ac:dyDescent="0.2">
      <c r="B1820" s="1083"/>
      <c r="C1820" s="1084"/>
      <c r="D1820" s="1091"/>
      <c r="E1820" s="1494"/>
      <c r="F1820" s="1488"/>
      <c r="G1820" s="1494"/>
      <c r="H1820" s="1133"/>
      <c r="U1820" s="1027"/>
      <c r="V1820" s="1027"/>
      <c r="W1820" s="1027"/>
    </row>
    <row r="1821" spans="2:23" ht="12.75" customHeight="1" x14ac:dyDescent="0.2">
      <c r="B1821" s="1083">
        <f>HE_Insurance_Risk!$A$1</f>
        <v>37</v>
      </c>
      <c r="C1821" s="1084" t="str">
        <f>HE_Insurance_Risk!$B$1</f>
        <v>Versicherungsrisiko</v>
      </c>
      <c r="D1821" s="1091" t="str">
        <f>HE_Insurance_Risk!$C$15</f>
        <v>Erwartungswert und Standardabweichung</v>
      </c>
      <c r="E1821" s="1494" t="str">
        <f>HE_Insurance_Risk!$T$17</f>
        <v>Aktive Rück-versicherung KVG</v>
      </c>
      <c r="F1821" s="1488" t="str">
        <f>HE_Insurance_Risk!$C21</f>
        <v>Versicherungstechnische Erträge</v>
      </c>
      <c r="G1821" s="1494"/>
      <c r="H1821" s="1119">
        <f>HE_Insurance_Risk!$T21</f>
        <v>0</v>
      </c>
      <c r="U1821" s="1027"/>
      <c r="V1821" s="1027"/>
      <c r="W1821" s="1027"/>
    </row>
    <row r="1822" spans="2:23" ht="12.75" customHeight="1" x14ac:dyDescent="0.2">
      <c r="B1822" s="1083">
        <f>HE_Insurance_Risk!$A$1</f>
        <v>37</v>
      </c>
      <c r="C1822" s="1084" t="str">
        <f>HE_Insurance_Risk!$B$1</f>
        <v>Versicherungsrisiko</v>
      </c>
      <c r="D1822" s="1091" t="str">
        <f>HE_Insurance_Risk!$C$15</f>
        <v>Erwartungswert und Standardabweichung</v>
      </c>
      <c r="E1822" s="1494" t="str">
        <f>HE_Insurance_Risk!$T$17</f>
        <v>Aktive Rück-versicherung KVG</v>
      </c>
      <c r="F1822" s="1488" t="str">
        <f>HE_Insurance_Risk!$C24</f>
        <v>Bruttoprämien</v>
      </c>
      <c r="G1822" s="1494"/>
      <c r="H1822" s="1120">
        <f>HE_Insurance_Risk!$T24</f>
        <v>0</v>
      </c>
      <c r="U1822" s="1027"/>
      <c r="V1822" s="1027"/>
      <c r="W1822" s="1027"/>
    </row>
    <row r="1823" spans="2:23" ht="12.75" customHeight="1" x14ac:dyDescent="0.2">
      <c r="B1823" s="1083">
        <f>HE_Insurance_Risk!$A$1</f>
        <v>37</v>
      </c>
      <c r="C1823" s="1084" t="str">
        <f>HE_Insurance_Risk!$B$1</f>
        <v>Versicherungsrisiko</v>
      </c>
      <c r="D1823" s="1091" t="str">
        <f>HE_Insurance_Risk!$C$15</f>
        <v>Erwartungswert und Standardabweichung</v>
      </c>
      <c r="E1823" s="1494" t="str">
        <f>HE_Insurance_Risk!$T$17</f>
        <v>Aktive Rück-versicherung KVG</v>
      </c>
      <c r="F1823" s="1488" t="str">
        <f>HE_Insurance_Risk!$C25</f>
        <v>Erlösminderungen</v>
      </c>
      <c r="G1823" s="1494"/>
      <c r="H1823" s="1120">
        <f>HE_Insurance_Risk!$T25</f>
        <v>0</v>
      </c>
      <c r="U1823" s="1027"/>
      <c r="V1823" s="1027"/>
      <c r="W1823" s="1027"/>
    </row>
    <row r="1824" spans="2:23" ht="12.75" customHeight="1" x14ac:dyDescent="0.2">
      <c r="B1824" s="1083">
        <f>HE_Insurance_Risk!$A$1</f>
        <v>37</v>
      </c>
      <c r="C1824" s="1084" t="str">
        <f>HE_Insurance_Risk!$B$1</f>
        <v>Versicherungsrisiko</v>
      </c>
      <c r="D1824" s="1091" t="str">
        <f>HE_Insurance_Risk!$C$15</f>
        <v>Erwartungswert und Standardabweichung</v>
      </c>
      <c r="E1824" s="1494" t="str">
        <f>HE_Insurance_Risk!$T$17</f>
        <v>Aktive Rück-versicherung KVG</v>
      </c>
      <c r="F1824" s="1488" t="str">
        <f>HE_Insurance_Risk!$C27</f>
        <v>Verdiente Prämien vor Rückversicherung</v>
      </c>
      <c r="G1824" s="1494"/>
      <c r="H1824" s="1106">
        <f>HE_Insurance_Risk!$T27</f>
        <v>0</v>
      </c>
      <c r="U1824" s="1027"/>
      <c r="V1824" s="1027"/>
      <c r="W1824" s="1027"/>
    </row>
    <row r="1825" spans="2:23" ht="12.75" customHeight="1" x14ac:dyDescent="0.2">
      <c r="B1825" s="1083">
        <f>HE_Insurance_Risk!$A$1</f>
        <v>37</v>
      </c>
      <c r="C1825" s="1084" t="str">
        <f>HE_Insurance_Risk!$B$1</f>
        <v>Versicherungsrisiko</v>
      </c>
      <c r="D1825" s="1091" t="str">
        <f>HE_Insurance_Risk!$C$15</f>
        <v>Erwartungswert und Standardabweichung</v>
      </c>
      <c r="E1825" s="1494" t="str">
        <f>HE_Insurance_Risk!$T$17</f>
        <v>Aktive Rück-versicherung KVG</v>
      </c>
      <c r="F1825" s="1488" t="str">
        <f>HE_Insurance_Risk!$C28</f>
        <v>Prämienanteile der passiven Rückversicherung</v>
      </c>
      <c r="G1825" s="1494"/>
      <c r="H1825" s="1120">
        <f>HE_Insurance_Risk!$T28</f>
        <v>0</v>
      </c>
      <c r="U1825" s="1027"/>
      <c r="V1825" s="1027"/>
      <c r="W1825" s="1027"/>
    </row>
    <row r="1826" spans="2:23" ht="12.75" customHeight="1" x14ac:dyDescent="0.2">
      <c r="B1826" s="1083">
        <f>HE_Insurance_Risk!$A$1</f>
        <v>37</v>
      </c>
      <c r="C1826" s="1084" t="str">
        <f>HE_Insurance_Risk!$B$1</f>
        <v>Versicherungsrisiko</v>
      </c>
      <c r="D1826" s="1091" t="str">
        <f>HE_Insurance_Risk!$C$15</f>
        <v>Erwartungswert und Standardabweichung</v>
      </c>
      <c r="E1826" s="1494" t="str">
        <f>HE_Insurance_Risk!$T$17</f>
        <v>Aktive Rück-versicherung KVG</v>
      </c>
      <c r="F1826" s="1488" t="str">
        <f>HE_Insurance_Risk!$C30</f>
        <v>Verdiente Prämien nach Rückversicherung</v>
      </c>
      <c r="G1826" s="1494"/>
      <c r="H1826" s="1106">
        <f>HE_Insurance_Risk!$T30</f>
        <v>0</v>
      </c>
      <c r="U1826" s="1027"/>
      <c r="V1826" s="1027"/>
      <c r="W1826" s="1027"/>
    </row>
    <row r="1827" spans="2:23" ht="12.75" customHeight="1" x14ac:dyDescent="0.2">
      <c r="B1827" s="1083">
        <f>HE_Insurance_Risk!$A$1</f>
        <v>37</v>
      </c>
      <c r="C1827" s="1084" t="str">
        <f>HE_Insurance_Risk!$B$1</f>
        <v>Versicherungsrisiko</v>
      </c>
      <c r="D1827" s="1091" t="str">
        <f>HE_Insurance_Risk!$C$15</f>
        <v>Erwartungswert und Standardabweichung</v>
      </c>
      <c r="E1827" s="1494" t="str">
        <f>HE_Insurance_Risk!$T$17</f>
        <v>Aktive Rück-versicherung KVG</v>
      </c>
      <c r="F1827" s="1488" t="str">
        <f>HE_Insurance_Risk!$C32</f>
        <v>Sonstige versicherungstechnische Erträge</v>
      </c>
      <c r="G1827" s="1494"/>
      <c r="H1827" s="1120">
        <f>HE_Insurance_Risk!$T32</f>
        <v>0</v>
      </c>
      <c r="U1827" s="1027"/>
      <c r="V1827" s="1027"/>
      <c r="W1827" s="1027"/>
    </row>
    <row r="1828" spans="2:23" ht="12.75" customHeight="1" x14ac:dyDescent="0.2">
      <c r="B1828" s="1083">
        <f>HE_Insurance_Risk!$A$1</f>
        <v>37</v>
      </c>
      <c r="C1828" s="1084" t="str">
        <f>HE_Insurance_Risk!$B$1</f>
        <v>Versicherungsrisiko</v>
      </c>
      <c r="D1828" s="1091" t="str">
        <f>HE_Insurance_Risk!$C$15</f>
        <v>Erwartungswert und Standardabweichung</v>
      </c>
      <c r="E1828" s="1494" t="str">
        <f>HE_Insurance_Risk!$T$17</f>
        <v>Aktive Rück-versicherung KVG</v>
      </c>
      <c r="F1828" s="1488" t="str">
        <f>HE_Insurance_Risk!$C33</f>
        <v>Überschussbeteiligungen</v>
      </c>
      <c r="G1828" s="1494"/>
      <c r="H1828" s="1120">
        <f>HE_Insurance_Risk!$T33</f>
        <v>0</v>
      </c>
      <c r="U1828" s="1027"/>
      <c r="V1828" s="1027"/>
      <c r="W1828" s="1027"/>
    </row>
    <row r="1829" spans="2:23" ht="12.75" customHeight="1" x14ac:dyDescent="0.2">
      <c r="B1829" s="1083"/>
      <c r="C1829" s="1084"/>
      <c r="D1829" s="1091"/>
      <c r="E1829" s="1494"/>
      <c r="F1829" s="1488"/>
      <c r="G1829" s="1494"/>
      <c r="H1829" s="1116"/>
      <c r="U1829" s="1027"/>
      <c r="V1829" s="1027"/>
      <c r="W1829" s="1027"/>
    </row>
    <row r="1830" spans="2:23" ht="12.75" customHeight="1" x14ac:dyDescent="0.2">
      <c r="B1830" s="1083">
        <f>HE_Insurance_Risk!$A$1</f>
        <v>37</v>
      </c>
      <c r="C1830" s="1084" t="str">
        <f>HE_Insurance_Risk!$B$1</f>
        <v>Versicherungsrisiko</v>
      </c>
      <c r="D1830" s="1091" t="str">
        <f>HE_Insurance_Risk!$C$15</f>
        <v>Erwartungswert und Standardabweichung</v>
      </c>
      <c r="E1830" s="1494" t="str">
        <f>HE_Insurance_Risk!$T$17</f>
        <v>Aktive Rück-versicherung KVG</v>
      </c>
      <c r="F1830" s="1488" t="str">
        <f>HE_Insurance_Risk!$C35</f>
        <v>Versicherungstechnische Aufwendungen</v>
      </c>
      <c r="G1830" s="1494"/>
      <c r="H1830" s="1119">
        <f>HE_Insurance_Risk!$T35</f>
        <v>0</v>
      </c>
      <c r="U1830" s="1027"/>
      <c r="V1830" s="1027"/>
      <c r="W1830" s="1027"/>
    </row>
    <row r="1831" spans="2:23" ht="12.75" customHeight="1" x14ac:dyDescent="0.2">
      <c r="B1831" s="1083">
        <f>HE_Insurance_Risk!$A$1</f>
        <v>37</v>
      </c>
      <c r="C1831" s="1084" t="str">
        <f>HE_Insurance_Risk!$B$1</f>
        <v>Versicherungsrisiko</v>
      </c>
      <c r="D1831" s="1091" t="str">
        <f>HE_Insurance_Risk!$C$15</f>
        <v>Erwartungswert und Standardabweichung</v>
      </c>
      <c r="E1831" s="1494" t="str">
        <f>HE_Insurance_Risk!$T$17</f>
        <v>Aktive Rück-versicherung KVG</v>
      </c>
      <c r="F1831" s="1488" t="str">
        <f>HE_Insurance_Risk!$C38</f>
        <v>Bruttoleistungen (Behandlungsjahr 2025)</v>
      </c>
      <c r="G1831" s="1494"/>
      <c r="H1831" s="1120">
        <f>HE_Insurance_Risk!$T38</f>
        <v>0</v>
      </c>
      <c r="U1831" s="1027"/>
      <c r="V1831" s="1027"/>
      <c r="W1831" s="1027"/>
    </row>
    <row r="1832" spans="2:23" ht="12.75" customHeight="1" x14ac:dyDescent="0.2">
      <c r="B1832" s="1083">
        <f>HE_Insurance_Risk!$A$1</f>
        <v>37</v>
      </c>
      <c r="C1832" s="1084" t="str">
        <f>HE_Insurance_Risk!$B$1</f>
        <v>Versicherungsrisiko</v>
      </c>
      <c r="D1832" s="1091" t="str">
        <f>HE_Insurance_Risk!$C$15</f>
        <v>Erwartungswert und Standardabweichung</v>
      </c>
      <c r="E1832" s="1494" t="str">
        <f>HE_Insurance_Risk!$T$17</f>
        <v>Aktive Rück-versicherung KVG</v>
      </c>
      <c r="F1832" s="1488" t="str">
        <f>HE_Insurance_Risk!$C39</f>
        <v>Kostenbeteiligungen (Behandlungsjahr 2025)</v>
      </c>
      <c r="G1832" s="1494"/>
      <c r="H1832" s="1106">
        <f>HE_Insurance_Risk!$T39</f>
        <v>0</v>
      </c>
      <c r="U1832" s="1027"/>
      <c r="V1832" s="1027"/>
      <c r="W1832" s="1027"/>
    </row>
    <row r="1833" spans="2:23" ht="12.75" customHeight="1" x14ac:dyDescent="0.2">
      <c r="B1833" s="1083">
        <f>HE_Insurance_Risk!$A$1</f>
        <v>37</v>
      </c>
      <c r="C1833" s="1084" t="str">
        <f>HE_Insurance_Risk!$B$1</f>
        <v>Versicherungsrisiko</v>
      </c>
      <c r="D1833" s="1091" t="str">
        <f>HE_Insurance_Risk!$C$15</f>
        <v>Erwartungswert und Standardabweichung</v>
      </c>
      <c r="E1833" s="1494" t="str">
        <f>HE_Insurance_Risk!$T$17</f>
        <v>Aktive Rück-versicherung KVG</v>
      </c>
      <c r="F1833" s="1488" t="str">
        <f>HE_Insurance_Risk!$C40</f>
        <v>Sonstige Leistungen  (Behandlungsjahr 2025)</v>
      </c>
      <c r="G1833" s="1494"/>
      <c r="H1833" s="1120">
        <f>HE_Insurance_Risk!$T40</f>
        <v>0</v>
      </c>
      <c r="U1833" s="1027"/>
      <c r="V1833" s="1027"/>
      <c r="W1833" s="1027"/>
    </row>
    <row r="1834" spans="2:23" ht="12.75" customHeight="1" x14ac:dyDescent="0.2">
      <c r="B1834" s="1083">
        <f>HE_Insurance_Risk!$A$1</f>
        <v>37</v>
      </c>
      <c r="C1834" s="1084" t="str">
        <f>HE_Insurance_Risk!$B$1</f>
        <v>Versicherungsrisiko</v>
      </c>
      <c r="D1834" s="1091" t="str">
        <f>HE_Insurance_Risk!$C$15</f>
        <v>Erwartungswert und Standardabweichung</v>
      </c>
      <c r="E1834" s="1494" t="str">
        <f>HE_Insurance_Risk!$T$17</f>
        <v>Aktive Rück-versicherung KVG</v>
      </c>
      <c r="F1834" s="1488" t="str">
        <f>HE_Insurance_Risk!$C42</f>
        <v>Leistungen vor Rückversicherung</v>
      </c>
      <c r="G1834" s="1494"/>
      <c r="H1834" s="1106">
        <f>HE_Insurance_Risk!$T42</f>
        <v>0</v>
      </c>
      <c r="U1834" s="1027"/>
      <c r="V1834" s="1027"/>
      <c r="W1834" s="1027"/>
    </row>
    <row r="1835" spans="2:23" ht="12.75" customHeight="1" x14ac:dyDescent="0.2">
      <c r="B1835" s="1083">
        <f>HE_Insurance_Risk!$A$1</f>
        <v>37</v>
      </c>
      <c r="C1835" s="1084" t="str">
        <f>HE_Insurance_Risk!$B$1</f>
        <v>Versicherungsrisiko</v>
      </c>
      <c r="D1835" s="1091" t="str">
        <f>HE_Insurance_Risk!$C$15</f>
        <v>Erwartungswert und Standardabweichung</v>
      </c>
      <c r="E1835" s="1494" t="str">
        <f>HE_Insurance_Risk!$T$17</f>
        <v>Aktive Rück-versicherung KVG</v>
      </c>
      <c r="F1835" s="1488" t="str">
        <f>HE_Insurance_Risk!$C43</f>
        <v>Leistungsanteile der passiven Rückversicherung</v>
      </c>
      <c r="G1835" s="1494"/>
      <c r="H1835" s="1120">
        <f>HE_Insurance_Risk!$T43</f>
        <v>0</v>
      </c>
      <c r="U1835" s="1027"/>
      <c r="V1835" s="1027"/>
      <c r="W1835" s="1027"/>
    </row>
    <row r="1836" spans="2:23" ht="12.75" customHeight="1" x14ac:dyDescent="0.2">
      <c r="B1836" s="1083">
        <f>HE_Insurance_Risk!$A$1</f>
        <v>37</v>
      </c>
      <c r="C1836" s="1084" t="str">
        <f>HE_Insurance_Risk!$B$1</f>
        <v>Versicherungsrisiko</v>
      </c>
      <c r="D1836" s="1091" t="str">
        <f>HE_Insurance_Risk!$C$15</f>
        <v>Erwartungswert und Standardabweichung</v>
      </c>
      <c r="E1836" s="1494" t="str">
        <f>HE_Insurance_Risk!$T$17</f>
        <v>Aktive Rück-versicherung KVG</v>
      </c>
      <c r="F1836" s="1488" t="str">
        <f>HE_Insurance_Risk!$C45</f>
        <v>Leistungen nach Rückversicherung</v>
      </c>
      <c r="G1836" s="1494"/>
      <c r="H1836" s="1106">
        <f>HE_Insurance_Risk!$T45</f>
        <v>0</v>
      </c>
      <c r="U1836" s="1027"/>
      <c r="V1836" s="1027"/>
      <c r="W1836" s="1027"/>
    </row>
    <row r="1837" spans="2:23" ht="12.75" customHeight="1" x14ac:dyDescent="0.2">
      <c r="B1837" s="1083">
        <f>HE_Insurance_Risk!$A$1</f>
        <v>37</v>
      </c>
      <c r="C1837" s="1084" t="str">
        <f>HE_Insurance_Risk!$B$1</f>
        <v>Versicherungsrisiko</v>
      </c>
      <c r="D1837" s="1091" t="str">
        <f>HE_Insurance_Risk!$C$15</f>
        <v>Erwartungswert und Standardabweichung</v>
      </c>
      <c r="E1837" s="1494" t="str">
        <f>HE_Insurance_Risk!$T$17</f>
        <v>Aktive Rück-versicherung KVG</v>
      </c>
      <c r="F1837" s="1488"/>
      <c r="G1837" s="1524" t="s">
        <v>1810</v>
      </c>
      <c r="U1837" s="1027"/>
      <c r="V1837" s="1027"/>
      <c r="W1837" s="1027"/>
    </row>
    <row r="1838" spans="2:23" ht="12.75" customHeight="1" x14ac:dyDescent="0.2">
      <c r="B1838" s="1083">
        <f>HE_Insurance_Risk!$A$1</f>
        <v>37</v>
      </c>
      <c r="C1838" s="1084" t="str">
        <f>HE_Insurance_Risk!$B$1</f>
        <v>Versicherungsrisiko</v>
      </c>
      <c r="D1838" s="1091" t="str">
        <f>HE_Insurance_Risk!$C$15</f>
        <v>Erwartungswert und Standardabweichung</v>
      </c>
      <c r="E1838" s="1494" t="str">
        <f>HE_Insurance_Risk!$T$17</f>
        <v>Aktive Rück-versicherung KVG</v>
      </c>
      <c r="F1838" s="1488" t="str">
        <f>HE_Insurance_Risk!$C47</f>
        <v>Veränderung der Alterungsrückstellungen und Deckungskapitalien</v>
      </c>
      <c r="G1838" s="1494"/>
      <c r="H1838" s="1106">
        <f>HE_Insurance_Risk!$T47</f>
        <v>0</v>
      </c>
      <c r="U1838" s="1027"/>
      <c r="V1838" s="1027"/>
      <c r="W1838" s="1027"/>
    </row>
    <row r="1839" spans="2:23" ht="12.75" customHeight="1" x14ac:dyDescent="0.2">
      <c r="B1839" s="1083">
        <f>HE_Insurance_Risk!$A$1</f>
        <v>37</v>
      </c>
      <c r="C1839" s="1084" t="str">
        <f>HE_Insurance_Risk!$B$1</f>
        <v>Versicherungsrisiko</v>
      </c>
      <c r="D1839" s="1091" t="str">
        <f>HE_Insurance_Risk!$C$15</f>
        <v>Erwartungswert und Standardabweichung</v>
      </c>
      <c r="E1839" s="1494" t="str">
        <f>HE_Insurance_Risk!$T$17</f>
        <v>Aktive Rück-versicherung KVG</v>
      </c>
      <c r="F1839" s="1488" t="str">
        <f>HE_Insurance_Risk!$C48</f>
        <v>Veränderung der sonstigen technischen Rückstellungen</v>
      </c>
      <c r="G1839" s="1494"/>
      <c r="H1839" s="1106">
        <f>HE_Insurance_Risk!$T48</f>
        <v>0</v>
      </c>
      <c r="U1839" s="1027"/>
      <c r="V1839" s="1027"/>
      <c r="W1839" s="1027"/>
    </row>
    <row r="1840" spans="2:23" ht="12.75" customHeight="1" x14ac:dyDescent="0.2">
      <c r="B1840" s="1083">
        <f>HE_Insurance_Risk!$A$1</f>
        <v>37</v>
      </c>
      <c r="C1840" s="1084" t="str">
        <f>HE_Insurance_Risk!$B$1</f>
        <v>Versicherungsrisiko</v>
      </c>
      <c r="D1840" s="1091" t="str">
        <f>HE_Insurance_Risk!$C$15</f>
        <v>Erwartungswert und Standardabweichung</v>
      </c>
      <c r="E1840" s="1494" t="str">
        <f>HE_Insurance_Risk!$T$17</f>
        <v>Aktive Rück-versicherung KVG</v>
      </c>
      <c r="F1840" s="1488" t="str">
        <f>HE_Insurance_Risk!$C50</f>
        <v>Risikoausgleich (2025)</v>
      </c>
      <c r="G1840" s="1494"/>
      <c r="H1840" s="1106">
        <f>HE_Insurance_Risk!$T50</f>
        <v>0</v>
      </c>
      <c r="U1840" s="1027"/>
      <c r="V1840" s="1027"/>
      <c r="W1840" s="1027"/>
    </row>
    <row r="1841" spans="2:23" ht="12.75" customHeight="1" x14ac:dyDescent="0.2">
      <c r="B1841" s="1083">
        <f>HE_Insurance_Risk!$A$1</f>
        <v>37</v>
      </c>
      <c r="C1841" s="1084" t="str">
        <f>HE_Insurance_Risk!$B$1</f>
        <v>Versicherungsrisiko</v>
      </c>
      <c r="D1841" s="1091" t="str">
        <f>HE_Insurance_Risk!$C$15</f>
        <v>Erwartungswert und Standardabweichung</v>
      </c>
      <c r="E1841" s="1494" t="str">
        <f>HE_Insurance_Risk!$T$17</f>
        <v>Aktive Rück-versicherung KVG</v>
      </c>
      <c r="F1841" s="1488" t="str">
        <f>HE_Insurance_Risk!$C51</f>
        <v>Andere Aufwendungen</v>
      </c>
      <c r="G1841" s="1494"/>
      <c r="H1841" s="1106">
        <f>HE_Insurance_Risk!$T51</f>
        <v>0</v>
      </c>
      <c r="U1841" s="1027"/>
      <c r="V1841" s="1027"/>
      <c r="W1841" s="1027"/>
    </row>
    <row r="1842" spans="2:23" ht="12.75" customHeight="1" x14ac:dyDescent="0.2">
      <c r="B1842" s="1083">
        <f>HE_Insurance_Risk!$A$1</f>
        <v>37</v>
      </c>
      <c r="C1842" s="1084" t="str">
        <f>HE_Insurance_Risk!$B$1</f>
        <v>Versicherungsrisiko</v>
      </c>
      <c r="D1842" s="1091" t="str">
        <f>HE_Insurance_Risk!$C$15</f>
        <v>Erwartungswert und Standardabweichung</v>
      </c>
      <c r="E1842" s="1494" t="str">
        <f>HE_Insurance_Risk!$T$17</f>
        <v>Aktive Rück-versicherung KVG</v>
      </c>
      <c r="F1842" s="1488" t="str">
        <f>HE_Insurance_Risk!$C53</f>
        <v>Schaden- und Leistungsaufwand für eigene Rechnung</v>
      </c>
      <c r="G1842" s="1494"/>
      <c r="H1842" s="1121">
        <f>HE_Insurance_Risk!$T53</f>
        <v>0</v>
      </c>
      <c r="U1842" s="1027"/>
      <c r="V1842" s="1027"/>
      <c r="W1842" s="1027"/>
    </row>
    <row r="1843" spans="2:23" ht="12.75" customHeight="1" x14ac:dyDescent="0.2">
      <c r="B1843" s="1083">
        <f>HE_Insurance_Risk!$A$1</f>
        <v>37</v>
      </c>
      <c r="C1843" s="1084" t="str">
        <f>HE_Insurance_Risk!$B$1</f>
        <v>Versicherungsrisiko</v>
      </c>
      <c r="D1843" s="1091" t="str">
        <f>HE_Insurance_Risk!$C$15</f>
        <v>Erwartungswert und Standardabweichung</v>
      </c>
      <c r="E1843" s="1494" t="str">
        <f>HE_Insurance_Risk!$T$17</f>
        <v>Aktive Rück-versicherung KVG</v>
      </c>
      <c r="F1843" s="1488" t="str">
        <f>HE_Insurance_Risk!$C55</f>
        <v>Aufwendungen für den Betrieb, Verwaltungsaufwand</v>
      </c>
      <c r="G1843" s="1494"/>
      <c r="H1843" s="1120">
        <f>HE_Insurance_Risk!$T55</f>
        <v>0</v>
      </c>
      <c r="U1843" s="1027"/>
      <c r="V1843" s="1027"/>
      <c r="W1843" s="1027"/>
    </row>
    <row r="1844" spans="2:23" ht="12.75" customHeight="1" x14ac:dyDescent="0.2">
      <c r="B1844" s="1083"/>
      <c r="C1844" s="1084"/>
      <c r="D1844" s="1091"/>
      <c r="E1844" s="1494"/>
      <c r="F1844" s="1488"/>
      <c r="G1844" s="1494"/>
      <c r="H1844" s="1116"/>
      <c r="U1844" s="1027"/>
      <c r="V1844" s="1027"/>
      <c r="W1844" s="1027"/>
    </row>
    <row r="1845" spans="2:23" ht="12.75" customHeight="1" x14ac:dyDescent="0.2">
      <c r="B1845" s="1083">
        <f>HE_Insurance_Risk!$A$1</f>
        <v>37</v>
      </c>
      <c r="C1845" s="1084" t="str">
        <f>HE_Insurance_Risk!$B$1</f>
        <v>Versicherungsrisiko</v>
      </c>
      <c r="D1845" s="1091" t="str">
        <f>HE_Insurance_Risk!$C$15</f>
        <v>Erwartungswert und Standardabweichung</v>
      </c>
      <c r="E1845" s="1494" t="str">
        <f>HE_Insurance_Risk!$T$17</f>
        <v>Aktive Rück-versicherung KVG</v>
      </c>
      <c r="F1845" s="1488" t="str">
        <f>HE_Insurance_Risk!$C57</f>
        <v>Versicherungstechnisches Resultat</v>
      </c>
      <c r="G1845" s="1494"/>
      <c r="H1845" s="1119">
        <f>HE_Insurance_Risk!$T57</f>
        <v>0</v>
      </c>
      <c r="U1845" s="1027"/>
      <c r="V1845" s="1027"/>
      <c r="W1845" s="1027"/>
    </row>
    <row r="1846" spans="2:23" ht="12.75" customHeight="1" x14ac:dyDescent="0.2">
      <c r="B1846" s="1083"/>
      <c r="C1846" s="1084"/>
      <c r="D1846" s="1091"/>
      <c r="E1846" s="1494"/>
      <c r="F1846" s="1488"/>
      <c r="G1846" s="1494"/>
      <c r="H1846" s="1122"/>
      <c r="U1846" s="1027"/>
      <c r="V1846" s="1027"/>
      <c r="W1846" s="1027"/>
    </row>
    <row r="1847" spans="2:23" ht="12.75" customHeight="1" x14ac:dyDescent="0.2">
      <c r="B1847" s="1083">
        <f>HE_Insurance_Risk!$A$1</f>
        <v>37</v>
      </c>
      <c r="C1847" s="1084" t="str">
        <f>HE_Insurance_Risk!$B$1</f>
        <v>Versicherungsrisiko</v>
      </c>
      <c r="D1847" s="1091" t="str">
        <f>HE_Insurance_Risk!$C$15</f>
        <v>Erwartungswert und Standardabweichung</v>
      </c>
      <c r="E1847" s="1494" t="str">
        <f>HE_Insurance_Risk!$T$17</f>
        <v>Aktive Rück-versicherung KVG</v>
      </c>
      <c r="F1847" s="1488" t="str">
        <f>HE_Insurance_Risk!$C59</f>
        <v>Erwartete Anzahl Versicherte (Durschnittbestand)</v>
      </c>
      <c r="G1847" s="1494"/>
      <c r="H1847" s="1223" t="str">
        <f>IF(ISNUMBER(HE_Insurance_Risk!$T$59),HE_Insurance_Risk!$T$59,"")</f>
        <v/>
      </c>
      <c r="U1847" s="1027"/>
      <c r="V1847" s="1027"/>
      <c r="W1847" s="1027"/>
    </row>
    <row r="1848" spans="2:23" ht="12.75" customHeight="1" x14ac:dyDescent="0.2">
      <c r="B1848" s="1083"/>
      <c r="C1848" s="1084"/>
      <c r="D1848" s="1091"/>
      <c r="E1848" s="1494"/>
      <c r="F1848" s="1488"/>
      <c r="G1848" s="1494"/>
      <c r="H1848" s="1122"/>
      <c r="U1848" s="1027"/>
      <c r="V1848" s="1027"/>
      <c r="W1848" s="1027"/>
    </row>
    <row r="1849" spans="2:23" ht="12.75" customHeight="1" x14ac:dyDescent="0.2">
      <c r="B1849" s="1083"/>
      <c r="C1849" s="1084"/>
      <c r="D1849" s="1091"/>
      <c r="E1849" s="1494"/>
      <c r="F1849" s="1488"/>
      <c r="G1849" s="1494"/>
      <c r="H1849" s="1124"/>
      <c r="U1849" s="1027"/>
      <c r="V1849" s="1027"/>
      <c r="W1849" s="1027"/>
    </row>
    <row r="1850" spans="2:23" ht="12.75" customHeight="1" x14ac:dyDescent="0.2">
      <c r="B1850" s="1083">
        <f>HE_Insurance_Risk!$A$1</f>
        <v>37</v>
      </c>
      <c r="C1850" s="1084" t="str">
        <f>HE_Insurance_Risk!$B$1</f>
        <v>Versicherungsrisiko</v>
      </c>
      <c r="D1850" s="1091" t="str">
        <f>HE_Insurance_Risk!$C$61</f>
        <v>Variabilität</v>
      </c>
      <c r="E1850" s="1494" t="str">
        <f>HE_Insurance_Risk!$T$17</f>
        <v>Aktive Rück-versicherung KVG</v>
      </c>
      <c r="F1850" s="1488" t="str">
        <f>HE_Insurance_Risk!$C65</f>
        <v>Erwartete Anzahl Schadenfälle bzw. Erkrankte</v>
      </c>
      <c r="G1850" s="1494"/>
      <c r="H1850" s="1223" t="str">
        <f>IF(ISNUMBER(HE_Insurance_Risk!$T$65),HE_Insurance_Risk!$T$65,"")</f>
        <v/>
      </c>
      <c r="U1850" s="1027"/>
      <c r="V1850" s="1027"/>
      <c r="W1850" s="1027"/>
    </row>
    <row r="1851" spans="2:23" ht="12.75" customHeight="1" x14ac:dyDescent="0.2">
      <c r="B1851" s="1083"/>
      <c r="C1851" s="1084"/>
      <c r="D1851" s="1091"/>
      <c r="E1851" s="1494"/>
      <c r="F1851" s="1488"/>
      <c r="G1851" s="1494"/>
      <c r="H1851" s="1126"/>
      <c r="U1851" s="1027"/>
      <c r="V1851" s="1027"/>
      <c r="W1851" s="1027"/>
    </row>
    <row r="1852" spans="2:23" ht="12.75" customHeight="1" x14ac:dyDescent="0.2">
      <c r="B1852" s="1083">
        <f>HE_Insurance_Risk!$A$1</f>
        <v>37</v>
      </c>
      <c r="C1852" s="1084" t="str">
        <f>HE_Insurance_Risk!$B$1</f>
        <v>Versicherungsrisiko</v>
      </c>
      <c r="D1852" s="1091" t="str">
        <f>HE_Insurance_Risk!$C$61</f>
        <v>Variabilität</v>
      </c>
      <c r="E1852" s="1494" t="str">
        <f>HE_Insurance_Risk!$T$17</f>
        <v>Aktive Rück-versicherung KVG</v>
      </c>
      <c r="F1852" s="1488" t="str">
        <f>HE_Insurance_Risk!$C67</f>
        <v>Variationskoeffizient des Einzelschadens</v>
      </c>
      <c r="G1852" s="1494"/>
      <c r="H1852" s="1122">
        <f>HE_Insurance_Risk!$T67</f>
        <v>0</v>
      </c>
      <c r="U1852" s="1027"/>
      <c r="V1852" s="1027"/>
      <c r="W1852" s="1027"/>
    </row>
    <row r="1853" spans="2:23" ht="12.75" customHeight="1" x14ac:dyDescent="0.2">
      <c r="B1853" s="1083">
        <f>HE_Insurance_Risk!$A$1</f>
        <v>37</v>
      </c>
      <c r="C1853" s="1084" t="str">
        <f>HE_Insurance_Risk!$B$1</f>
        <v>Versicherungsrisiko</v>
      </c>
      <c r="D1853" s="1091" t="str">
        <f>HE_Insurance_Risk!$C$61</f>
        <v>Variabilität</v>
      </c>
      <c r="E1853" s="1494" t="str">
        <f>HE_Insurance_Risk!$T$17</f>
        <v>Aktive Rück-versicherung KVG</v>
      </c>
      <c r="F1853" s="1488" t="str">
        <f>HE_Insurance_Risk!$C68</f>
        <v>Standardwert (vor Rückversicherung)</v>
      </c>
      <c r="G1853" s="1494"/>
      <c r="H1853" s="1122">
        <f>HE_Insurance_Risk!$T68</f>
        <v>0</v>
      </c>
      <c r="U1853" s="1027"/>
      <c r="V1853" s="1027"/>
      <c r="W1853" s="1027"/>
    </row>
    <row r="1854" spans="2:23" ht="12.75" customHeight="1" x14ac:dyDescent="0.2">
      <c r="B1854" s="1083">
        <f>HE_Insurance_Risk!$A$1</f>
        <v>37</v>
      </c>
      <c r="C1854" s="1084" t="str">
        <f>HE_Insurance_Risk!$B$1</f>
        <v>Versicherungsrisiko</v>
      </c>
      <c r="D1854" s="1091" t="str">
        <f>HE_Insurance_Risk!$C$61</f>
        <v>Variabilität</v>
      </c>
      <c r="E1854" s="1494" t="str">
        <f>HE_Insurance_Risk!$T$17</f>
        <v>Aktive Rück-versicherung KVG</v>
      </c>
      <c r="F1854" s="1488" t="str">
        <f>HE_Insurance_Risk!$C69</f>
        <v>errechneter Wert nach Rückversicherung</v>
      </c>
      <c r="G1854" s="1494"/>
      <c r="H1854" s="1122">
        <f>HE_Insurance_Risk!$T69</f>
        <v>0</v>
      </c>
      <c r="U1854" s="1027"/>
      <c r="V1854" s="1027"/>
      <c r="W1854" s="1027"/>
    </row>
    <row r="1855" spans="2:23" ht="12.75" customHeight="1" x14ac:dyDescent="0.2">
      <c r="B1855" s="1083">
        <f>HE_Insurance_Risk!$A$1</f>
        <v>37</v>
      </c>
      <c r="C1855" s="1084" t="str">
        <f>HE_Insurance_Risk!$B$1</f>
        <v>Versicherungsrisiko</v>
      </c>
      <c r="D1855" s="1091" t="str">
        <f>HE_Insurance_Risk!$C$61</f>
        <v>Variabilität</v>
      </c>
      <c r="E1855" s="1494" t="str">
        <f>HE_Insurance_Risk!$T$17</f>
        <v>Aktive Rück-versicherung KVG</v>
      </c>
      <c r="F1855" s="1488" t="str">
        <f>HE_Insurance_Risk!$C70</f>
        <v>benutzter Wert (Abweichung vom Standard: begründen)</v>
      </c>
      <c r="G1855" s="1494"/>
      <c r="H1855" s="1122">
        <f>HE_Insurance_Risk!$T70</f>
        <v>0</v>
      </c>
      <c r="U1855" s="1027"/>
      <c r="V1855" s="1027"/>
      <c r="W1855" s="1027"/>
    </row>
    <row r="1856" spans="2:23" ht="12.75" customHeight="1" x14ac:dyDescent="0.2">
      <c r="B1856" s="1083"/>
      <c r="C1856" s="1084"/>
      <c r="D1856" s="1091"/>
      <c r="E1856" s="1494"/>
      <c r="F1856" s="1488"/>
      <c r="G1856" s="1494"/>
      <c r="H1856" s="1122"/>
      <c r="U1856" s="1027"/>
      <c r="V1856" s="1027"/>
      <c r="W1856" s="1027"/>
    </row>
    <row r="1857" spans="2:23" ht="12.75" customHeight="1" x14ac:dyDescent="0.2">
      <c r="B1857" s="1083">
        <f>HE_Insurance_Risk!$A$1</f>
        <v>37</v>
      </c>
      <c r="C1857" s="1084" t="str">
        <f>HE_Insurance_Risk!$B$1</f>
        <v>Versicherungsrisiko</v>
      </c>
      <c r="D1857" s="1091" t="str">
        <f>HE_Insurance_Risk!$C$61</f>
        <v>Variabilität</v>
      </c>
      <c r="E1857" s="1494" t="str">
        <f>HE_Insurance_Risk!$T$17</f>
        <v>Aktive Rück-versicherung KVG</v>
      </c>
      <c r="F1857" s="1488" t="str">
        <f>HE_Insurance_Risk!$C72</f>
        <v>Resultat: Variationskoeffizient des Zufallsrisikos</v>
      </c>
      <c r="G1857" s="1494"/>
      <c r="H1857" s="1124">
        <f>HE_Insurance_Risk!$T72</f>
        <v>0</v>
      </c>
      <c r="U1857" s="1027"/>
      <c r="V1857" s="1027"/>
      <c r="W1857" s="1027"/>
    </row>
    <row r="1858" spans="2:23" ht="12.75" customHeight="1" x14ac:dyDescent="0.2">
      <c r="B1858" s="1083">
        <f>HE_Insurance_Risk!$A$1</f>
        <v>37</v>
      </c>
      <c r="C1858" s="1084" t="str">
        <f>HE_Insurance_Risk!$B$1</f>
        <v>Versicherungsrisiko</v>
      </c>
      <c r="D1858" s="1091" t="str">
        <f>HE_Insurance_Risk!$C$61</f>
        <v>Variabilität</v>
      </c>
      <c r="E1858" s="1494" t="str">
        <f>HE_Insurance_Risk!$T$17</f>
        <v>Aktive Rück-versicherung KVG</v>
      </c>
      <c r="F1858" s="1488" t="str">
        <f>HE_Insurance_Risk!$C73</f>
        <v>errechneter Wert vor Rückversicherung</v>
      </c>
      <c r="G1858" s="1494"/>
      <c r="H1858" s="1122">
        <f>HE_Insurance_Risk!$T73</f>
        <v>0</v>
      </c>
      <c r="U1858" s="1027"/>
      <c r="V1858" s="1027"/>
      <c r="W1858" s="1027"/>
    </row>
    <row r="1859" spans="2:23" ht="12.75" customHeight="1" x14ac:dyDescent="0.2">
      <c r="B1859" s="1083">
        <f>HE_Insurance_Risk!$A$1</f>
        <v>37</v>
      </c>
      <c r="C1859" s="1084" t="str">
        <f>HE_Insurance_Risk!$B$1</f>
        <v>Versicherungsrisiko</v>
      </c>
      <c r="D1859" s="1091" t="str">
        <f>HE_Insurance_Risk!$C$61</f>
        <v>Variabilität</v>
      </c>
      <c r="E1859" s="1494" t="str">
        <f>HE_Insurance_Risk!$T$17</f>
        <v>Aktive Rück-versicherung KVG</v>
      </c>
      <c r="F1859" s="1488" t="str">
        <f>HE_Insurance_Risk!$C74</f>
        <v>errechneter Wert nach Rückversicherung</v>
      </c>
      <c r="G1859" s="1494"/>
      <c r="H1859" s="1122">
        <f>HE_Insurance_Risk!$T74</f>
        <v>0</v>
      </c>
      <c r="U1859" s="1027"/>
      <c r="V1859" s="1027"/>
      <c r="W1859" s="1027"/>
    </row>
    <row r="1860" spans="2:23" ht="12.75" customHeight="1" x14ac:dyDescent="0.2">
      <c r="B1860" s="1083">
        <f>HE_Insurance_Risk!$A$1</f>
        <v>37</v>
      </c>
      <c r="C1860" s="1084" t="str">
        <f>HE_Insurance_Risk!$B$1</f>
        <v>Versicherungsrisiko</v>
      </c>
      <c r="D1860" s="1091" t="str">
        <f>HE_Insurance_Risk!$C$61</f>
        <v>Variabilität</v>
      </c>
      <c r="E1860" s="1494" t="str">
        <f>HE_Insurance_Risk!$T$17</f>
        <v>Aktive Rück-versicherung KVG</v>
      </c>
      <c r="F1860" s="1488" t="str">
        <f>HE_Insurance_Risk!$C75</f>
        <v>benutzter Wert</v>
      </c>
      <c r="G1860" s="1494"/>
      <c r="H1860" s="1122">
        <f>HE_Insurance_Risk!$T75</f>
        <v>0</v>
      </c>
      <c r="U1860" s="1027"/>
      <c r="V1860" s="1027"/>
      <c r="W1860" s="1027"/>
    </row>
    <row r="1861" spans="2:23" ht="12.75" customHeight="1" x14ac:dyDescent="0.2">
      <c r="B1861" s="1083"/>
      <c r="C1861" s="1084"/>
      <c r="D1861" s="1091"/>
      <c r="E1861" s="1494"/>
      <c r="F1861" s="1488"/>
      <c r="G1861" s="1494"/>
      <c r="H1861" s="1122"/>
      <c r="U1861" s="1027"/>
      <c r="V1861" s="1027"/>
      <c r="W1861" s="1027"/>
    </row>
    <row r="1862" spans="2:23" ht="12.75" customHeight="1" x14ac:dyDescent="0.2">
      <c r="B1862" s="1083">
        <f>HE_Insurance_Risk!$A$1</f>
        <v>37</v>
      </c>
      <c r="C1862" s="1084" t="str">
        <f>HE_Insurance_Risk!$B$1</f>
        <v>Versicherungsrisiko</v>
      </c>
      <c r="D1862" s="1091" t="str">
        <f>HE_Insurance_Risk!$C$61</f>
        <v>Variabilität</v>
      </c>
      <c r="E1862" s="1494" t="str">
        <f>HE_Insurance_Risk!$T$17</f>
        <v>Aktive Rück-versicherung KVG</v>
      </c>
      <c r="F1862" s="1488" t="str">
        <f>HE_Insurance_Risk!$C78</f>
        <v>Variationskoeffizient des Parameterrisikos</v>
      </c>
      <c r="G1862" s="1494"/>
      <c r="H1862" s="1124">
        <f>HE_Insurance_Risk!$T78</f>
        <v>0</v>
      </c>
      <c r="U1862" s="1027"/>
      <c r="V1862" s="1027"/>
      <c r="W1862" s="1027"/>
    </row>
    <row r="1863" spans="2:23" ht="12.75" customHeight="1" x14ac:dyDescent="0.2">
      <c r="B1863" s="1083">
        <f>HE_Insurance_Risk!$A$1</f>
        <v>37</v>
      </c>
      <c r="C1863" s="1084" t="str">
        <f>HE_Insurance_Risk!$B$1</f>
        <v>Versicherungsrisiko</v>
      </c>
      <c r="D1863" s="1091" t="str">
        <f>HE_Insurance_Risk!$C$61</f>
        <v>Variabilität</v>
      </c>
      <c r="E1863" s="1494" t="str">
        <f>HE_Insurance_Risk!$T$17</f>
        <v>Aktive Rück-versicherung KVG</v>
      </c>
      <c r="F1863" s="1488" t="str">
        <f>HE_Insurance_Risk!$C79</f>
        <v>Standardwert (vor Rückversicherung)</v>
      </c>
      <c r="G1863" s="1494"/>
      <c r="H1863" s="1124">
        <f>HE_Insurance_Risk!$T79</f>
        <v>0</v>
      </c>
      <c r="U1863" s="1027"/>
      <c r="V1863" s="1027"/>
      <c r="W1863" s="1027"/>
    </row>
    <row r="1864" spans="2:23" ht="12.75" customHeight="1" x14ac:dyDescent="0.2">
      <c r="B1864" s="1083">
        <f>HE_Insurance_Risk!$A$1</f>
        <v>37</v>
      </c>
      <c r="C1864" s="1084" t="str">
        <f>HE_Insurance_Risk!$B$1</f>
        <v>Versicherungsrisiko</v>
      </c>
      <c r="D1864" s="1091" t="str">
        <f>HE_Insurance_Risk!$C$61</f>
        <v>Variabilität</v>
      </c>
      <c r="E1864" s="1494" t="str">
        <f>HE_Insurance_Risk!$T$17</f>
        <v>Aktive Rück-versicherung KVG</v>
      </c>
      <c r="F1864" s="1488" t="str">
        <f>HE_Insurance_Risk!$C80</f>
        <v>errechneter Wert nach Rückversicherung</v>
      </c>
      <c r="G1864" s="1494"/>
      <c r="H1864" s="1124">
        <f>HE_Insurance_Risk!$T80</f>
        <v>0</v>
      </c>
      <c r="U1864" s="1027"/>
      <c r="V1864" s="1027"/>
      <c r="W1864" s="1027"/>
    </row>
    <row r="1865" spans="2:23" ht="12.75" customHeight="1" x14ac:dyDescent="0.2">
      <c r="B1865" s="1083">
        <f>HE_Insurance_Risk!$A$1</f>
        <v>37</v>
      </c>
      <c r="C1865" s="1084" t="str">
        <f>HE_Insurance_Risk!$B$1</f>
        <v>Versicherungsrisiko</v>
      </c>
      <c r="D1865" s="1091" t="str">
        <f>HE_Insurance_Risk!$C$61</f>
        <v>Variabilität</v>
      </c>
      <c r="E1865" s="1494" t="str">
        <f>HE_Insurance_Risk!$T$17</f>
        <v>Aktive Rück-versicherung KVG</v>
      </c>
      <c r="F1865" s="1488" t="str">
        <f>HE_Insurance_Risk!$C81</f>
        <v>benutzter Wert (Abweichung vom Standard begründen)</v>
      </c>
      <c r="G1865" s="1494"/>
      <c r="H1865" s="1124">
        <f>HE_Insurance_Risk!$T81</f>
        <v>0</v>
      </c>
      <c r="U1865" s="1027"/>
      <c r="V1865" s="1027"/>
      <c r="W1865" s="1027"/>
    </row>
    <row r="1866" spans="2:23" ht="12.75" customHeight="1" x14ac:dyDescent="0.2">
      <c r="B1866" s="1083"/>
      <c r="C1866" s="1084"/>
      <c r="D1866" s="1091"/>
      <c r="E1866" s="1494"/>
      <c r="F1866" s="1488"/>
      <c r="G1866" s="1494"/>
      <c r="H1866" s="1124"/>
      <c r="U1866" s="1027"/>
      <c r="V1866" s="1027"/>
      <c r="W1866" s="1027"/>
    </row>
    <row r="1867" spans="2:23" ht="12.75" customHeight="1" x14ac:dyDescent="0.2">
      <c r="B1867" s="1083">
        <f>HE_Insurance_Risk!$A$1</f>
        <v>37</v>
      </c>
      <c r="C1867" s="1084" t="str">
        <f>HE_Insurance_Risk!$B$1</f>
        <v>Versicherungsrisiko</v>
      </c>
      <c r="D1867" s="1091" t="str">
        <f>HE_Insurance_Risk!$C$61</f>
        <v>Variabilität</v>
      </c>
      <c r="E1867" s="1494" t="str">
        <f>HE_Insurance_Risk!$T$17</f>
        <v>Aktive Rück-versicherung KVG</v>
      </c>
      <c r="F1867" s="1527" t="str">
        <f>HE_Insurance_Risk!$C84</f>
        <v>Variationskoeffizient der jährlichen Leistungen</v>
      </c>
      <c r="G1867" s="1494"/>
      <c r="H1867" s="1535">
        <f>HE_Insurance_Risk!$T84</f>
        <v>0.2</v>
      </c>
      <c r="U1867" s="1027"/>
      <c r="V1867" s="1027"/>
      <c r="W1867" s="1027"/>
    </row>
    <row r="1868" spans="2:23" ht="12.75" customHeight="1" x14ac:dyDescent="0.2">
      <c r="B1868" s="1083">
        <f>HE_Insurance_Risk!$A$1</f>
        <v>37</v>
      </c>
      <c r="C1868" s="1084" t="str">
        <f>HE_Insurance_Risk!$B$1</f>
        <v>Versicherungsrisiko</v>
      </c>
      <c r="D1868" s="1091" t="str">
        <f>HE_Insurance_Risk!$C$61</f>
        <v>Variabilität</v>
      </c>
      <c r="E1868" s="1494" t="str">
        <f>HE_Insurance_Risk!$T$17</f>
        <v>Aktive Rück-versicherung KVG</v>
      </c>
      <c r="F1868" s="1527" t="str">
        <f>HE_Insurance_Risk!$C85</f>
        <v>benutzter Variationskoeffizient</v>
      </c>
      <c r="G1868" s="1494"/>
      <c r="H1868" s="1130">
        <f>HE_Insurance_Risk!$T85</f>
        <v>0.2</v>
      </c>
      <c r="U1868" s="1027"/>
      <c r="V1868" s="1027"/>
      <c r="W1868" s="1027"/>
    </row>
    <row r="1869" spans="2:23" ht="12.75" customHeight="1" x14ac:dyDescent="0.2">
      <c r="B1869" s="1083"/>
      <c r="C1869" s="1084"/>
      <c r="D1869" s="1091"/>
      <c r="E1869" s="1494"/>
      <c r="F1869" s="1488"/>
      <c r="G1869" s="1494"/>
      <c r="H1869" s="1129"/>
      <c r="U1869" s="1027"/>
      <c r="V1869" s="1027"/>
      <c r="W1869" s="1027"/>
    </row>
    <row r="1870" spans="2:23" ht="12.75" customHeight="1" x14ac:dyDescent="0.2">
      <c r="B1870" s="1083">
        <f>HE_Insurance_Risk!$A$1</f>
        <v>37</v>
      </c>
      <c r="C1870" s="1084" t="str">
        <f>HE_Insurance_Risk!$B$1</f>
        <v>Versicherungsrisiko</v>
      </c>
      <c r="D1870" s="1091" t="str">
        <f>HE_Insurance_Risk!$C$61</f>
        <v>Variabilität</v>
      </c>
      <c r="E1870" s="1494" t="str">
        <f>HE_Insurance_Risk!$T$17</f>
        <v>Aktive Rück-versicherung KVG</v>
      </c>
      <c r="F1870" s="1488" t="str">
        <f>HE_Insurance_Risk!$C92</f>
        <v>Standardabweichung des versicherungstechnischen Risikos</v>
      </c>
      <c r="G1870" s="1494"/>
      <c r="H1870" s="1119">
        <f>HE_Insurance_Risk!$T92</f>
        <v>0</v>
      </c>
      <c r="U1870" s="1027"/>
      <c r="V1870" s="1027"/>
      <c r="W1870" s="1027"/>
    </row>
    <row r="1871" spans="2:23" ht="12.75" customHeight="1" x14ac:dyDescent="0.2">
      <c r="B1871" s="1083"/>
      <c r="C1871" s="1084"/>
      <c r="D1871" s="1091"/>
      <c r="E1871" s="1494"/>
      <c r="F1871" s="1488"/>
      <c r="G1871" s="1494"/>
      <c r="H1871" s="1133"/>
      <c r="U1871" s="1027"/>
      <c r="V1871" s="1027"/>
      <c r="W1871" s="1027"/>
    </row>
    <row r="1872" spans="2:23" ht="12.75" customHeight="1" x14ac:dyDescent="0.2">
      <c r="B1872" s="1083"/>
      <c r="C1872" s="1084"/>
      <c r="D1872" s="1091"/>
      <c r="E1872" s="1494"/>
      <c r="F1872" s="1488"/>
      <c r="G1872" s="1494"/>
      <c r="H1872" s="1133"/>
      <c r="U1872" s="1027"/>
      <c r="V1872" s="1027"/>
      <c r="W1872" s="1027"/>
    </row>
    <row r="1873" spans="2:23" ht="12.75" customHeight="1" x14ac:dyDescent="0.2">
      <c r="B1873" s="1083">
        <f>HE_Insurance_Risk!$A$1</f>
        <v>37</v>
      </c>
      <c r="C1873" s="1084" t="str">
        <f>HE_Insurance_Risk!$B$1</f>
        <v>Versicherungsrisiko</v>
      </c>
      <c r="D1873" s="1091" t="str">
        <f>HE_Insurance_Risk!$C$15</f>
        <v>Erwartungswert und Standardabweichung</v>
      </c>
      <c r="E1873" s="1494" t="str">
        <f>HE_Insurance_Risk!$W$17</f>
        <v>Total KVG inkl. UVG</v>
      </c>
      <c r="F1873" s="1488" t="str">
        <f>HE_Insurance_Risk!$C21</f>
        <v>Versicherungstechnische Erträge</v>
      </c>
      <c r="G1873" s="1494"/>
      <c r="H1873" s="1119">
        <f>HE_Insurance_Risk!$W21</f>
        <v>0</v>
      </c>
      <c r="U1873" s="1027"/>
      <c r="V1873" s="1027"/>
      <c r="W1873" s="1027"/>
    </row>
    <row r="1874" spans="2:23" ht="12.75" customHeight="1" x14ac:dyDescent="0.2">
      <c r="B1874" s="1083">
        <f>HE_Insurance_Risk!$A$1</f>
        <v>37</v>
      </c>
      <c r="C1874" s="1084" t="str">
        <f>HE_Insurance_Risk!$B$1</f>
        <v>Versicherungsrisiko</v>
      </c>
      <c r="D1874" s="1091" t="str">
        <f>HE_Insurance_Risk!$C$15</f>
        <v>Erwartungswert und Standardabweichung</v>
      </c>
      <c r="E1874" s="1494" t="str">
        <f>HE_Insurance_Risk!$W$17</f>
        <v>Total KVG inkl. UVG</v>
      </c>
      <c r="F1874" s="1488" t="str">
        <f>HE_Insurance_Risk!$C24</f>
        <v>Bruttoprämien</v>
      </c>
      <c r="G1874" s="1494"/>
      <c r="H1874" s="1106">
        <f>HE_Insurance_Risk!$W24</f>
        <v>0</v>
      </c>
      <c r="U1874" s="1027"/>
      <c r="V1874" s="1027"/>
      <c r="W1874" s="1027"/>
    </row>
    <row r="1875" spans="2:23" ht="12.75" customHeight="1" x14ac:dyDescent="0.2">
      <c r="B1875" s="1083">
        <f>HE_Insurance_Risk!$A$1</f>
        <v>37</v>
      </c>
      <c r="C1875" s="1084" t="str">
        <f>HE_Insurance_Risk!$B$1</f>
        <v>Versicherungsrisiko</v>
      </c>
      <c r="D1875" s="1091" t="str">
        <f>HE_Insurance_Risk!$C$15</f>
        <v>Erwartungswert und Standardabweichung</v>
      </c>
      <c r="E1875" s="1494" t="str">
        <f>HE_Insurance_Risk!$W$17</f>
        <v>Total KVG inkl. UVG</v>
      </c>
      <c r="F1875" s="1488" t="str">
        <f>HE_Insurance_Risk!$C25</f>
        <v>Erlösminderungen</v>
      </c>
      <c r="G1875" s="1494"/>
      <c r="H1875" s="1106">
        <f>HE_Insurance_Risk!$W25</f>
        <v>0</v>
      </c>
      <c r="U1875" s="1027"/>
      <c r="V1875" s="1027"/>
      <c r="W1875" s="1027"/>
    </row>
    <row r="1876" spans="2:23" ht="12.75" customHeight="1" x14ac:dyDescent="0.2">
      <c r="B1876" s="1083">
        <f>HE_Insurance_Risk!$A$1</f>
        <v>37</v>
      </c>
      <c r="C1876" s="1084" t="str">
        <f>HE_Insurance_Risk!$B$1</f>
        <v>Versicherungsrisiko</v>
      </c>
      <c r="D1876" s="1091" t="str">
        <f>HE_Insurance_Risk!$C$15</f>
        <v>Erwartungswert und Standardabweichung</v>
      </c>
      <c r="E1876" s="1494" t="str">
        <f>HE_Insurance_Risk!$W$17</f>
        <v>Total KVG inkl. UVG</v>
      </c>
      <c r="F1876" s="1488" t="str">
        <f>HE_Insurance_Risk!$C27</f>
        <v>Verdiente Prämien vor Rückversicherung</v>
      </c>
      <c r="G1876" s="1494"/>
      <c r="H1876" s="1106">
        <f>HE_Insurance_Risk!$W27</f>
        <v>0</v>
      </c>
      <c r="U1876" s="1027"/>
      <c r="V1876" s="1027"/>
      <c r="W1876" s="1027"/>
    </row>
    <row r="1877" spans="2:23" ht="12.75" customHeight="1" x14ac:dyDescent="0.2">
      <c r="B1877" s="1083">
        <f>HE_Insurance_Risk!$A$1</f>
        <v>37</v>
      </c>
      <c r="C1877" s="1084" t="str">
        <f>HE_Insurance_Risk!$B$1</f>
        <v>Versicherungsrisiko</v>
      </c>
      <c r="D1877" s="1091" t="str">
        <f>HE_Insurance_Risk!$C$15</f>
        <v>Erwartungswert und Standardabweichung</v>
      </c>
      <c r="E1877" s="1494" t="str">
        <f>HE_Insurance_Risk!$W$17</f>
        <v>Total KVG inkl. UVG</v>
      </c>
      <c r="F1877" s="1488" t="str">
        <f>HE_Insurance_Risk!$C28</f>
        <v>Prämienanteile der passiven Rückversicherung</v>
      </c>
      <c r="G1877" s="1494"/>
      <c r="H1877" s="1106">
        <f>HE_Insurance_Risk!$W28</f>
        <v>0</v>
      </c>
      <c r="U1877" s="1027"/>
      <c r="V1877" s="1027"/>
      <c r="W1877" s="1027"/>
    </row>
    <row r="1878" spans="2:23" ht="12.75" customHeight="1" x14ac:dyDescent="0.2">
      <c r="B1878" s="1083">
        <f>HE_Insurance_Risk!$A$1</f>
        <v>37</v>
      </c>
      <c r="C1878" s="1084" t="str">
        <f>HE_Insurance_Risk!$B$1</f>
        <v>Versicherungsrisiko</v>
      </c>
      <c r="D1878" s="1091" t="str">
        <f>HE_Insurance_Risk!$C$15</f>
        <v>Erwartungswert und Standardabweichung</v>
      </c>
      <c r="E1878" s="1494" t="str">
        <f>HE_Insurance_Risk!$W$17</f>
        <v>Total KVG inkl. UVG</v>
      </c>
      <c r="F1878" s="1488" t="str">
        <f>HE_Insurance_Risk!$C30</f>
        <v>Verdiente Prämien nach Rückversicherung</v>
      </c>
      <c r="G1878" s="1494"/>
      <c r="H1878" s="1106">
        <f>HE_Insurance_Risk!$W30</f>
        <v>0</v>
      </c>
      <c r="U1878" s="1027"/>
      <c r="V1878" s="1027"/>
      <c r="W1878" s="1027"/>
    </row>
    <row r="1879" spans="2:23" ht="12.75" customHeight="1" x14ac:dyDescent="0.2">
      <c r="B1879" s="1083">
        <f>HE_Insurance_Risk!$A$1</f>
        <v>37</v>
      </c>
      <c r="C1879" s="1084" t="str">
        <f>HE_Insurance_Risk!$B$1</f>
        <v>Versicherungsrisiko</v>
      </c>
      <c r="D1879" s="1091" t="str">
        <f>HE_Insurance_Risk!$C$15</f>
        <v>Erwartungswert und Standardabweichung</v>
      </c>
      <c r="E1879" s="1494" t="str">
        <f>HE_Insurance_Risk!$W$17</f>
        <v>Total KVG inkl. UVG</v>
      </c>
      <c r="F1879" s="1488" t="str">
        <f>HE_Insurance_Risk!$C32</f>
        <v>Sonstige versicherungstechnische Erträge</v>
      </c>
      <c r="G1879" s="1494"/>
      <c r="H1879" s="1106">
        <f>HE_Insurance_Risk!$W32</f>
        <v>0</v>
      </c>
      <c r="U1879" s="1027"/>
      <c r="V1879" s="1027"/>
      <c r="W1879" s="1027"/>
    </row>
    <row r="1880" spans="2:23" ht="12.75" customHeight="1" x14ac:dyDescent="0.2">
      <c r="B1880" s="1083">
        <f>HE_Insurance_Risk!$A$1</f>
        <v>37</v>
      </c>
      <c r="C1880" s="1084" t="str">
        <f>HE_Insurance_Risk!$B$1</f>
        <v>Versicherungsrisiko</v>
      </c>
      <c r="D1880" s="1091" t="str">
        <f>HE_Insurance_Risk!$C$15</f>
        <v>Erwartungswert und Standardabweichung</v>
      </c>
      <c r="E1880" s="1494" t="str">
        <f>HE_Insurance_Risk!$W$17</f>
        <v>Total KVG inkl. UVG</v>
      </c>
      <c r="F1880" s="1488" t="str">
        <f>HE_Insurance_Risk!$C33</f>
        <v>Überschussbeteiligungen</v>
      </c>
      <c r="G1880" s="1494"/>
      <c r="H1880" s="1106">
        <f>HE_Insurance_Risk!$W33</f>
        <v>0</v>
      </c>
      <c r="U1880" s="1027"/>
      <c r="V1880" s="1027"/>
      <c r="W1880" s="1027"/>
    </row>
    <row r="1881" spans="2:23" ht="12.75" customHeight="1" x14ac:dyDescent="0.2">
      <c r="B1881" s="1083"/>
      <c r="C1881" s="1084"/>
      <c r="D1881" s="1091"/>
      <c r="E1881" s="1494"/>
      <c r="F1881" s="1488"/>
      <c r="G1881" s="1494"/>
      <c r="H1881" s="1106"/>
      <c r="U1881" s="1027"/>
      <c r="V1881" s="1027"/>
      <c r="W1881" s="1027"/>
    </row>
    <row r="1882" spans="2:23" ht="12.75" customHeight="1" x14ac:dyDescent="0.2">
      <c r="B1882" s="1083">
        <f>HE_Insurance_Risk!$A$1</f>
        <v>37</v>
      </c>
      <c r="C1882" s="1084" t="str">
        <f>HE_Insurance_Risk!$B$1</f>
        <v>Versicherungsrisiko</v>
      </c>
      <c r="D1882" s="1091" t="str">
        <f>HE_Insurance_Risk!$C$15</f>
        <v>Erwartungswert und Standardabweichung</v>
      </c>
      <c r="E1882" s="1494" t="str">
        <f>HE_Insurance_Risk!$W$17</f>
        <v>Total KVG inkl. UVG</v>
      </c>
      <c r="F1882" s="1488" t="str">
        <f>HE_Insurance_Risk!$C35</f>
        <v>Versicherungstechnische Aufwendungen</v>
      </c>
      <c r="G1882" s="1494"/>
      <c r="H1882" s="1117">
        <f>HE_Insurance_Risk!$W35</f>
        <v>0</v>
      </c>
      <c r="U1882" s="1027"/>
      <c r="V1882" s="1027"/>
      <c r="W1882" s="1027"/>
    </row>
    <row r="1883" spans="2:23" ht="12.75" customHeight="1" x14ac:dyDescent="0.2">
      <c r="B1883" s="1083">
        <f>HE_Insurance_Risk!$A$1</f>
        <v>37</v>
      </c>
      <c r="C1883" s="1084" t="str">
        <f>HE_Insurance_Risk!$B$1</f>
        <v>Versicherungsrisiko</v>
      </c>
      <c r="D1883" s="1091" t="str">
        <f>HE_Insurance_Risk!$C$15</f>
        <v>Erwartungswert und Standardabweichung</v>
      </c>
      <c r="E1883" s="1494" t="str">
        <f>HE_Insurance_Risk!$W$17</f>
        <v>Total KVG inkl. UVG</v>
      </c>
      <c r="F1883" s="1488" t="str">
        <f>HE_Insurance_Risk!$C38</f>
        <v>Bruttoleistungen (Behandlungsjahr 2025)</v>
      </c>
      <c r="G1883" s="1494"/>
      <c r="H1883" s="1106">
        <f>HE_Insurance_Risk!$W38</f>
        <v>0</v>
      </c>
      <c r="U1883" s="1027"/>
      <c r="V1883" s="1027"/>
      <c r="W1883" s="1027"/>
    </row>
    <row r="1884" spans="2:23" ht="12.75" customHeight="1" x14ac:dyDescent="0.2">
      <c r="B1884" s="1083">
        <f>HE_Insurance_Risk!$A$1</f>
        <v>37</v>
      </c>
      <c r="C1884" s="1084" t="str">
        <f>HE_Insurance_Risk!$B$1</f>
        <v>Versicherungsrisiko</v>
      </c>
      <c r="D1884" s="1091" t="str">
        <f>HE_Insurance_Risk!$C$15</f>
        <v>Erwartungswert und Standardabweichung</v>
      </c>
      <c r="E1884" s="1494" t="str">
        <f>HE_Insurance_Risk!$W$17</f>
        <v>Total KVG inkl. UVG</v>
      </c>
      <c r="F1884" s="1488" t="str">
        <f>HE_Insurance_Risk!$C39</f>
        <v>Kostenbeteiligungen (Behandlungsjahr 2025)</v>
      </c>
      <c r="G1884" s="1494"/>
      <c r="H1884" s="1106">
        <f>HE_Insurance_Risk!$W39</f>
        <v>0</v>
      </c>
      <c r="U1884" s="1027"/>
      <c r="V1884" s="1027"/>
      <c r="W1884" s="1027"/>
    </row>
    <row r="1885" spans="2:23" ht="12.75" customHeight="1" x14ac:dyDescent="0.2">
      <c r="B1885" s="1083">
        <f>HE_Insurance_Risk!$A$1</f>
        <v>37</v>
      </c>
      <c r="C1885" s="1084" t="str">
        <f>HE_Insurance_Risk!$B$1</f>
        <v>Versicherungsrisiko</v>
      </c>
      <c r="D1885" s="1091" t="str">
        <f>HE_Insurance_Risk!$C$15</f>
        <v>Erwartungswert und Standardabweichung</v>
      </c>
      <c r="E1885" s="1494" t="str">
        <f>HE_Insurance_Risk!$W$17</f>
        <v>Total KVG inkl. UVG</v>
      </c>
      <c r="F1885" s="1488" t="str">
        <f>HE_Insurance_Risk!$C40</f>
        <v>Sonstige Leistungen  (Behandlungsjahr 2025)</v>
      </c>
      <c r="G1885" s="1494"/>
      <c r="H1885" s="1106">
        <f>HE_Insurance_Risk!$W40</f>
        <v>0</v>
      </c>
      <c r="U1885" s="1027"/>
      <c r="V1885" s="1027"/>
      <c r="W1885" s="1027"/>
    </row>
    <row r="1886" spans="2:23" ht="12.75" customHeight="1" x14ac:dyDescent="0.2">
      <c r="B1886" s="1083">
        <f>HE_Insurance_Risk!$A$1</f>
        <v>37</v>
      </c>
      <c r="C1886" s="1084" t="str">
        <f>HE_Insurance_Risk!$B$1</f>
        <v>Versicherungsrisiko</v>
      </c>
      <c r="D1886" s="1091" t="str">
        <f>HE_Insurance_Risk!$C$15</f>
        <v>Erwartungswert und Standardabweichung</v>
      </c>
      <c r="E1886" s="1494" t="str">
        <f>HE_Insurance_Risk!$W$17</f>
        <v>Total KVG inkl. UVG</v>
      </c>
      <c r="F1886" s="1488" t="str">
        <f>HE_Insurance_Risk!$C42</f>
        <v>Leistungen vor Rückversicherung</v>
      </c>
      <c r="G1886" s="1494"/>
      <c r="H1886" s="1106">
        <f>HE_Insurance_Risk!$W42</f>
        <v>0</v>
      </c>
      <c r="U1886" s="1027"/>
      <c r="V1886" s="1027"/>
      <c r="W1886" s="1027"/>
    </row>
    <row r="1887" spans="2:23" ht="12.75" customHeight="1" x14ac:dyDescent="0.2">
      <c r="B1887" s="1083">
        <f>HE_Insurance_Risk!$A$1</f>
        <v>37</v>
      </c>
      <c r="C1887" s="1084" t="str">
        <f>HE_Insurance_Risk!$B$1</f>
        <v>Versicherungsrisiko</v>
      </c>
      <c r="D1887" s="1091" t="str">
        <f>HE_Insurance_Risk!$C$15</f>
        <v>Erwartungswert und Standardabweichung</v>
      </c>
      <c r="E1887" s="1494" t="str">
        <f>HE_Insurance_Risk!$W$17</f>
        <v>Total KVG inkl. UVG</v>
      </c>
      <c r="F1887" s="1488" t="str">
        <f>HE_Insurance_Risk!$C43</f>
        <v>Leistungsanteile der passiven Rückversicherung</v>
      </c>
      <c r="G1887" s="1494"/>
      <c r="H1887" s="1106">
        <f>HE_Insurance_Risk!$W43</f>
        <v>0</v>
      </c>
      <c r="U1887" s="1027"/>
      <c r="V1887" s="1027"/>
      <c r="W1887" s="1027"/>
    </row>
    <row r="1888" spans="2:23" ht="12.75" customHeight="1" x14ac:dyDescent="0.2">
      <c r="B1888" s="1083">
        <f>HE_Insurance_Risk!$A$1</f>
        <v>37</v>
      </c>
      <c r="C1888" s="1084" t="str">
        <f>HE_Insurance_Risk!$B$1</f>
        <v>Versicherungsrisiko</v>
      </c>
      <c r="D1888" s="1091" t="str">
        <f>HE_Insurance_Risk!$C$15</f>
        <v>Erwartungswert und Standardabweichung</v>
      </c>
      <c r="E1888" s="1494" t="str">
        <f>HE_Insurance_Risk!$W$17</f>
        <v>Total KVG inkl. UVG</v>
      </c>
      <c r="F1888" s="1488" t="str">
        <f>HE_Insurance_Risk!$C45</f>
        <v>Leistungen nach Rückversicherung</v>
      </c>
      <c r="G1888" s="1494"/>
      <c r="H1888" s="1106">
        <f>HE_Insurance_Risk!$W45</f>
        <v>0</v>
      </c>
      <c r="U1888" s="1027"/>
      <c r="V1888" s="1027"/>
      <c r="W1888" s="1027"/>
    </row>
    <row r="1889" spans="2:23" ht="12.75" customHeight="1" x14ac:dyDescent="0.2">
      <c r="B1889" s="1083">
        <f>HE_Insurance_Risk!$A$1</f>
        <v>37</v>
      </c>
      <c r="C1889" s="1084" t="str">
        <f>HE_Insurance_Risk!$B$1</f>
        <v>Versicherungsrisiko</v>
      </c>
      <c r="D1889" s="1091" t="str">
        <f>HE_Insurance_Risk!$C$15</f>
        <v>Erwartungswert und Standardabweichung</v>
      </c>
      <c r="E1889" s="1494" t="str">
        <f>HE_Insurance_Risk!$W$17</f>
        <v>Total KVG inkl. UVG</v>
      </c>
      <c r="F1889" s="1488"/>
      <c r="G1889" s="1524" t="s">
        <v>1810</v>
      </c>
      <c r="U1889" s="1027"/>
      <c r="V1889" s="1027"/>
      <c r="W1889" s="1027"/>
    </row>
    <row r="1890" spans="2:23" ht="12.75" customHeight="1" x14ac:dyDescent="0.2">
      <c r="B1890" s="1083">
        <f>HE_Insurance_Risk!$A$1</f>
        <v>37</v>
      </c>
      <c r="C1890" s="1084" t="str">
        <f>HE_Insurance_Risk!$B$1</f>
        <v>Versicherungsrisiko</v>
      </c>
      <c r="D1890" s="1091" t="str">
        <f>HE_Insurance_Risk!$C$15</f>
        <v>Erwartungswert und Standardabweichung</v>
      </c>
      <c r="E1890" s="1494" t="str">
        <f>HE_Insurance_Risk!$W$17</f>
        <v>Total KVG inkl. UVG</v>
      </c>
      <c r="F1890" s="1488" t="str">
        <f>HE_Insurance_Risk!$C47</f>
        <v>Veränderung der Alterungsrückstellungen und Deckungskapitalien</v>
      </c>
      <c r="G1890" s="1494"/>
      <c r="H1890" s="1106">
        <f>HE_Insurance_Risk!$W47</f>
        <v>0</v>
      </c>
      <c r="U1890" s="1027"/>
      <c r="V1890" s="1027"/>
      <c r="W1890" s="1027"/>
    </row>
    <row r="1891" spans="2:23" ht="12.75" customHeight="1" x14ac:dyDescent="0.2">
      <c r="B1891" s="1083">
        <f>HE_Insurance_Risk!$A$1</f>
        <v>37</v>
      </c>
      <c r="C1891" s="1084" t="str">
        <f>HE_Insurance_Risk!$B$1</f>
        <v>Versicherungsrisiko</v>
      </c>
      <c r="D1891" s="1091" t="str">
        <f>HE_Insurance_Risk!$C$15</f>
        <v>Erwartungswert und Standardabweichung</v>
      </c>
      <c r="E1891" s="1494" t="str">
        <f>HE_Insurance_Risk!$W$17</f>
        <v>Total KVG inkl. UVG</v>
      </c>
      <c r="F1891" s="1488" t="str">
        <f>HE_Insurance_Risk!$C48</f>
        <v>Veränderung der sonstigen technischen Rückstellungen</v>
      </c>
      <c r="G1891" s="1494"/>
      <c r="H1891" s="1106">
        <f>HE_Insurance_Risk!$W48</f>
        <v>0</v>
      </c>
      <c r="U1891" s="1027"/>
      <c r="V1891" s="1027"/>
      <c r="W1891" s="1027"/>
    </row>
    <row r="1892" spans="2:23" ht="12.75" customHeight="1" x14ac:dyDescent="0.2">
      <c r="B1892" s="1083">
        <f>HE_Insurance_Risk!$A$1</f>
        <v>37</v>
      </c>
      <c r="C1892" s="1084" t="str">
        <f>HE_Insurance_Risk!$B$1</f>
        <v>Versicherungsrisiko</v>
      </c>
      <c r="D1892" s="1091" t="str">
        <f>HE_Insurance_Risk!$C$15</f>
        <v>Erwartungswert und Standardabweichung</v>
      </c>
      <c r="E1892" s="1494" t="str">
        <f>HE_Insurance_Risk!$W$17</f>
        <v>Total KVG inkl. UVG</v>
      </c>
      <c r="F1892" s="1488" t="str">
        <f>HE_Insurance_Risk!$C50</f>
        <v>Risikoausgleich (2025)</v>
      </c>
      <c r="G1892" s="1494"/>
      <c r="H1892" s="1106">
        <f>HE_Insurance_Risk!$W50</f>
        <v>0</v>
      </c>
      <c r="U1892" s="1027"/>
      <c r="V1892" s="1027"/>
      <c r="W1892" s="1027"/>
    </row>
    <row r="1893" spans="2:23" ht="12.75" customHeight="1" x14ac:dyDescent="0.2">
      <c r="B1893" s="1083">
        <f>HE_Insurance_Risk!$A$1</f>
        <v>37</v>
      </c>
      <c r="C1893" s="1084" t="str">
        <f>HE_Insurance_Risk!$B$1</f>
        <v>Versicherungsrisiko</v>
      </c>
      <c r="D1893" s="1091" t="str">
        <f>HE_Insurance_Risk!$C$15</f>
        <v>Erwartungswert und Standardabweichung</v>
      </c>
      <c r="E1893" s="1494" t="str">
        <f>HE_Insurance_Risk!$W$17</f>
        <v>Total KVG inkl. UVG</v>
      </c>
      <c r="F1893" s="1488" t="str">
        <f>HE_Insurance_Risk!$C51</f>
        <v>Andere Aufwendungen</v>
      </c>
      <c r="G1893" s="1494"/>
      <c r="H1893" s="1106">
        <f>HE_Insurance_Risk!$W51</f>
        <v>0</v>
      </c>
      <c r="U1893" s="1027"/>
      <c r="V1893" s="1027"/>
      <c r="W1893" s="1027"/>
    </row>
    <row r="1894" spans="2:23" ht="12.75" customHeight="1" x14ac:dyDescent="0.2">
      <c r="B1894" s="1083">
        <f>HE_Insurance_Risk!$A$1</f>
        <v>37</v>
      </c>
      <c r="C1894" s="1084" t="str">
        <f>HE_Insurance_Risk!$B$1</f>
        <v>Versicherungsrisiko</v>
      </c>
      <c r="D1894" s="1091" t="str">
        <f>HE_Insurance_Risk!$C$15</f>
        <v>Erwartungswert und Standardabweichung</v>
      </c>
      <c r="E1894" s="1494" t="str">
        <f>HE_Insurance_Risk!$W$17</f>
        <v>Total KVG inkl. UVG</v>
      </c>
      <c r="F1894" s="1488" t="str">
        <f>HE_Insurance_Risk!$C53</f>
        <v>Schaden- und Leistungsaufwand für eigene Rechnung</v>
      </c>
      <c r="G1894" s="1494"/>
      <c r="H1894" s="1121">
        <f>HE_Insurance_Risk!$W53</f>
        <v>0</v>
      </c>
      <c r="U1894" s="1027"/>
      <c r="V1894" s="1027"/>
      <c r="W1894" s="1027"/>
    </row>
    <row r="1895" spans="2:23" ht="12.75" customHeight="1" x14ac:dyDescent="0.2">
      <c r="B1895" s="1083">
        <f>HE_Insurance_Risk!$A$1</f>
        <v>37</v>
      </c>
      <c r="C1895" s="1084" t="str">
        <f>HE_Insurance_Risk!$B$1</f>
        <v>Versicherungsrisiko</v>
      </c>
      <c r="D1895" s="1091" t="str">
        <f>HE_Insurance_Risk!$C$15</f>
        <v>Erwartungswert und Standardabweichung</v>
      </c>
      <c r="E1895" s="1494" t="str">
        <f>HE_Insurance_Risk!$W$17</f>
        <v>Total KVG inkl. UVG</v>
      </c>
      <c r="F1895" s="1488" t="str">
        <f>HE_Insurance_Risk!$C55</f>
        <v>Aufwendungen für den Betrieb, Verwaltungsaufwand</v>
      </c>
      <c r="G1895" s="1494"/>
      <c r="H1895" s="1106">
        <f>HE_Insurance_Risk!$W55</f>
        <v>0</v>
      </c>
      <c r="U1895" s="1027"/>
      <c r="V1895" s="1027"/>
      <c r="W1895" s="1027"/>
    </row>
    <row r="1896" spans="2:23" ht="12.75" customHeight="1" x14ac:dyDescent="0.2">
      <c r="B1896" s="1083"/>
      <c r="C1896" s="1084"/>
      <c r="D1896" s="1091"/>
      <c r="E1896" s="1494"/>
      <c r="F1896" s="1488"/>
      <c r="G1896" s="1494"/>
      <c r="H1896" s="1106"/>
      <c r="U1896" s="1027"/>
      <c r="V1896" s="1027"/>
      <c r="W1896" s="1027"/>
    </row>
    <row r="1897" spans="2:23" ht="12.75" customHeight="1" x14ac:dyDescent="0.2">
      <c r="B1897" s="1083">
        <f>HE_Insurance_Risk!$A$1</f>
        <v>37</v>
      </c>
      <c r="C1897" s="1084" t="str">
        <f>HE_Insurance_Risk!$B$1</f>
        <v>Versicherungsrisiko</v>
      </c>
      <c r="D1897" s="1091" t="str">
        <f>HE_Insurance_Risk!$C$15</f>
        <v>Erwartungswert und Standardabweichung</v>
      </c>
      <c r="E1897" s="1494" t="str">
        <f>HE_Insurance_Risk!$W$17</f>
        <v>Total KVG inkl. UVG</v>
      </c>
      <c r="F1897" s="1488" t="str">
        <f>HE_Insurance_Risk!$C57</f>
        <v>Versicherungstechnisches Resultat</v>
      </c>
      <c r="G1897" s="1494"/>
      <c r="H1897" s="1119">
        <f>HE_Insurance_Risk!$W57</f>
        <v>0</v>
      </c>
      <c r="U1897" s="1027"/>
      <c r="V1897" s="1027"/>
      <c r="W1897" s="1027"/>
    </row>
    <row r="1898" spans="2:23" ht="12.75" customHeight="1" x14ac:dyDescent="0.2">
      <c r="B1898" s="1083"/>
      <c r="C1898" s="1084"/>
      <c r="D1898" s="1091"/>
      <c r="E1898" s="1494"/>
      <c r="F1898" s="1488"/>
      <c r="G1898" s="1494"/>
      <c r="H1898" s="1122"/>
      <c r="U1898" s="1027"/>
      <c r="V1898" s="1027"/>
      <c r="W1898" s="1027"/>
    </row>
    <row r="1899" spans="2:23" ht="12.75" customHeight="1" x14ac:dyDescent="0.2">
      <c r="B1899" s="1083">
        <f>HE_Insurance_Risk!$A$1</f>
        <v>37</v>
      </c>
      <c r="C1899" s="1084" t="str">
        <f>HE_Insurance_Risk!$B$1</f>
        <v>Versicherungsrisiko</v>
      </c>
      <c r="D1899" s="1091" t="str">
        <f>HE_Insurance_Risk!$C$15</f>
        <v>Erwartungswert und Standardabweichung</v>
      </c>
      <c r="E1899" s="1494" t="str">
        <f>HE_Insurance_Risk!$W$17</f>
        <v>Total KVG inkl. UVG</v>
      </c>
      <c r="F1899" s="1488" t="str">
        <f>HE_Insurance_Risk!$C59</f>
        <v>Erwartete Anzahl Versicherte (Durschnittbestand)</v>
      </c>
      <c r="G1899" s="1494"/>
      <c r="H1899" s="1136">
        <f>HE_Insurance_Risk!$W59</f>
        <v>0</v>
      </c>
      <c r="U1899" s="1027"/>
      <c r="V1899" s="1027"/>
      <c r="W1899" s="1027"/>
    </row>
    <row r="1900" spans="2:23" ht="12.75" customHeight="1" x14ac:dyDescent="0.2">
      <c r="B1900" s="1083"/>
      <c r="C1900" s="1084"/>
      <c r="D1900" s="1091"/>
      <c r="E1900" s="1494"/>
      <c r="F1900" s="1488"/>
      <c r="G1900" s="1494"/>
      <c r="H1900" s="1122"/>
      <c r="U1900" s="1027"/>
      <c r="V1900" s="1027"/>
      <c r="W1900" s="1027"/>
    </row>
    <row r="1901" spans="2:23" ht="12.75" customHeight="1" x14ac:dyDescent="0.2">
      <c r="B1901" s="1083"/>
      <c r="C1901" s="1084"/>
      <c r="D1901" s="1091"/>
      <c r="E1901" s="1494"/>
      <c r="F1901" s="1488"/>
      <c r="G1901" s="1494"/>
      <c r="H1901" s="1124"/>
      <c r="U1901" s="1027"/>
      <c r="V1901" s="1027"/>
      <c r="W1901" s="1027"/>
    </row>
    <row r="1902" spans="2:23" ht="12.75" customHeight="1" x14ac:dyDescent="0.2">
      <c r="B1902" s="1083">
        <f>HE_Insurance_Risk!$A$1</f>
        <v>37</v>
      </c>
      <c r="C1902" s="1084" t="str">
        <f>HE_Insurance_Risk!$B$1</f>
        <v>Versicherungsrisiko</v>
      </c>
      <c r="D1902" s="1091" t="str">
        <f>HE_Insurance_Risk!$C$61</f>
        <v>Variabilität</v>
      </c>
      <c r="E1902" s="1494" t="str">
        <f>HE_Insurance_Risk!$W$17</f>
        <v>Total KVG inkl. UVG</v>
      </c>
      <c r="F1902" s="1488" t="str">
        <f>HE_Insurance_Risk!$C65</f>
        <v>Erwartete Anzahl Schadenfälle bzw. Erkrankte</v>
      </c>
      <c r="G1902" s="1494"/>
      <c r="H1902" s="1126">
        <f>HE_Insurance_Risk!$W65</f>
        <v>0</v>
      </c>
      <c r="U1902" s="1027"/>
      <c r="V1902" s="1027"/>
      <c r="W1902" s="1027"/>
    </row>
    <row r="1903" spans="2:23" ht="12.75" customHeight="1" x14ac:dyDescent="0.2">
      <c r="B1903" s="1083"/>
      <c r="C1903" s="1084"/>
      <c r="D1903" s="1091"/>
      <c r="E1903" s="1494"/>
      <c r="F1903" s="1488"/>
      <c r="G1903" s="1494"/>
      <c r="H1903" s="1126"/>
      <c r="U1903" s="1027"/>
      <c r="V1903" s="1027"/>
      <c r="W1903" s="1027"/>
    </row>
    <row r="1904" spans="2:23" ht="12.75" customHeight="1" x14ac:dyDescent="0.2">
      <c r="B1904" s="1083">
        <f>HE_Insurance_Risk!$A$1</f>
        <v>37</v>
      </c>
      <c r="C1904" s="1084" t="str">
        <f>HE_Insurance_Risk!$B$1</f>
        <v>Versicherungsrisiko</v>
      </c>
      <c r="D1904" s="1091" t="str">
        <f>HE_Insurance_Risk!$C$61</f>
        <v>Variabilität</v>
      </c>
      <c r="E1904" s="1494" t="str">
        <f>HE_Insurance_Risk!$W$17</f>
        <v>Total KVG inkl. UVG</v>
      </c>
      <c r="F1904" s="1488" t="str">
        <f>HE_Insurance_Risk!$C67</f>
        <v>Variationskoeffizient des Einzelschadens</v>
      </c>
      <c r="G1904" s="1494"/>
      <c r="H1904" s="1122">
        <f>HE_Insurance_Risk!$W67</f>
        <v>0</v>
      </c>
      <c r="U1904" s="1027"/>
      <c r="V1904" s="1027"/>
      <c r="W1904" s="1027"/>
    </row>
    <row r="1905" spans="2:23" ht="12.75" customHeight="1" x14ac:dyDescent="0.2">
      <c r="B1905" s="1083">
        <f>HE_Insurance_Risk!$A$1</f>
        <v>37</v>
      </c>
      <c r="C1905" s="1084" t="str">
        <f>HE_Insurance_Risk!$B$1</f>
        <v>Versicherungsrisiko</v>
      </c>
      <c r="D1905" s="1091" t="str">
        <f>HE_Insurance_Risk!$C$61</f>
        <v>Variabilität</v>
      </c>
      <c r="E1905" s="1494" t="str">
        <f>HE_Insurance_Risk!$W$17</f>
        <v>Total KVG inkl. UVG</v>
      </c>
      <c r="F1905" s="1488" t="str">
        <f>HE_Insurance_Risk!$C68</f>
        <v>Standardwert (vor Rückversicherung)</v>
      </c>
      <c r="G1905" s="1494"/>
      <c r="H1905" s="1122">
        <f>HE_Insurance_Risk!$W68</f>
        <v>0</v>
      </c>
      <c r="U1905" s="1027"/>
      <c r="V1905" s="1027"/>
      <c r="W1905" s="1027"/>
    </row>
    <row r="1906" spans="2:23" ht="12.75" customHeight="1" x14ac:dyDescent="0.2">
      <c r="B1906" s="1083">
        <f>HE_Insurance_Risk!$A$1</f>
        <v>37</v>
      </c>
      <c r="C1906" s="1084" t="str">
        <f>HE_Insurance_Risk!$B$1</f>
        <v>Versicherungsrisiko</v>
      </c>
      <c r="D1906" s="1091" t="str">
        <f>HE_Insurance_Risk!$C$61</f>
        <v>Variabilität</v>
      </c>
      <c r="E1906" s="1494" t="str">
        <f>HE_Insurance_Risk!$W$17</f>
        <v>Total KVG inkl. UVG</v>
      </c>
      <c r="F1906" s="1488" t="str">
        <f>HE_Insurance_Risk!$C69</f>
        <v>errechneter Wert nach Rückversicherung</v>
      </c>
      <c r="G1906" s="1494"/>
      <c r="H1906" s="1122">
        <f>HE_Insurance_Risk!$W69</f>
        <v>0</v>
      </c>
      <c r="U1906" s="1027"/>
      <c r="V1906" s="1027"/>
      <c r="W1906" s="1027"/>
    </row>
    <row r="1907" spans="2:23" ht="12.75" customHeight="1" x14ac:dyDescent="0.2">
      <c r="B1907" s="1083">
        <f>HE_Insurance_Risk!$A$1</f>
        <v>37</v>
      </c>
      <c r="C1907" s="1084" t="str">
        <f>HE_Insurance_Risk!$B$1</f>
        <v>Versicherungsrisiko</v>
      </c>
      <c r="D1907" s="1091" t="str">
        <f>HE_Insurance_Risk!$C$61</f>
        <v>Variabilität</v>
      </c>
      <c r="E1907" s="1494" t="str">
        <f>HE_Insurance_Risk!$W$17</f>
        <v>Total KVG inkl. UVG</v>
      </c>
      <c r="F1907" s="1488" t="str">
        <f>HE_Insurance_Risk!$C70</f>
        <v>benutzter Wert (Abweichung vom Standard: begründen)</v>
      </c>
      <c r="G1907" s="1494"/>
      <c r="H1907" s="1122">
        <f>HE_Insurance_Risk!$W70</f>
        <v>0</v>
      </c>
      <c r="U1907" s="1027"/>
      <c r="V1907" s="1027"/>
      <c r="W1907" s="1027"/>
    </row>
    <row r="1908" spans="2:23" ht="12.75" customHeight="1" x14ac:dyDescent="0.2">
      <c r="B1908" s="1083"/>
      <c r="C1908" s="1084"/>
      <c r="D1908" s="1091"/>
      <c r="E1908" s="1494"/>
      <c r="F1908" s="1488"/>
      <c r="G1908" s="1494"/>
      <c r="H1908" s="1122"/>
      <c r="U1908" s="1027"/>
      <c r="V1908" s="1027"/>
      <c r="W1908" s="1027"/>
    </row>
    <row r="1909" spans="2:23" ht="12.75" customHeight="1" x14ac:dyDescent="0.2">
      <c r="B1909" s="1083">
        <f>HE_Insurance_Risk!$A$1</f>
        <v>37</v>
      </c>
      <c r="C1909" s="1084" t="str">
        <f>HE_Insurance_Risk!$B$1</f>
        <v>Versicherungsrisiko</v>
      </c>
      <c r="D1909" s="1091" t="str">
        <f>HE_Insurance_Risk!$C$61</f>
        <v>Variabilität</v>
      </c>
      <c r="E1909" s="1494" t="str">
        <f>HE_Insurance_Risk!$W$17</f>
        <v>Total KVG inkl. UVG</v>
      </c>
      <c r="F1909" s="1488" t="str">
        <f>HE_Insurance_Risk!$C72</f>
        <v>Resultat: Variationskoeffizient des Zufallsrisikos</v>
      </c>
      <c r="G1909" s="1494"/>
      <c r="H1909" s="1124">
        <f>HE_Insurance_Risk!$W72</f>
        <v>0</v>
      </c>
      <c r="U1909" s="1027"/>
      <c r="V1909" s="1027"/>
      <c r="W1909" s="1027"/>
    </row>
    <row r="1910" spans="2:23" ht="12.75" customHeight="1" x14ac:dyDescent="0.2">
      <c r="B1910" s="1083">
        <f>HE_Insurance_Risk!$A$1</f>
        <v>37</v>
      </c>
      <c r="C1910" s="1084" t="str">
        <f>HE_Insurance_Risk!$B$1</f>
        <v>Versicherungsrisiko</v>
      </c>
      <c r="D1910" s="1091" t="str">
        <f>HE_Insurance_Risk!$C$61</f>
        <v>Variabilität</v>
      </c>
      <c r="E1910" s="1494" t="str">
        <f>HE_Insurance_Risk!$W$17</f>
        <v>Total KVG inkl. UVG</v>
      </c>
      <c r="F1910" s="1488" t="str">
        <f>HE_Insurance_Risk!$C73</f>
        <v>errechneter Wert vor Rückversicherung</v>
      </c>
      <c r="G1910" s="1494"/>
      <c r="H1910" s="1122">
        <f>HE_Insurance_Risk!$W73</f>
        <v>0</v>
      </c>
      <c r="U1910" s="1027"/>
      <c r="V1910" s="1027"/>
      <c r="W1910" s="1027"/>
    </row>
    <row r="1911" spans="2:23" ht="12.75" customHeight="1" x14ac:dyDescent="0.2">
      <c r="B1911" s="1083">
        <f>HE_Insurance_Risk!$A$1</f>
        <v>37</v>
      </c>
      <c r="C1911" s="1084" t="str">
        <f>HE_Insurance_Risk!$B$1</f>
        <v>Versicherungsrisiko</v>
      </c>
      <c r="D1911" s="1091" t="str">
        <f>HE_Insurance_Risk!$C$61</f>
        <v>Variabilität</v>
      </c>
      <c r="E1911" s="1494" t="str">
        <f>HE_Insurance_Risk!$W$17</f>
        <v>Total KVG inkl. UVG</v>
      </c>
      <c r="F1911" s="1488" t="str">
        <f>HE_Insurance_Risk!$C74</f>
        <v>errechneter Wert nach Rückversicherung</v>
      </c>
      <c r="G1911" s="1494"/>
      <c r="H1911" s="1122">
        <f>HE_Insurance_Risk!$W74</f>
        <v>0</v>
      </c>
      <c r="U1911" s="1027"/>
      <c r="V1911" s="1027"/>
      <c r="W1911" s="1027"/>
    </row>
    <row r="1912" spans="2:23" ht="12.75" customHeight="1" x14ac:dyDescent="0.2">
      <c r="B1912" s="1083">
        <f>HE_Insurance_Risk!$A$1</f>
        <v>37</v>
      </c>
      <c r="C1912" s="1084" t="str">
        <f>HE_Insurance_Risk!$B$1</f>
        <v>Versicherungsrisiko</v>
      </c>
      <c r="D1912" s="1091" t="str">
        <f>HE_Insurance_Risk!$C$61</f>
        <v>Variabilität</v>
      </c>
      <c r="E1912" s="1494" t="str">
        <f>HE_Insurance_Risk!$W$17</f>
        <v>Total KVG inkl. UVG</v>
      </c>
      <c r="F1912" s="1488" t="str">
        <f>HE_Insurance_Risk!$C75</f>
        <v>benutzter Wert</v>
      </c>
      <c r="G1912" s="1494"/>
      <c r="H1912" s="1122">
        <f>HE_Insurance_Risk!$W75</f>
        <v>0</v>
      </c>
      <c r="U1912" s="1027"/>
      <c r="V1912" s="1027"/>
      <c r="W1912" s="1027"/>
    </row>
    <row r="1913" spans="2:23" ht="12.75" customHeight="1" x14ac:dyDescent="0.2">
      <c r="B1913" s="1083"/>
      <c r="C1913" s="1084"/>
      <c r="D1913" s="1091"/>
      <c r="E1913" s="1494"/>
      <c r="F1913" s="1488"/>
      <c r="G1913" s="1494"/>
      <c r="H1913" s="1122"/>
      <c r="U1913" s="1027"/>
      <c r="V1913" s="1027"/>
      <c r="W1913" s="1027"/>
    </row>
    <row r="1914" spans="2:23" ht="12.75" customHeight="1" x14ac:dyDescent="0.2">
      <c r="B1914" s="1083">
        <f>HE_Insurance_Risk!$A$1</f>
        <v>37</v>
      </c>
      <c r="C1914" s="1084" t="str">
        <f>HE_Insurance_Risk!$B$1</f>
        <v>Versicherungsrisiko</v>
      </c>
      <c r="D1914" s="1091" t="str">
        <f>HE_Insurance_Risk!$C$61</f>
        <v>Variabilität</v>
      </c>
      <c r="E1914" s="1494" t="str">
        <f>HE_Insurance_Risk!$W$17</f>
        <v>Total KVG inkl. UVG</v>
      </c>
      <c r="F1914" s="1488" t="str">
        <f>HE_Insurance_Risk!$C78</f>
        <v>Variationskoeffizient des Parameterrisikos</v>
      </c>
      <c r="G1914" s="1494"/>
      <c r="H1914" s="1124">
        <f>HE_Insurance_Risk!$W78</f>
        <v>0</v>
      </c>
      <c r="U1914" s="1027"/>
      <c r="V1914" s="1027"/>
      <c r="W1914" s="1027"/>
    </row>
    <row r="1915" spans="2:23" ht="12.75" customHeight="1" x14ac:dyDescent="0.2">
      <c r="B1915" s="1083">
        <f>HE_Insurance_Risk!$A$1</f>
        <v>37</v>
      </c>
      <c r="C1915" s="1084" t="str">
        <f>HE_Insurance_Risk!$B$1</f>
        <v>Versicherungsrisiko</v>
      </c>
      <c r="D1915" s="1091" t="str">
        <f>HE_Insurance_Risk!$C$61</f>
        <v>Variabilität</v>
      </c>
      <c r="E1915" s="1494" t="str">
        <f>HE_Insurance_Risk!$W$17</f>
        <v>Total KVG inkl. UVG</v>
      </c>
      <c r="F1915" s="1488" t="str">
        <f>HE_Insurance_Risk!$C79</f>
        <v>Standardwert (vor Rückversicherung)</v>
      </c>
      <c r="G1915" s="1494"/>
      <c r="H1915" s="1124">
        <f>HE_Insurance_Risk!$W79</f>
        <v>0</v>
      </c>
      <c r="U1915" s="1027"/>
      <c r="V1915" s="1027"/>
      <c r="W1915" s="1027"/>
    </row>
    <row r="1916" spans="2:23" ht="12.75" customHeight="1" x14ac:dyDescent="0.2">
      <c r="B1916" s="1083">
        <f>HE_Insurance_Risk!$A$1</f>
        <v>37</v>
      </c>
      <c r="C1916" s="1084" t="str">
        <f>HE_Insurance_Risk!$B$1</f>
        <v>Versicherungsrisiko</v>
      </c>
      <c r="D1916" s="1091" t="str">
        <f>HE_Insurance_Risk!$C$61</f>
        <v>Variabilität</v>
      </c>
      <c r="E1916" s="1494" t="str">
        <f>HE_Insurance_Risk!$W$17</f>
        <v>Total KVG inkl. UVG</v>
      </c>
      <c r="F1916" s="1488" t="str">
        <f>HE_Insurance_Risk!$C80</f>
        <v>errechneter Wert nach Rückversicherung</v>
      </c>
      <c r="G1916" s="1494"/>
      <c r="H1916" s="1124">
        <f>HE_Insurance_Risk!$W80</f>
        <v>0</v>
      </c>
      <c r="U1916" s="1027"/>
      <c r="V1916" s="1027"/>
      <c r="W1916" s="1027"/>
    </row>
    <row r="1917" spans="2:23" ht="12.75" customHeight="1" x14ac:dyDescent="0.2">
      <c r="B1917" s="1083">
        <f>HE_Insurance_Risk!$A$1</f>
        <v>37</v>
      </c>
      <c r="C1917" s="1084" t="str">
        <f>HE_Insurance_Risk!$B$1</f>
        <v>Versicherungsrisiko</v>
      </c>
      <c r="D1917" s="1091" t="str">
        <f>HE_Insurance_Risk!$C$61</f>
        <v>Variabilität</v>
      </c>
      <c r="E1917" s="1494" t="str">
        <f>HE_Insurance_Risk!$W$17</f>
        <v>Total KVG inkl. UVG</v>
      </c>
      <c r="F1917" s="1488" t="str">
        <f>HE_Insurance_Risk!$C81</f>
        <v>benutzter Wert (Abweichung vom Standard begründen)</v>
      </c>
      <c r="G1917" s="1494"/>
      <c r="H1917" s="1124">
        <f>HE_Insurance_Risk!$W81</f>
        <v>0</v>
      </c>
      <c r="U1917" s="1027"/>
      <c r="V1917" s="1027"/>
      <c r="W1917" s="1027"/>
    </row>
    <row r="1918" spans="2:23" ht="12.75" customHeight="1" x14ac:dyDescent="0.2">
      <c r="B1918" s="1083"/>
      <c r="C1918" s="1084"/>
      <c r="D1918" s="1091"/>
      <c r="E1918" s="1494"/>
      <c r="F1918" s="1488"/>
      <c r="G1918" s="1494"/>
      <c r="H1918" s="1124"/>
      <c r="U1918" s="1027"/>
      <c r="V1918" s="1027"/>
      <c r="W1918" s="1027"/>
    </row>
    <row r="1919" spans="2:23" ht="12.75" customHeight="1" x14ac:dyDescent="0.2">
      <c r="B1919" s="1083">
        <f>HE_Insurance_Risk!$A$1</f>
        <v>37</v>
      </c>
      <c r="C1919" s="1084" t="str">
        <f>HE_Insurance_Risk!$B$1</f>
        <v>Versicherungsrisiko</v>
      </c>
      <c r="D1919" s="1091" t="str">
        <f>HE_Insurance_Risk!$C$61</f>
        <v>Variabilität</v>
      </c>
      <c r="E1919" s="1494" t="str">
        <f>HE_Insurance_Risk!$W$17</f>
        <v>Total KVG inkl. UVG</v>
      </c>
      <c r="F1919" s="1527" t="str">
        <f>HE_Insurance_Risk!$C84</f>
        <v>Variationskoeffizient der jährlichen Leistungen</v>
      </c>
      <c r="G1919" s="1494"/>
      <c r="H1919" s="1135">
        <f>HE_Insurance_Risk!$W84</f>
        <v>0</v>
      </c>
      <c r="U1919" s="1027"/>
      <c r="V1919" s="1027"/>
      <c r="W1919" s="1027"/>
    </row>
    <row r="1920" spans="2:23" ht="12.75" customHeight="1" x14ac:dyDescent="0.2">
      <c r="B1920" s="1083">
        <f>HE_Insurance_Risk!$A$1</f>
        <v>37</v>
      </c>
      <c r="C1920" s="1084" t="str">
        <f>HE_Insurance_Risk!$B$1</f>
        <v>Versicherungsrisiko</v>
      </c>
      <c r="D1920" s="1091" t="str">
        <f>HE_Insurance_Risk!$C$61</f>
        <v>Variabilität</v>
      </c>
      <c r="E1920" s="1494" t="str">
        <f>HE_Insurance_Risk!$W$17</f>
        <v>Total KVG inkl. UVG</v>
      </c>
      <c r="F1920" s="1527" t="str">
        <f>HE_Insurance_Risk!$C85</f>
        <v>benutzter Variationskoeffizient</v>
      </c>
      <c r="G1920" s="1494"/>
      <c r="H1920" s="1137">
        <f>HE_Insurance_Risk!$W85</f>
        <v>0</v>
      </c>
      <c r="U1920" s="1027"/>
      <c r="V1920" s="1027"/>
      <c r="W1920" s="1027"/>
    </row>
    <row r="1921" spans="2:23" ht="12.75" customHeight="1" x14ac:dyDescent="0.2">
      <c r="B1921" s="1083"/>
      <c r="C1921" s="1084"/>
      <c r="D1921" s="1091"/>
      <c r="E1921" s="1494"/>
      <c r="F1921" s="1488"/>
      <c r="G1921" s="1494"/>
      <c r="H1921" s="1124"/>
      <c r="U1921" s="1027"/>
      <c r="V1921" s="1027"/>
      <c r="W1921" s="1027"/>
    </row>
    <row r="1922" spans="2:23" s="1537" customFormat="1" ht="12.75" customHeight="1" x14ac:dyDescent="0.2">
      <c r="B1922" s="1528">
        <f>HE_Insurance_Risk!$A$1</f>
        <v>37</v>
      </c>
      <c r="C1922" s="1529" t="str">
        <f>HE_Insurance_Risk!$B$1</f>
        <v>Versicherungsrisiko</v>
      </c>
      <c r="D1922" s="1530" t="str">
        <f>HE_Insurance_Risk!$C$61</f>
        <v>Variabilität</v>
      </c>
      <c r="E1922" s="1531" t="str">
        <f>HE_Insurance_Risk!$W$17</f>
        <v>Total KVG inkl. UVG</v>
      </c>
      <c r="F1922" s="1532" t="str">
        <f>HE_Insurance_Risk!$C92</f>
        <v>Standardabweichung des versicherungstechnischen Risikos</v>
      </c>
      <c r="G1922" s="1531" t="s">
        <v>1808</v>
      </c>
      <c r="H1922" s="1536">
        <f>HE_Insurance_Risk!$W92</f>
        <v>0</v>
      </c>
    </row>
    <row r="1923" spans="2:23" ht="12.75" customHeight="1" x14ac:dyDescent="0.2">
      <c r="B1923" s="1083"/>
      <c r="C1923" s="1084"/>
      <c r="D1923" s="1091"/>
      <c r="E1923" s="1494"/>
      <c r="F1923" s="1488"/>
      <c r="G1923" s="1494"/>
      <c r="H1923" s="1133"/>
      <c r="U1923" s="1027"/>
      <c r="V1923" s="1027"/>
      <c r="W1923" s="1027"/>
    </row>
    <row r="1924" spans="2:23" ht="12.75" customHeight="1" x14ac:dyDescent="0.2">
      <c r="B1924" s="1083"/>
      <c r="C1924" s="1084"/>
      <c r="D1924" s="1091"/>
      <c r="E1924" s="1494"/>
      <c r="F1924" s="1488"/>
      <c r="G1924" s="1494"/>
      <c r="H1924" s="1133"/>
      <c r="U1924" s="1027"/>
      <c r="V1924" s="1027"/>
      <c r="W1924" s="1027"/>
    </row>
    <row r="1925" spans="2:23" ht="12.75" customHeight="1" x14ac:dyDescent="0.2">
      <c r="B1925" s="1083">
        <f>HE_Insurance_Risk!$A$1</f>
        <v>37</v>
      </c>
      <c r="C1925" s="1084" t="str">
        <f>HE_Insurance_Risk!$B$1</f>
        <v>Versicherungsrisiko</v>
      </c>
      <c r="D1925" s="1091" t="str">
        <f>HE_Insurance_Risk!$C$15</f>
        <v>Erwartungswert und Standardabweichung</v>
      </c>
      <c r="E1925" s="1494" t="str">
        <f>HE_Insurance_Risk!$AB$17</f>
        <v>Total KVG inkl. UVG und VVG</v>
      </c>
      <c r="F1925" s="1488" t="str">
        <f>HE_Insurance_Risk!$C21</f>
        <v>Versicherungstechnische Erträge</v>
      </c>
      <c r="G1925" s="1494"/>
      <c r="H1925" s="1119">
        <f>HE_Insurance_Risk!$AB21</f>
        <v>0</v>
      </c>
      <c r="U1925" s="1027"/>
      <c r="V1925" s="1027"/>
      <c r="W1925" s="1027"/>
    </row>
    <row r="1926" spans="2:23" ht="12.75" customHeight="1" x14ac:dyDescent="0.2">
      <c r="B1926" s="1083">
        <f>HE_Insurance_Risk!$A$1</f>
        <v>37</v>
      </c>
      <c r="C1926" s="1084" t="str">
        <f>HE_Insurance_Risk!$B$1</f>
        <v>Versicherungsrisiko</v>
      </c>
      <c r="D1926" s="1091" t="str">
        <f>HE_Insurance_Risk!$C$15</f>
        <v>Erwartungswert und Standardabweichung</v>
      </c>
      <c r="E1926" s="1494" t="str">
        <f>HE_Insurance_Risk!$AB$17</f>
        <v>Total KVG inkl. UVG und VVG</v>
      </c>
      <c r="F1926" s="1488" t="str">
        <f>HE_Insurance_Risk!$C24</f>
        <v>Bruttoprämien</v>
      </c>
      <c r="G1926" s="1494"/>
      <c r="H1926" s="1106">
        <f>HE_Insurance_Risk!$AB24</f>
        <v>0</v>
      </c>
      <c r="U1926" s="1027"/>
      <c r="V1926" s="1027"/>
      <c r="W1926" s="1027"/>
    </row>
    <row r="1927" spans="2:23" ht="12.75" customHeight="1" x14ac:dyDescent="0.2">
      <c r="B1927" s="1083">
        <f>HE_Insurance_Risk!$A$1</f>
        <v>37</v>
      </c>
      <c r="C1927" s="1084" t="str">
        <f>HE_Insurance_Risk!$B$1</f>
        <v>Versicherungsrisiko</v>
      </c>
      <c r="D1927" s="1091" t="str">
        <f>HE_Insurance_Risk!$C$15</f>
        <v>Erwartungswert und Standardabweichung</v>
      </c>
      <c r="E1927" s="1494" t="str">
        <f>HE_Insurance_Risk!$AB$17</f>
        <v>Total KVG inkl. UVG und VVG</v>
      </c>
      <c r="F1927" s="1488" t="str">
        <f>HE_Insurance_Risk!$C25</f>
        <v>Erlösminderungen</v>
      </c>
      <c r="G1927" s="1494"/>
      <c r="H1927" s="1106">
        <f>HE_Insurance_Risk!$AB25</f>
        <v>0</v>
      </c>
      <c r="U1927" s="1027"/>
      <c r="V1927" s="1027"/>
      <c r="W1927" s="1027"/>
    </row>
    <row r="1928" spans="2:23" ht="12.75" customHeight="1" x14ac:dyDescent="0.2">
      <c r="B1928" s="1083">
        <f>HE_Insurance_Risk!$A$1</f>
        <v>37</v>
      </c>
      <c r="C1928" s="1084" t="str">
        <f>HE_Insurance_Risk!$B$1</f>
        <v>Versicherungsrisiko</v>
      </c>
      <c r="D1928" s="1091" t="str">
        <f>HE_Insurance_Risk!$C$15</f>
        <v>Erwartungswert und Standardabweichung</v>
      </c>
      <c r="E1928" s="1494" t="str">
        <f>HE_Insurance_Risk!$AB$17</f>
        <v>Total KVG inkl. UVG und VVG</v>
      </c>
      <c r="F1928" s="1488" t="str">
        <f>HE_Insurance_Risk!$C27</f>
        <v>Verdiente Prämien vor Rückversicherung</v>
      </c>
      <c r="G1928" s="1494"/>
      <c r="H1928" s="1106">
        <f>HE_Insurance_Risk!$AB27</f>
        <v>0</v>
      </c>
      <c r="U1928" s="1027"/>
      <c r="V1928" s="1027"/>
      <c r="W1928" s="1027"/>
    </row>
    <row r="1929" spans="2:23" ht="12.75" customHeight="1" x14ac:dyDescent="0.2">
      <c r="B1929" s="1083">
        <f>HE_Insurance_Risk!$A$1</f>
        <v>37</v>
      </c>
      <c r="C1929" s="1084" t="str">
        <f>HE_Insurance_Risk!$B$1</f>
        <v>Versicherungsrisiko</v>
      </c>
      <c r="D1929" s="1091" t="str">
        <f>HE_Insurance_Risk!$C$15</f>
        <v>Erwartungswert und Standardabweichung</v>
      </c>
      <c r="E1929" s="1494" t="str">
        <f>HE_Insurance_Risk!$AB$17</f>
        <v>Total KVG inkl. UVG und VVG</v>
      </c>
      <c r="F1929" s="1488" t="str">
        <f>HE_Insurance_Risk!$C28</f>
        <v>Prämienanteile der passiven Rückversicherung</v>
      </c>
      <c r="G1929" s="1494"/>
      <c r="H1929" s="1106">
        <f>HE_Insurance_Risk!$AB28</f>
        <v>0</v>
      </c>
      <c r="U1929" s="1027"/>
      <c r="V1929" s="1027"/>
      <c r="W1929" s="1027"/>
    </row>
    <row r="1930" spans="2:23" ht="12.75" customHeight="1" x14ac:dyDescent="0.2">
      <c r="B1930" s="1083">
        <f>HE_Insurance_Risk!$A$1</f>
        <v>37</v>
      </c>
      <c r="C1930" s="1084" t="str">
        <f>HE_Insurance_Risk!$B$1</f>
        <v>Versicherungsrisiko</v>
      </c>
      <c r="D1930" s="1091" t="str">
        <f>HE_Insurance_Risk!$C$15</f>
        <v>Erwartungswert und Standardabweichung</v>
      </c>
      <c r="E1930" s="1494" t="str">
        <f>HE_Insurance_Risk!$AB$17</f>
        <v>Total KVG inkl. UVG und VVG</v>
      </c>
      <c r="F1930" s="1488" t="str">
        <f>HE_Insurance_Risk!$C30</f>
        <v>Verdiente Prämien nach Rückversicherung</v>
      </c>
      <c r="G1930" s="1494"/>
      <c r="H1930" s="1106">
        <f>HE_Insurance_Risk!$AB30</f>
        <v>0</v>
      </c>
      <c r="U1930" s="1027"/>
      <c r="V1930" s="1027"/>
      <c r="W1930" s="1027"/>
    </row>
    <row r="1931" spans="2:23" ht="12.75" customHeight="1" x14ac:dyDescent="0.2">
      <c r="B1931" s="1083">
        <f>HE_Insurance_Risk!$A$1</f>
        <v>37</v>
      </c>
      <c r="C1931" s="1084" t="str">
        <f>HE_Insurance_Risk!$B$1</f>
        <v>Versicherungsrisiko</v>
      </c>
      <c r="D1931" s="1091" t="str">
        <f>HE_Insurance_Risk!$C$15</f>
        <v>Erwartungswert und Standardabweichung</v>
      </c>
      <c r="E1931" s="1494" t="str">
        <f>HE_Insurance_Risk!$AB$17</f>
        <v>Total KVG inkl. UVG und VVG</v>
      </c>
      <c r="F1931" s="1488" t="str">
        <f>HE_Insurance_Risk!$C32</f>
        <v>Sonstige versicherungstechnische Erträge</v>
      </c>
      <c r="G1931" s="1494"/>
      <c r="H1931" s="1106">
        <f>HE_Insurance_Risk!$AB32</f>
        <v>0</v>
      </c>
      <c r="U1931" s="1027"/>
      <c r="V1931" s="1027"/>
      <c r="W1931" s="1027"/>
    </row>
    <row r="1932" spans="2:23" ht="12.75" customHeight="1" x14ac:dyDescent="0.2">
      <c r="B1932" s="1083">
        <f>HE_Insurance_Risk!$A$1</f>
        <v>37</v>
      </c>
      <c r="C1932" s="1084" t="str">
        <f>HE_Insurance_Risk!$B$1</f>
        <v>Versicherungsrisiko</v>
      </c>
      <c r="D1932" s="1091" t="str">
        <f>HE_Insurance_Risk!$C$15</f>
        <v>Erwartungswert und Standardabweichung</v>
      </c>
      <c r="E1932" s="1494" t="str">
        <f>HE_Insurance_Risk!$AB$17</f>
        <v>Total KVG inkl. UVG und VVG</v>
      </c>
      <c r="F1932" s="1488" t="str">
        <f>HE_Insurance_Risk!$C33</f>
        <v>Überschussbeteiligungen</v>
      </c>
      <c r="G1932" s="1494"/>
      <c r="H1932" s="1106">
        <f>HE_Insurance_Risk!$AB33</f>
        <v>0</v>
      </c>
      <c r="U1932" s="1027"/>
      <c r="V1932" s="1027"/>
      <c r="W1932" s="1027"/>
    </row>
    <row r="1933" spans="2:23" ht="12.75" customHeight="1" x14ac:dyDescent="0.2">
      <c r="B1933" s="1083"/>
      <c r="C1933" s="1084"/>
      <c r="D1933" s="1091"/>
      <c r="E1933" s="1494"/>
      <c r="F1933" s="1488"/>
      <c r="G1933" s="1494"/>
      <c r="H1933" s="1106"/>
      <c r="U1933" s="1027"/>
      <c r="V1933" s="1027"/>
      <c r="W1933" s="1027"/>
    </row>
    <row r="1934" spans="2:23" ht="12.75" customHeight="1" x14ac:dyDescent="0.2">
      <c r="B1934" s="1083">
        <f>HE_Insurance_Risk!$A$1</f>
        <v>37</v>
      </c>
      <c r="C1934" s="1084" t="str">
        <f>HE_Insurance_Risk!$B$1</f>
        <v>Versicherungsrisiko</v>
      </c>
      <c r="D1934" s="1091" t="str">
        <f>HE_Insurance_Risk!$C$15</f>
        <v>Erwartungswert und Standardabweichung</v>
      </c>
      <c r="E1934" s="1494" t="str">
        <f>HE_Insurance_Risk!$AB$17</f>
        <v>Total KVG inkl. UVG und VVG</v>
      </c>
      <c r="F1934" s="1488" t="str">
        <f>HE_Insurance_Risk!$C35</f>
        <v>Versicherungstechnische Aufwendungen</v>
      </c>
      <c r="G1934" s="1494"/>
      <c r="H1934" s="1117">
        <f>HE_Insurance_Risk!$AB35</f>
        <v>0</v>
      </c>
      <c r="U1934" s="1027"/>
      <c r="V1934" s="1027"/>
      <c r="W1934" s="1027"/>
    </row>
    <row r="1935" spans="2:23" ht="12.75" customHeight="1" x14ac:dyDescent="0.2">
      <c r="B1935" s="1083">
        <f>HE_Insurance_Risk!$A$1</f>
        <v>37</v>
      </c>
      <c r="C1935" s="1084" t="str">
        <f>HE_Insurance_Risk!$B$1</f>
        <v>Versicherungsrisiko</v>
      </c>
      <c r="D1935" s="1091" t="str">
        <f>HE_Insurance_Risk!$C$15</f>
        <v>Erwartungswert und Standardabweichung</v>
      </c>
      <c r="E1935" s="1494" t="str">
        <f>HE_Insurance_Risk!$AB$17</f>
        <v>Total KVG inkl. UVG und VVG</v>
      </c>
      <c r="F1935" s="1488" t="str">
        <f>HE_Insurance_Risk!$C38</f>
        <v>Bruttoleistungen (Behandlungsjahr 2025)</v>
      </c>
      <c r="G1935" s="1494"/>
      <c r="H1935" s="1106">
        <f>HE_Insurance_Risk!$AB38</f>
        <v>0</v>
      </c>
      <c r="U1935" s="1027"/>
      <c r="V1935" s="1027"/>
      <c r="W1935" s="1027"/>
    </row>
    <row r="1936" spans="2:23" ht="12.75" customHeight="1" x14ac:dyDescent="0.2">
      <c r="B1936" s="1083">
        <f>HE_Insurance_Risk!$A$1</f>
        <v>37</v>
      </c>
      <c r="C1936" s="1084" t="str">
        <f>HE_Insurance_Risk!$B$1</f>
        <v>Versicherungsrisiko</v>
      </c>
      <c r="D1936" s="1091" t="str">
        <f>HE_Insurance_Risk!$C$15</f>
        <v>Erwartungswert und Standardabweichung</v>
      </c>
      <c r="E1936" s="1494" t="str">
        <f>HE_Insurance_Risk!$AB$17</f>
        <v>Total KVG inkl. UVG und VVG</v>
      </c>
      <c r="F1936" s="1488" t="str">
        <f>HE_Insurance_Risk!$C39</f>
        <v>Kostenbeteiligungen (Behandlungsjahr 2025)</v>
      </c>
      <c r="G1936" s="1494"/>
      <c r="H1936" s="1106">
        <f>HE_Insurance_Risk!$AB39</f>
        <v>0</v>
      </c>
      <c r="U1936" s="1027"/>
      <c r="V1936" s="1027"/>
      <c r="W1936" s="1027"/>
    </row>
    <row r="1937" spans="2:23" ht="12.75" customHeight="1" x14ac:dyDescent="0.2">
      <c r="B1937" s="1083">
        <f>HE_Insurance_Risk!$A$1</f>
        <v>37</v>
      </c>
      <c r="C1937" s="1084" t="str">
        <f>HE_Insurance_Risk!$B$1</f>
        <v>Versicherungsrisiko</v>
      </c>
      <c r="D1937" s="1091" t="str">
        <f>HE_Insurance_Risk!$C$15</f>
        <v>Erwartungswert und Standardabweichung</v>
      </c>
      <c r="E1937" s="1494" t="str">
        <f>HE_Insurance_Risk!$AB$17</f>
        <v>Total KVG inkl. UVG und VVG</v>
      </c>
      <c r="F1937" s="1488" t="str">
        <f>HE_Insurance_Risk!$C40</f>
        <v>Sonstige Leistungen  (Behandlungsjahr 2025)</v>
      </c>
      <c r="G1937" s="1494"/>
      <c r="H1937" s="1106">
        <f>HE_Insurance_Risk!$AB40</f>
        <v>0</v>
      </c>
      <c r="U1937" s="1027"/>
      <c r="V1937" s="1027"/>
      <c r="W1937" s="1027"/>
    </row>
    <row r="1938" spans="2:23" ht="12.75" customHeight="1" x14ac:dyDescent="0.2">
      <c r="B1938" s="1083">
        <f>HE_Insurance_Risk!$A$1</f>
        <v>37</v>
      </c>
      <c r="C1938" s="1084" t="str">
        <f>HE_Insurance_Risk!$B$1</f>
        <v>Versicherungsrisiko</v>
      </c>
      <c r="D1938" s="1091" t="str">
        <f>HE_Insurance_Risk!$C$15</f>
        <v>Erwartungswert und Standardabweichung</v>
      </c>
      <c r="E1938" s="1494" t="str">
        <f>HE_Insurance_Risk!$AB$17</f>
        <v>Total KVG inkl. UVG und VVG</v>
      </c>
      <c r="F1938" s="1488" t="str">
        <f>HE_Insurance_Risk!$C42</f>
        <v>Leistungen vor Rückversicherung</v>
      </c>
      <c r="G1938" s="1494"/>
      <c r="H1938" s="1106">
        <f>HE_Insurance_Risk!$AB42</f>
        <v>0</v>
      </c>
      <c r="U1938" s="1027"/>
      <c r="V1938" s="1027"/>
      <c r="W1938" s="1027"/>
    </row>
    <row r="1939" spans="2:23" ht="12.75" customHeight="1" x14ac:dyDescent="0.2">
      <c r="B1939" s="1083">
        <f>HE_Insurance_Risk!$A$1</f>
        <v>37</v>
      </c>
      <c r="C1939" s="1084" t="str">
        <f>HE_Insurance_Risk!$B$1</f>
        <v>Versicherungsrisiko</v>
      </c>
      <c r="D1939" s="1091" t="str">
        <f>HE_Insurance_Risk!$C$15</f>
        <v>Erwartungswert und Standardabweichung</v>
      </c>
      <c r="E1939" s="1494" t="str">
        <f>HE_Insurance_Risk!$AB$17</f>
        <v>Total KVG inkl. UVG und VVG</v>
      </c>
      <c r="F1939" s="1488" t="str">
        <f>HE_Insurance_Risk!$C43</f>
        <v>Leistungsanteile der passiven Rückversicherung</v>
      </c>
      <c r="G1939" s="1494"/>
      <c r="H1939" s="1106">
        <f>HE_Insurance_Risk!$AB43</f>
        <v>0</v>
      </c>
      <c r="U1939" s="1027"/>
      <c r="V1939" s="1027"/>
      <c r="W1939" s="1027"/>
    </row>
    <row r="1940" spans="2:23" ht="12.75" customHeight="1" x14ac:dyDescent="0.2">
      <c r="B1940" s="1083">
        <f>HE_Insurance_Risk!$A$1</f>
        <v>37</v>
      </c>
      <c r="C1940" s="1084" t="str">
        <f>HE_Insurance_Risk!$B$1</f>
        <v>Versicherungsrisiko</v>
      </c>
      <c r="D1940" s="1091" t="str">
        <f>HE_Insurance_Risk!$C$15</f>
        <v>Erwartungswert und Standardabweichung</v>
      </c>
      <c r="E1940" s="1494" t="str">
        <f>HE_Insurance_Risk!$AB$17</f>
        <v>Total KVG inkl. UVG und VVG</v>
      </c>
      <c r="F1940" s="1488" t="str">
        <f>HE_Insurance_Risk!$C45</f>
        <v>Leistungen nach Rückversicherung</v>
      </c>
      <c r="G1940" s="1494"/>
      <c r="H1940" s="1106">
        <f>HE_Insurance_Risk!$AB45</f>
        <v>0</v>
      </c>
      <c r="U1940" s="1027"/>
      <c r="V1940" s="1027"/>
      <c r="W1940" s="1027"/>
    </row>
    <row r="1941" spans="2:23" s="1537" customFormat="1" ht="12.75" customHeight="1" x14ac:dyDescent="0.2">
      <c r="B1941" s="1528">
        <f>HE_Insurance_Risk!$A$1</f>
        <v>37</v>
      </c>
      <c r="C1941" s="1529" t="str">
        <f>HE_Insurance_Risk!$B$1</f>
        <v>Versicherungsrisiko</v>
      </c>
      <c r="D1941" s="1530" t="str">
        <f>HE_Insurance_Risk!$C$15</f>
        <v>Erwartungswert und Standardabweichung</v>
      </c>
      <c r="E1941" s="1531" t="str">
        <f>HE_Insurance_Risk!$AB$17</f>
        <v>Total KVG inkl. UVG und VVG</v>
      </c>
      <c r="F1941" s="1532"/>
      <c r="G1941" s="1524" t="s">
        <v>1810</v>
      </c>
    </row>
    <row r="1942" spans="2:23" ht="12.75" customHeight="1" x14ac:dyDescent="0.2">
      <c r="B1942" s="1083">
        <f>HE_Insurance_Risk!$A$1</f>
        <v>37</v>
      </c>
      <c r="C1942" s="1084" t="str">
        <f>HE_Insurance_Risk!$B$1</f>
        <v>Versicherungsrisiko</v>
      </c>
      <c r="D1942" s="1091" t="str">
        <f>HE_Insurance_Risk!$C$15</f>
        <v>Erwartungswert und Standardabweichung</v>
      </c>
      <c r="E1942" s="1494" t="str">
        <f>HE_Insurance_Risk!$AB$17</f>
        <v>Total KVG inkl. UVG und VVG</v>
      </c>
      <c r="F1942" s="1488" t="str">
        <f>HE_Insurance_Risk!$C47</f>
        <v>Veränderung der Alterungsrückstellungen und Deckungskapitalien</v>
      </c>
      <c r="G1942" s="1494"/>
      <c r="H1942" s="1106">
        <f>HE_Insurance_Risk!$AB47</f>
        <v>0</v>
      </c>
      <c r="U1942" s="1027"/>
      <c r="V1942" s="1027"/>
      <c r="W1942" s="1027"/>
    </row>
    <row r="1943" spans="2:23" ht="12.75" customHeight="1" x14ac:dyDescent="0.2">
      <c r="B1943" s="1083">
        <f>HE_Insurance_Risk!$A$1</f>
        <v>37</v>
      </c>
      <c r="C1943" s="1084" t="str">
        <f>HE_Insurance_Risk!$B$1</f>
        <v>Versicherungsrisiko</v>
      </c>
      <c r="D1943" s="1091" t="str">
        <f>HE_Insurance_Risk!$C$15</f>
        <v>Erwartungswert und Standardabweichung</v>
      </c>
      <c r="E1943" s="1494" t="str">
        <f>HE_Insurance_Risk!$AB$17</f>
        <v>Total KVG inkl. UVG und VVG</v>
      </c>
      <c r="F1943" s="1488" t="str">
        <f>HE_Insurance_Risk!$C48</f>
        <v>Veränderung der sonstigen technischen Rückstellungen</v>
      </c>
      <c r="G1943" s="1494"/>
      <c r="H1943" s="1106">
        <f>HE_Insurance_Risk!$AB48</f>
        <v>0</v>
      </c>
      <c r="U1943" s="1027"/>
      <c r="V1943" s="1027"/>
      <c r="W1943" s="1027"/>
    </row>
    <row r="1944" spans="2:23" ht="12.75" customHeight="1" x14ac:dyDescent="0.2">
      <c r="B1944" s="1083">
        <f>HE_Insurance_Risk!$A$1</f>
        <v>37</v>
      </c>
      <c r="C1944" s="1084" t="str">
        <f>HE_Insurance_Risk!$B$1</f>
        <v>Versicherungsrisiko</v>
      </c>
      <c r="D1944" s="1091" t="str">
        <f>HE_Insurance_Risk!$C$15</f>
        <v>Erwartungswert und Standardabweichung</v>
      </c>
      <c r="E1944" s="1494" t="str">
        <f>HE_Insurance_Risk!$AB$17</f>
        <v>Total KVG inkl. UVG und VVG</v>
      </c>
      <c r="F1944" s="1488" t="str">
        <f>HE_Insurance_Risk!$C50</f>
        <v>Risikoausgleich (2025)</v>
      </c>
      <c r="G1944" s="1494"/>
      <c r="H1944" s="1106">
        <f>HE_Insurance_Risk!$AB50</f>
        <v>0</v>
      </c>
      <c r="U1944" s="1027"/>
      <c r="V1944" s="1027"/>
      <c r="W1944" s="1027"/>
    </row>
    <row r="1945" spans="2:23" ht="12.75" customHeight="1" x14ac:dyDescent="0.2">
      <c r="B1945" s="1083">
        <f>HE_Insurance_Risk!$A$1</f>
        <v>37</v>
      </c>
      <c r="C1945" s="1084" t="str">
        <f>HE_Insurance_Risk!$B$1</f>
        <v>Versicherungsrisiko</v>
      </c>
      <c r="D1945" s="1091" t="str">
        <f>HE_Insurance_Risk!$C$15</f>
        <v>Erwartungswert und Standardabweichung</v>
      </c>
      <c r="E1945" s="1494" t="str">
        <f>HE_Insurance_Risk!$AB$17</f>
        <v>Total KVG inkl. UVG und VVG</v>
      </c>
      <c r="F1945" s="1488" t="str">
        <f>HE_Insurance_Risk!$C51</f>
        <v>Andere Aufwendungen</v>
      </c>
      <c r="G1945" s="1494"/>
      <c r="H1945" s="1106">
        <f>HE_Insurance_Risk!$AB51</f>
        <v>0</v>
      </c>
      <c r="U1945" s="1027"/>
      <c r="V1945" s="1027"/>
      <c r="W1945" s="1027"/>
    </row>
    <row r="1946" spans="2:23" ht="12.75" customHeight="1" x14ac:dyDescent="0.2">
      <c r="B1946" s="1083">
        <f>HE_Insurance_Risk!$A$1</f>
        <v>37</v>
      </c>
      <c r="C1946" s="1084" t="str">
        <f>HE_Insurance_Risk!$B$1</f>
        <v>Versicherungsrisiko</v>
      </c>
      <c r="D1946" s="1091" t="str">
        <f>HE_Insurance_Risk!$C$15</f>
        <v>Erwartungswert und Standardabweichung</v>
      </c>
      <c r="E1946" s="1494" t="str">
        <f>HE_Insurance_Risk!$AB$17</f>
        <v>Total KVG inkl. UVG und VVG</v>
      </c>
      <c r="F1946" s="1488" t="str">
        <f>HE_Insurance_Risk!$C53</f>
        <v>Schaden- und Leistungsaufwand für eigene Rechnung</v>
      </c>
      <c r="G1946" s="1494"/>
      <c r="H1946" s="1121">
        <f>HE_Insurance_Risk!$AB53</f>
        <v>0</v>
      </c>
      <c r="U1946" s="1027"/>
      <c r="V1946" s="1027"/>
      <c r="W1946" s="1027"/>
    </row>
    <row r="1947" spans="2:23" ht="12.75" customHeight="1" x14ac:dyDescent="0.2">
      <c r="B1947" s="1083">
        <f>HE_Insurance_Risk!$A$1</f>
        <v>37</v>
      </c>
      <c r="C1947" s="1084" t="str">
        <f>HE_Insurance_Risk!$B$1</f>
        <v>Versicherungsrisiko</v>
      </c>
      <c r="D1947" s="1091" t="str">
        <f>HE_Insurance_Risk!$C$15</f>
        <v>Erwartungswert und Standardabweichung</v>
      </c>
      <c r="E1947" s="1494" t="str">
        <f>HE_Insurance_Risk!$AB$17</f>
        <v>Total KVG inkl. UVG und VVG</v>
      </c>
      <c r="F1947" s="1488" t="str">
        <f>HE_Insurance_Risk!$C55</f>
        <v>Aufwendungen für den Betrieb, Verwaltungsaufwand</v>
      </c>
      <c r="G1947" s="1494"/>
      <c r="H1947" s="1106">
        <f>HE_Insurance_Risk!$AB55</f>
        <v>0</v>
      </c>
      <c r="U1947" s="1027"/>
      <c r="V1947" s="1027"/>
      <c r="W1947" s="1027"/>
    </row>
    <row r="1948" spans="2:23" ht="12.75" customHeight="1" x14ac:dyDescent="0.2">
      <c r="B1948" s="1083"/>
      <c r="C1948" s="1084"/>
      <c r="D1948" s="1091"/>
      <c r="E1948" s="1494"/>
      <c r="F1948" s="1488"/>
      <c r="G1948" s="1494"/>
      <c r="H1948" s="1106"/>
      <c r="U1948" s="1027"/>
      <c r="V1948" s="1027"/>
      <c r="W1948" s="1027"/>
    </row>
    <row r="1949" spans="2:23" ht="12.75" customHeight="1" x14ac:dyDescent="0.2">
      <c r="B1949" s="1083">
        <f>HE_Insurance_Risk!$A$1</f>
        <v>37</v>
      </c>
      <c r="C1949" s="1084" t="str">
        <f>HE_Insurance_Risk!$B$1</f>
        <v>Versicherungsrisiko</v>
      </c>
      <c r="D1949" s="1091" t="str">
        <f>HE_Insurance_Risk!$C$15</f>
        <v>Erwartungswert und Standardabweichung</v>
      </c>
      <c r="E1949" s="1494" t="str">
        <f>HE_Insurance_Risk!$AB$17</f>
        <v>Total KVG inkl. UVG und VVG</v>
      </c>
      <c r="F1949" s="1488" t="str">
        <f>HE_Insurance_Risk!$C57</f>
        <v>Versicherungstechnisches Resultat</v>
      </c>
      <c r="G1949" s="1494"/>
      <c r="H1949" s="1119">
        <f>HE_Insurance_Risk!$AB57</f>
        <v>0</v>
      </c>
      <c r="U1949" s="1027"/>
      <c r="V1949" s="1027"/>
      <c r="W1949" s="1027"/>
    </row>
    <row r="1950" spans="2:23" ht="12.75" customHeight="1" x14ac:dyDescent="0.2">
      <c r="B1950" s="1083"/>
      <c r="C1950" s="1084"/>
      <c r="D1950" s="1091"/>
      <c r="E1950" s="1494"/>
      <c r="F1950" s="1488"/>
      <c r="G1950" s="1494"/>
      <c r="H1950" s="1122"/>
      <c r="U1950" s="1027"/>
      <c r="V1950" s="1027"/>
      <c r="W1950" s="1027"/>
    </row>
    <row r="1951" spans="2:23" ht="12.75" customHeight="1" x14ac:dyDescent="0.2">
      <c r="B1951" s="1083">
        <f>HE_Insurance_Risk!$A$1</f>
        <v>37</v>
      </c>
      <c r="C1951" s="1084" t="str">
        <f>HE_Insurance_Risk!$B$1</f>
        <v>Versicherungsrisiko</v>
      </c>
      <c r="D1951" s="1091" t="str">
        <f>HE_Insurance_Risk!$C$15</f>
        <v>Erwartungswert und Standardabweichung</v>
      </c>
      <c r="E1951" s="1494" t="str">
        <f>HE_Insurance_Risk!$AB$17</f>
        <v>Total KVG inkl. UVG und VVG</v>
      </c>
      <c r="F1951" s="1488" t="str">
        <f>HE_Insurance_Risk!$C59</f>
        <v>Erwartete Anzahl Versicherte (Durschnittbestand)</v>
      </c>
      <c r="G1951" s="1494"/>
      <c r="H1951" s="1136">
        <f>HE_Insurance_Risk!$AB59</f>
        <v>0</v>
      </c>
      <c r="U1951" s="1027"/>
      <c r="V1951" s="1027"/>
      <c r="W1951" s="1027"/>
    </row>
    <row r="1952" spans="2:23" ht="12.75" customHeight="1" x14ac:dyDescent="0.2">
      <c r="B1952" s="1083"/>
      <c r="C1952" s="1084"/>
      <c r="D1952" s="1091"/>
      <c r="E1952" s="1494"/>
      <c r="F1952" s="1488"/>
      <c r="G1952" s="1494"/>
      <c r="H1952" s="1122"/>
      <c r="U1952" s="1027"/>
      <c r="V1952" s="1027"/>
      <c r="W1952" s="1027"/>
    </row>
    <row r="1953" spans="2:23" ht="12.75" customHeight="1" x14ac:dyDescent="0.2">
      <c r="B1953" s="1083"/>
      <c r="C1953" s="1084"/>
      <c r="D1953" s="1091"/>
      <c r="E1953" s="1494"/>
      <c r="F1953" s="1488"/>
      <c r="G1953" s="1494"/>
      <c r="H1953" s="1124"/>
      <c r="U1953" s="1027"/>
      <c r="V1953" s="1027"/>
      <c r="W1953" s="1027"/>
    </row>
    <row r="1954" spans="2:23" ht="12.75" customHeight="1" x14ac:dyDescent="0.2">
      <c r="B1954" s="1083">
        <f>HE_Insurance_Risk!$A$1</f>
        <v>37</v>
      </c>
      <c r="C1954" s="1084" t="str">
        <f>HE_Insurance_Risk!$B$1</f>
        <v>Versicherungsrisiko</v>
      </c>
      <c r="D1954" s="1091" t="str">
        <f>HE_Insurance_Risk!$C$61</f>
        <v>Variabilität</v>
      </c>
      <c r="E1954" s="1494" t="str">
        <f>HE_Insurance_Risk!$AB$17</f>
        <v>Total KVG inkl. UVG und VVG</v>
      </c>
      <c r="F1954" s="1488" t="str">
        <f>HE_Insurance_Risk!$C65</f>
        <v>Erwartete Anzahl Schadenfälle bzw. Erkrankte</v>
      </c>
      <c r="G1954" s="1494"/>
      <c r="H1954" s="1126">
        <f>HE_Insurance_Risk!$AB65</f>
        <v>0</v>
      </c>
      <c r="U1954" s="1027"/>
      <c r="V1954" s="1027"/>
      <c r="W1954" s="1027"/>
    </row>
    <row r="1955" spans="2:23" ht="12.75" customHeight="1" x14ac:dyDescent="0.2">
      <c r="B1955" s="1083"/>
      <c r="C1955" s="1084"/>
      <c r="D1955" s="1091"/>
      <c r="E1955" s="1494"/>
      <c r="F1955" s="1488"/>
      <c r="G1955" s="1494"/>
      <c r="H1955" s="1126"/>
      <c r="U1955" s="1027"/>
      <c r="V1955" s="1027"/>
      <c r="W1955" s="1027"/>
    </row>
    <row r="1956" spans="2:23" ht="12.75" customHeight="1" x14ac:dyDescent="0.2">
      <c r="B1956" s="1083">
        <f>HE_Insurance_Risk!$A$1</f>
        <v>37</v>
      </c>
      <c r="C1956" s="1084" t="str">
        <f>HE_Insurance_Risk!$B$1</f>
        <v>Versicherungsrisiko</v>
      </c>
      <c r="D1956" s="1091" t="str">
        <f>HE_Insurance_Risk!$C$61</f>
        <v>Variabilität</v>
      </c>
      <c r="E1956" s="1494" t="str">
        <f>HE_Insurance_Risk!$AB$17</f>
        <v>Total KVG inkl. UVG und VVG</v>
      </c>
      <c r="F1956" s="1488" t="str">
        <f>HE_Insurance_Risk!$C67</f>
        <v>Variationskoeffizient des Einzelschadens</v>
      </c>
      <c r="G1956" s="1494"/>
      <c r="H1956" s="1122">
        <f>HE_Insurance_Risk!$AB67</f>
        <v>0</v>
      </c>
      <c r="U1956" s="1027"/>
      <c r="V1956" s="1027"/>
      <c r="W1956" s="1027"/>
    </row>
    <row r="1957" spans="2:23" ht="12.75" customHeight="1" x14ac:dyDescent="0.2">
      <c r="B1957" s="1083">
        <f>HE_Insurance_Risk!$A$1</f>
        <v>37</v>
      </c>
      <c r="C1957" s="1084" t="str">
        <f>HE_Insurance_Risk!$B$1</f>
        <v>Versicherungsrisiko</v>
      </c>
      <c r="D1957" s="1091" t="str">
        <f>HE_Insurance_Risk!$C$61</f>
        <v>Variabilität</v>
      </c>
      <c r="E1957" s="1494" t="str">
        <f>HE_Insurance_Risk!$AB$17</f>
        <v>Total KVG inkl. UVG und VVG</v>
      </c>
      <c r="F1957" s="1488" t="str">
        <f>HE_Insurance_Risk!$C68</f>
        <v>Standardwert (vor Rückversicherung)</v>
      </c>
      <c r="G1957" s="1494"/>
      <c r="H1957" s="1122">
        <f>HE_Insurance_Risk!$AB68</f>
        <v>0</v>
      </c>
      <c r="U1957" s="1027"/>
      <c r="V1957" s="1027"/>
      <c r="W1957" s="1027"/>
    </row>
    <row r="1958" spans="2:23" ht="12.75" customHeight="1" x14ac:dyDescent="0.2">
      <c r="B1958" s="1083">
        <f>HE_Insurance_Risk!$A$1</f>
        <v>37</v>
      </c>
      <c r="C1958" s="1084" t="str">
        <f>HE_Insurance_Risk!$B$1</f>
        <v>Versicherungsrisiko</v>
      </c>
      <c r="D1958" s="1091" t="str">
        <f>HE_Insurance_Risk!$C$61</f>
        <v>Variabilität</v>
      </c>
      <c r="E1958" s="1494" t="str">
        <f>HE_Insurance_Risk!$AB$17</f>
        <v>Total KVG inkl. UVG und VVG</v>
      </c>
      <c r="F1958" s="1488" t="str">
        <f>HE_Insurance_Risk!$C69</f>
        <v>errechneter Wert nach Rückversicherung</v>
      </c>
      <c r="G1958" s="1494"/>
      <c r="H1958" s="1122">
        <f>HE_Insurance_Risk!$AB69</f>
        <v>0</v>
      </c>
      <c r="U1958" s="1027"/>
      <c r="V1958" s="1027"/>
      <c r="W1958" s="1027"/>
    </row>
    <row r="1959" spans="2:23" ht="12.75" customHeight="1" x14ac:dyDescent="0.2">
      <c r="B1959" s="1083">
        <f>HE_Insurance_Risk!$A$1</f>
        <v>37</v>
      </c>
      <c r="C1959" s="1084" t="str">
        <f>HE_Insurance_Risk!$B$1</f>
        <v>Versicherungsrisiko</v>
      </c>
      <c r="D1959" s="1091" t="str">
        <f>HE_Insurance_Risk!$C$61</f>
        <v>Variabilität</v>
      </c>
      <c r="E1959" s="1494" t="str">
        <f>HE_Insurance_Risk!$AB$17</f>
        <v>Total KVG inkl. UVG und VVG</v>
      </c>
      <c r="F1959" s="1488" t="str">
        <f>HE_Insurance_Risk!$C70</f>
        <v>benutzter Wert (Abweichung vom Standard: begründen)</v>
      </c>
      <c r="G1959" s="1494"/>
      <c r="H1959" s="1122">
        <f>HE_Insurance_Risk!$AB70</f>
        <v>0</v>
      </c>
      <c r="U1959" s="1027"/>
      <c r="V1959" s="1027"/>
      <c r="W1959" s="1027"/>
    </row>
    <row r="1960" spans="2:23" ht="12.75" customHeight="1" x14ac:dyDescent="0.2">
      <c r="B1960" s="1083"/>
      <c r="C1960" s="1084"/>
      <c r="D1960" s="1091"/>
      <c r="E1960" s="1494"/>
      <c r="F1960" s="1488"/>
      <c r="G1960" s="1494"/>
      <c r="H1960" s="1122"/>
      <c r="U1960" s="1027"/>
      <c r="V1960" s="1027"/>
      <c r="W1960" s="1027"/>
    </row>
    <row r="1961" spans="2:23" ht="12.75" customHeight="1" x14ac:dyDescent="0.2">
      <c r="B1961" s="1083">
        <f>HE_Insurance_Risk!$A$1</f>
        <v>37</v>
      </c>
      <c r="C1961" s="1084" t="str">
        <f>HE_Insurance_Risk!$B$1</f>
        <v>Versicherungsrisiko</v>
      </c>
      <c r="D1961" s="1091" t="str">
        <f>HE_Insurance_Risk!$C$61</f>
        <v>Variabilität</v>
      </c>
      <c r="E1961" s="1494" t="str">
        <f>HE_Insurance_Risk!$AB$17</f>
        <v>Total KVG inkl. UVG und VVG</v>
      </c>
      <c r="F1961" s="1488" t="str">
        <f>HE_Insurance_Risk!$C72</f>
        <v>Resultat: Variationskoeffizient des Zufallsrisikos</v>
      </c>
      <c r="G1961" s="1494"/>
      <c r="H1961" s="1124">
        <f>HE_Insurance_Risk!$AB72</f>
        <v>0</v>
      </c>
      <c r="U1961" s="1027"/>
      <c r="V1961" s="1027"/>
      <c r="W1961" s="1027"/>
    </row>
    <row r="1962" spans="2:23" ht="12.75" customHeight="1" x14ac:dyDescent="0.2">
      <c r="B1962" s="1083">
        <f>HE_Insurance_Risk!$A$1</f>
        <v>37</v>
      </c>
      <c r="C1962" s="1084" t="str">
        <f>HE_Insurance_Risk!$B$1</f>
        <v>Versicherungsrisiko</v>
      </c>
      <c r="D1962" s="1091" t="str">
        <f>HE_Insurance_Risk!$C$61</f>
        <v>Variabilität</v>
      </c>
      <c r="E1962" s="1494" t="str">
        <f>HE_Insurance_Risk!$AB$17</f>
        <v>Total KVG inkl. UVG und VVG</v>
      </c>
      <c r="F1962" s="1488" t="str">
        <f>HE_Insurance_Risk!$C73</f>
        <v>errechneter Wert vor Rückversicherung</v>
      </c>
      <c r="G1962" s="1494"/>
      <c r="H1962" s="1122">
        <f>HE_Insurance_Risk!$AB73</f>
        <v>0</v>
      </c>
      <c r="U1962" s="1027"/>
      <c r="V1962" s="1027"/>
      <c r="W1962" s="1027"/>
    </row>
    <row r="1963" spans="2:23" ht="12.75" customHeight="1" x14ac:dyDescent="0.2">
      <c r="B1963" s="1083">
        <f>HE_Insurance_Risk!$A$1</f>
        <v>37</v>
      </c>
      <c r="C1963" s="1084" t="str">
        <f>HE_Insurance_Risk!$B$1</f>
        <v>Versicherungsrisiko</v>
      </c>
      <c r="D1963" s="1091" t="str">
        <f>HE_Insurance_Risk!$C$61</f>
        <v>Variabilität</v>
      </c>
      <c r="E1963" s="1494" t="str">
        <f>HE_Insurance_Risk!$AB$17</f>
        <v>Total KVG inkl. UVG und VVG</v>
      </c>
      <c r="F1963" s="1488" t="str">
        <f>HE_Insurance_Risk!$C74</f>
        <v>errechneter Wert nach Rückversicherung</v>
      </c>
      <c r="G1963" s="1494"/>
      <c r="H1963" s="1122">
        <f>HE_Insurance_Risk!$AB74</f>
        <v>0</v>
      </c>
      <c r="U1963" s="1027"/>
      <c r="V1963" s="1027"/>
      <c r="W1963" s="1027"/>
    </row>
    <row r="1964" spans="2:23" ht="12.75" customHeight="1" x14ac:dyDescent="0.2">
      <c r="B1964" s="1083">
        <f>HE_Insurance_Risk!$A$1</f>
        <v>37</v>
      </c>
      <c r="C1964" s="1084" t="str">
        <f>HE_Insurance_Risk!$B$1</f>
        <v>Versicherungsrisiko</v>
      </c>
      <c r="D1964" s="1091" t="str">
        <f>HE_Insurance_Risk!$C$61</f>
        <v>Variabilität</v>
      </c>
      <c r="E1964" s="1494" t="str">
        <f>HE_Insurance_Risk!$AB$17</f>
        <v>Total KVG inkl. UVG und VVG</v>
      </c>
      <c r="F1964" s="1488" t="str">
        <f>HE_Insurance_Risk!$C75</f>
        <v>benutzter Wert</v>
      </c>
      <c r="G1964" s="1494"/>
      <c r="H1964" s="1122">
        <f>HE_Insurance_Risk!$AB75</f>
        <v>0</v>
      </c>
      <c r="U1964" s="1027"/>
      <c r="V1964" s="1027"/>
      <c r="W1964" s="1027"/>
    </row>
    <row r="1965" spans="2:23" ht="12.75" customHeight="1" x14ac:dyDescent="0.2">
      <c r="B1965" s="1083"/>
      <c r="C1965" s="1084"/>
      <c r="D1965" s="1091"/>
      <c r="E1965" s="1494"/>
      <c r="F1965" s="1488"/>
      <c r="G1965" s="1494"/>
      <c r="H1965" s="1122"/>
      <c r="U1965" s="1027"/>
      <c r="V1965" s="1027"/>
      <c r="W1965" s="1027"/>
    </row>
    <row r="1966" spans="2:23" ht="12.75" customHeight="1" x14ac:dyDescent="0.2">
      <c r="B1966" s="1083">
        <f>HE_Insurance_Risk!$A$1</f>
        <v>37</v>
      </c>
      <c r="C1966" s="1084" t="str">
        <f>HE_Insurance_Risk!$B$1</f>
        <v>Versicherungsrisiko</v>
      </c>
      <c r="D1966" s="1091" t="str">
        <f>HE_Insurance_Risk!$C$61</f>
        <v>Variabilität</v>
      </c>
      <c r="E1966" s="1494" t="str">
        <f>HE_Insurance_Risk!$AB$17</f>
        <v>Total KVG inkl. UVG und VVG</v>
      </c>
      <c r="F1966" s="1488" t="str">
        <f>HE_Insurance_Risk!$C78</f>
        <v>Variationskoeffizient des Parameterrisikos</v>
      </c>
      <c r="G1966" s="1494"/>
      <c r="H1966" s="1124">
        <f>HE_Insurance_Risk!$AB78</f>
        <v>0</v>
      </c>
      <c r="U1966" s="1027"/>
      <c r="V1966" s="1027"/>
      <c r="W1966" s="1027"/>
    </row>
    <row r="1967" spans="2:23" ht="12.75" customHeight="1" x14ac:dyDescent="0.2">
      <c r="B1967" s="1083">
        <f>HE_Insurance_Risk!$A$1</f>
        <v>37</v>
      </c>
      <c r="C1967" s="1084" t="str">
        <f>HE_Insurance_Risk!$B$1</f>
        <v>Versicherungsrisiko</v>
      </c>
      <c r="D1967" s="1091" t="str">
        <f>HE_Insurance_Risk!$C$61</f>
        <v>Variabilität</v>
      </c>
      <c r="E1967" s="1494" t="str">
        <f>HE_Insurance_Risk!$AB$17</f>
        <v>Total KVG inkl. UVG und VVG</v>
      </c>
      <c r="F1967" s="1488" t="str">
        <f>HE_Insurance_Risk!$C79</f>
        <v>Standardwert (vor Rückversicherung)</v>
      </c>
      <c r="G1967" s="1494"/>
      <c r="H1967" s="1124">
        <f>HE_Insurance_Risk!$AB79</f>
        <v>0</v>
      </c>
      <c r="U1967" s="1027"/>
      <c r="V1967" s="1027"/>
      <c r="W1967" s="1027"/>
    </row>
    <row r="1968" spans="2:23" ht="12.75" customHeight="1" x14ac:dyDescent="0.2">
      <c r="B1968" s="1083">
        <f>HE_Insurance_Risk!$A$1</f>
        <v>37</v>
      </c>
      <c r="C1968" s="1084" t="str">
        <f>HE_Insurance_Risk!$B$1</f>
        <v>Versicherungsrisiko</v>
      </c>
      <c r="D1968" s="1091" t="str">
        <f>HE_Insurance_Risk!$C$61</f>
        <v>Variabilität</v>
      </c>
      <c r="E1968" s="1494" t="str">
        <f>HE_Insurance_Risk!$AB$17</f>
        <v>Total KVG inkl. UVG und VVG</v>
      </c>
      <c r="F1968" s="1488" t="str">
        <f>HE_Insurance_Risk!$C80</f>
        <v>errechneter Wert nach Rückversicherung</v>
      </c>
      <c r="G1968" s="1494"/>
      <c r="H1968" s="1124">
        <f>HE_Insurance_Risk!$AB80</f>
        <v>0</v>
      </c>
      <c r="U1968" s="1027"/>
      <c r="V1968" s="1027"/>
      <c r="W1968" s="1027"/>
    </row>
    <row r="1969" spans="2:23" ht="12.75" customHeight="1" x14ac:dyDescent="0.2">
      <c r="B1969" s="1083">
        <f>HE_Insurance_Risk!$A$1</f>
        <v>37</v>
      </c>
      <c r="C1969" s="1084" t="str">
        <f>HE_Insurance_Risk!$B$1</f>
        <v>Versicherungsrisiko</v>
      </c>
      <c r="D1969" s="1091" t="str">
        <f>HE_Insurance_Risk!$C$61</f>
        <v>Variabilität</v>
      </c>
      <c r="E1969" s="1494" t="str">
        <f>HE_Insurance_Risk!$AB$17</f>
        <v>Total KVG inkl. UVG und VVG</v>
      </c>
      <c r="F1969" s="1488" t="str">
        <f>HE_Insurance_Risk!$C81</f>
        <v>benutzter Wert (Abweichung vom Standard begründen)</v>
      </c>
      <c r="G1969" s="1494"/>
      <c r="H1969" s="1124">
        <f>HE_Insurance_Risk!$AB81</f>
        <v>0</v>
      </c>
      <c r="U1969" s="1027"/>
      <c r="V1969" s="1027"/>
      <c r="W1969" s="1027"/>
    </row>
    <row r="1970" spans="2:23" ht="12.75" customHeight="1" x14ac:dyDescent="0.2">
      <c r="B1970" s="1083"/>
      <c r="C1970" s="1084"/>
      <c r="D1970" s="1091"/>
      <c r="E1970" s="1494"/>
      <c r="F1970" s="1488"/>
      <c r="G1970" s="1494"/>
      <c r="H1970" s="1124"/>
      <c r="U1970" s="1027"/>
      <c r="V1970" s="1027"/>
      <c r="W1970" s="1027"/>
    </row>
    <row r="1971" spans="2:23" ht="12.75" customHeight="1" x14ac:dyDescent="0.2">
      <c r="B1971" s="1083">
        <f>HE_Insurance_Risk!$A$1</f>
        <v>37</v>
      </c>
      <c r="C1971" s="1084" t="str">
        <f>HE_Insurance_Risk!$B$1</f>
        <v>Versicherungsrisiko</v>
      </c>
      <c r="D1971" s="1091" t="str">
        <f>HE_Insurance_Risk!$C$61</f>
        <v>Variabilität</v>
      </c>
      <c r="E1971" s="1494" t="str">
        <f>HE_Insurance_Risk!$AB$17</f>
        <v>Total KVG inkl. UVG und VVG</v>
      </c>
      <c r="F1971" s="1527" t="str">
        <f>HE_Insurance_Risk!$C84</f>
        <v>Variationskoeffizient der jährlichen Leistungen</v>
      </c>
      <c r="G1971" s="1494"/>
      <c r="H1971" s="1135">
        <f>HE_Insurance_Risk!$AB84</f>
        <v>0</v>
      </c>
      <c r="U1971" s="1027"/>
      <c r="V1971" s="1027"/>
      <c r="W1971" s="1027"/>
    </row>
    <row r="1972" spans="2:23" ht="12.75" customHeight="1" x14ac:dyDescent="0.2">
      <c r="B1972" s="1083">
        <f>HE_Insurance_Risk!$A$1</f>
        <v>37</v>
      </c>
      <c r="C1972" s="1084" t="str">
        <f>HE_Insurance_Risk!$B$1</f>
        <v>Versicherungsrisiko</v>
      </c>
      <c r="D1972" s="1091" t="str">
        <f>HE_Insurance_Risk!$C$61</f>
        <v>Variabilität</v>
      </c>
      <c r="E1972" s="1494" t="str">
        <f>HE_Insurance_Risk!$AB$17</f>
        <v>Total KVG inkl. UVG und VVG</v>
      </c>
      <c r="F1972" s="1527" t="str">
        <f>HE_Insurance_Risk!$C85</f>
        <v>benutzter Variationskoeffizient</v>
      </c>
      <c r="G1972" s="1494"/>
      <c r="H1972" s="1137">
        <f>HE_Insurance_Risk!$AB85</f>
        <v>0</v>
      </c>
      <c r="U1972" s="1027"/>
      <c r="V1972" s="1027"/>
      <c r="W1972" s="1027"/>
    </row>
    <row r="1973" spans="2:23" ht="12.75" customHeight="1" x14ac:dyDescent="0.2">
      <c r="B1973" s="1083"/>
      <c r="C1973" s="1084"/>
      <c r="D1973" s="1091"/>
      <c r="E1973" s="1494"/>
      <c r="F1973" s="1488"/>
      <c r="G1973" s="1494"/>
      <c r="H1973" s="1124"/>
      <c r="U1973" s="1027"/>
      <c r="V1973" s="1027"/>
      <c r="W1973" s="1027"/>
    </row>
    <row r="1974" spans="2:23" ht="12.75" customHeight="1" x14ac:dyDescent="0.2">
      <c r="B1974" s="1083">
        <f>HE_Insurance_Risk!$A$1</f>
        <v>37</v>
      </c>
      <c r="C1974" s="1084" t="str">
        <f>HE_Insurance_Risk!$B$1</f>
        <v>Versicherungsrisiko</v>
      </c>
      <c r="D1974" s="1091" t="str">
        <f>HE_Insurance_Risk!$C$61</f>
        <v>Variabilität</v>
      </c>
      <c r="E1974" s="1494" t="str">
        <f>HE_Insurance_Risk!$AB$17</f>
        <v>Total KVG inkl. UVG und VVG</v>
      </c>
      <c r="F1974" s="1488" t="str">
        <f>HE_Insurance_Risk!$C92</f>
        <v>Standardabweichung des versicherungstechnischen Risikos</v>
      </c>
      <c r="G1974" s="1494"/>
      <c r="H1974" s="1119">
        <f>HE_Insurance_Risk!$AB92</f>
        <v>0</v>
      </c>
      <c r="U1974" s="1027"/>
      <c r="V1974" s="1027"/>
      <c r="W1974" s="1027"/>
    </row>
    <row r="1975" spans="2:23" x14ac:dyDescent="0.2">
      <c r="B1975" s="1083"/>
      <c r="C1975" s="1084"/>
      <c r="D1975" s="1091"/>
      <c r="E1975" s="1494"/>
      <c r="F1975" s="1488"/>
      <c r="G1975" s="1494"/>
      <c r="H1975" s="1133"/>
      <c r="U1975" s="1027"/>
      <c r="V1975" s="1027"/>
      <c r="W1975" s="1027"/>
    </row>
    <row r="1976" spans="2:23" x14ac:dyDescent="0.2">
      <c r="B1976" s="1083"/>
      <c r="C1976" s="1084"/>
      <c r="D1976" s="1091"/>
      <c r="E1976" s="1494"/>
      <c r="F1976" s="1488"/>
      <c r="G1976" s="1494"/>
      <c r="H1976" s="1133"/>
      <c r="U1976" s="1027"/>
      <c r="V1976" s="1027"/>
      <c r="W1976" s="1027"/>
    </row>
    <row r="1977" spans="2:23" x14ac:dyDescent="0.2">
      <c r="B1977" s="1083">
        <f>HE_Insurance_Risk!$A$1</f>
        <v>37</v>
      </c>
      <c r="C1977" s="1084" t="str">
        <f>HE_Insurance_Risk!$B$1</f>
        <v>Versicherungsrisiko</v>
      </c>
      <c r="D1977" s="1091" t="str">
        <f>HE_Insurance_Risk!$C$96</f>
        <v>Korrelationen zwischen den betrachteten Branchen</v>
      </c>
      <c r="E1977" s="1488" t="str">
        <f>HE_Insurance_Risk!$C$99</f>
        <v>Kollektiv VVG</v>
      </c>
      <c r="F1977" s="1494" t="str">
        <f>HE_Insurance_Risk!$C100</f>
        <v>Einzel VVG</v>
      </c>
      <c r="G1977" s="1494"/>
      <c r="H1977" s="1538">
        <f>HE_Insurance_Risk!$H$99</f>
        <v>0.25</v>
      </c>
      <c r="U1977" s="1027"/>
      <c r="V1977" s="1027"/>
      <c r="W1977" s="1027"/>
    </row>
    <row r="1978" spans="2:23" x14ac:dyDescent="0.2">
      <c r="B1978" s="1083">
        <f>HE_Insurance_Risk!$A$1</f>
        <v>37</v>
      </c>
      <c r="C1978" s="1084" t="str">
        <f>HE_Insurance_Risk!$B$1</f>
        <v>Versicherungsrisiko</v>
      </c>
      <c r="D1978" s="1091" t="str">
        <f>HE_Insurance_Risk!$C$96</f>
        <v>Korrelationen zwischen den betrachteten Branchen</v>
      </c>
      <c r="E1978" s="1488" t="str">
        <f>HE_Insurance_Risk!$C$99</f>
        <v>Kollektiv VVG</v>
      </c>
      <c r="F1978" s="1494" t="str">
        <f>HE_Insurance_Risk!$C101</f>
        <v>UVG</v>
      </c>
      <c r="G1978" s="1494"/>
      <c r="H1978" s="1538">
        <f>HE_Insurance_Risk!$J$99</f>
        <v>0</v>
      </c>
      <c r="U1978" s="1027"/>
      <c r="V1978" s="1027"/>
      <c r="W1978" s="1027"/>
    </row>
    <row r="1979" spans="2:23" x14ac:dyDescent="0.2">
      <c r="B1979" s="1083">
        <f>HE_Insurance_Risk!$A$1</f>
        <v>37</v>
      </c>
      <c r="C1979" s="1084" t="str">
        <f>HE_Insurance_Risk!$B$1</f>
        <v>Versicherungsrisiko</v>
      </c>
      <c r="D1979" s="1091" t="str">
        <f>HE_Insurance_Risk!$C$96</f>
        <v>Korrelationen zwischen den betrachteten Branchen</v>
      </c>
      <c r="E1979" s="1488" t="str">
        <f>HE_Insurance_Risk!$C$99</f>
        <v>Kollektiv VVG</v>
      </c>
      <c r="F1979" s="1494" t="str">
        <f>HE_Insurance_Risk!$C102</f>
        <v>KVG-Taggeld Einzel</v>
      </c>
      <c r="G1979" s="1494"/>
      <c r="H1979" s="1538">
        <f>HE_Insurance_Risk!$L$99</f>
        <v>0.5</v>
      </c>
      <c r="U1979" s="1027"/>
      <c r="V1979" s="1027"/>
      <c r="W1979" s="1027"/>
    </row>
    <row r="1980" spans="2:23" x14ac:dyDescent="0.2">
      <c r="B1980" s="1083">
        <f>HE_Insurance_Risk!$A$1</f>
        <v>37</v>
      </c>
      <c r="C1980" s="1084" t="str">
        <f>HE_Insurance_Risk!$B$1</f>
        <v>Versicherungsrisiko</v>
      </c>
      <c r="D1980" s="1091" t="str">
        <f>HE_Insurance_Risk!$C$96</f>
        <v>Korrelationen zwischen den betrachteten Branchen</v>
      </c>
      <c r="E1980" s="1488" t="str">
        <f>HE_Insurance_Risk!$C$99</f>
        <v>Kollektiv VVG</v>
      </c>
      <c r="F1980" s="1494" t="str">
        <f>HE_Insurance_Risk!$C103</f>
        <v>KVG-Taggeld Kollektiv</v>
      </c>
      <c r="G1980" s="1494"/>
      <c r="H1980" s="1538">
        <f>HE_Insurance_Risk!$N$99</f>
        <v>0.75</v>
      </c>
      <c r="U1980" s="1027"/>
      <c r="V1980" s="1027"/>
      <c r="W1980" s="1027"/>
    </row>
    <row r="1981" spans="2:23" x14ac:dyDescent="0.2">
      <c r="B1981" s="1083">
        <f>HE_Insurance_Risk!$A$1</f>
        <v>37</v>
      </c>
      <c r="C1981" s="1084" t="str">
        <f>HE_Insurance_Risk!$B$1</f>
        <v>Versicherungsrisiko</v>
      </c>
      <c r="D1981" s="1091" t="str">
        <f>HE_Insurance_Risk!$C$96</f>
        <v>Korrelationen zwischen den betrachteten Branchen</v>
      </c>
      <c r="E1981" s="1488" t="str">
        <f>HE_Insurance_Risk!$C$99</f>
        <v>Kollektiv VVG</v>
      </c>
      <c r="F1981" s="1494" t="str">
        <f>HE_Insurance_Risk!$C105</f>
        <v>OKP CH</v>
      </c>
      <c r="G1981" s="1494"/>
      <c r="H1981" s="1538">
        <f>HE_Insurance_Risk!$R$99</f>
        <v>0</v>
      </c>
      <c r="U1981" s="1027"/>
      <c r="V1981" s="1027"/>
      <c r="W1981" s="1027"/>
    </row>
    <row r="1982" spans="2:23" x14ac:dyDescent="0.2">
      <c r="B1982" s="1083">
        <f>HE_Insurance_Risk!$A$1</f>
        <v>37</v>
      </c>
      <c r="C1982" s="1084" t="str">
        <f>HE_Insurance_Risk!$B$1</f>
        <v>Versicherungsrisiko</v>
      </c>
      <c r="D1982" s="1091" t="str">
        <f>HE_Insurance_Risk!$C$96</f>
        <v>Korrelationen zwischen den betrachteten Branchen</v>
      </c>
      <c r="E1982" s="1488" t="str">
        <f>HE_Insurance_Risk!$C$99</f>
        <v>Kollektiv VVG</v>
      </c>
      <c r="F1982" s="1494" t="str">
        <f>HE_Insurance_Risk!$C106</f>
        <v>Aktive Rück-versicherung KVG</v>
      </c>
      <c r="G1982" s="1494"/>
      <c r="H1982" s="1538">
        <f>HE_Insurance_Risk!$T$99</f>
        <v>0</v>
      </c>
      <c r="U1982" s="1027"/>
      <c r="V1982" s="1027"/>
      <c r="W1982" s="1027"/>
    </row>
    <row r="1983" spans="2:23" x14ac:dyDescent="0.2">
      <c r="B1983" s="1083">
        <f>HE_Insurance_Risk!$A$1</f>
        <v>37</v>
      </c>
      <c r="C1983" s="1084" t="str">
        <f>HE_Insurance_Risk!$B$1</f>
        <v>Versicherungsrisiko</v>
      </c>
      <c r="D1983" s="1091" t="str">
        <f>HE_Insurance_Risk!$C$96</f>
        <v>Korrelationen zwischen den betrachteten Branchen</v>
      </c>
      <c r="E1983" s="1488" t="str">
        <f>HE_Insurance_Risk!$C$100</f>
        <v>Einzel VVG</v>
      </c>
      <c r="F1983" s="1494" t="str">
        <f>HE_Insurance_Risk!$C101</f>
        <v>UVG</v>
      </c>
      <c r="G1983" s="1494"/>
      <c r="H1983" s="1538">
        <f>HE_Insurance_Risk!$J$100</f>
        <v>0</v>
      </c>
      <c r="U1983" s="1027"/>
      <c r="V1983" s="1027"/>
      <c r="W1983" s="1027"/>
    </row>
    <row r="1984" spans="2:23" x14ac:dyDescent="0.2">
      <c r="B1984" s="1083">
        <f>HE_Insurance_Risk!$A$1</f>
        <v>37</v>
      </c>
      <c r="C1984" s="1084" t="str">
        <f>HE_Insurance_Risk!$B$1</f>
        <v>Versicherungsrisiko</v>
      </c>
      <c r="D1984" s="1091" t="str">
        <f>HE_Insurance_Risk!$C$96</f>
        <v>Korrelationen zwischen den betrachteten Branchen</v>
      </c>
      <c r="E1984" s="1488" t="str">
        <f>HE_Insurance_Risk!$C$100</f>
        <v>Einzel VVG</v>
      </c>
      <c r="F1984" s="1494" t="str">
        <f>HE_Insurance_Risk!$C102</f>
        <v>KVG-Taggeld Einzel</v>
      </c>
      <c r="G1984" s="1494"/>
      <c r="H1984" s="1538">
        <f>HE_Insurance_Risk!$L$100</f>
        <v>0</v>
      </c>
      <c r="U1984" s="1027"/>
      <c r="V1984" s="1027"/>
      <c r="W1984" s="1027"/>
    </row>
    <row r="1985" spans="2:23" x14ac:dyDescent="0.2">
      <c r="B1985" s="1083">
        <f>HE_Insurance_Risk!$A$1</f>
        <v>37</v>
      </c>
      <c r="C1985" s="1084" t="str">
        <f>HE_Insurance_Risk!$B$1</f>
        <v>Versicherungsrisiko</v>
      </c>
      <c r="D1985" s="1091" t="str">
        <f>HE_Insurance_Risk!$C$96</f>
        <v>Korrelationen zwischen den betrachteten Branchen</v>
      </c>
      <c r="E1985" s="1488" t="str">
        <f>HE_Insurance_Risk!$C$100</f>
        <v>Einzel VVG</v>
      </c>
      <c r="F1985" s="1494" t="str">
        <f>HE_Insurance_Risk!$C103</f>
        <v>KVG-Taggeld Kollektiv</v>
      </c>
      <c r="G1985" s="1494"/>
      <c r="H1985" s="1538">
        <f>HE_Insurance_Risk!$N$100</f>
        <v>0.25</v>
      </c>
      <c r="U1985" s="1027"/>
      <c r="V1985" s="1027"/>
      <c r="W1985" s="1027"/>
    </row>
    <row r="1986" spans="2:23" x14ac:dyDescent="0.2">
      <c r="B1986" s="1083">
        <f>HE_Insurance_Risk!$A$1</f>
        <v>37</v>
      </c>
      <c r="C1986" s="1084" t="str">
        <f>HE_Insurance_Risk!$B$1</f>
        <v>Versicherungsrisiko</v>
      </c>
      <c r="D1986" s="1091" t="str">
        <f>HE_Insurance_Risk!$C$96</f>
        <v>Korrelationen zwischen den betrachteten Branchen</v>
      </c>
      <c r="E1986" s="1488" t="str">
        <f>HE_Insurance_Risk!$C$100</f>
        <v>Einzel VVG</v>
      </c>
      <c r="F1986" s="1494" t="str">
        <f>HE_Insurance_Risk!$C105</f>
        <v>OKP CH</v>
      </c>
      <c r="G1986" s="1494"/>
      <c r="H1986" s="1538">
        <f>HE_Insurance_Risk!$R$100</f>
        <v>0.5</v>
      </c>
      <c r="U1986" s="1027"/>
      <c r="V1986" s="1027"/>
      <c r="W1986" s="1027"/>
    </row>
    <row r="1987" spans="2:23" x14ac:dyDescent="0.2">
      <c r="B1987" s="1083">
        <f>HE_Insurance_Risk!$A$1</f>
        <v>37</v>
      </c>
      <c r="C1987" s="1084" t="str">
        <f>HE_Insurance_Risk!$B$1</f>
        <v>Versicherungsrisiko</v>
      </c>
      <c r="D1987" s="1091" t="str">
        <f>HE_Insurance_Risk!$C$96</f>
        <v>Korrelationen zwischen den betrachteten Branchen</v>
      </c>
      <c r="E1987" s="1488" t="str">
        <f>HE_Insurance_Risk!$C$100</f>
        <v>Einzel VVG</v>
      </c>
      <c r="F1987" s="1494" t="str">
        <f>HE_Insurance_Risk!$C106</f>
        <v>Aktive Rück-versicherung KVG</v>
      </c>
      <c r="G1987" s="1494"/>
      <c r="H1987" s="1538">
        <f>HE_Insurance_Risk!$T$100</f>
        <v>0</v>
      </c>
      <c r="U1987" s="1027"/>
      <c r="V1987" s="1027"/>
      <c r="W1987" s="1027"/>
    </row>
    <row r="1988" spans="2:23" x14ac:dyDescent="0.2">
      <c r="B1988" s="1083">
        <f>HE_Insurance_Risk!$A$1</f>
        <v>37</v>
      </c>
      <c r="C1988" s="1084" t="str">
        <f>HE_Insurance_Risk!$B$1</f>
        <v>Versicherungsrisiko</v>
      </c>
      <c r="D1988" s="1091" t="str">
        <f>HE_Insurance_Risk!$C$96</f>
        <v>Korrelationen zwischen den betrachteten Branchen</v>
      </c>
      <c r="E1988" s="1488" t="str">
        <f>HE_Insurance_Risk!$C$101</f>
        <v>UVG</v>
      </c>
      <c r="F1988" s="1494" t="str">
        <f>HE_Insurance_Risk!$C102</f>
        <v>KVG-Taggeld Einzel</v>
      </c>
      <c r="G1988" s="1494"/>
      <c r="H1988" s="1538">
        <f>HE_Insurance_Risk!$L$101</f>
        <v>0.5</v>
      </c>
      <c r="U1988" s="1027"/>
      <c r="V1988" s="1027"/>
      <c r="W1988" s="1027"/>
    </row>
    <row r="1989" spans="2:23" x14ac:dyDescent="0.2">
      <c r="B1989" s="1083">
        <f>HE_Insurance_Risk!$A$1</f>
        <v>37</v>
      </c>
      <c r="C1989" s="1084" t="str">
        <f>HE_Insurance_Risk!$B$1</f>
        <v>Versicherungsrisiko</v>
      </c>
      <c r="D1989" s="1091" t="str">
        <f>HE_Insurance_Risk!$C$96</f>
        <v>Korrelationen zwischen den betrachteten Branchen</v>
      </c>
      <c r="E1989" s="1488" t="str">
        <f>HE_Insurance_Risk!$C$101</f>
        <v>UVG</v>
      </c>
      <c r="F1989" s="1494" t="str">
        <f>HE_Insurance_Risk!$C103</f>
        <v>KVG-Taggeld Kollektiv</v>
      </c>
      <c r="G1989" s="1494"/>
      <c r="H1989" s="1538">
        <f>HE_Insurance_Risk!$N$101</f>
        <v>0.5</v>
      </c>
      <c r="U1989" s="1027"/>
      <c r="V1989" s="1027"/>
      <c r="W1989" s="1027"/>
    </row>
    <row r="1990" spans="2:23" x14ac:dyDescent="0.2">
      <c r="B1990" s="1083">
        <f>HE_Insurance_Risk!$A$1</f>
        <v>37</v>
      </c>
      <c r="C1990" s="1084" t="str">
        <f>HE_Insurance_Risk!$B$1</f>
        <v>Versicherungsrisiko</v>
      </c>
      <c r="D1990" s="1091" t="str">
        <f>HE_Insurance_Risk!$C$96</f>
        <v>Korrelationen zwischen den betrachteten Branchen</v>
      </c>
      <c r="E1990" s="1488" t="str">
        <f>HE_Insurance_Risk!$C$101</f>
        <v>UVG</v>
      </c>
      <c r="F1990" s="1494" t="str">
        <f>HE_Insurance_Risk!$C105</f>
        <v>OKP CH</v>
      </c>
      <c r="G1990" s="1494"/>
      <c r="H1990" s="1538">
        <f>HE_Insurance_Risk!$R$101</f>
        <v>0.5</v>
      </c>
      <c r="U1990" s="1027"/>
      <c r="V1990" s="1027"/>
      <c r="W1990" s="1027"/>
    </row>
    <row r="1991" spans="2:23" x14ac:dyDescent="0.2">
      <c r="B1991" s="1083">
        <f>HE_Insurance_Risk!$A$1</f>
        <v>37</v>
      </c>
      <c r="C1991" s="1084" t="str">
        <f>HE_Insurance_Risk!$B$1</f>
        <v>Versicherungsrisiko</v>
      </c>
      <c r="D1991" s="1091" t="str">
        <f>HE_Insurance_Risk!$C$96</f>
        <v>Korrelationen zwischen den betrachteten Branchen</v>
      </c>
      <c r="E1991" s="1488" t="str">
        <f>HE_Insurance_Risk!$C$101</f>
        <v>UVG</v>
      </c>
      <c r="F1991" s="1494" t="str">
        <f>HE_Insurance_Risk!$C106</f>
        <v>Aktive Rück-versicherung KVG</v>
      </c>
      <c r="G1991" s="1494"/>
      <c r="H1991" s="1538">
        <f>HE_Insurance_Risk!$T$101</f>
        <v>0</v>
      </c>
      <c r="U1991" s="1027"/>
      <c r="V1991" s="1027"/>
      <c r="W1991" s="1027"/>
    </row>
    <row r="1992" spans="2:23" x14ac:dyDescent="0.2">
      <c r="B1992" s="1083">
        <f>HE_Insurance_Risk!$A$1</f>
        <v>37</v>
      </c>
      <c r="C1992" s="1084" t="str">
        <f>HE_Insurance_Risk!$B$1</f>
        <v>Versicherungsrisiko</v>
      </c>
      <c r="D1992" s="1091" t="str">
        <f>HE_Insurance_Risk!$C$96</f>
        <v>Korrelationen zwischen den betrachteten Branchen</v>
      </c>
      <c r="E1992" s="1488" t="str">
        <f>HE_Insurance_Risk!$C$102</f>
        <v>KVG-Taggeld Einzel</v>
      </c>
      <c r="F1992" s="1494" t="str">
        <f>HE_Insurance_Risk!$C103</f>
        <v>KVG-Taggeld Kollektiv</v>
      </c>
      <c r="G1992" s="1494"/>
      <c r="H1992" s="1538">
        <f>HE_Insurance_Risk!$N$102</f>
        <v>0.75</v>
      </c>
      <c r="U1992" s="1027"/>
      <c r="V1992" s="1027"/>
      <c r="W1992" s="1027"/>
    </row>
    <row r="1993" spans="2:23" x14ac:dyDescent="0.2">
      <c r="B1993" s="1083">
        <f>HE_Insurance_Risk!$A$1</f>
        <v>37</v>
      </c>
      <c r="C1993" s="1084" t="str">
        <f>HE_Insurance_Risk!$B$1</f>
        <v>Versicherungsrisiko</v>
      </c>
      <c r="D1993" s="1091" t="str">
        <f>HE_Insurance_Risk!$C$96</f>
        <v>Korrelationen zwischen den betrachteten Branchen</v>
      </c>
      <c r="E1993" s="1488" t="str">
        <f>HE_Insurance_Risk!$C$102</f>
        <v>KVG-Taggeld Einzel</v>
      </c>
      <c r="F1993" s="1494" t="str">
        <f>HE_Insurance_Risk!$C105</f>
        <v>OKP CH</v>
      </c>
      <c r="G1993" s="1494"/>
      <c r="H1993" s="1538">
        <f>HE_Insurance_Risk!$R$102</f>
        <v>0.5</v>
      </c>
      <c r="U1993" s="1027"/>
      <c r="V1993" s="1027"/>
      <c r="W1993" s="1027"/>
    </row>
    <row r="1994" spans="2:23" x14ac:dyDescent="0.2">
      <c r="B1994" s="1083">
        <f>HE_Insurance_Risk!$A$1</f>
        <v>37</v>
      </c>
      <c r="C1994" s="1084" t="str">
        <f>HE_Insurance_Risk!$B$1</f>
        <v>Versicherungsrisiko</v>
      </c>
      <c r="D1994" s="1091" t="str">
        <f>HE_Insurance_Risk!$C$96</f>
        <v>Korrelationen zwischen den betrachteten Branchen</v>
      </c>
      <c r="E1994" s="1488" t="str">
        <f>HE_Insurance_Risk!$C$102</f>
        <v>KVG-Taggeld Einzel</v>
      </c>
      <c r="F1994" s="1494" t="str">
        <f>HE_Insurance_Risk!$C106</f>
        <v>Aktive Rück-versicherung KVG</v>
      </c>
      <c r="G1994" s="1494"/>
      <c r="H1994" s="1538">
        <f>HE_Insurance_Risk!$T$102</f>
        <v>0.25</v>
      </c>
      <c r="U1994" s="1027"/>
      <c r="V1994" s="1027"/>
      <c r="W1994" s="1027"/>
    </row>
    <row r="1995" spans="2:23" x14ac:dyDescent="0.2">
      <c r="B1995" s="1083">
        <f>HE_Insurance_Risk!$A$1</f>
        <v>37</v>
      </c>
      <c r="C1995" s="1084" t="str">
        <f>HE_Insurance_Risk!$B$1</f>
        <v>Versicherungsrisiko</v>
      </c>
      <c r="D1995" s="1091" t="str">
        <f>HE_Insurance_Risk!$C$96</f>
        <v>Korrelationen zwischen den betrachteten Branchen</v>
      </c>
      <c r="E1995" s="1488" t="str">
        <f>HE_Insurance_Risk!$C$103</f>
        <v>KVG-Taggeld Kollektiv</v>
      </c>
      <c r="F1995" s="1494" t="str">
        <f>HE_Insurance_Risk!$C105</f>
        <v>OKP CH</v>
      </c>
      <c r="G1995" s="1494"/>
      <c r="H1995" s="1538">
        <f>HE_Insurance_Risk!$R$103</f>
        <v>0.5</v>
      </c>
      <c r="U1995" s="1027"/>
      <c r="V1995" s="1027"/>
      <c r="W1995" s="1027"/>
    </row>
    <row r="1996" spans="2:23" x14ac:dyDescent="0.2">
      <c r="B1996" s="1083">
        <f>HE_Insurance_Risk!$A$1</f>
        <v>37</v>
      </c>
      <c r="C1996" s="1084" t="str">
        <f>HE_Insurance_Risk!$B$1</f>
        <v>Versicherungsrisiko</v>
      </c>
      <c r="D1996" s="1091" t="str">
        <f>HE_Insurance_Risk!$C$96</f>
        <v>Korrelationen zwischen den betrachteten Branchen</v>
      </c>
      <c r="E1996" s="1488" t="str">
        <f>HE_Insurance_Risk!$C$103</f>
        <v>KVG-Taggeld Kollektiv</v>
      </c>
      <c r="F1996" s="1494" t="str">
        <f>HE_Insurance_Risk!$C106</f>
        <v>Aktive Rück-versicherung KVG</v>
      </c>
      <c r="G1996" s="1494"/>
      <c r="H1996" s="1538">
        <f>HE_Insurance_Risk!$T$103</f>
        <v>0.25</v>
      </c>
      <c r="U1996" s="1027"/>
      <c r="V1996" s="1027"/>
      <c r="W1996" s="1027"/>
    </row>
    <row r="1997" spans="2:23" x14ac:dyDescent="0.2">
      <c r="B1997" s="1083">
        <f>HE_Insurance_Risk!$A$1</f>
        <v>37</v>
      </c>
      <c r="C1997" s="1084" t="str">
        <f>HE_Insurance_Risk!$B$1</f>
        <v>Versicherungsrisiko</v>
      </c>
      <c r="D1997" s="1091" t="str">
        <f>HE_Insurance_Risk!$C$96</f>
        <v>Korrelationen zwischen den betrachteten Branchen</v>
      </c>
      <c r="E1997" s="1488" t="str">
        <f>HE_Insurance_Risk!$C$105</f>
        <v>OKP CH</v>
      </c>
      <c r="F1997" s="1494" t="str">
        <f>HE_Insurance_Risk!$C$106</f>
        <v>Aktive Rück-versicherung KVG</v>
      </c>
      <c r="G1997" s="1494"/>
      <c r="H1997" s="1538">
        <f>HE_Insurance_Risk!$T$105</f>
        <v>0.25</v>
      </c>
      <c r="U1997" s="1027"/>
      <c r="V1997" s="1027"/>
      <c r="W1997" s="1027"/>
    </row>
    <row r="1998" spans="2:23" x14ac:dyDescent="0.2">
      <c r="B1998" s="1083"/>
      <c r="C1998" s="1084"/>
      <c r="D1998" s="1091"/>
      <c r="E1998" s="1494"/>
      <c r="F1998" s="1488"/>
      <c r="G1998" s="1494"/>
      <c r="H1998" s="1133"/>
      <c r="U1998" s="1027"/>
      <c r="V1998" s="1027"/>
      <c r="W1998" s="1027"/>
    </row>
    <row r="1999" spans="2:23" x14ac:dyDescent="0.2">
      <c r="B1999" s="1083"/>
      <c r="C1999" s="1084"/>
      <c r="D1999" s="1091"/>
      <c r="E1999" s="1494"/>
      <c r="F1999" s="1488"/>
      <c r="G1999" s="1494"/>
      <c r="H1999" s="1133"/>
      <c r="U1999" s="1027"/>
      <c r="V1999" s="1027"/>
      <c r="W1999" s="1027"/>
    </row>
    <row r="2000" spans="2:23" ht="15" x14ac:dyDescent="0.2">
      <c r="B2000" s="1083">
        <f>HE_Insurance_Risk!$A$1</f>
        <v>37</v>
      </c>
      <c r="C2000" s="1084" t="str">
        <f>HE_Insurance_Risk!$B$1</f>
        <v>Versicherungsrisiko</v>
      </c>
      <c r="D2000" s="1091" t="str">
        <f>HE_Insurance_Risk!$C$110</f>
        <v>Passive Rückversicherung KVG</v>
      </c>
      <c r="E2000" s="1488" t="str">
        <f>HE_Insurance_Risk!$C$114</f>
        <v>Selbstbehalt Einzelschaden (CHF)</v>
      </c>
      <c r="F2000" s="1494" t="str">
        <f>HE_Insurance_Risk!$L$97</f>
        <v>KVG-Taggeld Einzel</v>
      </c>
      <c r="G2000" s="1494"/>
      <c r="H2000" s="1539" t="str">
        <f>IF(ISNUMBER(HE_Insurance_Risk!$L$114),HE_Insurance_Risk!$L$114,"")</f>
        <v/>
      </c>
      <c r="U2000" s="1027"/>
      <c r="V2000" s="1027"/>
      <c r="W2000" s="1027"/>
    </row>
    <row r="2001" spans="2:23" ht="15" x14ac:dyDescent="0.2">
      <c r="B2001" s="1083">
        <f>HE_Insurance_Risk!$A$1</f>
        <v>37</v>
      </c>
      <c r="C2001" s="1084" t="str">
        <f>HE_Insurance_Risk!$B$1</f>
        <v>Versicherungsrisiko</v>
      </c>
      <c r="D2001" s="1091" t="str">
        <f>HE_Insurance_Risk!$C$110</f>
        <v>Passive Rückversicherung KVG</v>
      </c>
      <c r="E2001" s="1488" t="str">
        <f>HE_Insurance_Risk!$C$114</f>
        <v>Selbstbehalt Einzelschaden (CHF)</v>
      </c>
      <c r="F2001" s="1494" t="str">
        <f>HE_Insurance_Risk!$N$97</f>
        <v>KVG-Taggeld Kollektiv</v>
      </c>
      <c r="G2001" s="1494"/>
      <c r="H2001" s="1539" t="str">
        <f>IF(ISNUMBER(HE_Insurance_Risk!$N$114),HE_Insurance_Risk!$N$114,"")</f>
        <v/>
      </c>
      <c r="U2001" s="1027"/>
      <c r="V2001" s="1027"/>
      <c r="W2001" s="1027"/>
    </row>
    <row r="2002" spans="2:23" ht="15" x14ac:dyDescent="0.2">
      <c r="B2002" s="1083">
        <f>HE_Insurance_Risk!$A$1</f>
        <v>37</v>
      </c>
      <c r="C2002" s="1084" t="str">
        <f>HE_Insurance_Risk!$B$1</f>
        <v>Versicherungsrisiko</v>
      </c>
      <c r="D2002" s="1091" t="str">
        <f>HE_Insurance_Risk!$C$110</f>
        <v>Passive Rückversicherung KVG</v>
      </c>
      <c r="E2002" s="1488" t="str">
        <f>HE_Insurance_Risk!$C$114</f>
        <v>Selbstbehalt Einzelschaden (CHF)</v>
      </c>
      <c r="F2002" s="1494" t="str">
        <f>HE_Insurance_Risk!$R$97</f>
        <v>OKP CH</v>
      </c>
      <c r="G2002" s="1494"/>
      <c r="H2002" s="1539" t="str">
        <f>IF(ISNUMBER(HE_Insurance_Risk!$R$114),HE_Insurance_Risk!$R$114,"")</f>
        <v/>
      </c>
      <c r="U2002" s="1027"/>
      <c r="V2002" s="1027"/>
      <c r="W2002" s="1027"/>
    </row>
    <row r="2003" spans="2:23" ht="15" x14ac:dyDescent="0.2">
      <c r="B2003" s="1083">
        <f>HE_Insurance_Risk!$A$1</f>
        <v>37</v>
      </c>
      <c r="C2003" s="1084" t="str">
        <f>HE_Insurance_Risk!$B$1</f>
        <v>Versicherungsrisiko</v>
      </c>
      <c r="D2003" s="1091" t="str">
        <f>HE_Insurance_Risk!$C$110</f>
        <v>Passive Rückversicherung KVG</v>
      </c>
      <c r="E2003" s="1488" t="str">
        <f>HE_Insurance_Risk!$C$114</f>
        <v>Selbstbehalt Einzelschaden (CHF)</v>
      </c>
      <c r="F2003" s="1494" t="str">
        <f>HE_Insurance_Risk!$T$97</f>
        <v>Aktive Rück-versicherung KVG</v>
      </c>
      <c r="G2003" s="1494"/>
      <c r="H2003" s="1539" t="str">
        <f>IF(ISNUMBER(HE_Insurance_Risk!$T$114),HE_Insurance_Risk!$T$114,"")</f>
        <v/>
      </c>
      <c r="U2003" s="1027"/>
      <c r="V2003" s="1027"/>
      <c r="W2003" s="1027"/>
    </row>
    <row r="2004" spans="2:23" ht="15" x14ac:dyDescent="0.2">
      <c r="B2004" s="1083">
        <f>HE_Insurance_Risk!$A$1</f>
        <v>37</v>
      </c>
      <c r="C2004" s="1084" t="str">
        <f>HE_Insurance_Risk!$B$1</f>
        <v>Versicherungsrisiko</v>
      </c>
      <c r="D2004" s="1091" t="str">
        <f>HE_Insurance_Risk!$C$110</f>
        <v>Passive Rückversicherung KVG</v>
      </c>
      <c r="E2004" s="1494" t="str">
        <f>HE_Insurance_Risk!$C$123</f>
        <v>P Priorität   (Mio. CHF)</v>
      </c>
      <c r="F2004" s="1494" t="str">
        <f>HE_Insurance_Risk!$L$97</f>
        <v>KVG-Taggeld Einzel</v>
      </c>
      <c r="G2004" s="1494"/>
      <c r="H2004" s="1539" t="str">
        <f>IF(ISNUMBER(HE_Insurance_Risk!$L$123),HE_Insurance_Risk!$L$123,"")</f>
        <v/>
      </c>
      <c r="U2004" s="1027"/>
      <c r="V2004" s="1027"/>
      <c r="W2004" s="1027"/>
    </row>
    <row r="2005" spans="2:23" ht="15" x14ac:dyDescent="0.2">
      <c r="B2005" s="1083">
        <f>HE_Insurance_Risk!$A$1</f>
        <v>37</v>
      </c>
      <c r="C2005" s="1084" t="str">
        <f>HE_Insurance_Risk!$B$1</f>
        <v>Versicherungsrisiko</v>
      </c>
      <c r="D2005" s="1091" t="str">
        <f>HE_Insurance_Risk!$C$110</f>
        <v>Passive Rückversicherung KVG</v>
      </c>
      <c r="E2005" s="1494" t="str">
        <f>HE_Insurance_Risk!$C$123</f>
        <v>P Priorität   (Mio. CHF)</v>
      </c>
      <c r="F2005" s="1494" t="str">
        <f>HE_Insurance_Risk!$N$97</f>
        <v>KVG-Taggeld Kollektiv</v>
      </c>
      <c r="G2005" s="1494"/>
      <c r="H2005" s="1539" t="str">
        <f>IF(ISNUMBER(HE_Insurance_Risk!$N$123),HE_Insurance_Risk!$N$123,"")</f>
        <v/>
      </c>
      <c r="U2005" s="1027"/>
      <c r="V2005" s="1027"/>
      <c r="W2005" s="1027"/>
    </row>
    <row r="2006" spans="2:23" ht="15" x14ac:dyDescent="0.2">
      <c r="B2006" s="1083">
        <f>HE_Insurance_Risk!$A$1</f>
        <v>37</v>
      </c>
      <c r="C2006" s="1084" t="str">
        <f>HE_Insurance_Risk!$B$1</f>
        <v>Versicherungsrisiko</v>
      </c>
      <c r="D2006" s="1091" t="str">
        <f>HE_Insurance_Risk!$C$110</f>
        <v>Passive Rückversicherung KVG</v>
      </c>
      <c r="E2006" s="1494" t="str">
        <f>HE_Insurance_Risk!$C$123</f>
        <v>P Priorität   (Mio. CHF)</v>
      </c>
      <c r="F2006" s="1494" t="str">
        <f>HE_Insurance_Risk!$R$97</f>
        <v>OKP CH</v>
      </c>
      <c r="G2006" s="1494"/>
      <c r="H2006" s="1539" t="str">
        <f>IF(ISNUMBER(HE_Insurance_Risk!$R$123),HE_Insurance_Risk!$R$123,"")</f>
        <v/>
      </c>
      <c r="U2006" s="1027"/>
      <c r="V2006" s="1027"/>
      <c r="W2006" s="1027"/>
    </row>
    <row r="2007" spans="2:23" ht="15" x14ac:dyDescent="0.2">
      <c r="B2007" s="1083">
        <f>HE_Insurance_Risk!$A$1</f>
        <v>37</v>
      </c>
      <c r="C2007" s="1084" t="str">
        <f>HE_Insurance_Risk!$B$1</f>
        <v>Versicherungsrisiko</v>
      </c>
      <c r="D2007" s="1091" t="str">
        <f>HE_Insurance_Risk!$C$110</f>
        <v>Passive Rückversicherung KVG</v>
      </c>
      <c r="E2007" s="1494" t="str">
        <f>HE_Insurance_Risk!$C$123</f>
        <v>P Priorität   (Mio. CHF)</v>
      </c>
      <c r="F2007" s="1494" t="str">
        <f>HE_Insurance_Risk!$T$97</f>
        <v>Aktive Rück-versicherung KVG</v>
      </c>
      <c r="G2007" s="1494"/>
      <c r="H2007" s="1539" t="str">
        <f>IF(ISNUMBER(HE_Insurance_Risk!$T$123),HE_Insurance_Risk!$T$123,"")</f>
        <v/>
      </c>
      <c r="U2007" s="1027"/>
      <c r="V2007" s="1027"/>
      <c r="W2007" s="1027"/>
    </row>
    <row r="2008" spans="2:23" x14ac:dyDescent="0.2">
      <c r="B2008" s="1083">
        <f>HE_Insurance_Risk!$A$1</f>
        <v>37</v>
      </c>
      <c r="C2008" s="1084" t="str">
        <f>HE_Insurance_Risk!$B$1</f>
        <v>Versicherungsrisiko</v>
      </c>
      <c r="D2008" s="1091" t="str">
        <f>HE_Insurance_Risk!$C$116</f>
        <v>Berechnung via Weibull-Fit</v>
      </c>
      <c r="E2008" s="1488" t="str">
        <f>HE_Insurance_Risk!$C$118</f>
        <v>a=</v>
      </c>
      <c r="F2008" s="1494"/>
      <c r="G2008" s="1494"/>
      <c r="H2008" s="1540">
        <f>HE_Insurance_Risk!$F$118</f>
        <v>4.6699999999999997E-3</v>
      </c>
      <c r="U2008" s="1027"/>
      <c r="V2008" s="1027"/>
      <c r="W2008" s="1027"/>
    </row>
    <row r="2009" spans="2:23" ht="13.5" thickBot="1" x14ac:dyDescent="0.25">
      <c r="B2009" s="1085">
        <f>HE_Insurance_Risk!$A$1</f>
        <v>37</v>
      </c>
      <c r="C2009" s="1086" t="str">
        <f>HE_Insurance_Risk!$B$1</f>
        <v>Versicherungsrisiko</v>
      </c>
      <c r="D2009" s="1092" t="str">
        <f>HE_Insurance_Risk!$C$116</f>
        <v>Berechnung via Weibull-Fit</v>
      </c>
      <c r="E2009" s="1499" t="str">
        <f>HE_Insurance_Risk!$C$119</f>
        <v>b=</v>
      </c>
      <c r="F2009" s="1500"/>
      <c r="G2009" s="1500"/>
      <c r="H2009" s="1541">
        <f>HE_Insurance_Risk!$F$119</f>
        <v>0.55300000000000005</v>
      </c>
      <c r="U2009" s="1027"/>
      <c r="V2009" s="1027"/>
      <c r="W2009" s="1027"/>
    </row>
    <row r="2010" spans="2:23" ht="13.5" thickBot="1" x14ac:dyDescent="0.25">
      <c r="B2010" s="1087"/>
      <c r="C2010" s="1087"/>
      <c r="D2010" s="1075"/>
      <c r="E2010" s="1483"/>
      <c r="F2010" s="1484"/>
      <c r="G2010" s="1484"/>
      <c r="H2010" s="1035"/>
      <c r="U2010" s="1027"/>
      <c r="V2010" s="1027"/>
      <c r="W2010" s="1027"/>
    </row>
    <row r="2011" spans="2:23" ht="25.5" x14ac:dyDescent="0.2">
      <c r="B2011" s="1080">
        <f>HE_ExpctdRes!$A$1</f>
        <v>38</v>
      </c>
      <c r="C2011" s="1081" t="str">
        <f>HE_ExpctdRes!$B$1</f>
        <v>Erwartete Finanzmarktrendite</v>
      </c>
      <c r="D2011" s="1082" t="str">
        <f>HE_ExpctdRes!$C10</f>
        <v>Immobilien</v>
      </c>
      <c r="E2011" s="1486" t="str">
        <f>HE_ExpctdRes!$D$8</f>
        <v>Renditesatz</v>
      </c>
      <c r="F2011" s="1492"/>
      <c r="G2011" s="1492"/>
      <c r="H2011" s="1542">
        <f>HE_ExpctdRes!$D10</f>
        <v>0.03</v>
      </c>
      <c r="U2011" s="1027"/>
      <c r="V2011" s="1027"/>
      <c r="W2011" s="1027"/>
    </row>
    <row r="2012" spans="2:23" ht="25.5" x14ac:dyDescent="0.2">
      <c r="B2012" s="1083">
        <f>HE_ExpctdRes!$A$1</f>
        <v>38</v>
      </c>
      <c r="C2012" s="1084" t="str">
        <f>HE_ExpctdRes!$B$1</f>
        <v>Erwartete Finanzmarktrendite</v>
      </c>
      <c r="D2012" s="1091" t="str">
        <f>HE_ExpctdRes!$C11</f>
        <v>Obligationen</v>
      </c>
      <c r="E2012" s="1488" t="str">
        <f>HE_ExpctdRes!$D$8</f>
        <v>Renditesatz</v>
      </c>
      <c r="F2012" s="1494"/>
      <c r="G2012" s="1494"/>
      <c r="H2012" s="1507">
        <f>HE_ExpctdRes!$D11</f>
        <v>6.4999999999999997E-3</v>
      </c>
      <c r="U2012" s="1027"/>
      <c r="V2012" s="1027"/>
      <c r="W2012" s="1027"/>
    </row>
    <row r="2013" spans="2:23" ht="25.5" x14ac:dyDescent="0.2">
      <c r="B2013" s="1083">
        <f>HE_ExpctdRes!$A$1</f>
        <v>38</v>
      </c>
      <c r="C2013" s="1084" t="str">
        <f>HE_ExpctdRes!$B$1</f>
        <v>Erwartete Finanzmarktrendite</v>
      </c>
      <c r="D2013" s="1091" t="str">
        <f>HE_ExpctdRes!$C12</f>
        <v>Aktien</v>
      </c>
      <c r="E2013" s="1488" t="str">
        <f>HE_ExpctdRes!$D$8</f>
        <v>Renditesatz</v>
      </c>
      <c r="F2013" s="1494"/>
      <c r="G2013" s="1494"/>
      <c r="H2013" s="1507">
        <f>HE_ExpctdRes!$D12</f>
        <v>0.04</v>
      </c>
      <c r="U2013" s="1027"/>
      <c r="V2013" s="1027"/>
      <c r="W2013" s="1027"/>
    </row>
    <row r="2014" spans="2:23" ht="25.5" x14ac:dyDescent="0.2">
      <c r="B2014" s="1083">
        <f>HE_ExpctdRes!$A$1</f>
        <v>38</v>
      </c>
      <c r="C2014" s="1084" t="str">
        <f>HE_ExpctdRes!$B$1</f>
        <v>Erwartete Finanzmarktrendite</v>
      </c>
      <c r="D2014" s="1091" t="str">
        <f>HE_ExpctdRes!$C13</f>
        <v>Anlagefonds</v>
      </c>
      <c r="E2014" s="1488" t="str">
        <f>HE_ExpctdRes!$D$8</f>
        <v>Renditesatz</v>
      </c>
      <c r="F2014" s="1494"/>
      <c r="G2014" s="1494"/>
      <c r="H2014" s="1507">
        <f>HE_ExpctdRes!$D13</f>
        <v>0.02</v>
      </c>
      <c r="U2014" s="1027"/>
      <c r="V2014" s="1027"/>
      <c r="W2014" s="1027"/>
    </row>
    <row r="2015" spans="2:23" ht="25.5" x14ac:dyDescent="0.2">
      <c r="B2015" s="1083">
        <f>HE_ExpctdRes!$A$1</f>
        <v>38</v>
      </c>
      <c r="C2015" s="1084" t="str">
        <f>HE_ExpctdRes!$B$1</f>
        <v>Erwartete Finanzmarktrendite</v>
      </c>
      <c r="D2015" s="1091" t="str">
        <f>HE_ExpctdRes!$C14</f>
        <v>andere Anlagen</v>
      </c>
      <c r="E2015" s="1488" t="str">
        <f>HE_ExpctdRes!$D$8</f>
        <v>Renditesatz</v>
      </c>
      <c r="F2015" s="1494"/>
      <c r="G2015" s="1494"/>
      <c r="H2015" s="1507">
        <f>HE_ExpctdRes!$D14</f>
        <v>0</v>
      </c>
      <c r="U2015" s="1027"/>
      <c r="V2015" s="1027"/>
      <c r="W2015" s="1027"/>
    </row>
    <row r="2016" spans="2:23" ht="25.5" x14ac:dyDescent="0.2">
      <c r="B2016" s="1083">
        <f>HE_ExpctdRes!$A$1</f>
        <v>38</v>
      </c>
      <c r="C2016" s="1084" t="str">
        <f>HE_ExpctdRes!$B$1</f>
        <v>Erwartete Finanzmarktrendite</v>
      </c>
      <c r="D2016" s="1091" t="str">
        <f>HE_ExpctdRes!$C15</f>
        <v>andere Aktiven</v>
      </c>
      <c r="E2016" s="1488" t="str">
        <f>HE_ExpctdRes!$D$8</f>
        <v>Renditesatz</v>
      </c>
      <c r="F2016" s="1494"/>
      <c r="G2016" s="1494"/>
      <c r="H2016" s="1507">
        <f>HE_ExpctdRes!$D15</f>
        <v>0</v>
      </c>
      <c r="U2016" s="1027"/>
      <c r="V2016" s="1027"/>
      <c r="W2016" s="1027"/>
    </row>
    <row r="2017" spans="2:23" ht="26.25" thickBot="1" x14ac:dyDescent="0.25">
      <c r="B2017" s="1085">
        <f>HE_ExpctdRes!$A$1</f>
        <v>38</v>
      </c>
      <c r="C2017" s="1086" t="str">
        <f>HE_ExpctdRes!$B$1</f>
        <v>Erwartete Finanzmarktrendite</v>
      </c>
      <c r="D2017" s="1092" t="str">
        <f>HE_ExpctdRes!$C$17</f>
        <v>Total (den risikolosen Zinssatz übersteigend)</v>
      </c>
      <c r="E2017" s="1499" t="str">
        <f>HE_ExpctdRes!$F$8</f>
        <v xml:space="preserve">Rendite </v>
      </c>
      <c r="F2017" s="1500"/>
      <c r="G2017" s="1500"/>
      <c r="H2017" s="1543">
        <f>HE_ExpctdRes!$F$17</f>
        <v>0</v>
      </c>
      <c r="U2017" s="1027"/>
      <c r="V2017" s="1027"/>
      <c r="W2017" s="1027"/>
    </row>
    <row r="2018" spans="2:23" ht="13.5" thickBot="1" x14ac:dyDescent="0.25">
      <c r="B2018" s="1087"/>
      <c r="C2018" s="1087"/>
      <c r="D2018" s="1075"/>
      <c r="E2018" s="1483"/>
      <c r="F2018" s="1484"/>
      <c r="G2018" s="1484"/>
      <c r="H2018" s="1035"/>
      <c r="U2018" s="1027"/>
      <c r="V2018" s="1027"/>
      <c r="W2018" s="1027"/>
    </row>
    <row r="2019" spans="2:23" ht="25.5" x14ac:dyDescent="0.2">
      <c r="B2019" s="1080">
        <f>HE_MindesthöheReserven!$A$1</f>
        <v>39</v>
      </c>
      <c r="C2019" s="1081" t="str">
        <f>HE_MindesthöheReserven!$B$1</f>
        <v>Berechnung der Mindesthöhe der Reserven</v>
      </c>
      <c r="D2019" s="1082" t="str">
        <f>HE_MindesthöheReserven!$G$7</f>
        <v>zusätzliche Information</v>
      </c>
      <c r="E2019" s="1492" t="str">
        <f>HE_MindesthöheReserven!D9</f>
        <v>Kollektiv VVG</v>
      </c>
      <c r="F2019" s="1492"/>
      <c r="G2019" s="1492"/>
      <c r="H2019" s="1138" t="str">
        <f>HE_MindesthöheReserven!G9</f>
        <v/>
      </c>
      <c r="U2019" s="1027"/>
      <c r="V2019" s="1027"/>
      <c r="W2019" s="1027"/>
    </row>
    <row r="2020" spans="2:23" ht="25.5" x14ac:dyDescent="0.2">
      <c r="B2020" s="1083">
        <f>HE_MindesthöheReserven!$A$1</f>
        <v>39</v>
      </c>
      <c r="C2020" s="1084" t="str">
        <f>HE_MindesthöheReserven!$B$1</f>
        <v>Berechnung der Mindesthöhe der Reserven</v>
      </c>
      <c r="D2020" s="1091" t="str">
        <f>HE_MindesthöheReserven!$G$7</f>
        <v>zusätzliche Information</v>
      </c>
      <c r="E2020" s="1494" t="str">
        <f>HE_MindesthöheReserven!D10</f>
        <v>Einzel VVG</v>
      </c>
      <c r="F2020" s="1494"/>
      <c r="G2020" s="1494"/>
      <c r="H2020" s="1137" t="str">
        <f>HE_MindesthöheReserven!G10</f>
        <v/>
      </c>
      <c r="U2020" s="1027"/>
      <c r="V2020" s="1027"/>
      <c r="W2020" s="1027"/>
    </row>
    <row r="2021" spans="2:23" ht="25.5" x14ac:dyDescent="0.2">
      <c r="B2021" s="1083">
        <f>HE_MindesthöheReserven!$A$1</f>
        <v>39</v>
      </c>
      <c r="C2021" s="1084" t="str">
        <f>HE_MindesthöheReserven!$B$1</f>
        <v>Berechnung der Mindesthöhe der Reserven</v>
      </c>
      <c r="D2021" s="1091" t="str">
        <f>HE_MindesthöheReserven!$G$7</f>
        <v>zusätzliche Information</v>
      </c>
      <c r="E2021" s="1494" t="str">
        <f>HE_MindesthöheReserven!D11</f>
        <v>UVG</v>
      </c>
      <c r="F2021" s="1494"/>
      <c r="G2021" s="1494"/>
      <c r="H2021" s="1137" t="str">
        <f>HE_MindesthöheReserven!G11</f>
        <v/>
      </c>
      <c r="U2021" s="1027"/>
      <c r="V2021" s="1027"/>
      <c r="W2021" s="1027"/>
    </row>
    <row r="2022" spans="2:23" ht="25.5" x14ac:dyDescent="0.2">
      <c r="B2022" s="1083">
        <f>HE_MindesthöheReserven!$A$1</f>
        <v>39</v>
      </c>
      <c r="C2022" s="1084" t="str">
        <f>HE_MindesthöheReserven!$B$1</f>
        <v>Berechnung der Mindesthöhe der Reserven</v>
      </c>
      <c r="D2022" s="1091" t="str">
        <f>HE_MindesthöheReserven!$G$7</f>
        <v>zusätzliche Information</v>
      </c>
      <c r="E2022" s="1494" t="str">
        <f>HE_MindesthöheReserven!D12</f>
        <v>KVG-Taggeld Einzel</v>
      </c>
      <c r="F2022" s="1494"/>
      <c r="G2022" s="1494"/>
      <c r="H2022" s="1137" t="str">
        <f>HE_MindesthöheReserven!G12</f>
        <v/>
      </c>
      <c r="U2022" s="1027"/>
      <c r="V2022" s="1027"/>
      <c r="W2022" s="1027"/>
    </row>
    <row r="2023" spans="2:23" ht="25.5" x14ac:dyDescent="0.2">
      <c r="B2023" s="1083">
        <f>HE_MindesthöheReserven!$A$1</f>
        <v>39</v>
      </c>
      <c r="C2023" s="1084" t="str">
        <f>HE_MindesthöheReserven!$B$1</f>
        <v>Berechnung der Mindesthöhe der Reserven</v>
      </c>
      <c r="D2023" s="1091" t="str">
        <f>HE_MindesthöheReserven!$G$7</f>
        <v>zusätzliche Information</v>
      </c>
      <c r="E2023" s="1494" t="str">
        <f>HE_MindesthöheReserven!D13</f>
        <v>KVG-Taggeld Kollektiv</v>
      </c>
      <c r="F2023" s="1494"/>
      <c r="G2023" s="1494"/>
      <c r="H2023" s="1137" t="str">
        <f>HE_MindesthöheReserven!G13</f>
        <v/>
      </c>
      <c r="U2023" s="1027"/>
      <c r="V2023" s="1027"/>
      <c r="W2023" s="1027"/>
    </row>
    <row r="2024" spans="2:23" ht="25.5" x14ac:dyDescent="0.2">
      <c r="B2024" s="1083">
        <f>HE_MindesthöheReserven!$A$1</f>
        <v>39</v>
      </c>
      <c r="C2024" s="1084" t="str">
        <f>HE_MindesthöheReserven!$B$1</f>
        <v>Berechnung der Mindesthöhe der Reserven</v>
      </c>
      <c r="D2024" s="1091" t="str">
        <f>HE_MindesthöheReserven!$G$7</f>
        <v>zusätzliche Information</v>
      </c>
      <c r="E2024" s="1494" t="str">
        <f>HE_MindesthöheReserven!D14</f>
        <v>OKP EU</v>
      </c>
      <c r="F2024" s="1494"/>
      <c r="G2024" s="1494"/>
      <c r="H2024" s="1137" t="str">
        <f>HE_MindesthöheReserven!G14</f>
        <v/>
      </c>
      <c r="U2024" s="1027"/>
      <c r="V2024" s="1027"/>
      <c r="W2024" s="1027"/>
    </row>
    <row r="2025" spans="2:23" ht="25.5" x14ac:dyDescent="0.2">
      <c r="B2025" s="1083">
        <f>HE_MindesthöheReserven!$A$1</f>
        <v>39</v>
      </c>
      <c r="C2025" s="1084" t="str">
        <f>HE_MindesthöheReserven!$B$1</f>
        <v>Berechnung der Mindesthöhe der Reserven</v>
      </c>
      <c r="D2025" s="1091" t="str">
        <f>HE_MindesthöheReserven!$G$7</f>
        <v>zusätzliche Information</v>
      </c>
      <c r="E2025" s="1494" t="str">
        <f>HE_MindesthöheReserven!D16</f>
        <v>Aktive Rückversicherung KVG</v>
      </c>
      <c r="F2025" s="1494"/>
      <c r="G2025" s="1494"/>
      <c r="H2025" s="1137" t="str">
        <f>HE_MindesthöheReserven!G16</f>
        <v/>
      </c>
      <c r="U2025" s="1027"/>
      <c r="V2025" s="1027"/>
      <c r="W2025" s="1027"/>
    </row>
    <row r="2026" spans="2:23" ht="25.5" x14ac:dyDescent="0.2">
      <c r="B2026" s="1083">
        <f>HE_MindesthöheReserven!$A$1</f>
        <v>39</v>
      </c>
      <c r="C2026" s="1084" t="str">
        <f>HE_MindesthöheReserven!$B$1</f>
        <v>Berechnung der Mindesthöhe der Reserven</v>
      </c>
      <c r="D2026" s="1091" t="str">
        <f>HE_MindesthöheReserven!$G$7</f>
        <v>zusätzliche Information</v>
      </c>
      <c r="E2026" s="1494" t="str">
        <f>HE_MindesthöheReserven!D17</f>
        <v>Erwartete Versicherungsrendite</v>
      </c>
      <c r="F2026" s="1494"/>
      <c r="G2026" s="1494"/>
      <c r="H2026" s="1139">
        <f>HE_MindesthöheReserven!G17</f>
        <v>0</v>
      </c>
      <c r="U2026" s="1027"/>
      <c r="V2026" s="1027"/>
      <c r="W2026" s="1027"/>
    </row>
    <row r="2027" spans="2:23" x14ac:dyDescent="0.2">
      <c r="B2027" s="1083"/>
      <c r="C2027" s="1084"/>
      <c r="D2027" s="1091"/>
      <c r="E2027" s="1494"/>
      <c r="F2027" s="1494"/>
      <c r="G2027" s="1494"/>
      <c r="H2027" s="1137"/>
      <c r="U2027" s="1027"/>
      <c r="V2027" s="1027"/>
      <c r="W2027" s="1027"/>
    </row>
    <row r="2028" spans="2:23" ht="25.5" x14ac:dyDescent="0.2">
      <c r="B2028" s="1083">
        <f>HE_MindesthöheReserven!$A$1</f>
        <v>39</v>
      </c>
      <c r="C2028" s="1084" t="str">
        <f>HE_MindesthöheReserven!$B$1</f>
        <v>Berechnung der Mindesthöhe der Reserven</v>
      </c>
      <c r="D2028" s="1091" t="str">
        <f>HE_MindesthöheReserven!$G$7</f>
        <v>zusätzliche Information</v>
      </c>
      <c r="E2028" s="1494" t="str">
        <f>HE_MindesthöheReserven!D19</f>
        <v>Kollektiv VVG</v>
      </c>
      <c r="F2028" s="1494"/>
      <c r="G2028" s="1494"/>
      <c r="H2028" s="1137">
        <f>HE_MindesthöheReserven!G19</f>
        <v>0.1</v>
      </c>
      <c r="U2028" s="1027"/>
      <c r="V2028" s="1027"/>
      <c r="W2028" s="1027"/>
    </row>
    <row r="2029" spans="2:23" ht="25.5" x14ac:dyDescent="0.2">
      <c r="B2029" s="1083">
        <f>HE_MindesthöheReserven!$A$1</f>
        <v>39</v>
      </c>
      <c r="C2029" s="1084" t="str">
        <f>HE_MindesthöheReserven!$B$1</f>
        <v>Berechnung der Mindesthöhe der Reserven</v>
      </c>
      <c r="D2029" s="1091" t="str">
        <f>HE_MindesthöheReserven!$G$7</f>
        <v>zusätzliche Information</v>
      </c>
      <c r="E2029" s="1494" t="str">
        <f>HE_MindesthöheReserven!D20</f>
        <v>Einzel VVG</v>
      </c>
      <c r="F2029" s="1494"/>
      <c r="G2029" s="1494"/>
      <c r="H2029" s="1137">
        <f>HE_MindesthöheReserven!G20</f>
        <v>0.1</v>
      </c>
      <c r="U2029" s="1027"/>
      <c r="V2029" s="1027"/>
      <c r="W2029" s="1027"/>
    </row>
    <row r="2030" spans="2:23" ht="25.5" x14ac:dyDescent="0.2">
      <c r="B2030" s="1083">
        <f>HE_MindesthöheReserven!$A$1</f>
        <v>39</v>
      </c>
      <c r="C2030" s="1084" t="str">
        <f>HE_MindesthöheReserven!$B$1</f>
        <v>Berechnung der Mindesthöhe der Reserven</v>
      </c>
      <c r="D2030" s="1091" t="str">
        <f>HE_MindesthöheReserven!$G$7</f>
        <v>zusätzliche Information</v>
      </c>
      <c r="E2030" s="1494" t="str">
        <f>HE_MindesthöheReserven!D21</f>
        <v>UVG</v>
      </c>
      <c r="F2030" s="1494"/>
      <c r="G2030" s="1494"/>
      <c r="H2030" s="1137">
        <f>HE_MindesthöheReserven!G21</f>
        <v>7.0710678118654766E-2</v>
      </c>
      <c r="U2030" s="1027"/>
      <c r="V2030" s="1027"/>
      <c r="W2030" s="1027"/>
    </row>
    <row r="2031" spans="2:23" ht="25.5" x14ac:dyDescent="0.2">
      <c r="B2031" s="1083">
        <f>HE_MindesthöheReserven!$A$1</f>
        <v>39</v>
      </c>
      <c r="C2031" s="1084" t="str">
        <f>HE_MindesthöheReserven!$B$1</f>
        <v>Berechnung der Mindesthöhe der Reserven</v>
      </c>
      <c r="D2031" s="1091" t="str">
        <f>HE_MindesthöheReserven!$G$7</f>
        <v>zusätzliche Information</v>
      </c>
      <c r="E2031" s="1494" t="str">
        <f>HE_MindesthöheReserven!D22</f>
        <v>KVG-Taggeld Einzel</v>
      </c>
      <c r="F2031" s="1494"/>
      <c r="G2031" s="1494"/>
      <c r="H2031" s="1137">
        <f>HE_MindesthöheReserven!G22</f>
        <v>0.1</v>
      </c>
      <c r="U2031" s="1027"/>
      <c r="V2031" s="1027"/>
      <c r="W2031" s="1027"/>
    </row>
    <row r="2032" spans="2:23" ht="25.5" x14ac:dyDescent="0.2">
      <c r="B2032" s="1083">
        <f>HE_MindesthöheReserven!$A$1</f>
        <v>39</v>
      </c>
      <c r="C2032" s="1084" t="str">
        <f>HE_MindesthöheReserven!$B$1</f>
        <v>Berechnung der Mindesthöhe der Reserven</v>
      </c>
      <c r="D2032" s="1091" t="str">
        <f>HE_MindesthöheReserven!$G$7</f>
        <v>zusätzliche Information</v>
      </c>
      <c r="E2032" s="1494" t="str">
        <f>HE_MindesthöheReserven!D23</f>
        <v>KVG-Taggeld Kollektiv</v>
      </c>
      <c r="F2032" s="1494"/>
      <c r="G2032" s="1494"/>
      <c r="H2032" s="1137">
        <f>HE_MindesthöheReserven!G23</f>
        <v>0.1</v>
      </c>
      <c r="U2032" s="1027"/>
      <c r="V2032" s="1027"/>
      <c r="W2032" s="1027"/>
    </row>
    <row r="2033" spans="2:23" ht="25.5" x14ac:dyDescent="0.2">
      <c r="B2033" s="1083">
        <f>HE_MindesthöheReserven!$A$1</f>
        <v>39</v>
      </c>
      <c r="C2033" s="1084" t="str">
        <f>HE_MindesthöheReserven!$B$1</f>
        <v>Berechnung der Mindesthöhe der Reserven</v>
      </c>
      <c r="D2033" s="1091" t="str">
        <f>HE_MindesthöheReserven!$G$7</f>
        <v>zusätzliche Information</v>
      </c>
      <c r="E2033" s="1494" t="str">
        <f>HE_MindesthöheReserven!D24</f>
        <v>OKP EU</v>
      </c>
      <c r="F2033" s="1494"/>
      <c r="G2033" s="1494"/>
      <c r="H2033" s="1137">
        <f>HE_MindesthöheReserven!G24</f>
        <v>0.5</v>
      </c>
      <c r="U2033" s="1027"/>
      <c r="V2033" s="1027"/>
      <c r="W2033" s="1027"/>
    </row>
    <row r="2034" spans="2:23" ht="25.5" x14ac:dyDescent="0.2">
      <c r="B2034" s="1083">
        <f>HE_MindesthöheReserven!$A$1</f>
        <v>39</v>
      </c>
      <c r="C2034" s="1084" t="str">
        <f>HE_MindesthöheReserven!$B$1</f>
        <v>Berechnung der Mindesthöhe der Reserven</v>
      </c>
      <c r="D2034" s="1091" t="str">
        <f>HE_MindesthöheReserven!$G$7</f>
        <v>zusätzliche Information</v>
      </c>
      <c r="E2034" s="1494" t="str">
        <f>HE_MindesthöheReserven!D26</f>
        <v>Aktive Rückversicherung KVG</v>
      </c>
      <c r="F2034" s="1494"/>
      <c r="G2034" s="1494"/>
      <c r="H2034" s="1137">
        <f>HE_MindesthöheReserven!G26</f>
        <v>0.2</v>
      </c>
      <c r="U2034" s="1027"/>
      <c r="V2034" s="1027"/>
      <c r="W2034" s="1027"/>
    </row>
    <row r="2035" spans="2:23" x14ac:dyDescent="0.2">
      <c r="B2035" s="1083"/>
      <c r="C2035" s="1084"/>
      <c r="D2035" s="1091"/>
      <c r="E2035" s="1494"/>
      <c r="F2035" s="1494"/>
      <c r="G2035" s="1494"/>
      <c r="H2035" s="1137"/>
      <c r="U2035" s="1027"/>
      <c r="V2035" s="1027"/>
      <c r="W2035" s="1027"/>
    </row>
    <row r="2036" spans="2:23" ht="25.5" x14ac:dyDescent="0.2">
      <c r="B2036" s="1083">
        <f>HE_MindesthöheReserven!$A$1</f>
        <v>39</v>
      </c>
      <c r="C2036" s="1084" t="str">
        <f>HE_MindesthöheReserven!$B$1</f>
        <v>Berechnung der Mindesthöhe der Reserven</v>
      </c>
      <c r="D2036" s="1091" t="str">
        <f>HE_MindesthöheReserven!$H$7</f>
        <v>Erwartete Rendite</v>
      </c>
      <c r="E2036" s="1494" t="str">
        <f>HE_MindesthöheReserven!D9</f>
        <v>Kollektiv VVG</v>
      </c>
      <c r="F2036" s="1494"/>
      <c r="G2036" s="1494"/>
      <c r="H2036" s="1140">
        <f>HE_MindesthöheReserven!H9</f>
        <v>0</v>
      </c>
      <c r="U2036" s="1027"/>
      <c r="V2036" s="1027"/>
      <c r="W2036" s="1027"/>
    </row>
    <row r="2037" spans="2:23" ht="25.5" x14ac:dyDescent="0.2">
      <c r="B2037" s="1083">
        <f>HE_MindesthöheReserven!$A$1</f>
        <v>39</v>
      </c>
      <c r="C2037" s="1084" t="str">
        <f>HE_MindesthöheReserven!$B$1</f>
        <v>Berechnung der Mindesthöhe der Reserven</v>
      </c>
      <c r="D2037" s="1091" t="str">
        <f>HE_MindesthöheReserven!$H$7</f>
        <v>Erwartete Rendite</v>
      </c>
      <c r="E2037" s="1494" t="str">
        <f>HE_MindesthöheReserven!D10</f>
        <v>Einzel VVG</v>
      </c>
      <c r="F2037" s="1494"/>
      <c r="G2037" s="1494"/>
      <c r="H2037" s="1140">
        <f>HE_MindesthöheReserven!H10</f>
        <v>0</v>
      </c>
      <c r="U2037" s="1027"/>
      <c r="V2037" s="1027"/>
      <c r="W2037" s="1027"/>
    </row>
    <row r="2038" spans="2:23" ht="25.5" x14ac:dyDescent="0.2">
      <c r="B2038" s="1083">
        <f>HE_MindesthöheReserven!$A$1</f>
        <v>39</v>
      </c>
      <c r="C2038" s="1084" t="str">
        <f>HE_MindesthöheReserven!$B$1</f>
        <v>Berechnung der Mindesthöhe der Reserven</v>
      </c>
      <c r="D2038" s="1091" t="str">
        <f>HE_MindesthöheReserven!$H$7</f>
        <v>Erwartete Rendite</v>
      </c>
      <c r="E2038" s="1494" t="str">
        <f>HE_MindesthöheReserven!D11</f>
        <v>UVG</v>
      </c>
      <c r="F2038" s="1494"/>
      <c r="G2038" s="1494"/>
      <c r="H2038" s="1140">
        <f>HE_MindesthöheReserven!H11</f>
        <v>0</v>
      </c>
      <c r="U2038" s="1027"/>
      <c r="V2038" s="1027"/>
      <c r="W2038" s="1027"/>
    </row>
    <row r="2039" spans="2:23" ht="25.5" x14ac:dyDescent="0.2">
      <c r="B2039" s="1083">
        <f>HE_MindesthöheReserven!$A$1</f>
        <v>39</v>
      </c>
      <c r="C2039" s="1084" t="str">
        <f>HE_MindesthöheReserven!$B$1</f>
        <v>Berechnung der Mindesthöhe der Reserven</v>
      </c>
      <c r="D2039" s="1091" t="str">
        <f>HE_MindesthöheReserven!$H$7</f>
        <v>Erwartete Rendite</v>
      </c>
      <c r="E2039" s="1494" t="str">
        <f>HE_MindesthöheReserven!D12</f>
        <v>KVG-Taggeld Einzel</v>
      </c>
      <c r="F2039" s="1494"/>
      <c r="G2039" s="1494"/>
      <c r="H2039" s="1140">
        <f>HE_MindesthöheReserven!H12</f>
        <v>0</v>
      </c>
      <c r="U2039" s="1027"/>
      <c r="V2039" s="1027"/>
      <c r="W2039" s="1027"/>
    </row>
    <row r="2040" spans="2:23" ht="25.5" x14ac:dyDescent="0.2">
      <c r="B2040" s="1083">
        <f>HE_MindesthöheReserven!$A$1</f>
        <v>39</v>
      </c>
      <c r="C2040" s="1084" t="str">
        <f>HE_MindesthöheReserven!$B$1</f>
        <v>Berechnung der Mindesthöhe der Reserven</v>
      </c>
      <c r="D2040" s="1091" t="str">
        <f>HE_MindesthöheReserven!$H$7</f>
        <v>Erwartete Rendite</v>
      </c>
      <c r="E2040" s="1494" t="str">
        <f>HE_MindesthöheReserven!D13</f>
        <v>KVG-Taggeld Kollektiv</v>
      </c>
      <c r="F2040" s="1494"/>
      <c r="G2040" s="1494"/>
      <c r="H2040" s="1140">
        <f>HE_MindesthöheReserven!H13</f>
        <v>0</v>
      </c>
      <c r="U2040" s="1027"/>
      <c r="V2040" s="1027"/>
      <c r="W2040" s="1027"/>
    </row>
    <row r="2041" spans="2:23" ht="25.5" x14ac:dyDescent="0.2">
      <c r="B2041" s="1083">
        <f>HE_MindesthöheReserven!$A$1</f>
        <v>39</v>
      </c>
      <c r="C2041" s="1084" t="str">
        <f>HE_MindesthöheReserven!$B$1</f>
        <v>Berechnung der Mindesthöhe der Reserven</v>
      </c>
      <c r="D2041" s="1091" t="str">
        <f>HE_MindesthöheReserven!$H$7</f>
        <v>Erwartete Rendite</v>
      </c>
      <c r="E2041" s="1494" t="str">
        <f>HE_MindesthöheReserven!D14</f>
        <v>OKP EU</v>
      </c>
      <c r="F2041" s="1494"/>
      <c r="G2041" s="1494"/>
      <c r="H2041" s="1140">
        <f>HE_MindesthöheReserven!H14</f>
        <v>0</v>
      </c>
      <c r="U2041" s="1027"/>
      <c r="V2041" s="1027"/>
      <c r="W2041" s="1027"/>
    </row>
    <row r="2042" spans="2:23" ht="25.5" x14ac:dyDescent="0.2">
      <c r="B2042" s="1083">
        <f>HE_MindesthöheReserven!$A$1</f>
        <v>39</v>
      </c>
      <c r="C2042" s="1084" t="str">
        <f>HE_MindesthöheReserven!$B$1</f>
        <v>Berechnung der Mindesthöhe der Reserven</v>
      </c>
      <c r="D2042" s="1091" t="str">
        <f>HE_MindesthöheReserven!$H$7</f>
        <v>Erwartete Rendite</v>
      </c>
      <c r="E2042" s="1494" t="str">
        <f>HE_MindesthöheReserven!D16</f>
        <v>Aktive Rückversicherung KVG</v>
      </c>
      <c r="F2042" s="1494"/>
      <c r="G2042" s="1494"/>
      <c r="H2042" s="1140">
        <f>HE_MindesthöheReserven!H16</f>
        <v>0</v>
      </c>
      <c r="U2042" s="1027"/>
      <c r="V2042" s="1027"/>
      <c r="W2042" s="1027"/>
    </row>
    <row r="2043" spans="2:23" ht="25.5" x14ac:dyDescent="0.2">
      <c r="B2043" s="1083">
        <f>HE_MindesthöheReserven!$A$1</f>
        <v>39</v>
      </c>
      <c r="C2043" s="1084" t="str">
        <f>HE_MindesthöheReserven!$B$1</f>
        <v>Berechnung der Mindesthöhe der Reserven</v>
      </c>
      <c r="D2043" s="1091" t="str">
        <f>HE_MindesthöheReserven!$H$7</f>
        <v>Erwartete Rendite</v>
      </c>
      <c r="E2043" s="1494" t="str">
        <f>HE_MindesthöheReserven!D17</f>
        <v>Erwartete Versicherungsrendite</v>
      </c>
      <c r="F2043" s="1494"/>
      <c r="G2043" s="1494"/>
      <c r="H2043" s="1141">
        <f>HE_MindesthöheReserven!H17</f>
        <v>0</v>
      </c>
      <c r="U2043" s="1027"/>
      <c r="V2043" s="1027"/>
      <c r="W2043" s="1027"/>
    </row>
    <row r="2044" spans="2:23" x14ac:dyDescent="0.2">
      <c r="B2044" s="1083"/>
      <c r="C2044" s="1084"/>
      <c r="D2044" s="1091"/>
      <c r="E2044" s="1494"/>
      <c r="F2044" s="1494"/>
      <c r="G2044" s="1494"/>
      <c r="H2044" s="1140"/>
      <c r="U2044" s="1027"/>
      <c r="V2044" s="1027"/>
      <c r="W2044" s="1027"/>
    </row>
    <row r="2045" spans="2:23" ht="25.5" x14ac:dyDescent="0.2">
      <c r="B2045" s="1083">
        <f>HE_MindesthöheReserven!$A$1</f>
        <v>39</v>
      </c>
      <c r="C2045" s="1084" t="str">
        <f>HE_MindesthöheReserven!$B$1</f>
        <v>Berechnung der Mindesthöhe der Reserven</v>
      </c>
      <c r="D2045" s="1091" t="str">
        <f>HE_MindesthöheReserven!$H$7</f>
        <v>Erwartete Rendite</v>
      </c>
      <c r="E2045" s="1494" t="str">
        <f>HE_MindesthöheReserven!D30</f>
        <v>Immobilien</v>
      </c>
      <c r="F2045" s="1494"/>
      <c r="G2045" s="1494"/>
      <c r="H2045" s="1140">
        <f>HE_MindesthöheReserven!H30</f>
        <v>0</v>
      </c>
      <c r="U2045" s="1027"/>
      <c r="V2045" s="1027"/>
      <c r="W2045" s="1027"/>
    </row>
    <row r="2046" spans="2:23" ht="25.5" x14ac:dyDescent="0.2">
      <c r="B2046" s="1083">
        <f>HE_MindesthöheReserven!$A$1</f>
        <v>39</v>
      </c>
      <c r="C2046" s="1084" t="str">
        <f>HE_MindesthöheReserven!$B$1</f>
        <v>Berechnung der Mindesthöhe der Reserven</v>
      </c>
      <c r="D2046" s="1091" t="str">
        <f>HE_MindesthöheReserven!$H$7</f>
        <v>Erwartete Rendite</v>
      </c>
      <c r="E2046" s="1494" t="str">
        <f>HE_MindesthöheReserven!D31</f>
        <v>Obligationen</v>
      </c>
      <c r="F2046" s="1494"/>
      <c r="G2046" s="1494"/>
      <c r="H2046" s="1140">
        <f>HE_MindesthöheReserven!H31</f>
        <v>0</v>
      </c>
      <c r="U2046" s="1027"/>
      <c r="V2046" s="1027"/>
      <c r="W2046" s="1027"/>
    </row>
    <row r="2047" spans="2:23" ht="25.5" x14ac:dyDescent="0.2">
      <c r="B2047" s="1083">
        <f>HE_MindesthöheReserven!$A$1</f>
        <v>39</v>
      </c>
      <c r="C2047" s="1084" t="str">
        <f>HE_MindesthöheReserven!$B$1</f>
        <v>Berechnung der Mindesthöhe der Reserven</v>
      </c>
      <c r="D2047" s="1091" t="str">
        <f>HE_MindesthöheReserven!$H$7</f>
        <v>Erwartete Rendite</v>
      </c>
      <c r="E2047" s="1494" t="str">
        <f>HE_MindesthöheReserven!D32</f>
        <v>Aktien</v>
      </c>
      <c r="F2047" s="1494"/>
      <c r="G2047" s="1494"/>
      <c r="H2047" s="1140">
        <f>HE_MindesthöheReserven!H32</f>
        <v>0</v>
      </c>
      <c r="U2047" s="1027"/>
      <c r="V2047" s="1027"/>
      <c r="W2047" s="1027"/>
    </row>
    <row r="2048" spans="2:23" ht="25.5" x14ac:dyDescent="0.2">
      <c r="B2048" s="1083">
        <f>HE_MindesthöheReserven!$A$1</f>
        <v>39</v>
      </c>
      <c r="C2048" s="1084" t="str">
        <f>HE_MindesthöheReserven!$B$1</f>
        <v>Berechnung der Mindesthöhe der Reserven</v>
      </c>
      <c r="D2048" s="1091" t="str">
        <f>HE_MindesthöheReserven!$H$7</f>
        <v>Erwartete Rendite</v>
      </c>
      <c r="E2048" s="1494" t="str">
        <f>HE_MindesthöheReserven!D33</f>
        <v>Anlagefonds</v>
      </c>
      <c r="F2048" s="1494"/>
      <c r="G2048" s="1494"/>
      <c r="H2048" s="1140">
        <f>HE_MindesthöheReserven!H33</f>
        <v>0</v>
      </c>
      <c r="U2048" s="1027"/>
      <c r="V2048" s="1027"/>
      <c r="W2048" s="1027"/>
    </row>
    <row r="2049" spans="2:23" ht="25.5" x14ac:dyDescent="0.2">
      <c r="B2049" s="1083">
        <f>HE_MindesthöheReserven!$A$1</f>
        <v>39</v>
      </c>
      <c r="C2049" s="1084" t="str">
        <f>HE_MindesthöheReserven!$B$1</f>
        <v>Berechnung der Mindesthöhe der Reserven</v>
      </c>
      <c r="D2049" s="1091" t="str">
        <f>HE_MindesthöheReserven!$H$7</f>
        <v>Erwartete Rendite</v>
      </c>
      <c r="E2049" s="1494" t="str">
        <f>HE_MindesthöheReserven!D34</f>
        <v>andere Anlagen</v>
      </c>
      <c r="F2049" s="1494"/>
      <c r="G2049" s="1494"/>
      <c r="H2049" s="1140">
        <f>HE_MindesthöheReserven!H34</f>
        <v>0</v>
      </c>
      <c r="U2049" s="1027"/>
      <c r="V2049" s="1027"/>
      <c r="W2049" s="1027"/>
    </row>
    <row r="2050" spans="2:23" ht="25.5" x14ac:dyDescent="0.2">
      <c r="B2050" s="1083">
        <f>HE_MindesthöheReserven!$A$1</f>
        <v>39</v>
      </c>
      <c r="C2050" s="1084" t="str">
        <f>HE_MindesthöheReserven!$B$1</f>
        <v>Berechnung der Mindesthöhe der Reserven</v>
      </c>
      <c r="D2050" s="1091" t="str">
        <f>HE_MindesthöheReserven!$H$7</f>
        <v>Erwartete Rendite</v>
      </c>
      <c r="E2050" s="1494" t="str">
        <f>HE_MindesthöheReserven!D35</f>
        <v>andere Aktiven</v>
      </c>
      <c r="F2050" s="1494"/>
      <c r="G2050" s="1494"/>
      <c r="H2050" s="1140">
        <f>HE_MindesthöheReserven!H35</f>
        <v>0</v>
      </c>
      <c r="U2050" s="1027"/>
      <c r="V2050" s="1027"/>
      <c r="W2050" s="1027"/>
    </row>
    <row r="2051" spans="2:23" ht="25.5" x14ac:dyDescent="0.2">
      <c r="B2051" s="1083">
        <f>HE_MindesthöheReserven!$A$1</f>
        <v>39</v>
      </c>
      <c r="C2051" s="1084" t="str">
        <f>HE_MindesthöheReserven!$B$1</f>
        <v>Berechnung der Mindesthöhe der Reserven</v>
      </c>
      <c r="D2051" s="1091" t="str">
        <f>HE_MindesthöheReserven!$H$7</f>
        <v>Erwartete Rendite</v>
      </c>
      <c r="E2051" s="1494" t="str">
        <f>HE_MindesthöheReserven!D36</f>
        <v>Erwartete Finanzmarktrendite</v>
      </c>
      <c r="F2051" s="1494"/>
      <c r="G2051" s="1494"/>
      <c r="H2051" s="1141">
        <f>HE_MindesthöheReserven!H36</f>
        <v>0</v>
      </c>
      <c r="U2051" s="1027"/>
      <c r="V2051" s="1027"/>
      <c r="W2051" s="1027"/>
    </row>
    <row r="2052" spans="2:23" x14ac:dyDescent="0.2">
      <c r="B2052" s="1083"/>
      <c r="C2052" s="1084"/>
      <c r="D2052" s="1091"/>
      <c r="E2052" s="1494"/>
      <c r="F2052" s="1494"/>
      <c r="G2052" s="1494"/>
      <c r="H2052" s="1140"/>
      <c r="U2052" s="1027"/>
      <c r="V2052" s="1027"/>
      <c r="W2052" s="1027"/>
    </row>
    <row r="2053" spans="2:23" ht="25.5" x14ac:dyDescent="0.2">
      <c r="B2053" s="1083">
        <f>HE_MindesthöheReserven!$A$1</f>
        <v>39</v>
      </c>
      <c r="C2053" s="1084" t="str">
        <f>HE_MindesthöheReserven!$B$1</f>
        <v>Berechnung der Mindesthöhe der Reserven</v>
      </c>
      <c r="D2053" s="1091" t="str">
        <f>HE_MindesthöheReserven!$J$7</f>
        <v>Expected Shortfall</v>
      </c>
      <c r="E2053" s="1494" t="str">
        <f>HE_MindesthöheReserven!D19</f>
        <v>Kollektiv VVG</v>
      </c>
      <c r="F2053" s="1494"/>
      <c r="G2053" s="1494"/>
      <c r="H2053" s="1140">
        <f>HE_MindesthöheReserven!J19</f>
        <v>0</v>
      </c>
      <c r="U2053" s="1027"/>
      <c r="V2053" s="1027"/>
      <c r="W2053" s="1027"/>
    </row>
    <row r="2054" spans="2:23" ht="25.5" x14ac:dyDescent="0.2">
      <c r="B2054" s="1083">
        <f>HE_MindesthöheReserven!$A$1</f>
        <v>39</v>
      </c>
      <c r="C2054" s="1084" t="str">
        <f>HE_MindesthöheReserven!$B$1</f>
        <v>Berechnung der Mindesthöhe der Reserven</v>
      </c>
      <c r="D2054" s="1091" t="str">
        <f>HE_MindesthöheReserven!$J$7</f>
        <v>Expected Shortfall</v>
      </c>
      <c r="E2054" s="1494" t="str">
        <f>HE_MindesthöheReserven!D20</f>
        <v>Einzel VVG</v>
      </c>
      <c r="F2054" s="1494"/>
      <c r="G2054" s="1494"/>
      <c r="H2054" s="1140">
        <f>HE_MindesthöheReserven!J20</f>
        <v>0</v>
      </c>
      <c r="U2054" s="1027"/>
      <c r="V2054" s="1027"/>
      <c r="W2054" s="1027"/>
    </row>
    <row r="2055" spans="2:23" ht="25.5" x14ac:dyDescent="0.2">
      <c r="B2055" s="1083">
        <f>HE_MindesthöheReserven!$A$1</f>
        <v>39</v>
      </c>
      <c r="C2055" s="1084" t="str">
        <f>HE_MindesthöheReserven!$B$1</f>
        <v>Berechnung der Mindesthöhe der Reserven</v>
      </c>
      <c r="D2055" s="1091" t="str">
        <f>HE_MindesthöheReserven!$J$7</f>
        <v>Expected Shortfall</v>
      </c>
      <c r="E2055" s="1494" t="str">
        <f>HE_MindesthöheReserven!D21</f>
        <v>UVG</v>
      </c>
      <c r="F2055" s="1494"/>
      <c r="G2055" s="1494"/>
      <c r="H2055" s="1140">
        <f>HE_MindesthöheReserven!J21</f>
        <v>0</v>
      </c>
      <c r="U2055" s="1027"/>
      <c r="V2055" s="1027"/>
      <c r="W2055" s="1027"/>
    </row>
    <row r="2056" spans="2:23" ht="25.5" x14ac:dyDescent="0.2">
      <c r="B2056" s="1083">
        <f>HE_MindesthöheReserven!$A$1</f>
        <v>39</v>
      </c>
      <c r="C2056" s="1084" t="str">
        <f>HE_MindesthöheReserven!$B$1</f>
        <v>Berechnung der Mindesthöhe der Reserven</v>
      </c>
      <c r="D2056" s="1091" t="str">
        <f>HE_MindesthöheReserven!$J$7</f>
        <v>Expected Shortfall</v>
      </c>
      <c r="E2056" s="1494" t="str">
        <f>HE_MindesthöheReserven!D22</f>
        <v>KVG-Taggeld Einzel</v>
      </c>
      <c r="F2056" s="1494"/>
      <c r="G2056" s="1494"/>
      <c r="H2056" s="1140">
        <f>HE_MindesthöheReserven!J22</f>
        <v>0</v>
      </c>
      <c r="U2056" s="1027"/>
      <c r="V2056" s="1027"/>
      <c r="W2056" s="1027"/>
    </row>
    <row r="2057" spans="2:23" ht="25.5" x14ac:dyDescent="0.2">
      <c r="B2057" s="1083">
        <f>HE_MindesthöheReserven!$A$1</f>
        <v>39</v>
      </c>
      <c r="C2057" s="1084" t="str">
        <f>HE_MindesthöheReserven!$B$1</f>
        <v>Berechnung der Mindesthöhe der Reserven</v>
      </c>
      <c r="D2057" s="1091" t="str">
        <f>HE_MindesthöheReserven!$J$7</f>
        <v>Expected Shortfall</v>
      </c>
      <c r="E2057" s="1494" t="str">
        <f>HE_MindesthöheReserven!D23</f>
        <v>KVG-Taggeld Kollektiv</v>
      </c>
      <c r="F2057" s="1494"/>
      <c r="G2057" s="1494"/>
      <c r="H2057" s="1140">
        <f>HE_MindesthöheReserven!J23</f>
        <v>0</v>
      </c>
      <c r="U2057" s="1027"/>
      <c r="V2057" s="1027"/>
      <c r="W2057" s="1027"/>
    </row>
    <row r="2058" spans="2:23" ht="25.5" x14ac:dyDescent="0.2">
      <c r="B2058" s="1083">
        <f>HE_MindesthöheReserven!$A$1</f>
        <v>39</v>
      </c>
      <c r="C2058" s="1084" t="str">
        <f>HE_MindesthöheReserven!$B$1</f>
        <v>Berechnung der Mindesthöhe der Reserven</v>
      </c>
      <c r="D2058" s="1091" t="str">
        <f>HE_MindesthöheReserven!$J$7</f>
        <v>Expected Shortfall</v>
      </c>
      <c r="E2058" s="1494" t="str">
        <f>HE_MindesthöheReserven!D24</f>
        <v>OKP EU</v>
      </c>
      <c r="F2058" s="1494"/>
      <c r="G2058" s="1494"/>
      <c r="H2058" s="1140">
        <f>HE_MindesthöheReserven!J24</f>
        <v>0</v>
      </c>
      <c r="U2058" s="1027"/>
      <c r="V2058" s="1027"/>
      <c r="W2058" s="1027"/>
    </row>
    <row r="2059" spans="2:23" ht="25.5" x14ac:dyDescent="0.2">
      <c r="B2059" s="1083">
        <f>HE_MindesthöheReserven!$A$1</f>
        <v>39</v>
      </c>
      <c r="C2059" s="1084" t="str">
        <f>HE_MindesthöheReserven!$B$1</f>
        <v>Berechnung der Mindesthöhe der Reserven</v>
      </c>
      <c r="D2059" s="1091" t="str">
        <f>HE_MindesthöheReserven!$J$7</f>
        <v>Expected Shortfall</v>
      </c>
      <c r="E2059" s="1494" t="str">
        <f>HE_MindesthöheReserven!D26</f>
        <v>Aktive Rückversicherung KVG</v>
      </c>
      <c r="F2059" s="1494"/>
      <c r="G2059" s="1494"/>
      <c r="H2059" s="1140">
        <f>HE_MindesthöheReserven!J26</f>
        <v>0</v>
      </c>
      <c r="U2059" s="1027"/>
      <c r="V2059" s="1027"/>
      <c r="W2059" s="1027"/>
    </row>
    <row r="2060" spans="2:23" ht="25.5" x14ac:dyDescent="0.2">
      <c r="B2060" s="1083">
        <f>HE_MindesthöheReserven!$A$1</f>
        <v>39</v>
      </c>
      <c r="C2060" s="1084" t="str">
        <f>HE_MindesthöheReserven!$B$1</f>
        <v>Berechnung der Mindesthöhe der Reserven</v>
      </c>
      <c r="D2060" s="1091" t="str">
        <f>HE_MindesthöheReserven!$J$7</f>
        <v>Expected Shortfall</v>
      </c>
      <c r="E2060" s="1494" t="str">
        <f>HE_MindesthöheReserven!D27</f>
        <v>Risikosenkung durch Diversifikation</v>
      </c>
      <c r="F2060" s="1494"/>
      <c r="G2060" s="1494"/>
      <c r="H2060" s="1140">
        <f>HE_MindesthöheReserven!J27</f>
        <v>0</v>
      </c>
      <c r="U2060" s="1027"/>
      <c r="V2060" s="1027"/>
      <c r="W2060" s="1027"/>
    </row>
    <row r="2061" spans="2:23" ht="25.5" x14ac:dyDescent="0.2">
      <c r="B2061" s="1083">
        <f>HE_MindesthöheReserven!$A$1</f>
        <v>39</v>
      </c>
      <c r="C2061" s="1084" t="str">
        <f>HE_MindesthöheReserven!$B$1</f>
        <v>Berechnung der Mindesthöhe der Reserven</v>
      </c>
      <c r="D2061" s="1091" t="str">
        <f>HE_MindesthöheReserven!$J$7</f>
        <v>Expected Shortfall</v>
      </c>
      <c r="E2061" s="1494" t="str">
        <f>HE_MindesthöheReserven!D28</f>
        <v>Expected Shortfall für das Versicherungsrisiko</v>
      </c>
      <c r="F2061" s="1494"/>
      <c r="G2061" s="1494"/>
      <c r="H2061" s="1141">
        <f>HE_MindesthöheReserven!J28</f>
        <v>0</v>
      </c>
      <c r="U2061" s="1027"/>
      <c r="V2061" s="1027"/>
      <c r="W2061" s="1027"/>
    </row>
    <row r="2062" spans="2:23" x14ac:dyDescent="0.2">
      <c r="B2062" s="1083"/>
      <c r="C2062" s="1084"/>
      <c r="D2062" s="1091"/>
      <c r="E2062" s="1494"/>
      <c r="F2062" s="1494"/>
      <c r="G2062" s="1494"/>
      <c r="H2062" s="1140"/>
      <c r="U2062" s="1027"/>
      <c r="V2062" s="1027"/>
      <c r="W2062" s="1027"/>
    </row>
    <row r="2063" spans="2:23" ht="25.5" x14ac:dyDescent="0.2">
      <c r="B2063" s="1083">
        <f>HE_MindesthöheReserven!$A$1</f>
        <v>39</v>
      </c>
      <c r="C2063" s="1084" t="str">
        <f>HE_MindesthöheReserven!$B$1</f>
        <v>Berechnung der Mindesthöhe der Reserven</v>
      </c>
      <c r="D2063" s="1091" t="str">
        <f>HE_MindesthöheReserven!$J$7</f>
        <v>Expected Shortfall</v>
      </c>
      <c r="E2063" s="1494" t="str">
        <f>HE_MindesthöheReserven!D40</f>
        <v>Alle Zinssätze</v>
      </c>
      <c r="F2063" s="1494"/>
      <c r="G2063" s="1494"/>
      <c r="H2063" s="1140">
        <f>HE_MindesthöheReserven!J40</f>
        <v>0</v>
      </c>
      <c r="U2063" s="1027"/>
      <c r="V2063" s="1027"/>
      <c r="W2063" s="1027"/>
    </row>
    <row r="2064" spans="2:23" ht="25.5" x14ac:dyDescent="0.2">
      <c r="B2064" s="1083">
        <f>HE_MindesthöheReserven!$A$1</f>
        <v>39</v>
      </c>
      <c r="C2064" s="1084" t="str">
        <f>HE_MindesthöheReserven!$B$1</f>
        <v>Berechnung der Mindesthöhe der Reserven</v>
      </c>
      <c r="D2064" s="1091" t="str">
        <f>HE_MindesthöheReserven!$J$7</f>
        <v>Expected Shortfall</v>
      </c>
      <c r="E2064" s="1494" t="str">
        <f>HE_MindesthöheReserven!D41</f>
        <v>Spreads</v>
      </c>
      <c r="F2064" s="1494"/>
      <c r="G2064" s="1494"/>
      <c r="H2064" s="1140">
        <f>HE_MindesthöheReserven!J41</f>
        <v>0</v>
      </c>
      <c r="U2064" s="1027"/>
      <c r="V2064" s="1027"/>
      <c r="W2064" s="1027"/>
    </row>
    <row r="2065" spans="2:23" ht="25.5" x14ac:dyDescent="0.2">
      <c r="B2065" s="1083">
        <f>HE_MindesthöheReserven!$A$1</f>
        <v>39</v>
      </c>
      <c r="C2065" s="1084" t="str">
        <f>HE_MindesthöheReserven!$B$1</f>
        <v>Berechnung der Mindesthöhe der Reserven</v>
      </c>
      <c r="D2065" s="1091" t="str">
        <f>HE_MindesthöheReserven!$J$7</f>
        <v>Expected Shortfall</v>
      </c>
      <c r="E2065" s="1494" t="str">
        <f>HE_MindesthöheReserven!D42</f>
        <v>Fremdwährungen</v>
      </c>
      <c r="F2065" s="1494"/>
      <c r="G2065" s="1494"/>
      <c r="H2065" s="1140">
        <f>HE_MindesthöheReserven!J42</f>
        <v>0</v>
      </c>
      <c r="U2065" s="1027"/>
      <c r="V2065" s="1027"/>
      <c r="W2065" s="1027"/>
    </row>
    <row r="2066" spans="2:23" ht="25.5" x14ac:dyDescent="0.2">
      <c r="B2066" s="1083">
        <f>HE_MindesthöheReserven!$A$1</f>
        <v>39</v>
      </c>
      <c r="C2066" s="1084" t="str">
        <f>HE_MindesthöheReserven!$B$1</f>
        <v>Berechnung der Mindesthöhe der Reserven</v>
      </c>
      <c r="D2066" s="1091" t="str">
        <f>HE_MindesthöheReserven!$J$7</f>
        <v>Expected Shortfall</v>
      </c>
      <c r="E2066" s="1494" t="str">
        <f>HE_MindesthöheReserven!D43</f>
        <v>Aktien</v>
      </c>
      <c r="F2066" s="1494"/>
      <c r="G2066" s="1494"/>
      <c r="H2066" s="1140">
        <f>HE_MindesthöheReserven!J43</f>
        <v>0</v>
      </c>
      <c r="U2066" s="1027"/>
      <c r="V2066" s="1027"/>
      <c r="W2066" s="1027"/>
    </row>
    <row r="2067" spans="2:23" ht="25.5" x14ac:dyDescent="0.2">
      <c r="B2067" s="1083">
        <f>HE_MindesthöheReserven!$A$1</f>
        <v>39</v>
      </c>
      <c r="C2067" s="1084" t="str">
        <f>HE_MindesthöheReserven!$B$1</f>
        <v>Berechnung der Mindesthöhe der Reserven</v>
      </c>
      <c r="D2067" s="1091" t="str">
        <f>HE_MindesthöheReserven!$J$7</f>
        <v>Expected Shortfall</v>
      </c>
      <c r="E2067" s="1494" t="str">
        <f>HE_MindesthöheReserven!D44</f>
        <v>Immobilien</v>
      </c>
      <c r="F2067" s="1494"/>
      <c r="G2067" s="1494"/>
      <c r="H2067" s="1140">
        <f>HE_MindesthöheReserven!J44</f>
        <v>0</v>
      </c>
      <c r="U2067" s="1027"/>
      <c r="V2067" s="1027"/>
      <c r="W2067" s="1027"/>
    </row>
    <row r="2068" spans="2:23" ht="25.5" x14ac:dyDescent="0.2">
      <c r="B2068" s="1083">
        <f>HE_MindesthöheReserven!$A$1</f>
        <v>39</v>
      </c>
      <c r="C2068" s="1084" t="str">
        <f>HE_MindesthöheReserven!$B$1</f>
        <v>Berechnung der Mindesthöhe der Reserven</v>
      </c>
      <c r="D2068" s="1091" t="str">
        <f>HE_MindesthöheReserven!$J$7</f>
        <v>Expected Shortfall</v>
      </c>
      <c r="E2068" s="1494" t="str">
        <f>HE_MindesthöheReserven!D45</f>
        <v>Hedge Funds</v>
      </c>
      <c r="F2068" s="1494"/>
      <c r="G2068" s="1494"/>
      <c r="H2068" s="1140">
        <f>HE_MindesthöheReserven!J45</f>
        <v>0</v>
      </c>
      <c r="U2068" s="1027"/>
      <c r="V2068" s="1027"/>
      <c r="W2068" s="1027"/>
    </row>
    <row r="2069" spans="2:23" ht="25.5" x14ac:dyDescent="0.2">
      <c r="B2069" s="1083">
        <f>HE_MindesthöheReserven!$A$1</f>
        <v>39</v>
      </c>
      <c r="C2069" s="1084" t="str">
        <f>HE_MindesthöheReserven!$B$1</f>
        <v>Berechnung der Mindesthöhe der Reserven</v>
      </c>
      <c r="D2069" s="1091" t="str">
        <f>HE_MindesthöheReserven!$J$7</f>
        <v>Expected Shortfall</v>
      </c>
      <c r="E2069" s="1494" t="str">
        <f>HE_MindesthöheReserven!D46</f>
        <v>Private Equity</v>
      </c>
      <c r="F2069" s="1494"/>
      <c r="G2069" s="1494"/>
      <c r="H2069" s="1140">
        <f>HE_MindesthöheReserven!J46</f>
        <v>0</v>
      </c>
      <c r="U2069" s="1027"/>
      <c r="V2069" s="1027"/>
      <c r="W2069" s="1027"/>
    </row>
    <row r="2070" spans="2:23" ht="25.5" x14ac:dyDescent="0.2">
      <c r="B2070" s="1083">
        <f>HE_MindesthöheReserven!$A$1</f>
        <v>39</v>
      </c>
      <c r="C2070" s="1084" t="str">
        <f>HE_MindesthöheReserven!$B$1</f>
        <v>Berechnung der Mindesthöhe der Reserven</v>
      </c>
      <c r="D2070" s="1091" t="str">
        <f>HE_MindesthöheReserven!$J$7</f>
        <v>Expected Shortfall</v>
      </c>
      <c r="E2070" s="1494" t="str">
        <f>HE_MindesthöheReserven!D47</f>
        <v>Beteiligungen</v>
      </c>
      <c r="F2070" s="1494"/>
      <c r="G2070" s="1494"/>
      <c r="H2070" s="1140">
        <f>HE_MindesthöheReserven!J47</f>
        <v>0</v>
      </c>
      <c r="U2070" s="1027"/>
      <c r="V2070" s="1027"/>
      <c r="W2070" s="1027"/>
    </row>
    <row r="2071" spans="2:23" ht="25.5" x14ac:dyDescent="0.2">
      <c r="B2071" s="1083">
        <f>HE_MindesthöheReserven!$A$1</f>
        <v>39</v>
      </c>
      <c r="C2071" s="1084" t="str">
        <f>HE_MindesthöheReserven!$B$1</f>
        <v>Berechnung der Mindesthöhe der Reserven</v>
      </c>
      <c r="D2071" s="1091" t="str">
        <f>HE_MindesthöheReserven!$J$7</f>
        <v>Expected Shortfall</v>
      </c>
      <c r="E2071" s="1494" t="str">
        <f>HE_MindesthöheReserven!D48</f>
        <v>Risikosenkung durch Diversifikation</v>
      </c>
      <c r="F2071" s="1494"/>
      <c r="G2071" s="1494"/>
      <c r="H2071" s="1140">
        <f>HE_MindesthöheReserven!J48</f>
        <v>0</v>
      </c>
      <c r="U2071" s="1027"/>
      <c r="V2071" s="1027"/>
      <c r="W2071" s="1027"/>
    </row>
    <row r="2072" spans="2:23" ht="25.5" x14ac:dyDescent="0.2">
      <c r="B2072" s="1083">
        <f>HE_MindesthöheReserven!$A$1</f>
        <v>39</v>
      </c>
      <c r="C2072" s="1084" t="str">
        <f>HE_MindesthöheReserven!$B$1</f>
        <v>Berechnung der Mindesthöhe der Reserven</v>
      </c>
      <c r="D2072" s="1091" t="str">
        <f>HE_MindesthöheReserven!$J$7</f>
        <v>Expected Shortfall</v>
      </c>
      <c r="E2072" s="1494" t="str">
        <f>HE_MindesthöheReserven!D49</f>
        <v>Expected Shortfall für das Marktrisiko</v>
      </c>
      <c r="F2072" s="1494"/>
      <c r="G2072" s="1494"/>
      <c r="H2072" s="1141">
        <f>HE_MindesthöheReserven!J49</f>
        <v>0</v>
      </c>
      <c r="U2072" s="1027"/>
      <c r="V2072" s="1027"/>
      <c r="W2072" s="1027"/>
    </row>
    <row r="2073" spans="2:23" x14ac:dyDescent="0.2">
      <c r="B2073" s="1083"/>
      <c r="C2073" s="1084"/>
      <c r="D2073" s="1091"/>
      <c r="E2073" s="1494"/>
      <c r="F2073" s="1494"/>
      <c r="G2073" s="1494"/>
      <c r="H2073" s="1140"/>
      <c r="U2073" s="1027"/>
      <c r="V2073" s="1027"/>
      <c r="W2073" s="1027"/>
    </row>
    <row r="2074" spans="2:23" ht="25.5" x14ac:dyDescent="0.2">
      <c r="B2074" s="1083">
        <f>HE_MindesthöheReserven!$A$1</f>
        <v>39</v>
      </c>
      <c r="C2074" s="1084" t="str">
        <f>HE_MindesthöheReserven!$B$1</f>
        <v>Berechnung der Mindesthöhe der Reserven</v>
      </c>
      <c r="D2074" s="1091" t="str">
        <f>HE_MindesthöheReserven!$J$7</f>
        <v>Expected Shortfall</v>
      </c>
      <c r="E2074" s="1494" t="str">
        <f>HE_MindesthöheReserven!D51</f>
        <v>Risikosenkung durch Diversifikation</v>
      </c>
      <c r="F2074" s="1494"/>
      <c r="G2074" s="1494"/>
      <c r="H2074" s="1140">
        <f>HE_MindesthöheReserven!J51</f>
        <v>0</v>
      </c>
      <c r="U2074" s="1027"/>
      <c r="V2074" s="1027"/>
      <c r="W2074" s="1027"/>
    </row>
    <row r="2075" spans="2:23" x14ac:dyDescent="0.2">
      <c r="B2075" s="1083"/>
      <c r="C2075" s="1084"/>
      <c r="D2075" s="1091"/>
      <c r="E2075" s="1494"/>
      <c r="F2075" s="1494"/>
      <c r="G2075" s="1494"/>
      <c r="H2075" s="1140"/>
      <c r="U2075" s="1027"/>
      <c r="V2075" s="1027"/>
      <c r="W2075" s="1027"/>
    </row>
    <row r="2076" spans="2:23" ht="12.75" customHeight="1" x14ac:dyDescent="0.2">
      <c r="B2076" s="1083">
        <f>HE_MindesthöheReserven!$A$1</f>
        <v>39</v>
      </c>
      <c r="C2076" s="1084" t="str">
        <f>HE_MindesthöheReserven!$B$1</f>
        <v>Berechnung der Mindesthöhe der Reserven</v>
      </c>
      <c r="D2076" s="1091" t="str">
        <f>HE_MindesthöheReserven!$J$7</f>
        <v>Expected Shortfall</v>
      </c>
      <c r="E2076" s="1494" t="str">
        <f>HE_MindesthöheReserven!D53</f>
        <v>Expected Shortfall für Versicherung- und Marktrisiko</v>
      </c>
      <c r="F2076" s="1494"/>
      <c r="G2076" s="1494"/>
      <c r="H2076" s="1141">
        <f>HE_MindesthöheReserven!J53</f>
        <v>0</v>
      </c>
      <c r="U2076" s="1027"/>
      <c r="V2076" s="1027"/>
      <c r="W2076" s="1027"/>
    </row>
    <row r="2077" spans="2:23" x14ac:dyDescent="0.2">
      <c r="B2077" s="1083"/>
      <c r="C2077" s="1084"/>
      <c r="D2077" s="1091"/>
      <c r="E2077" s="1494"/>
      <c r="F2077" s="1494"/>
      <c r="G2077" s="1494"/>
      <c r="H2077" s="1140"/>
      <c r="U2077" s="1027"/>
      <c r="V2077" s="1027"/>
      <c r="W2077" s="1027"/>
    </row>
    <row r="2078" spans="2:23" ht="25.5" x14ac:dyDescent="0.2">
      <c r="B2078" s="1083">
        <f>HE_MindesthöheReserven!$A$1</f>
        <v>39</v>
      </c>
      <c r="C2078" s="1084" t="str">
        <f>HE_MindesthöheReserven!$B$1</f>
        <v>Berechnung der Mindesthöhe der Reserven</v>
      </c>
      <c r="D2078" s="1091" t="str">
        <f>HE_MindesthöheReserven!$K$7</f>
        <v>Mindesthöhe der Reserven</v>
      </c>
      <c r="E2078" s="1494" t="str">
        <f>HE_MindesthöheReserven!D53</f>
        <v>Expected Shortfall für Versicherung- und Marktrisiko</v>
      </c>
      <c r="F2078" s="1494"/>
      <c r="G2078" s="1494"/>
      <c r="H2078" s="1141">
        <f>HE_MindesthöheReserven!K53</f>
        <v>0</v>
      </c>
      <c r="U2078" s="1027"/>
      <c r="V2078" s="1027"/>
      <c r="W2078" s="1027"/>
    </row>
    <row r="2079" spans="2:23" ht="25.5" x14ac:dyDescent="0.2">
      <c r="B2079" s="1083">
        <f>HE_MindesthöheReserven!$A$1</f>
        <v>39</v>
      </c>
      <c r="C2079" s="1084" t="str">
        <f>HE_MindesthöheReserven!$B$1</f>
        <v>Berechnung der Mindesthöhe der Reserven</v>
      </c>
      <c r="D2079" s="1091" t="str">
        <f>HE_MindesthöheReserven!$K$7</f>
        <v>Mindesthöhe der Reserven</v>
      </c>
      <c r="E2079" s="1494" t="str">
        <f>HE_MindesthöheReserven!D76</f>
        <v>Aggregation der Szenarien</v>
      </c>
      <c r="F2079" s="1494"/>
      <c r="G2079" s="1494"/>
      <c r="H2079" s="1141">
        <f>HE_MindesthöheReserven!K76</f>
        <v>0</v>
      </c>
      <c r="U2079" s="1027"/>
      <c r="V2079" s="1027"/>
      <c r="W2079" s="1027"/>
    </row>
    <row r="2080" spans="2:23" ht="25.5" x14ac:dyDescent="0.2">
      <c r="B2080" s="1083">
        <f>HE_MindesthöheReserven!$A$1</f>
        <v>39</v>
      </c>
      <c r="C2080" s="1084" t="str">
        <f>HE_MindesthöheReserven!$B$1</f>
        <v>Berechnung der Mindesthöhe der Reserven</v>
      </c>
      <c r="D2080" s="1091" t="str">
        <f>HE_MindesthöheReserven!$K$7</f>
        <v>Mindesthöhe der Reserven</v>
      </c>
      <c r="E2080" s="1494" t="str">
        <f>HE_MindesthöheReserven!D78</f>
        <v>Kreditrisiko</v>
      </c>
      <c r="F2080" s="1494"/>
      <c r="G2080" s="1494"/>
      <c r="H2080" s="1141">
        <f>HE_MindesthöheReserven!K78</f>
        <v>0</v>
      </c>
      <c r="U2080" s="1027"/>
      <c r="V2080" s="1027"/>
      <c r="W2080" s="1027"/>
    </row>
    <row r="2081" spans="2:23" ht="25.5" x14ac:dyDescent="0.2">
      <c r="B2081" s="1083">
        <f>HE_MindesthöheReserven!$A$1</f>
        <v>39</v>
      </c>
      <c r="C2081" s="1084" t="str">
        <f>HE_MindesthöheReserven!$B$1</f>
        <v>Berechnung der Mindesthöhe der Reserven</v>
      </c>
      <c r="D2081" s="1091" t="str">
        <f>HE_MindesthöheReserven!$K$7</f>
        <v>Mindesthöhe der Reserven</v>
      </c>
      <c r="E2081" s="1494" t="str">
        <f>HE_MindesthöheReserven!D80</f>
        <v>Risikomarge</v>
      </c>
      <c r="F2081" s="1494"/>
      <c r="G2081" s="1494"/>
      <c r="H2081" s="1141">
        <f>HE_MindesthöheReserven!K80</f>
        <v>0</v>
      </c>
      <c r="U2081" s="1027"/>
      <c r="V2081" s="1027"/>
      <c r="W2081" s="1027"/>
    </row>
    <row r="2082" spans="2:23" ht="25.5" x14ac:dyDescent="0.2">
      <c r="B2082" s="1083">
        <f>HE_MindesthöheReserven!$A$1</f>
        <v>39</v>
      </c>
      <c r="C2082" s="1084" t="str">
        <f>HE_MindesthöheReserven!$B$1</f>
        <v>Berechnung der Mindesthöhe der Reserven</v>
      </c>
      <c r="D2082" s="1091" t="str">
        <f>HE_MindesthöheReserven!$K$7</f>
        <v>Mindesthöhe der Reserven</v>
      </c>
      <c r="E2082" s="1494" t="str">
        <f>HE_MindesthöheReserven!D82</f>
        <v>Mindesthöhe der Reserven</v>
      </c>
      <c r="F2082" s="1494"/>
      <c r="G2082" s="1494"/>
      <c r="H2082" s="1141">
        <f>HE_MindesthöheReserven!K82</f>
        <v>0</v>
      </c>
      <c r="U2082" s="1027"/>
      <c r="V2082" s="1027"/>
      <c r="W2082" s="1027"/>
    </row>
    <row r="2083" spans="2:23" x14ac:dyDescent="0.2">
      <c r="B2083" s="1083"/>
      <c r="C2083" s="1084"/>
      <c r="D2083" s="1091"/>
      <c r="E2083" s="1494"/>
      <c r="F2083" s="1494"/>
      <c r="G2083" s="1494"/>
      <c r="H2083" s="1140"/>
      <c r="U2083" s="1027"/>
      <c r="V2083" s="1027"/>
      <c r="W2083" s="1027"/>
    </row>
    <row r="2084" spans="2:23" x14ac:dyDescent="0.2">
      <c r="B2084" s="1083"/>
      <c r="C2084" s="1084"/>
      <c r="D2084" s="1091"/>
      <c r="E2084" s="1494"/>
      <c r="F2084" s="1494"/>
      <c r="G2084" s="1494"/>
      <c r="H2084" s="1140"/>
      <c r="U2084" s="1027"/>
      <c r="V2084" s="1027"/>
      <c r="W2084" s="1027"/>
    </row>
    <row r="2085" spans="2:23" ht="25.5" x14ac:dyDescent="0.2">
      <c r="B2085" s="1083">
        <f>HE_MindesthöheReserven!$A$1</f>
        <v>39</v>
      </c>
      <c r="C2085" s="1084" t="str">
        <f>HE_MindesthöheReserven!$B$1</f>
        <v>Berechnung der Mindesthöhe der Reserven</v>
      </c>
      <c r="D2085" s="1091" t="str">
        <f>HE_MindesthöheReserven!$K$88</f>
        <v>marktnah
Best Estimate</v>
      </c>
      <c r="E2085" s="1494" t="str">
        <f>HE_MindesthöheReserven!D90</f>
        <v>Total Aktiven</v>
      </c>
      <c r="F2085" s="1494"/>
      <c r="G2085" s="1494"/>
      <c r="H2085" s="1141">
        <f>HE_MindesthöheReserven!K90</f>
        <v>0</v>
      </c>
      <c r="U2085" s="1027"/>
      <c r="V2085" s="1027"/>
      <c r="W2085" s="1027"/>
    </row>
    <row r="2086" spans="2:23" ht="25.5" x14ac:dyDescent="0.2">
      <c r="B2086" s="1083">
        <f>HE_MindesthöheReserven!$A$1</f>
        <v>39</v>
      </c>
      <c r="C2086" s="1084" t="str">
        <f>HE_MindesthöheReserven!$B$1</f>
        <v>Berechnung der Mindesthöhe der Reserven</v>
      </c>
      <c r="D2086" s="1091" t="str">
        <f>HE_MindesthöheReserven!$K$88</f>
        <v>marktnah
Best Estimate</v>
      </c>
      <c r="E2086" s="1494" t="str">
        <f>HE_MindesthöheReserven!D91</f>
        <v>Total Fremdkapital</v>
      </c>
      <c r="F2086" s="1494"/>
      <c r="G2086" s="1494"/>
      <c r="H2086" s="1141">
        <f>HE_MindesthöheReserven!K91</f>
        <v>0</v>
      </c>
      <c r="U2086" s="1027"/>
      <c r="V2086" s="1027"/>
      <c r="W2086" s="1027"/>
    </row>
    <row r="2087" spans="2:23" ht="25.5" x14ac:dyDescent="0.2">
      <c r="B2087" s="1083">
        <f>HE_MindesthöheReserven!$A$1</f>
        <v>39</v>
      </c>
      <c r="C2087" s="1084" t="str">
        <f>HE_MindesthöheReserven!$B$1</f>
        <v>Berechnung der Mindesthöhe der Reserven</v>
      </c>
      <c r="D2087" s="1091" t="str">
        <f>HE_MindesthöheReserven!$K$88</f>
        <v>marktnah
Best Estimate</v>
      </c>
      <c r="E2087" s="1617" t="s">
        <v>2143</v>
      </c>
      <c r="F2087" s="1617"/>
      <c r="G2087" s="1617"/>
      <c r="H2087" s="1761"/>
      <c r="U2087" s="1027"/>
      <c r="V2087" s="1027"/>
      <c r="W2087" s="1027"/>
    </row>
    <row r="2088" spans="2:23" ht="25.5" x14ac:dyDescent="0.2">
      <c r="B2088" s="1083">
        <f>HE_MindesthöheReserven!$A$1</f>
        <v>39</v>
      </c>
      <c r="C2088" s="1084" t="str">
        <f>HE_MindesthöheReserven!$B$1</f>
        <v>Berechnung der Mindesthöhe der Reserven</v>
      </c>
      <c r="D2088" s="1091" t="str">
        <f>HE_MindesthöheReserven!$K$88</f>
        <v>marktnah
Best Estimate</v>
      </c>
      <c r="E2088" s="1617" t="s">
        <v>2143</v>
      </c>
      <c r="F2088" s="1617"/>
      <c r="G2088" s="1617"/>
      <c r="H2088" s="1761"/>
      <c r="U2088" s="1027"/>
      <c r="V2088" s="1027"/>
      <c r="W2088" s="1027"/>
    </row>
    <row r="2089" spans="2:23" ht="25.5" x14ac:dyDescent="0.2">
      <c r="B2089" s="1083">
        <f>HE_MindesthöheReserven!$A$1</f>
        <v>39</v>
      </c>
      <c r="C2089" s="1084" t="str">
        <f>HE_MindesthöheReserven!$B$1</f>
        <v>Berechnung der Mindesthöhe der Reserven</v>
      </c>
      <c r="D2089" s="1091" t="str">
        <f>HE_MindesthöheReserven!$K$88</f>
        <v>marktnah
Best Estimate</v>
      </c>
      <c r="E2089" s="1617" t="s">
        <v>2143</v>
      </c>
      <c r="F2089" s="1617"/>
      <c r="G2089" s="1617"/>
      <c r="H2089" s="1761"/>
      <c r="U2089" s="1027"/>
      <c r="V2089" s="1027"/>
      <c r="W2089" s="1027"/>
    </row>
    <row r="2090" spans="2:23" ht="25.5" x14ac:dyDescent="0.2">
      <c r="B2090" s="1083">
        <f>HE_MindesthöheReserven!$A$1</f>
        <v>39</v>
      </c>
      <c r="C2090" s="1084" t="str">
        <f>HE_MindesthöheReserven!$B$1</f>
        <v>Berechnung der Mindesthöhe der Reserven</v>
      </c>
      <c r="D2090" s="1091" t="str">
        <f>HE_MindesthöheReserven!$K$88</f>
        <v>marktnah
Best Estimate</v>
      </c>
      <c r="E2090" s="1494" t="str">
        <f>HE_MindesthöheReserven!D95</f>
        <v>VVG Anteile</v>
      </c>
      <c r="F2090" s="1494"/>
      <c r="G2090" s="1494"/>
      <c r="H2090" s="1141">
        <f>HE_MindesthöheReserven!K95</f>
        <v>0</v>
      </c>
      <c r="U2090" s="1027"/>
      <c r="V2090" s="1027"/>
      <c r="W2090" s="1027"/>
    </row>
    <row r="2091" spans="2:23" ht="25.5" x14ac:dyDescent="0.2">
      <c r="B2091" s="1083">
        <f>HE_MindesthöheReserven!$A$1</f>
        <v>39</v>
      </c>
      <c r="C2091" s="1084" t="str">
        <f>HE_MindesthöheReserven!$B$1</f>
        <v>Berechnung der Mindesthöhe der Reserven</v>
      </c>
      <c r="D2091" s="1091" t="str">
        <f>HE_MindesthöheReserven!$K$88</f>
        <v>marktnah
Best Estimate</v>
      </c>
      <c r="E2091" s="1494" t="str">
        <f>HE_MindesthöheReserven!D98</f>
        <v>Vorhandene Reserven</v>
      </c>
      <c r="F2091" s="1494"/>
      <c r="G2091" s="1494"/>
      <c r="H2091" s="1141">
        <f>HE_MindesthöheReserven!K98</f>
        <v>0</v>
      </c>
      <c r="U2091" s="1027"/>
      <c r="V2091" s="1027"/>
      <c r="W2091" s="1027"/>
    </row>
    <row r="2092" spans="2:23" x14ac:dyDescent="0.2">
      <c r="B2092" s="1083"/>
      <c r="C2092" s="1084"/>
      <c r="D2092" s="1091"/>
      <c r="E2092" s="1494"/>
      <c r="F2092" s="1494"/>
      <c r="G2092" s="1494"/>
      <c r="H2092" s="1141"/>
      <c r="U2092" s="1027"/>
      <c r="V2092" s="1027"/>
      <c r="W2092" s="1027"/>
    </row>
    <row r="2093" spans="2:23" x14ac:dyDescent="0.2">
      <c r="B2093" s="1083"/>
      <c r="C2093" s="1084"/>
      <c r="D2093" s="1091"/>
      <c r="E2093" s="1494"/>
      <c r="F2093" s="1494"/>
      <c r="G2093" s="1494"/>
      <c r="H2093" s="1141"/>
      <c r="U2093" s="1027"/>
      <c r="V2093" s="1027"/>
      <c r="W2093" s="1027"/>
    </row>
    <row r="2094" spans="2:23" ht="25.5" x14ac:dyDescent="0.25">
      <c r="B2094" s="1083">
        <f>HE_MindesthöheReserven!$A$1</f>
        <v>39</v>
      </c>
      <c r="C2094" s="1084" t="str">
        <f>HE_MindesthöheReserven!$B$1</f>
        <v>Berechnung der Mindesthöhe der Reserven</v>
      </c>
      <c r="D2094" s="1091" t="str">
        <f>HE_MindesthöheReserven!D105</f>
        <v>Vorhandene Reserven - Mindesthöhe der Reserven</v>
      </c>
      <c r="E2094" s="1494"/>
      <c r="F2094" s="1494"/>
      <c r="G2094" s="1494"/>
      <c r="H2094" s="1544">
        <f>HE_MindesthöheReserven!K105</f>
        <v>0</v>
      </c>
      <c r="U2094" s="1027"/>
      <c r="V2094" s="1027"/>
      <c r="W2094" s="1027"/>
    </row>
    <row r="2095" spans="2:23" ht="26.25" thickBot="1" x14ac:dyDescent="0.3">
      <c r="B2095" s="1085">
        <f>HE_MindesthöheReserven!$A$1</f>
        <v>39</v>
      </c>
      <c r="C2095" s="1086" t="str">
        <f>HE_MindesthöheReserven!$B$1</f>
        <v>Berechnung der Mindesthöhe der Reserven</v>
      </c>
      <c r="D2095" s="1092" t="str">
        <f>HE_MindesthöheReserven!D106</f>
        <v>Vorhandene Reserven / Mindesthöhe der Reserven</v>
      </c>
      <c r="E2095" s="1500"/>
      <c r="F2095" s="1500"/>
      <c r="G2095" s="1500"/>
      <c r="H2095" s="1545">
        <f>HE_MindesthöheReserven!K106</f>
        <v>0</v>
      </c>
      <c r="U2095" s="1027"/>
      <c r="V2095" s="1027"/>
      <c r="W2095" s="1027"/>
    </row>
    <row r="2096" spans="2:23" ht="13.5" thickBot="1" x14ac:dyDescent="0.25">
      <c r="B2096" s="1087"/>
      <c r="C2096" s="1087"/>
      <c r="D2096" s="1075"/>
      <c r="E2096" s="1483"/>
      <c r="F2096" s="1484"/>
      <c r="G2096" s="1484"/>
      <c r="H2096" s="1035"/>
      <c r="U2096" s="1027"/>
      <c r="V2096" s="1027"/>
      <c r="W2096" s="1027"/>
    </row>
    <row r="2097" spans="2:23" ht="38.25" x14ac:dyDescent="0.2">
      <c r="B2097" s="1080">
        <f>'BewDifferenzen_Statut-Marktnah'!$A$1</f>
        <v>42</v>
      </c>
      <c r="C2097" s="1081" t="str">
        <f>'BewDifferenzen_Statut-Marktnah'!$B$1</f>
        <v>Differenzen zwischen statutarischer und marktnaher Bewertung</v>
      </c>
      <c r="D2097" s="1142" t="str">
        <f>'BewDifferenzen_Statut-Marktnah'!$D$13</f>
        <v>Grundstücke und Bauten</v>
      </c>
      <c r="E2097" s="1492"/>
      <c r="F2097" s="1546" t="str">
        <f>'BewDifferenzen_Statut-Marktnah'!$F$4</f>
        <v>Statutarischer Bilanzwert</v>
      </c>
      <c r="G2097" s="1492"/>
      <c r="H2097" s="1057">
        <f>'BewDifferenzen_Statut-Marktnah'!$F13</f>
        <v>0</v>
      </c>
      <c r="U2097" s="1027"/>
      <c r="V2097" s="1027"/>
      <c r="W2097" s="1027"/>
    </row>
    <row r="2098" spans="2:23" ht="38.25" x14ac:dyDescent="0.2">
      <c r="B2098" s="1083">
        <f>'BewDifferenzen_Statut-Marktnah'!$A$1</f>
        <v>42</v>
      </c>
      <c r="C2098" s="1084" t="str">
        <f>'BewDifferenzen_Statut-Marktnah'!$B$1</f>
        <v>Differenzen zwischen statutarischer und marktnaher Bewertung</v>
      </c>
      <c r="D2098" s="1143" t="str">
        <f>'BewDifferenzen_Statut-Marktnah'!$D$13</f>
        <v>Grundstücke und Bauten</v>
      </c>
      <c r="E2098" s="1547" t="str">
        <f>'BewDifferenzen_Statut-Marktnah'!$E14</f>
        <v>dem Geschäft nach KVG zugeordnet</v>
      </c>
      <c r="F2098" s="1548" t="str">
        <f>'BewDifferenzen_Statut-Marktnah'!$F$4</f>
        <v>Statutarischer Bilanzwert</v>
      </c>
      <c r="G2098" s="1494"/>
      <c r="H2098" s="1144">
        <f>'BewDifferenzen_Statut-Marktnah'!$F14</f>
        <v>0</v>
      </c>
      <c r="U2098" s="1027"/>
      <c r="V2098" s="1027"/>
      <c r="W2098" s="1027"/>
    </row>
    <row r="2099" spans="2:23" ht="38.25" x14ac:dyDescent="0.2">
      <c r="B2099" s="1083">
        <f>'BewDifferenzen_Statut-Marktnah'!$A$1</f>
        <v>42</v>
      </c>
      <c r="C2099" s="1084" t="str">
        <f>'BewDifferenzen_Statut-Marktnah'!$B$1</f>
        <v>Differenzen zwischen statutarischer und marktnaher Bewertung</v>
      </c>
      <c r="D2099" s="1143" t="str">
        <f>'BewDifferenzen_Statut-Marktnah'!$D$13</f>
        <v>Grundstücke und Bauten</v>
      </c>
      <c r="E2099" s="1547" t="str">
        <f>'BewDifferenzen_Statut-Marktnah'!$E15</f>
        <v>dem Geschäft nach VVG zugeordnet</v>
      </c>
      <c r="F2099" s="1548" t="str">
        <f>'BewDifferenzen_Statut-Marktnah'!$F$4</f>
        <v>Statutarischer Bilanzwert</v>
      </c>
      <c r="G2099" s="1494"/>
      <c r="H2099" s="1144">
        <f>'BewDifferenzen_Statut-Marktnah'!$F15</f>
        <v>0</v>
      </c>
      <c r="U2099" s="1027"/>
      <c r="V2099" s="1027"/>
      <c r="W2099" s="1027"/>
    </row>
    <row r="2100" spans="2:23" ht="38.25" x14ac:dyDescent="0.2">
      <c r="B2100" s="1083">
        <f>'BewDifferenzen_Statut-Marktnah'!$A$1</f>
        <v>42</v>
      </c>
      <c r="C2100" s="1084" t="str">
        <f>'BewDifferenzen_Statut-Marktnah'!$B$1</f>
        <v>Differenzen zwischen statutarischer und marktnaher Bewertung</v>
      </c>
      <c r="D2100" s="1143" t="str">
        <f>'BewDifferenzen_Statut-Marktnah'!$D$13</f>
        <v>Grundstücke und Bauten</v>
      </c>
      <c r="E2100" s="1547" t="str">
        <f>'BewDifferenzen_Statut-Marktnah'!$E16</f>
        <v>dem Geschäft nach UVG zugeordnet</v>
      </c>
      <c r="F2100" s="1548" t="str">
        <f>'BewDifferenzen_Statut-Marktnah'!$F$4</f>
        <v>Statutarischer Bilanzwert</v>
      </c>
      <c r="G2100" s="1494"/>
      <c r="H2100" s="1144">
        <f>'BewDifferenzen_Statut-Marktnah'!$F16</f>
        <v>0</v>
      </c>
      <c r="U2100" s="1027"/>
      <c r="V2100" s="1027"/>
      <c r="W2100" s="1027"/>
    </row>
    <row r="2101" spans="2:23" x14ac:dyDescent="0.2">
      <c r="B2101" s="1083"/>
      <c r="C2101" s="1084"/>
      <c r="D2101" s="1143"/>
      <c r="E2101" s="1547"/>
      <c r="F2101" s="1548"/>
      <c r="G2101" s="1494"/>
      <c r="H2101" s="1061"/>
      <c r="U2101" s="1027"/>
      <c r="V2101" s="1027"/>
      <c r="W2101" s="1027"/>
    </row>
    <row r="2102" spans="2:23" ht="38.25" x14ac:dyDescent="0.2">
      <c r="B2102" s="1083">
        <f>'BewDifferenzen_Statut-Marktnah'!$A$1</f>
        <v>42</v>
      </c>
      <c r="C2102" s="1084" t="str">
        <f>'BewDifferenzen_Statut-Marktnah'!$B$1</f>
        <v>Differenzen zwischen statutarischer und marktnaher Bewertung</v>
      </c>
      <c r="D2102" s="1143" t="str">
        <f>'BewDifferenzen_Statut-Marktnah'!$D$18</f>
        <v>Obligationen</v>
      </c>
      <c r="E2102" s="1494"/>
      <c r="F2102" s="1548" t="str">
        <f>'BewDifferenzen_Statut-Marktnah'!$F$4</f>
        <v>Statutarischer Bilanzwert</v>
      </c>
      <c r="G2102" s="1494"/>
      <c r="H2102" s="1062">
        <f>'BewDifferenzen_Statut-Marktnah'!$F18</f>
        <v>0</v>
      </c>
      <c r="U2102" s="1027"/>
      <c r="V2102" s="1027"/>
      <c r="W2102" s="1027"/>
    </row>
    <row r="2103" spans="2:23" ht="38.25" x14ac:dyDescent="0.2">
      <c r="B2103" s="1083">
        <f>'BewDifferenzen_Statut-Marktnah'!$A$1</f>
        <v>42</v>
      </c>
      <c r="C2103" s="1084" t="str">
        <f>'BewDifferenzen_Statut-Marktnah'!$B$1</f>
        <v>Differenzen zwischen statutarischer und marktnaher Bewertung</v>
      </c>
      <c r="D2103" s="1143" t="str">
        <f>'BewDifferenzen_Statut-Marktnah'!$D$18</f>
        <v>Obligationen</v>
      </c>
      <c r="E2103" s="1547" t="str">
        <f>'BewDifferenzen_Statut-Marktnah'!$E19</f>
        <v>dem Geschäft nach KVG zugeordnet</v>
      </c>
      <c r="F2103" s="1548" t="str">
        <f>'BewDifferenzen_Statut-Marktnah'!$F$4</f>
        <v>Statutarischer Bilanzwert</v>
      </c>
      <c r="G2103" s="1494"/>
      <c r="H2103" s="1144">
        <f>'BewDifferenzen_Statut-Marktnah'!$F19</f>
        <v>0</v>
      </c>
      <c r="U2103" s="1027"/>
      <c r="V2103" s="1027"/>
      <c r="W2103" s="1027"/>
    </row>
    <row r="2104" spans="2:23" ht="38.25" x14ac:dyDescent="0.2">
      <c r="B2104" s="1083">
        <f>'BewDifferenzen_Statut-Marktnah'!$A$1</f>
        <v>42</v>
      </c>
      <c r="C2104" s="1084" t="str">
        <f>'BewDifferenzen_Statut-Marktnah'!$B$1</f>
        <v>Differenzen zwischen statutarischer und marktnaher Bewertung</v>
      </c>
      <c r="D2104" s="1143" t="str">
        <f>'BewDifferenzen_Statut-Marktnah'!$D$18</f>
        <v>Obligationen</v>
      </c>
      <c r="E2104" s="1547" t="str">
        <f>'BewDifferenzen_Statut-Marktnah'!$E20</f>
        <v>dem Geschäft nach VVG zugeordnet</v>
      </c>
      <c r="F2104" s="1548" t="str">
        <f>'BewDifferenzen_Statut-Marktnah'!$F$4</f>
        <v>Statutarischer Bilanzwert</v>
      </c>
      <c r="G2104" s="1494"/>
      <c r="H2104" s="1144">
        <f>'BewDifferenzen_Statut-Marktnah'!$F20</f>
        <v>0</v>
      </c>
      <c r="U2104" s="1027"/>
      <c r="V2104" s="1027"/>
      <c r="W2104" s="1027"/>
    </row>
    <row r="2105" spans="2:23" ht="38.25" x14ac:dyDescent="0.2">
      <c r="B2105" s="1083">
        <f>'BewDifferenzen_Statut-Marktnah'!$A$1</f>
        <v>42</v>
      </c>
      <c r="C2105" s="1084" t="str">
        <f>'BewDifferenzen_Statut-Marktnah'!$B$1</f>
        <v>Differenzen zwischen statutarischer und marktnaher Bewertung</v>
      </c>
      <c r="D2105" s="1143" t="str">
        <f>'BewDifferenzen_Statut-Marktnah'!$D$18</f>
        <v>Obligationen</v>
      </c>
      <c r="E2105" s="1547" t="str">
        <f>'BewDifferenzen_Statut-Marktnah'!$E21</f>
        <v>dem Geschäft nach UVG zugeordnet</v>
      </c>
      <c r="F2105" s="1548" t="str">
        <f>'BewDifferenzen_Statut-Marktnah'!$F$4</f>
        <v>Statutarischer Bilanzwert</v>
      </c>
      <c r="G2105" s="1494"/>
      <c r="H2105" s="1144">
        <f>'BewDifferenzen_Statut-Marktnah'!$F21</f>
        <v>0</v>
      </c>
      <c r="U2105" s="1027"/>
      <c r="V2105" s="1027"/>
      <c r="W2105" s="1027"/>
    </row>
    <row r="2106" spans="2:23" x14ac:dyDescent="0.2">
      <c r="B2106" s="1083"/>
      <c r="C2106" s="1084"/>
      <c r="D2106" s="1143"/>
      <c r="E2106" s="1547"/>
      <c r="F2106" s="1548"/>
      <c r="G2106" s="1494"/>
      <c r="H2106" s="1061"/>
      <c r="U2106" s="1027"/>
      <c r="V2106" s="1027"/>
      <c r="W2106" s="1027"/>
    </row>
    <row r="2107" spans="2:23" ht="38.25" x14ac:dyDescent="0.2">
      <c r="B2107" s="1083">
        <f>'BewDifferenzen_Statut-Marktnah'!$A$1</f>
        <v>42</v>
      </c>
      <c r="C2107" s="1084" t="str">
        <f>'BewDifferenzen_Statut-Marktnah'!$B$1</f>
        <v>Differenzen zwischen statutarischer und marktnaher Bewertung</v>
      </c>
      <c r="D2107" s="1143" t="str">
        <f>'BewDifferenzen_Statut-Marktnah'!$D$23</f>
        <v>Aktien und ähnliche Anlagen</v>
      </c>
      <c r="E2107" s="1494"/>
      <c r="F2107" s="1548" t="str">
        <f>'BewDifferenzen_Statut-Marktnah'!$F$4</f>
        <v>Statutarischer Bilanzwert</v>
      </c>
      <c r="G2107" s="1494"/>
      <c r="H2107" s="1062">
        <f>'BewDifferenzen_Statut-Marktnah'!$F23</f>
        <v>0</v>
      </c>
      <c r="U2107" s="1027"/>
      <c r="V2107" s="1027"/>
      <c r="W2107" s="1027"/>
    </row>
    <row r="2108" spans="2:23" ht="38.25" x14ac:dyDescent="0.2">
      <c r="B2108" s="1083">
        <f>'BewDifferenzen_Statut-Marktnah'!$A$1</f>
        <v>42</v>
      </c>
      <c r="C2108" s="1084" t="str">
        <f>'BewDifferenzen_Statut-Marktnah'!$B$1</f>
        <v>Differenzen zwischen statutarischer und marktnaher Bewertung</v>
      </c>
      <c r="D2108" s="1143" t="str">
        <f>'BewDifferenzen_Statut-Marktnah'!$D$23</f>
        <v>Aktien und ähnliche Anlagen</v>
      </c>
      <c r="E2108" s="1547" t="str">
        <f>'BewDifferenzen_Statut-Marktnah'!$E24</f>
        <v>dem Geschäft nach KVG zugeordnet</v>
      </c>
      <c r="F2108" s="1548" t="str">
        <f>'BewDifferenzen_Statut-Marktnah'!$F$4</f>
        <v>Statutarischer Bilanzwert</v>
      </c>
      <c r="G2108" s="1494"/>
      <c r="H2108" s="1144">
        <f>'BewDifferenzen_Statut-Marktnah'!$F24</f>
        <v>0</v>
      </c>
      <c r="U2108" s="1027"/>
      <c r="V2108" s="1027"/>
      <c r="W2108" s="1027"/>
    </row>
    <row r="2109" spans="2:23" ht="38.25" x14ac:dyDescent="0.2">
      <c r="B2109" s="1083">
        <f>'BewDifferenzen_Statut-Marktnah'!$A$1</f>
        <v>42</v>
      </c>
      <c r="C2109" s="1084" t="str">
        <f>'BewDifferenzen_Statut-Marktnah'!$B$1</f>
        <v>Differenzen zwischen statutarischer und marktnaher Bewertung</v>
      </c>
      <c r="D2109" s="1143" t="str">
        <f>'BewDifferenzen_Statut-Marktnah'!$D$23</f>
        <v>Aktien und ähnliche Anlagen</v>
      </c>
      <c r="E2109" s="1547" t="str">
        <f>'BewDifferenzen_Statut-Marktnah'!$E25</f>
        <v>dem Geschäft nach VVG zugeordnet</v>
      </c>
      <c r="F2109" s="1548" t="str">
        <f>'BewDifferenzen_Statut-Marktnah'!$F$4</f>
        <v>Statutarischer Bilanzwert</v>
      </c>
      <c r="G2109" s="1494"/>
      <c r="H2109" s="1144">
        <f>'BewDifferenzen_Statut-Marktnah'!$F25</f>
        <v>0</v>
      </c>
      <c r="U2109" s="1027"/>
      <c r="V2109" s="1027"/>
      <c r="W2109" s="1027"/>
    </row>
    <row r="2110" spans="2:23" ht="38.25" x14ac:dyDescent="0.2">
      <c r="B2110" s="1083">
        <f>'BewDifferenzen_Statut-Marktnah'!$A$1</f>
        <v>42</v>
      </c>
      <c r="C2110" s="1084" t="str">
        <f>'BewDifferenzen_Statut-Marktnah'!$B$1</f>
        <v>Differenzen zwischen statutarischer und marktnaher Bewertung</v>
      </c>
      <c r="D2110" s="1143" t="str">
        <f>'BewDifferenzen_Statut-Marktnah'!$D$23</f>
        <v>Aktien und ähnliche Anlagen</v>
      </c>
      <c r="E2110" s="1547" t="str">
        <f>'BewDifferenzen_Statut-Marktnah'!$E26</f>
        <v>dem Geschäft nach UVG zugeordnet</v>
      </c>
      <c r="F2110" s="1548" t="str">
        <f>'BewDifferenzen_Statut-Marktnah'!$F$4</f>
        <v>Statutarischer Bilanzwert</v>
      </c>
      <c r="G2110" s="1494"/>
      <c r="H2110" s="1144">
        <f>'BewDifferenzen_Statut-Marktnah'!$F26</f>
        <v>0</v>
      </c>
      <c r="U2110" s="1027"/>
      <c r="V2110" s="1027"/>
      <c r="W2110" s="1027"/>
    </row>
    <row r="2111" spans="2:23" x14ac:dyDescent="0.2">
      <c r="B2111" s="1083"/>
      <c r="C2111" s="1084"/>
      <c r="D2111" s="1143"/>
      <c r="E2111" s="1547"/>
      <c r="F2111" s="1548"/>
      <c r="G2111" s="1494"/>
      <c r="H2111" s="1061"/>
      <c r="U2111" s="1027"/>
      <c r="V2111" s="1027"/>
      <c r="W2111" s="1027"/>
    </row>
    <row r="2112" spans="2:23" ht="38.25" x14ac:dyDescent="0.2">
      <c r="B2112" s="1083">
        <f>'BewDifferenzen_Statut-Marktnah'!$A$1</f>
        <v>42</v>
      </c>
      <c r="C2112" s="1084" t="str">
        <f>'BewDifferenzen_Statut-Marktnah'!$B$1</f>
        <v>Differenzen zwischen statutarischer und marktnaher Bewertung</v>
      </c>
      <c r="D2112" s="1143" t="str">
        <f>'BewDifferenzen_Statut-Marktnah'!$D$28</f>
        <v>Anteile an Anlagefonds</v>
      </c>
      <c r="E2112" s="1494"/>
      <c r="F2112" s="1548" t="str">
        <f>'BewDifferenzen_Statut-Marktnah'!$F$4</f>
        <v>Statutarischer Bilanzwert</v>
      </c>
      <c r="G2112" s="1494"/>
      <c r="H2112" s="1062">
        <f>'BewDifferenzen_Statut-Marktnah'!$F28</f>
        <v>0</v>
      </c>
      <c r="U2112" s="1027"/>
      <c r="V2112" s="1027"/>
      <c r="W2112" s="1027"/>
    </row>
    <row r="2113" spans="2:23" ht="38.25" x14ac:dyDescent="0.2">
      <c r="B2113" s="1083">
        <f>'BewDifferenzen_Statut-Marktnah'!$A$1</f>
        <v>42</v>
      </c>
      <c r="C2113" s="1084" t="str">
        <f>'BewDifferenzen_Statut-Marktnah'!$B$1</f>
        <v>Differenzen zwischen statutarischer und marktnaher Bewertung</v>
      </c>
      <c r="D2113" s="1143" t="str">
        <f>'BewDifferenzen_Statut-Marktnah'!$D$28</f>
        <v>Anteile an Anlagefonds</v>
      </c>
      <c r="E2113" s="1547" t="str">
        <f>'BewDifferenzen_Statut-Marktnah'!$E29</f>
        <v>dem Geschäft nach KVG zugeordnet</v>
      </c>
      <c r="F2113" s="1548" t="str">
        <f>'BewDifferenzen_Statut-Marktnah'!$F$4</f>
        <v>Statutarischer Bilanzwert</v>
      </c>
      <c r="G2113" s="1494"/>
      <c r="H2113" s="1144">
        <f>'BewDifferenzen_Statut-Marktnah'!$F29</f>
        <v>0</v>
      </c>
      <c r="U2113" s="1027"/>
      <c r="V2113" s="1027"/>
      <c r="W2113" s="1027"/>
    </row>
    <row r="2114" spans="2:23" ht="38.25" x14ac:dyDescent="0.2">
      <c r="B2114" s="1083">
        <f>'BewDifferenzen_Statut-Marktnah'!$A$1</f>
        <v>42</v>
      </c>
      <c r="C2114" s="1084" t="str">
        <f>'BewDifferenzen_Statut-Marktnah'!$B$1</f>
        <v>Differenzen zwischen statutarischer und marktnaher Bewertung</v>
      </c>
      <c r="D2114" s="1143" t="str">
        <f>'BewDifferenzen_Statut-Marktnah'!$D$28</f>
        <v>Anteile an Anlagefonds</v>
      </c>
      <c r="E2114" s="1547" t="str">
        <f>'BewDifferenzen_Statut-Marktnah'!$E30</f>
        <v>dem Geschäft nach VVG zugeordnet</v>
      </c>
      <c r="F2114" s="1548" t="str">
        <f>'BewDifferenzen_Statut-Marktnah'!$F$4</f>
        <v>Statutarischer Bilanzwert</v>
      </c>
      <c r="G2114" s="1494"/>
      <c r="H2114" s="1144">
        <f>'BewDifferenzen_Statut-Marktnah'!$F30</f>
        <v>0</v>
      </c>
      <c r="U2114" s="1027"/>
      <c r="V2114" s="1027"/>
      <c r="W2114" s="1027"/>
    </row>
    <row r="2115" spans="2:23" ht="38.25" x14ac:dyDescent="0.2">
      <c r="B2115" s="1083">
        <f>'BewDifferenzen_Statut-Marktnah'!$A$1</f>
        <v>42</v>
      </c>
      <c r="C2115" s="1084" t="str">
        <f>'BewDifferenzen_Statut-Marktnah'!$B$1</f>
        <v>Differenzen zwischen statutarischer und marktnaher Bewertung</v>
      </c>
      <c r="D2115" s="1143" t="str">
        <f>'BewDifferenzen_Statut-Marktnah'!$D$28</f>
        <v>Anteile an Anlagefonds</v>
      </c>
      <c r="E2115" s="1547" t="str">
        <f>'BewDifferenzen_Statut-Marktnah'!$E31</f>
        <v>dem Geschäft nach UVG zugeordnet</v>
      </c>
      <c r="F2115" s="1548" t="str">
        <f>'BewDifferenzen_Statut-Marktnah'!$F$4</f>
        <v>Statutarischer Bilanzwert</v>
      </c>
      <c r="G2115" s="1494"/>
      <c r="H2115" s="1144">
        <f>'BewDifferenzen_Statut-Marktnah'!$F31</f>
        <v>0</v>
      </c>
      <c r="U2115" s="1027"/>
      <c r="V2115" s="1027"/>
      <c r="W2115" s="1027"/>
    </row>
    <row r="2116" spans="2:23" x14ac:dyDescent="0.2">
      <c r="B2116" s="1083"/>
      <c r="C2116" s="1084"/>
      <c r="D2116" s="1143"/>
      <c r="E2116" s="1547"/>
      <c r="F2116" s="1548"/>
      <c r="G2116" s="1494"/>
      <c r="H2116" s="1061"/>
      <c r="U2116" s="1027"/>
      <c r="V2116" s="1027"/>
      <c r="W2116" s="1027"/>
    </row>
    <row r="2117" spans="2:23" ht="38.25" x14ac:dyDescent="0.2">
      <c r="B2117" s="1083">
        <f>'BewDifferenzen_Statut-Marktnah'!$A$1</f>
        <v>42</v>
      </c>
      <c r="C2117" s="1084" t="str">
        <f>'BewDifferenzen_Statut-Marktnah'!$B$1</f>
        <v>Differenzen zwischen statutarischer und marktnaher Bewertung</v>
      </c>
      <c r="D2117" s="1143" t="str">
        <f>'BewDifferenzen_Statut-Marktnah'!$D$33</f>
        <v>Derivative Finanzinstrumente (Guthaben)</v>
      </c>
      <c r="E2117" s="1494"/>
      <c r="F2117" s="1548" t="str">
        <f>'BewDifferenzen_Statut-Marktnah'!$F$4</f>
        <v>Statutarischer Bilanzwert</v>
      </c>
      <c r="G2117" s="1494"/>
      <c r="H2117" s="1062">
        <f>'BewDifferenzen_Statut-Marktnah'!$F33</f>
        <v>0</v>
      </c>
      <c r="U2117" s="1027"/>
      <c r="V2117" s="1027"/>
      <c r="W2117" s="1027"/>
    </row>
    <row r="2118" spans="2:23" ht="38.25" x14ac:dyDescent="0.2">
      <c r="B2118" s="1083">
        <f>'BewDifferenzen_Statut-Marktnah'!$A$1</f>
        <v>42</v>
      </c>
      <c r="C2118" s="1084" t="str">
        <f>'BewDifferenzen_Statut-Marktnah'!$B$1</f>
        <v>Differenzen zwischen statutarischer und marktnaher Bewertung</v>
      </c>
      <c r="D2118" s="1143" t="str">
        <f>'BewDifferenzen_Statut-Marktnah'!$D$33</f>
        <v>Derivative Finanzinstrumente (Guthaben)</v>
      </c>
      <c r="E2118" s="1547" t="str">
        <f>'BewDifferenzen_Statut-Marktnah'!$E34</f>
        <v>dem Geschäft nach KVG zugeordnet</v>
      </c>
      <c r="F2118" s="1548" t="str">
        <f>'BewDifferenzen_Statut-Marktnah'!$F$4</f>
        <v>Statutarischer Bilanzwert</v>
      </c>
      <c r="G2118" s="1494"/>
      <c r="H2118" s="1144">
        <f>'BewDifferenzen_Statut-Marktnah'!$F34</f>
        <v>0</v>
      </c>
      <c r="U2118" s="1027"/>
      <c r="V2118" s="1027"/>
      <c r="W2118" s="1027"/>
    </row>
    <row r="2119" spans="2:23" ht="38.25" x14ac:dyDescent="0.2">
      <c r="B2119" s="1083">
        <f>'BewDifferenzen_Statut-Marktnah'!$A$1</f>
        <v>42</v>
      </c>
      <c r="C2119" s="1084" t="str">
        <f>'BewDifferenzen_Statut-Marktnah'!$B$1</f>
        <v>Differenzen zwischen statutarischer und marktnaher Bewertung</v>
      </c>
      <c r="D2119" s="1143" t="str">
        <f>'BewDifferenzen_Statut-Marktnah'!$D$33</f>
        <v>Derivative Finanzinstrumente (Guthaben)</v>
      </c>
      <c r="E2119" s="1547" t="str">
        <f>'BewDifferenzen_Statut-Marktnah'!$E35</f>
        <v>dem Geschäft nach VVG zugeordnet</v>
      </c>
      <c r="F2119" s="1548" t="str">
        <f>'BewDifferenzen_Statut-Marktnah'!$F$4</f>
        <v>Statutarischer Bilanzwert</v>
      </c>
      <c r="G2119" s="1494"/>
      <c r="H2119" s="1144">
        <f>'BewDifferenzen_Statut-Marktnah'!$F35</f>
        <v>0</v>
      </c>
      <c r="U2119" s="1027"/>
      <c r="V2119" s="1027"/>
      <c r="W2119" s="1027"/>
    </row>
    <row r="2120" spans="2:23" ht="38.25" x14ac:dyDescent="0.2">
      <c r="B2120" s="1083">
        <f>'BewDifferenzen_Statut-Marktnah'!$A$1</f>
        <v>42</v>
      </c>
      <c r="C2120" s="1084" t="str">
        <f>'BewDifferenzen_Statut-Marktnah'!$B$1</f>
        <v>Differenzen zwischen statutarischer und marktnaher Bewertung</v>
      </c>
      <c r="D2120" s="1143" t="str">
        <f>'BewDifferenzen_Statut-Marktnah'!$D$33</f>
        <v>Derivative Finanzinstrumente (Guthaben)</v>
      </c>
      <c r="E2120" s="1547" t="str">
        <f>'BewDifferenzen_Statut-Marktnah'!$E36</f>
        <v>dem Geschäft nach UVG zugeordnet</v>
      </c>
      <c r="F2120" s="1548" t="str">
        <f>'BewDifferenzen_Statut-Marktnah'!$F$4</f>
        <v>Statutarischer Bilanzwert</v>
      </c>
      <c r="G2120" s="1494"/>
      <c r="H2120" s="1144">
        <f>'BewDifferenzen_Statut-Marktnah'!$F36</f>
        <v>0</v>
      </c>
      <c r="U2120" s="1027"/>
      <c r="V2120" s="1027"/>
      <c r="W2120" s="1027"/>
    </row>
    <row r="2121" spans="2:23" x14ac:dyDescent="0.2">
      <c r="B2121" s="1083"/>
      <c r="C2121" s="1084"/>
      <c r="D2121" s="1143"/>
      <c r="E2121" s="1547"/>
      <c r="F2121" s="1548"/>
      <c r="G2121" s="1494"/>
      <c r="H2121" s="1061"/>
      <c r="U2121" s="1027"/>
      <c r="V2121" s="1027"/>
      <c r="W2121" s="1027"/>
    </row>
    <row r="2122" spans="2:23" ht="38.25" x14ac:dyDescent="0.2">
      <c r="B2122" s="1083">
        <f>'BewDifferenzen_Statut-Marktnah'!$A$1</f>
        <v>42</v>
      </c>
      <c r="C2122" s="1084" t="str">
        <f>'BewDifferenzen_Statut-Marktnah'!$B$1</f>
        <v>Differenzen zwischen statutarischer und marktnaher Bewertung</v>
      </c>
      <c r="D2122" s="1143" t="str">
        <f>'BewDifferenzen_Statut-Marktnah'!$D$38</f>
        <v>Liquide Mittel</v>
      </c>
      <c r="E2122" s="1494"/>
      <c r="F2122" s="1548" t="str">
        <f>'BewDifferenzen_Statut-Marktnah'!$F$4</f>
        <v>Statutarischer Bilanzwert</v>
      </c>
      <c r="G2122" s="1494"/>
      <c r="H2122" s="1062">
        <f>'BewDifferenzen_Statut-Marktnah'!$F38</f>
        <v>0</v>
      </c>
      <c r="U2122" s="1027"/>
      <c r="V2122" s="1027"/>
      <c r="W2122" s="1027"/>
    </row>
    <row r="2123" spans="2:23" ht="38.25" x14ac:dyDescent="0.2">
      <c r="B2123" s="1083">
        <f>'BewDifferenzen_Statut-Marktnah'!$A$1</f>
        <v>42</v>
      </c>
      <c r="C2123" s="1084" t="str">
        <f>'BewDifferenzen_Statut-Marktnah'!$B$1</f>
        <v>Differenzen zwischen statutarischer und marktnaher Bewertung</v>
      </c>
      <c r="D2123" s="1143" t="str">
        <f>'BewDifferenzen_Statut-Marktnah'!$D$38</f>
        <v>Liquide Mittel</v>
      </c>
      <c r="E2123" s="1547" t="str">
        <f>'BewDifferenzen_Statut-Marktnah'!$E39</f>
        <v>dem Geschäft nach KVG zugeordnet</v>
      </c>
      <c r="F2123" s="1548" t="str">
        <f>'BewDifferenzen_Statut-Marktnah'!$F$4</f>
        <v>Statutarischer Bilanzwert</v>
      </c>
      <c r="G2123" s="1494"/>
      <c r="H2123" s="1144">
        <f>'BewDifferenzen_Statut-Marktnah'!$F39</f>
        <v>0</v>
      </c>
      <c r="U2123" s="1027"/>
      <c r="V2123" s="1027"/>
      <c r="W2123" s="1027"/>
    </row>
    <row r="2124" spans="2:23" ht="38.25" x14ac:dyDescent="0.2">
      <c r="B2124" s="1083">
        <f>'BewDifferenzen_Statut-Marktnah'!$A$1</f>
        <v>42</v>
      </c>
      <c r="C2124" s="1084" t="str">
        <f>'BewDifferenzen_Statut-Marktnah'!$B$1</f>
        <v>Differenzen zwischen statutarischer und marktnaher Bewertung</v>
      </c>
      <c r="D2124" s="1143" t="str">
        <f>'BewDifferenzen_Statut-Marktnah'!$D$38</f>
        <v>Liquide Mittel</v>
      </c>
      <c r="E2124" s="1547" t="str">
        <f>'BewDifferenzen_Statut-Marktnah'!$E40</f>
        <v>dem Geschäft nach VVG zugeordnet</v>
      </c>
      <c r="F2124" s="1548" t="str">
        <f>'BewDifferenzen_Statut-Marktnah'!$F$4</f>
        <v>Statutarischer Bilanzwert</v>
      </c>
      <c r="G2124" s="1494"/>
      <c r="H2124" s="1144">
        <f>'BewDifferenzen_Statut-Marktnah'!$F40</f>
        <v>0</v>
      </c>
      <c r="U2124" s="1027"/>
      <c r="V2124" s="1027"/>
      <c r="W2124" s="1027"/>
    </row>
    <row r="2125" spans="2:23" ht="38.25" x14ac:dyDescent="0.2">
      <c r="B2125" s="1083">
        <f>'BewDifferenzen_Statut-Marktnah'!$A$1</f>
        <v>42</v>
      </c>
      <c r="C2125" s="1084" t="str">
        <f>'BewDifferenzen_Statut-Marktnah'!$B$1</f>
        <v>Differenzen zwischen statutarischer und marktnaher Bewertung</v>
      </c>
      <c r="D2125" s="1143" t="str">
        <f>'BewDifferenzen_Statut-Marktnah'!$D$38</f>
        <v>Liquide Mittel</v>
      </c>
      <c r="E2125" s="1547" t="str">
        <f>'BewDifferenzen_Statut-Marktnah'!$E41</f>
        <v>dem Geschäft nach UVG zugeordnet</v>
      </c>
      <c r="F2125" s="1548" t="str">
        <f>'BewDifferenzen_Statut-Marktnah'!$F$4</f>
        <v>Statutarischer Bilanzwert</v>
      </c>
      <c r="G2125" s="1494"/>
      <c r="H2125" s="1144">
        <f>'BewDifferenzen_Statut-Marktnah'!$F41</f>
        <v>0</v>
      </c>
      <c r="U2125" s="1027"/>
      <c r="V2125" s="1027"/>
      <c r="W2125" s="1027"/>
    </row>
    <row r="2126" spans="2:23" x14ac:dyDescent="0.2">
      <c r="B2126" s="1083"/>
      <c r="C2126" s="1084"/>
      <c r="D2126" s="1143"/>
      <c r="E2126" s="1547"/>
      <c r="F2126" s="1548"/>
      <c r="G2126" s="1494"/>
      <c r="H2126" s="1061"/>
      <c r="U2126" s="1027"/>
      <c r="V2126" s="1027"/>
      <c r="W2126" s="1027"/>
    </row>
    <row r="2127" spans="2:23" ht="38.25" x14ac:dyDescent="0.2">
      <c r="B2127" s="1083">
        <f>'BewDifferenzen_Statut-Marktnah'!$A$1</f>
        <v>42</v>
      </c>
      <c r="C2127" s="1084" t="str">
        <f>'BewDifferenzen_Statut-Marktnah'!$B$1</f>
        <v>Differenzen zwischen statutarischer und marktnaher Bewertung</v>
      </c>
      <c r="D2127" s="1143" t="str">
        <f>'BewDifferenzen_Statut-Marktnah'!$D$43</f>
        <v>Anlagen in Institutionen, die der Durchführung der sozialen Krankenversicherung dienen</v>
      </c>
      <c r="E2127" s="1494"/>
      <c r="F2127" s="1548" t="str">
        <f>'BewDifferenzen_Statut-Marktnah'!$F$4</f>
        <v>Statutarischer Bilanzwert</v>
      </c>
      <c r="G2127" s="1494"/>
      <c r="H2127" s="1062">
        <f>'BewDifferenzen_Statut-Marktnah'!$F43</f>
        <v>0</v>
      </c>
      <c r="U2127" s="1027"/>
      <c r="V2127" s="1027"/>
      <c r="W2127" s="1027"/>
    </row>
    <row r="2128" spans="2:23" ht="38.25" x14ac:dyDescent="0.2">
      <c r="B2128" s="1083">
        <f>'BewDifferenzen_Statut-Marktnah'!$A$1</f>
        <v>42</v>
      </c>
      <c r="C2128" s="1084" t="str">
        <f>'BewDifferenzen_Statut-Marktnah'!$B$1</f>
        <v>Differenzen zwischen statutarischer und marktnaher Bewertung</v>
      </c>
      <c r="D2128" s="1143" t="str">
        <f>'BewDifferenzen_Statut-Marktnah'!$D$43</f>
        <v>Anlagen in Institutionen, die der Durchführung der sozialen Krankenversicherung dienen</v>
      </c>
      <c r="E2128" s="1547" t="str">
        <f>'BewDifferenzen_Statut-Marktnah'!$E44</f>
        <v>dem Geschäft nach KVG zugeordnet</v>
      </c>
      <c r="F2128" s="1548" t="str">
        <f>'BewDifferenzen_Statut-Marktnah'!$F$4</f>
        <v>Statutarischer Bilanzwert</v>
      </c>
      <c r="G2128" s="1494"/>
      <c r="H2128" s="1144">
        <f>'BewDifferenzen_Statut-Marktnah'!$F44</f>
        <v>0</v>
      </c>
      <c r="U2128" s="1027"/>
      <c r="V2128" s="1027"/>
      <c r="W2128" s="1027"/>
    </row>
    <row r="2129" spans="2:23" ht="38.25" x14ac:dyDescent="0.2">
      <c r="B2129" s="1083">
        <f>'BewDifferenzen_Statut-Marktnah'!$A$1</f>
        <v>42</v>
      </c>
      <c r="C2129" s="1084" t="str">
        <f>'BewDifferenzen_Statut-Marktnah'!$B$1</f>
        <v>Differenzen zwischen statutarischer und marktnaher Bewertung</v>
      </c>
      <c r="D2129" s="1143" t="str">
        <f>'BewDifferenzen_Statut-Marktnah'!$D$43</f>
        <v>Anlagen in Institutionen, die der Durchführung der sozialen Krankenversicherung dienen</v>
      </c>
      <c r="E2129" s="1547" t="str">
        <f>'BewDifferenzen_Statut-Marktnah'!$E45</f>
        <v>dem Geschäft nach VVG zugeordnet</v>
      </c>
      <c r="F2129" s="1548" t="str">
        <f>'BewDifferenzen_Statut-Marktnah'!$F$4</f>
        <v>Statutarischer Bilanzwert</v>
      </c>
      <c r="G2129" s="1494"/>
      <c r="H2129" s="1144">
        <f>'BewDifferenzen_Statut-Marktnah'!$F45</f>
        <v>0</v>
      </c>
      <c r="U2129" s="1027"/>
      <c r="V2129" s="1027"/>
      <c r="W2129" s="1027"/>
    </row>
    <row r="2130" spans="2:23" ht="38.25" x14ac:dyDescent="0.2">
      <c r="B2130" s="1083">
        <f>'BewDifferenzen_Statut-Marktnah'!$A$1</f>
        <v>42</v>
      </c>
      <c r="C2130" s="1084" t="str">
        <f>'BewDifferenzen_Statut-Marktnah'!$B$1</f>
        <v>Differenzen zwischen statutarischer und marktnaher Bewertung</v>
      </c>
      <c r="D2130" s="1143" t="str">
        <f>'BewDifferenzen_Statut-Marktnah'!$D$43</f>
        <v>Anlagen in Institutionen, die der Durchführung der sozialen Krankenversicherung dienen</v>
      </c>
      <c r="E2130" s="1547" t="str">
        <f>'BewDifferenzen_Statut-Marktnah'!$E46</f>
        <v>dem Geschäft nach UVG zugeordnet</v>
      </c>
      <c r="F2130" s="1548" t="str">
        <f>'BewDifferenzen_Statut-Marktnah'!$F$4</f>
        <v>Statutarischer Bilanzwert</v>
      </c>
      <c r="G2130" s="1494"/>
      <c r="H2130" s="1144">
        <f>'BewDifferenzen_Statut-Marktnah'!$F46</f>
        <v>0</v>
      </c>
      <c r="U2130" s="1027"/>
      <c r="V2130" s="1027"/>
      <c r="W2130" s="1027"/>
    </row>
    <row r="2131" spans="2:23" x14ac:dyDescent="0.2">
      <c r="B2131" s="1083"/>
      <c r="C2131" s="1084"/>
      <c r="D2131" s="1143"/>
      <c r="E2131" s="1547"/>
      <c r="F2131" s="1548"/>
      <c r="G2131" s="1494"/>
      <c r="H2131" s="1061"/>
      <c r="U2131" s="1027"/>
      <c r="V2131" s="1027"/>
      <c r="W2131" s="1027"/>
    </row>
    <row r="2132" spans="2:23" ht="38.25" x14ac:dyDescent="0.2">
      <c r="B2132" s="1083">
        <f>'BewDifferenzen_Statut-Marktnah'!$A$1</f>
        <v>42</v>
      </c>
      <c r="C2132" s="1084" t="str">
        <f>'BewDifferenzen_Statut-Marktnah'!$B$1</f>
        <v>Differenzen zwischen statutarischer und marktnaher Bewertung</v>
      </c>
      <c r="D2132" s="1143" t="str">
        <f>'BewDifferenzen_Statut-Marktnah'!$D$48</f>
        <v>Übrige Kapitalanlagen (Latente Steuern, Aktiven aus Vorsorgeplänen)</v>
      </c>
      <c r="E2132" s="1494"/>
      <c r="F2132" s="1548" t="str">
        <f>'BewDifferenzen_Statut-Marktnah'!$F$4</f>
        <v>Statutarischer Bilanzwert</v>
      </c>
      <c r="G2132" s="1494"/>
      <c r="H2132" s="1062">
        <f>'BewDifferenzen_Statut-Marktnah'!$F48</f>
        <v>0</v>
      </c>
      <c r="U2132" s="1027"/>
      <c r="V2132" s="1027"/>
      <c r="W2132" s="1027"/>
    </row>
    <row r="2133" spans="2:23" ht="38.25" x14ac:dyDescent="0.2">
      <c r="B2133" s="1083">
        <f>'BewDifferenzen_Statut-Marktnah'!$A$1</f>
        <v>42</v>
      </c>
      <c r="C2133" s="1084" t="str">
        <f>'BewDifferenzen_Statut-Marktnah'!$B$1</f>
        <v>Differenzen zwischen statutarischer und marktnaher Bewertung</v>
      </c>
      <c r="D2133" s="1143" t="str">
        <f>'BewDifferenzen_Statut-Marktnah'!$D$48</f>
        <v>Übrige Kapitalanlagen (Latente Steuern, Aktiven aus Vorsorgeplänen)</v>
      </c>
      <c r="E2133" s="1547" t="str">
        <f>'BewDifferenzen_Statut-Marktnah'!$E49</f>
        <v>dem Geschäft nach KVG zugeordnet</v>
      </c>
      <c r="F2133" s="1548" t="str">
        <f>'BewDifferenzen_Statut-Marktnah'!$F$4</f>
        <v>Statutarischer Bilanzwert</v>
      </c>
      <c r="G2133" s="1494"/>
      <c r="H2133" s="1144">
        <f>'BewDifferenzen_Statut-Marktnah'!$F49</f>
        <v>0</v>
      </c>
      <c r="U2133" s="1027"/>
      <c r="V2133" s="1027"/>
      <c r="W2133" s="1027"/>
    </row>
    <row r="2134" spans="2:23" ht="38.25" x14ac:dyDescent="0.2">
      <c r="B2134" s="1083">
        <f>'BewDifferenzen_Statut-Marktnah'!$A$1</f>
        <v>42</v>
      </c>
      <c r="C2134" s="1084" t="str">
        <f>'BewDifferenzen_Statut-Marktnah'!$B$1</f>
        <v>Differenzen zwischen statutarischer und marktnaher Bewertung</v>
      </c>
      <c r="D2134" s="1143" t="str">
        <f>'BewDifferenzen_Statut-Marktnah'!$D$48</f>
        <v>Übrige Kapitalanlagen (Latente Steuern, Aktiven aus Vorsorgeplänen)</v>
      </c>
      <c r="E2134" s="1547" t="str">
        <f>'BewDifferenzen_Statut-Marktnah'!$E50</f>
        <v>dem Geschäft nach VVG zugeordnet</v>
      </c>
      <c r="F2134" s="1548" t="str">
        <f>'BewDifferenzen_Statut-Marktnah'!$F$4</f>
        <v>Statutarischer Bilanzwert</v>
      </c>
      <c r="G2134" s="1494"/>
      <c r="H2134" s="1144">
        <f>'BewDifferenzen_Statut-Marktnah'!$F50</f>
        <v>0</v>
      </c>
      <c r="U2134" s="1027"/>
      <c r="V2134" s="1027"/>
      <c r="W2134" s="1027"/>
    </row>
    <row r="2135" spans="2:23" ht="38.25" x14ac:dyDescent="0.2">
      <c r="B2135" s="1083">
        <f>'BewDifferenzen_Statut-Marktnah'!$A$1</f>
        <v>42</v>
      </c>
      <c r="C2135" s="1084" t="str">
        <f>'BewDifferenzen_Statut-Marktnah'!$B$1</f>
        <v>Differenzen zwischen statutarischer und marktnaher Bewertung</v>
      </c>
      <c r="D2135" s="1143" t="str">
        <f>'BewDifferenzen_Statut-Marktnah'!$D$48</f>
        <v>Übrige Kapitalanlagen (Latente Steuern, Aktiven aus Vorsorgeplänen)</v>
      </c>
      <c r="E2135" s="1547" t="str">
        <f>'BewDifferenzen_Statut-Marktnah'!$E51</f>
        <v>dem Geschäft nach UVG zugeordnet</v>
      </c>
      <c r="F2135" s="1548" t="str">
        <f>'BewDifferenzen_Statut-Marktnah'!$F$4</f>
        <v>Statutarischer Bilanzwert</v>
      </c>
      <c r="G2135" s="1494"/>
      <c r="H2135" s="1144">
        <f>'BewDifferenzen_Statut-Marktnah'!$F51</f>
        <v>0</v>
      </c>
      <c r="U2135" s="1027"/>
      <c r="V2135" s="1027"/>
      <c r="W2135" s="1027"/>
    </row>
    <row r="2136" spans="2:23" x14ac:dyDescent="0.2">
      <c r="B2136" s="1083"/>
      <c r="C2136" s="1084"/>
      <c r="D2136" s="1143"/>
      <c r="E2136" s="1547"/>
      <c r="F2136" s="1548"/>
      <c r="G2136" s="1494"/>
      <c r="H2136" s="1061"/>
      <c r="U2136" s="1027"/>
      <c r="V2136" s="1027"/>
      <c r="W2136" s="1027"/>
    </row>
    <row r="2137" spans="2:23" ht="38.25" x14ac:dyDescent="0.2">
      <c r="B2137" s="1083">
        <f>'BewDifferenzen_Statut-Marktnah'!$A$1</f>
        <v>42</v>
      </c>
      <c r="C2137" s="1084" t="str">
        <f>'BewDifferenzen_Statut-Marktnah'!$B$1</f>
        <v>Differenzen zwischen statutarischer und marktnaher Bewertung</v>
      </c>
      <c r="D2137" s="1143" t="str">
        <f>'BewDifferenzen_Statut-Marktnah'!$D$53</f>
        <v>Total Kapitalanlagen</v>
      </c>
      <c r="E2137" s="1494"/>
      <c r="F2137" s="1548" t="str">
        <f>'BewDifferenzen_Statut-Marktnah'!$F$4</f>
        <v>Statutarischer Bilanzwert</v>
      </c>
      <c r="G2137" s="1494"/>
      <c r="H2137" s="1065">
        <f>'BewDifferenzen_Statut-Marktnah'!$F53</f>
        <v>0</v>
      </c>
      <c r="U2137" s="1027"/>
      <c r="V2137" s="1027"/>
      <c r="W2137" s="1027"/>
    </row>
    <row r="2138" spans="2:23" x14ac:dyDescent="0.2">
      <c r="B2138" s="1083"/>
      <c r="C2138" s="1084"/>
      <c r="D2138" s="1143"/>
      <c r="E2138" s="1547"/>
      <c r="F2138" s="1548"/>
      <c r="G2138" s="1494"/>
      <c r="H2138" s="1061"/>
      <c r="U2138" s="1027"/>
      <c r="V2138" s="1027"/>
      <c r="W2138" s="1027"/>
    </row>
    <row r="2139" spans="2:23" ht="38.25" x14ac:dyDescent="0.2">
      <c r="B2139" s="1083">
        <f>'BewDifferenzen_Statut-Marktnah'!$A$1</f>
        <v>42</v>
      </c>
      <c r="C2139" s="1084" t="str">
        <f>'BewDifferenzen_Statut-Marktnah'!$B$1</f>
        <v>Differenzen zwischen statutarischer und marktnaher Bewertung</v>
      </c>
      <c r="D2139" s="1143" t="str">
        <f>'BewDifferenzen_Statut-Marktnah'!$D$57</f>
        <v>Übriges Anlagevermögen (Immaterielle Anlagen, Sachanlagen)</v>
      </c>
      <c r="E2139" s="1494"/>
      <c r="F2139" s="1548" t="str">
        <f>'BewDifferenzen_Statut-Marktnah'!$F$4</f>
        <v>Statutarischer Bilanzwert</v>
      </c>
      <c r="G2139" s="1494"/>
      <c r="H2139" s="1062">
        <f>'BewDifferenzen_Statut-Marktnah'!$F57</f>
        <v>0</v>
      </c>
      <c r="U2139" s="1027"/>
      <c r="V2139" s="1027"/>
      <c r="W2139" s="1027"/>
    </row>
    <row r="2140" spans="2:23" ht="38.25" x14ac:dyDescent="0.2">
      <c r="B2140" s="1083">
        <f>'BewDifferenzen_Statut-Marktnah'!$A$1</f>
        <v>42</v>
      </c>
      <c r="C2140" s="1084" t="str">
        <f>'BewDifferenzen_Statut-Marktnah'!$B$1</f>
        <v>Differenzen zwischen statutarischer und marktnaher Bewertung</v>
      </c>
      <c r="D2140" s="1143" t="str">
        <f>'BewDifferenzen_Statut-Marktnah'!$D$57</f>
        <v>Übriges Anlagevermögen (Immaterielle Anlagen, Sachanlagen)</v>
      </c>
      <c r="E2140" s="1547" t="str">
        <f>'BewDifferenzen_Statut-Marktnah'!$E58</f>
        <v>dem Geschäft nach KVG zugeordnet</v>
      </c>
      <c r="F2140" s="1548" t="str">
        <f>'BewDifferenzen_Statut-Marktnah'!$F$4</f>
        <v>Statutarischer Bilanzwert</v>
      </c>
      <c r="G2140" s="1494"/>
      <c r="H2140" s="1144">
        <f>'BewDifferenzen_Statut-Marktnah'!$F58</f>
        <v>0</v>
      </c>
      <c r="U2140" s="1027"/>
      <c r="V2140" s="1027"/>
      <c r="W2140" s="1027"/>
    </row>
    <row r="2141" spans="2:23" ht="38.25" x14ac:dyDescent="0.2">
      <c r="B2141" s="1083">
        <f>'BewDifferenzen_Statut-Marktnah'!$A$1</f>
        <v>42</v>
      </c>
      <c r="C2141" s="1084" t="str">
        <f>'BewDifferenzen_Statut-Marktnah'!$B$1</f>
        <v>Differenzen zwischen statutarischer und marktnaher Bewertung</v>
      </c>
      <c r="D2141" s="1143" t="str">
        <f>'BewDifferenzen_Statut-Marktnah'!$D$57</f>
        <v>Übriges Anlagevermögen (Immaterielle Anlagen, Sachanlagen)</v>
      </c>
      <c r="E2141" s="1547" t="str">
        <f>'BewDifferenzen_Statut-Marktnah'!$E59</f>
        <v>dem Geschäft nach VVG zugeordnet</v>
      </c>
      <c r="F2141" s="1548" t="str">
        <f>'BewDifferenzen_Statut-Marktnah'!$F$4</f>
        <v>Statutarischer Bilanzwert</v>
      </c>
      <c r="G2141" s="1494"/>
      <c r="H2141" s="1144">
        <f>'BewDifferenzen_Statut-Marktnah'!$F59</f>
        <v>0</v>
      </c>
      <c r="U2141" s="1027"/>
      <c r="V2141" s="1027"/>
      <c r="W2141" s="1027"/>
    </row>
    <row r="2142" spans="2:23" ht="12.75" customHeight="1" x14ac:dyDescent="0.2">
      <c r="B2142" s="1083">
        <f>'BewDifferenzen_Statut-Marktnah'!$A$1</f>
        <v>42</v>
      </c>
      <c r="C2142" s="1084" t="str">
        <f>'BewDifferenzen_Statut-Marktnah'!$B$1</f>
        <v>Differenzen zwischen statutarischer und marktnaher Bewertung</v>
      </c>
      <c r="D2142" s="1143" t="str">
        <f>'BewDifferenzen_Statut-Marktnah'!$D$57</f>
        <v>Übriges Anlagevermögen (Immaterielle Anlagen, Sachanlagen)</v>
      </c>
      <c r="E2142" s="1547" t="str">
        <f>'BewDifferenzen_Statut-Marktnah'!$E60</f>
        <v>dem Geschäft nach UVG zugeordnet</v>
      </c>
      <c r="F2142" s="1548" t="str">
        <f>'BewDifferenzen_Statut-Marktnah'!$F$4</f>
        <v>Statutarischer Bilanzwert</v>
      </c>
      <c r="G2142" s="1494"/>
      <c r="H2142" s="1144">
        <f>'BewDifferenzen_Statut-Marktnah'!$F60</f>
        <v>0</v>
      </c>
      <c r="U2142" s="1027"/>
      <c r="V2142" s="1027"/>
      <c r="W2142" s="1027"/>
    </row>
    <row r="2143" spans="2:23" ht="12.75" customHeight="1" x14ac:dyDescent="0.2">
      <c r="B2143" s="1083"/>
      <c r="C2143" s="1084"/>
      <c r="D2143" s="1143"/>
      <c r="E2143" s="1547"/>
      <c r="F2143" s="1548"/>
      <c r="G2143" s="1494"/>
      <c r="H2143" s="1061"/>
      <c r="U2143" s="1027"/>
      <c r="V2143" s="1027"/>
      <c r="W2143" s="1027"/>
    </row>
    <row r="2144" spans="2:23" ht="12.75" customHeight="1" x14ac:dyDescent="0.2">
      <c r="B2144" s="1083">
        <f>'BewDifferenzen_Statut-Marktnah'!$A$1</f>
        <v>42</v>
      </c>
      <c r="C2144" s="1084" t="str">
        <f>'BewDifferenzen_Statut-Marktnah'!$B$1</f>
        <v>Differenzen zwischen statutarischer und marktnaher Bewertung</v>
      </c>
      <c r="D2144" s="1143" t="str">
        <f>'BewDifferenzen_Statut-Marktnah'!$D$62</f>
        <v>Umlaufvermögen</v>
      </c>
      <c r="E2144" s="1494"/>
      <c r="F2144" s="1548" t="str">
        <f>'BewDifferenzen_Statut-Marktnah'!$F$4</f>
        <v>Statutarischer Bilanzwert</v>
      </c>
      <c r="G2144" s="1494"/>
      <c r="H2144" s="1062">
        <f>'BewDifferenzen_Statut-Marktnah'!$F62</f>
        <v>0</v>
      </c>
      <c r="U2144" s="1027"/>
      <c r="V2144" s="1027"/>
      <c r="W2144" s="1027"/>
    </row>
    <row r="2145" spans="2:23" ht="12.75" customHeight="1" x14ac:dyDescent="0.2">
      <c r="B2145" s="1083">
        <f>'BewDifferenzen_Statut-Marktnah'!$A$1</f>
        <v>42</v>
      </c>
      <c r="C2145" s="1084" t="str">
        <f>'BewDifferenzen_Statut-Marktnah'!$B$1</f>
        <v>Differenzen zwischen statutarischer und marktnaher Bewertung</v>
      </c>
      <c r="D2145" s="1143" t="str">
        <f>'BewDifferenzen_Statut-Marktnah'!$D$62</f>
        <v>Umlaufvermögen</v>
      </c>
      <c r="E2145" s="1547" t="str">
        <f>'BewDifferenzen_Statut-Marktnah'!$E63</f>
        <v>dem Geschäft nach KVG zugeordnet</v>
      </c>
      <c r="F2145" s="1548" t="str">
        <f>'BewDifferenzen_Statut-Marktnah'!$F$4</f>
        <v>Statutarischer Bilanzwert</v>
      </c>
      <c r="G2145" s="1494"/>
      <c r="H2145" s="1144">
        <f>'BewDifferenzen_Statut-Marktnah'!$F63</f>
        <v>0</v>
      </c>
      <c r="U2145" s="1027"/>
      <c r="V2145" s="1027"/>
      <c r="W2145" s="1027"/>
    </row>
    <row r="2146" spans="2:23" ht="12.75" customHeight="1" x14ac:dyDescent="0.2">
      <c r="B2146" s="1083">
        <f>'BewDifferenzen_Statut-Marktnah'!$A$1</f>
        <v>42</v>
      </c>
      <c r="C2146" s="1084" t="str">
        <f>'BewDifferenzen_Statut-Marktnah'!$B$1</f>
        <v>Differenzen zwischen statutarischer und marktnaher Bewertung</v>
      </c>
      <c r="D2146" s="1143" t="str">
        <f>'BewDifferenzen_Statut-Marktnah'!$D$62</f>
        <v>Umlaufvermögen</v>
      </c>
      <c r="E2146" s="1547" t="str">
        <f>'BewDifferenzen_Statut-Marktnah'!$E64</f>
        <v>dem Geschäft nach VVG zugeordnet</v>
      </c>
      <c r="F2146" s="1548" t="str">
        <f>'BewDifferenzen_Statut-Marktnah'!$F$4</f>
        <v>Statutarischer Bilanzwert</v>
      </c>
      <c r="G2146" s="1494"/>
      <c r="H2146" s="1144">
        <f>'BewDifferenzen_Statut-Marktnah'!$F64</f>
        <v>0</v>
      </c>
      <c r="U2146" s="1027"/>
      <c r="V2146" s="1027"/>
      <c r="W2146" s="1027"/>
    </row>
    <row r="2147" spans="2:23" ht="12.75" customHeight="1" x14ac:dyDescent="0.2">
      <c r="B2147" s="1083">
        <f>'BewDifferenzen_Statut-Marktnah'!$A$1</f>
        <v>42</v>
      </c>
      <c r="C2147" s="1084" t="str">
        <f>'BewDifferenzen_Statut-Marktnah'!$B$1</f>
        <v>Differenzen zwischen statutarischer und marktnaher Bewertung</v>
      </c>
      <c r="D2147" s="1143" t="str">
        <f>'BewDifferenzen_Statut-Marktnah'!$D$62</f>
        <v>Umlaufvermögen</v>
      </c>
      <c r="E2147" s="1547" t="str">
        <f>'BewDifferenzen_Statut-Marktnah'!$E65</f>
        <v>dem Geschäft nach UVG zugeordnet</v>
      </c>
      <c r="F2147" s="1548" t="str">
        <f>'BewDifferenzen_Statut-Marktnah'!$F$4</f>
        <v>Statutarischer Bilanzwert</v>
      </c>
      <c r="G2147" s="1494"/>
      <c r="H2147" s="1144">
        <f>'BewDifferenzen_Statut-Marktnah'!$F65</f>
        <v>0</v>
      </c>
      <c r="U2147" s="1027"/>
      <c r="V2147" s="1027"/>
      <c r="W2147" s="1027"/>
    </row>
    <row r="2148" spans="2:23" ht="12.75" customHeight="1" x14ac:dyDescent="0.2">
      <c r="B2148" s="1083"/>
      <c r="C2148" s="1084"/>
      <c r="D2148" s="1143"/>
      <c r="E2148" s="1547"/>
      <c r="F2148" s="1548"/>
      <c r="G2148" s="1494"/>
      <c r="H2148" s="1061"/>
      <c r="U2148" s="1027"/>
      <c r="V2148" s="1027"/>
      <c r="W2148" s="1027"/>
    </row>
    <row r="2149" spans="2:23" ht="12.75" customHeight="1" x14ac:dyDescent="0.2">
      <c r="B2149" s="1083">
        <f>'BewDifferenzen_Statut-Marktnah'!$A$1</f>
        <v>42</v>
      </c>
      <c r="C2149" s="1084" t="str">
        <f>'BewDifferenzen_Statut-Marktnah'!$B$1</f>
        <v>Differenzen zwischen statutarischer und marktnaher Bewertung</v>
      </c>
      <c r="D2149" s="1143" t="str">
        <f>'BewDifferenzen_Statut-Marktnah'!$D$67</f>
        <v>Total übrige Aktiven</v>
      </c>
      <c r="E2149" s="1494"/>
      <c r="F2149" s="1548" t="str">
        <f>'BewDifferenzen_Statut-Marktnah'!$F$4</f>
        <v>Statutarischer Bilanzwert</v>
      </c>
      <c r="G2149" s="1494"/>
      <c r="H2149" s="1065">
        <f>'BewDifferenzen_Statut-Marktnah'!$F67</f>
        <v>0</v>
      </c>
      <c r="U2149" s="1027"/>
      <c r="V2149" s="1027"/>
      <c r="W2149" s="1027"/>
    </row>
    <row r="2150" spans="2:23" ht="12.75" customHeight="1" x14ac:dyDescent="0.2">
      <c r="B2150" s="1083"/>
      <c r="C2150" s="1084"/>
      <c r="D2150" s="1143"/>
      <c r="E2150" s="1547"/>
      <c r="F2150" s="1548"/>
      <c r="G2150" s="1494"/>
      <c r="H2150" s="1061"/>
      <c r="U2150" s="1027"/>
      <c r="V2150" s="1027"/>
      <c r="W2150" s="1027"/>
    </row>
    <row r="2151" spans="2:23" ht="12.75" customHeight="1" x14ac:dyDescent="0.2">
      <c r="B2151" s="1083">
        <f>'BewDifferenzen_Statut-Marktnah'!$A$1</f>
        <v>42</v>
      </c>
      <c r="C2151" s="1084" t="str">
        <f>'BewDifferenzen_Statut-Marktnah'!$B$1</f>
        <v>Differenzen zwischen statutarischer und marktnaher Bewertung</v>
      </c>
      <c r="D2151" s="1143" t="str">
        <f>'BewDifferenzen_Statut-Marktnah'!$C$69</f>
        <v>Total Aktiven</v>
      </c>
      <c r="E2151" s="1547"/>
      <c r="F2151" s="1548" t="str">
        <f>'BewDifferenzen_Statut-Marktnah'!$F$4</f>
        <v>Statutarischer Bilanzwert</v>
      </c>
      <c r="G2151" s="1494"/>
      <c r="H2151" s="1065">
        <f>'BewDifferenzen_Statut-Marktnah'!$F69</f>
        <v>0</v>
      </c>
      <c r="U2151" s="1027"/>
      <c r="V2151" s="1027"/>
      <c r="W2151" s="1027"/>
    </row>
    <row r="2152" spans="2:23" ht="12.75" customHeight="1" x14ac:dyDescent="0.2">
      <c r="B2152" s="1083"/>
      <c r="C2152" s="1084"/>
      <c r="D2152" s="1143"/>
      <c r="E2152" s="1547"/>
      <c r="F2152" s="1548"/>
      <c r="G2152" s="1494"/>
      <c r="H2152" s="1061"/>
      <c r="U2152" s="1027"/>
      <c r="V2152" s="1027"/>
      <c r="W2152" s="1027"/>
    </row>
    <row r="2153" spans="2:23" ht="12.75" customHeight="1" x14ac:dyDescent="0.2">
      <c r="B2153" s="1083"/>
      <c r="C2153" s="1084"/>
      <c r="D2153" s="1143"/>
      <c r="E2153" s="1547"/>
      <c r="F2153" s="1548"/>
      <c r="G2153" s="1494"/>
      <c r="H2153" s="1061"/>
      <c r="U2153" s="1027"/>
      <c r="V2153" s="1027"/>
      <c r="W2153" s="1027"/>
    </row>
    <row r="2154" spans="2:23" ht="12.75" customHeight="1" x14ac:dyDescent="0.2">
      <c r="B2154" s="1083">
        <f>'BewDifferenzen_Statut-Marktnah'!$A$1</f>
        <v>42</v>
      </c>
      <c r="C2154" s="1084" t="str">
        <f>'BewDifferenzen_Statut-Marktnah'!$B$1</f>
        <v>Differenzen zwischen statutarischer und marktnaher Bewertung</v>
      </c>
      <c r="D2154" s="1143" t="str">
        <f>'BewDifferenzen_Statut-Marktnah'!$D$74</f>
        <v>Leistungsrückstellungen</v>
      </c>
      <c r="E2154" s="1494"/>
      <c r="F2154" s="1548" t="str">
        <f>'BewDifferenzen_Statut-Marktnah'!$F$4</f>
        <v>Statutarischer Bilanzwert</v>
      </c>
      <c r="G2154" s="1494"/>
      <c r="H2154" s="1069">
        <f>'BewDifferenzen_Statut-Marktnah'!$F74</f>
        <v>0</v>
      </c>
      <c r="U2154" s="1027"/>
      <c r="V2154" s="1027"/>
      <c r="W2154" s="1027"/>
    </row>
    <row r="2155" spans="2:23" ht="12.75" customHeight="1" x14ac:dyDescent="0.2">
      <c r="B2155" s="1083">
        <f>'BewDifferenzen_Statut-Marktnah'!$A$1</f>
        <v>42</v>
      </c>
      <c r="C2155" s="1084" t="str">
        <f>'BewDifferenzen_Statut-Marktnah'!$B$1</f>
        <v>Differenzen zwischen statutarischer und marktnaher Bewertung</v>
      </c>
      <c r="D2155" s="1143" t="str">
        <f>'BewDifferenzen_Statut-Marktnah'!$D$74</f>
        <v>Leistungsrückstellungen</v>
      </c>
      <c r="E2155" s="1547" t="str">
        <f>'BewDifferenzen_Statut-Marktnah'!$E75</f>
        <v>Obligatorische Krankenpflegeversicherung</v>
      </c>
      <c r="F2155" s="1548" t="str">
        <f>'BewDifferenzen_Statut-Marktnah'!$F$4</f>
        <v>Statutarischer Bilanzwert</v>
      </c>
      <c r="G2155" s="1494"/>
      <c r="H2155" s="1144">
        <f>'BewDifferenzen_Statut-Marktnah'!$F75</f>
        <v>0</v>
      </c>
      <c r="U2155" s="1027"/>
      <c r="V2155" s="1027"/>
      <c r="W2155" s="1027"/>
    </row>
    <row r="2156" spans="2:23" ht="12.75" customHeight="1" x14ac:dyDescent="0.2">
      <c r="B2156" s="1083">
        <f>'BewDifferenzen_Statut-Marktnah'!$A$1</f>
        <v>42</v>
      </c>
      <c r="C2156" s="1084" t="str">
        <f>'BewDifferenzen_Statut-Marktnah'!$B$1</f>
        <v>Differenzen zwischen statutarischer und marktnaher Bewertung</v>
      </c>
      <c r="D2156" s="1143" t="str">
        <f>'BewDifferenzen_Statut-Marktnah'!$D$74</f>
        <v>Leistungsrückstellungen</v>
      </c>
      <c r="E2156" s="1547" t="str">
        <f>'BewDifferenzen_Statut-Marktnah'!$E76</f>
        <v>Einzel-Taggeldversicherung nach KVG</v>
      </c>
      <c r="F2156" s="1548" t="str">
        <f>'BewDifferenzen_Statut-Marktnah'!$F$4</f>
        <v>Statutarischer Bilanzwert</v>
      </c>
      <c r="G2156" s="1494"/>
      <c r="H2156" s="1144">
        <f>'BewDifferenzen_Statut-Marktnah'!$F76</f>
        <v>0</v>
      </c>
      <c r="U2156" s="1027"/>
      <c r="V2156" s="1027"/>
      <c r="W2156" s="1027"/>
    </row>
    <row r="2157" spans="2:23" ht="12.75" customHeight="1" x14ac:dyDescent="0.2">
      <c r="B2157" s="1083">
        <f>'BewDifferenzen_Statut-Marktnah'!$A$1</f>
        <v>42</v>
      </c>
      <c r="C2157" s="1084" t="str">
        <f>'BewDifferenzen_Statut-Marktnah'!$B$1</f>
        <v>Differenzen zwischen statutarischer und marktnaher Bewertung</v>
      </c>
      <c r="D2157" s="1143" t="str">
        <f>'BewDifferenzen_Statut-Marktnah'!$D$74</f>
        <v>Leistungsrückstellungen</v>
      </c>
      <c r="E2157" s="1547" t="str">
        <f>'BewDifferenzen_Statut-Marktnah'!$E77</f>
        <v>Kollektiv-Taggeldversicherung nach KVG</v>
      </c>
      <c r="F2157" s="1548" t="str">
        <f>'BewDifferenzen_Statut-Marktnah'!$F$4</f>
        <v>Statutarischer Bilanzwert</v>
      </c>
      <c r="G2157" s="1494"/>
      <c r="H2157" s="1144">
        <f>'BewDifferenzen_Statut-Marktnah'!$F77</f>
        <v>0</v>
      </c>
      <c r="U2157" s="1027"/>
      <c r="V2157" s="1027"/>
      <c r="W2157" s="1027"/>
    </row>
    <row r="2158" spans="2:23" ht="12.75" customHeight="1" x14ac:dyDescent="0.2">
      <c r="B2158" s="1083">
        <f>'BewDifferenzen_Statut-Marktnah'!$A$1</f>
        <v>42</v>
      </c>
      <c r="C2158" s="1084" t="str">
        <f>'BewDifferenzen_Statut-Marktnah'!$B$1</f>
        <v>Differenzen zwischen statutarischer und marktnaher Bewertung</v>
      </c>
      <c r="D2158" s="1143" t="str">
        <f>'BewDifferenzen_Statut-Marktnah'!$D$74</f>
        <v>Leistungsrückstellungen</v>
      </c>
      <c r="E2158" s="1547" t="str">
        <f>'BewDifferenzen_Statut-Marktnah'!$E78</f>
        <v>Aktive Rückversicherung nach KVG</v>
      </c>
      <c r="F2158" s="1548" t="str">
        <f>'BewDifferenzen_Statut-Marktnah'!$F$4</f>
        <v>Statutarischer Bilanzwert</v>
      </c>
      <c r="G2158" s="1494"/>
      <c r="H2158" s="1144">
        <f>'BewDifferenzen_Statut-Marktnah'!$F78</f>
        <v>0</v>
      </c>
      <c r="U2158" s="1027"/>
      <c r="V2158" s="1027"/>
      <c r="W2158" s="1027"/>
    </row>
    <row r="2159" spans="2:23" ht="12.75" customHeight="1" x14ac:dyDescent="0.2">
      <c r="B2159" s="1083">
        <f>'BewDifferenzen_Statut-Marktnah'!$A$1</f>
        <v>42</v>
      </c>
      <c r="C2159" s="1084" t="str">
        <f>'BewDifferenzen_Statut-Marktnah'!$B$1</f>
        <v>Differenzen zwischen statutarischer und marktnaher Bewertung</v>
      </c>
      <c r="D2159" s="1143" t="str">
        <f>'BewDifferenzen_Statut-Marktnah'!$D$74</f>
        <v>Leistungsrückstellungen</v>
      </c>
      <c r="E2159" s="1547" t="str">
        <f>'BewDifferenzen_Statut-Marktnah'!$E79</f>
        <v>dem Geschäft nach VVG zugeordnet</v>
      </c>
      <c r="F2159" s="1548" t="str">
        <f>'BewDifferenzen_Statut-Marktnah'!$F$4</f>
        <v>Statutarischer Bilanzwert</v>
      </c>
      <c r="G2159" s="1494"/>
      <c r="H2159" s="1144">
        <f>'BewDifferenzen_Statut-Marktnah'!$F79</f>
        <v>0</v>
      </c>
      <c r="U2159" s="1027"/>
      <c r="V2159" s="1027"/>
      <c r="W2159" s="1027"/>
    </row>
    <row r="2160" spans="2:23" ht="12.75" customHeight="1" x14ac:dyDescent="0.2">
      <c r="B2160" s="1083">
        <f>'BewDifferenzen_Statut-Marktnah'!$A$1</f>
        <v>42</v>
      </c>
      <c r="C2160" s="1084" t="str">
        <f>'BewDifferenzen_Statut-Marktnah'!$B$1</f>
        <v>Differenzen zwischen statutarischer und marktnaher Bewertung</v>
      </c>
      <c r="D2160" s="1143" t="str">
        <f>'BewDifferenzen_Statut-Marktnah'!$D$74</f>
        <v>Leistungsrückstellungen</v>
      </c>
      <c r="E2160" s="1547" t="str">
        <f>'BewDifferenzen_Statut-Marktnah'!$E80</f>
        <v>dem Geschäft nach UVG zugeordnet</v>
      </c>
      <c r="F2160" s="1548" t="str">
        <f>'BewDifferenzen_Statut-Marktnah'!$F$4</f>
        <v>Statutarischer Bilanzwert</v>
      </c>
      <c r="G2160" s="1494"/>
      <c r="H2160" s="1144">
        <f>'BewDifferenzen_Statut-Marktnah'!$F80</f>
        <v>0</v>
      </c>
      <c r="U2160" s="1027"/>
      <c r="V2160" s="1027"/>
      <c r="W2160" s="1027"/>
    </row>
    <row r="2161" spans="2:23" ht="12.75" customHeight="1" x14ac:dyDescent="0.2">
      <c r="B2161" s="1083"/>
      <c r="C2161" s="1084"/>
      <c r="D2161" s="1143"/>
      <c r="E2161" s="1547"/>
      <c r="F2161" s="1548"/>
      <c r="G2161" s="1494"/>
      <c r="H2161" s="1061"/>
      <c r="U2161" s="1027"/>
      <c r="V2161" s="1027"/>
      <c r="W2161" s="1027"/>
    </row>
    <row r="2162" spans="2:23" ht="12.75" customHeight="1" x14ac:dyDescent="0.2">
      <c r="B2162" s="1083">
        <f>'BewDifferenzen_Statut-Marktnah'!$A$1</f>
        <v>42</v>
      </c>
      <c r="C2162" s="1084" t="str">
        <f>'BewDifferenzen_Statut-Marktnah'!$B$1</f>
        <v>Differenzen zwischen statutarischer und marktnaher Bewertung</v>
      </c>
      <c r="D2162" s="1143" t="str">
        <f>'BewDifferenzen_Statut-Marktnah'!$D$82</f>
        <v>Alterungsrückstellungen und Deckungskapitalien</v>
      </c>
      <c r="E2162" s="1494"/>
      <c r="F2162" s="1548" t="str">
        <f>'BewDifferenzen_Statut-Marktnah'!$F$4</f>
        <v>Statutarischer Bilanzwert</v>
      </c>
      <c r="G2162" s="1494"/>
      <c r="H2162" s="1069">
        <f>'BewDifferenzen_Statut-Marktnah'!$F82</f>
        <v>0</v>
      </c>
      <c r="U2162" s="1027"/>
      <c r="V2162" s="1027"/>
      <c r="W2162" s="1027"/>
    </row>
    <row r="2163" spans="2:23" ht="12.75" customHeight="1" x14ac:dyDescent="0.2">
      <c r="B2163" s="1083">
        <f>'BewDifferenzen_Statut-Marktnah'!$A$1</f>
        <v>42</v>
      </c>
      <c r="C2163" s="1084" t="str">
        <f>'BewDifferenzen_Statut-Marktnah'!$B$1</f>
        <v>Differenzen zwischen statutarischer und marktnaher Bewertung</v>
      </c>
      <c r="D2163" s="1143" t="str">
        <f>'BewDifferenzen_Statut-Marktnah'!$D$82</f>
        <v>Alterungsrückstellungen und Deckungskapitalien</v>
      </c>
      <c r="E2163" s="1547" t="str">
        <f>'BewDifferenzen_Statut-Marktnah'!$E83</f>
        <v>Obligatorische Krankenpflegeversicherung</v>
      </c>
      <c r="F2163" s="1548" t="str">
        <f>'BewDifferenzen_Statut-Marktnah'!$F$4</f>
        <v>Statutarischer Bilanzwert</v>
      </c>
      <c r="G2163" s="1494"/>
      <c r="H2163" s="1144">
        <f>'BewDifferenzen_Statut-Marktnah'!$F83</f>
        <v>0</v>
      </c>
      <c r="U2163" s="1027"/>
      <c r="V2163" s="1027"/>
      <c r="W2163" s="1027"/>
    </row>
    <row r="2164" spans="2:23" ht="12.75" customHeight="1" x14ac:dyDescent="0.2">
      <c r="B2164" s="1083">
        <f>'BewDifferenzen_Statut-Marktnah'!$A$1</f>
        <v>42</v>
      </c>
      <c r="C2164" s="1084" t="str">
        <f>'BewDifferenzen_Statut-Marktnah'!$B$1</f>
        <v>Differenzen zwischen statutarischer und marktnaher Bewertung</v>
      </c>
      <c r="D2164" s="1143" t="str">
        <f>'BewDifferenzen_Statut-Marktnah'!$D$82</f>
        <v>Alterungsrückstellungen und Deckungskapitalien</v>
      </c>
      <c r="E2164" s="1547" t="str">
        <f>'BewDifferenzen_Statut-Marktnah'!$E84</f>
        <v>Einzel-Taggeldversicherung nach KVG</v>
      </c>
      <c r="F2164" s="1548" t="str">
        <f>'BewDifferenzen_Statut-Marktnah'!$F$4</f>
        <v>Statutarischer Bilanzwert</v>
      </c>
      <c r="G2164" s="1494"/>
      <c r="H2164" s="1144">
        <f>'BewDifferenzen_Statut-Marktnah'!$F84</f>
        <v>0</v>
      </c>
      <c r="U2164" s="1027"/>
      <c r="V2164" s="1027"/>
      <c r="W2164" s="1027"/>
    </row>
    <row r="2165" spans="2:23" ht="12.75" customHeight="1" x14ac:dyDescent="0.2">
      <c r="B2165" s="1083">
        <f>'BewDifferenzen_Statut-Marktnah'!$A$1</f>
        <v>42</v>
      </c>
      <c r="C2165" s="1084" t="str">
        <f>'BewDifferenzen_Statut-Marktnah'!$B$1</f>
        <v>Differenzen zwischen statutarischer und marktnaher Bewertung</v>
      </c>
      <c r="D2165" s="1143" t="str">
        <f>'BewDifferenzen_Statut-Marktnah'!$D$82</f>
        <v>Alterungsrückstellungen und Deckungskapitalien</v>
      </c>
      <c r="E2165" s="1547" t="str">
        <f>'BewDifferenzen_Statut-Marktnah'!$E85</f>
        <v>Kollektiv-Taggeldversicherung nach KVG</v>
      </c>
      <c r="F2165" s="1548" t="str">
        <f>'BewDifferenzen_Statut-Marktnah'!$F$4</f>
        <v>Statutarischer Bilanzwert</v>
      </c>
      <c r="G2165" s="1494"/>
      <c r="H2165" s="1144">
        <f>'BewDifferenzen_Statut-Marktnah'!$F85</f>
        <v>0</v>
      </c>
      <c r="U2165" s="1027"/>
      <c r="V2165" s="1027"/>
      <c r="W2165" s="1027"/>
    </row>
    <row r="2166" spans="2:23" ht="12.75" customHeight="1" x14ac:dyDescent="0.2">
      <c r="B2166" s="1083">
        <f>'BewDifferenzen_Statut-Marktnah'!$A$1</f>
        <v>42</v>
      </c>
      <c r="C2166" s="1084" t="str">
        <f>'BewDifferenzen_Statut-Marktnah'!$B$1</f>
        <v>Differenzen zwischen statutarischer und marktnaher Bewertung</v>
      </c>
      <c r="D2166" s="1143" t="str">
        <f>'BewDifferenzen_Statut-Marktnah'!$D$82</f>
        <v>Alterungsrückstellungen und Deckungskapitalien</v>
      </c>
      <c r="E2166" s="1547" t="str">
        <f>'BewDifferenzen_Statut-Marktnah'!$E86</f>
        <v>Aktive Rückversicherung nach KVG</v>
      </c>
      <c r="F2166" s="1548" t="str">
        <f>'BewDifferenzen_Statut-Marktnah'!$F$4</f>
        <v>Statutarischer Bilanzwert</v>
      </c>
      <c r="G2166" s="1494"/>
      <c r="H2166" s="1144">
        <f>'BewDifferenzen_Statut-Marktnah'!$F86</f>
        <v>0</v>
      </c>
      <c r="U2166" s="1027"/>
      <c r="V2166" s="1027"/>
      <c r="W2166" s="1027"/>
    </row>
    <row r="2167" spans="2:23" ht="12.75" customHeight="1" x14ac:dyDescent="0.2">
      <c r="B2167" s="1083">
        <f>'BewDifferenzen_Statut-Marktnah'!$A$1</f>
        <v>42</v>
      </c>
      <c r="C2167" s="1084" t="str">
        <f>'BewDifferenzen_Statut-Marktnah'!$B$1</f>
        <v>Differenzen zwischen statutarischer und marktnaher Bewertung</v>
      </c>
      <c r="D2167" s="1143" t="str">
        <f>'BewDifferenzen_Statut-Marktnah'!$D$82</f>
        <v>Alterungsrückstellungen und Deckungskapitalien</v>
      </c>
      <c r="E2167" s="1547" t="str">
        <f>'BewDifferenzen_Statut-Marktnah'!$E87</f>
        <v>dem Geschäft nach VVG zugeordnet</v>
      </c>
      <c r="F2167" s="1548" t="str">
        <f>'BewDifferenzen_Statut-Marktnah'!$F$4</f>
        <v>Statutarischer Bilanzwert</v>
      </c>
      <c r="G2167" s="1494"/>
      <c r="H2167" s="1144">
        <f>'BewDifferenzen_Statut-Marktnah'!$F87</f>
        <v>0</v>
      </c>
      <c r="U2167" s="1027"/>
      <c r="V2167" s="1027"/>
      <c r="W2167" s="1027"/>
    </row>
    <row r="2168" spans="2:23" ht="12.75" customHeight="1" x14ac:dyDescent="0.2">
      <c r="B2168" s="1083">
        <f>'BewDifferenzen_Statut-Marktnah'!$A$1</f>
        <v>42</v>
      </c>
      <c r="C2168" s="1084" t="str">
        <f>'BewDifferenzen_Statut-Marktnah'!$B$1</f>
        <v>Differenzen zwischen statutarischer und marktnaher Bewertung</v>
      </c>
      <c r="D2168" s="1143" t="str">
        <f>'BewDifferenzen_Statut-Marktnah'!$D$82</f>
        <v>Alterungsrückstellungen und Deckungskapitalien</v>
      </c>
      <c r="E2168" s="1547" t="str">
        <f>'BewDifferenzen_Statut-Marktnah'!$E88</f>
        <v>dem Geschäft nach UVG zugeordnet</v>
      </c>
      <c r="F2168" s="1548" t="str">
        <f>'BewDifferenzen_Statut-Marktnah'!$F$4</f>
        <v>Statutarischer Bilanzwert</v>
      </c>
      <c r="G2168" s="1494"/>
      <c r="H2168" s="1144">
        <f>'BewDifferenzen_Statut-Marktnah'!$F88</f>
        <v>0</v>
      </c>
      <c r="U2168" s="1027"/>
      <c r="V2168" s="1027"/>
      <c r="W2168" s="1027"/>
    </row>
    <row r="2169" spans="2:23" ht="12.75" customHeight="1" x14ac:dyDescent="0.2">
      <c r="B2169" s="1083"/>
      <c r="C2169" s="1084"/>
      <c r="D2169" s="1143"/>
      <c r="E2169" s="1547"/>
      <c r="F2169" s="1548"/>
      <c r="G2169" s="1494"/>
      <c r="H2169" s="1061"/>
      <c r="U2169" s="1027"/>
      <c r="V2169" s="1027"/>
      <c r="W2169" s="1027"/>
    </row>
    <row r="2170" spans="2:23" ht="12.75" customHeight="1" x14ac:dyDescent="0.2">
      <c r="B2170" s="1083">
        <f>'BewDifferenzen_Statut-Marktnah'!$A$1</f>
        <v>42</v>
      </c>
      <c r="C2170" s="1084" t="str">
        <f>'BewDifferenzen_Statut-Marktnah'!$B$1</f>
        <v>Differenzen zwischen statutarischer und marktnaher Bewertung</v>
      </c>
      <c r="D2170" s="1143" t="str">
        <f>'BewDifferenzen_Statut-Marktnah'!$D$90</f>
        <v>Sonstige technische Rückstellungen</v>
      </c>
      <c r="E2170" s="1494"/>
      <c r="F2170" s="1548" t="str">
        <f>'BewDifferenzen_Statut-Marktnah'!$F$4</f>
        <v>Statutarischer Bilanzwert</v>
      </c>
      <c r="G2170" s="1494"/>
      <c r="H2170" s="1069">
        <f>'BewDifferenzen_Statut-Marktnah'!$F90</f>
        <v>0</v>
      </c>
      <c r="U2170" s="1027"/>
      <c r="V2170" s="1027"/>
      <c r="W2170" s="1027"/>
    </row>
    <row r="2171" spans="2:23" ht="12.75" customHeight="1" x14ac:dyDescent="0.2">
      <c r="B2171" s="1083">
        <f>'BewDifferenzen_Statut-Marktnah'!$A$1</f>
        <v>42</v>
      </c>
      <c r="C2171" s="1084" t="str">
        <f>'BewDifferenzen_Statut-Marktnah'!$B$1</f>
        <v>Differenzen zwischen statutarischer und marktnaher Bewertung</v>
      </c>
      <c r="D2171" s="1143" t="str">
        <f>'BewDifferenzen_Statut-Marktnah'!$D$90</f>
        <v>Sonstige technische Rückstellungen</v>
      </c>
      <c r="E2171" s="1547" t="str">
        <f>'BewDifferenzen_Statut-Marktnah'!$E91</f>
        <v>Obligatorische Krankenpflegeversicherung</v>
      </c>
      <c r="F2171" s="1548" t="str">
        <f>'BewDifferenzen_Statut-Marktnah'!$F$4</f>
        <v>Statutarischer Bilanzwert</v>
      </c>
      <c r="G2171" s="1494"/>
      <c r="H2171" s="1144">
        <f>'BewDifferenzen_Statut-Marktnah'!$F91</f>
        <v>0</v>
      </c>
      <c r="U2171" s="1027"/>
      <c r="V2171" s="1027"/>
      <c r="W2171" s="1027"/>
    </row>
    <row r="2172" spans="2:23" ht="12.75" customHeight="1" x14ac:dyDescent="0.2">
      <c r="B2172" s="1083">
        <f>'BewDifferenzen_Statut-Marktnah'!$A$1</f>
        <v>42</v>
      </c>
      <c r="C2172" s="1084" t="str">
        <f>'BewDifferenzen_Statut-Marktnah'!$B$1</f>
        <v>Differenzen zwischen statutarischer und marktnaher Bewertung</v>
      </c>
      <c r="D2172" s="1143" t="str">
        <f>'BewDifferenzen_Statut-Marktnah'!$D$90</f>
        <v>Sonstige technische Rückstellungen</v>
      </c>
      <c r="E2172" s="1547" t="str">
        <f>'BewDifferenzen_Statut-Marktnah'!$E92</f>
        <v>Einzel-Taggeldversicherung nach KVG</v>
      </c>
      <c r="F2172" s="1548" t="str">
        <f>'BewDifferenzen_Statut-Marktnah'!$F$4</f>
        <v>Statutarischer Bilanzwert</v>
      </c>
      <c r="G2172" s="1494"/>
      <c r="H2172" s="1144">
        <f>'BewDifferenzen_Statut-Marktnah'!$F92</f>
        <v>0</v>
      </c>
      <c r="U2172" s="1027"/>
      <c r="V2172" s="1027"/>
      <c r="W2172" s="1027"/>
    </row>
    <row r="2173" spans="2:23" ht="12.75" customHeight="1" x14ac:dyDescent="0.2">
      <c r="B2173" s="1083">
        <f>'BewDifferenzen_Statut-Marktnah'!$A$1</f>
        <v>42</v>
      </c>
      <c r="C2173" s="1084" t="str">
        <f>'BewDifferenzen_Statut-Marktnah'!$B$1</f>
        <v>Differenzen zwischen statutarischer und marktnaher Bewertung</v>
      </c>
      <c r="D2173" s="1143" t="str">
        <f>'BewDifferenzen_Statut-Marktnah'!$D$90</f>
        <v>Sonstige technische Rückstellungen</v>
      </c>
      <c r="E2173" s="1547" t="str">
        <f>'BewDifferenzen_Statut-Marktnah'!$E93</f>
        <v>Kollektiv-Taggeldversicherung nach KVG</v>
      </c>
      <c r="F2173" s="1548" t="str">
        <f>'BewDifferenzen_Statut-Marktnah'!$F$4</f>
        <v>Statutarischer Bilanzwert</v>
      </c>
      <c r="G2173" s="1494"/>
      <c r="H2173" s="1144">
        <f>'BewDifferenzen_Statut-Marktnah'!$F93</f>
        <v>0</v>
      </c>
      <c r="U2173" s="1027"/>
      <c r="V2173" s="1027"/>
      <c r="W2173" s="1027"/>
    </row>
    <row r="2174" spans="2:23" ht="12.75" customHeight="1" x14ac:dyDescent="0.2">
      <c r="B2174" s="1083">
        <f>'BewDifferenzen_Statut-Marktnah'!$A$1</f>
        <v>42</v>
      </c>
      <c r="C2174" s="1084" t="str">
        <f>'BewDifferenzen_Statut-Marktnah'!$B$1</f>
        <v>Differenzen zwischen statutarischer und marktnaher Bewertung</v>
      </c>
      <c r="D2174" s="1143" t="str">
        <f>'BewDifferenzen_Statut-Marktnah'!$D$90</f>
        <v>Sonstige technische Rückstellungen</v>
      </c>
      <c r="E2174" s="1547" t="str">
        <f>'BewDifferenzen_Statut-Marktnah'!$E94</f>
        <v>Aktive Rückversicherung nach KVG</v>
      </c>
      <c r="F2174" s="1548" t="str">
        <f>'BewDifferenzen_Statut-Marktnah'!$F$4</f>
        <v>Statutarischer Bilanzwert</v>
      </c>
      <c r="G2174" s="1494"/>
      <c r="H2174" s="1144">
        <f>'BewDifferenzen_Statut-Marktnah'!$F94</f>
        <v>0</v>
      </c>
      <c r="U2174" s="1027"/>
      <c r="V2174" s="1027"/>
      <c r="W2174" s="1027"/>
    </row>
    <row r="2175" spans="2:23" ht="12.75" customHeight="1" x14ac:dyDescent="0.2">
      <c r="B2175" s="1083">
        <f>'BewDifferenzen_Statut-Marktnah'!$A$1</f>
        <v>42</v>
      </c>
      <c r="C2175" s="1084" t="str">
        <f>'BewDifferenzen_Statut-Marktnah'!$B$1</f>
        <v>Differenzen zwischen statutarischer und marktnaher Bewertung</v>
      </c>
      <c r="D2175" s="1143" t="str">
        <f>'BewDifferenzen_Statut-Marktnah'!$D$90</f>
        <v>Sonstige technische Rückstellungen</v>
      </c>
      <c r="E2175" s="1547" t="str">
        <f>'BewDifferenzen_Statut-Marktnah'!$E95</f>
        <v>dem Geschäft nach VVG zugeordnet</v>
      </c>
      <c r="F2175" s="1548" t="str">
        <f>'BewDifferenzen_Statut-Marktnah'!$F$4</f>
        <v>Statutarischer Bilanzwert</v>
      </c>
      <c r="G2175" s="1494"/>
      <c r="H2175" s="1144">
        <f>'BewDifferenzen_Statut-Marktnah'!$F95</f>
        <v>0</v>
      </c>
      <c r="U2175" s="1027"/>
      <c r="V2175" s="1027"/>
      <c r="W2175" s="1027"/>
    </row>
    <row r="2176" spans="2:23" ht="12.75" customHeight="1" x14ac:dyDescent="0.2">
      <c r="B2176" s="1083">
        <f>'BewDifferenzen_Statut-Marktnah'!$A$1</f>
        <v>42</v>
      </c>
      <c r="C2176" s="1084" t="str">
        <f>'BewDifferenzen_Statut-Marktnah'!$B$1</f>
        <v>Differenzen zwischen statutarischer und marktnaher Bewertung</v>
      </c>
      <c r="D2176" s="1143" t="str">
        <f>'BewDifferenzen_Statut-Marktnah'!$D$90</f>
        <v>Sonstige technische Rückstellungen</v>
      </c>
      <c r="E2176" s="1547" t="str">
        <f>'BewDifferenzen_Statut-Marktnah'!$E96</f>
        <v>dem Geschäft nach UVG zugeordnet</v>
      </c>
      <c r="F2176" s="1548" t="str">
        <f>'BewDifferenzen_Statut-Marktnah'!$F$4</f>
        <v>Statutarischer Bilanzwert</v>
      </c>
      <c r="G2176" s="1494"/>
      <c r="H2176" s="1144">
        <f>'BewDifferenzen_Statut-Marktnah'!$F96</f>
        <v>0</v>
      </c>
      <c r="U2176" s="1027"/>
      <c r="V2176" s="1027"/>
      <c r="W2176" s="1027"/>
    </row>
    <row r="2177" spans="2:23" ht="12.75" customHeight="1" x14ac:dyDescent="0.2">
      <c r="B2177" s="1083"/>
      <c r="C2177" s="1084"/>
      <c r="D2177" s="1143"/>
      <c r="E2177" s="1547"/>
      <c r="F2177" s="1548"/>
      <c r="G2177" s="1494"/>
      <c r="H2177" s="1061"/>
      <c r="U2177" s="1027"/>
      <c r="V2177" s="1027"/>
      <c r="W2177" s="1027"/>
    </row>
    <row r="2178" spans="2:23" ht="12.75" customHeight="1" x14ac:dyDescent="0.2">
      <c r="B2178" s="1083">
        <f>'BewDifferenzen_Statut-Marktnah'!$A$1</f>
        <v>42</v>
      </c>
      <c r="C2178" s="1084" t="str">
        <f>'BewDifferenzen_Statut-Marktnah'!$B$1</f>
        <v>Differenzen zwischen statutarischer und marktnaher Bewertung</v>
      </c>
      <c r="D2178" s="1143" t="str">
        <f>'BewDifferenzen_Statut-Marktnah'!$D$98</f>
        <v>Schwankungs- und Sicherheitsrückstellungen</v>
      </c>
      <c r="E2178" s="1494"/>
      <c r="F2178" s="1548" t="str">
        <f>'BewDifferenzen_Statut-Marktnah'!$F$4</f>
        <v>Statutarischer Bilanzwert</v>
      </c>
      <c r="G2178" s="1494"/>
      <c r="H2178" s="1069">
        <f>'BewDifferenzen_Statut-Marktnah'!$F98</f>
        <v>0</v>
      </c>
      <c r="U2178" s="1027"/>
      <c r="V2178" s="1027"/>
      <c r="W2178" s="1027"/>
    </row>
    <row r="2179" spans="2:23" ht="12.75" customHeight="1" x14ac:dyDescent="0.2">
      <c r="B2179" s="1083">
        <f>'BewDifferenzen_Statut-Marktnah'!$A$1</f>
        <v>42</v>
      </c>
      <c r="C2179" s="1084" t="str">
        <f>'BewDifferenzen_Statut-Marktnah'!$B$1</f>
        <v>Differenzen zwischen statutarischer und marktnaher Bewertung</v>
      </c>
      <c r="D2179" s="1143" t="str">
        <f>'BewDifferenzen_Statut-Marktnah'!$D$98</f>
        <v>Schwankungs- und Sicherheitsrückstellungen</v>
      </c>
      <c r="E2179" s="1547" t="str">
        <f>'BewDifferenzen_Statut-Marktnah'!$E99</f>
        <v>Obligatorische Krankenpflegeversicherung</v>
      </c>
      <c r="F2179" s="1548" t="str">
        <f>'BewDifferenzen_Statut-Marktnah'!$F$4</f>
        <v>Statutarischer Bilanzwert</v>
      </c>
      <c r="G2179" s="1494"/>
      <c r="H2179" s="1144">
        <f>'BewDifferenzen_Statut-Marktnah'!$F99</f>
        <v>0</v>
      </c>
      <c r="U2179" s="1027"/>
      <c r="V2179" s="1027"/>
      <c r="W2179" s="1027"/>
    </row>
    <row r="2180" spans="2:23" ht="12.75" customHeight="1" x14ac:dyDescent="0.2">
      <c r="B2180" s="1083">
        <f>'BewDifferenzen_Statut-Marktnah'!$A$1</f>
        <v>42</v>
      </c>
      <c r="C2180" s="1084" t="str">
        <f>'BewDifferenzen_Statut-Marktnah'!$B$1</f>
        <v>Differenzen zwischen statutarischer und marktnaher Bewertung</v>
      </c>
      <c r="D2180" s="1143" t="str">
        <f>'BewDifferenzen_Statut-Marktnah'!$D$98</f>
        <v>Schwankungs- und Sicherheitsrückstellungen</v>
      </c>
      <c r="E2180" s="1547" t="str">
        <f>'BewDifferenzen_Statut-Marktnah'!$E100</f>
        <v>Einzel-Taggeldversicherung nach KVG</v>
      </c>
      <c r="F2180" s="1548" t="str">
        <f>'BewDifferenzen_Statut-Marktnah'!$F$4</f>
        <v>Statutarischer Bilanzwert</v>
      </c>
      <c r="G2180" s="1494"/>
      <c r="H2180" s="1144">
        <f>'BewDifferenzen_Statut-Marktnah'!$F100</f>
        <v>0</v>
      </c>
      <c r="U2180" s="1027"/>
      <c r="V2180" s="1027"/>
      <c r="W2180" s="1027"/>
    </row>
    <row r="2181" spans="2:23" ht="12.75" customHeight="1" x14ac:dyDescent="0.2">
      <c r="B2181" s="1083">
        <f>'BewDifferenzen_Statut-Marktnah'!$A$1</f>
        <v>42</v>
      </c>
      <c r="C2181" s="1084" t="str">
        <f>'BewDifferenzen_Statut-Marktnah'!$B$1</f>
        <v>Differenzen zwischen statutarischer und marktnaher Bewertung</v>
      </c>
      <c r="D2181" s="1143" t="str">
        <f>'BewDifferenzen_Statut-Marktnah'!$D$98</f>
        <v>Schwankungs- und Sicherheitsrückstellungen</v>
      </c>
      <c r="E2181" s="1547" t="str">
        <f>'BewDifferenzen_Statut-Marktnah'!$E101</f>
        <v>Kollektiv-Taggeldversicherung nach KVG</v>
      </c>
      <c r="F2181" s="1548" t="str">
        <f>'BewDifferenzen_Statut-Marktnah'!$F$4</f>
        <v>Statutarischer Bilanzwert</v>
      </c>
      <c r="G2181" s="1494"/>
      <c r="H2181" s="1144">
        <f>'BewDifferenzen_Statut-Marktnah'!$F101</f>
        <v>0</v>
      </c>
      <c r="U2181" s="1027"/>
      <c r="V2181" s="1027"/>
      <c r="W2181" s="1027"/>
    </row>
    <row r="2182" spans="2:23" ht="12.75" customHeight="1" x14ac:dyDescent="0.2">
      <c r="B2182" s="1083">
        <f>'BewDifferenzen_Statut-Marktnah'!$A$1</f>
        <v>42</v>
      </c>
      <c r="C2182" s="1084" t="str">
        <f>'BewDifferenzen_Statut-Marktnah'!$B$1</f>
        <v>Differenzen zwischen statutarischer und marktnaher Bewertung</v>
      </c>
      <c r="D2182" s="1143" t="str">
        <f>'BewDifferenzen_Statut-Marktnah'!$D$98</f>
        <v>Schwankungs- und Sicherheitsrückstellungen</v>
      </c>
      <c r="E2182" s="1547" t="str">
        <f>'BewDifferenzen_Statut-Marktnah'!$E102</f>
        <v>Aktive Rückversicherung nach KVG</v>
      </c>
      <c r="F2182" s="1548" t="str">
        <f>'BewDifferenzen_Statut-Marktnah'!$F$4</f>
        <v>Statutarischer Bilanzwert</v>
      </c>
      <c r="G2182" s="1494"/>
      <c r="H2182" s="1144">
        <f>'BewDifferenzen_Statut-Marktnah'!$F102</f>
        <v>0</v>
      </c>
      <c r="U2182" s="1027"/>
      <c r="V2182" s="1027"/>
      <c r="W2182" s="1027"/>
    </row>
    <row r="2183" spans="2:23" ht="12.75" customHeight="1" x14ac:dyDescent="0.2">
      <c r="B2183" s="1083">
        <f>'BewDifferenzen_Statut-Marktnah'!$A$1</f>
        <v>42</v>
      </c>
      <c r="C2183" s="1084" t="str">
        <f>'BewDifferenzen_Statut-Marktnah'!$B$1</f>
        <v>Differenzen zwischen statutarischer und marktnaher Bewertung</v>
      </c>
      <c r="D2183" s="1143" t="str">
        <f>'BewDifferenzen_Statut-Marktnah'!$D$98</f>
        <v>Schwankungs- und Sicherheitsrückstellungen</v>
      </c>
      <c r="E2183" s="1547" t="str">
        <f>'BewDifferenzen_Statut-Marktnah'!$E103</f>
        <v>dem Geschäft nach VVG zugeordnet</v>
      </c>
      <c r="F2183" s="1548" t="str">
        <f>'BewDifferenzen_Statut-Marktnah'!$F$4</f>
        <v>Statutarischer Bilanzwert</v>
      </c>
      <c r="G2183" s="1494"/>
      <c r="H2183" s="1144">
        <f>'BewDifferenzen_Statut-Marktnah'!$F103</f>
        <v>0</v>
      </c>
      <c r="U2183" s="1027"/>
      <c r="V2183" s="1027"/>
      <c r="W2183" s="1027"/>
    </row>
    <row r="2184" spans="2:23" ht="12.75" customHeight="1" x14ac:dyDescent="0.2">
      <c r="B2184" s="1083">
        <f>'BewDifferenzen_Statut-Marktnah'!$A$1</f>
        <v>42</v>
      </c>
      <c r="C2184" s="1084" t="str">
        <f>'BewDifferenzen_Statut-Marktnah'!$B$1</f>
        <v>Differenzen zwischen statutarischer und marktnaher Bewertung</v>
      </c>
      <c r="D2184" s="1143" t="str">
        <f>'BewDifferenzen_Statut-Marktnah'!$D$98</f>
        <v>Schwankungs- und Sicherheitsrückstellungen</v>
      </c>
      <c r="E2184" s="1547" t="str">
        <f>'BewDifferenzen_Statut-Marktnah'!$E104</f>
        <v>dem Geschäft nach UVG zugeordnet</v>
      </c>
      <c r="F2184" s="1548" t="str">
        <f>'BewDifferenzen_Statut-Marktnah'!$F$4</f>
        <v>Statutarischer Bilanzwert</v>
      </c>
      <c r="G2184" s="1494"/>
      <c r="H2184" s="1144">
        <f>'BewDifferenzen_Statut-Marktnah'!$F104</f>
        <v>0</v>
      </c>
      <c r="U2184" s="1027"/>
      <c r="V2184" s="1027"/>
      <c r="W2184" s="1027"/>
    </row>
    <row r="2185" spans="2:23" ht="12.75" customHeight="1" x14ac:dyDescent="0.2">
      <c r="B2185" s="1083"/>
      <c r="C2185" s="1084"/>
      <c r="D2185" s="1143"/>
      <c r="E2185" s="1547"/>
      <c r="F2185" s="1548"/>
      <c r="G2185" s="1494"/>
      <c r="H2185" s="1061"/>
      <c r="U2185" s="1027"/>
      <c r="V2185" s="1027"/>
      <c r="W2185" s="1027"/>
    </row>
    <row r="2186" spans="2:23" ht="12.75" customHeight="1" x14ac:dyDescent="0.2">
      <c r="B2186" s="1083">
        <f>'BewDifferenzen_Statut-Marktnah'!$A$1</f>
        <v>42</v>
      </c>
      <c r="C2186" s="1084" t="str">
        <f>'BewDifferenzen_Statut-Marktnah'!$B$1</f>
        <v>Differenzen zwischen statutarischer und marktnaher Bewertung</v>
      </c>
      <c r="D2186" s="1143" t="str">
        <f>'BewDifferenzen_Statut-Marktnah'!$D$106</f>
        <v>Total versicherungstechnische Rückstellungen</v>
      </c>
      <c r="E2186" s="1494"/>
      <c r="F2186" s="1548" t="str">
        <f>'BewDifferenzen_Statut-Marktnah'!$F$4</f>
        <v>Statutarischer Bilanzwert</v>
      </c>
      <c r="G2186" s="1494"/>
      <c r="H2186" s="1065">
        <f>'BewDifferenzen_Statut-Marktnah'!$F106</f>
        <v>0</v>
      </c>
      <c r="U2186" s="1027"/>
      <c r="V2186" s="1027"/>
      <c r="W2186" s="1027"/>
    </row>
    <row r="2187" spans="2:23" ht="12.75" customHeight="1" x14ac:dyDescent="0.2">
      <c r="B2187" s="1083"/>
      <c r="C2187" s="1084"/>
      <c r="D2187" s="1143"/>
      <c r="E2187" s="1547"/>
      <c r="F2187" s="1548"/>
      <c r="G2187" s="1494"/>
      <c r="H2187" s="1061"/>
      <c r="U2187" s="1027"/>
      <c r="V2187" s="1027"/>
      <c r="W2187" s="1027"/>
    </row>
    <row r="2188" spans="2:23" ht="12.75" customHeight="1" x14ac:dyDescent="0.2">
      <c r="B2188" s="1083">
        <f>'BewDifferenzen_Statut-Marktnah'!$A$1</f>
        <v>42</v>
      </c>
      <c r="C2188" s="1084" t="str">
        <f>'BewDifferenzen_Statut-Marktnah'!$B$1</f>
        <v>Differenzen zwischen statutarischer und marktnaher Bewertung</v>
      </c>
      <c r="D2188" s="1143" t="str">
        <f>'BewDifferenzen_Statut-Marktnah'!$D$111</f>
        <v>Nichtversicherungstechnische Rückstellungen</v>
      </c>
      <c r="E2188" s="1494"/>
      <c r="F2188" s="1548" t="str">
        <f>'BewDifferenzen_Statut-Marktnah'!$F$4</f>
        <v>Statutarischer Bilanzwert</v>
      </c>
      <c r="G2188" s="1494"/>
      <c r="H2188" s="1062">
        <f>'BewDifferenzen_Statut-Marktnah'!$F111</f>
        <v>0</v>
      </c>
      <c r="U2188" s="1027"/>
      <c r="V2188" s="1027"/>
      <c r="W2188" s="1027"/>
    </row>
    <row r="2189" spans="2:23" ht="12.75" customHeight="1" x14ac:dyDescent="0.2">
      <c r="B2189" s="1083">
        <f>'BewDifferenzen_Statut-Marktnah'!$A$1</f>
        <v>42</v>
      </c>
      <c r="C2189" s="1084" t="str">
        <f>'BewDifferenzen_Statut-Marktnah'!$B$1</f>
        <v>Differenzen zwischen statutarischer und marktnaher Bewertung</v>
      </c>
      <c r="D2189" s="1143" t="str">
        <f>'BewDifferenzen_Statut-Marktnah'!$D$111</f>
        <v>Nichtversicherungstechnische Rückstellungen</v>
      </c>
      <c r="E2189" s="1547" t="str">
        <f>'BewDifferenzen_Statut-Marktnah'!$E112</f>
        <v>dem Geschäft nach KVG zugeordnet</v>
      </c>
      <c r="F2189" s="1548" t="str">
        <f>'BewDifferenzen_Statut-Marktnah'!$F$4</f>
        <v>Statutarischer Bilanzwert</v>
      </c>
      <c r="G2189" s="1494"/>
      <c r="H2189" s="1144">
        <f>'BewDifferenzen_Statut-Marktnah'!$F112</f>
        <v>0</v>
      </c>
      <c r="U2189" s="1027"/>
      <c r="V2189" s="1027"/>
      <c r="W2189" s="1027"/>
    </row>
    <row r="2190" spans="2:23" ht="12.75" customHeight="1" x14ac:dyDescent="0.2">
      <c r="B2190" s="1083">
        <f>'BewDifferenzen_Statut-Marktnah'!$A$1</f>
        <v>42</v>
      </c>
      <c r="C2190" s="1084" t="str">
        <f>'BewDifferenzen_Statut-Marktnah'!$B$1</f>
        <v>Differenzen zwischen statutarischer und marktnaher Bewertung</v>
      </c>
      <c r="D2190" s="1143" t="str">
        <f>'BewDifferenzen_Statut-Marktnah'!$D$111</f>
        <v>Nichtversicherungstechnische Rückstellungen</v>
      </c>
      <c r="E2190" s="1547" t="str">
        <f>'BewDifferenzen_Statut-Marktnah'!$E113</f>
        <v>dem Geschäft nach VVG zugeordnet</v>
      </c>
      <c r="F2190" s="1548" t="str">
        <f>'BewDifferenzen_Statut-Marktnah'!$F$4</f>
        <v>Statutarischer Bilanzwert</v>
      </c>
      <c r="G2190" s="1494"/>
      <c r="H2190" s="1144">
        <f>'BewDifferenzen_Statut-Marktnah'!$F113</f>
        <v>0</v>
      </c>
      <c r="U2190" s="1027"/>
      <c r="V2190" s="1027"/>
      <c r="W2190" s="1027"/>
    </row>
    <row r="2191" spans="2:23" ht="14.25" customHeight="1" x14ac:dyDescent="0.2">
      <c r="B2191" s="1083">
        <f>'BewDifferenzen_Statut-Marktnah'!$A$1</f>
        <v>42</v>
      </c>
      <c r="C2191" s="1084" t="str">
        <f>'BewDifferenzen_Statut-Marktnah'!$B$1</f>
        <v>Differenzen zwischen statutarischer und marktnaher Bewertung</v>
      </c>
      <c r="D2191" s="1143" t="str">
        <f>'BewDifferenzen_Statut-Marktnah'!$D$111</f>
        <v>Nichtversicherungstechnische Rückstellungen</v>
      </c>
      <c r="E2191" s="1547" t="str">
        <f>'BewDifferenzen_Statut-Marktnah'!$E114</f>
        <v>dem Geschäft nach UVG zugeordnet</v>
      </c>
      <c r="F2191" s="1548" t="str">
        <f>'BewDifferenzen_Statut-Marktnah'!$F$4</f>
        <v>Statutarischer Bilanzwert</v>
      </c>
      <c r="G2191" s="1494"/>
      <c r="H2191" s="1144">
        <f>'BewDifferenzen_Statut-Marktnah'!$F114</f>
        <v>0</v>
      </c>
      <c r="U2191" s="1027"/>
      <c r="V2191" s="1027"/>
      <c r="W2191" s="1027"/>
    </row>
    <row r="2192" spans="2:23" x14ac:dyDescent="0.2">
      <c r="B2192" s="1083"/>
      <c r="C2192" s="1084"/>
      <c r="D2192" s="1143"/>
      <c r="E2192" s="1547"/>
      <c r="F2192" s="1548"/>
      <c r="G2192" s="1494"/>
      <c r="H2192" s="1061"/>
      <c r="U2192" s="1027"/>
      <c r="V2192" s="1027"/>
      <c r="W2192" s="1027"/>
    </row>
    <row r="2193" spans="2:23" ht="38.25" x14ac:dyDescent="0.2">
      <c r="B2193" s="1083">
        <f>'BewDifferenzen_Statut-Marktnah'!$A$1</f>
        <v>42</v>
      </c>
      <c r="C2193" s="1084" t="str">
        <f>'BewDifferenzen_Statut-Marktnah'!$B$1</f>
        <v>Differenzen zwischen statutarischer und marktnaher Bewertung</v>
      </c>
      <c r="D2193" s="1143" t="str">
        <f>'BewDifferenzen_Statut-Marktnah'!$D$116</f>
        <v>Rückstellungen für Risiken in den Kapitalanlagen</v>
      </c>
      <c r="E2193" s="1494"/>
      <c r="F2193" s="1548" t="str">
        <f>'BewDifferenzen_Statut-Marktnah'!$F$4</f>
        <v>Statutarischer Bilanzwert</v>
      </c>
      <c r="G2193" s="1494"/>
      <c r="H2193" s="1062">
        <f>'BewDifferenzen_Statut-Marktnah'!$F116</f>
        <v>0</v>
      </c>
      <c r="U2193" s="1027"/>
      <c r="V2193" s="1027"/>
      <c r="W2193" s="1027"/>
    </row>
    <row r="2194" spans="2:23" ht="38.25" x14ac:dyDescent="0.2">
      <c r="B2194" s="1083">
        <f>'BewDifferenzen_Statut-Marktnah'!$A$1</f>
        <v>42</v>
      </c>
      <c r="C2194" s="1084" t="str">
        <f>'BewDifferenzen_Statut-Marktnah'!$B$1</f>
        <v>Differenzen zwischen statutarischer und marktnaher Bewertung</v>
      </c>
      <c r="D2194" s="1143" t="str">
        <f>'BewDifferenzen_Statut-Marktnah'!$D$116</f>
        <v>Rückstellungen für Risiken in den Kapitalanlagen</v>
      </c>
      <c r="E2194" s="1547" t="str">
        <f>'BewDifferenzen_Statut-Marktnah'!$E117</f>
        <v>dem Geschäft nach KVG zugeordnet</v>
      </c>
      <c r="F2194" s="1548" t="str">
        <f>'BewDifferenzen_Statut-Marktnah'!$F$4</f>
        <v>Statutarischer Bilanzwert</v>
      </c>
      <c r="G2194" s="1494"/>
      <c r="H2194" s="1144">
        <f>'BewDifferenzen_Statut-Marktnah'!$F117</f>
        <v>0</v>
      </c>
      <c r="U2194" s="1027"/>
      <c r="V2194" s="1027"/>
      <c r="W2194" s="1027"/>
    </row>
    <row r="2195" spans="2:23" ht="38.25" x14ac:dyDescent="0.2">
      <c r="B2195" s="1083">
        <f>'BewDifferenzen_Statut-Marktnah'!$A$1</f>
        <v>42</v>
      </c>
      <c r="C2195" s="1084" t="str">
        <f>'BewDifferenzen_Statut-Marktnah'!$B$1</f>
        <v>Differenzen zwischen statutarischer und marktnaher Bewertung</v>
      </c>
      <c r="D2195" s="1143" t="str">
        <f>'BewDifferenzen_Statut-Marktnah'!$D$116</f>
        <v>Rückstellungen für Risiken in den Kapitalanlagen</v>
      </c>
      <c r="E2195" s="1547" t="str">
        <f>'BewDifferenzen_Statut-Marktnah'!$E118</f>
        <v>dem Geschäft nach VVG zugeordnet</v>
      </c>
      <c r="F2195" s="1548" t="str">
        <f>'BewDifferenzen_Statut-Marktnah'!$F$4</f>
        <v>Statutarischer Bilanzwert</v>
      </c>
      <c r="G2195" s="1494"/>
      <c r="H2195" s="1144">
        <f>'BewDifferenzen_Statut-Marktnah'!$F118</f>
        <v>0</v>
      </c>
      <c r="U2195" s="1027"/>
      <c r="V2195" s="1027"/>
      <c r="W2195" s="1027"/>
    </row>
    <row r="2196" spans="2:23" ht="38.25" x14ac:dyDescent="0.2">
      <c r="B2196" s="1083">
        <f>'BewDifferenzen_Statut-Marktnah'!$A$1</f>
        <v>42</v>
      </c>
      <c r="C2196" s="1084" t="str">
        <f>'BewDifferenzen_Statut-Marktnah'!$B$1</f>
        <v>Differenzen zwischen statutarischer und marktnaher Bewertung</v>
      </c>
      <c r="D2196" s="1143" t="str">
        <f>'BewDifferenzen_Statut-Marktnah'!$D$116</f>
        <v>Rückstellungen für Risiken in den Kapitalanlagen</v>
      </c>
      <c r="E2196" s="1547" t="str">
        <f>'BewDifferenzen_Statut-Marktnah'!$E119</f>
        <v>dem Geschäft nach UVG zugeordnet</v>
      </c>
      <c r="F2196" s="1548" t="str">
        <f>'BewDifferenzen_Statut-Marktnah'!$F$4</f>
        <v>Statutarischer Bilanzwert</v>
      </c>
      <c r="G2196" s="1494"/>
      <c r="H2196" s="1144">
        <f>'BewDifferenzen_Statut-Marktnah'!$F119</f>
        <v>0</v>
      </c>
      <c r="U2196" s="1027"/>
      <c r="V2196" s="1027"/>
      <c r="W2196" s="1027"/>
    </row>
    <row r="2197" spans="2:23" x14ac:dyDescent="0.2">
      <c r="B2197" s="1083"/>
      <c r="C2197" s="1084"/>
      <c r="D2197" s="1143"/>
      <c r="E2197" s="1547"/>
      <c r="F2197" s="1548"/>
      <c r="G2197" s="1494"/>
      <c r="H2197" s="1061"/>
      <c r="U2197" s="1027"/>
      <c r="V2197" s="1027"/>
      <c r="W2197" s="1027"/>
    </row>
    <row r="2198" spans="2:23" ht="38.25" x14ac:dyDescent="0.2">
      <c r="B2198" s="1083">
        <f>'BewDifferenzen_Statut-Marktnah'!$A$1</f>
        <v>42</v>
      </c>
      <c r="C2198" s="1084" t="str">
        <f>'BewDifferenzen_Statut-Marktnah'!$B$1</f>
        <v>Differenzen zwischen statutarischer und marktnaher Bewertung</v>
      </c>
      <c r="D2198" s="1143" t="str">
        <f>'BewDifferenzen_Statut-Marktnah'!$D$121</f>
        <v>Übrige Verbindlichkeiten (inkl. Rechnungsabgrenzungen)</v>
      </c>
      <c r="E2198" s="1494"/>
      <c r="F2198" s="1548" t="str">
        <f>'BewDifferenzen_Statut-Marktnah'!$F$4</f>
        <v>Statutarischer Bilanzwert</v>
      </c>
      <c r="G2198" s="1494"/>
      <c r="H2198" s="1062">
        <f>'BewDifferenzen_Statut-Marktnah'!$F121</f>
        <v>0</v>
      </c>
      <c r="U2198" s="1027"/>
      <c r="V2198" s="1027"/>
      <c r="W2198" s="1027"/>
    </row>
    <row r="2199" spans="2:23" ht="38.25" x14ac:dyDescent="0.2">
      <c r="B2199" s="1083">
        <f>'BewDifferenzen_Statut-Marktnah'!$A$1</f>
        <v>42</v>
      </c>
      <c r="C2199" s="1084" t="str">
        <f>'BewDifferenzen_Statut-Marktnah'!$B$1</f>
        <v>Differenzen zwischen statutarischer und marktnaher Bewertung</v>
      </c>
      <c r="D2199" s="1143" t="str">
        <f>'BewDifferenzen_Statut-Marktnah'!$D$121</f>
        <v>Übrige Verbindlichkeiten (inkl. Rechnungsabgrenzungen)</v>
      </c>
      <c r="E2199" s="1547" t="str">
        <f>'BewDifferenzen_Statut-Marktnah'!$E122</f>
        <v>dem Geschäft nach KVG zugeordnet</v>
      </c>
      <c r="F2199" s="1548" t="str">
        <f>'BewDifferenzen_Statut-Marktnah'!$F$4</f>
        <v>Statutarischer Bilanzwert</v>
      </c>
      <c r="G2199" s="1494"/>
      <c r="H2199" s="1144">
        <f>'BewDifferenzen_Statut-Marktnah'!$F122</f>
        <v>0</v>
      </c>
      <c r="U2199" s="1027"/>
      <c r="V2199" s="1027"/>
      <c r="W2199" s="1027"/>
    </row>
    <row r="2200" spans="2:23" ht="38.25" x14ac:dyDescent="0.2">
      <c r="B2200" s="1083">
        <f>'BewDifferenzen_Statut-Marktnah'!$A$1</f>
        <v>42</v>
      </c>
      <c r="C2200" s="1084" t="str">
        <f>'BewDifferenzen_Statut-Marktnah'!$B$1</f>
        <v>Differenzen zwischen statutarischer und marktnaher Bewertung</v>
      </c>
      <c r="D2200" s="1143" t="str">
        <f>'BewDifferenzen_Statut-Marktnah'!$D$121</f>
        <v>Übrige Verbindlichkeiten (inkl. Rechnungsabgrenzungen)</v>
      </c>
      <c r="E2200" s="1547" t="str">
        <f>'BewDifferenzen_Statut-Marktnah'!$E123</f>
        <v>dem Geschäft nach VVG zugeordnet</v>
      </c>
      <c r="F2200" s="1548" t="str">
        <f>'BewDifferenzen_Statut-Marktnah'!$F$4</f>
        <v>Statutarischer Bilanzwert</v>
      </c>
      <c r="G2200" s="1494"/>
      <c r="H2200" s="1144">
        <f>'BewDifferenzen_Statut-Marktnah'!$F123</f>
        <v>0</v>
      </c>
      <c r="U2200" s="1027"/>
      <c r="V2200" s="1027"/>
      <c r="W2200" s="1027"/>
    </row>
    <row r="2201" spans="2:23" ht="38.25" x14ac:dyDescent="0.2">
      <c r="B2201" s="1083">
        <f>'BewDifferenzen_Statut-Marktnah'!$A$1</f>
        <v>42</v>
      </c>
      <c r="C2201" s="1084" t="str">
        <f>'BewDifferenzen_Statut-Marktnah'!$B$1</f>
        <v>Differenzen zwischen statutarischer und marktnaher Bewertung</v>
      </c>
      <c r="D2201" s="1143" t="str">
        <f>'BewDifferenzen_Statut-Marktnah'!$D$121</f>
        <v>Übrige Verbindlichkeiten (inkl. Rechnungsabgrenzungen)</v>
      </c>
      <c r="E2201" s="1547" t="str">
        <f>'BewDifferenzen_Statut-Marktnah'!$E124</f>
        <v>dem Geschäft nach UVG zugeordnet</v>
      </c>
      <c r="F2201" s="1548" t="str">
        <f>'BewDifferenzen_Statut-Marktnah'!$F$4</f>
        <v>Statutarischer Bilanzwert</v>
      </c>
      <c r="G2201" s="1494"/>
      <c r="H2201" s="1144">
        <f>'BewDifferenzen_Statut-Marktnah'!$F124</f>
        <v>0</v>
      </c>
      <c r="U2201" s="1027"/>
      <c r="V2201" s="1027"/>
      <c r="W2201" s="1027"/>
    </row>
    <row r="2202" spans="2:23" x14ac:dyDescent="0.2">
      <c r="B2202" s="1083"/>
      <c r="C2202" s="1084"/>
      <c r="D2202" s="1143"/>
      <c r="E2202" s="1547"/>
      <c r="F2202" s="1548"/>
      <c r="G2202" s="1494"/>
      <c r="H2202" s="1061"/>
      <c r="U2202" s="1027"/>
      <c r="V2202" s="1027"/>
      <c r="W2202" s="1027"/>
    </row>
    <row r="2203" spans="2:23" ht="38.25" x14ac:dyDescent="0.2">
      <c r="B2203" s="1083">
        <f>'BewDifferenzen_Statut-Marktnah'!$A$1</f>
        <v>42</v>
      </c>
      <c r="C2203" s="1084" t="str">
        <f>'BewDifferenzen_Statut-Marktnah'!$B$1</f>
        <v>Differenzen zwischen statutarischer und marktnaher Bewertung</v>
      </c>
      <c r="D2203" s="1143" t="str">
        <f>'BewDifferenzen_Statut-Marktnah'!$D$126</f>
        <v>Total übrige Passiven</v>
      </c>
      <c r="E2203" s="1494"/>
      <c r="F2203" s="1548" t="str">
        <f>'BewDifferenzen_Statut-Marktnah'!$F$4</f>
        <v>Statutarischer Bilanzwert</v>
      </c>
      <c r="G2203" s="1494"/>
      <c r="H2203" s="1065">
        <f>'BewDifferenzen_Statut-Marktnah'!$F126</f>
        <v>0</v>
      </c>
      <c r="U2203" s="1027"/>
      <c r="V2203" s="1027"/>
      <c r="W2203" s="1027"/>
    </row>
    <row r="2204" spans="2:23" x14ac:dyDescent="0.2">
      <c r="B2204" s="1083"/>
      <c r="C2204" s="1084"/>
      <c r="D2204" s="1143"/>
      <c r="E2204" s="1547"/>
      <c r="F2204" s="1548"/>
      <c r="G2204" s="1494"/>
      <c r="H2204" s="1061"/>
      <c r="U2204" s="1027"/>
      <c r="V2204" s="1027"/>
      <c r="W2204" s="1027"/>
    </row>
    <row r="2205" spans="2:23" ht="38.25" x14ac:dyDescent="0.2">
      <c r="B2205" s="1083">
        <f>'BewDifferenzen_Statut-Marktnah'!$A$1</f>
        <v>42</v>
      </c>
      <c r="C2205" s="1084" t="str">
        <f>'BewDifferenzen_Statut-Marktnah'!$B$1</f>
        <v>Differenzen zwischen statutarischer und marktnaher Bewertung</v>
      </c>
      <c r="D2205" s="1143" t="str">
        <f>'BewDifferenzen_Statut-Marktnah'!$C$128</f>
        <v>Total Fremdkapital</v>
      </c>
      <c r="E2205" s="1547"/>
      <c r="F2205" s="1548" t="str">
        <f>'BewDifferenzen_Statut-Marktnah'!$F$4</f>
        <v>Statutarischer Bilanzwert</v>
      </c>
      <c r="G2205" s="1494"/>
      <c r="H2205" s="1065">
        <f>'BewDifferenzen_Statut-Marktnah'!$F128</f>
        <v>0</v>
      </c>
      <c r="U2205" s="1027"/>
      <c r="V2205" s="1027"/>
      <c r="W2205" s="1027"/>
    </row>
    <row r="2206" spans="2:23" x14ac:dyDescent="0.2">
      <c r="B2206" s="1083"/>
      <c r="C2206" s="1084"/>
      <c r="D2206" s="1143"/>
      <c r="E2206" s="1547"/>
      <c r="F2206" s="1548"/>
      <c r="G2206" s="1494"/>
      <c r="H2206" s="1061"/>
      <c r="U2206" s="1027"/>
      <c r="V2206" s="1027"/>
      <c r="W2206" s="1027"/>
    </row>
    <row r="2207" spans="2:23" ht="38.25" x14ac:dyDescent="0.2">
      <c r="B2207" s="1083">
        <f>'BewDifferenzen_Statut-Marktnah'!$A$1</f>
        <v>42</v>
      </c>
      <c r="C2207" s="1084" t="str">
        <f>'BewDifferenzen_Statut-Marktnah'!$B$1</f>
        <v>Differenzen zwischen statutarischer und marktnaher Bewertung</v>
      </c>
      <c r="D2207" s="1143" t="str">
        <f>'BewDifferenzen_Statut-Marktnah'!$C$130</f>
        <v>Differenz zwischen Aktiven und Fremdkapital</v>
      </c>
      <c r="E2207" s="1547"/>
      <c r="F2207" s="1548" t="str">
        <f>'BewDifferenzen_Statut-Marktnah'!$F$4</f>
        <v>Statutarischer Bilanzwert</v>
      </c>
      <c r="G2207" s="1494"/>
      <c r="H2207" s="1065">
        <f>'BewDifferenzen_Statut-Marktnah'!$F130</f>
        <v>0</v>
      </c>
      <c r="U2207" s="1027"/>
      <c r="V2207" s="1027"/>
      <c r="W2207" s="1027"/>
    </row>
    <row r="2208" spans="2:23" x14ac:dyDescent="0.2">
      <c r="B2208" s="1083"/>
      <c r="C2208" s="1084"/>
      <c r="D2208" s="1143"/>
      <c r="E2208" s="1547"/>
      <c r="F2208" s="1548"/>
      <c r="G2208" s="1494"/>
      <c r="H2208" s="1061"/>
      <c r="U2208" s="1027"/>
      <c r="V2208" s="1027"/>
      <c r="W2208" s="1027"/>
    </row>
    <row r="2209" spans="2:23" ht="38.25" x14ac:dyDescent="0.2">
      <c r="B2209" s="1083">
        <f>'BewDifferenzen_Statut-Marktnah'!$A$1</f>
        <v>42</v>
      </c>
      <c r="C2209" s="1084" t="str">
        <f>'BewDifferenzen_Statut-Marktnah'!$B$1</f>
        <v>Differenzen zwischen statutarischer und marktnaher Bewertung</v>
      </c>
      <c r="D2209" s="1143" t="str">
        <f>'BewDifferenzen_Statut-Marktnah'!$D$132</f>
        <v>Kontrollzeile</v>
      </c>
      <c r="E2209" s="1547"/>
      <c r="F2209" s="1548" t="str">
        <f>'BewDifferenzen_Statut-Marktnah'!$F$4</f>
        <v>Statutarischer Bilanzwert</v>
      </c>
      <c r="G2209" s="1494"/>
      <c r="H2209" s="1549">
        <f>'BewDifferenzen_Statut-Marktnah'!$F132</f>
        <v>0</v>
      </c>
      <c r="U2209" s="1027"/>
      <c r="V2209" s="1027"/>
      <c r="W2209" s="1027"/>
    </row>
    <row r="2210" spans="2:23" x14ac:dyDescent="0.2">
      <c r="B2210" s="1083"/>
      <c r="C2210" s="1084"/>
      <c r="D2210" s="1143"/>
      <c r="E2210" s="1547"/>
      <c r="F2210" s="1548"/>
      <c r="G2210" s="1494"/>
      <c r="H2210" s="1061"/>
      <c r="U2210" s="1027"/>
      <c r="V2210" s="1027"/>
      <c r="W2210" s="1027"/>
    </row>
    <row r="2211" spans="2:23" ht="38.25" x14ac:dyDescent="0.2">
      <c r="B2211" s="1083">
        <f>'BewDifferenzen_Statut-Marktnah'!$A$1</f>
        <v>42</v>
      </c>
      <c r="C2211" s="1084" t="str">
        <f>'BewDifferenzen_Statut-Marktnah'!$B$1</f>
        <v>Differenzen zwischen statutarischer und marktnaher Bewertung</v>
      </c>
      <c r="D2211" s="1143" t="str">
        <f>'BewDifferenzen_Statut-Marktnah'!$C$136</f>
        <v>Aufteilung des Eigenkapitals</v>
      </c>
      <c r="E2211" s="1547"/>
      <c r="F2211" s="1548" t="str">
        <f>'BewDifferenzen_Statut-Marktnah'!$F$4</f>
        <v>Statutarischer Bilanzwert</v>
      </c>
      <c r="G2211" s="1494"/>
      <c r="H2211" s="1065">
        <f>'BewDifferenzen_Statut-Marktnah'!$F136</f>
        <v>0</v>
      </c>
      <c r="U2211" s="1027"/>
      <c r="V2211" s="1027"/>
      <c r="W2211" s="1027"/>
    </row>
    <row r="2212" spans="2:23" ht="38.25" x14ac:dyDescent="0.2">
      <c r="B2212" s="1083">
        <f>'BewDifferenzen_Statut-Marktnah'!$A$1</f>
        <v>42</v>
      </c>
      <c r="C2212" s="1084" t="str">
        <f>'BewDifferenzen_Statut-Marktnah'!$B$1</f>
        <v>Differenzen zwischen statutarischer und marktnaher Bewertung</v>
      </c>
      <c r="D2212" s="1143" t="str">
        <f>'BewDifferenzen_Statut-Marktnah'!$C$136</f>
        <v>Aufteilung des Eigenkapitals</v>
      </c>
      <c r="E2212" s="1547" t="str">
        <f>'BewDifferenzen_Statut-Marktnah'!$E137</f>
        <v>dem Geschäft nach KVG zugeordnet</v>
      </c>
      <c r="F2212" s="1548" t="str">
        <f>'BewDifferenzen_Statut-Marktnah'!$F$4</f>
        <v>Statutarischer Bilanzwert</v>
      </c>
      <c r="G2212" s="1494"/>
      <c r="H2212" s="1487">
        <f>'BewDifferenzen_Statut-Marktnah'!$F137</f>
        <v>0</v>
      </c>
      <c r="U2212" s="1027"/>
      <c r="V2212" s="1027"/>
      <c r="W2212" s="1027"/>
    </row>
    <row r="2213" spans="2:23" ht="38.25" x14ac:dyDescent="0.2">
      <c r="B2213" s="1083">
        <f>'BewDifferenzen_Statut-Marktnah'!$A$1</f>
        <v>42</v>
      </c>
      <c r="C2213" s="1084" t="str">
        <f>'BewDifferenzen_Statut-Marktnah'!$B$1</f>
        <v>Differenzen zwischen statutarischer und marktnaher Bewertung</v>
      </c>
      <c r="D2213" s="1143" t="str">
        <f>'BewDifferenzen_Statut-Marktnah'!$C$136</f>
        <v>Aufteilung des Eigenkapitals</v>
      </c>
      <c r="E2213" s="1547" t="str">
        <f>'BewDifferenzen_Statut-Marktnah'!$E138</f>
        <v>dem Geschäft nach VVG zugeordnet</v>
      </c>
      <c r="F2213" s="1548" t="str">
        <f>'BewDifferenzen_Statut-Marktnah'!$F$4</f>
        <v>Statutarischer Bilanzwert</v>
      </c>
      <c r="G2213" s="1494"/>
      <c r="H2213" s="1487">
        <f>'BewDifferenzen_Statut-Marktnah'!$F138</f>
        <v>0</v>
      </c>
      <c r="U2213" s="1027"/>
      <c r="V2213" s="1027"/>
      <c r="W2213" s="1027"/>
    </row>
    <row r="2214" spans="2:23" ht="38.25" x14ac:dyDescent="0.2">
      <c r="B2214" s="1083">
        <f>'BewDifferenzen_Statut-Marktnah'!$A$1</f>
        <v>42</v>
      </c>
      <c r="C2214" s="1084" t="str">
        <f>'BewDifferenzen_Statut-Marktnah'!$B$1</f>
        <v>Differenzen zwischen statutarischer und marktnaher Bewertung</v>
      </c>
      <c r="D2214" s="1143" t="str">
        <f>'BewDifferenzen_Statut-Marktnah'!$C$136</f>
        <v>Aufteilung des Eigenkapitals</v>
      </c>
      <c r="E2214" s="1547" t="str">
        <f>'BewDifferenzen_Statut-Marktnah'!$E139</f>
        <v>dem Geschäft nach UVG zugeordnet</v>
      </c>
      <c r="F2214" s="1548" t="str">
        <f>'BewDifferenzen_Statut-Marktnah'!$F$4</f>
        <v>Statutarischer Bilanzwert</v>
      </c>
      <c r="G2214" s="1494"/>
      <c r="H2214" s="1487">
        <f>'BewDifferenzen_Statut-Marktnah'!$F139</f>
        <v>0</v>
      </c>
      <c r="U2214" s="1027"/>
      <c r="V2214" s="1027"/>
      <c r="W2214" s="1027"/>
    </row>
    <row r="2215" spans="2:23" x14ac:dyDescent="0.2">
      <c r="B2215" s="1083"/>
      <c r="C2215" s="1084"/>
      <c r="D2215" s="1143"/>
      <c r="E2215" s="1547"/>
      <c r="F2215" s="1548"/>
      <c r="G2215" s="1494"/>
      <c r="H2215" s="1061"/>
      <c r="U2215" s="1027"/>
      <c r="V2215" s="1027"/>
      <c r="W2215" s="1027"/>
    </row>
    <row r="2216" spans="2:23" x14ac:dyDescent="0.2">
      <c r="B2216" s="1083"/>
      <c r="C2216" s="1084"/>
      <c r="D2216" s="1143"/>
      <c r="E2216" s="1547"/>
      <c r="F2216" s="1548"/>
      <c r="G2216" s="1494"/>
      <c r="H2216" s="1061"/>
      <c r="U2216" s="1027"/>
      <c r="V2216" s="1027"/>
      <c r="W2216" s="1027"/>
    </row>
    <row r="2217" spans="2:23" x14ac:dyDescent="0.2">
      <c r="B2217" s="1083"/>
      <c r="C2217" s="1084"/>
      <c r="D2217" s="1143"/>
      <c r="E2217" s="1547"/>
      <c r="F2217" s="1548"/>
      <c r="G2217" s="1494"/>
      <c r="H2217" s="1061"/>
      <c r="U2217" s="1027"/>
      <c r="V2217" s="1027"/>
      <c r="W2217" s="1027"/>
    </row>
    <row r="2218" spans="2:23" x14ac:dyDescent="0.2">
      <c r="B2218" s="1083"/>
      <c r="C2218" s="1084"/>
      <c r="D2218" s="1143"/>
      <c r="E2218" s="1547"/>
      <c r="F2218" s="1548"/>
      <c r="G2218" s="1494"/>
      <c r="H2218" s="1061"/>
      <c r="U2218" s="1027"/>
      <c r="V2218" s="1027"/>
      <c r="W2218" s="1027"/>
    </row>
    <row r="2219" spans="2:23" ht="38.25" x14ac:dyDescent="0.2">
      <c r="B2219" s="1083">
        <f>'BewDifferenzen_Statut-Marktnah'!$A$1</f>
        <v>42</v>
      </c>
      <c r="C2219" s="1084" t="str">
        <f>'BewDifferenzen_Statut-Marktnah'!$B$1</f>
        <v>Differenzen zwischen statutarischer und marktnaher Bewertung</v>
      </c>
      <c r="D2219" s="1560" t="str">
        <f>'BewDifferenzen_Statut-Marktnah'!$D$13</f>
        <v>Grundstücke und Bauten</v>
      </c>
      <c r="E2219" s="1494"/>
      <c r="F2219" s="1547" t="str">
        <f>'BewDifferenzen_Statut-Marktnah'!$L$4</f>
        <v>Statutarischer Bilanzwert nach Umlegungen</v>
      </c>
      <c r="G2219" s="1494"/>
      <c r="H2219" s="1062">
        <f ca="1">'BewDifferenzen_Statut-Marktnah'!$L13</f>
        <v>0</v>
      </c>
      <c r="U2219" s="1027"/>
      <c r="V2219" s="1027"/>
      <c r="W2219" s="1027"/>
    </row>
    <row r="2220" spans="2:23" ht="38.25" x14ac:dyDescent="0.2">
      <c r="B2220" s="1083">
        <f>'BewDifferenzen_Statut-Marktnah'!$A$1</f>
        <v>42</v>
      </c>
      <c r="C2220" s="1084" t="str">
        <f>'BewDifferenzen_Statut-Marktnah'!$B$1</f>
        <v>Differenzen zwischen statutarischer und marktnaher Bewertung</v>
      </c>
      <c r="D2220" s="1143" t="str">
        <f>'BewDifferenzen_Statut-Marktnah'!$D$13</f>
        <v>Grundstücke und Bauten</v>
      </c>
      <c r="E2220" s="1547" t="str">
        <f>'BewDifferenzen_Statut-Marktnah'!$E14</f>
        <v>dem Geschäft nach KVG zugeordnet</v>
      </c>
      <c r="F2220" s="1547" t="str">
        <f>'BewDifferenzen_Statut-Marktnah'!$L$4</f>
        <v>Statutarischer Bilanzwert nach Umlegungen</v>
      </c>
      <c r="G2220" s="1494"/>
      <c r="H2220" s="1145">
        <f ca="1">'BewDifferenzen_Statut-Marktnah'!$L14</f>
        <v>0</v>
      </c>
      <c r="U2220" s="1027"/>
      <c r="V2220" s="1027"/>
      <c r="W2220" s="1027"/>
    </row>
    <row r="2221" spans="2:23" ht="38.25" x14ac:dyDescent="0.2">
      <c r="B2221" s="1083">
        <f>'BewDifferenzen_Statut-Marktnah'!$A$1</f>
        <v>42</v>
      </c>
      <c r="C2221" s="1084" t="str">
        <f>'BewDifferenzen_Statut-Marktnah'!$B$1</f>
        <v>Differenzen zwischen statutarischer und marktnaher Bewertung</v>
      </c>
      <c r="D2221" s="1143" t="str">
        <f>'BewDifferenzen_Statut-Marktnah'!$D$13</f>
        <v>Grundstücke und Bauten</v>
      </c>
      <c r="E2221" s="1547" t="str">
        <f>'BewDifferenzen_Statut-Marktnah'!$E15</f>
        <v>dem Geschäft nach VVG zugeordnet</v>
      </c>
      <c r="F2221" s="1547" t="str">
        <f>'BewDifferenzen_Statut-Marktnah'!$L$4</f>
        <v>Statutarischer Bilanzwert nach Umlegungen</v>
      </c>
      <c r="G2221" s="1494"/>
      <c r="H2221" s="1145">
        <f ca="1">'BewDifferenzen_Statut-Marktnah'!$L15</f>
        <v>0</v>
      </c>
      <c r="U2221" s="1027"/>
      <c r="V2221" s="1027"/>
      <c r="W2221" s="1027"/>
    </row>
    <row r="2222" spans="2:23" ht="38.25" x14ac:dyDescent="0.2">
      <c r="B2222" s="1083">
        <f>'BewDifferenzen_Statut-Marktnah'!$A$1</f>
        <v>42</v>
      </c>
      <c r="C2222" s="1084" t="str">
        <f>'BewDifferenzen_Statut-Marktnah'!$B$1</f>
        <v>Differenzen zwischen statutarischer und marktnaher Bewertung</v>
      </c>
      <c r="D2222" s="1143" t="str">
        <f>'BewDifferenzen_Statut-Marktnah'!$D$13</f>
        <v>Grundstücke und Bauten</v>
      </c>
      <c r="E2222" s="1547" t="str">
        <f>'BewDifferenzen_Statut-Marktnah'!$E16</f>
        <v>dem Geschäft nach UVG zugeordnet</v>
      </c>
      <c r="F2222" s="1547" t="str">
        <f>'BewDifferenzen_Statut-Marktnah'!$L$4</f>
        <v>Statutarischer Bilanzwert nach Umlegungen</v>
      </c>
      <c r="G2222" s="1494"/>
      <c r="H2222" s="1145">
        <f ca="1">'BewDifferenzen_Statut-Marktnah'!$L16</f>
        <v>0</v>
      </c>
      <c r="U2222" s="1027"/>
      <c r="V2222" s="1027"/>
      <c r="W2222" s="1027"/>
    </row>
    <row r="2223" spans="2:23" x14ac:dyDescent="0.2">
      <c r="B2223" s="1083"/>
      <c r="C2223" s="1084"/>
      <c r="D2223" s="1143"/>
      <c r="E2223" s="1547"/>
      <c r="F2223" s="1547"/>
      <c r="G2223" s="1494"/>
      <c r="H2223" s="1061"/>
      <c r="U2223" s="1027"/>
      <c r="V2223" s="1027"/>
      <c r="W2223" s="1027"/>
    </row>
    <row r="2224" spans="2:23" ht="38.25" x14ac:dyDescent="0.2">
      <c r="B2224" s="1083">
        <f>'BewDifferenzen_Statut-Marktnah'!$A$1</f>
        <v>42</v>
      </c>
      <c r="C2224" s="1084" t="str">
        <f>'BewDifferenzen_Statut-Marktnah'!$B$1</f>
        <v>Differenzen zwischen statutarischer und marktnaher Bewertung</v>
      </c>
      <c r="D2224" s="1143" t="str">
        <f>'BewDifferenzen_Statut-Marktnah'!$D$18</f>
        <v>Obligationen</v>
      </c>
      <c r="E2224" s="1494"/>
      <c r="F2224" s="1547" t="str">
        <f>'BewDifferenzen_Statut-Marktnah'!$L$4</f>
        <v>Statutarischer Bilanzwert nach Umlegungen</v>
      </c>
      <c r="G2224" s="1494"/>
      <c r="H2224" s="1062">
        <f ca="1">'BewDifferenzen_Statut-Marktnah'!$L18</f>
        <v>0</v>
      </c>
      <c r="U2224" s="1027"/>
      <c r="V2224" s="1027"/>
      <c r="W2224" s="1027"/>
    </row>
    <row r="2225" spans="2:23" ht="38.25" x14ac:dyDescent="0.2">
      <c r="B2225" s="1083">
        <f>'BewDifferenzen_Statut-Marktnah'!$A$1</f>
        <v>42</v>
      </c>
      <c r="C2225" s="1084" t="str">
        <f>'BewDifferenzen_Statut-Marktnah'!$B$1</f>
        <v>Differenzen zwischen statutarischer und marktnaher Bewertung</v>
      </c>
      <c r="D2225" s="1143" t="str">
        <f>'BewDifferenzen_Statut-Marktnah'!$D$18</f>
        <v>Obligationen</v>
      </c>
      <c r="E2225" s="1547" t="str">
        <f>'BewDifferenzen_Statut-Marktnah'!$E19</f>
        <v>dem Geschäft nach KVG zugeordnet</v>
      </c>
      <c r="F2225" s="1547" t="str">
        <f>'BewDifferenzen_Statut-Marktnah'!$L$4</f>
        <v>Statutarischer Bilanzwert nach Umlegungen</v>
      </c>
      <c r="G2225" s="1494"/>
      <c r="H2225" s="1145">
        <f ca="1">'BewDifferenzen_Statut-Marktnah'!$L19</f>
        <v>0</v>
      </c>
      <c r="U2225" s="1027"/>
      <c r="V2225" s="1027"/>
      <c r="W2225" s="1027"/>
    </row>
    <row r="2226" spans="2:23" ht="38.25" x14ac:dyDescent="0.2">
      <c r="B2226" s="1083">
        <f>'BewDifferenzen_Statut-Marktnah'!$A$1</f>
        <v>42</v>
      </c>
      <c r="C2226" s="1084" t="str">
        <f>'BewDifferenzen_Statut-Marktnah'!$B$1</f>
        <v>Differenzen zwischen statutarischer und marktnaher Bewertung</v>
      </c>
      <c r="D2226" s="1143" t="str">
        <f>'BewDifferenzen_Statut-Marktnah'!$D$18</f>
        <v>Obligationen</v>
      </c>
      <c r="E2226" s="1547" t="str">
        <f>'BewDifferenzen_Statut-Marktnah'!$E20</f>
        <v>dem Geschäft nach VVG zugeordnet</v>
      </c>
      <c r="F2226" s="1547" t="str">
        <f>'BewDifferenzen_Statut-Marktnah'!$L$4</f>
        <v>Statutarischer Bilanzwert nach Umlegungen</v>
      </c>
      <c r="G2226" s="1494"/>
      <c r="H2226" s="1145">
        <f ca="1">'BewDifferenzen_Statut-Marktnah'!$L20</f>
        <v>0</v>
      </c>
      <c r="U2226" s="1027"/>
      <c r="V2226" s="1027"/>
      <c r="W2226" s="1027"/>
    </row>
    <row r="2227" spans="2:23" ht="38.25" x14ac:dyDescent="0.2">
      <c r="B2227" s="1083">
        <f>'BewDifferenzen_Statut-Marktnah'!$A$1</f>
        <v>42</v>
      </c>
      <c r="C2227" s="1084" t="str">
        <f>'BewDifferenzen_Statut-Marktnah'!$B$1</f>
        <v>Differenzen zwischen statutarischer und marktnaher Bewertung</v>
      </c>
      <c r="D2227" s="1143" t="str">
        <f>'BewDifferenzen_Statut-Marktnah'!$D$18</f>
        <v>Obligationen</v>
      </c>
      <c r="E2227" s="1547" t="str">
        <f>'BewDifferenzen_Statut-Marktnah'!$E21</f>
        <v>dem Geschäft nach UVG zugeordnet</v>
      </c>
      <c r="F2227" s="1547" t="str">
        <f>'BewDifferenzen_Statut-Marktnah'!$L$4</f>
        <v>Statutarischer Bilanzwert nach Umlegungen</v>
      </c>
      <c r="G2227" s="1494"/>
      <c r="H2227" s="1145">
        <f ca="1">'BewDifferenzen_Statut-Marktnah'!$L21</f>
        <v>0</v>
      </c>
      <c r="U2227" s="1027"/>
      <c r="V2227" s="1027"/>
      <c r="W2227" s="1027"/>
    </row>
    <row r="2228" spans="2:23" x14ac:dyDescent="0.2">
      <c r="B2228" s="1083"/>
      <c r="C2228" s="1084"/>
      <c r="D2228" s="1143"/>
      <c r="E2228" s="1547"/>
      <c r="F2228" s="1547"/>
      <c r="G2228" s="1494"/>
      <c r="H2228" s="1061"/>
      <c r="U2228" s="1027"/>
      <c r="V2228" s="1027"/>
      <c r="W2228" s="1027"/>
    </row>
    <row r="2229" spans="2:23" ht="38.25" x14ac:dyDescent="0.2">
      <c r="B2229" s="1083">
        <f>'BewDifferenzen_Statut-Marktnah'!$A$1</f>
        <v>42</v>
      </c>
      <c r="C2229" s="1084" t="str">
        <f>'BewDifferenzen_Statut-Marktnah'!$B$1</f>
        <v>Differenzen zwischen statutarischer und marktnaher Bewertung</v>
      </c>
      <c r="D2229" s="1143" t="str">
        <f>'BewDifferenzen_Statut-Marktnah'!$D$23</f>
        <v>Aktien und ähnliche Anlagen</v>
      </c>
      <c r="E2229" s="1494"/>
      <c r="F2229" s="1547" t="str">
        <f>'BewDifferenzen_Statut-Marktnah'!$L$4</f>
        <v>Statutarischer Bilanzwert nach Umlegungen</v>
      </c>
      <c r="G2229" s="1494"/>
      <c r="H2229" s="1062">
        <f ca="1">'BewDifferenzen_Statut-Marktnah'!$L23</f>
        <v>0</v>
      </c>
      <c r="U2229" s="1027"/>
      <c r="V2229" s="1027"/>
      <c r="W2229" s="1027"/>
    </row>
    <row r="2230" spans="2:23" ht="38.25" x14ac:dyDescent="0.2">
      <c r="B2230" s="1083">
        <f>'BewDifferenzen_Statut-Marktnah'!$A$1</f>
        <v>42</v>
      </c>
      <c r="C2230" s="1084" t="str">
        <f>'BewDifferenzen_Statut-Marktnah'!$B$1</f>
        <v>Differenzen zwischen statutarischer und marktnaher Bewertung</v>
      </c>
      <c r="D2230" s="1143" t="str">
        <f>'BewDifferenzen_Statut-Marktnah'!$D$23</f>
        <v>Aktien und ähnliche Anlagen</v>
      </c>
      <c r="E2230" s="1547" t="str">
        <f>'BewDifferenzen_Statut-Marktnah'!$E24</f>
        <v>dem Geschäft nach KVG zugeordnet</v>
      </c>
      <c r="F2230" s="1547" t="str">
        <f>'BewDifferenzen_Statut-Marktnah'!$L$4</f>
        <v>Statutarischer Bilanzwert nach Umlegungen</v>
      </c>
      <c r="G2230" s="1494"/>
      <c r="H2230" s="1145">
        <f ca="1">'BewDifferenzen_Statut-Marktnah'!$L24</f>
        <v>0</v>
      </c>
      <c r="U2230" s="1027"/>
      <c r="V2230" s="1027"/>
      <c r="W2230" s="1027"/>
    </row>
    <row r="2231" spans="2:23" ht="38.25" x14ac:dyDescent="0.2">
      <c r="B2231" s="1083">
        <f>'BewDifferenzen_Statut-Marktnah'!$A$1</f>
        <v>42</v>
      </c>
      <c r="C2231" s="1084" t="str">
        <f>'BewDifferenzen_Statut-Marktnah'!$B$1</f>
        <v>Differenzen zwischen statutarischer und marktnaher Bewertung</v>
      </c>
      <c r="D2231" s="1143" t="str">
        <f>'BewDifferenzen_Statut-Marktnah'!$D$23</f>
        <v>Aktien und ähnliche Anlagen</v>
      </c>
      <c r="E2231" s="1547" t="str">
        <f>'BewDifferenzen_Statut-Marktnah'!$E25</f>
        <v>dem Geschäft nach VVG zugeordnet</v>
      </c>
      <c r="F2231" s="1547" t="str">
        <f>'BewDifferenzen_Statut-Marktnah'!$L$4</f>
        <v>Statutarischer Bilanzwert nach Umlegungen</v>
      </c>
      <c r="G2231" s="1494"/>
      <c r="H2231" s="1145">
        <f ca="1">'BewDifferenzen_Statut-Marktnah'!$L25</f>
        <v>0</v>
      </c>
      <c r="U2231" s="1027"/>
      <c r="V2231" s="1027"/>
      <c r="W2231" s="1027"/>
    </row>
    <row r="2232" spans="2:23" ht="38.25" x14ac:dyDescent="0.2">
      <c r="B2232" s="1083">
        <f>'BewDifferenzen_Statut-Marktnah'!$A$1</f>
        <v>42</v>
      </c>
      <c r="C2232" s="1084" t="str">
        <f>'BewDifferenzen_Statut-Marktnah'!$B$1</f>
        <v>Differenzen zwischen statutarischer und marktnaher Bewertung</v>
      </c>
      <c r="D2232" s="1143" t="str">
        <f>'BewDifferenzen_Statut-Marktnah'!$D$23</f>
        <v>Aktien und ähnliche Anlagen</v>
      </c>
      <c r="E2232" s="1547" t="str">
        <f>'BewDifferenzen_Statut-Marktnah'!$E26</f>
        <v>dem Geschäft nach UVG zugeordnet</v>
      </c>
      <c r="F2232" s="1547" t="str">
        <f>'BewDifferenzen_Statut-Marktnah'!$L$4</f>
        <v>Statutarischer Bilanzwert nach Umlegungen</v>
      </c>
      <c r="G2232" s="1494"/>
      <c r="H2232" s="1145">
        <f ca="1">'BewDifferenzen_Statut-Marktnah'!$L26</f>
        <v>0</v>
      </c>
      <c r="U2232" s="1027"/>
      <c r="V2232" s="1027"/>
      <c r="W2232" s="1027"/>
    </row>
    <row r="2233" spans="2:23" x14ac:dyDescent="0.2">
      <c r="B2233" s="1083"/>
      <c r="C2233" s="1084"/>
      <c r="D2233" s="1143"/>
      <c r="E2233" s="1547"/>
      <c r="F2233" s="1547"/>
      <c r="G2233" s="1494"/>
      <c r="H2233" s="1061"/>
      <c r="U2233" s="1027"/>
      <c r="V2233" s="1027"/>
      <c r="W2233" s="1027"/>
    </row>
    <row r="2234" spans="2:23" ht="38.25" x14ac:dyDescent="0.2">
      <c r="B2234" s="1083">
        <f>'BewDifferenzen_Statut-Marktnah'!$A$1</f>
        <v>42</v>
      </c>
      <c r="C2234" s="1084" t="str">
        <f>'BewDifferenzen_Statut-Marktnah'!$B$1</f>
        <v>Differenzen zwischen statutarischer und marktnaher Bewertung</v>
      </c>
      <c r="D2234" s="1143" t="str">
        <f>'BewDifferenzen_Statut-Marktnah'!$D$28</f>
        <v>Anteile an Anlagefonds</v>
      </c>
      <c r="E2234" s="1494"/>
      <c r="F2234" s="1547" t="str">
        <f>'BewDifferenzen_Statut-Marktnah'!$L$4</f>
        <v>Statutarischer Bilanzwert nach Umlegungen</v>
      </c>
      <c r="G2234" s="1494"/>
      <c r="H2234" s="1062">
        <f ca="1">'BewDifferenzen_Statut-Marktnah'!$L28</f>
        <v>0</v>
      </c>
      <c r="U2234" s="1027"/>
      <c r="V2234" s="1027"/>
      <c r="W2234" s="1027"/>
    </row>
    <row r="2235" spans="2:23" ht="38.25" x14ac:dyDescent="0.2">
      <c r="B2235" s="1083">
        <f>'BewDifferenzen_Statut-Marktnah'!$A$1</f>
        <v>42</v>
      </c>
      <c r="C2235" s="1084" t="str">
        <f>'BewDifferenzen_Statut-Marktnah'!$B$1</f>
        <v>Differenzen zwischen statutarischer und marktnaher Bewertung</v>
      </c>
      <c r="D2235" s="1143" t="str">
        <f>'BewDifferenzen_Statut-Marktnah'!$D$28</f>
        <v>Anteile an Anlagefonds</v>
      </c>
      <c r="E2235" s="1547" t="str">
        <f>'BewDifferenzen_Statut-Marktnah'!$E29</f>
        <v>dem Geschäft nach KVG zugeordnet</v>
      </c>
      <c r="F2235" s="1547" t="str">
        <f>'BewDifferenzen_Statut-Marktnah'!$L$4</f>
        <v>Statutarischer Bilanzwert nach Umlegungen</v>
      </c>
      <c r="G2235" s="1494"/>
      <c r="H2235" s="1145">
        <f ca="1">'BewDifferenzen_Statut-Marktnah'!$L29</f>
        <v>0</v>
      </c>
      <c r="U2235" s="1027"/>
      <c r="V2235" s="1027"/>
      <c r="W2235" s="1027"/>
    </row>
    <row r="2236" spans="2:23" ht="38.25" x14ac:dyDescent="0.2">
      <c r="B2236" s="1083">
        <f>'BewDifferenzen_Statut-Marktnah'!$A$1</f>
        <v>42</v>
      </c>
      <c r="C2236" s="1084" t="str">
        <f>'BewDifferenzen_Statut-Marktnah'!$B$1</f>
        <v>Differenzen zwischen statutarischer und marktnaher Bewertung</v>
      </c>
      <c r="D2236" s="1143" t="str">
        <f>'BewDifferenzen_Statut-Marktnah'!$D$28</f>
        <v>Anteile an Anlagefonds</v>
      </c>
      <c r="E2236" s="1547" t="str">
        <f>'BewDifferenzen_Statut-Marktnah'!$E30</f>
        <v>dem Geschäft nach VVG zugeordnet</v>
      </c>
      <c r="F2236" s="1547" t="str">
        <f>'BewDifferenzen_Statut-Marktnah'!$L$4</f>
        <v>Statutarischer Bilanzwert nach Umlegungen</v>
      </c>
      <c r="G2236" s="1494"/>
      <c r="H2236" s="1145">
        <f ca="1">'BewDifferenzen_Statut-Marktnah'!$L30</f>
        <v>0</v>
      </c>
      <c r="U2236" s="1027"/>
      <c r="V2236" s="1027"/>
      <c r="W2236" s="1027"/>
    </row>
    <row r="2237" spans="2:23" ht="38.25" x14ac:dyDescent="0.2">
      <c r="B2237" s="1083">
        <f>'BewDifferenzen_Statut-Marktnah'!$A$1</f>
        <v>42</v>
      </c>
      <c r="C2237" s="1084" t="str">
        <f>'BewDifferenzen_Statut-Marktnah'!$B$1</f>
        <v>Differenzen zwischen statutarischer und marktnaher Bewertung</v>
      </c>
      <c r="D2237" s="1143" t="str">
        <f>'BewDifferenzen_Statut-Marktnah'!$D$28</f>
        <v>Anteile an Anlagefonds</v>
      </c>
      <c r="E2237" s="1547" t="str">
        <f>'BewDifferenzen_Statut-Marktnah'!$E31</f>
        <v>dem Geschäft nach UVG zugeordnet</v>
      </c>
      <c r="F2237" s="1547" t="str">
        <f>'BewDifferenzen_Statut-Marktnah'!$L$4</f>
        <v>Statutarischer Bilanzwert nach Umlegungen</v>
      </c>
      <c r="G2237" s="1494"/>
      <c r="H2237" s="1145">
        <f ca="1">'BewDifferenzen_Statut-Marktnah'!$L31</f>
        <v>0</v>
      </c>
      <c r="U2237" s="1027"/>
      <c r="V2237" s="1027"/>
      <c r="W2237" s="1027"/>
    </row>
    <row r="2238" spans="2:23" x14ac:dyDescent="0.2">
      <c r="B2238" s="1083"/>
      <c r="C2238" s="1084"/>
      <c r="D2238" s="1143"/>
      <c r="E2238" s="1547"/>
      <c r="F2238" s="1547"/>
      <c r="G2238" s="1494"/>
      <c r="H2238" s="1061"/>
      <c r="U2238" s="1027"/>
      <c r="V2238" s="1027"/>
      <c r="W2238" s="1027"/>
    </row>
    <row r="2239" spans="2:23" ht="38.25" x14ac:dyDescent="0.2">
      <c r="B2239" s="1083">
        <f>'BewDifferenzen_Statut-Marktnah'!$A$1</f>
        <v>42</v>
      </c>
      <c r="C2239" s="1084" t="str">
        <f>'BewDifferenzen_Statut-Marktnah'!$B$1</f>
        <v>Differenzen zwischen statutarischer und marktnaher Bewertung</v>
      </c>
      <c r="D2239" s="1143" t="str">
        <f>'BewDifferenzen_Statut-Marktnah'!$D$33</f>
        <v>Derivative Finanzinstrumente (Guthaben)</v>
      </c>
      <c r="E2239" s="1494"/>
      <c r="F2239" s="1547" t="str">
        <f>'BewDifferenzen_Statut-Marktnah'!$L$4</f>
        <v>Statutarischer Bilanzwert nach Umlegungen</v>
      </c>
      <c r="G2239" s="1494"/>
      <c r="H2239" s="1062">
        <f ca="1">'BewDifferenzen_Statut-Marktnah'!$L33</f>
        <v>0</v>
      </c>
      <c r="U2239" s="1027"/>
      <c r="V2239" s="1027"/>
      <c r="W2239" s="1027"/>
    </row>
    <row r="2240" spans="2:23" ht="38.25" x14ac:dyDescent="0.2">
      <c r="B2240" s="1083">
        <f>'BewDifferenzen_Statut-Marktnah'!$A$1</f>
        <v>42</v>
      </c>
      <c r="C2240" s="1084" t="str">
        <f>'BewDifferenzen_Statut-Marktnah'!$B$1</f>
        <v>Differenzen zwischen statutarischer und marktnaher Bewertung</v>
      </c>
      <c r="D2240" s="1143" t="str">
        <f>'BewDifferenzen_Statut-Marktnah'!$D$33</f>
        <v>Derivative Finanzinstrumente (Guthaben)</v>
      </c>
      <c r="E2240" s="1547" t="str">
        <f>'BewDifferenzen_Statut-Marktnah'!$E34</f>
        <v>dem Geschäft nach KVG zugeordnet</v>
      </c>
      <c r="F2240" s="1547" t="str">
        <f>'BewDifferenzen_Statut-Marktnah'!$L$4</f>
        <v>Statutarischer Bilanzwert nach Umlegungen</v>
      </c>
      <c r="G2240" s="1494"/>
      <c r="H2240" s="1145">
        <f ca="1">'BewDifferenzen_Statut-Marktnah'!$L34</f>
        <v>0</v>
      </c>
      <c r="U2240" s="1027"/>
      <c r="V2240" s="1027"/>
      <c r="W2240" s="1027"/>
    </row>
    <row r="2241" spans="2:23" ht="38.25" x14ac:dyDescent="0.2">
      <c r="B2241" s="1083">
        <f>'BewDifferenzen_Statut-Marktnah'!$A$1</f>
        <v>42</v>
      </c>
      <c r="C2241" s="1084" t="str">
        <f>'BewDifferenzen_Statut-Marktnah'!$B$1</f>
        <v>Differenzen zwischen statutarischer und marktnaher Bewertung</v>
      </c>
      <c r="D2241" s="1143" t="str">
        <f>'BewDifferenzen_Statut-Marktnah'!$D$33</f>
        <v>Derivative Finanzinstrumente (Guthaben)</v>
      </c>
      <c r="E2241" s="1547" t="str">
        <f>'BewDifferenzen_Statut-Marktnah'!$E35</f>
        <v>dem Geschäft nach VVG zugeordnet</v>
      </c>
      <c r="F2241" s="1547" t="str">
        <f>'BewDifferenzen_Statut-Marktnah'!$L$4</f>
        <v>Statutarischer Bilanzwert nach Umlegungen</v>
      </c>
      <c r="G2241" s="1494"/>
      <c r="H2241" s="1145">
        <f ca="1">'BewDifferenzen_Statut-Marktnah'!$L35</f>
        <v>0</v>
      </c>
      <c r="U2241" s="1027"/>
      <c r="V2241" s="1027"/>
      <c r="W2241" s="1027"/>
    </row>
    <row r="2242" spans="2:23" ht="38.25" x14ac:dyDescent="0.2">
      <c r="B2242" s="1083">
        <f>'BewDifferenzen_Statut-Marktnah'!$A$1</f>
        <v>42</v>
      </c>
      <c r="C2242" s="1084" t="str">
        <f>'BewDifferenzen_Statut-Marktnah'!$B$1</f>
        <v>Differenzen zwischen statutarischer und marktnaher Bewertung</v>
      </c>
      <c r="D2242" s="1143" t="str">
        <f>'BewDifferenzen_Statut-Marktnah'!$D$33</f>
        <v>Derivative Finanzinstrumente (Guthaben)</v>
      </c>
      <c r="E2242" s="1547" t="str">
        <f>'BewDifferenzen_Statut-Marktnah'!$E36</f>
        <v>dem Geschäft nach UVG zugeordnet</v>
      </c>
      <c r="F2242" s="1547" t="str">
        <f>'BewDifferenzen_Statut-Marktnah'!$L$4</f>
        <v>Statutarischer Bilanzwert nach Umlegungen</v>
      </c>
      <c r="G2242" s="1494"/>
      <c r="H2242" s="1145">
        <f ca="1">'BewDifferenzen_Statut-Marktnah'!$L36</f>
        <v>0</v>
      </c>
      <c r="U2242" s="1027"/>
      <c r="V2242" s="1027"/>
      <c r="W2242" s="1027"/>
    </row>
    <row r="2243" spans="2:23" x14ac:dyDescent="0.2">
      <c r="B2243" s="1083"/>
      <c r="C2243" s="1084"/>
      <c r="D2243" s="1143"/>
      <c r="E2243" s="1547"/>
      <c r="F2243" s="1547"/>
      <c r="G2243" s="1494"/>
      <c r="H2243" s="1061"/>
      <c r="U2243" s="1027"/>
      <c r="V2243" s="1027"/>
      <c r="W2243" s="1027"/>
    </row>
    <row r="2244" spans="2:23" ht="38.25" x14ac:dyDescent="0.2">
      <c r="B2244" s="1083">
        <f>'BewDifferenzen_Statut-Marktnah'!$A$1</f>
        <v>42</v>
      </c>
      <c r="C2244" s="1084" t="str">
        <f>'BewDifferenzen_Statut-Marktnah'!$B$1</f>
        <v>Differenzen zwischen statutarischer und marktnaher Bewertung</v>
      </c>
      <c r="D2244" s="1143" t="str">
        <f>'BewDifferenzen_Statut-Marktnah'!$D$38</f>
        <v>Liquide Mittel</v>
      </c>
      <c r="E2244" s="1494"/>
      <c r="F2244" s="1547" t="str">
        <f>'BewDifferenzen_Statut-Marktnah'!$L$4</f>
        <v>Statutarischer Bilanzwert nach Umlegungen</v>
      </c>
      <c r="G2244" s="1494"/>
      <c r="H2244" s="1062">
        <f ca="1">'BewDifferenzen_Statut-Marktnah'!$L38</f>
        <v>0</v>
      </c>
      <c r="U2244" s="1027"/>
      <c r="V2244" s="1027"/>
      <c r="W2244" s="1027"/>
    </row>
    <row r="2245" spans="2:23" ht="38.25" x14ac:dyDescent="0.2">
      <c r="B2245" s="1083">
        <f>'BewDifferenzen_Statut-Marktnah'!$A$1</f>
        <v>42</v>
      </c>
      <c r="C2245" s="1084" t="str">
        <f>'BewDifferenzen_Statut-Marktnah'!$B$1</f>
        <v>Differenzen zwischen statutarischer und marktnaher Bewertung</v>
      </c>
      <c r="D2245" s="1143" t="str">
        <f>'BewDifferenzen_Statut-Marktnah'!$D$38</f>
        <v>Liquide Mittel</v>
      </c>
      <c r="E2245" s="1547" t="str">
        <f>'BewDifferenzen_Statut-Marktnah'!$E39</f>
        <v>dem Geschäft nach KVG zugeordnet</v>
      </c>
      <c r="F2245" s="1547" t="str">
        <f>'BewDifferenzen_Statut-Marktnah'!$L$4</f>
        <v>Statutarischer Bilanzwert nach Umlegungen</v>
      </c>
      <c r="G2245" s="1494"/>
      <c r="H2245" s="1145">
        <f ca="1">'BewDifferenzen_Statut-Marktnah'!$L39</f>
        <v>0</v>
      </c>
      <c r="U2245" s="1027"/>
      <c r="V2245" s="1027"/>
      <c r="W2245" s="1027"/>
    </row>
    <row r="2246" spans="2:23" ht="38.25" x14ac:dyDescent="0.2">
      <c r="B2246" s="1083">
        <f>'BewDifferenzen_Statut-Marktnah'!$A$1</f>
        <v>42</v>
      </c>
      <c r="C2246" s="1084" t="str">
        <f>'BewDifferenzen_Statut-Marktnah'!$B$1</f>
        <v>Differenzen zwischen statutarischer und marktnaher Bewertung</v>
      </c>
      <c r="D2246" s="1143" t="str">
        <f>'BewDifferenzen_Statut-Marktnah'!$D$38</f>
        <v>Liquide Mittel</v>
      </c>
      <c r="E2246" s="1547" t="str">
        <f>'BewDifferenzen_Statut-Marktnah'!$E40</f>
        <v>dem Geschäft nach VVG zugeordnet</v>
      </c>
      <c r="F2246" s="1547" t="str">
        <f>'BewDifferenzen_Statut-Marktnah'!$L$4</f>
        <v>Statutarischer Bilanzwert nach Umlegungen</v>
      </c>
      <c r="G2246" s="1494"/>
      <c r="H2246" s="1145">
        <f ca="1">'BewDifferenzen_Statut-Marktnah'!$L40</f>
        <v>0</v>
      </c>
      <c r="U2246" s="1027"/>
      <c r="V2246" s="1027"/>
      <c r="W2246" s="1027"/>
    </row>
    <row r="2247" spans="2:23" ht="38.25" x14ac:dyDescent="0.2">
      <c r="B2247" s="1083">
        <f>'BewDifferenzen_Statut-Marktnah'!$A$1</f>
        <v>42</v>
      </c>
      <c r="C2247" s="1084" t="str">
        <f>'BewDifferenzen_Statut-Marktnah'!$B$1</f>
        <v>Differenzen zwischen statutarischer und marktnaher Bewertung</v>
      </c>
      <c r="D2247" s="1143" t="str">
        <f>'BewDifferenzen_Statut-Marktnah'!$D$38</f>
        <v>Liquide Mittel</v>
      </c>
      <c r="E2247" s="1547" t="str">
        <f>'BewDifferenzen_Statut-Marktnah'!$E41</f>
        <v>dem Geschäft nach UVG zugeordnet</v>
      </c>
      <c r="F2247" s="1547" t="str">
        <f>'BewDifferenzen_Statut-Marktnah'!$L$4</f>
        <v>Statutarischer Bilanzwert nach Umlegungen</v>
      </c>
      <c r="G2247" s="1494"/>
      <c r="H2247" s="1145">
        <f ca="1">'BewDifferenzen_Statut-Marktnah'!$L41</f>
        <v>0</v>
      </c>
      <c r="U2247" s="1027"/>
      <c r="V2247" s="1027"/>
      <c r="W2247" s="1027"/>
    </row>
    <row r="2248" spans="2:23" x14ac:dyDescent="0.2">
      <c r="B2248" s="1083"/>
      <c r="C2248" s="1084"/>
      <c r="D2248" s="1143"/>
      <c r="E2248" s="1547"/>
      <c r="F2248" s="1547"/>
      <c r="G2248" s="1494"/>
      <c r="H2248" s="1061"/>
      <c r="U2248" s="1027"/>
      <c r="V2248" s="1027"/>
      <c r="W2248" s="1027"/>
    </row>
    <row r="2249" spans="2:23" ht="38.25" x14ac:dyDescent="0.2">
      <c r="B2249" s="1083">
        <f>'BewDifferenzen_Statut-Marktnah'!$A$1</f>
        <v>42</v>
      </c>
      <c r="C2249" s="1084" t="str">
        <f>'BewDifferenzen_Statut-Marktnah'!$B$1</f>
        <v>Differenzen zwischen statutarischer und marktnaher Bewertung</v>
      </c>
      <c r="D2249" s="1143" t="str">
        <f>'BewDifferenzen_Statut-Marktnah'!$D$43</f>
        <v>Anlagen in Institutionen, die der Durchführung der sozialen Krankenversicherung dienen</v>
      </c>
      <c r="E2249" s="1494"/>
      <c r="F2249" s="1547" t="str">
        <f>'BewDifferenzen_Statut-Marktnah'!$L$4</f>
        <v>Statutarischer Bilanzwert nach Umlegungen</v>
      </c>
      <c r="G2249" s="1494"/>
      <c r="H2249" s="1062">
        <f ca="1">'BewDifferenzen_Statut-Marktnah'!$L43</f>
        <v>0</v>
      </c>
      <c r="U2249" s="1027"/>
      <c r="V2249" s="1027"/>
      <c r="W2249" s="1027"/>
    </row>
    <row r="2250" spans="2:23" ht="38.25" x14ac:dyDescent="0.2">
      <c r="B2250" s="1083">
        <f>'BewDifferenzen_Statut-Marktnah'!$A$1</f>
        <v>42</v>
      </c>
      <c r="C2250" s="1084" t="str">
        <f>'BewDifferenzen_Statut-Marktnah'!$B$1</f>
        <v>Differenzen zwischen statutarischer und marktnaher Bewertung</v>
      </c>
      <c r="D2250" s="1143" t="str">
        <f>'BewDifferenzen_Statut-Marktnah'!$D$43</f>
        <v>Anlagen in Institutionen, die der Durchführung der sozialen Krankenversicherung dienen</v>
      </c>
      <c r="E2250" s="1547" t="str">
        <f>'BewDifferenzen_Statut-Marktnah'!$E44</f>
        <v>dem Geschäft nach KVG zugeordnet</v>
      </c>
      <c r="F2250" s="1547" t="str">
        <f>'BewDifferenzen_Statut-Marktnah'!$L$4</f>
        <v>Statutarischer Bilanzwert nach Umlegungen</v>
      </c>
      <c r="G2250" s="1494"/>
      <c r="H2250" s="1145">
        <f ca="1">'BewDifferenzen_Statut-Marktnah'!$L44</f>
        <v>0</v>
      </c>
      <c r="U2250" s="1027"/>
      <c r="V2250" s="1027"/>
      <c r="W2250" s="1027"/>
    </row>
    <row r="2251" spans="2:23" ht="38.25" x14ac:dyDescent="0.2">
      <c r="B2251" s="1083">
        <f>'BewDifferenzen_Statut-Marktnah'!$A$1</f>
        <v>42</v>
      </c>
      <c r="C2251" s="1084" t="str">
        <f>'BewDifferenzen_Statut-Marktnah'!$B$1</f>
        <v>Differenzen zwischen statutarischer und marktnaher Bewertung</v>
      </c>
      <c r="D2251" s="1143" t="str">
        <f>'BewDifferenzen_Statut-Marktnah'!$D$43</f>
        <v>Anlagen in Institutionen, die der Durchführung der sozialen Krankenversicherung dienen</v>
      </c>
      <c r="E2251" s="1547" t="str">
        <f>'BewDifferenzen_Statut-Marktnah'!$E45</f>
        <v>dem Geschäft nach VVG zugeordnet</v>
      </c>
      <c r="F2251" s="1547" t="str">
        <f>'BewDifferenzen_Statut-Marktnah'!$L$4</f>
        <v>Statutarischer Bilanzwert nach Umlegungen</v>
      </c>
      <c r="G2251" s="1494"/>
      <c r="H2251" s="1145">
        <f ca="1">'BewDifferenzen_Statut-Marktnah'!$L45</f>
        <v>0</v>
      </c>
      <c r="U2251" s="1027"/>
      <c r="V2251" s="1027"/>
      <c r="W2251" s="1027"/>
    </row>
    <row r="2252" spans="2:23" ht="38.25" x14ac:dyDescent="0.2">
      <c r="B2252" s="1083">
        <f>'BewDifferenzen_Statut-Marktnah'!$A$1</f>
        <v>42</v>
      </c>
      <c r="C2252" s="1084" t="str">
        <f>'BewDifferenzen_Statut-Marktnah'!$B$1</f>
        <v>Differenzen zwischen statutarischer und marktnaher Bewertung</v>
      </c>
      <c r="D2252" s="1143" t="str">
        <f>'BewDifferenzen_Statut-Marktnah'!$D$43</f>
        <v>Anlagen in Institutionen, die der Durchführung der sozialen Krankenversicherung dienen</v>
      </c>
      <c r="E2252" s="1547" t="str">
        <f>'BewDifferenzen_Statut-Marktnah'!$E46</f>
        <v>dem Geschäft nach UVG zugeordnet</v>
      </c>
      <c r="F2252" s="1547" t="str">
        <f>'BewDifferenzen_Statut-Marktnah'!$L$4</f>
        <v>Statutarischer Bilanzwert nach Umlegungen</v>
      </c>
      <c r="G2252" s="1494"/>
      <c r="H2252" s="1145">
        <f ca="1">'BewDifferenzen_Statut-Marktnah'!$L46</f>
        <v>0</v>
      </c>
      <c r="U2252" s="1027"/>
      <c r="V2252" s="1027"/>
      <c r="W2252" s="1027"/>
    </row>
    <row r="2253" spans="2:23" x14ac:dyDescent="0.2">
      <c r="B2253" s="1083"/>
      <c r="C2253" s="1084"/>
      <c r="D2253" s="1143"/>
      <c r="E2253" s="1547"/>
      <c r="F2253" s="1547"/>
      <c r="G2253" s="1494"/>
      <c r="H2253" s="1061"/>
      <c r="U2253" s="1027"/>
      <c r="V2253" s="1027"/>
      <c r="W2253" s="1027"/>
    </row>
    <row r="2254" spans="2:23" ht="38.25" x14ac:dyDescent="0.2">
      <c r="B2254" s="1083">
        <f>'BewDifferenzen_Statut-Marktnah'!$A$1</f>
        <v>42</v>
      </c>
      <c r="C2254" s="1084" t="str">
        <f>'BewDifferenzen_Statut-Marktnah'!$B$1</f>
        <v>Differenzen zwischen statutarischer und marktnaher Bewertung</v>
      </c>
      <c r="D2254" s="1143" t="str">
        <f>'BewDifferenzen_Statut-Marktnah'!$D$48</f>
        <v>Übrige Kapitalanlagen (Latente Steuern, Aktiven aus Vorsorgeplänen)</v>
      </c>
      <c r="E2254" s="1494"/>
      <c r="F2254" s="1547" t="str">
        <f>'BewDifferenzen_Statut-Marktnah'!$L$4</f>
        <v>Statutarischer Bilanzwert nach Umlegungen</v>
      </c>
      <c r="G2254" s="1494"/>
      <c r="H2254" s="1062">
        <f ca="1">'BewDifferenzen_Statut-Marktnah'!$L48</f>
        <v>0</v>
      </c>
      <c r="U2254" s="1027"/>
      <c r="V2254" s="1027"/>
      <c r="W2254" s="1027"/>
    </row>
    <row r="2255" spans="2:23" ht="38.25" x14ac:dyDescent="0.2">
      <c r="B2255" s="1083">
        <f>'BewDifferenzen_Statut-Marktnah'!$A$1</f>
        <v>42</v>
      </c>
      <c r="C2255" s="1084" t="str">
        <f>'BewDifferenzen_Statut-Marktnah'!$B$1</f>
        <v>Differenzen zwischen statutarischer und marktnaher Bewertung</v>
      </c>
      <c r="D2255" s="1143" t="str">
        <f>'BewDifferenzen_Statut-Marktnah'!$D$48</f>
        <v>Übrige Kapitalanlagen (Latente Steuern, Aktiven aus Vorsorgeplänen)</v>
      </c>
      <c r="E2255" s="1547" t="str">
        <f>'BewDifferenzen_Statut-Marktnah'!$E49</f>
        <v>dem Geschäft nach KVG zugeordnet</v>
      </c>
      <c r="F2255" s="1547" t="str">
        <f>'BewDifferenzen_Statut-Marktnah'!$L$4</f>
        <v>Statutarischer Bilanzwert nach Umlegungen</v>
      </c>
      <c r="G2255" s="1494"/>
      <c r="H2255" s="1145">
        <f ca="1">'BewDifferenzen_Statut-Marktnah'!$L49</f>
        <v>0</v>
      </c>
      <c r="U2255" s="1027"/>
      <c r="V2255" s="1027"/>
      <c r="W2255" s="1027"/>
    </row>
    <row r="2256" spans="2:23" ht="38.25" x14ac:dyDescent="0.2">
      <c r="B2256" s="1083">
        <f>'BewDifferenzen_Statut-Marktnah'!$A$1</f>
        <v>42</v>
      </c>
      <c r="C2256" s="1084" t="str">
        <f>'BewDifferenzen_Statut-Marktnah'!$B$1</f>
        <v>Differenzen zwischen statutarischer und marktnaher Bewertung</v>
      </c>
      <c r="D2256" s="1143" t="str">
        <f>'BewDifferenzen_Statut-Marktnah'!$D$48</f>
        <v>Übrige Kapitalanlagen (Latente Steuern, Aktiven aus Vorsorgeplänen)</v>
      </c>
      <c r="E2256" s="1547" t="str">
        <f>'BewDifferenzen_Statut-Marktnah'!$E50</f>
        <v>dem Geschäft nach VVG zugeordnet</v>
      </c>
      <c r="F2256" s="1547" t="str">
        <f>'BewDifferenzen_Statut-Marktnah'!$L$4</f>
        <v>Statutarischer Bilanzwert nach Umlegungen</v>
      </c>
      <c r="G2256" s="1494"/>
      <c r="H2256" s="1145">
        <f ca="1">'BewDifferenzen_Statut-Marktnah'!$L50</f>
        <v>0</v>
      </c>
      <c r="U2256" s="1027"/>
      <c r="V2256" s="1027"/>
      <c r="W2256" s="1027"/>
    </row>
    <row r="2257" spans="2:23" ht="38.25" x14ac:dyDescent="0.2">
      <c r="B2257" s="1083">
        <f>'BewDifferenzen_Statut-Marktnah'!$A$1</f>
        <v>42</v>
      </c>
      <c r="C2257" s="1084" t="str">
        <f>'BewDifferenzen_Statut-Marktnah'!$B$1</f>
        <v>Differenzen zwischen statutarischer und marktnaher Bewertung</v>
      </c>
      <c r="D2257" s="1143" t="str">
        <f>'BewDifferenzen_Statut-Marktnah'!$D$48</f>
        <v>Übrige Kapitalanlagen (Latente Steuern, Aktiven aus Vorsorgeplänen)</v>
      </c>
      <c r="E2257" s="1547" t="str">
        <f>'BewDifferenzen_Statut-Marktnah'!$E51</f>
        <v>dem Geschäft nach UVG zugeordnet</v>
      </c>
      <c r="F2257" s="1547" t="str">
        <f>'BewDifferenzen_Statut-Marktnah'!$L$4</f>
        <v>Statutarischer Bilanzwert nach Umlegungen</v>
      </c>
      <c r="G2257" s="1494"/>
      <c r="H2257" s="1145">
        <f ca="1">'BewDifferenzen_Statut-Marktnah'!$L51</f>
        <v>0</v>
      </c>
      <c r="U2257" s="1027"/>
      <c r="V2257" s="1027"/>
      <c r="W2257" s="1027"/>
    </row>
    <row r="2258" spans="2:23" x14ac:dyDescent="0.2">
      <c r="B2258" s="1083"/>
      <c r="C2258" s="1084"/>
      <c r="D2258" s="1143"/>
      <c r="E2258" s="1547"/>
      <c r="F2258" s="1547"/>
      <c r="G2258" s="1494"/>
      <c r="H2258" s="1061"/>
      <c r="U2258" s="1027"/>
      <c r="V2258" s="1027"/>
      <c r="W2258" s="1027"/>
    </row>
    <row r="2259" spans="2:23" ht="38.25" x14ac:dyDescent="0.2">
      <c r="B2259" s="1083">
        <f>'BewDifferenzen_Statut-Marktnah'!$A$1</f>
        <v>42</v>
      </c>
      <c r="C2259" s="1084" t="str">
        <f>'BewDifferenzen_Statut-Marktnah'!$B$1</f>
        <v>Differenzen zwischen statutarischer und marktnaher Bewertung</v>
      </c>
      <c r="D2259" s="1143" t="str">
        <f>'BewDifferenzen_Statut-Marktnah'!$D$53</f>
        <v>Total Kapitalanlagen</v>
      </c>
      <c r="E2259" s="1494"/>
      <c r="F2259" s="1547" t="str">
        <f>'BewDifferenzen_Statut-Marktnah'!$L$4</f>
        <v>Statutarischer Bilanzwert nach Umlegungen</v>
      </c>
      <c r="G2259" s="1494"/>
      <c r="H2259" s="1065">
        <f ca="1">'BewDifferenzen_Statut-Marktnah'!$L53</f>
        <v>0</v>
      </c>
      <c r="U2259" s="1027"/>
      <c r="V2259" s="1027"/>
      <c r="W2259" s="1027"/>
    </row>
    <row r="2260" spans="2:23" x14ac:dyDescent="0.2">
      <c r="B2260" s="1083"/>
      <c r="C2260" s="1084"/>
      <c r="D2260" s="1143"/>
      <c r="E2260" s="1547"/>
      <c r="F2260" s="1547"/>
      <c r="G2260" s="1494"/>
      <c r="H2260" s="1061"/>
      <c r="U2260" s="1027"/>
      <c r="V2260" s="1027"/>
      <c r="W2260" s="1027"/>
    </row>
    <row r="2261" spans="2:23" ht="38.25" x14ac:dyDescent="0.2">
      <c r="B2261" s="1083">
        <f>'BewDifferenzen_Statut-Marktnah'!$A$1</f>
        <v>42</v>
      </c>
      <c r="C2261" s="1084" t="str">
        <f>'BewDifferenzen_Statut-Marktnah'!$B$1</f>
        <v>Differenzen zwischen statutarischer und marktnaher Bewertung</v>
      </c>
      <c r="D2261" s="1143" t="str">
        <f>'BewDifferenzen_Statut-Marktnah'!$D$57</f>
        <v>Übriges Anlagevermögen (Immaterielle Anlagen, Sachanlagen)</v>
      </c>
      <c r="E2261" s="1494"/>
      <c r="F2261" s="1547" t="str">
        <f>'BewDifferenzen_Statut-Marktnah'!$L$4</f>
        <v>Statutarischer Bilanzwert nach Umlegungen</v>
      </c>
      <c r="G2261" s="1494"/>
      <c r="H2261" s="1062">
        <f ca="1">'BewDifferenzen_Statut-Marktnah'!$L57</f>
        <v>0</v>
      </c>
      <c r="U2261" s="1027"/>
      <c r="V2261" s="1027"/>
      <c r="W2261" s="1027"/>
    </row>
    <row r="2262" spans="2:23" ht="38.25" x14ac:dyDescent="0.2">
      <c r="B2262" s="1083">
        <f>'BewDifferenzen_Statut-Marktnah'!$A$1</f>
        <v>42</v>
      </c>
      <c r="C2262" s="1084" t="str">
        <f>'BewDifferenzen_Statut-Marktnah'!$B$1</f>
        <v>Differenzen zwischen statutarischer und marktnaher Bewertung</v>
      </c>
      <c r="D2262" s="1143" t="str">
        <f>'BewDifferenzen_Statut-Marktnah'!$D$57</f>
        <v>Übriges Anlagevermögen (Immaterielle Anlagen, Sachanlagen)</v>
      </c>
      <c r="E2262" s="1547" t="str">
        <f>'BewDifferenzen_Statut-Marktnah'!$E58</f>
        <v>dem Geschäft nach KVG zugeordnet</v>
      </c>
      <c r="F2262" s="1547" t="str">
        <f>'BewDifferenzen_Statut-Marktnah'!$L$4</f>
        <v>Statutarischer Bilanzwert nach Umlegungen</v>
      </c>
      <c r="G2262" s="1494"/>
      <c r="H2262" s="1145">
        <f ca="1">'BewDifferenzen_Statut-Marktnah'!$L58</f>
        <v>0</v>
      </c>
      <c r="U2262" s="1027"/>
      <c r="V2262" s="1027"/>
      <c r="W2262" s="1027"/>
    </row>
    <row r="2263" spans="2:23" ht="38.25" x14ac:dyDescent="0.2">
      <c r="B2263" s="1083">
        <f>'BewDifferenzen_Statut-Marktnah'!$A$1</f>
        <v>42</v>
      </c>
      <c r="C2263" s="1084" t="str">
        <f>'BewDifferenzen_Statut-Marktnah'!$B$1</f>
        <v>Differenzen zwischen statutarischer und marktnaher Bewertung</v>
      </c>
      <c r="D2263" s="1143" t="str">
        <f>'BewDifferenzen_Statut-Marktnah'!$D$57</f>
        <v>Übriges Anlagevermögen (Immaterielle Anlagen, Sachanlagen)</v>
      </c>
      <c r="E2263" s="1547" t="str">
        <f>'BewDifferenzen_Statut-Marktnah'!$E59</f>
        <v>dem Geschäft nach VVG zugeordnet</v>
      </c>
      <c r="F2263" s="1547" t="str">
        <f>'BewDifferenzen_Statut-Marktnah'!$L$4</f>
        <v>Statutarischer Bilanzwert nach Umlegungen</v>
      </c>
      <c r="G2263" s="1494"/>
      <c r="H2263" s="1145">
        <f ca="1">'BewDifferenzen_Statut-Marktnah'!$L59</f>
        <v>0</v>
      </c>
      <c r="U2263" s="1027"/>
      <c r="V2263" s="1027"/>
      <c r="W2263" s="1027"/>
    </row>
    <row r="2264" spans="2:23" ht="38.25" x14ac:dyDescent="0.2">
      <c r="B2264" s="1083">
        <f>'BewDifferenzen_Statut-Marktnah'!$A$1</f>
        <v>42</v>
      </c>
      <c r="C2264" s="1084" t="str">
        <f>'BewDifferenzen_Statut-Marktnah'!$B$1</f>
        <v>Differenzen zwischen statutarischer und marktnaher Bewertung</v>
      </c>
      <c r="D2264" s="1143" t="str">
        <f>'BewDifferenzen_Statut-Marktnah'!$D$57</f>
        <v>Übriges Anlagevermögen (Immaterielle Anlagen, Sachanlagen)</v>
      </c>
      <c r="E2264" s="1547" t="str">
        <f>'BewDifferenzen_Statut-Marktnah'!$E60</f>
        <v>dem Geschäft nach UVG zugeordnet</v>
      </c>
      <c r="F2264" s="1547" t="str">
        <f>'BewDifferenzen_Statut-Marktnah'!$L$4</f>
        <v>Statutarischer Bilanzwert nach Umlegungen</v>
      </c>
      <c r="G2264" s="1494"/>
      <c r="H2264" s="1145">
        <f ca="1">'BewDifferenzen_Statut-Marktnah'!$L60</f>
        <v>0</v>
      </c>
      <c r="U2264" s="1027"/>
      <c r="V2264" s="1027"/>
      <c r="W2264" s="1027"/>
    </row>
    <row r="2265" spans="2:23" x14ac:dyDescent="0.2">
      <c r="B2265" s="1083"/>
      <c r="C2265" s="1084"/>
      <c r="D2265" s="1143"/>
      <c r="E2265" s="1547"/>
      <c r="F2265" s="1547"/>
      <c r="G2265" s="1494"/>
      <c r="H2265" s="1061"/>
      <c r="U2265" s="1027"/>
      <c r="V2265" s="1027"/>
      <c r="W2265" s="1027"/>
    </row>
    <row r="2266" spans="2:23" ht="12.75" customHeight="1" x14ac:dyDescent="0.2">
      <c r="B2266" s="1083">
        <f>'BewDifferenzen_Statut-Marktnah'!$A$1</f>
        <v>42</v>
      </c>
      <c r="C2266" s="1084" t="str">
        <f>'BewDifferenzen_Statut-Marktnah'!$B$1</f>
        <v>Differenzen zwischen statutarischer und marktnaher Bewertung</v>
      </c>
      <c r="D2266" s="1143" t="str">
        <f>'BewDifferenzen_Statut-Marktnah'!$D$62</f>
        <v>Umlaufvermögen</v>
      </c>
      <c r="E2266" s="1494"/>
      <c r="F2266" s="1547" t="str">
        <f>'BewDifferenzen_Statut-Marktnah'!$L$4</f>
        <v>Statutarischer Bilanzwert nach Umlegungen</v>
      </c>
      <c r="G2266" s="1494"/>
      <c r="H2266" s="1062">
        <f ca="1">'BewDifferenzen_Statut-Marktnah'!$L62</f>
        <v>0</v>
      </c>
      <c r="U2266" s="1027"/>
      <c r="V2266" s="1027"/>
      <c r="W2266" s="1027"/>
    </row>
    <row r="2267" spans="2:23" ht="12.75" customHeight="1" x14ac:dyDescent="0.2">
      <c r="B2267" s="1083">
        <f>'BewDifferenzen_Statut-Marktnah'!$A$1</f>
        <v>42</v>
      </c>
      <c r="C2267" s="1084" t="str">
        <f>'BewDifferenzen_Statut-Marktnah'!$B$1</f>
        <v>Differenzen zwischen statutarischer und marktnaher Bewertung</v>
      </c>
      <c r="D2267" s="1143" t="str">
        <f>'BewDifferenzen_Statut-Marktnah'!$D$62</f>
        <v>Umlaufvermögen</v>
      </c>
      <c r="E2267" s="1547" t="str">
        <f>'BewDifferenzen_Statut-Marktnah'!$E63</f>
        <v>dem Geschäft nach KVG zugeordnet</v>
      </c>
      <c r="F2267" s="1547" t="str">
        <f>'BewDifferenzen_Statut-Marktnah'!$L$4</f>
        <v>Statutarischer Bilanzwert nach Umlegungen</v>
      </c>
      <c r="G2267" s="1494"/>
      <c r="H2267" s="1145">
        <f ca="1">'BewDifferenzen_Statut-Marktnah'!$L63</f>
        <v>0</v>
      </c>
      <c r="U2267" s="1027"/>
      <c r="V2267" s="1027"/>
      <c r="W2267" s="1027"/>
    </row>
    <row r="2268" spans="2:23" ht="12.75" customHeight="1" x14ac:dyDescent="0.2">
      <c r="B2268" s="1083">
        <f>'BewDifferenzen_Statut-Marktnah'!$A$1</f>
        <v>42</v>
      </c>
      <c r="C2268" s="1084" t="str">
        <f>'BewDifferenzen_Statut-Marktnah'!$B$1</f>
        <v>Differenzen zwischen statutarischer und marktnaher Bewertung</v>
      </c>
      <c r="D2268" s="1143" t="str">
        <f>'BewDifferenzen_Statut-Marktnah'!$D$62</f>
        <v>Umlaufvermögen</v>
      </c>
      <c r="E2268" s="1547" t="str">
        <f>'BewDifferenzen_Statut-Marktnah'!$E64</f>
        <v>dem Geschäft nach VVG zugeordnet</v>
      </c>
      <c r="F2268" s="1547" t="str">
        <f>'BewDifferenzen_Statut-Marktnah'!$L$4</f>
        <v>Statutarischer Bilanzwert nach Umlegungen</v>
      </c>
      <c r="G2268" s="1494"/>
      <c r="H2268" s="1145">
        <f ca="1">'BewDifferenzen_Statut-Marktnah'!$L64</f>
        <v>0</v>
      </c>
      <c r="U2268" s="1027"/>
      <c r="V2268" s="1027"/>
      <c r="W2268" s="1027"/>
    </row>
    <row r="2269" spans="2:23" ht="12.75" customHeight="1" x14ac:dyDescent="0.2">
      <c r="B2269" s="1083">
        <f>'BewDifferenzen_Statut-Marktnah'!$A$1</f>
        <v>42</v>
      </c>
      <c r="C2269" s="1084" t="str">
        <f>'BewDifferenzen_Statut-Marktnah'!$B$1</f>
        <v>Differenzen zwischen statutarischer und marktnaher Bewertung</v>
      </c>
      <c r="D2269" s="1143" t="str">
        <f>'BewDifferenzen_Statut-Marktnah'!$D$62</f>
        <v>Umlaufvermögen</v>
      </c>
      <c r="E2269" s="1547" t="str">
        <f>'BewDifferenzen_Statut-Marktnah'!$E65</f>
        <v>dem Geschäft nach UVG zugeordnet</v>
      </c>
      <c r="F2269" s="1547" t="str">
        <f>'BewDifferenzen_Statut-Marktnah'!$L$4</f>
        <v>Statutarischer Bilanzwert nach Umlegungen</v>
      </c>
      <c r="G2269" s="1494"/>
      <c r="H2269" s="1145">
        <f ca="1">'BewDifferenzen_Statut-Marktnah'!$L65</f>
        <v>0</v>
      </c>
      <c r="U2269" s="1027"/>
      <c r="V2269" s="1027"/>
      <c r="W2269" s="1027"/>
    </row>
    <row r="2270" spans="2:23" ht="12.75" customHeight="1" x14ac:dyDescent="0.2">
      <c r="B2270" s="1083"/>
      <c r="C2270" s="1084"/>
      <c r="D2270" s="1143"/>
      <c r="E2270" s="1547"/>
      <c r="F2270" s="1547"/>
      <c r="G2270" s="1494"/>
      <c r="H2270" s="1061"/>
      <c r="U2270" s="1027"/>
      <c r="V2270" s="1027"/>
      <c r="W2270" s="1027"/>
    </row>
    <row r="2271" spans="2:23" ht="12.75" customHeight="1" x14ac:dyDescent="0.2">
      <c r="B2271" s="1083">
        <f>'BewDifferenzen_Statut-Marktnah'!$A$1</f>
        <v>42</v>
      </c>
      <c r="C2271" s="1084" t="str">
        <f>'BewDifferenzen_Statut-Marktnah'!$B$1</f>
        <v>Differenzen zwischen statutarischer und marktnaher Bewertung</v>
      </c>
      <c r="D2271" s="1143" t="str">
        <f>'BewDifferenzen_Statut-Marktnah'!$D$67</f>
        <v>Total übrige Aktiven</v>
      </c>
      <c r="E2271" s="1494"/>
      <c r="F2271" s="1547" t="str">
        <f>'BewDifferenzen_Statut-Marktnah'!$L$4</f>
        <v>Statutarischer Bilanzwert nach Umlegungen</v>
      </c>
      <c r="G2271" s="1494"/>
      <c r="H2271" s="1065">
        <f ca="1">'BewDifferenzen_Statut-Marktnah'!$L67</f>
        <v>0</v>
      </c>
      <c r="U2271" s="1027"/>
      <c r="V2271" s="1027"/>
      <c r="W2271" s="1027"/>
    </row>
    <row r="2272" spans="2:23" ht="12.75" customHeight="1" x14ac:dyDescent="0.2">
      <c r="B2272" s="1083"/>
      <c r="C2272" s="1084"/>
      <c r="D2272" s="1143"/>
      <c r="E2272" s="1547"/>
      <c r="F2272" s="1547"/>
      <c r="G2272" s="1494"/>
      <c r="H2272" s="1061"/>
      <c r="U2272" s="1027"/>
      <c r="V2272" s="1027"/>
      <c r="W2272" s="1027"/>
    </row>
    <row r="2273" spans="2:23" ht="12.75" customHeight="1" x14ac:dyDescent="0.2">
      <c r="B2273" s="1083">
        <f>'BewDifferenzen_Statut-Marktnah'!$A$1</f>
        <v>42</v>
      </c>
      <c r="C2273" s="1084" t="str">
        <f>'BewDifferenzen_Statut-Marktnah'!$B$1</f>
        <v>Differenzen zwischen statutarischer und marktnaher Bewertung</v>
      </c>
      <c r="D2273" s="1143" t="str">
        <f>'BewDifferenzen_Statut-Marktnah'!$C$69</f>
        <v>Total Aktiven</v>
      </c>
      <c r="E2273" s="1547"/>
      <c r="F2273" s="1547" t="str">
        <f>'BewDifferenzen_Statut-Marktnah'!$L$4</f>
        <v>Statutarischer Bilanzwert nach Umlegungen</v>
      </c>
      <c r="G2273" s="1494"/>
      <c r="H2273" s="1065">
        <f ca="1">'BewDifferenzen_Statut-Marktnah'!$L69</f>
        <v>0</v>
      </c>
      <c r="U2273" s="1027"/>
      <c r="V2273" s="1027"/>
      <c r="W2273" s="1027"/>
    </row>
    <row r="2274" spans="2:23" ht="12.75" customHeight="1" x14ac:dyDescent="0.2">
      <c r="B2274" s="1083"/>
      <c r="C2274" s="1084"/>
      <c r="D2274" s="1143"/>
      <c r="E2274" s="1547"/>
      <c r="F2274" s="1547"/>
      <c r="G2274" s="1494"/>
      <c r="H2274" s="1061"/>
      <c r="U2274" s="1027"/>
      <c r="V2274" s="1027"/>
      <c r="W2274" s="1027"/>
    </row>
    <row r="2275" spans="2:23" ht="12.75" customHeight="1" x14ac:dyDescent="0.2">
      <c r="B2275" s="1083"/>
      <c r="C2275" s="1084"/>
      <c r="D2275" s="1143"/>
      <c r="E2275" s="1547"/>
      <c r="F2275" s="1547"/>
      <c r="G2275" s="1494"/>
      <c r="H2275" s="1061"/>
      <c r="U2275" s="1027"/>
      <c r="V2275" s="1027"/>
      <c r="W2275" s="1027"/>
    </row>
    <row r="2276" spans="2:23" ht="12.75" customHeight="1" x14ac:dyDescent="0.2">
      <c r="B2276" s="1083">
        <f>'BewDifferenzen_Statut-Marktnah'!$A$1</f>
        <v>42</v>
      </c>
      <c r="C2276" s="1084" t="str">
        <f>'BewDifferenzen_Statut-Marktnah'!$B$1</f>
        <v>Differenzen zwischen statutarischer und marktnaher Bewertung</v>
      </c>
      <c r="D2276" s="1143" t="str">
        <f>'BewDifferenzen_Statut-Marktnah'!$D$74</f>
        <v>Leistungsrückstellungen</v>
      </c>
      <c r="E2276" s="1494"/>
      <c r="F2276" s="1547" t="str">
        <f>'BewDifferenzen_Statut-Marktnah'!$L$4</f>
        <v>Statutarischer Bilanzwert nach Umlegungen</v>
      </c>
      <c r="G2276" s="1494"/>
      <c r="H2276" s="1069">
        <f ca="1">'BewDifferenzen_Statut-Marktnah'!$L74</f>
        <v>0</v>
      </c>
      <c r="U2276" s="1027"/>
      <c r="V2276" s="1027"/>
      <c r="W2276" s="1027"/>
    </row>
    <row r="2277" spans="2:23" ht="12.75" customHeight="1" x14ac:dyDescent="0.2">
      <c r="B2277" s="1083">
        <f>'BewDifferenzen_Statut-Marktnah'!$A$1</f>
        <v>42</v>
      </c>
      <c r="C2277" s="1084" t="str">
        <f>'BewDifferenzen_Statut-Marktnah'!$B$1</f>
        <v>Differenzen zwischen statutarischer und marktnaher Bewertung</v>
      </c>
      <c r="D2277" s="1143" t="str">
        <f>'BewDifferenzen_Statut-Marktnah'!$D$74</f>
        <v>Leistungsrückstellungen</v>
      </c>
      <c r="E2277" s="1547" t="str">
        <f>'BewDifferenzen_Statut-Marktnah'!$E75</f>
        <v>Obligatorische Krankenpflegeversicherung</v>
      </c>
      <c r="F2277" s="1547" t="str">
        <f>'BewDifferenzen_Statut-Marktnah'!$L$4</f>
        <v>Statutarischer Bilanzwert nach Umlegungen</v>
      </c>
      <c r="G2277" s="1494"/>
      <c r="H2277" s="1145">
        <f ca="1">'BewDifferenzen_Statut-Marktnah'!$L75</f>
        <v>0</v>
      </c>
      <c r="U2277" s="1027"/>
      <c r="V2277" s="1027"/>
      <c r="W2277" s="1027"/>
    </row>
    <row r="2278" spans="2:23" ht="12.75" customHeight="1" x14ac:dyDescent="0.2">
      <c r="B2278" s="1083">
        <f>'BewDifferenzen_Statut-Marktnah'!$A$1</f>
        <v>42</v>
      </c>
      <c r="C2278" s="1084" t="str">
        <f>'BewDifferenzen_Statut-Marktnah'!$B$1</f>
        <v>Differenzen zwischen statutarischer und marktnaher Bewertung</v>
      </c>
      <c r="D2278" s="1143" t="str">
        <f>'BewDifferenzen_Statut-Marktnah'!$D$74</f>
        <v>Leistungsrückstellungen</v>
      </c>
      <c r="E2278" s="1547" t="str">
        <f>'BewDifferenzen_Statut-Marktnah'!$E76</f>
        <v>Einzel-Taggeldversicherung nach KVG</v>
      </c>
      <c r="F2278" s="1547" t="str">
        <f>'BewDifferenzen_Statut-Marktnah'!$L$4</f>
        <v>Statutarischer Bilanzwert nach Umlegungen</v>
      </c>
      <c r="G2278" s="1494"/>
      <c r="H2278" s="1145">
        <f ca="1">'BewDifferenzen_Statut-Marktnah'!$L76</f>
        <v>0</v>
      </c>
      <c r="U2278" s="1027"/>
      <c r="V2278" s="1027"/>
      <c r="W2278" s="1027"/>
    </row>
    <row r="2279" spans="2:23" ht="12.75" customHeight="1" x14ac:dyDescent="0.2">
      <c r="B2279" s="1083">
        <f>'BewDifferenzen_Statut-Marktnah'!$A$1</f>
        <v>42</v>
      </c>
      <c r="C2279" s="1084" t="str">
        <f>'BewDifferenzen_Statut-Marktnah'!$B$1</f>
        <v>Differenzen zwischen statutarischer und marktnaher Bewertung</v>
      </c>
      <c r="D2279" s="1143" t="str">
        <f>'BewDifferenzen_Statut-Marktnah'!$D$74</f>
        <v>Leistungsrückstellungen</v>
      </c>
      <c r="E2279" s="1547" t="str">
        <f>'BewDifferenzen_Statut-Marktnah'!$E77</f>
        <v>Kollektiv-Taggeldversicherung nach KVG</v>
      </c>
      <c r="F2279" s="1547" t="str">
        <f>'BewDifferenzen_Statut-Marktnah'!$L$4</f>
        <v>Statutarischer Bilanzwert nach Umlegungen</v>
      </c>
      <c r="G2279" s="1494"/>
      <c r="H2279" s="1145">
        <f ca="1">'BewDifferenzen_Statut-Marktnah'!$L77</f>
        <v>0</v>
      </c>
      <c r="U2279" s="1027"/>
      <c r="V2279" s="1027"/>
      <c r="W2279" s="1027"/>
    </row>
    <row r="2280" spans="2:23" ht="12.75" customHeight="1" x14ac:dyDescent="0.2">
      <c r="B2280" s="1083">
        <f>'BewDifferenzen_Statut-Marktnah'!$A$1</f>
        <v>42</v>
      </c>
      <c r="C2280" s="1084" t="str">
        <f>'BewDifferenzen_Statut-Marktnah'!$B$1</f>
        <v>Differenzen zwischen statutarischer und marktnaher Bewertung</v>
      </c>
      <c r="D2280" s="1143" t="str">
        <f>'BewDifferenzen_Statut-Marktnah'!$D$74</f>
        <v>Leistungsrückstellungen</v>
      </c>
      <c r="E2280" s="1547" t="str">
        <f>'BewDifferenzen_Statut-Marktnah'!$E78</f>
        <v>Aktive Rückversicherung nach KVG</v>
      </c>
      <c r="F2280" s="1547" t="str">
        <f>'BewDifferenzen_Statut-Marktnah'!$L$4</f>
        <v>Statutarischer Bilanzwert nach Umlegungen</v>
      </c>
      <c r="G2280" s="1494"/>
      <c r="H2280" s="1145">
        <f ca="1">'BewDifferenzen_Statut-Marktnah'!$L78</f>
        <v>0</v>
      </c>
      <c r="U2280" s="1027"/>
      <c r="V2280" s="1027"/>
      <c r="W2280" s="1027"/>
    </row>
    <row r="2281" spans="2:23" ht="12.75" customHeight="1" x14ac:dyDescent="0.2">
      <c r="B2281" s="1083">
        <f>'BewDifferenzen_Statut-Marktnah'!$A$1</f>
        <v>42</v>
      </c>
      <c r="C2281" s="1084" t="str">
        <f>'BewDifferenzen_Statut-Marktnah'!$B$1</f>
        <v>Differenzen zwischen statutarischer und marktnaher Bewertung</v>
      </c>
      <c r="D2281" s="1143" t="str">
        <f>'BewDifferenzen_Statut-Marktnah'!$D$74</f>
        <v>Leistungsrückstellungen</v>
      </c>
      <c r="E2281" s="1547" t="str">
        <f>'BewDifferenzen_Statut-Marktnah'!$E79</f>
        <v>dem Geschäft nach VVG zugeordnet</v>
      </c>
      <c r="F2281" s="1547" t="str">
        <f>'BewDifferenzen_Statut-Marktnah'!$L$4</f>
        <v>Statutarischer Bilanzwert nach Umlegungen</v>
      </c>
      <c r="G2281" s="1494"/>
      <c r="H2281" s="1145">
        <f ca="1">'BewDifferenzen_Statut-Marktnah'!$L79</f>
        <v>0</v>
      </c>
      <c r="U2281" s="1027"/>
      <c r="V2281" s="1027"/>
      <c r="W2281" s="1027"/>
    </row>
    <row r="2282" spans="2:23" ht="12.75" customHeight="1" x14ac:dyDescent="0.2">
      <c r="B2282" s="1083">
        <f>'BewDifferenzen_Statut-Marktnah'!$A$1</f>
        <v>42</v>
      </c>
      <c r="C2282" s="1084" t="str">
        <f>'BewDifferenzen_Statut-Marktnah'!$B$1</f>
        <v>Differenzen zwischen statutarischer und marktnaher Bewertung</v>
      </c>
      <c r="D2282" s="1143" t="str">
        <f>'BewDifferenzen_Statut-Marktnah'!$D$74</f>
        <v>Leistungsrückstellungen</v>
      </c>
      <c r="E2282" s="1547" t="str">
        <f>'BewDifferenzen_Statut-Marktnah'!$E80</f>
        <v>dem Geschäft nach UVG zugeordnet</v>
      </c>
      <c r="F2282" s="1547" t="str">
        <f>'BewDifferenzen_Statut-Marktnah'!$L$4</f>
        <v>Statutarischer Bilanzwert nach Umlegungen</v>
      </c>
      <c r="G2282" s="1494"/>
      <c r="H2282" s="1145">
        <f ca="1">'BewDifferenzen_Statut-Marktnah'!$L80</f>
        <v>0</v>
      </c>
      <c r="U2282" s="1027"/>
      <c r="V2282" s="1027"/>
      <c r="W2282" s="1027"/>
    </row>
    <row r="2283" spans="2:23" ht="12.75" customHeight="1" x14ac:dyDescent="0.2">
      <c r="B2283" s="1083"/>
      <c r="C2283" s="1084"/>
      <c r="D2283" s="1143"/>
      <c r="E2283" s="1547"/>
      <c r="F2283" s="1547"/>
      <c r="G2283" s="1494"/>
      <c r="H2283" s="1061"/>
      <c r="U2283" s="1027"/>
      <c r="V2283" s="1027"/>
      <c r="W2283" s="1027"/>
    </row>
    <row r="2284" spans="2:23" ht="12.75" customHeight="1" x14ac:dyDescent="0.2">
      <c r="B2284" s="1083">
        <f>'BewDifferenzen_Statut-Marktnah'!$A$1</f>
        <v>42</v>
      </c>
      <c r="C2284" s="1084" t="str">
        <f>'BewDifferenzen_Statut-Marktnah'!$B$1</f>
        <v>Differenzen zwischen statutarischer und marktnaher Bewertung</v>
      </c>
      <c r="D2284" s="1143" t="str">
        <f>'BewDifferenzen_Statut-Marktnah'!$D$82</f>
        <v>Alterungsrückstellungen und Deckungskapitalien</v>
      </c>
      <c r="E2284" s="1494"/>
      <c r="F2284" s="1547" t="str">
        <f>'BewDifferenzen_Statut-Marktnah'!$L$4</f>
        <v>Statutarischer Bilanzwert nach Umlegungen</v>
      </c>
      <c r="G2284" s="1494"/>
      <c r="H2284" s="1069">
        <f ca="1">'BewDifferenzen_Statut-Marktnah'!$L82</f>
        <v>0</v>
      </c>
      <c r="U2284" s="1027"/>
      <c r="V2284" s="1027"/>
      <c r="W2284" s="1027"/>
    </row>
    <row r="2285" spans="2:23" ht="12.75" customHeight="1" x14ac:dyDescent="0.2">
      <c r="B2285" s="1083">
        <f>'BewDifferenzen_Statut-Marktnah'!$A$1</f>
        <v>42</v>
      </c>
      <c r="C2285" s="1084" t="str">
        <f>'BewDifferenzen_Statut-Marktnah'!$B$1</f>
        <v>Differenzen zwischen statutarischer und marktnaher Bewertung</v>
      </c>
      <c r="D2285" s="1143" t="str">
        <f>'BewDifferenzen_Statut-Marktnah'!$D$82</f>
        <v>Alterungsrückstellungen und Deckungskapitalien</v>
      </c>
      <c r="E2285" s="1547" t="str">
        <f>'BewDifferenzen_Statut-Marktnah'!$E83</f>
        <v>Obligatorische Krankenpflegeversicherung</v>
      </c>
      <c r="F2285" s="1547" t="str">
        <f>'BewDifferenzen_Statut-Marktnah'!$L$4</f>
        <v>Statutarischer Bilanzwert nach Umlegungen</v>
      </c>
      <c r="G2285" s="1494"/>
      <c r="H2285" s="1145">
        <f ca="1">'BewDifferenzen_Statut-Marktnah'!$L83</f>
        <v>0</v>
      </c>
      <c r="U2285" s="1027"/>
      <c r="V2285" s="1027"/>
      <c r="W2285" s="1027"/>
    </row>
    <row r="2286" spans="2:23" ht="12.75" customHeight="1" x14ac:dyDescent="0.2">
      <c r="B2286" s="1083">
        <f>'BewDifferenzen_Statut-Marktnah'!$A$1</f>
        <v>42</v>
      </c>
      <c r="C2286" s="1084" t="str">
        <f>'BewDifferenzen_Statut-Marktnah'!$B$1</f>
        <v>Differenzen zwischen statutarischer und marktnaher Bewertung</v>
      </c>
      <c r="D2286" s="1143" t="str">
        <f>'BewDifferenzen_Statut-Marktnah'!$D$82</f>
        <v>Alterungsrückstellungen und Deckungskapitalien</v>
      </c>
      <c r="E2286" s="1547" t="str">
        <f>'BewDifferenzen_Statut-Marktnah'!$E84</f>
        <v>Einzel-Taggeldversicherung nach KVG</v>
      </c>
      <c r="F2286" s="1547" t="str">
        <f>'BewDifferenzen_Statut-Marktnah'!$L$4</f>
        <v>Statutarischer Bilanzwert nach Umlegungen</v>
      </c>
      <c r="G2286" s="1494"/>
      <c r="H2286" s="1145">
        <f ca="1">'BewDifferenzen_Statut-Marktnah'!$L84</f>
        <v>0</v>
      </c>
      <c r="U2286" s="1027"/>
      <c r="V2286" s="1027"/>
      <c r="W2286" s="1027"/>
    </row>
    <row r="2287" spans="2:23" ht="12.75" customHeight="1" x14ac:dyDescent="0.2">
      <c r="B2287" s="1083">
        <f>'BewDifferenzen_Statut-Marktnah'!$A$1</f>
        <v>42</v>
      </c>
      <c r="C2287" s="1084" t="str">
        <f>'BewDifferenzen_Statut-Marktnah'!$B$1</f>
        <v>Differenzen zwischen statutarischer und marktnaher Bewertung</v>
      </c>
      <c r="D2287" s="1143" t="str">
        <f>'BewDifferenzen_Statut-Marktnah'!$D$82</f>
        <v>Alterungsrückstellungen und Deckungskapitalien</v>
      </c>
      <c r="E2287" s="1547" t="str">
        <f>'BewDifferenzen_Statut-Marktnah'!$E85</f>
        <v>Kollektiv-Taggeldversicherung nach KVG</v>
      </c>
      <c r="F2287" s="1547" t="str">
        <f>'BewDifferenzen_Statut-Marktnah'!$L$4</f>
        <v>Statutarischer Bilanzwert nach Umlegungen</v>
      </c>
      <c r="G2287" s="1494"/>
      <c r="H2287" s="1145">
        <f ca="1">'BewDifferenzen_Statut-Marktnah'!$L85</f>
        <v>0</v>
      </c>
      <c r="U2287" s="1027"/>
      <c r="V2287" s="1027"/>
      <c r="W2287" s="1027"/>
    </row>
    <row r="2288" spans="2:23" ht="12.75" customHeight="1" x14ac:dyDescent="0.2">
      <c r="B2288" s="1083">
        <f>'BewDifferenzen_Statut-Marktnah'!$A$1</f>
        <v>42</v>
      </c>
      <c r="C2288" s="1084" t="str">
        <f>'BewDifferenzen_Statut-Marktnah'!$B$1</f>
        <v>Differenzen zwischen statutarischer und marktnaher Bewertung</v>
      </c>
      <c r="D2288" s="1143" t="str">
        <f>'BewDifferenzen_Statut-Marktnah'!$D$82</f>
        <v>Alterungsrückstellungen und Deckungskapitalien</v>
      </c>
      <c r="E2288" s="1547" t="str">
        <f>'BewDifferenzen_Statut-Marktnah'!$E86</f>
        <v>Aktive Rückversicherung nach KVG</v>
      </c>
      <c r="F2288" s="1547" t="str">
        <f>'BewDifferenzen_Statut-Marktnah'!$L$4</f>
        <v>Statutarischer Bilanzwert nach Umlegungen</v>
      </c>
      <c r="G2288" s="1494"/>
      <c r="H2288" s="1145">
        <f ca="1">'BewDifferenzen_Statut-Marktnah'!$L86</f>
        <v>0</v>
      </c>
      <c r="U2288" s="1027"/>
      <c r="V2288" s="1027"/>
      <c r="W2288" s="1027"/>
    </row>
    <row r="2289" spans="2:23" ht="12.75" customHeight="1" x14ac:dyDescent="0.2">
      <c r="B2289" s="1083">
        <f>'BewDifferenzen_Statut-Marktnah'!$A$1</f>
        <v>42</v>
      </c>
      <c r="C2289" s="1084" t="str">
        <f>'BewDifferenzen_Statut-Marktnah'!$B$1</f>
        <v>Differenzen zwischen statutarischer und marktnaher Bewertung</v>
      </c>
      <c r="D2289" s="1143" t="str">
        <f>'BewDifferenzen_Statut-Marktnah'!$D$82</f>
        <v>Alterungsrückstellungen und Deckungskapitalien</v>
      </c>
      <c r="E2289" s="1547" t="str">
        <f>'BewDifferenzen_Statut-Marktnah'!$E87</f>
        <v>dem Geschäft nach VVG zugeordnet</v>
      </c>
      <c r="F2289" s="1547" t="str">
        <f>'BewDifferenzen_Statut-Marktnah'!$L$4</f>
        <v>Statutarischer Bilanzwert nach Umlegungen</v>
      </c>
      <c r="G2289" s="1494"/>
      <c r="H2289" s="1145">
        <f ca="1">'BewDifferenzen_Statut-Marktnah'!$L87</f>
        <v>0</v>
      </c>
      <c r="U2289" s="1027"/>
      <c r="V2289" s="1027"/>
      <c r="W2289" s="1027"/>
    </row>
    <row r="2290" spans="2:23" ht="12.75" customHeight="1" x14ac:dyDescent="0.2">
      <c r="B2290" s="1083">
        <f>'BewDifferenzen_Statut-Marktnah'!$A$1</f>
        <v>42</v>
      </c>
      <c r="C2290" s="1084" t="str">
        <f>'BewDifferenzen_Statut-Marktnah'!$B$1</f>
        <v>Differenzen zwischen statutarischer und marktnaher Bewertung</v>
      </c>
      <c r="D2290" s="1143" t="str">
        <f>'BewDifferenzen_Statut-Marktnah'!$D$82</f>
        <v>Alterungsrückstellungen und Deckungskapitalien</v>
      </c>
      <c r="E2290" s="1547" t="str">
        <f>'BewDifferenzen_Statut-Marktnah'!$E88</f>
        <v>dem Geschäft nach UVG zugeordnet</v>
      </c>
      <c r="F2290" s="1547" t="str">
        <f>'BewDifferenzen_Statut-Marktnah'!$L$4</f>
        <v>Statutarischer Bilanzwert nach Umlegungen</v>
      </c>
      <c r="G2290" s="1494"/>
      <c r="H2290" s="1145">
        <f ca="1">'BewDifferenzen_Statut-Marktnah'!$L88</f>
        <v>0</v>
      </c>
      <c r="U2290" s="1027"/>
      <c r="V2290" s="1027"/>
      <c r="W2290" s="1027"/>
    </row>
    <row r="2291" spans="2:23" ht="12.75" customHeight="1" x14ac:dyDescent="0.2">
      <c r="B2291" s="1083"/>
      <c r="C2291" s="1084"/>
      <c r="D2291" s="1143"/>
      <c r="E2291" s="1547"/>
      <c r="F2291" s="1547"/>
      <c r="G2291" s="1494"/>
      <c r="H2291" s="1061"/>
      <c r="U2291" s="1027"/>
      <c r="V2291" s="1027"/>
      <c r="W2291" s="1027"/>
    </row>
    <row r="2292" spans="2:23" ht="12.75" customHeight="1" x14ac:dyDescent="0.2">
      <c r="B2292" s="1083">
        <f>'BewDifferenzen_Statut-Marktnah'!$A$1</f>
        <v>42</v>
      </c>
      <c r="C2292" s="1084" t="str">
        <f>'BewDifferenzen_Statut-Marktnah'!$B$1</f>
        <v>Differenzen zwischen statutarischer und marktnaher Bewertung</v>
      </c>
      <c r="D2292" s="1143" t="str">
        <f>'BewDifferenzen_Statut-Marktnah'!$D$90</f>
        <v>Sonstige technische Rückstellungen</v>
      </c>
      <c r="E2292" s="1494"/>
      <c r="F2292" s="1547" t="str">
        <f>'BewDifferenzen_Statut-Marktnah'!$L$4</f>
        <v>Statutarischer Bilanzwert nach Umlegungen</v>
      </c>
      <c r="G2292" s="1494"/>
      <c r="H2292" s="1069">
        <f ca="1">'BewDifferenzen_Statut-Marktnah'!$L90</f>
        <v>0</v>
      </c>
      <c r="U2292" s="1027"/>
      <c r="V2292" s="1027"/>
      <c r="W2292" s="1027"/>
    </row>
    <row r="2293" spans="2:23" ht="12.75" customHeight="1" x14ac:dyDescent="0.2">
      <c r="B2293" s="1083">
        <f>'BewDifferenzen_Statut-Marktnah'!$A$1</f>
        <v>42</v>
      </c>
      <c r="C2293" s="1084" t="str">
        <f>'BewDifferenzen_Statut-Marktnah'!$B$1</f>
        <v>Differenzen zwischen statutarischer und marktnaher Bewertung</v>
      </c>
      <c r="D2293" s="1143" t="str">
        <f>'BewDifferenzen_Statut-Marktnah'!$D$90</f>
        <v>Sonstige technische Rückstellungen</v>
      </c>
      <c r="E2293" s="1547" t="str">
        <f>'BewDifferenzen_Statut-Marktnah'!$E91</f>
        <v>Obligatorische Krankenpflegeversicherung</v>
      </c>
      <c r="F2293" s="1547" t="str">
        <f>'BewDifferenzen_Statut-Marktnah'!$L$4</f>
        <v>Statutarischer Bilanzwert nach Umlegungen</v>
      </c>
      <c r="G2293" s="1494"/>
      <c r="H2293" s="1145">
        <f ca="1">'BewDifferenzen_Statut-Marktnah'!$L91</f>
        <v>0</v>
      </c>
      <c r="U2293" s="1027"/>
      <c r="V2293" s="1027"/>
      <c r="W2293" s="1027"/>
    </row>
    <row r="2294" spans="2:23" ht="12.75" customHeight="1" x14ac:dyDescent="0.2">
      <c r="B2294" s="1083">
        <f>'BewDifferenzen_Statut-Marktnah'!$A$1</f>
        <v>42</v>
      </c>
      <c r="C2294" s="1084" t="str">
        <f>'BewDifferenzen_Statut-Marktnah'!$B$1</f>
        <v>Differenzen zwischen statutarischer und marktnaher Bewertung</v>
      </c>
      <c r="D2294" s="1143" t="str">
        <f>'BewDifferenzen_Statut-Marktnah'!$D$90</f>
        <v>Sonstige technische Rückstellungen</v>
      </c>
      <c r="E2294" s="1547" t="str">
        <f>'BewDifferenzen_Statut-Marktnah'!$E92</f>
        <v>Einzel-Taggeldversicherung nach KVG</v>
      </c>
      <c r="F2294" s="1547" t="str">
        <f>'BewDifferenzen_Statut-Marktnah'!$L$4</f>
        <v>Statutarischer Bilanzwert nach Umlegungen</v>
      </c>
      <c r="G2294" s="1494"/>
      <c r="H2294" s="1145">
        <f ca="1">'BewDifferenzen_Statut-Marktnah'!$L92</f>
        <v>0</v>
      </c>
      <c r="U2294" s="1027"/>
      <c r="V2294" s="1027"/>
      <c r="W2294" s="1027"/>
    </row>
    <row r="2295" spans="2:23" ht="12.75" customHeight="1" x14ac:dyDescent="0.2">
      <c r="B2295" s="1083">
        <f>'BewDifferenzen_Statut-Marktnah'!$A$1</f>
        <v>42</v>
      </c>
      <c r="C2295" s="1084" t="str">
        <f>'BewDifferenzen_Statut-Marktnah'!$B$1</f>
        <v>Differenzen zwischen statutarischer und marktnaher Bewertung</v>
      </c>
      <c r="D2295" s="1143" t="str">
        <f>'BewDifferenzen_Statut-Marktnah'!$D$90</f>
        <v>Sonstige technische Rückstellungen</v>
      </c>
      <c r="E2295" s="1547" t="str">
        <f>'BewDifferenzen_Statut-Marktnah'!$E93</f>
        <v>Kollektiv-Taggeldversicherung nach KVG</v>
      </c>
      <c r="F2295" s="1547" t="str">
        <f>'BewDifferenzen_Statut-Marktnah'!$L$4</f>
        <v>Statutarischer Bilanzwert nach Umlegungen</v>
      </c>
      <c r="G2295" s="1494"/>
      <c r="H2295" s="1145">
        <f ca="1">'BewDifferenzen_Statut-Marktnah'!$L93</f>
        <v>0</v>
      </c>
      <c r="U2295" s="1027"/>
      <c r="V2295" s="1027"/>
      <c r="W2295" s="1027"/>
    </row>
    <row r="2296" spans="2:23" ht="12.75" customHeight="1" x14ac:dyDescent="0.2">
      <c r="B2296" s="1083">
        <f>'BewDifferenzen_Statut-Marktnah'!$A$1</f>
        <v>42</v>
      </c>
      <c r="C2296" s="1084" t="str">
        <f>'BewDifferenzen_Statut-Marktnah'!$B$1</f>
        <v>Differenzen zwischen statutarischer und marktnaher Bewertung</v>
      </c>
      <c r="D2296" s="1143" t="str">
        <f>'BewDifferenzen_Statut-Marktnah'!$D$90</f>
        <v>Sonstige technische Rückstellungen</v>
      </c>
      <c r="E2296" s="1547" t="str">
        <f>'BewDifferenzen_Statut-Marktnah'!$E94</f>
        <v>Aktive Rückversicherung nach KVG</v>
      </c>
      <c r="F2296" s="1547" t="str">
        <f>'BewDifferenzen_Statut-Marktnah'!$L$4</f>
        <v>Statutarischer Bilanzwert nach Umlegungen</v>
      </c>
      <c r="G2296" s="1494"/>
      <c r="H2296" s="1145">
        <f ca="1">'BewDifferenzen_Statut-Marktnah'!$L94</f>
        <v>0</v>
      </c>
      <c r="U2296" s="1027"/>
      <c r="V2296" s="1027"/>
      <c r="W2296" s="1027"/>
    </row>
    <row r="2297" spans="2:23" ht="12.75" customHeight="1" x14ac:dyDescent="0.2">
      <c r="B2297" s="1083">
        <f>'BewDifferenzen_Statut-Marktnah'!$A$1</f>
        <v>42</v>
      </c>
      <c r="C2297" s="1084" t="str">
        <f>'BewDifferenzen_Statut-Marktnah'!$B$1</f>
        <v>Differenzen zwischen statutarischer und marktnaher Bewertung</v>
      </c>
      <c r="D2297" s="1143" t="str">
        <f>'BewDifferenzen_Statut-Marktnah'!$D$90</f>
        <v>Sonstige technische Rückstellungen</v>
      </c>
      <c r="E2297" s="1547" t="str">
        <f>'BewDifferenzen_Statut-Marktnah'!$E95</f>
        <v>dem Geschäft nach VVG zugeordnet</v>
      </c>
      <c r="F2297" s="1547" t="str">
        <f>'BewDifferenzen_Statut-Marktnah'!$L$4</f>
        <v>Statutarischer Bilanzwert nach Umlegungen</v>
      </c>
      <c r="G2297" s="1494"/>
      <c r="H2297" s="1145">
        <f ca="1">'BewDifferenzen_Statut-Marktnah'!$L95</f>
        <v>0</v>
      </c>
      <c r="U2297" s="1027"/>
      <c r="V2297" s="1027"/>
      <c r="W2297" s="1027"/>
    </row>
    <row r="2298" spans="2:23" ht="12.75" customHeight="1" x14ac:dyDescent="0.2">
      <c r="B2298" s="1083">
        <f>'BewDifferenzen_Statut-Marktnah'!$A$1</f>
        <v>42</v>
      </c>
      <c r="C2298" s="1084" t="str">
        <f>'BewDifferenzen_Statut-Marktnah'!$B$1</f>
        <v>Differenzen zwischen statutarischer und marktnaher Bewertung</v>
      </c>
      <c r="D2298" s="1143" t="str">
        <f>'BewDifferenzen_Statut-Marktnah'!$D$90</f>
        <v>Sonstige technische Rückstellungen</v>
      </c>
      <c r="E2298" s="1547" t="str">
        <f>'BewDifferenzen_Statut-Marktnah'!$E96</f>
        <v>dem Geschäft nach UVG zugeordnet</v>
      </c>
      <c r="F2298" s="1547" t="str">
        <f>'BewDifferenzen_Statut-Marktnah'!$L$4</f>
        <v>Statutarischer Bilanzwert nach Umlegungen</v>
      </c>
      <c r="G2298" s="1494"/>
      <c r="H2298" s="1145">
        <f ca="1">'BewDifferenzen_Statut-Marktnah'!$L96</f>
        <v>0</v>
      </c>
      <c r="U2298" s="1027"/>
      <c r="V2298" s="1027"/>
      <c r="W2298" s="1027"/>
    </row>
    <row r="2299" spans="2:23" ht="12.75" customHeight="1" x14ac:dyDescent="0.2">
      <c r="B2299" s="1083"/>
      <c r="C2299" s="1084"/>
      <c r="D2299" s="1143"/>
      <c r="E2299" s="1547"/>
      <c r="F2299" s="1547"/>
      <c r="G2299" s="1494"/>
      <c r="H2299" s="1061"/>
      <c r="U2299" s="1027"/>
      <c r="V2299" s="1027"/>
      <c r="W2299" s="1027"/>
    </row>
    <row r="2300" spans="2:23" ht="12.75" customHeight="1" x14ac:dyDescent="0.2">
      <c r="B2300" s="1083">
        <f>'BewDifferenzen_Statut-Marktnah'!$A$1</f>
        <v>42</v>
      </c>
      <c r="C2300" s="1084" t="str">
        <f>'BewDifferenzen_Statut-Marktnah'!$B$1</f>
        <v>Differenzen zwischen statutarischer und marktnaher Bewertung</v>
      </c>
      <c r="D2300" s="1143" t="str">
        <f>'BewDifferenzen_Statut-Marktnah'!$D$98</f>
        <v>Schwankungs- und Sicherheitsrückstellungen</v>
      </c>
      <c r="E2300" s="1494"/>
      <c r="F2300" s="1547" t="str">
        <f>'BewDifferenzen_Statut-Marktnah'!$L$4</f>
        <v>Statutarischer Bilanzwert nach Umlegungen</v>
      </c>
      <c r="G2300" s="1494"/>
      <c r="H2300" s="1069">
        <f ca="1">'BewDifferenzen_Statut-Marktnah'!$L98</f>
        <v>0</v>
      </c>
      <c r="U2300" s="1027"/>
      <c r="V2300" s="1027"/>
      <c r="W2300" s="1027"/>
    </row>
    <row r="2301" spans="2:23" ht="12.75" customHeight="1" x14ac:dyDescent="0.2">
      <c r="B2301" s="1083">
        <f>'BewDifferenzen_Statut-Marktnah'!$A$1</f>
        <v>42</v>
      </c>
      <c r="C2301" s="1084" t="str">
        <f>'BewDifferenzen_Statut-Marktnah'!$B$1</f>
        <v>Differenzen zwischen statutarischer und marktnaher Bewertung</v>
      </c>
      <c r="D2301" s="1143" t="str">
        <f>'BewDifferenzen_Statut-Marktnah'!$D$98</f>
        <v>Schwankungs- und Sicherheitsrückstellungen</v>
      </c>
      <c r="E2301" s="1547" t="str">
        <f>'BewDifferenzen_Statut-Marktnah'!$E99</f>
        <v>Obligatorische Krankenpflegeversicherung</v>
      </c>
      <c r="F2301" s="1547" t="str">
        <f>'BewDifferenzen_Statut-Marktnah'!$L$4</f>
        <v>Statutarischer Bilanzwert nach Umlegungen</v>
      </c>
      <c r="G2301" s="1494"/>
      <c r="H2301" s="1145">
        <f ca="1">'BewDifferenzen_Statut-Marktnah'!$L99</f>
        <v>0</v>
      </c>
      <c r="U2301" s="1027"/>
      <c r="V2301" s="1027"/>
      <c r="W2301" s="1027"/>
    </row>
    <row r="2302" spans="2:23" ht="12.75" customHeight="1" x14ac:dyDescent="0.2">
      <c r="B2302" s="1083">
        <f>'BewDifferenzen_Statut-Marktnah'!$A$1</f>
        <v>42</v>
      </c>
      <c r="C2302" s="1084" t="str">
        <f>'BewDifferenzen_Statut-Marktnah'!$B$1</f>
        <v>Differenzen zwischen statutarischer und marktnaher Bewertung</v>
      </c>
      <c r="D2302" s="1143" t="str">
        <f>'BewDifferenzen_Statut-Marktnah'!$D$98</f>
        <v>Schwankungs- und Sicherheitsrückstellungen</v>
      </c>
      <c r="E2302" s="1547" t="str">
        <f>'BewDifferenzen_Statut-Marktnah'!$E100</f>
        <v>Einzel-Taggeldversicherung nach KVG</v>
      </c>
      <c r="F2302" s="1547" t="str">
        <f>'BewDifferenzen_Statut-Marktnah'!$L$4</f>
        <v>Statutarischer Bilanzwert nach Umlegungen</v>
      </c>
      <c r="G2302" s="1494"/>
      <c r="H2302" s="1145">
        <f ca="1">'BewDifferenzen_Statut-Marktnah'!$L100</f>
        <v>0</v>
      </c>
      <c r="U2302" s="1027"/>
      <c r="V2302" s="1027"/>
      <c r="W2302" s="1027"/>
    </row>
    <row r="2303" spans="2:23" ht="12.75" customHeight="1" x14ac:dyDescent="0.2">
      <c r="B2303" s="1083">
        <f>'BewDifferenzen_Statut-Marktnah'!$A$1</f>
        <v>42</v>
      </c>
      <c r="C2303" s="1084" t="str">
        <f>'BewDifferenzen_Statut-Marktnah'!$B$1</f>
        <v>Differenzen zwischen statutarischer und marktnaher Bewertung</v>
      </c>
      <c r="D2303" s="1143" t="str">
        <f>'BewDifferenzen_Statut-Marktnah'!$D$98</f>
        <v>Schwankungs- und Sicherheitsrückstellungen</v>
      </c>
      <c r="E2303" s="1547" t="str">
        <f>'BewDifferenzen_Statut-Marktnah'!$E101</f>
        <v>Kollektiv-Taggeldversicherung nach KVG</v>
      </c>
      <c r="F2303" s="1547" t="str">
        <f>'BewDifferenzen_Statut-Marktnah'!$L$4</f>
        <v>Statutarischer Bilanzwert nach Umlegungen</v>
      </c>
      <c r="G2303" s="1494"/>
      <c r="H2303" s="1145">
        <f ca="1">'BewDifferenzen_Statut-Marktnah'!$L101</f>
        <v>0</v>
      </c>
      <c r="U2303" s="1027"/>
      <c r="V2303" s="1027"/>
      <c r="W2303" s="1027"/>
    </row>
    <row r="2304" spans="2:23" ht="12.75" customHeight="1" x14ac:dyDescent="0.2">
      <c r="B2304" s="1083">
        <f>'BewDifferenzen_Statut-Marktnah'!$A$1</f>
        <v>42</v>
      </c>
      <c r="C2304" s="1084" t="str">
        <f>'BewDifferenzen_Statut-Marktnah'!$B$1</f>
        <v>Differenzen zwischen statutarischer und marktnaher Bewertung</v>
      </c>
      <c r="D2304" s="1143" t="str">
        <f>'BewDifferenzen_Statut-Marktnah'!$D$98</f>
        <v>Schwankungs- und Sicherheitsrückstellungen</v>
      </c>
      <c r="E2304" s="1547" t="str">
        <f>'BewDifferenzen_Statut-Marktnah'!$E102</f>
        <v>Aktive Rückversicherung nach KVG</v>
      </c>
      <c r="F2304" s="1547" t="str">
        <f>'BewDifferenzen_Statut-Marktnah'!$L$4</f>
        <v>Statutarischer Bilanzwert nach Umlegungen</v>
      </c>
      <c r="G2304" s="1494"/>
      <c r="H2304" s="1145">
        <f ca="1">'BewDifferenzen_Statut-Marktnah'!$L102</f>
        <v>0</v>
      </c>
      <c r="U2304" s="1027"/>
      <c r="V2304" s="1027"/>
      <c r="W2304" s="1027"/>
    </row>
    <row r="2305" spans="2:23" ht="12.75" customHeight="1" x14ac:dyDescent="0.2">
      <c r="B2305" s="1083">
        <f>'BewDifferenzen_Statut-Marktnah'!$A$1</f>
        <v>42</v>
      </c>
      <c r="C2305" s="1084" t="str">
        <f>'BewDifferenzen_Statut-Marktnah'!$B$1</f>
        <v>Differenzen zwischen statutarischer und marktnaher Bewertung</v>
      </c>
      <c r="D2305" s="1143" t="str">
        <f>'BewDifferenzen_Statut-Marktnah'!$D$98</f>
        <v>Schwankungs- und Sicherheitsrückstellungen</v>
      </c>
      <c r="E2305" s="1547" t="str">
        <f>'BewDifferenzen_Statut-Marktnah'!$E103</f>
        <v>dem Geschäft nach VVG zugeordnet</v>
      </c>
      <c r="F2305" s="1547" t="str">
        <f>'BewDifferenzen_Statut-Marktnah'!$L$4</f>
        <v>Statutarischer Bilanzwert nach Umlegungen</v>
      </c>
      <c r="G2305" s="1494"/>
      <c r="H2305" s="1145">
        <f ca="1">'BewDifferenzen_Statut-Marktnah'!$L103</f>
        <v>0</v>
      </c>
      <c r="U2305" s="1027"/>
      <c r="V2305" s="1027"/>
      <c r="W2305" s="1027"/>
    </row>
    <row r="2306" spans="2:23" ht="12.75" customHeight="1" x14ac:dyDescent="0.2">
      <c r="B2306" s="1083">
        <f>'BewDifferenzen_Statut-Marktnah'!$A$1</f>
        <v>42</v>
      </c>
      <c r="C2306" s="1084" t="str">
        <f>'BewDifferenzen_Statut-Marktnah'!$B$1</f>
        <v>Differenzen zwischen statutarischer und marktnaher Bewertung</v>
      </c>
      <c r="D2306" s="1143" t="str">
        <f>'BewDifferenzen_Statut-Marktnah'!$D$98</f>
        <v>Schwankungs- und Sicherheitsrückstellungen</v>
      </c>
      <c r="E2306" s="1547" t="str">
        <f>'BewDifferenzen_Statut-Marktnah'!$E104</f>
        <v>dem Geschäft nach UVG zugeordnet</v>
      </c>
      <c r="F2306" s="1547" t="str">
        <f>'BewDifferenzen_Statut-Marktnah'!$L$4</f>
        <v>Statutarischer Bilanzwert nach Umlegungen</v>
      </c>
      <c r="G2306" s="1494"/>
      <c r="H2306" s="1145">
        <f ca="1">'BewDifferenzen_Statut-Marktnah'!$L104</f>
        <v>0</v>
      </c>
      <c r="U2306" s="1027"/>
      <c r="V2306" s="1027"/>
      <c r="W2306" s="1027"/>
    </row>
    <row r="2307" spans="2:23" ht="12.75" customHeight="1" x14ac:dyDescent="0.2">
      <c r="B2307" s="1083"/>
      <c r="C2307" s="1084"/>
      <c r="D2307" s="1143"/>
      <c r="E2307" s="1547"/>
      <c r="F2307" s="1547"/>
      <c r="G2307" s="1494"/>
      <c r="H2307" s="1061"/>
      <c r="U2307" s="1027"/>
      <c r="V2307" s="1027"/>
      <c r="W2307" s="1027"/>
    </row>
    <row r="2308" spans="2:23" ht="12.75" customHeight="1" x14ac:dyDescent="0.2">
      <c r="B2308" s="1083">
        <f>'BewDifferenzen_Statut-Marktnah'!$A$1</f>
        <v>42</v>
      </c>
      <c r="C2308" s="1084" t="str">
        <f>'BewDifferenzen_Statut-Marktnah'!$B$1</f>
        <v>Differenzen zwischen statutarischer und marktnaher Bewertung</v>
      </c>
      <c r="D2308" s="1143" t="str">
        <f>'BewDifferenzen_Statut-Marktnah'!$D$106</f>
        <v>Total versicherungstechnische Rückstellungen</v>
      </c>
      <c r="E2308" s="1494"/>
      <c r="F2308" s="1547" t="str">
        <f>'BewDifferenzen_Statut-Marktnah'!$L$4</f>
        <v>Statutarischer Bilanzwert nach Umlegungen</v>
      </c>
      <c r="G2308" s="1494"/>
      <c r="H2308" s="1065">
        <f ca="1">'BewDifferenzen_Statut-Marktnah'!$L106</f>
        <v>0</v>
      </c>
      <c r="U2308" s="1027"/>
      <c r="V2308" s="1027"/>
      <c r="W2308" s="1027"/>
    </row>
    <row r="2309" spans="2:23" ht="12.75" customHeight="1" x14ac:dyDescent="0.2">
      <c r="B2309" s="1083"/>
      <c r="C2309" s="1084"/>
      <c r="D2309" s="1143"/>
      <c r="E2309" s="1547"/>
      <c r="F2309" s="1547"/>
      <c r="G2309" s="1494"/>
      <c r="H2309" s="1061"/>
      <c r="U2309" s="1027"/>
      <c r="V2309" s="1027"/>
      <c r="W2309" s="1027"/>
    </row>
    <row r="2310" spans="2:23" ht="12.75" customHeight="1" x14ac:dyDescent="0.2">
      <c r="B2310" s="1083">
        <f>'BewDifferenzen_Statut-Marktnah'!$A$1</f>
        <v>42</v>
      </c>
      <c r="C2310" s="1084" t="str">
        <f>'BewDifferenzen_Statut-Marktnah'!$B$1</f>
        <v>Differenzen zwischen statutarischer und marktnaher Bewertung</v>
      </c>
      <c r="D2310" s="1143" t="str">
        <f>'BewDifferenzen_Statut-Marktnah'!$D$111</f>
        <v>Nichtversicherungstechnische Rückstellungen</v>
      </c>
      <c r="E2310" s="1494"/>
      <c r="F2310" s="1547" t="str">
        <f>'BewDifferenzen_Statut-Marktnah'!$L$4</f>
        <v>Statutarischer Bilanzwert nach Umlegungen</v>
      </c>
      <c r="G2310" s="1494"/>
      <c r="H2310" s="1062">
        <f ca="1">'BewDifferenzen_Statut-Marktnah'!$L111</f>
        <v>0</v>
      </c>
      <c r="U2310" s="1027"/>
      <c r="V2310" s="1027"/>
      <c r="W2310" s="1027"/>
    </row>
    <row r="2311" spans="2:23" ht="12.75" customHeight="1" x14ac:dyDescent="0.2">
      <c r="B2311" s="1083">
        <f>'BewDifferenzen_Statut-Marktnah'!$A$1</f>
        <v>42</v>
      </c>
      <c r="C2311" s="1084" t="str">
        <f>'BewDifferenzen_Statut-Marktnah'!$B$1</f>
        <v>Differenzen zwischen statutarischer und marktnaher Bewertung</v>
      </c>
      <c r="D2311" s="1143" t="str">
        <f>'BewDifferenzen_Statut-Marktnah'!$D$111</f>
        <v>Nichtversicherungstechnische Rückstellungen</v>
      </c>
      <c r="E2311" s="1547" t="str">
        <f>'BewDifferenzen_Statut-Marktnah'!$E112</f>
        <v>dem Geschäft nach KVG zugeordnet</v>
      </c>
      <c r="F2311" s="1547" t="str">
        <f>'BewDifferenzen_Statut-Marktnah'!$L$4</f>
        <v>Statutarischer Bilanzwert nach Umlegungen</v>
      </c>
      <c r="G2311" s="1494"/>
      <c r="H2311" s="1145">
        <f ca="1">'BewDifferenzen_Statut-Marktnah'!$L112</f>
        <v>0</v>
      </c>
      <c r="U2311" s="1027"/>
      <c r="V2311" s="1027"/>
      <c r="W2311" s="1027"/>
    </row>
    <row r="2312" spans="2:23" ht="12.75" customHeight="1" x14ac:dyDescent="0.2">
      <c r="B2312" s="1083">
        <f>'BewDifferenzen_Statut-Marktnah'!$A$1</f>
        <v>42</v>
      </c>
      <c r="C2312" s="1084" t="str">
        <f>'BewDifferenzen_Statut-Marktnah'!$B$1</f>
        <v>Differenzen zwischen statutarischer und marktnaher Bewertung</v>
      </c>
      <c r="D2312" s="1143" t="str">
        <f>'BewDifferenzen_Statut-Marktnah'!$D$111</f>
        <v>Nichtversicherungstechnische Rückstellungen</v>
      </c>
      <c r="E2312" s="1547" t="str">
        <f>'BewDifferenzen_Statut-Marktnah'!$E113</f>
        <v>dem Geschäft nach VVG zugeordnet</v>
      </c>
      <c r="F2312" s="1547" t="str">
        <f>'BewDifferenzen_Statut-Marktnah'!$L$4</f>
        <v>Statutarischer Bilanzwert nach Umlegungen</v>
      </c>
      <c r="G2312" s="1494"/>
      <c r="H2312" s="1145">
        <f ca="1">'BewDifferenzen_Statut-Marktnah'!$L113</f>
        <v>0</v>
      </c>
      <c r="U2312" s="1027"/>
      <c r="V2312" s="1027"/>
      <c r="W2312" s="1027"/>
    </row>
    <row r="2313" spans="2:23" ht="12.75" customHeight="1" x14ac:dyDescent="0.2">
      <c r="B2313" s="1083">
        <f>'BewDifferenzen_Statut-Marktnah'!$A$1</f>
        <v>42</v>
      </c>
      <c r="C2313" s="1084" t="str">
        <f>'BewDifferenzen_Statut-Marktnah'!$B$1</f>
        <v>Differenzen zwischen statutarischer und marktnaher Bewertung</v>
      </c>
      <c r="D2313" s="1143" t="str">
        <f>'BewDifferenzen_Statut-Marktnah'!$D$111</f>
        <v>Nichtversicherungstechnische Rückstellungen</v>
      </c>
      <c r="E2313" s="1547" t="str">
        <f>'BewDifferenzen_Statut-Marktnah'!$E114</f>
        <v>dem Geschäft nach UVG zugeordnet</v>
      </c>
      <c r="F2313" s="1547" t="str">
        <f>'BewDifferenzen_Statut-Marktnah'!$L$4</f>
        <v>Statutarischer Bilanzwert nach Umlegungen</v>
      </c>
      <c r="G2313" s="1494"/>
      <c r="H2313" s="1145">
        <f ca="1">'BewDifferenzen_Statut-Marktnah'!$L114</f>
        <v>0</v>
      </c>
      <c r="U2313" s="1027"/>
      <c r="V2313" s="1027"/>
      <c r="W2313" s="1027"/>
    </row>
    <row r="2314" spans="2:23" ht="12.75" customHeight="1" x14ac:dyDescent="0.2">
      <c r="B2314" s="1083"/>
      <c r="C2314" s="1084"/>
      <c r="D2314" s="1143"/>
      <c r="E2314" s="1547"/>
      <c r="F2314" s="1547"/>
      <c r="G2314" s="1494"/>
      <c r="H2314" s="1061"/>
      <c r="U2314" s="1027"/>
      <c r="V2314" s="1027"/>
      <c r="W2314" s="1027"/>
    </row>
    <row r="2315" spans="2:23" ht="12.75" customHeight="1" x14ac:dyDescent="0.2">
      <c r="B2315" s="1083">
        <f>'BewDifferenzen_Statut-Marktnah'!$A$1</f>
        <v>42</v>
      </c>
      <c r="C2315" s="1084" t="str">
        <f>'BewDifferenzen_Statut-Marktnah'!$B$1</f>
        <v>Differenzen zwischen statutarischer und marktnaher Bewertung</v>
      </c>
      <c r="D2315" s="1143" t="str">
        <f>'BewDifferenzen_Statut-Marktnah'!$D$116</f>
        <v>Rückstellungen für Risiken in den Kapitalanlagen</v>
      </c>
      <c r="E2315" s="1494"/>
      <c r="F2315" s="1547" t="str">
        <f>'BewDifferenzen_Statut-Marktnah'!$L$4</f>
        <v>Statutarischer Bilanzwert nach Umlegungen</v>
      </c>
      <c r="G2315" s="1494"/>
      <c r="H2315" s="1062">
        <f ca="1">'BewDifferenzen_Statut-Marktnah'!$L116</f>
        <v>0</v>
      </c>
      <c r="U2315" s="1027"/>
      <c r="V2315" s="1027"/>
      <c r="W2315" s="1027"/>
    </row>
    <row r="2316" spans="2:23" ht="12.75" customHeight="1" x14ac:dyDescent="0.2">
      <c r="B2316" s="1083">
        <f>'BewDifferenzen_Statut-Marktnah'!$A$1</f>
        <v>42</v>
      </c>
      <c r="C2316" s="1084" t="str">
        <f>'BewDifferenzen_Statut-Marktnah'!$B$1</f>
        <v>Differenzen zwischen statutarischer und marktnaher Bewertung</v>
      </c>
      <c r="D2316" s="1143" t="str">
        <f>'BewDifferenzen_Statut-Marktnah'!$D$116</f>
        <v>Rückstellungen für Risiken in den Kapitalanlagen</v>
      </c>
      <c r="E2316" s="1547" t="str">
        <f>'BewDifferenzen_Statut-Marktnah'!$E117</f>
        <v>dem Geschäft nach KVG zugeordnet</v>
      </c>
      <c r="F2316" s="1547" t="str">
        <f>'BewDifferenzen_Statut-Marktnah'!$L$4</f>
        <v>Statutarischer Bilanzwert nach Umlegungen</v>
      </c>
      <c r="G2316" s="1494"/>
      <c r="H2316" s="1145">
        <f ca="1">'BewDifferenzen_Statut-Marktnah'!$L117</f>
        <v>0</v>
      </c>
      <c r="U2316" s="1027"/>
      <c r="V2316" s="1027"/>
      <c r="W2316" s="1027"/>
    </row>
    <row r="2317" spans="2:23" ht="12.75" customHeight="1" x14ac:dyDescent="0.2">
      <c r="B2317" s="1083">
        <f>'BewDifferenzen_Statut-Marktnah'!$A$1</f>
        <v>42</v>
      </c>
      <c r="C2317" s="1084" t="str">
        <f>'BewDifferenzen_Statut-Marktnah'!$B$1</f>
        <v>Differenzen zwischen statutarischer und marktnaher Bewertung</v>
      </c>
      <c r="D2317" s="1143" t="str">
        <f>'BewDifferenzen_Statut-Marktnah'!$D$116</f>
        <v>Rückstellungen für Risiken in den Kapitalanlagen</v>
      </c>
      <c r="E2317" s="1547" t="str">
        <f>'BewDifferenzen_Statut-Marktnah'!$E118</f>
        <v>dem Geschäft nach VVG zugeordnet</v>
      </c>
      <c r="F2317" s="1547" t="str">
        <f>'BewDifferenzen_Statut-Marktnah'!$L$4</f>
        <v>Statutarischer Bilanzwert nach Umlegungen</v>
      </c>
      <c r="G2317" s="1494"/>
      <c r="H2317" s="1145">
        <f ca="1">'BewDifferenzen_Statut-Marktnah'!$L118</f>
        <v>0</v>
      </c>
      <c r="U2317" s="1027"/>
      <c r="V2317" s="1027"/>
      <c r="W2317" s="1027"/>
    </row>
    <row r="2318" spans="2:23" ht="12.75" customHeight="1" x14ac:dyDescent="0.2">
      <c r="B2318" s="1083">
        <f>'BewDifferenzen_Statut-Marktnah'!$A$1</f>
        <v>42</v>
      </c>
      <c r="C2318" s="1084" t="str">
        <f>'BewDifferenzen_Statut-Marktnah'!$B$1</f>
        <v>Differenzen zwischen statutarischer und marktnaher Bewertung</v>
      </c>
      <c r="D2318" s="1143" t="str">
        <f>'BewDifferenzen_Statut-Marktnah'!$D$116</f>
        <v>Rückstellungen für Risiken in den Kapitalanlagen</v>
      </c>
      <c r="E2318" s="1547" t="str">
        <f>'BewDifferenzen_Statut-Marktnah'!$E119</f>
        <v>dem Geschäft nach UVG zugeordnet</v>
      </c>
      <c r="F2318" s="1547" t="str">
        <f>'BewDifferenzen_Statut-Marktnah'!$L$4</f>
        <v>Statutarischer Bilanzwert nach Umlegungen</v>
      </c>
      <c r="G2318" s="1494"/>
      <c r="H2318" s="1145">
        <f ca="1">'BewDifferenzen_Statut-Marktnah'!$L119</f>
        <v>0</v>
      </c>
      <c r="U2318" s="1027"/>
      <c r="V2318" s="1027"/>
      <c r="W2318" s="1027"/>
    </row>
    <row r="2319" spans="2:23" ht="12.75" customHeight="1" x14ac:dyDescent="0.2">
      <c r="B2319" s="1083"/>
      <c r="C2319" s="1084"/>
      <c r="D2319" s="1143"/>
      <c r="E2319" s="1547"/>
      <c r="F2319" s="1547"/>
      <c r="G2319" s="1494"/>
      <c r="H2319" s="1061"/>
      <c r="U2319" s="1027"/>
      <c r="V2319" s="1027"/>
      <c r="W2319" s="1027"/>
    </row>
    <row r="2320" spans="2:23" ht="12.75" customHeight="1" x14ac:dyDescent="0.2">
      <c r="B2320" s="1083">
        <f>'BewDifferenzen_Statut-Marktnah'!$A$1</f>
        <v>42</v>
      </c>
      <c r="C2320" s="1084" t="str">
        <f>'BewDifferenzen_Statut-Marktnah'!$B$1</f>
        <v>Differenzen zwischen statutarischer und marktnaher Bewertung</v>
      </c>
      <c r="D2320" s="1143" t="str">
        <f>'BewDifferenzen_Statut-Marktnah'!$D$121</f>
        <v>Übrige Verbindlichkeiten (inkl. Rechnungsabgrenzungen)</v>
      </c>
      <c r="E2320" s="1494"/>
      <c r="F2320" s="1547" t="str">
        <f>'BewDifferenzen_Statut-Marktnah'!$L$4</f>
        <v>Statutarischer Bilanzwert nach Umlegungen</v>
      </c>
      <c r="G2320" s="1494"/>
      <c r="H2320" s="1062">
        <f ca="1">'BewDifferenzen_Statut-Marktnah'!$L121</f>
        <v>0</v>
      </c>
      <c r="U2320" s="1027"/>
      <c r="V2320" s="1027"/>
      <c r="W2320" s="1027"/>
    </row>
    <row r="2321" spans="2:23" ht="12.75" customHeight="1" x14ac:dyDescent="0.2">
      <c r="B2321" s="1083">
        <f>'BewDifferenzen_Statut-Marktnah'!$A$1</f>
        <v>42</v>
      </c>
      <c r="C2321" s="1084" t="str">
        <f>'BewDifferenzen_Statut-Marktnah'!$B$1</f>
        <v>Differenzen zwischen statutarischer und marktnaher Bewertung</v>
      </c>
      <c r="D2321" s="1143" t="str">
        <f>'BewDifferenzen_Statut-Marktnah'!$D$121</f>
        <v>Übrige Verbindlichkeiten (inkl. Rechnungsabgrenzungen)</v>
      </c>
      <c r="E2321" s="1547" t="str">
        <f>'BewDifferenzen_Statut-Marktnah'!$E122</f>
        <v>dem Geschäft nach KVG zugeordnet</v>
      </c>
      <c r="F2321" s="1547" t="str">
        <f>'BewDifferenzen_Statut-Marktnah'!$L$4</f>
        <v>Statutarischer Bilanzwert nach Umlegungen</v>
      </c>
      <c r="G2321" s="1494"/>
      <c r="H2321" s="1145">
        <f ca="1">'BewDifferenzen_Statut-Marktnah'!$L122</f>
        <v>0</v>
      </c>
      <c r="U2321" s="1027"/>
      <c r="V2321" s="1027"/>
      <c r="W2321" s="1027"/>
    </row>
    <row r="2322" spans="2:23" ht="12.75" customHeight="1" x14ac:dyDescent="0.2">
      <c r="B2322" s="1083">
        <f>'BewDifferenzen_Statut-Marktnah'!$A$1</f>
        <v>42</v>
      </c>
      <c r="C2322" s="1084" t="str">
        <f>'BewDifferenzen_Statut-Marktnah'!$B$1</f>
        <v>Differenzen zwischen statutarischer und marktnaher Bewertung</v>
      </c>
      <c r="D2322" s="1143" t="str">
        <f>'BewDifferenzen_Statut-Marktnah'!$D$121</f>
        <v>Übrige Verbindlichkeiten (inkl. Rechnungsabgrenzungen)</v>
      </c>
      <c r="E2322" s="1547" t="str">
        <f>'BewDifferenzen_Statut-Marktnah'!$E123</f>
        <v>dem Geschäft nach VVG zugeordnet</v>
      </c>
      <c r="F2322" s="1547" t="str">
        <f>'BewDifferenzen_Statut-Marktnah'!$L$4</f>
        <v>Statutarischer Bilanzwert nach Umlegungen</v>
      </c>
      <c r="G2322" s="1494"/>
      <c r="H2322" s="1145">
        <f ca="1">'BewDifferenzen_Statut-Marktnah'!$L123</f>
        <v>0</v>
      </c>
      <c r="U2322" s="1027"/>
      <c r="V2322" s="1027"/>
      <c r="W2322" s="1027"/>
    </row>
    <row r="2323" spans="2:23" ht="12.75" customHeight="1" x14ac:dyDescent="0.2">
      <c r="B2323" s="1083">
        <f>'BewDifferenzen_Statut-Marktnah'!$A$1</f>
        <v>42</v>
      </c>
      <c r="C2323" s="1084" t="str">
        <f>'BewDifferenzen_Statut-Marktnah'!$B$1</f>
        <v>Differenzen zwischen statutarischer und marktnaher Bewertung</v>
      </c>
      <c r="D2323" s="1143" t="str">
        <f>'BewDifferenzen_Statut-Marktnah'!$D$121</f>
        <v>Übrige Verbindlichkeiten (inkl. Rechnungsabgrenzungen)</v>
      </c>
      <c r="E2323" s="1547" t="str">
        <f>'BewDifferenzen_Statut-Marktnah'!$E124</f>
        <v>dem Geschäft nach UVG zugeordnet</v>
      </c>
      <c r="F2323" s="1547" t="str">
        <f>'BewDifferenzen_Statut-Marktnah'!$L$4</f>
        <v>Statutarischer Bilanzwert nach Umlegungen</v>
      </c>
      <c r="G2323" s="1494"/>
      <c r="H2323" s="1145">
        <f ca="1">'BewDifferenzen_Statut-Marktnah'!$L124</f>
        <v>0</v>
      </c>
      <c r="U2323" s="1027"/>
      <c r="V2323" s="1027"/>
      <c r="W2323" s="1027"/>
    </row>
    <row r="2324" spans="2:23" ht="12.75" customHeight="1" x14ac:dyDescent="0.2">
      <c r="B2324" s="1083"/>
      <c r="C2324" s="1084"/>
      <c r="D2324" s="1143"/>
      <c r="E2324" s="1547"/>
      <c r="F2324" s="1547"/>
      <c r="G2324" s="1494"/>
      <c r="H2324" s="1061"/>
      <c r="U2324" s="1027"/>
      <c r="V2324" s="1027"/>
      <c r="W2324" s="1027"/>
    </row>
    <row r="2325" spans="2:23" ht="12.75" customHeight="1" x14ac:dyDescent="0.2">
      <c r="B2325" s="1083">
        <f>'BewDifferenzen_Statut-Marktnah'!$A$1</f>
        <v>42</v>
      </c>
      <c r="C2325" s="1084" t="str">
        <f>'BewDifferenzen_Statut-Marktnah'!$B$1</f>
        <v>Differenzen zwischen statutarischer und marktnaher Bewertung</v>
      </c>
      <c r="D2325" s="1143" t="str">
        <f>'BewDifferenzen_Statut-Marktnah'!$D$126</f>
        <v>Total übrige Passiven</v>
      </c>
      <c r="E2325" s="1494"/>
      <c r="F2325" s="1547" t="str">
        <f>'BewDifferenzen_Statut-Marktnah'!$L$4</f>
        <v>Statutarischer Bilanzwert nach Umlegungen</v>
      </c>
      <c r="G2325" s="1494"/>
      <c r="H2325" s="1065">
        <f ca="1">'BewDifferenzen_Statut-Marktnah'!$L126</f>
        <v>0</v>
      </c>
      <c r="U2325" s="1027"/>
      <c r="V2325" s="1027"/>
      <c r="W2325" s="1027"/>
    </row>
    <row r="2326" spans="2:23" ht="12.75" customHeight="1" x14ac:dyDescent="0.2">
      <c r="B2326" s="1083"/>
      <c r="C2326" s="1084"/>
      <c r="D2326" s="1143"/>
      <c r="E2326" s="1547"/>
      <c r="F2326" s="1547"/>
      <c r="G2326" s="1494"/>
      <c r="H2326" s="1061"/>
      <c r="U2326" s="1027"/>
      <c r="V2326" s="1027"/>
      <c r="W2326" s="1027"/>
    </row>
    <row r="2327" spans="2:23" ht="12.75" customHeight="1" x14ac:dyDescent="0.2">
      <c r="B2327" s="1083">
        <f>'BewDifferenzen_Statut-Marktnah'!$A$1</f>
        <v>42</v>
      </c>
      <c r="C2327" s="1084" t="str">
        <f>'BewDifferenzen_Statut-Marktnah'!$B$1</f>
        <v>Differenzen zwischen statutarischer und marktnaher Bewertung</v>
      </c>
      <c r="D2327" s="1143" t="str">
        <f>'BewDifferenzen_Statut-Marktnah'!$C$128</f>
        <v>Total Fremdkapital</v>
      </c>
      <c r="E2327" s="1547"/>
      <c r="F2327" s="1547" t="str">
        <f>'BewDifferenzen_Statut-Marktnah'!$L$4</f>
        <v>Statutarischer Bilanzwert nach Umlegungen</v>
      </c>
      <c r="G2327" s="1494"/>
      <c r="H2327" s="1065">
        <f ca="1">'BewDifferenzen_Statut-Marktnah'!$L128</f>
        <v>0</v>
      </c>
      <c r="U2327" s="1027"/>
      <c r="V2327" s="1027"/>
      <c r="W2327" s="1027"/>
    </row>
    <row r="2328" spans="2:23" ht="12.75" customHeight="1" x14ac:dyDescent="0.2">
      <c r="B2328" s="1083"/>
      <c r="C2328" s="1084"/>
      <c r="D2328" s="1143"/>
      <c r="E2328" s="1547"/>
      <c r="F2328" s="1547"/>
      <c r="G2328" s="1494"/>
      <c r="H2328" s="1061"/>
      <c r="U2328" s="1027"/>
      <c r="V2328" s="1027"/>
      <c r="W2328" s="1027"/>
    </row>
    <row r="2329" spans="2:23" ht="12.75" customHeight="1" x14ac:dyDescent="0.2">
      <c r="B2329" s="1083">
        <f>'BewDifferenzen_Statut-Marktnah'!$A$1</f>
        <v>42</v>
      </c>
      <c r="C2329" s="1084" t="str">
        <f>'BewDifferenzen_Statut-Marktnah'!$B$1</f>
        <v>Differenzen zwischen statutarischer und marktnaher Bewertung</v>
      </c>
      <c r="D2329" s="1143" t="str">
        <f>'BewDifferenzen_Statut-Marktnah'!$C$130</f>
        <v>Differenz zwischen Aktiven und Fremdkapital</v>
      </c>
      <c r="E2329" s="1547"/>
      <c r="F2329" s="1547" t="str">
        <f>'BewDifferenzen_Statut-Marktnah'!$L$4</f>
        <v>Statutarischer Bilanzwert nach Umlegungen</v>
      </c>
      <c r="G2329" s="1494"/>
      <c r="H2329" s="1065">
        <f ca="1">'BewDifferenzen_Statut-Marktnah'!$L130</f>
        <v>0</v>
      </c>
      <c r="U2329" s="1027"/>
      <c r="V2329" s="1027"/>
      <c r="W2329" s="1027"/>
    </row>
    <row r="2330" spans="2:23" ht="12.75" customHeight="1" x14ac:dyDescent="0.2">
      <c r="B2330" s="1083"/>
      <c r="C2330" s="1084"/>
      <c r="D2330" s="1143"/>
      <c r="E2330" s="1547"/>
      <c r="F2330" s="1547"/>
      <c r="G2330" s="1494"/>
      <c r="H2330" s="1061"/>
      <c r="U2330" s="1027"/>
      <c r="V2330" s="1027"/>
      <c r="W2330" s="1027"/>
    </row>
    <row r="2331" spans="2:23" ht="12.75" customHeight="1" x14ac:dyDescent="0.2">
      <c r="B2331" s="1083">
        <f>'BewDifferenzen_Statut-Marktnah'!$A$1</f>
        <v>42</v>
      </c>
      <c r="C2331" s="1084" t="str">
        <f>'BewDifferenzen_Statut-Marktnah'!$B$1</f>
        <v>Differenzen zwischen statutarischer und marktnaher Bewertung</v>
      </c>
      <c r="D2331" s="1143" t="str">
        <f>'BewDifferenzen_Statut-Marktnah'!$D$132</f>
        <v>Kontrollzeile</v>
      </c>
      <c r="E2331" s="1547"/>
      <c r="F2331" s="1547" t="str">
        <f>'BewDifferenzen_Statut-Marktnah'!$L$4</f>
        <v>Statutarischer Bilanzwert nach Umlegungen</v>
      </c>
      <c r="G2331" s="1494"/>
      <c r="H2331" s="1550">
        <f ca="1">'BewDifferenzen_Statut-Marktnah'!$L132</f>
        <v>0</v>
      </c>
      <c r="U2331" s="1027"/>
      <c r="V2331" s="1027"/>
      <c r="W2331" s="1027"/>
    </row>
    <row r="2332" spans="2:23" ht="12.75" customHeight="1" x14ac:dyDescent="0.2">
      <c r="B2332" s="1083"/>
      <c r="C2332" s="1084"/>
      <c r="D2332" s="1143"/>
      <c r="E2332" s="1547"/>
      <c r="F2332" s="1547"/>
      <c r="G2332" s="1494"/>
      <c r="H2332" s="1123"/>
      <c r="U2332" s="1027"/>
      <c r="V2332" s="1027"/>
      <c r="W2332" s="1027"/>
    </row>
    <row r="2333" spans="2:23" ht="12.75" customHeight="1" x14ac:dyDescent="0.2">
      <c r="B2333" s="1083">
        <f>'BewDifferenzen_Statut-Marktnah'!$A$1</f>
        <v>42</v>
      </c>
      <c r="C2333" s="1084" t="str">
        <f>'BewDifferenzen_Statut-Marktnah'!$B$1</f>
        <v>Differenzen zwischen statutarischer und marktnaher Bewertung</v>
      </c>
      <c r="D2333" s="1143" t="str">
        <f>'BewDifferenzen_Statut-Marktnah'!$C$136</f>
        <v>Aufteilung des Eigenkapitals</v>
      </c>
      <c r="E2333" s="1547"/>
      <c r="F2333" s="1547" t="str">
        <f>'BewDifferenzen_Statut-Marktnah'!$L$4</f>
        <v>Statutarischer Bilanzwert nach Umlegungen</v>
      </c>
      <c r="G2333" s="1494"/>
      <c r="H2333" s="1065">
        <f ca="1">'BewDifferenzen_Statut-Marktnah'!$L136</f>
        <v>0</v>
      </c>
      <c r="U2333" s="1027"/>
      <c r="V2333" s="1027"/>
      <c r="W2333" s="1027"/>
    </row>
    <row r="2334" spans="2:23" ht="12.75" customHeight="1" x14ac:dyDescent="0.2">
      <c r="B2334" s="1083">
        <f>'BewDifferenzen_Statut-Marktnah'!$A$1</f>
        <v>42</v>
      </c>
      <c r="C2334" s="1084" t="str">
        <f>'BewDifferenzen_Statut-Marktnah'!$B$1</f>
        <v>Differenzen zwischen statutarischer und marktnaher Bewertung</v>
      </c>
      <c r="D2334" s="1143" t="str">
        <f>'BewDifferenzen_Statut-Marktnah'!$C$136</f>
        <v>Aufteilung des Eigenkapitals</v>
      </c>
      <c r="E2334" s="1547" t="str">
        <f>'BewDifferenzen_Statut-Marktnah'!$E137</f>
        <v>dem Geschäft nach KVG zugeordnet</v>
      </c>
      <c r="F2334" s="1547" t="str">
        <f>'BewDifferenzen_Statut-Marktnah'!$L$4</f>
        <v>Statutarischer Bilanzwert nach Umlegungen</v>
      </c>
      <c r="G2334" s="1494"/>
      <c r="H2334" s="1551">
        <f ca="1">'BewDifferenzen_Statut-Marktnah'!$L137</f>
        <v>0</v>
      </c>
      <c r="U2334" s="1027"/>
      <c r="V2334" s="1027"/>
      <c r="W2334" s="1027"/>
    </row>
    <row r="2335" spans="2:23" ht="12.75" customHeight="1" x14ac:dyDescent="0.2">
      <c r="B2335" s="1083">
        <f>'BewDifferenzen_Statut-Marktnah'!$A$1</f>
        <v>42</v>
      </c>
      <c r="C2335" s="1084" t="str">
        <f>'BewDifferenzen_Statut-Marktnah'!$B$1</f>
        <v>Differenzen zwischen statutarischer und marktnaher Bewertung</v>
      </c>
      <c r="D2335" s="1143" t="str">
        <f>'BewDifferenzen_Statut-Marktnah'!$C$136</f>
        <v>Aufteilung des Eigenkapitals</v>
      </c>
      <c r="E2335" s="1547" t="str">
        <f>'BewDifferenzen_Statut-Marktnah'!$E138</f>
        <v>dem Geschäft nach VVG zugeordnet</v>
      </c>
      <c r="F2335" s="1547" t="str">
        <f>'BewDifferenzen_Statut-Marktnah'!$L$4</f>
        <v>Statutarischer Bilanzwert nach Umlegungen</v>
      </c>
      <c r="G2335" s="1494"/>
      <c r="H2335" s="1551">
        <f ca="1">'BewDifferenzen_Statut-Marktnah'!$L138</f>
        <v>0</v>
      </c>
      <c r="U2335" s="1027"/>
      <c r="V2335" s="1027"/>
      <c r="W2335" s="1027"/>
    </row>
    <row r="2336" spans="2:23" ht="12.75" customHeight="1" x14ac:dyDescent="0.2">
      <c r="B2336" s="1083">
        <f>'BewDifferenzen_Statut-Marktnah'!$A$1</f>
        <v>42</v>
      </c>
      <c r="C2336" s="1084" t="str">
        <f>'BewDifferenzen_Statut-Marktnah'!$B$1</f>
        <v>Differenzen zwischen statutarischer und marktnaher Bewertung</v>
      </c>
      <c r="D2336" s="1143" t="str">
        <f>'BewDifferenzen_Statut-Marktnah'!$C$136</f>
        <v>Aufteilung des Eigenkapitals</v>
      </c>
      <c r="E2336" s="1547" t="str">
        <f>'BewDifferenzen_Statut-Marktnah'!$E139</f>
        <v>dem Geschäft nach UVG zugeordnet</v>
      </c>
      <c r="F2336" s="1547" t="str">
        <f>'BewDifferenzen_Statut-Marktnah'!$L$4</f>
        <v>Statutarischer Bilanzwert nach Umlegungen</v>
      </c>
      <c r="G2336" s="1494"/>
      <c r="H2336" s="1551">
        <f ca="1">'BewDifferenzen_Statut-Marktnah'!$L139</f>
        <v>0</v>
      </c>
      <c r="U2336" s="1027"/>
      <c r="V2336" s="1027"/>
      <c r="W2336" s="1027"/>
    </row>
    <row r="2337" spans="2:23" ht="12.75" customHeight="1" x14ac:dyDescent="0.2">
      <c r="B2337" s="1083"/>
      <c r="C2337" s="1084"/>
      <c r="D2337" s="1143"/>
      <c r="E2337" s="1547"/>
      <c r="F2337" s="1547"/>
      <c r="G2337" s="1494"/>
      <c r="H2337" s="1123"/>
      <c r="U2337" s="1027"/>
      <c r="V2337" s="1027"/>
      <c r="W2337" s="1027"/>
    </row>
    <row r="2338" spans="2:23" ht="12.75" customHeight="1" x14ac:dyDescent="0.2">
      <c r="B2338" s="1083"/>
      <c r="C2338" s="1084"/>
      <c r="D2338" s="1143"/>
      <c r="E2338" s="1547"/>
      <c r="F2338" s="1547"/>
      <c r="G2338" s="1494"/>
      <c r="H2338" s="1123"/>
      <c r="U2338" s="1027"/>
      <c r="V2338" s="1027"/>
      <c r="W2338" s="1027"/>
    </row>
    <row r="2339" spans="2:23" ht="12.75" customHeight="1" x14ac:dyDescent="0.2">
      <c r="B2339" s="1083"/>
      <c r="C2339" s="1084"/>
      <c r="D2339" s="1143"/>
      <c r="E2339" s="1547"/>
      <c r="F2339" s="1547"/>
      <c r="G2339" s="1494"/>
      <c r="H2339" s="1123"/>
      <c r="U2339" s="1027"/>
      <c r="V2339" s="1027"/>
      <c r="W2339" s="1027"/>
    </row>
    <row r="2340" spans="2:23" ht="12.75" customHeight="1" x14ac:dyDescent="0.2">
      <c r="B2340" s="1083"/>
      <c r="C2340" s="1084"/>
      <c r="D2340" s="1143"/>
      <c r="E2340" s="1547"/>
      <c r="F2340" s="1547"/>
      <c r="G2340" s="1494"/>
      <c r="H2340" s="1123"/>
      <c r="U2340" s="1027"/>
      <c r="V2340" s="1027"/>
      <c r="W2340" s="1027"/>
    </row>
    <row r="2341" spans="2:23" ht="12.75" customHeight="1" x14ac:dyDescent="0.2">
      <c r="B2341" s="1083">
        <f>'BewDifferenzen_Statut-Marktnah'!$A$1</f>
        <v>42</v>
      </c>
      <c r="C2341" s="1084" t="str">
        <f>'BewDifferenzen_Statut-Marktnah'!$B$1</f>
        <v>Differenzen zwischen statutarischer und marktnaher Bewertung</v>
      </c>
      <c r="D2341" s="1560" t="str">
        <f>'BewDifferenzen_Statut-Marktnah'!$D$13</f>
        <v>Grundstücke und Bauten</v>
      </c>
      <c r="E2341" s="1494"/>
      <c r="F2341" s="1547" t="str">
        <f>'BewDifferenzen_Statut-Marktnah'!$M$4</f>
        <v>Bewertungs-differenzen zwischen statutarischem und marktnahem Wert</v>
      </c>
      <c r="G2341" s="1494"/>
      <c r="H2341" s="1062">
        <f ca="1">'BewDifferenzen_Statut-Marktnah'!$M13</f>
        <v>0</v>
      </c>
      <c r="U2341" s="1027"/>
      <c r="V2341" s="1027"/>
      <c r="W2341" s="1027"/>
    </row>
    <row r="2342" spans="2:23" ht="12.75" customHeight="1" x14ac:dyDescent="0.2">
      <c r="B2342" s="1083">
        <f>'BewDifferenzen_Statut-Marktnah'!$A$1</f>
        <v>42</v>
      </c>
      <c r="C2342" s="1084" t="str">
        <f>'BewDifferenzen_Statut-Marktnah'!$B$1</f>
        <v>Differenzen zwischen statutarischer und marktnaher Bewertung</v>
      </c>
      <c r="D2342" s="1143" t="str">
        <f>'BewDifferenzen_Statut-Marktnah'!$D$13</f>
        <v>Grundstücke und Bauten</v>
      </c>
      <c r="E2342" s="1547" t="str">
        <f>'BewDifferenzen_Statut-Marktnah'!$E14</f>
        <v>dem Geschäft nach KVG zugeordnet</v>
      </c>
      <c r="F2342" s="1547" t="str">
        <f>'BewDifferenzen_Statut-Marktnah'!$M$4</f>
        <v>Bewertungs-differenzen zwischen statutarischem und marktnahem Wert</v>
      </c>
      <c r="G2342" s="1494"/>
      <c r="H2342" s="1145">
        <f ca="1">'BewDifferenzen_Statut-Marktnah'!$M14</f>
        <v>0</v>
      </c>
      <c r="U2342" s="1027"/>
      <c r="V2342" s="1027"/>
      <c r="W2342" s="1027"/>
    </row>
    <row r="2343" spans="2:23" ht="12.75" customHeight="1" x14ac:dyDescent="0.2">
      <c r="B2343" s="1083">
        <f>'BewDifferenzen_Statut-Marktnah'!$A$1</f>
        <v>42</v>
      </c>
      <c r="C2343" s="1084" t="str">
        <f>'BewDifferenzen_Statut-Marktnah'!$B$1</f>
        <v>Differenzen zwischen statutarischer und marktnaher Bewertung</v>
      </c>
      <c r="D2343" s="1143" t="str">
        <f>'BewDifferenzen_Statut-Marktnah'!$D$13</f>
        <v>Grundstücke und Bauten</v>
      </c>
      <c r="E2343" s="1547" t="str">
        <f>'BewDifferenzen_Statut-Marktnah'!$E15</f>
        <v>dem Geschäft nach VVG zugeordnet</v>
      </c>
      <c r="F2343" s="1547" t="str">
        <f>'BewDifferenzen_Statut-Marktnah'!$M$4</f>
        <v>Bewertungs-differenzen zwischen statutarischem und marktnahem Wert</v>
      </c>
      <c r="G2343" s="1494"/>
      <c r="H2343" s="1145">
        <f ca="1">'BewDifferenzen_Statut-Marktnah'!$M15</f>
        <v>0</v>
      </c>
      <c r="U2343" s="1027"/>
      <c r="V2343" s="1027"/>
      <c r="W2343" s="1027"/>
    </row>
    <row r="2344" spans="2:23" ht="12.75" customHeight="1" x14ac:dyDescent="0.2">
      <c r="B2344" s="1083">
        <f>'BewDifferenzen_Statut-Marktnah'!$A$1</f>
        <v>42</v>
      </c>
      <c r="C2344" s="1084" t="str">
        <f>'BewDifferenzen_Statut-Marktnah'!$B$1</f>
        <v>Differenzen zwischen statutarischer und marktnaher Bewertung</v>
      </c>
      <c r="D2344" s="1143" t="str">
        <f>'BewDifferenzen_Statut-Marktnah'!$D$13</f>
        <v>Grundstücke und Bauten</v>
      </c>
      <c r="E2344" s="1547" t="str">
        <f>'BewDifferenzen_Statut-Marktnah'!$E16</f>
        <v>dem Geschäft nach UVG zugeordnet</v>
      </c>
      <c r="F2344" s="1547" t="str">
        <f>'BewDifferenzen_Statut-Marktnah'!$M$4</f>
        <v>Bewertungs-differenzen zwischen statutarischem und marktnahem Wert</v>
      </c>
      <c r="G2344" s="1494"/>
      <c r="H2344" s="1145">
        <f ca="1">'BewDifferenzen_Statut-Marktnah'!$M16</f>
        <v>0</v>
      </c>
      <c r="U2344" s="1027"/>
      <c r="V2344" s="1027"/>
      <c r="W2344" s="1027"/>
    </row>
    <row r="2345" spans="2:23" ht="12.75" customHeight="1" x14ac:dyDescent="0.2">
      <c r="B2345" s="1083"/>
      <c r="C2345" s="1084"/>
      <c r="D2345" s="1143"/>
      <c r="E2345" s="1547"/>
      <c r="F2345" s="1547"/>
      <c r="G2345" s="1494"/>
      <c r="H2345" s="1061"/>
      <c r="U2345" s="1027"/>
      <c r="V2345" s="1027"/>
      <c r="W2345" s="1027"/>
    </row>
    <row r="2346" spans="2:23" ht="12.75" customHeight="1" x14ac:dyDescent="0.2">
      <c r="B2346" s="1083">
        <f>'BewDifferenzen_Statut-Marktnah'!$A$1</f>
        <v>42</v>
      </c>
      <c r="C2346" s="1084" t="str">
        <f>'BewDifferenzen_Statut-Marktnah'!$B$1</f>
        <v>Differenzen zwischen statutarischer und marktnaher Bewertung</v>
      </c>
      <c r="D2346" s="1143" t="str">
        <f>'BewDifferenzen_Statut-Marktnah'!$D$18</f>
        <v>Obligationen</v>
      </c>
      <c r="E2346" s="1494"/>
      <c r="F2346" s="1547" t="str">
        <f>'BewDifferenzen_Statut-Marktnah'!$M$4</f>
        <v>Bewertungs-differenzen zwischen statutarischem und marktnahem Wert</v>
      </c>
      <c r="G2346" s="1494"/>
      <c r="H2346" s="1062">
        <f ca="1">'BewDifferenzen_Statut-Marktnah'!$M18</f>
        <v>0</v>
      </c>
      <c r="U2346" s="1027"/>
      <c r="V2346" s="1027"/>
      <c r="W2346" s="1027"/>
    </row>
    <row r="2347" spans="2:23" ht="12.75" customHeight="1" x14ac:dyDescent="0.2">
      <c r="B2347" s="1083">
        <f>'BewDifferenzen_Statut-Marktnah'!$A$1</f>
        <v>42</v>
      </c>
      <c r="C2347" s="1084" t="str">
        <f>'BewDifferenzen_Statut-Marktnah'!$B$1</f>
        <v>Differenzen zwischen statutarischer und marktnaher Bewertung</v>
      </c>
      <c r="D2347" s="1143" t="str">
        <f>'BewDifferenzen_Statut-Marktnah'!$D$18</f>
        <v>Obligationen</v>
      </c>
      <c r="E2347" s="1547" t="str">
        <f>'BewDifferenzen_Statut-Marktnah'!$E19</f>
        <v>dem Geschäft nach KVG zugeordnet</v>
      </c>
      <c r="F2347" s="1547" t="str">
        <f>'BewDifferenzen_Statut-Marktnah'!$M$4</f>
        <v>Bewertungs-differenzen zwischen statutarischem und marktnahem Wert</v>
      </c>
      <c r="G2347" s="1494"/>
      <c r="H2347" s="1145">
        <f ca="1">'BewDifferenzen_Statut-Marktnah'!$M19</f>
        <v>0</v>
      </c>
      <c r="U2347" s="1027"/>
      <c r="V2347" s="1027"/>
      <c r="W2347" s="1027"/>
    </row>
    <row r="2348" spans="2:23" ht="12.75" customHeight="1" x14ac:dyDescent="0.2">
      <c r="B2348" s="1083">
        <f>'BewDifferenzen_Statut-Marktnah'!$A$1</f>
        <v>42</v>
      </c>
      <c r="C2348" s="1084" t="str">
        <f>'BewDifferenzen_Statut-Marktnah'!$B$1</f>
        <v>Differenzen zwischen statutarischer und marktnaher Bewertung</v>
      </c>
      <c r="D2348" s="1143" t="str">
        <f>'BewDifferenzen_Statut-Marktnah'!$D$18</f>
        <v>Obligationen</v>
      </c>
      <c r="E2348" s="1547" t="str">
        <f>'BewDifferenzen_Statut-Marktnah'!$E20</f>
        <v>dem Geschäft nach VVG zugeordnet</v>
      </c>
      <c r="F2348" s="1547" t="str">
        <f>'BewDifferenzen_Statut-Marktnah'!$M$4</f>
        <v>Bewertungs-differenzen zwischen statutarischem und marktnahem Wert</v>
      </c>
      <c r="G2348" s="1494"/>
      <c r="H2348" s="1145">
        <f ca="1">'BewDifferenzen_Statut-Marktnah'!$M20</f>
        <v>0</v>
      </c>
      <c r="U2348" s="1027"/>
      <c r="V2348" s="1027"/>
      <c r="W2348" s="1027"/>
    </row>
    <row r="2349" spans="2:23" ht="12.75" customHeight="1" x14ac:dyDescent="0.2">
      <c r="B2349" s="1083">
        <f>'BewDifferenzen_Statut-Marktnah'!$A$1</f>
        <v>42</v>
      </c>
      <c r="C2349" s="1084" t="str">
        <f>'BewDifferenzen_Statut-Marktnah'!$B$1</f>
        <v>Differenzen zwischen statutarischer und marktnaher Bewertung</v>
      </c>
      <c r="D2349" s="1143" t="str">
        <f>'BewDifferenzen_Statut-Marktnah'!$D$18</f>
        <v>Obligationen</v>
      </c>
      <c r="E2349" s="1547" t="str">
        <f>'BewDifferenzen_Statut-Marktnah'!$E21</f>
        <v>dem Geschäft nach UVG zugeordnet</v>
      </c>
      <c r="F2349" s="1547" t="str">
        <f>'BewDifferenzen_Statut-Marktnah'!$M$4</f>
        <v>Bewertungs-differenzen zwischen statutarischem und marktnahem Wert</v>
      </c>
      <c r="G2349" s="1494"/>
      <c r="H2349" s="1145">
        <f ca="1">'BewDifferenzen_Statut-Marktnah'!$M21</f>
        <v>0</v>
      </c>
      <c r="U2349" s="1027"/>
      <c r="V2349" s="1027"/>
      <c r="W2349" s="1027"/>
    </row>
    <row r="2350" spans="2:23" ht="12.75" customHeight="1" x14ac:dyDescent="0.2">
      <c r="B2350" s="1083"/>
      <c r="C2350" s="1084"/>
      <c r="D2350" s="1143"/>
      <c r="E2350" s="1547"/>
      <c r="F2350" s="1547"/>
      <c r="G2350" s="1494"/>
      <c r="H2350" s="1061"/>
      <c r="U2350" s="1027"/>
      <c r="V2350" s="1027"/>
      <c r="W2350" s="1027"/>
    </row>
    <row r="2351" spans="2:23" ht="12.75" customHeight="1" x14ac:dyDescent="0.2">
      <c r="B2351" s="1083">
        <f>'BewDifferenzen_Statut-Marktnah'!$A$1</f>
        <v>42</v>
      </c>
      <c r="C2351" s="1084" t="str">
        <f>'BewDifferenzen_Statut-Marktnah'!$B$1</f>
        <v>Differenzen zwischen statutarischer und marktnaher Bewertung</v>
      </c>
      <c r="D2351" s="1143" t="str">
        <f>'BewDifferenzen_Statut-Marktnah'!$D$23</f>
        <v>Aktien und ähnliche Anlagen</v>
      </c>
      <c r="E2351" s="1494"/>
      <c r="F2351" s="1547" t="str">
        <f>'BewDifferenzen_Statut-Marktnah'!$M$4</f>
        <v>Bewertungs-differenzen zwischen statutarischem und marktnahem Wert</v>
      </c>
      <c r="G2351" s="1494"/>
      <c r="H2351" s="1062">
        <f ca="1">'BewDifferenzen_Statut-Marktnah'!$M23</f>
        <v>0</v>
      </c>
      <c r="U2351" s="1027"/>
      <c r="V2351" s="1027"/>
      <c r="W2351" s="1027"/>
    </row>
    <row r="2352" spans="2:23" ht="12.75" customHeight="1" x14ac:dyDescent="0.2">
      <c r="B2352" s="1083">
        <f>'BewDifferenzen_Statut-Marktnah'!$A$1</f>
        <v>42</v>
      </c>
      <c r="C2352" s="1084" t="str">
        <f>'BewDifferenzen_Statut-Marktnah'!$B$1</f>
        <v>Differenzen zwischen statutarischer und marktnaher Bewertung</v>
      </c>
      <c r="D2352" s="1143" t="str">
        <f>'BewDifferenzen_Statut-Marktnah'!$D$23</f>
        <v>Aktien und ähnliche Anlagen</v>
      </c>
      <c r="E2352" s="1547" t="str">
        <f>'BewDifferenzen_Statut-Marktnah'!$E24</f>
        <v>dem Geschäft nach KVG zugeordnet</v>
      </c>
      <c r="F2352" s="1547" t="str">
        <f>'BewDifferenzen_Statut-Marktnah'!$M$4</f>
        <v>Bewertungs-differenzen zwischen statutarischem und marktnahem Wert</v>
      </c>
      <c r="G2352" s="1494"/>
      <c r="H2352" s="1145">
        <f ca="1">'BewDifferenzen_Statut-Marktnah'!$M24</f>
        <v>0</v>
      </c>
      <c r="U2352" s="1027"/>
      <c r="V2352" s="1027"/>
      <c r="W2352" s="1027"/>
    </row>
    <row r="2353" spans="2:23" ht="12.75" customHeight="1" x14ac:dyDescent="0.2">
      <c r="B2353" s="1083">
        <f>'BewDifferenzen_Statut-Marktnah'!$A$1</f>
        <v>42</v>
      </c>
      <c r="C2353" s="1084" t="str">
        <f>'BewDifferenzen_Statut-Marktnah'!$B$1</f>
        <v>Differenzen zwischen statutarischer und marktnaher Bewertung</v>
      </c>
      <c r="D2353" s="1143" t="str">
        <f>'BewDifferenzen_Statut-Marktnah'!$D$23</f>
        <v>Aktien und ähnliche Anlagen</v>
      </c>
      <c r="E2353" s="1547" t="str">
        <f>'BewDifferenzen_Statut-Marktnah'!$E25</f>
        <v>dem Geschäft nach VVG zugeordnet</v>
      </c>
      <c r="F2353" s="1547" t="str">
        <f>'BewDifferenzen_Statut-Marktnah'!$M$4</f>
        <v>Bewertungs-differenzen zwischen statutarischem und marktnahem Wert</v>
      </c>
      <c r="G2353" s="1494"/>
      <c r="H2353" s="1145">
        <f ca="1">'BewDifferenzen_Statut-Marktnah'!$M25</f>
        <v>0</v>
      </c>
      <c r="U2353" s="1027"/>
      <c r="V2353" s="1027"/>
      <c r="W2353" s="1027"/>
    </row>
    <row r="2354" spans="2:23" ht="12.75" customHeight="1" x14ac:dyDescent="0.2">
      <c r="B2354" s="1083">
        <f>'BewDifferenzen_Statut-Marktnah'!$A$1</f>
        <v>42</v>
      </c>
      <c r="C2354" s="1084" t="str">
        <f>'BewDifferenzen_Statut-Marktnah'!$B$1</f>
        <v>Differenzen zwischen statutarischer und marktnaher Bewertung</v>
      </c>
      <c r="D2354" s="1143" t="str">
        <f>'BewDifferenzen_Statut-Marktnah'!$D$23</f>
        <v>Aktien und ähnliche Anlagen</v>
      </c>
      <c r="E2354" s="1547" t="str">
        <f>'BewDifferenzen_Statut-Marktnah'!$E26</f>
        <v>dem Geschäft nach UVG zugeordnet</v>
      </c>
      <c r="F2354" s="1547" t="str">
        <f>'BewDifferenzen_Statut-Marktnah'!$M$4</f>
        <v>Bewertungs-differenzen zwischen statutarischem und marktnahem Wert</v>
      </c>
      <c r="G2354" s="1494"/>
      <c r="H2354" s="1145">
        <f ca="1">'BewDifferenzen_Statut-Marktnah'!$M26</f>
        <v>0</v>
      </c>
      <c r="U2354" s="1027"/>
      <c r="V2354" s="1027"/>
      <c r="W2354" s="1027"/>
    </row>
    <row r="2355" spans="2:23" ht="12.75" customHeight="1" x14ac:dyDescent="0.2">
      <c r="B2355" s="1083"/>
      <c r="C2355" s="1084"/>
      <c r="D2355" s="1143"/>
      <c r="E2355" s="1547"/>
      <c r="F2355" s="1547"/>
      <c r="G2355" s="1494"/>
      <c r="H2355" s="1061"/>
      <c r="U2355" s="1027"/>
      <c r="V2355" s="1027"/>
      <c r="W2355" s="1027"/>
    </row>
    <row r="2356" spans="2:23" ht="12.75" customHeight="1" x14ac:dyDescent="0.2">
      <c r="B2356" s="1083">
        <f>'BewDifferenzen_Statut-Marktnah'!$A$1</f>
        <v>42</v>
      </c>
      <c r="C2356" s="1084" t="str">
        <f>'BewDifferenzen_Statut-Marktnah'!$B$1</f>
        <v>Differenzen zwischen statutarischer und marktnaher Bewertung</v>
      </c>
      <c r="D2356" s="1143" t="str">
        <f>'BewDifferenzen_Statut-Marktnah'!$D$28</f>
        <v>Anteile an Anlagefonds</v>
      </c>
      <c r="E2356" s="1494"/>
      <c r="F2356" s="1547" t="str">
        <f>'BewDifferenzen_Statut-Marktnah'!$M$4</f>
        <v>Bewertungs-differenzen zwischen statutarischem und marktnahem Wert</v>
      </c>
      <c r="G2356" s="1494"/>
      <c r="H2356" s="1062">
        <f ca="1">'BewDifferenzen_Statut-Marktnah'!$M28</f>
        <v>0</v>
      </c>
      <c r="U2356" s="1027"/>
      <c r="V2356" s="1027"/>
      <c r="W2356" s="1027"/>
    </row>
    <row r="2357" spans="2:23" ht="12.75" customHeight="1" x14ac:dyDescent="0.2">
      <c r="B2357" s="1083">
        <f>'BewDifferenzen_Statut-Marktnah'!$A$1</f>
        <v>42</v>
      </c>
      <c r="C2357" s="1084" t="str">
        <f>'BewDifferenzen_Statut-Marktnah'!$B$1</f>
        <v>Differenzen zwischen statutarischer und marktnaher Bewertung</v>
      </c>
      <c r="D2357" s="1143" t="str">
        <f>'BewDifferenzen_Statut-Marktnah'!$D$28</f>
        <v>Anteile an Anlagefonds</v>
      </c>
      <c r="E2357" s="1547" t="str">
        <f>'BewDifferenzen_Statut-Marktnah'!$E29</f>
        <v>dem Geschäft nach KVG zugeordnet</v>
      </c>
      <c r="F2357" s="1547" t="str">
        <f>'BewDifferenzen_Statut-Marktnah'!$M$4</f>
        <v>Bewertungs-differenzen zwischen statutarischem und marktnahem Wert</v>
      </c>
      <c r="G2357" s="1494"/>
      <c r="H2357" s="1145">
        <f ca="1">'BewDifferenzen_Statut-Marktnah'!$M29</f>
        <v>0</v>
      </c>
      <c r="U2357" s="1027"/>
      <c r="V2357" s="1027"/>
      <c r="W2357" s="1027"/>
    </row>
    <row r="2358" spans="2:23" ht="12.75" customHeight="1" x14ac:dyDescent="0.2">
      <c r="B2358" s="1083">
        <f>'BewDifferenzen_Statut-Marktnah'!$A$1</f>
        <v>42</v>
      </c>
      <c r="C2358" s="1084" t="str">
        <f>'BewDifferenzen_Statut-Marktnah'!$B$1</f>
        <v>Differenzen zwischen statutarischer und marktnaher Bewertung</v>
      </c>
      <c r="D2358" s="1143" t="str">
        <f>'BewDifferenzen_Statut-Marktnah'!$D$28</f>
        <v>Anteile an Anlagefonds</v>
      </c>
      <c r="E2358" s="1547" t="str">
        <f>'BewDifferenzen_Statut-Marktnah'!$E30</f>
        <v>dem Geschäft nach VVG zugeordnet</v>
      </c>
      <c r="F2358" s="1547" t="str">
        <f>'BewDifferenzen_Statut-Marktnah'!$M$4</f>
        <v>Bewertungs-differenzen zwischen statutarischem und marktnahem Wert</v>
      </c>
      <c r="G2358" s="1494"/>
      <c r="H2358" s="1145">
        <f ca="1">'BewDifferenzen_Statut-Marktnah'!$M30</f>
        <v>0</v>
      </c>
      <c r="U2358" s="1027"/>
      <c r="V2358" s="1027"/>
      <c r="W2358" s="1027"/>
    </row>
    <row r="2359" spans="2:23" ht="12.75" customHeight="1" x14ac:dyDescent="0.2">
      <c r="B2359" s="1083">
        <f>'BewDifferenzen_Statut-Marktnah'!$A$1</f>
        <v>42</v>
      </c>
      <c r="C2359" s="1084" t="str">
        <f>'BewDifferenzen_Statut-Marktnah'!$B$1</f>
        <v>Differenzen zwischen statutarischer und marktnaher Bewertung</v>
      </c>
      <c r="D2359" s="1143" t="str">
        <f>'BewDifferenzen_Statut-Marktnah'!$D$28</f>
        <v>Anteile an Anlagefonds</v>
      </c>
      <c r="E2359" s="1547" t="str">
        <f>'BewDifferenzen_Statut-Marktnah'!$E31</f>
        <v>dem Geschäft nach UVG zugeordnet</v>
      </c>
      <c r="F2359" s="1547" t="str">
        <f>'BewDifferenzen_Statut-Marktnah'!$M$4</f>
        <v>Bewertungs-differenzen zwischen statutarischem und marktnahem Wert</v>
      </c>
      <c r="G2359" s="1494"/>
      <c r="H2359" s="1145">
        <f ca="1">'BewDifferenzen_Statut-Marktnah'!$M31</f>
        <v>0</v>
      </c>
      <c r="U2359" s="1027"/>
      <c r="V2359" s="1027"/>
      <c r="W2359" s="1027"/>
    </row>
    <row r="2360" spans="2:23" ht="12.75" customHeight="1" x14ac:dyDescent="0.2">
      <c r="B2360" s="1083"/>
      <c r="C2360" s="1084"/>
      <c r="D2360" s="1143"/>
      <c r="E2360" s="1547"/>
      <c r="F2360" s="1547"/>
      <c r="G2360" s="1494"/>
      <c r="H2360" s="1061"/>
      <c r="U2360" s="1027"/>
      <c r="V2360" s="1027"/>
      <c r="W2360" s="1027"/>
    </row>
    <row r="2361" spans="2:23" ht="12.75" customHeight="1" x14ac:dyDescent="0.2">
      <c r="B2361" s="1083">
        <f>'BewDifferenzen_Statut-Marktnah'!$A$1</f>
        <v>42</v>
      </c>
      <c r="C2361" s="1084" t="str">
        <f>'BewDifferenzen_Statut-Marktnah'!$B$1</f>
        <v>Differenzen zwischen statutarischer und marktnaher Bewertung</v>
      </c>
      <c r="D2361" s="1143" t="str">
        <f>'BewDifferenzen_Statut-Marktnah'!$D$33</f>
        <v>Derivative Finanzinstrumente (Guthaben)</v>
      </c>
      <c r="E2361" s="1494"/>
      <c r="F2361" s="1547" t="str">
        <f>'BewDifferenzen_Statut-Marktnah'!$M$4</f>
        <v>Bewertungs-differenzen zwischen statutarischem und marktnahem Wert</v>
      </c>
      <c r="G2361" s="1494"/>
      <c r="H2361" s="1062">
        <f ca="1">'BewDifferenzen_Statut-Marktnah'!$M33</f>
        <v>0</v>
      </c>
      <c r="U2361" s="1027"/>
      <c r="V2361" s="1027"/>
      <c r="W2361" s="1027"/>
    </row>
    <row r="2362" spans="2:23" ht="12.75" customHeight="1" x14ac:dyDescent="0.2">
      <c r="B2362" s="1083">
        <f>'BewDifferenzen_Statut-Marktnah'!$A$1</f>
        <v>42</v>
      </c>
      <c r="C2362" s="1084" t="str">
        <f>'BewDifferenzen_Statut-Marktnah'!$B$1</f>
        <v>Differenzen zwischen statutarischer und marktnaher Bewertung</v>
      </c>
      <c r="D2362" s="1143" t="str">
        <f>'BewDifferenzen_Statut-Marktnah'!$D$33</f>
        <v>Derivative Finanzinstrumente (Guthaben)</v>
      </c>
      <c r="E2362" s="1547" t="str">
        <f>'BewDifferenzen_Statut-Marktnah'!$E34</f>
        <v>dem Geschäft nach KVG zugeordnet</v>
      </c>
      <c r="F2362" s="1547" t="str">
        <f>'BewDifferenzen_Statut-Marktnah'!$M$4</f>
        <v>Bewertungs-differenzen zwischen statutarischem und marktnahem Wert</v>
      </c>
      <c r="G2362" s="1494"/>
      <c r="H2362" s="1145">
        <f ca="1">'BewDifferenzen_Statut-Marktnah'!$M34</f>
        <v>0</v>
      </c>
      <c r="U2362" s="1027"/>
      <c r="V2362" s="1027"/>
      <c r="W2362" s="1027"/>
    </row>
    <row r="2363" spans="2:23" ht="12.75" customHeight="1" x14ac:dyDescent="0.2">
      <c r="B2363" s="1083">
        <f>'BewDifferenzen_Statut-Marktnah'!$A$1</f>
        <v>42</v>
      </c>
      <c r="C2363" s="1084" t="str">
        <f>'BewDifferenzen_Statut-Marktnah'!$B$1</f>
        <v>Differenzen zwischen statutarischer und marktnaher Bewertung</v>
      </c>
      <c r="D2363" s="1143" t="str">
        <f>'BewDifferenzen_Statut-Marktnah'!$D$33</f>
        <v>Derivative Finanzinstrumente (Guthaben)</v>
      </c>
      <c r="E2363" s="1547" t="str">
        <f>'BewDifferenzen_Statut-Marktnah'!$E35</f>
        <v>dem Geschäft nach VVG zugeordnet</v>
      </c>
      <c r="F2363" s="1547" t="str">
        <f>'BewDifferenzen_Statut-Marktnah'!$M$4</f>
        <v>Bewertungs-differenzen zwischen statutarischem und marktnahem Wert</v>
      </c>
      <c r="G2363" s="1494"/>
      <c r="H2363" s="1145">
        <f ca="1">'BewDifferenzen_Statut-Marktnah'!$M35</f>
        <v>0</v>
      </c>
      <c r="U2363" s="1027"/>
      <c r="V2363" s="1027"/>
      <c r="W2363" s="1027"/>
    </row>
    <row r="2364" spans="2:23" ht="12.75" customHeight="1" x14ac:dyDescent="0.2">
      <c r="B2364" s="1083">
        <f>'BewDifferenzen_Statut-Marktnah'!$A$1</f>
        <v>42</v>
      </c>
      <c r="C2364" s="1084" t="str">
        <f>'BewDifferenzen_Statut-Marktnah'!$B$1</f>
        <v>Differenzen zwischen statutarischer und marktnaher Bewertung</v>
      </c>
      <c r="D2364" s="1143" t="str">
        <f>'BewDifferenzen_Statut-Marktnah'!$D$33</f>
        <v>Derivative Finanzinstrumente (Guthaben)</v>
      </c>
      <c r="E2364" s="1547" t="str">
        <f>'BewDifferenzen_Statut-Marktnah'!$E36</f>
        <v>dem Geschäft nach UVG zugeordnet</v>
      </c>
      <c r="F2364" s="1547" t="str">
        <f>'BewDifferenzen_Statut-Marktnah'!$M$4</f>
        <v>Bewertungs-differenzen zwischen statutarischem und marktnahem Wert</v>
      </c>
      <c r="G2364" s="1494"/>
      <c r="H2364" s="1145">
        <f ca="1">'BewDifferenzen_Statut-Marktnah'!$M36</f>
        <v>0</v>
      </c>
      <c r="U2364" s="1027"/>
      <c r="V2364" s="1027"/>
      <c r="W2364" s="1027"/>
    </row>
    <row r="2365" spans="2:23" ht="12.75" customHeight="1" x14ac:dyDescent="0.2">
      <c r="B2365" s="1083"/>
      <c r="C2365" s="1084"/>
      <c r="D2365" s="1143"/>
      <c r="E2365" s="1547"/>
      <c r="F2365" s="1547"/>
      <c r="G2365" s="1494"/>
      <c r="H2365" s="1061"/>
      <c r="U2365" s="1027"/>
      <c r="V2365" s="1027"/>
      <c r="W2365" s="1027"/>
    </row>
    <row r="2366" spans="2:23" ht="12.75" customHeight="1" x14ac:dyDescent="0.2">
      <c r="B2366" s="1083">
        <f>'BewDifferenzen_Statut-Marktnah'!$A$1</f>
        <v>42</v>
      </c>
      <c r="C2366" s="1084" t="str">
        <f>'BewDifferenzen_Statut-Marktnah'!$B$1</f>
        <v>Differenzen zwischen statutarischer und marktnaher Bewertung</v>
      </c>
      <c r="D2366" s="1143" t="str">
        <f>'BewDifferenzen_Statut-Marktnah'!$D$38</f>
        <v>Liquide Mittel</v>
      </c>
      <c r="E2366" s="1494"/>
      <c r="F2366" s="1547" t="str">
        <f>'BewDifferenzen_Statut-Marktnah'!$M$4</f>
        <v>Bewertungs-differenzen zwischen statutarischem und marktnahem Wert</v>
      </c>
      <c r="G2366" s="1494"/>
      <c r="H2366" s="1062">
        <f ca="1">'BewDifferenzen_Statut-Marktnah'!$M38</f>
        <v>0</v>
      </c>
      <c r="U2366" s="1027"/>
      <c r="V2366" s="1027"/>
      <c r="W2366" s="1027"/>
    </row>
    <row r="2367" spans="2:23" ht="12.75" customHeight="1" x14ac:dyDescent="0.2">
      <c r="B2367" s="1083">
        <f>'BewDifferenzen_Statut-Marktnah'!$A$1</f>
        <v>42</v>
      </c>
      <c r="C2367" s="1084" t="str">
        <f>'BewDifferenzen_Statut-Marktnah'!$B$1</f>
        <v>Differenzen zwischen statutarischer und marktnaher Bewertung</v>
      </c>
      <c r="D2367" s="1143" t="str">
        <f>'BewDifferenzen_Statut-Marktnah'!$D$38</f>
        <v>Liquide Mittel</v>
      </c>
      <c r="E2367" s="1547" t="str">
        <f>'BewDifferenzen_Statut-Marktnah'!$E39</f>
        <v>dem Geschäft nach KVG zugeordnet</v>
      </c>
      <c r="F2367" s="1547" t="str">
        <f>'BewDifferenzen_Statut-Marktnah'!$M$4</f>
        <v>Bewertungs-differenzen zwischen statutarischem und marktnahem Wert</v>
      </c>
      <c r="G2367" s="1494"/>
      <c r="H2367" s="1145">
        <f ca="1">'BewDifferenzen_Statut-Marktnah'!$M39</f>
        <v>0</v>
      </c>
      <c r="U2367" s="1027"/>
      <c r="V2367" s="1027"/>
      <c r="W2367" s="1027"/>
    </row>
    <row r="2368" spans="2:23" ht="12.75" customHeight="1" x14ac:dyDescent="0.2">
      <c r="B2368" s="1083">
        <f>'BewDifferenzen_Statut-Marktnah'!$A$1</f>
        <v>42</v>
      </c>
      <c r="C2368" s="1084" t="str">
        <f>'BewDifferenzen_Statut-Marktnah'!$B$1</f>
        <v>Differenzen zwischen statutarischer und marktnaher Bewertung</v>
      </c>
      <c r="D2368" s="1143" t="str">
        <f>'BewDifferenzen_Statut-Marktnah'!$D$38</f>
        <v>Liquide Mittel</v>
      </c>
      <c r="E2368" s="1547" t="str">
        <f>'BewDifferenzen_Statut-Marktnah'!$E40</f>
        <v>dem Geschäft nach VVG zugeordnet</v>
      </c>
      <c r="F2368" s="1547" t="str">
        <f>'BewDifferenzen_Statut-Marktnah'!$M$4</f>
        <v>Bewertungs-differenzen zwischen statutarischem und marktnahem Wert</v>
      </c>
      <c r="G2368" s="1494"/>
      <c r="H2368" s="1145">
        <f ca="1">'BewDifferenzen_Statut-Marktnah'!$M40</f>
        <v>0</v>
      </c>
      <c r="U2368" s="1027"/>
      <c r="V2368" s="1027"/>
      <c r="W2368" s="1027"/>
    </row>
    <row r="2369" spans="2:23" ht="12.75" customHeight="1" x14ac:dyDescent="0.2">
      <c r="B2369" s="1083">
        <f>'BewDifferenzen_Statut-Marktnah'!$A$1</f>
        <v>42</v>
      </c>
      <c r="C2369" s="1084" t="str">
        <f>'BewDifferenzen_Statut-Marktnah'!$B$1</f>
        <v>Differenzen zwischen statutarischer und marktnaher Bewertung</v>
      </c>
      <c r="D2369" s="1143" t="str">
        <f>'BewDifferenzen_Statut-Marktnah'!$D$38</f>
        <v>Liquide Mittel</v>
      </c>
      <c r="E2369" s="1547" t="str">
        <f>'BewDifferenzen_Statut-Marktnah'!$E41</f>
        <v>dem Geschäft nach UVG zugeordnet</v>
      </c>
      <c r="F2369" s="1547" t="str">
        <f>'BewDifferenzen_Statut-Marktnah'!$M$4</f>
        <v>Bewertungs-differenzen zwischen statutarischem und marktnahem Wert</v>
      </c>
      <c r="G2369" s="1494"/>
      <c r="H2369" s="1145">
        <f ca="1">'BewDifferenzen_Statut-Marktnah'!$M41</f>
        <v>0</v>
      </c>
      <c r="U2369" s="1027"/>
      <c r="V2369" s="1027"/>
      <c r="W2369" s="1027"/>
    </row>
    <row r="2370" spans="2:23" ht="12.75" customHeight="1" x14ac:dyDescent="0.2">
      <c r="B2370" s="1083"/>
      <c r="C2370" s="1084"/>
      <c r="D2370" s="1143"/>
      <c r="E2370" s="1547"/>
      <c r="F2370" s="1547"/>
      <c r="G2370" s="1494"/>
      <c r="H2370" s="1061"/>
      <c r="U2370" s="1027"/>
      <c r="V2370" s="1027"/>
      <c r="W2370" s="1027"/>
    </row>
    <row r="2371" spans="2:23" ht="12.75" customHeight="1" x14ac:dyDescent="0.2">
      <c r="B2371" s="1083">
        <f>'BewDifferenzen_Statut-Marktnah'!$A$1</f>
        <v>42</v>
      </c>
      <c r="C2371" s="1084" t="str">
        <f>'BewDifferenzen_Statut-Marktnah'!$B$1</f>
        <v>Differenzen zwischen statutarischer und marktnaher Bewertung</v>
      </c>
      <c r="D2371" s="1143" t="str">
        <f>'BewDifferenzen_Statut-Marktnah'!$D$43</f>
        <v>Anlagen in Institutionen, die der Durchführung der sozialen Krankenversicherung dienen</v>
      </c>
      <c r="E2371" s="1494"/>
      <c r="F2371" s="1547" t="str">
        <f>'BewDifferenzen_Statut-Marktnah'!$M$4</f>
        <v>Bewertungs-differenzen zwischen statutarischem und marktnahem Wert</v>
      </c>
      <c r="G2371" s="1494"/>
      <c r="H2371" s="1062">
        <f ca="1">'BewDifferenzen_Statut-Marktnah'!$M43</f>
        <v>0</v>
      </c>
      <c r="U2371" s="1027"/>
      <c r="V2371" s="1027"/>
      <c r="W2371" s="1027"/>
    </row>
    <row r="2372" spans="2:23" ht="12.75" customHeight="1" x14ac:dyDescent="0.2">
      <c r="B2372" s="1083">
        <f>'BewDifferenzen_Statut-Marktnah'!$A$1</f>
        <v>42</v>
      </c>
      <c r="C2372" s="1084" t="str">
        <f>'BewDifferenzen_Statut-Marktnah'!$B$1</f>
        <v>Differenzen zwischen statutarischer und marktnaher Bewertung</v>
      </c>
      <c r="D2372" s="1143" t="str">
        <f>'BewDifferenzen_Statut-Marktnah'!$D$43</f>
        <v>Anlagen in Institutionen, die der Durchführung der sozialen Krankenversicherung dienen</v>
      </c>
      <c r="E2372" s="1547" t="str">
        <f>'BewDifferenzen_Statut-Marktnah'!$E44</f>
        <v>dem Geschäft nach KVG zugeordnet</v>
      </c>
      <c r="F2372" s="1547" t="str">
        <f>'BewDifferenzen_Statut-Marktnah'!$M$4</f>
        <v>Bewertungs-differenzen zwischen statutarischem und marktnahem Wert</v>
      </c>
      <c r="G2372" s="1494"/>
      <c r="H2372" s="1145">
        <f ca="1">'BewDifferenzen_Statut-Marktnah'!$M44</f>
        <v>0</v>
      </c>
      <c r="U2372" s="1027"/>
      <c r="V2372" s="1027"/>
      <c r="W2372" s="1027"/>
    </row>
    <row r="2373" spans="2:23" ht="12.75" customHeight="1" x14ac:dyDescent="0.2">
      <c r="B2373" s="1083">
        <f>'BewDifferenzen_Statut-Marktnah'!$A$1</f>
        <v>42</v>
      </c>
      <c r="C2373" s="1084" t="str">
        <f>'BewDifferenzen_Statut-Marktnah'!$B$1</f>
        <v>Differenzen zwischen statutarischer und marktnaher Bewertung</v>
      </c>
      <c r="D2373" s="1143" t="str">
        <f>'BewDifferenzen_Statut-Marktnah'!$D$43</f>
        <v>Anlagen in Institutionen, die der Durchführung der sozialen Krankenversicherung dienen</v>
      </c>
      <c r="E2373" s="1547" t="str">
        <f>'BewDifferenzen_Statut-Marktnah'!$E45</f>
        <v>dem Geschäft nach VVG zugeordnet</v>
      </c>
      <c r="F2373" s="1547" t="str">
        <f>'BewDifferenzen_Statut-Marktnah'!$M$4</f>
        <v>Bewertungs-differenzen zwischen statutarischem und marktnahem Wert</v>
      </c>
      <c r="G2373" s="1494"/>
      <c r="H2373" s="1145">
        <f ca="1">'BewDifferenzen_Statut-Marktnah'!$M45</f>
        <v>0</v>
      </c>
      <c r="U2373" s="1027"/>
      <c r="V2373" s="1027"/>
      <c r="W2373" s="1027"/>
    </row>
    <row r="2374" spans="2:23" ht="12.75" customHeight="1" x14ac:dyDescent="0.2">
      <c r="B2374" s="1083">
        <f>'BewDifferenzen_Statut-Marktnah'!$A$1</f>
        <v>42</v>
      </c>
      <c r="C2374" s="1084" t="str">
        <f>'BewDifferenzen_Statut-Marktnah'!$B$1</f>
        <v>Differenzen zwischen statutarischer und marktnaher Bewertung</v>
      </c>
      <c r="D2374" s="1143" t="str">
        <f>'BewDifferenzen_Statut-Marktnah'!$D$43</f>
        <v>Anlagen in Institutionen, die der Durchführung der sozialen Krankenversicherung dienen</v>
      </c>
      <c r="E2374" s="1547" t="str">
        <f>'BewDifferenzen_Statut-Marktnah'!$E46</f>
        <v>dem Geschäft nach UVG zugeordnet</v>
      </c>
      <c r="F2374" s="1547" t="str">
        <f>'BewDifferenzen_Statut-Marktnah'!$M$4</f>
        <v>Bewertungs-differenzen zwischen statutarischem und marktnahem Wert</v>
      </c>
      <c r="G2374" s="1494"/>
      <c r="H2374" s="1145">
        <f ca="1">'BewDifferenzen_Statut-Marktnah'!$M46</f>
        <v>0</v>
      </c>
      <c r="U2374" s="1027"/>
      <c r="V2374" s="1027"/>
      <c r="W2374" s="1027"/>
    </row>
    <row r="2375" spans="2:23" ht="12.75" customHeight="1" x14ac:dyDescent="0.2">
      <c r="B2375" s="1083"/>
      <c r="C2375" s="1084"/>
      <c r="D2375" s="1143"/>
      <c r="E2375" s="1547"/>
      <c r="F2375" s="1547"/>
      <c r="G2375" s="1494"/>
      <c r="H2375" s="1061"/>
      <c r="U2375" s="1027"/>
      <c r="V2375" s="1027"/>
      <c r="W2375" s="1027"/>
    </row>
    <row r="2376" spans="2:23" ht="12.75" customHeight="1" x14ac:dyDescent="0.2">
      <c r="B2376" s="1083">
        <f>'BewDifferenzen_Statut-Marktnah'!$A$1</f>
        <v>42</v>
      </c>
      <c r="C2376" s="1084" t="str">
        <f>'BewDifferenzen_Statut-Marktnah'!$B$1</f>
        <v>Differenzen zwischen statutarischer und marktnaher Bewertung</v>
      </c>
      <c r="D2376" s="1143" t="str">
        <f>'BewDifferenzen_Statut-Marktnah'!$D$48</f>
        <v>Übrige Kapitalanlagen (Latente Steuern, Aktiven aus Vorsorgeplänen)</v>
      </c>
      <c r="E2376" s="1494"/>
      <c r="F2376" s="1547" t="str">
        <f>'BewDifferenzen_Statut-Marktnah'!$M$4</f>
        <v>Bewertungs-differenzen zwischen statutarischem und marktnahem Wert</v>
      </c>
      <c r="G2376" s="1494"/>
      <c r="H2376" s="1062">
        <f ca="1">'BewDifferenzen_Statut-Marktnah'!$M48</f>
        <v>0</v>
      </c>
      <c r="U2376" s="1027"/>
      <c r="V2376" s="1027"/>
      <c r="W2376" s="1027"/>
    </row>
    <row r="2377" spans="2:23" ht="12.75" customHeight="1" x14ac:dyDescent="0.2">
      <c r="B2377" s="1083">
        <f>'BewDifferenzen_Statut-Marktnah'!$A$1</f>
        <v>42</v>
      </c>
      <c r="C2377" s="1084" t="str">
        <f>'BewDifferenzen_Statut-Marktnah'!$B$1</f>
        <v>Differenzen zwischen statutarischer und marktnaher Bewertung</v>
      </c>
      <c r="D2377" s="1143" t="str">
        <f>'BewDifferenzen_Statut-Marktnah'!$D$48</f>
        <v>Übrige Kapitalanlagen (Latente Steuern, Aktiven aus Vorsorgeplänen)</v>
      </c>
      <c r="E2377" s="1547" t="str">
        <f>'BewDifferenzen_Statut-Marktnah'!$E49</f>
        <v>dem Geschäft nach KVG zugeordnet</v>
      </c>
      <c r="F2377" s="1547" t="str">
        <f>'BewDifferenzen_Statut-Marktnah'!$M$4</f>
        <v>Bewertungs-differenzen zwischen statutarischem und marktnahem Wert</v>
      </c>
      <c r="G2377" s="1494"/>
      <c r="H2377" s="1145">
        <f ca="1">'BewDifferenzen_Statut-Marktnah'!$M49</f>
        <v>0</v>
      </c>
      <c r="U2377" s="1027"/>
      <c r="V2377" s="1027"/>
      <c r="W2377" s="1027"/>
    </row>
    <row r="2378" spans="2:23" ht="12.75" customHeight="1" x14ac:dyDescent="0.2">
      <c r="B2378" s="1083">
        <f>'BewDifferenzen_Statut-Marktnah'!$A$1</f>
        <v>42</v>
      </c>
      <c r="C2378" s="1084" t="str">
        <f>'BewDifferenzen_Statut-Marktnah'!$B$1</f>
        <v>Differenzen zwischen statutarischer und marktnaher Bewertung</v>
      </c>
      <c r="D2378" s="1143" t="str">
        <f>'BewDifferenzen_Statut-Marktnah'!$D$48</f>
        <v>Übrige Kapitalanlagen (Latente Steuern, Aktiven aus Vorsorgeplänen)</v>
      </c>
      <c r="E2378" s="1547" t="str">
        <f>'BewDifferenzen_Statut-Marktnah'!$E50</f>
        <v>dem Geschäft nach VVG zugeordnet</v>
      </c>
      <c r="F2378" s="1547" t="str">
        <f>'BewDifferenzen_Statut-Marktnah'!$M$4</f>
        <v>Bewertungs-differenzen zwischen statutarischem und marktnahem Wert</v>
      </c>
      <c r="G2378" s="1494"/>
      <c r="H2378" s="1145">
        <f ca="1">'BewDifferenzen_Statut-Marktnah'!$M50</f>
        <v>0</v>
      </c>
      <c r="U2378" s="1027"/>
      <c r="V2378" s="1027"/>
      <c r="W2378" s="1027"/>
    </row>
    <row r="2379" spans="2:23" ht="12.75" customHeight="1" x14ac:dyDescent="0.2">
      <c r="B2379" s="1083">
        <f>'BewDifferenzen_Statut-Marktnah'!$A$1</f>
        <v>42</v>
      </c>
      <c r="C2379" s="1084" t="str">
        <f>'BewDifferenzen_Statut-Marktnah'!$B$1</f>
        <v>Differenzen zwischen statutarischer und marktnaher Bewertung</v>
      </c>
      <c r="D2379" s="1143" t="str">
        <f>'BewDifferenzen_Statut-Marktnah'!$D$48</f>
        <v>Übrige Kapitalanlagen (Latente Steuern, Aktiven aus Vorsorgeplänen)</v>
      </c>
      <c r="E2379" s="1547" t="str">
        <f>'BewDifferenzen_Statut-Marktnah'!$E51</f>
        <v>dem Geschäft nach UVG zugeordnet</v>
      </c>
      <c r="F2379" s="1547" t="str">
        <f>'BewDifferenzen_Statut-Marktnah'!$M$4</f>
        <v>Bewertungs-differenzen zwischen statutarischem und marktnahem Wert</v>
      </c>
      <c r="G2379" s="1494"/>
      <c r="H2379" s="1145">
        <f ca="1">'BewDifferenzen_Statut-Marktnah'!$M51</f>
        <v>0</v>
      </c>
      <c r="U2379" s="1027"/>
      <c r="V2379" s="1027"/>
      <c r="W2379" s="1027"/>
    </row>
    <row r="2380" spans="2:23" ht="12.75" customHeight="1" x14ac:dyDescent="0.2">
      <c r="B2380" s="1083"/>
      <c r="C2380" s="1084"/>
      <c r="D2380" s="1143"/>
      <c r="E2380" s="1547"/>
      <c r="F2380" s="1547"/>
      <c r="G2380" s="1494"/>
      <c r="H2380" s="1061"/>
      <c r="U2380" s="1027"/>
      <c r="V2380" s="1027"/>
      <c r="W2380" s="1027"/>
    </row>
    <row r="2381" spans="2:23" ht="12.75" customHeight="1" x14ac:dyDescent="0.2">
      <c r="B2381" s="1083">
        <f>'BewDifferenzen_Statut-Marktnah'!$A$1</f>
        <v>42</v>
      </c>
      <c r="C2381" s="1084" t="str">
        <f>'BewDifferenzen_Statut-Marktnah'!$B$1</f>
        <v>Differenzen zwischen statutarischer und marktnaher Bewertung</v>
      </c>
      <c r="D2381" s="1143" t="str">
        <f>'BewDifferenzen_Statut-Marktnah'!$D$53</f>
        <v>Total Kapitalanlagen</v>
      </c>
      <c r="E2381" s="1494"/>
      <c r="F2381" s="1547" t="str">
        <f>'BewDifferenzen_Statut-Marktnah'!$M$4</f>
        <v>Bewertungs-differenzen zwischen statutarischem und marktnahem Wert</v>
      </c>
      <c r="G2381" s="1494"/>
      <c r="H2381" s="1065">
        <f ca="1">'BewDifferenzen_Statut-Marktnah'!$M53</f>
        <v>0</v>
      </c>
      <c r="U2381" s="1027"/>
      <c r="V2381" s="1027"/>
      <c r="W2381" s="1027"/>
    </row>
    <row r="2382" spans="2:23" ht="12.75" customHeight="1" x14ac:dyDescent="0.2">
      <c r="B2382" s="1083"/>
      <c r="C2382" s="1084"/>
      <c r="D2382" s="1143"/>
      <c r="E2382" s="1547"/>
      <c r="F2382" s="1547"/>
      <c r="G2382" s="1494"/>
      <c r="H2382" s="1061"/>
      <c r="U2382" s="1027"/>
      <c r="V2382" s="1027"/>
      <c r="W2382" s="1027"/>
    </row>
    <row r="2383" spans="2:23" ht="12.75" customHeight="1" x14ac:dyDescent="0.2">
      <c r="B2383" s="1083">
        <f>'BewDifferenzen_Statut-Marktnah'!$A$1</f>
        <v>42</v>
      </c>
      <c r="C2383" s="1084" t="str">
        <f>'BewDifferenzen_Statut-Marktnah'!$B$1</f>
        <v>Differenzen zwischen statutarischer und marktnaher Bewertung</v>
      </c>
      <c r="D2383" s="1143" t="str">
        <f>'BewDifferenzen_Statut-Marktnah'!$D$57</f>
        <v>Übriges Anlagevermögen (Immaterielle Anlagen, Sachanlagen)</v>
      </c>
      <c r="E2383" s="1494"/>
      <c r="F2383" s="1547" t="str">
        <f>'BewDifferenzen_Statut-Marktnah'!$M$4</f>
        <v>Bewertungs-differenzen zwischen statutarischem und marktnahem Wert</v>
      </c>
      <c r="G2383" s="1494"/>
      <c r="H2383" s="1062">
        <f ca="1">'BewDifferenzen_Statut-Marktnah'!$M57</f>
        <v>0</v>
      </c>
      <c r="U2383" s="1027"/>
      <c r="V2383" s="1027"/>
      <c r="W2383" s="1027"/>
    </row>
    <row r="2384" spans="2:23" ht="12.75" customHeight="1" x14ac:dyDescent="0.2">
      <c r="B2384" s="1083">
        <f>'BewDifferenzen_Statut-Marktnah'!$A$1</f>
        <v>42</v>
      </c>
      <c r="C2384" s="1084" t="str">
        <f>'BewDifferenzen_Statut-Marktnah'!$B$1</f>
        <v>Differenzen zwischen statutarischer und marktnaher Bewertung</v>
      </c>
      <c r="D2384" s="1143" t="str">
        <f>'BewDifferenzen_Statut-Marktnah'!$D$57</f>
        <v>Übriges Anlagevermögen (Immaterielle Anlagen, Sachanlagen)</v>
      </c>
      <c r="E2384" s="1547" t="str">
        <f>'BewDifferenzen_Statut-Marktnah'!$E58</f>
        <v>dem Geschäft nach KVG zugeordnet</v>
      </c>
      <c r="F2384" s="1547" t="str">
        <f>'BewDifferenzen_Statut-Marktnah'!$M$4</f>
        <v>Bewertungs-differenzen zwischen statutarischem und marktnahem Wert</v>
      </c>
      <c r="G2384" s="1494"/>
      <c r="H2384" s="1145">
        <f ca="1">'BewDifferenzen_Statut-Marktnah'!$M58</f>
        <v>0</v>
      </c>
      <c r="U2384" s="1027"/>
      <c r="V2384" s="1027"/>
      <c r="W2384" s="1027"/>
    </row>
    <row r="2385" spans="2:23" ht="12.75" customHeight="1" x14ac:dyDescent="0.2">
      <c r="B2385" s="1083">
        <f>'BewDifferenzen_Statut-Marktnah'!$A$1</f>
        <v>42</v>
      </c>
      <c r="C2385" s="1084" t="str">
        <f>'BewDifferenzen_Statut-Marktnah'!$B$1</f>
        <v>Differenzen zwischen statutarischer und marktnaher Bewertung</v>
      </c>
      <c r="D2385" s="1143" t="str">
        <f>'BewDifferenzen_Statut-Marktnah'!$D$57</f>
        <v>Übriges Anlagevermögen (Immaterielle Anlagen, Sachanlagen)</v>
      </c>
      <c r="E2385" s="1547" t="str">
        <f>'BewDifferenzen_Statut-Marktnah'!$E59</f>
        <v>dem Geschäft nach VVG zugeordnet</v>
      </c>
      <c r="F2385" s="1547" t="str">
        <f>'BewDifferenzen_Statut-Marktnah'!$M$4</f>
        <v>Bewertungs-differenzen zwischen statutarischem und marktnahem Wert</v>
      </c>
      <c r="G2385" s="1494"/>
      <c r="H2385" s="1145">
        <f ca="1">'BewDifferenzen_Statut-Marktnah'!$M59</f>
        <v>0</v>
      </c>
      <c r="U2385" s="1027"/>
      <c r="V2385" s="1027"/>
      <c r="W2385" s="1027"/>
    </row>
    <row r="2386" spans="2:23" ht="12.75" customHeight="1" x14ac:dyDescent="0.2">
      <c r="B2386" s="1083">
        <f>'BewDifferenzen_Statut-Marktnah'!$A$1</f>
        <v>42</v>
      </c>
      <c r="C2386" s="1084" t="str">
        <f>'BewDifferenzen_Statut-Marktnah'!$B$1</f>
        <v>Differenzen zwischen statutarischer und marktnaher Bewertung</v>
      </c>
      <c r="D2386" s="1143" t="str">
        <f>'BewDifferenzen_Statut-Marktnah'!$D$57</f>
        <v>Übriges Anlagevermögen (Immaterielle Anlagen, Sachanlagen)</v>
      </c>
      <c r="E2386" s="1547" t="str">
        <f>'BewDifferenzen_Statut-Marktnah'!$E60</f>
        <v>dem Geschäft nach UVG zugeordnet</v>
      </c>
      <c r="F2386" s="1547" t="str">
        <f>'BewDifferenzen_Statut-Marktnah'!$M$4</f>
        <v>Bewertungs-differenzen zwischen statutarischem und marktnahem Wert</v>
      </c>
      <c r="G2386" s="1494"/>
      <c r="H2386" s="1145">
        <f ca="1">'BewDifferenzen_Statut-Marktnah'!$M60</f>
        <v>0</v>
      </c>
      <c r="U2386" s="1027"/>
      <c r="V2386" s="1027"/>
      <c r="W2386" s="1027"/>
    </row>
    <row r="2387" spans="2:23" ht="12.75" customHeight="1" x14ac:dyDescent="0.2">
      <c r="B2387" s="1083"/>
      <c r="C2387" s="1084"/>
      <c r="D2387" s="1143"/>
      <c r="E2387" s="1547"/>
      <c r="F2387" s="1547"/>
      <c r="G2387" s="1494"/>
      <c r="H2387" s="1061"/>
      <c r="U2387" s="1027"/>
      <c r="V2387" s="1027"/>
      <c r="W2387" s="1027"/>
    </row>
    <row r="2388" spans="2:23" ht="12.75" customHeight="1" x14ac:dyDescent="0.2">
      <c r="B2388" s="1083">
        <f>'BewDifferenzen_Statut-Marktnah'!$A$1</f>
        <v>42</v>
      </c>
      <c r="C2388" s="1084" t="str">
        <f>'BewDifferenzen_Statut-Marktnah'!$B$1</f>
        <v>Differenzen zwischen statutarischer und marktnaher Bewertung</v>
      </c>
      <c r="D2388" s="1143" t="str">
        <f>'BewDifferenzen_Statut-Marktnah'!$D$62</f>
        <v>Umlaufvermögen</v>
      </c>
      <c r="E2388" s="1494"/>
      <c r="F2388" s="1547" t="str">
        <f>'BewDifferenzen_Statut-Marktnah'!$M$4</f>
        <v>Bewertungs-differenzen zwischen statutarischem und marktnahem Wert</v>
      </c>
      <c r="G2388" s="1494"/>
      <c r="H2388" s="1062">
        <f ca="1">'BewDifferenzen_Statut-Marktnah'!$M62</f>
        <v>0</v>
      </c>
      <c r="U2388" s="1027"/>
      <c r="V2388" s="1027"/>
      <c r="W2388" s="1027"/>
    </row>
    <row r="2389" spans="2:23" ht="12.75" customHeight="1" x14ac:dyDescent="0.2">
      <c r="B2389" s="1083">
        <f>'BewDifferenzen_Statut-Marktnah'!$A$1</f>
        <v>42</v>
      </c>
      <c r="C2389" s="1084" t="str">
        <f>'BewDifferenzen_Statut-Marktnah'!$B$1</f>
        <v>Differenzen zwischen statutarischer und marktnaher Bewertung</v>
      </c>
      <c r="D2389" s="1143" t="str">
        <f>'BewDifferenzen_Statut-Marktnah'!$D$62</f>
        <v>Umlaufvermögen</v>
      </c>
      <c r="E2389" s="1547" t="str">
        <f>'BewDifferenzen_Statut-Marktnah'!$E63</f>
        <v>dem Geschäft nach KVG zugeordnet</v>
      </c>
      <c r="F2389" s="1547" t="str">
        <f>'BewDifferenzen_Statut-Marktnah'!$M$4</f>
        <v>Bewertungs-differenzen zwischen statutarischem und marktnahem Wert</v>
      </c>
      <c r="G2389" s="1494"/>
      <c r="H2389" s="1145">
        <f ca="1">'BewDifferenzen_Statut-Marktnah'!$M63</f>
        <v>0</v>
      </c>
      <c r="U2389" s="1027"/>
      <c r="V2389" s="1027"/>
      <c r="W2389" s="1027"/>
    </row>
    <row r="2390" spans="2:23" ht="12.75" customHeight="1" x14ac:dyDescent="0.2">
      <c r="B2390" s="1083">
        <f>'BewDifferenzen_Statut-Marktnah'!$A$1</f>
        <v>42</v>
      </c>
      <c r="C2390" s="1084" t="str">
        <f>'BewDifferenzen_Statut-Marktnah'!$B$1</f>
        <v>Differenzen zwischen statutarischer und marktnaher Bewertung</v>
      </c>
      <c r="D2390" s="1143" t="str">
        <f>'BewDifferenzen_Statut-Marktnah'!$D$62</f>
        <v>Umlaufvermögen</v>
      </c>
      <c r="E2390" s="1547" t="str">
        <f>'BewDifferenzen_Statut-Marktnah'!$E64</f>
        <v>dem Geschäft nach VVG zugeordnet</v>
      </c>
      <c r="F2390" s="1547" t="str">
        <f>'BewDifferenzen_Statut-Marktnah'!$M$4</f>
        <v>Bewertungs-differenzen zwischen statutarischem und marktnahem Wert</v>
      </c>
      <c r="G2390" s="1494"/>
      <c r="H2390" s="1145">
        <f ca="1">'BewDifferenzen_Statut-Marktnah'!$M64</f>
        <v>0</v>
      </c>
      <c r="U2390" s="1027"/>
      <c r="V2390" s="1027"/>
      <c r="W2390" s="1027"/>
    </row>
    <row r="2391" spans="2:23" ht="12.75" customHeight="1" x14ac:dyDescent="0.2">
      <c r="B2391" s="1083">
        <f>'BewDifferenzen_Statut-Marktnah'!$A$1</f>
        <v>42</v>
      </c>
      <c r="C2391" s="1084" t="str">
        <f>'BewDifferenzen_Statut-Marktnah'!$B$1</f>
        <v>Differenzen zwischen statutarischer und marktnaher Bewertung</v>
      </c>
      <c r="D2391" s="1143" t="str">
        <f>'BewDifferenzen_Statut-Marktnah'!$D$62</f>
        <v>Umlaufvermögen</v>
      </c>
      <c r="E2391" s="1547" t="str">
        <f>'BewDifferenzen_Statut-Marktnah'!$E65</f>
        <v>dem Geschäft nach UVG zugeordnet</v>
      </c>
      <c r="F2391" s="1547" t="str">
        <f>'BewDifferenzen_Statut-Marktnah'!$M$4</f>
        <v>Bewertungs-differenzen zwischen statutarischem und marktnahem Wert</v>
      </c>
      <c r="G2391" s="1494"/>
      <c r="H2391" s="1145">
        <f ca="1">'BewDifferenzen_Statut-Marktnah'!$M65</f>
        <v>0</v>
      </c>
      <c r="U2391" s="1027"/>
      <c r="V2391" s="1027"/>
      <c r="W2391" s="1027"/>
    </row>
    <row r="2392" spans="2:23" ht="12.75" customHeight="1" x14ac:dyDescent="0.2">
      <c r="B2392" s="1083"/>
      <c r="C2392" s="1084"/>
      <c r="D2392" s="1143"/>
      <c r="E2392" s="1547"/>
      <c r="F2392" s="1547"/>
      <c r="G2392" s="1494"/>
      <c r="H2392" s="1061"/>
      <c r="U2392" s="1027"/>
      <c r="V2392" s="1027"/>
      <c r="W2392" s="1027"/>
    </row>
    <row r="2393" spans="2:23" ht="12.75" customHeight="1" x14ac:dyDescent="0.2">
      <c r="B2393" s="1083">
        <f>'BewDifferenzen_Statut-Marktnah'!$A$1</f>
        <v>42</v>
      </c>
      <c r="C2393" s="1084" t="str">
        <f>'BewDifferenzen_Statut-Marktnah'!$B$1</f>
        <v>Differenzen zwischen statutarischer und marktnaher Bewertung</v>
      </c>
      <c r="D2393" s="1143" t="str">
        <f>'BewDifferenzen_Statut-Marktnah'!$D$67</f>
        <v>Total übrige Aktiven</v>
      </c>
      <c r="E2393" s="1494"/>
      <c r="F2393" s="1547" t="str">
        <f>'BewDifferenzen_Statut-Marktnah'!$M$4</f>
        <v>Bewertungs-differenzen zwischen statutarischem und marktnahem Wert</v>
      </c>
      <c r="G2393" s="1494"/>
      <c r="H2393" s="1065">
        <f ca="1">'BewDifferenzen_Statut-Marktnah'!$M67</f>
        <v>0</v>
      </c>
      <c r="U2393" s="1027"/>
      <c r="V2393" s="1027"/>
      <c r="W2393" s="1027"/>
    </row>
    <row r="2394" spans="2:23" ht="12.75" customHeight="1" x14ac:dyDescent="0.2">
      <c r="B2394" s="1083"/>
      <c r="C2394" s="1084"/>
      <c r="D2394" s="1143"/>
      <c r="E2394" s="1547"/>
      <c r="F2394" s="1547"/>
      <c r="G2394" s="1494"/>
      <c r="H2394" s="1061"/>
      <c r="U2394" s="1027"/>
      <c r="V2394" s="1027"/>
      <c r="W2394" s="1027"/>
    </row>
    <row r="2395" spans="2:23" ht="12.75" customHeight="1" x14ac:dyDescent="0.2">
      <c r="B2395" s="1083">
        <f>'BewDifferenzen_Statut-Marktnah'!$A$1</f>
        <v>42</v>
      </c>
      <c r="C2395" s="1084" t="str">
        <f>'BewDifferenzen_Statut-Marktnah'!$B$1</f>
        <v>Differenzen zwischen statutarischer und marktnaher Bewertung</v>
      </c>
      <c r="D2395" s="1143" t="str">
        <f>'BewDifferenzen_Statut-Marktnah'!$C$69</f>
        <v>Total Aktiven</v>
      </c>
      <c r="E2395" s="1547"/>
      <c r="F2395" s="1547" t="str">
        <f>'BewDifferenzen_Statut-Marktnah'!$M$4</f>
        <v>Bewertungs-differenzen zwischen statutarischem und marktnahem Wert</v>
      </c>
      <c r="G2395" s="1494"/>
      <c r="H2395" s="1065">
        <f ca="1">'BewDifferenzen_Statut-Marktnah'!$M69</f>
        <v>0</v>
      </c>
      <c r="U2395" s="1027"/>
      <c r="V2395" s="1027"/>
      <c r="W2395" s="1027"/>
    </row>
    <row r="2396" spans="2:23" ht="12.75" customHeight="1" x14ac:dyDescent="0.2">
      <c r="B2396" s="1083"/>
      <c r="C2396" s="1084"/>
      <c r="D2396" s="1143"/>
      <c r="E2396" s="1547"/>
      <c r="F2396" s="1547"/>
      <c r="G2396" s="1494"/>
      <c r="H2396" s="1061"/>
      <c r="U2396" s="1027"/>
      <c r="V2396" s="1027"/>
      <c r="W2396" s="1027"/>
    </row>
    <row r="2397" spans="2:23" ht="12.75" customHeight="1" x14ac:dyDescent="0.2">
      <c r="B2397" s="1083"/>
      <c r="C2397" s="1084"/>
      <c r="D2397" s="1143"/>
      <c r="E2397" s="1547"/>
      <c r="F2397" s="1547"/>
      <c r="G2397" s="1494"/>
      <c r="H2397" s="1061"/>
      <c r="U2397" s="1027"/>
      <c r="V2397" s="1027"/>
      <c r="W2397" s="1027"/>
    </row>
    <row r="2398" spans="2:23" ht="12.75" customHeight="1" x14ac:dyDescent="0.2">
      <c r="B2398" s="1083">
        <f>'BewDifferenzen_Statut-Marktnah'!$A$1</f>
        <v>42</v>
      </c>
      <c r="C2398" s="1084" t="str">
        <f>'BewDifferenzen_Statut-Marktnah'!$B$1</f>
        <v>Differenzen zwischen statutarischer und marktnaher Bewertung</v>
      </c>
      <c r="D2398" s="1143" t="str">
        <f>'BewDifferenzen_Statut-Marktnah'!$D$74</f>
        <v>Leistungsrückstellungen</v>
      </c>
      <c r="E2398" s="1494"/>
      <c r="F2398" s="1547" t="str">
        <f>'BewDifferenzen_Statut-Marktnah'!$M$4</f>
        <v>Bewertungs-differenzen zwischen statutarischem und marktnahem Wert</v>
      </c>
      <c r="G2398" s="1494"/>
      <c r="H2398" s="1069">
        <f ca="1">'BewDifferenzen_Statut-Marktnah'!$M74</f>
        <v>0</v>
      </c>
      <c r="U2398" s="1027"/>
      <c r="V2398" s="1027"/>
      <c r="W2398" s="1027"/>
    </row>
    <row r="2399" spans="2:23" ht="12.75" customHeight="1" x14ac:dyDescent="0.2">
      <c r="B2399" s="1083">
        <f>'BewDifferenzen_Statut-Marktnah'!$A$1</f>
        <v>42</v>
      </c>
      <c r="C2399" s="1084" t="str">
        <f>'BewDifferenzen_Statut-Marktnah'!$B$1</f>
        <v>Differenzen zwischen statutarischer und marktnaher Bewertung</v>
      </c>
      <c r="D2399" s="1143" t="str">
        <f>'BewDifferenzen_Statut-Marktnah'!$D$74</f>
        <v>Leistungsrückstellungen</v>
      </c>
      <c r="E2399" s="1547" t="str">
        <f>'BewDifferenzen_Statut-Marktnah'!$E75</f>
        <v>Obligatorische Krankenpflegeversicherung</v>
      </c>
      <c r="F2399" s="1547" t="str">
        <f>'BewDifferenzen_Statut-Marktnah'!$M$4</f>
        <v>Bewertungs-differenzen zwischen statutarischem und marktnahem Wert</v>
      </c>
      <c r="G2399" s="1494"/>
      <c r="H2399" s="1145">
        <f ca="1">'BewDifferenzen_Statut-Marktnah'!$M75</f>
        <v>0</v>
      </c>
      <c r="U2399" s="1027"/>
      <c r="V2399" s="1027"/>
      <c r="W2399" s="1027"/>
    </row>
    <row r="2400" spans="2:23" ht="12.75" customHeight="1" x14ac:dyDescent="0.2">
      <c r="B2400" s="1083">
        <f>'BewDifferenzen_Statut-Marktnah'!$A$1</f>
        <v>42</v>
      </c>
      <c r="C2400" s="1084" t="str">
        <f>'BewDifferenzen_Statut-Marktnah'!$B$1</f>
        <v>Differenzen zwischen statutarischer und marktnaher Bewertung</v>
      </c>
      <c r="D2400" s="1143" t="str">
        <f>'BewDifferenzen_Statut-Marktnah'!$D$74</f>
        <v>Leistungsrückstellungen</v>
      </c>
      <c r="E2400" s="1547" t="str">
        <f>'BewDifferenzen_Statut-Marktnah'!$E76</f>
        <v>Einzel-Taggeldversicherung nach KVG</v>
      </c>
      <c r="F2400" s="1547" t="str">
        <f>'BewDifferenzen_Statut-Marktnah'!$M$4</f>
        <v>Bewertungs-differenzen zwischen statutarischem und marktnahem Wert</v>
      </c>
      <c r="G2400" s="1494"/>
      <c r="H2400" s="1145">
        <f ca="1">'BewDifferenzen_Statut-Marktnah'!$M76</f>
        <v>0</v>
      </c>
      <c r="U2400" s="1027"/>
      <c r="V2400" s="1027"/>
      <c r="W2400" s="1027"/>
    </row>
    <row r="2401" spans="2:23" ht="12.75" customHeight="1" x14ac:dyDescent="0.2">
      <c r="B2401" s="1083">
        <f>'BewDifferenzen_Statut-Marktnah'!$A$1</f>
        <v>42</v>
      </c>
      <c r="C2401" s="1084" t="str">
        <f>'BewDifferenzen_Statut-Marktnah'!$B$1</f>
        <v>Differenzen zwischen statutarischer und marktnaher Bewertung</v>
      </c>
      <c r="D2401" s="1143" t="str">
        <f>'BewDifferenzen_Statut-Marktnah'!$D$74</f>
        <v>Leistungsrückstellungen</v>
      </c>
      <c r="E2401" s="1547" t="str">
        <f>'BewDifferenzen_Statut-Marktnah'!$E77</f>
        <v>Kollektiv-Taggeldversicherung nach KVG</v>
      </c>
      <c r="F2401" s="1547" t="str">
        <f>'BewDifferenzen_Statut-Marktnah'!$M$4</f>
        <v>Bewertungs-differenzen zwischen statutarischem und marktnahem Wert</v>
      </c>
      <c r="G2401" s="1494"/>
      <c r="H2401" s="1145">
        <f ca="1">'BewDifferenzen_Statut-Marktnah'!$M77</f>
        <v>0</v>
      </c>
      <c r="U2401" s="1027"/>
      <c r="V2401" s="1027"/>
      <c r="W2401" s="1027"/>
    </row>
    <row r="2402" spans="2:23" ht="12.75" customHeight="1" x14ac:dyDescent="0.2">
      <c r="B2402" s="1083">
        <f>'BewDifferenzen_Statut-Marktnah'!$A$1</f>
        <v>42</v>
      </c>
      <c r="C2402" s="1084" t="str">
        <f>'BewDifferenzen_Statut-Marktnah'!$B$1</f>
        <v>Differenzen zwischen statutarischer und marktnaher Bewertung</v>
      </c>
      <c r="D2402" s="1143" t="str">
        <f>'BewDifferenzen_Statut-Marktnah'!$D$74</f>
        <v>Leistungsrückstellungen</v>
      </c>
      <c r="E2402" s="1547" t="str">
        <f>'BewDifferenzen_Statut-Marktnah'!$E78</f>
        <v>Aktive Rückversicherung nach KVG</v>
      </c>
      <c r="F2402" s="1547" t="str">
        <f>'BewDifferenzen_Statut-Marktnah'!$M$4</f>
        <v>Bewertungs-differenzen zwischen statutarischem und marktnahem Wert</v>
      </c>
      <c r="G2402" s="1494"/>
      <c r="H2402" s="1145">
        <f ca="1">'BewDifferenzen_Statut-Marktnah'!$M78</f>
        <v>0</v>
      </c>
      <c r="U2402" s="1027"/>
      <c r="V2402" s="1027"/>
      <c r="W2402" s="1027"/>
    </row>
    <row r="2403" spans="2:23" ht="12.75" customHeight="1" x14ac:dyDescent="0.2">
      <c r="B2403" s="1083">
        <f>'BewDifferenzen_Statut-Marktnah'!$A$1</f>
        <v>42</v>
      </c>
      <c r="C2403" s="1084" t="str">
        <f>'BewDifferenzen_Statut-Marktnah'!$B$1</f>
        <v>Differenzen zwischen statutarischer und marktnaher Bewertung</v>
      </c>
      <c r="D2403" s="1143" t="str">
        <f>'BewDifferenzen_Statut-Marktnah'!$D$74</f>
        <v>Leistungsrückstellungen</v>
      </c>
      <c r="E2403" s="1547" t="str">
        <f>'BewDifferenzen_Statut-Marktnah'!$E79</f>
        <v>dem Geschäft nach VVG zugeordnet</v>
      </c>
      <c r="F2403" s="1547" t="str">
        <f>'BewDifferenzen_Statut-Marktnah'!$M$4</f>
        <v>Bewertungs-differenzen zwischen statutarischem und marktnahem Wert</v>
      </c>
      <c r="G2403" s="1494"/>
      <c r="H2403" s="1145">
        <f ca="1">'BewDifferenzen_Statut-Marktnah'!$M79</f>
        <v>0</v>
      </c>
      <c r="U2403" s="1027"/>
      <c r="V2403" s="1027"/>
      <c r="W2403" s="1027"/>
    </row>
    <row r="2404" spans="2:23" ht="12.75" customHeight="1" x14ac:dyDescent="0.2">
      <c r="B2404" s="1083">
        <f>'BewDifferenzen_Statut-Marktnah'!$A$1</f>
        <v>42</v>
      </c>
      <c r="C2404" s="1084" t="str">
        <f>'BewDifferenzen_Statut-Marktnah'!$B$1</f>
        <v>Differenzen zwischen statutarischer und marktnaher Bewertung</v>
      </c>
      <c r="D2404" s="1143" t="str">
        <f>'BewDifferenzen_Statut-Marktnah'!$D$74</f>
        <v>Leistungsrückstellungen</v>
      </c>
      <c r="E2404" s="1547" t="str">
        <f>'BewDifferenzen_Statut-Marktnah'!$E80</f>
        <v>dem Geschäft nach UVG zugeordnet</v>
      </c>
      <c r="F2404" s="1547" t="str">
        <f>'BewDifferenzen_Statut-Marktnah'!$M$4</f>
        <v>Bewertungs-differenzen zwischen statutarischem und marktnahem Wert</v>
      </c>
      <c r="G2404" s="1494"/>
      <c r="H2404" s="1145">
        <f ca="1">'BewDifferenzen_Statut-Marktnah'!$M80</f>
        <v>0</v>
      </c>
      <c r="U2404" s="1027"/>
      <c r="V2404" s="1027"/>
      <c r="W2404" s="1027"/>
    </row>
    <row r="2405" spans="2:23" ht="12.75" customHeight="1" x14ac:dyDescent="0.2">
      <c r="B2405" s="1083"/>
      <c r="C2405" s="1084"/>
      <c r="D2405" s="1143"/>
      <c r="E2405" s="1547"/>
      <c r="F2405" s="1547"/>
      <c r="G2405" s="1494"/>
      <c r="H2405" s="1061"/>
      <c r="U2405" s="1027"/>
      <c r="V2405" s="1027"/>
      <c r="W2405" s="1027"/>
    </row>
    <row r="2406" spans="2:23" ht="12.75" customHeight="1" x14ac:dyDescent="0.2">
      <c r="B2406" s="1083">
        <f>'BewDifferenzen_Statut-Marktnah'!$A$1</f>
        <v>42</v>
      </c>
      <c r="C2406" s="1084" t="str">
        <f>'BewDifferenzen_Statut-Marktnah'!$B$1</f>
        <v>Differenzen zwischen statutarischer und marktnaher Bewertung</v>
      </c>
      <c r="D2406" s="1143" t="str">
        <f>'BewDifferenzen_Statut-Marktnah'!$D$82</f>
        <v>Alterungsrückstellungen und Deckungskapitalien</v>
      </c>
      <c r="E2406" s="1494"/>
      <c r="F2406" s="1547" t="str">
        <f>'BewDifferenzen_Statut-Marktnah'!$M$4</f>
        <v>Bewertungs-differenzen zwischen statutarischem und marktnahem Wert</v>
      </c>
      <c r="G2406" s="1494"/>
      <c r="H2406" s="1069">
        <f ca="1">'BewDifferenzen_Statut-Marktnah'!$M82</f>
        <v>0</v>
      </c>
      <c r="U2406" s="1027"/>
      <c r="V2406" s="1027"/>
      <c r="W2406" s="1027"/>
    </row>
    <row r="2407" spans="2:23" ht="12.75" customHeight="1" x14ac:dyDescent="0.2">
      <c r="B2407" s="1083">
        <f>'BewDifferenzen_Statut-Marktnah'!$A$1</f>
        <v>42</v>
      </c>
      <c r="C2407" s="1084" t="str">
        <f>'BewDifferenzen_Statut-Marktnah'!$B$1</f>
        <v>Differenzen zwischen statutarischer und marktnaher Bewertung</v>
      </c>
      <c r="D2407" s="1143" t="str">
        <f>'BewDifferenzen_Statut-Marktnah'!$D$82</f>
        <v>Alterungsrückstellungen und Deckungskapitalien</v>
      </c>
      <c r="E2407" s="1547" t="str">
        <f>'BewDifferenzen_Statut-Marktnah'!$E83</f>
        <v>Obligatorische Krankenpflegeversicherung</v>
      </c>
      <c r="F2407" s="1547" t="str">
        <f>'BewDifferenzen_Statut-Marktnah'!$M$4</f>
        <v>Bewertungs-differenzen zwischen statutarischem und marktnahem Wert</v>
      </c>
      <c r="G2407" s="1494"/>
      <c r="H2407" s="1145">
        <f ca="1">'BewDifferenzen_Statut-Marktnah'!$M83</f>
        <v>0</v>
      </c>
      <c r="U2407" s="1027"/>
      <c r="V2407" s="1027"/>
      <c r="W2407" s="1027"/>
    </row>
    <row r="2408" spans="2:23" ht="12.75" customHeight="1" x14ac:dyDescent="0.2">
      <c r="B2408" s="1083">
        <f>'BewDifferenzen_Statut-Marktnah'!$A$1</f>
        <v>42</v>
      </c>
      <c r="C2408" s="1084" t="str">
        <f>'BewDifferenzen_Statut-Marktnah'!$B$1</f>
        <v>Differenzen zwischen statutarischer und marktnaher Bewertung</v>
      </c>
      <c r="D2408" s="1143" t="str">
        <f>'BewDifferenzen_Statut-Marktnah'!$D$82</f>
        <v>Alterungsrückstellungen und Deckungskapitalien</v>
      </c>
      <c r="E2408" s="1547" t="str">
        <f>'BewDifferenzen_Statut-Marktnah'!$E84</f>
        <v>Einzel-Taggeldversicherung nach KVG</v>
      </c>
      <c r="F2408" s="1547" t="str">
        <f>'BewDifferenzen_Statut-Marktnah'!$M$4</f>
        <v>Bewertungs-differenzen zwischen statutarischem und marktnahem Wert</v>
      </c>
      <c r="G2408" s="1494"/>
      <c r="H2408" s="1145">
        <f ca="1">'BewDifferenzen_Statut-Marktnah'!$M84</f>
        <v>0</v>
      </c>
      <c r="U2408" s="1027"/>
      <c r="V2408" s="1027"/>
      <c r="W2408" s="1027"/>
    </row>
    <row r="2409" spans="2:23" ht="12.75" customHeight="1" x14ac:dyDescent="0.2">
      <c r="B2409" s="1083">
        <f>'BewDifferenzen_Statut-Marktnah'!$A$1</f>
        <v>42</v>
      </c>
      <c r="C2409" s="1084" t="str">
        <f>'BewDifferenzen_Statut-Marktnah'!$B$1</f>
        <v>Differenzen zwischen statutarischer und marktnaher Bewertung</v>
      </c>
      <c r="D2409" s="1143" t="str">
        <f>'BewDifferenzen_Statut-Marktnah'!$D$82</f>
        <v>Alterungsrückstellungen und Deckungskapitalien</v>
      </c>
      <c r="E2409" s="1547" t="str">
        <f>'BewDifferenzen_Statut-Marktnah'!$E85</f>
        <v>Kollektiv-Taggeldversicherung nach KVG</v>
      </c>
      <c r="F2409" s="1547" t="str">
        <f>'BewDifferenzen_Statut-Marktnah'!$M$4</f>
        <v>Bewertungs-differenzen zwischen statutarischem und marktnahem Wert</v>
      </c>
      <c r="G2409" s="1494"/>
      <c r="H2409" s="1145">
        <f ca="1">'BewDifferenzen_Statut-Marktnah'!$M85</f>
        <v>0</v>
      </c>
      <c r="U2409" s="1027"/>
      <c r="V2409" s="1027"/>
      <c r="W2409" s="1027"/>
    </row>
    <row r="2410" spans="2:23" ht="12.75" customHeight="1" x14ac:dyDescent="0.2">
      <c r="B2410" s="1083">
        <f>'BewDifferenzen_Statut-Marktnah'!$A$1</f>
        <v>42</v>
      </c>
      <c r="C2410" s="1084" t="str">
        <f>'BewDifferenzen_Statut-Marktnah'!$B$1</f>
        <v>Differenzen zwischen statutarischer und marktnaher Bewertung</v>
      </c>
      <c r="D2410" s="1143" t="str">
        <f>'BewDifferenzen_Statut-Marktnah'!$D$82</f>
        <v>Alterungsrückstellungen und Deckungskapitalien</v>
      </c>
      <c r="E2410" s="1547" t="str">
        <f>'BewDifferenzen_Statut-Marktnah'!$E86</f>
        <v>Aktive Rückversicherung nach KVG</v>
      </c>
      <c r="F2410" s="1547" t="str">
        <f>'BewDifferenzen_Statut-Marktnah'!$M$4</f>
        <v>Bewertungs-differenzen zwischen statutarischem und marktnahem Wert</v>
      </c>
      <c r="G2410" s="1494"/>
      <c r="H2410" s="1145">
        <f ca="1">'BewDifferenzen_Statut-Marktnah'!$M86</f>
        <v>0</v>
      </c>
      <c r="U2410" s="1027"/>
      <c r="V2410" s="1027"/>
      <c r="W2410" s="1027"/>
    </row>
    <row r="2411" spans="2:23" ht="12.75" customHeight="1" x14ac:dyDescent="0.2">
      <c r="B2411" s="1083">
        <f>'BewDifferenzen_Statut-Marktnah'!$A$1</f>
        <v>42</v>
      </c>
      <c r="C2411" s="1084" t="str">
        <f>'BewDifferenzen_Statut-Marktnah'!$B$1</f>
        <v>Differenzen zwischen statutarischer und marktnaher Bewertung</v>
      </c>
      <c r="D2411" s="1143" t="str">
        <f>'BewDifferenzen_Statut-Marktnah'!$D$82</f>
        <v>Alterungsrückstellungen und Deckungskapitalien</v>
      </c>
      <c r="E2411" s="1547" t="str">
        <f>'BewDifferenzen_Statut-Marktnah'!$E87</f>
        <v>dem Geschäft nach VVG zugeordnet</v>
      </c>
      <c r="F2411" s="1547" t="str">
        <f>'BewDifferenzen_Statut-Marktnah'!$M$4</f>
        <v>Bewertungs-differenzen zwischen statutarischem und marktnahem Wert</v>
      </c>
      <c r="G2411" s="1494"/>
      <c r="H2411" s="1145">
        <f ca="1">'BewDifferenzen_Statut-Marktnah'!$M87</f>
        <v>0</v>
      </c>
      <c r="U2411" s="1027"/>
      <c r="V2411" s="1027"/>
      <c r="W2411" s="1027"/>
    </row>
    <row r="2412" spans="2:23" ht="12.75" customHeight="1" x14ac:dyDescent="0.2">
      <c r="B2412" s="1083">
        <f>'BewDifferenzen_Statut-Marktnah'!$A$1</f>
        <v>42</v>
      </c>
      <c r="C2412" s="1084" t="str">
        <f>'BewDifferenzen_Statut-Marktnah'!$B$1</f>
        <v>Differenzen zwischen statutarischer und marktnaher Bewertung</v>
      </c>
      <c r="D2412" s="1143" t="str">
        <f>'BewDifferenzen_Statut-Marktnah'!$D$82</f>
        <v>Alterungsrückstellungen und Deckungskapitalien</v>
      </c>
      <c r="E2412" s="1547" t="str">
        <f>'BewDifferenzen_Statut-Marktnah'!$E88</f>
        <v>dem Geschäft nach UVG zugeordnet</v>
      </c>
      <c r="F2412" s="1547" t="str">
        <f>'BewDifferenzen_Statut-Marktnah'!$M$4</f>
        <v>Bewertungs-differenzen zwischen statutarischem und marktnahem Wert</v>
      </c>
      <c r="G2412" s="1494"/>
      <c r="H2412" s="1145">
        <f ca="1">'BewDifferenzen_Statut-Marktnah'!$M88</f>
        <v>0</v>
      </c>
      <c r="U2412" s="1027"/>
      <c r="V2412" s="1027"/>
      <c r="W2412" s="1027"/>
    </row>
    <row r="2413" spans="2:23" ht="12.75" customHeight="1" x14ac:dyDescent="0.2">
      <c r="B2413" s="1083"/>
      <c r="C2413" s="1084"/>
      <c r="D2413" s="1143"/>
      <c r="E2413" s="1547"/>
      <c r="F2413" s="1547"/>
      <c r="G2413" s="1494"/>
      <c r="H2413" s="1061"/>
      <c r="U2413" s="1027"/>
      <c r="V2413" s="1027"/>
      <c r="W2413" s="1027"/>
    </row>
    <row r="2414" spans="2:23" ht="12.75" customHeight="1" x14ac:dyDescent="0.2">
      <c r="B2414" s="1083">
        <f>'BewDifferenzen_Statut-Marktnah'!$A$1</f>
        <v>42</v>
      </c>
      <c r="C2414" s="1084" t="str">
        <f>'BewDifferenzen_Statut-Marktnah'!$B$1</f>
        <v>Differenzen zwischen statutarischer und marktnaher Bewertung</v>
      </c>
      <c r="D2414" s="1143" t="str">
        <f>'BewDifferenzen_Statut-Marktnah'!$D$90</f>
        <v>Sonstige technische Rückstellungen</v>
      </c>
      <c r="E2414" s="1494"/>
      <c r="F2414" s="1547" t="str">
        <f>'BewDifferenzen_Statut-Marktnah'!$M$4</f>
        <v>Bewertungs-differenzen zwischen statutarischem und marktnahem Wert</v>
      </c>
      <c r="G2414" s="1494"/>
      <c r="H2414" s="1069">
        <f ca="1">'BewDifferenzen_Statut-Marktnah'!$M90</f>
        <v>0</v>
      </c>
      <c r="U2414" s="1027"/>
      <c r="V2414" s="1027"/>
      <c r="W2414" s="1027"/>
    </row>
    <row r="2415" spans="2:23" ht="12.75" customHeight="1" x14ac:dyDescent="0.2">
      <c r="B2415" s="1083">
        <f>'BewDifferenzen_Statut-Marktnah'!$A$1</f>
        <v>42</v>
      </c>
      <c r="C2415" s="1084" t="str">
        <f>'BewDifferenzen_Statut-Marktnah'!$B$1</f>
        <v>Differenzen zwischen statutarischer und marktnaher Bewertung</v>
      </c>
      <c r="D2415" s="1143" t="str">
        <f>'BewDifferenzen_Statut-Marktnah'!$D$90</f>
        <v>Sonstige technische Rückstellungen</v>
      </c>
      <c r="E2415" s="1547" t="str">
        <f>'BewDifferenzen_Statut-Marktnah'!$E91</f>
        <v>Obligatorische Krankenpflegeversicherung</v>
      </c>
      <c r="F2415" s="1547" t="str">
        <f>'BewDifferenzen_Statut-Marktnah'!$M$4</f>
        <v>Bewertungs-differenzen zwischen statutarischem und marktnahem Wert</v>
      </c>
      <c r="G2415" s="1494"/>
      <c r="H2415" s="1145">
        <f ca="1">'BewDifferenzen_Statut-Marktnah'!$M91</f>
        <v>0</v>
      </c>
      <c r="U2415" s="1027"/>
      <c r="V2415" s="1027"/>
      <c r="W2415" s="1027"/>
    </row>
    <row r="2416" spans="2:23" ht="12.75" customHeight="1" x14ac:dyDescent="0.2">
      <c r="B2416" s="1083">
        <f>'BewDifferenzen_Statut-Marktnah'!$A$1</f>
        <v>42</v>
      </c>
      <c r="C2416" s="1084" t="str">
        <f>'BewDifferenzen_Statut-Marktnah'!$B$1</f>
        <v>Differenzen zwischen statutarischer und marktnaher Bewertung</v>
      </c>
      <c r="D2416" s="1143" t="str">
        <f>'BewDifferenzen_Statut-Marktnah'!$D$90</f>
        <v>Sonstige technische Rückstellungen</v>
      </c>
      <c r="E2416" s="1547" t="str">
        <f>'BewDifferenzen_Statut-Marktnah'!$E92</f>
        <v>Einzel-Taggeldversicherung nach KVG</v>
      </c>
      <c r="F2416" s="1547" t="str">
        <f>'BewDifferenzen_Statut-Marktnah'!$M$4</f>
        <v>Bewertungs-differenzen zwischen statutarischem und marktnahem Wert</v>
      </c>
      <c r="G2416" s="1494"/>
      <c r="H2416" s="1145">
        <f ca="1">'BewDifferenzen_Statut-Marktnah'!$M92</f>
        <v>0</v>
      </c>
      <c r="U2416" s="1027"/>
      <c r="V2416" s="1027"/>
      <c r="W2416" s="1027"/>
    </row>
    <row r="2417" spans="2:23" ht="12.75" customHeight="1" x14ac:dyDescent="0.2">
      <c r="B2417" s="1083">
        <f>'BewDifferenzen_Statut-Marktnah'!$A$1</f>
        <v>42</v>
      </c>
      <c r="C2417" s="1084" t="str">
        <f>'BewDifferenzen_Statut-Marktnah'!$B$1</f>
        <v>Differenzen zwischen statutarischer und marktnaher Bewertung</v>
      </c>
      <c r="D2417" s="1143" t="str">
        <f>'BewDifferenzen_Statut-Marktnah'!$D$90</f>
        <v>Sonstige technische Rückstellungen</v>
      </c>
      <c r="E2417" s="1547" t="str">
        <f>'BewDifferenzen_Statut-Marktnah'!$E93</f>
        <v>Kollektiv-Taggeldversicherung nach KVG</v>
      </c>
      <c r="F2417" s="1547" t="str">
        <f>'BewDifferenzen_Statut-Marktnah'!$M$4</f>
        <v>Bewertungs-differenzen zwischen statutarischem und marktnahem Wert</v>
      </c>
      <c r="G2417" s="1494"/>
      <c r="H2417" s="1145">
        <f ca="1">'BewDifferenzen_Statut-Marktnah'!$M93</f>
        <v>0</v>
      </c>
      <c r="U2417" s="1027"/>
      <c r="V2417" s="1027"/>
      <c r="W2417" s="1027"/>
    </row>
    <row r="2418" spans="2:23" ht="12.75" customHeight="1" x14ac:dyDescent="0.2">
      <c r="B2418" s="1083">
        <f>'BewDifferenzen_Statut-Marktnah'!$A$1</f>
        <v>42</v>
      </c>
      <c r="C2418" s="1084" t="str">
        <f>'BewDifferenzen_Statut-Marktnah'!$B$1</f>
        <v>Differenzen zwischen statutarischer und marktnaher Bewertung</v>
      </c>
      <c r="D2418" s="1143" t="str">
        <f>'BewDifferenzen_Statut-Marktnah'!$D$90</f>
        <v>Sonstige technische Rückstellungen</v>
      </c>
      <c r="E2418" s="1547" t="str">
        <f>'BewDifferenzen_Statut-Marktnah'!$E94</f>
        <v>Aktive Rückversicherung nach KVG</v>
      </c>
      <c r="F2418" s="1547" t="str">
        <f>'BewDifferenzen_Statut-Marktnah'!$M$4</f>
        <v>Bewertungs-differenzen zwischen statutarischem und marktnahem Wert</v>
      </c>
      <c r="G2418" s="1494"/>
      <c r="H2418" s="1145">
        <f ca="1">'BewDifferenzen_Statut-Marktnah'!$M94</f>
        <v>0</v>
      </c>
      <c r="U2418" s="1027"/>
      <c r="V2418" s="1027"/>
      <c r="W2418" s="1027"/>
    </row>
    <row r="2419" spans="2:23" ht="12.75" customHeight="1" x14ac:dyDescent="0.2">
      <c r="B2419" s="1083">
        <f>'BewDifferenzen_Statut-Marktnah'!$A$1</f>
        <v>42</v>
      </c>
      <c r="C2419" s="1084" t="str">
        <f>'BewDifferenzen_Statut-Marktnah'!$B$1</f>
        <v>Differenzen zwischen statutarischer und marktnaher Bewertung</v>
      </c>
      <c r="D2419" s="1143" t="str">
        <f>'BewDifferenzen_Statut-Marktnah'!$D$90</f>
        <v>Sonstige technische Rückstellungen</v>
      </c>
      <c r="E2419" s="1547" t="str">
        <f>'BewDifferenzen_Statut-Marktnah'!$E95</f>
        <v>dem Geschäft nach VVG zugeordnet</v>
      </c>
      <c r="F2419" s="1547" t="str">
        <f>'BewDifferenzen_Statut-Marktnah'!$M$4</f>
        <v>Bewertungs-differenzen zwischen statutarischem und marktnahem Wert</v>
      </c>
      <c r="G2419" s="1494"/>
      <c r="H2419" s="1145">
        <f ca="1">'BewDifferenzen_Statut-Marktnah'!$M95</f>
        <v>0</v>
      </c>
      <c r="U2419" s="1027"/>
      <c r="V2419" s="1027"/>
      <c r="W2419" s="1027"/>
    </row>
    <row r="2420" spans="2:23" ht="12.75" customHeight="1" x14ac:dyDescent="0.2">
      <c r="B2420" s="1083">
        <f>'BewDifferenzen_Statut-Marktnah'!$A$1</f>
        <v>42</v>
      </c>
      <c r="C2420" s="1084" t="str">
        <f>'BewDifferenzen_Statut-Marktnah'!$B$1</f>
        <v>Differenzen zwischen statutarischer und marktnaher Bewertung</v>
      </c>
      <c r="D2420" s="1143" t="str">
        <f>'BewDifferenzen_Statut-Marktnah'!$D$90</f>
        <v>Sonstige technische Rückstellungen</v>
      </c>
      <c r="E2420" s="1547" t="str">
        <f>'BewDifferenzen_Statut-Marktnah'!$E96</f>
        <v>dem Geschäft nach UVG zugeordnet</v>
      </c>
      <c r="F2420" s="1547" t="str">
        <f>'BewDifferenzen_Statut-Marktnah'!$M$4</f>
        <v>Bewertungs-differenzen zwischen statutarischem und marktnahem Wert</v>
      </c>
      <c r="G2420" s="1494"/>
      <c r="H2420" s="1145">
        <f ca="1">'BewDifferenzen_Statut-Marktnah'!$M96</f>
        <v>0</v>
      </c>
      <c r="U2420" s="1027"/>
      <c r="V2420" s="1027"/>
      <c r="W2420" s="1027"/>
    </row>
    <row r="2421" spans="2:23" ht="12.75" customHeight="1" x14ac:dyDescent="0.2">
      <c r="B2421" s="1083"/>
      <c r="C2421" s="1084"/>
      <c r="D2421" s="1143"/>
      <c r="E2421" s="1547"/>
      <c r="F2421" s="1547"/>
      <c r="G2421" s="1494"/>
      <c r="H2421" s="1061"/>
      <c r="U2421" s="1027"/>
      <c r="V2421" s="1027"/>
      <c r="W2421" s="1027"/>
    </row>
    <row r="2422" spans="2:23" ht="12.75" customHeight="1" x14ac:dyDescent="0.2">
      <c r="B2422" s="1083">
        <f>'BewDifferenzen_Statut-Marktnah'!$A$1</f>
        <v>42</v>
      </c>
      <c r="C2422" s="1084" t="str">
        <f>'BewDifferenzen_Statut-Marktnah'!$B$1</f>
        <v>Differenzen zwischen statutarischer und marktnaher Bewertung</v>
      </c>
      <c r="D2422" s="1143" t="str">
        <f>'BewDifferenzen_Statut-Marktnah'!$D$98</f>
        <v>Schwankungs- und Sicherheitsrückstellungen</v>
      </c>
      <c r="E2422" s="1494"/>
      <c r="F2422" s="1547" t="str">
        <f>'BewDifferenzen_Statut-Marktnah'!$M$4</f>
        <v>Bewertungs-differenzen zwischen statutarischem und marktnahem Wert</v>
      </c>
      <c r="G2422" s="1494"/>
      <c r="H2422" s="1069">
        <f ca="1">'BewDifferenzen_Statut-Marktnah'!$M98</f>
        <v>0</v>
      </c>
      <c r="U2422" s="1027"/>
      <c r="V2422" s="1027"/>
      <c r="W2422" s="1027"/>
    </row>
    <row r="2423" spans="2:23" ht="12.75" customHeight="1" x14ac:dyDescent="0.2">
      <c r="B2423" s="1083">
        <f>'BewDifferenzen_Statut-Marktnah'!$A$1</f>
        <v>42</v>
      </c>
      <c r="C2423" s="1084" t="str">
        <f>'BewDifferenzen_Statut-Marktnah'!$B$1</f>
        <v>Differenzen zwischen statutarischer und marktnaher Bewertung</v>
      </c>
      <c r="D2423" s="1143" t="str">
        <f>'BewDifferenzen_Statut-Marktnah'!$D$98</f>
        <v>Schwankungs- und Sicherheitsrückstellungen</v>
      </c>
      <c r="E2423" s="1547" t="str">
        <f>'BewDifferenzen_Statut-Marktnah'!$E99</f>
        <v>Obligatorische Krankenpflegeversicherung</v>
      </c>
      <c r="F2423" s="1547" t="str">
        <f>'BewDifferenzen_Statut-Marktnah'!$M$4</f>
        <v>Bewertungs-differenzen zwischen statutarischem und marktnahem Wert</v>
      </c>
      <c r="G2423" s="1494"/>
      <c r="H2423" s="1145">
        <f ca="1">'BewDifferenzen_Statut-Marktnah'!$M99</f>
        <v>0</v>
      </c>
      <c r="U2423" s="1027"/>
      <c r="V2423" s="1027"/>
      <c r="W2423" s="1027"/>
    </row>
    <row r="2424" spans="2:23" ht="12.75" customHeight="1" x14ac:dyDescent="0.2">
      <c r="B2424" s="1083">
        <f>'BewDifferenzen_Statut-Marktnah'!$A$1</f>
        <v>42</v>
      </c>
      <c r="C2424" s="1084" t="str">
        <f>'BewDifferenzen_Statut-Marktnah'!$B$1</f>
        <v>Differenzen zwischen statutarischer und marktnaher Bewertung</v>
      </c>
      <c r="D2424" s="1143" t="str">
        <f>'BewDifferenzen_Statut-Marktnah'!$D$98</f>
        <v>Schwankungs- und Sicherheitsrückstellungen</v>
      </c>
      <c r="E2424" s="1547" t="str">
        <f>'BewDifferenzen_Statut-Marktnah'!$E100</f>
        <v>Einzel-Taggeldversicherung nach KVG</v>
      </c>
      <c r="F2424" s="1547" t="str">
        <f>'BewDifferenzen_Statut-Marktnah'!$M$4</f>
        <v>Bewertungs-differenzen zwischen statutarischem und marktnahem Wert</v>
      </c>
      <c r="G2424" s="1494"/>
      <c r="H2424" s="1145">
        <f ca="1">'BewDifferenzen_Statut-Marktnah'!$M100</f>
        <v>0</v>
      </c>
      <c r="U2424" s="1027"/>
      <c r="V2424" s="1027"/>
      <c r="W2424" s="1027"/>
    </row>
    <row r="2425" spans="2:23" ht="12.75" customHeight="1" x14ac:dyDescent="0.2">
      <c r="B2425" s="1083">
        <f>'BewDifferenzen_Statut-Marktnah'!$A$1</f>
        <v>42</v>
      </c>
      <c r="C2425" s="1084" t="str">
        <f>'BewDifferenzen_Statut-Marktnah'!$B$1</f>
        <v>Differenzen zwischen statutarischer und marktnaher Bewertung</v>
      </c>
      <c r="D2425" s="1143" t="str">
        <f>'BewDifferenzen_Statut-Marktnah'!$D$98</f>
        <v>Schwankungs- und Sicherheitsrückstellungen</v>
      </c>
      <c r="E2425" s="1547" t="str">
        <f>'BewDifferenzen_Statut-Marktnah'!$E101</f>
        <v>Kollektiv-Taggeldversicherung nach KVG</v>
      </c>
      <c r="F2425" s="1547" t="str">
        <f>'BewDifferenzen_Statut-Marktnah'!$M$4</f>
        <v>Bewertungs-differenzen zwischen statutarischem und marktnahem Wert</v>
      </c>
      <c r="G2425" s="1494"/>
      <c r="H2425" s="1145">
        <f ca="1">'BewDifferenzen_Statut-Marktnah'!$M101</f>
        <v>0</v>
      </c>
      <c r="U2425" s="1027"/>
      <c r="V2425" s="1027"/>
      <c r="W2425" s="1027"/>
    </row>
    <row r="2426" spans="2:23" ht="12.75" customHeight="1" x14ac:dyDescent="0.2">
      <c r="B2426" s="1083">
        <f>'BewDifferenzen_Statut-Marktnah'!$A$1</f>
        <v>42</v>
      </c>
      <c r="C2426" s="1084" t="str">
        <f>'BewDifferenzen_Statut-Marktnah'!$B$1</f>
        <v>Differenzen zwischen statutarischer und marktnaher Bewertung</v>
      </c>
      <c r="D2426" s="1143" t="str">
        <f>'BewDifferenzen_Statut-Marktnah'!$D$98</f>
        <v>Schwankungs- und Sicherheitsrückstellungen</v>
      </c>
      <c r="E2426" s="1547" t="str">
        <f>'BewDifferenzen_Statut-Marktnah'!$E102</f>
        <v>Aktive Rückversicherung nach KVG</v>
      </c>
      <c r="F2426" s="1547" t="str">
        <f>'BewDifferenzen_Statut-Marktnah'!$M$4</f>
        <v>Bewertungs-differenzen zwischen statutarischem und marktnahem Wert</v>
      </c>
      <c r="G2426" s="1494"/>
      <c r="H2426" s="1145">
        <f ca="1">'BewDifferenzen_Statut-Marktnah'!$M102</f>
        <v>0</v>
      </c>
      <c r="U2426" s="1027"/>
      <c r="V2426" s="1027"/>
      <c r="W2426" s="1027"/>
    </row>
    <row r="2427" spans="2:23" ht="12.75" customHeight="1" x14ac:dyDescent="0.2">
      <c r="B2427" s="1083">
        <f>'BewDifferenzen_Statut-Marktnah'!$A$1</f>
        <v>42</v>
      </c>
      <c r="C2427" s="1084" t="str">
        <f>'BewDifferenzen_Statut-Marktnah'!$B$1</f>
        <v>Differenzen zwischen statutarischer und marktnaher Bewertung</v>
      </c>
      <c r="D2427" s="1143" t="str">
        <f>'BewDifferenzen_Statut-Marktnah'!$D$98</f>
        <v>Schwankungs- und Sicherheitsrückstellungen</v>
      </c>
      <c r="E2427" s="1547" t="str">
        <f>'BewDifferenzen_Statut-Marktnah'!$E103</f>
        <v>dem Geschäft nach VVG zugeordnet</v>
      </c>
      <c r="F2427" s="1547" t="str">
        <f>'BewDifferenzen_Statut-Marktnah'!$M$4</f>
        <v>Bewertungs-differenzen zwischen statutarischem und marktnahem Wert</v>
      </c>
      <c r="G2427" s="1494"/>
      <c r="H2427" s="1145">
        <f ca="1">'BewDifferenzen_Statut-Marktnah'!$M103</f>
        <v>0</v>
      </c>
      <c r="U2427" s="1027"/>
      <c r="V2427" s="1027"/>
      <c r="W2427" s="1027"/>
    </row>
    <row r="2428" spans="2:23" ht="12.75" customHeight="1" x14ac:dyDescent="0.2">
      <c r="B2428" s="1083">
        <f>'BewDifferenzen_Statut-Marktnah'!$A$1</f>
        <v>42</v>
      </c>
      <c r="C2428" s="1084" t="str">
        <f>'BewDifferenzen_Statut-Marktnah'!$B$1</f>
        <v>Differenzen zwischen statutarischer und marktnaher Bewertung</v>
      </c>
      <c r="D2428" s="1143" t="str">
        <f>'BewDifferenzen_Statut-Marktnah'!$D$98</f>
        <v>Schwankungs- und Sicherheitsrückstellungen</v>
      </c>
      <c r="E2428" s="1547" t="str">
        <f>'BewDifferenzen_Statut-Marktnah'!$E104</f>
        <v>dem Geschäft nach UVG zugeordnet</v>
      </c>
      <c r="F2428" s="1547" t="str">
        <f>'BewDifferenzen_Statut-Marktnah'!$M$4</f>
        <v>Bewertungs-differenzen zwischen statutarischem und marktnahem Wert</v>
      </c>
      <c r="G2428" s="1494"/>
      <c r="H2428" s="1145">
        <f ca="1">'BewDifferenzen_Statut-Marktnah'!$M104</f>
        <v>0</v>
      </c>
      <c r="U2428" s="1027"/>
      <c r="V2428" s="1027"/>
      <c r="W2428" s="1027"/>
    </row>
    <row r="2429" spans="2:23" ht="12.75" customHeight="1" x14ac:dyDescent="0.2">
      <c r="B2429" s="1083"/>
      <c r="C2429" s="1084"/>
      <c r="D2429" s="1143"/>
      <c r="E2429" s="1547"/>
      <c r="F2429" s="1547"/>
      <c r="G2429" s="1494"/>
      <c r="H2429" s="1061"/>
      <c r="U2429" s="1027"/>
      <c r="V2429" s="1027"/>
      <c r="W2429" s="1027"/>
    </row>
    <row r="2430" spans="2:23" ht="12.75" customHeight="1" x14ac:dyDescent="0.2">
      <c r="B2430" s="1083">
        <f>'BewDifferenzen_Statut-Marktnah'!$A$1</f>
        <v>42</v>
      </c>
      <c r="C2430" s="1084" t="str">
        <f>'BewDifferenzen_Statut-Marktnah'!$B$1</f>
        <v>Differenzen zwischen statutarischer und marktnaher Bewertung</v>
      </c>
      <c r="D2430" s="1143" t="str">
        <f>'BewDifferenzen_Statut-Marktnah'!$D$106</f>
        <v>Total versicherungstechnische Rückstellungen</v>
      </c>
      <c r="E2430" s="1494"/>
      <c r="F2430" s="1547" t="str">
        <f>'BewDifferenzen_Statut-Marktnah'!$M$4</f>
        <v>Bewertungs-differenzen zwischen statutarischem und marktnahem Wert</v>
      </c>
      <c r="G2430" s="1494"/>
      <c r="H2430" s="1065">
        <f ca="1">'BewDifferenzen_Statut-Marktnah'!$M106</f>
        <v>0</v>
      </c>
      <c r="U2430" s="1027"/>
      <c r="V2430" s="1027"/>
      <c r="W2430" s="1027"/>
    </row>
    <row r="2431" spans="2:23" ht="12.75" customHeight="1" x14ac:dyDescent="0.2">
      <c r="B2431" s="1083"/>
      <c r="C2431" s="1084"/>
      <c r="D2431" s="1143"/>
      <c r="E2431" s="1547"/>
      <c r="F2431" s="1547"/>
      <c r="G2431" s="1494"/>
      <c r="H2431" s="1061"/>
      <c r="U2431" s="1027"/>
      <c r="V2431" s="1027"/>
      <c r="W2431" s="1027"/>
    </row>
    <row r="2432" spans="2:23" ht="12.75" customHeight="1" x14ac:dyDescent="0.2">
      <c r="B2432" s="1083">
        <f>'BewDifferenzen_Statut-Marktnah'!$A$1</f>
        <v>42</v>
      </c>
      <c r="C2432" s="1084" t="str">
        <f>'BewDifferenzen_Statut-Marktnah'!$B$1</f>
        <v>Differenzen zwischen statutarischer und marktnaher Bewertung</v>
      </c>
      <c r="D2432" s="1143" t="str">
        <f>'BewDifferenzen_Statut-Marktnah'!$D$111</f>
        <v>Nichtversicherungstechnische Rückstellungen</v>
      </c>
      <c r="E2432" s="1494"/>
      <c r="F2432" s="1547" t="str">
        <f>'BewDifferenzen_Statut-Marktnah'!$M$4</f>
        <v>Bewertungs-differenzen zwischen statutarischem und marktnahem Wert</v>
      </c>
      <c r="G2432" s="1494"/>
      <c r="H2432" s="1062">
        <f ca="1">'BewDifferenzen_Statut-Marktnah'!$M111</f>
        <v>0</v>
      </c>
      <c r="U2432" s="1027"/>
      <c r="V2432" s="1027"/>
      <c r="W2432" s="1027"/>
    </row>
    <row r="2433" spans="2:23" ht="12.75" customHeight="1" x14ac:dyDescent="0.2">
      <c r="B2433" s="1083">
        <f>'BewDifferenzen_Statut-Marktnah'!$A$1</f>
        <v>42</v>
      </c>
      <c r="C2433" s="1084" t="str">
        <f>'BewDifferenzen_Statut-Marktnah'!$B$1</f>
        <v>Differenzen zwischen statutarischer und marktnaher Bewertung</v>
      </c>
      <c r="D2433" s="1143" t="str">
        <f>'BewDifferenzen_Statut-Marktnah'!$D$111</f>
        <v>Nichtversicherungstechnische Rückstellungen</v>
      </c>
      <c r="E2433" s="1547" t="str">
        <f>'BewDifferenzen_Statut-Marktnah'!$E112</f>
        <v>dem Geschäft nach KVG zugeordnet</v>
      </c>
      <c r="F2433" s="1547" t="str">
        <f>'BewDifferenzen_Statut-Marktnah'!$M$4</f>
        <v>Bewertungs-differenzen zwischen statutarischem und marktnahem Wert</v>
      </c>
      <c r="G2433" s="1494"/>
      <c r="H2433" s="1145">
        <f ca="1">'BewDifferenzen_Statut-Marktnah'!$M112</f>
        <v>0</v>
      </c>
      <c r="U2433" s="1027"/>
      <c r="V2433" s="1027"/>
      <c r="W2433" s="1027"/>
    </row>
    <row r="2434" spans="2:23" ht="12.75" customHeight="1" x14ac:dyDescent="0.2">
      <c r="B2434" s="1083">
        <f>'BewDifferenzen_Statut-Marktnah'!$A$1</f>
        <v>42</v>
      </c>
      <c r="C2434" s="1084" t="str">
        <f>'BewDifferenzen_Statut-Marktnah'!$B$1</f>
        <v>Differenzen zwischen statutarischer und marktnaher Bewertung</v>
      </c>
      <c r="D2434" s="1143" t="str">
        <f>'BewDifferenzen_Statut-Marktnah'!$D$111</f>
        <v>Nichtversicherungstechnische Rückstellungen</v>
      </c>
      <c r="E2434" s="1547" t="str">
        <f>'BewDifferenzen_Statut-Marktnah'!$E113</f>
        <v>dem Geschäft nach VVG zugeordnet</v>
      </c>
      <c r="F2434" s="1547" t="str">
        <f>'BewDifferenzen_Statut-Marktnah'!$M$4</f>
        <v>Bewertungs-differenzen zwischen statutarischem und marktnahem Wert</v>
      </c>
      <c r="G2434" s="1494"/>
      <c r="H2434" s="1145">
        <f ca="1">'BewDifferenzen_Statut-Marktnah'!$M113</f>
        <v>0</v>
      </c>
      <c r="U2434" s="1027"/>
      <c r="V2434" s="1027"/>
      <c r="W2434" s="1027"/>
    </row>
    <row r="2435" spans="2:23" ht="12.75" customHeight="1" x14ac:dyDescent="0.2">
      <c r="B2435" s="1083">
        <f>'BewDifferenzen_Statut-Marktnah'!$A$1</f>
        <v>42</v>
      </c>
      <c r="C2435" s="1084" t="str">
        <f>'BewDifferenzen_Statut-Marktnah'!$B$1</f>
        <v>Differenzen zwischen statutarischer und marktnaher Bewertung</v>
      </c>
      <c r="D2435" s="1143" t="str">
        <f>'BewDifferenzen_Statut-Marktnah'!$D$111</f>
        <v>Nichtversicherungstechnische Rückstellungen</v>
      </c>
      <c r="E2435" s="1547" t="str">
        <f>'BewDifferenzen_Statut-Marktnah'!$E114</f>
        <v>dem Geschäft nach UVG zugeordnet</v>
      </c>
      <c r="F2435" s="1547" t="str">
        <f>'BewDifferenzen_Statut-Marktnah'!$M$4</f>
        <v>Bewertungs-differenzen zwischen statutarischem und marktnahem Wert</v>
      </c>
      <c r="G2435" s="1494"/>
      <c r="H2435" s="1145">
        <f ca="1">'BewDifferenzen_Statut-Marktnah'!$M114</f>
        <v>0</v>
      </c>
      <c r="U2435" s="1027"/>
      <c r="V2435" s="1027"/>
      <c r="W2435" s="1027"/>
    </row>
    <row r="2436" spans="2:23" ht="12.75" customHeight="1" x14ac:dyDescent="0.2">
      <c r="B2436" s="1083"/>
      <c r="C2436" s="1084"/>
      <c r="D2436" s="1143"/>
      <c r="E2436" s="1547"/>
      <c r="F2436" s="1547"/>
      <c r="G2436" s="1494"/>
      <c r="H2436" s="1061"/>
      <c r="U2436" s="1027"/>
      <c r="V2436" s="1027"/>
      <c r="W2436" s="1027"/>
    </row>
    <row r="2437" spans="2:23" ht="12.75" customHeight="1" x14ac:dyDescent="0.2">
      <c r="B2437" s="1083">
        <f>'BewDifferenzen_Statut-Marktnah'!$A$1</f>
        <v>42</v>
      </c>
      <c r="C2437" s="1084" t="str">
        <f>'BewDifferenzen_Statut-Marktnah'!$B$1</f>
        <v>Differenzen zwischen statutarischer und marktnaher Bewertung</v>
      </c>
      <c r="D2437" s="1143" t="str">
        <f>'BewDifferenzen_Statut-Marktnah'!$D$116</f>
        <v>Rückstellungen für Risiken in den Kapitalanlagen</v>
      </c>
      <c r="E2437" s="1494"/>
      <c r="F2437" s="1547" t="str">
        <f>'BewDifferenzen_Statut-Marktnah'!$M$4</f>
        <v>Bewertungs-differenzen zwischen statutarischem und marktnahem Wert</v>
      </c>
      <c r="G2437" s="1494"/>
      <c r="H2437" s="1062">
        <f ca="1">'BewDifferenzen_Statut-Marktnah'!$M116</f>
        <v>0</v>
      </c>
      <c r="U2437" s="1027"/>
      <c r="V2437" s="1027"/>
      <c r="W2437" s="1027"/>
    </row>
    <row r="2438" spans="2:23" ht="12.75" customHeight="1" x14ac:dyDescent="0.2">
      <c r="B2438" s="1083">
        <f>'BewDifferenzen_Statut-Marktnah'!$A$1</f>
        <v>42</v>
      </c>
      <c r="C2438" s="1084" t="str">
        <f>'BewDifferenzen_Statut-Marktnah'!$B$1</f>
        <v>Differenzen zwischen statutarischer und marktnaher Bewertung</v>
      </c>
      <c r="D2438" s="1143" t="str">
        <f>'BewDifferenzen_Statut-Marktnah'!$D$116</f>
        <v>Rückstellungen für Risiken in den Kapitalanlagen</v>
      </c>
      <c r="E2438" s="1547" t="str">
        <f>'BewDifferenzen_Statut-Marktnah'!$E117</f>
        <v>dem Geschäft nach KVG zugeordnet</v>
      </c>
      <c r="F2438" s="1547" t="str">
        <f>'BewDifferenzen_Statut-Marktnah'!$M$4</f>
        <v>Bewertungs-differenzen zwischen statutarischem und marktnahem Wert</v>
      </c>
      <c r="G2438" s="1494"/>
      <c r="H2438" s="1145">
        <f ca="1">'BewDifferenzen_Statut-Marktnah'!$M117</f>
        <v>0</v>
      </c>
      <c r="U2438" s="1027"/>
      <c r="V2438" s="1027"/>
      <c r="W2438" s="1027"/>
    </row>
    <row r="2439" spans="2:23" ht="12.75" customHeight="1" x14ac:dyDescent="0.2">
      <c r="B2439" s="1083">
        <f>'BewDifferenzen_Statut-Marktnah'!$A$1</f>
        <v>42</v>
      </c>
      <c r="C2439" s="1084" t="str">
        <f>'BewDifferenzen_Statut-Marktnah'!$B$1</f>
        <v>Differenzen zwischen statutarischer und marktnaher Bewertung</v>
      </c>
      <c r="D2439" s="1143" t="str">
        <f>'BewDifferenzen_Statut-Marktnah'!$D$116</f>
        <v>Rückstellungen für Risiken in den Kapitalanlagen</v>
      </c>
      <c r="E2439" s="1547" t="str">
        <f>'BewDifferenzen_Statut-Marktnah'!$E118</f>
        <v>dem Geschäft nach VVG zugeordnet</v>
      </c>
      <c r="F2439" s="1547" t="str">
        <f>'BewDifferenzen_Statut-Marktnah'!$M$4</f>
        <v>Bewertungs-differenzen zwischen statutarischem und marktnahem Wert</v>
      </c>
      <c r="G2439" s="1494"/>
      <c r="H2439" s="1145">
        <f ca="1">'BewDifferenzen_Statut-Marktnah'!$M118</f>
        <v>0</v>
      </c>
      <c r="U2439" s="1027"/>
      <c r="V2439" s="1027"/>
      <c r="W2439" s="1027"/>
    </row>
    <row r="2440" spans="2:23" ht="12.75" customHeight="1" x14ac:dyDescent="0.2">
      <c r="B2440" s="1083">
        <f>'BewDifferenzen_Statut-Marktnah'!$A$1</f>
        <v>42</v>
      </c>
      <c r="C2440" s="1084" t="str">
        <f>'BewDifferenzen_Statut-Marktnah'!$B$1</f>
        <v>Differenzen zwischen statutarischer und marktnaher Bewertung</v>
      </c>
      <c r="D2440" s="1143" t="str">
        <f>'BewDifferenzen_Statut-Marktnah'!$D$116</f>
        <v>Rückstellungen für Risiken in den Kapitalanlagen</v>
      </c>
      <c r="E2440" s="1547" t="str">
        <f>'BewDifferenzen_Statut-Marktnah'!$E119</f>
        <v>dem Geschäft nach UVG zugeordnet</v>
      </c>
      <c r="F2440" s="1547" t="str">
        <f>'BewDifferenzen_Statut-Marktnah'!$M$4</f>
        <v>Bewertungs-differenzen zwischen statutarischem und marktnahem Wert</v>
      </c>
      <c r="G2440" s="1494"/>
      <c r="H2440" s="1145">
        <f ca="1">'BewDifferenzen_Statut-Marktnah'!$M119</f>
        <v>0</v>
      </c>
      <c r="U2440" s="1027"/>
      <c r="V2440" s="1027"/>
      <c r="W2440" s="1027"/>
    </row>
    <row r="2441" spans="2:23" ht="12.75" customHeight="1" x14ac:dyDescent="0.2">
      <c r="B2441" s="1083"/>
      <c r="C2441" s="1084"/>
      <c r="D2441" s="1143"/>
      <c r="E2441" s="1547"/>
      <c r="F2441" s="1547"/>
      <c r="G2441" s="1494"/>
      <c r="H2441" s="1061"/>
      <c r="U2441" s="1027"/>
      <c r="V2441" s="1027"/>
      <c r="W2441" s="1027"/>
    </row>
    <row r="2442" spans="2:23" ht="12.75" customHeight="1" x14ac:dyDescent="0.2">
      <c r="B2442" s="1083">
        <f>'BewDifferenzen_Statut-Marktnah'!$A$1</f>
        <v>42</v>
      </c>
      <c r="C2442" s="1084" t="str">
        <f>'BewDifferenzen_Statut-Marktnah'!$B$1</f>
        <v>Differenzen zwischen statutarischer und marktnaher Bewertung</v>
      </c>
      <c r="D2442" s="1143" t="str">
        <f>'BewDifferenzen_Statut-Marktnah'!$D$121</f>
        <v>Übrige Verbindlichkeiten (inkl. Rechnungsabgrenzungen)</v>
      </c>
      <c r="E2442" s="1494"/>
      <c r="F2442" s="1547" t="str">
        <f>'BewDifferenzen_Statut-Marktnah'!$M$4</f>
        <v>Bewertungs-differenzen zwischen statutarischem und marktnahem Wert</v>
      </c>
      <c r="G2442" s="1494"/>
      <c r="H2442" s="1062">
        <f ca="1">'BewDifferenzen_Statut-Marktnah'!$M121</f>
        <v>0</v>
      </c>
      <c r="U2442" s="1027"/>
      <c r="V2442" s="1027"/>
      <c r="W2442" s="1027"/>
    </row>
    <row r="2443" spans="2:23" ht="12.75" customHeight="1" x14ac:dyDescent="0.2">
      <c r="B2443" s="1083">
        <f>'BewDifferenzen_Statut-Marktnah'!$A$1</f>
        <v>42</v>
      </c>
      <c r="C2443" s="1084" t="str">
        <f>'BewDifferenzen_Statut-Marktnah'!$B$1</f>
        <v>Differenzen zwischen statutarischer und marktnaher Bewertung</v>
      </c>
      <c r="D2443" s="1143" t="str">
        <f>'BewDifferenzen_Statut-Marktnah'!$D$121</f>
        <v>Übrige Verbindlichkeiten (inkl. Rechnungsabgrenzungen)</v>
      </c>
      <c r="E2443" s="1547" t="str">
        <f>'BewDifferenzen_Statut-Marktnah'!$E122</f>
        <v>dem Geschäft nach KVG zugeordnet</v>
      </c>
      <c r="F2443" s="1547" t="str">
        <f>'BewDifferenzen_Statut-Marktnah'!$M$4</f>
        <v>Bewertungs-differenzen zwischen statutarischem und marktnahem Wert</v>
      </c>
      <c r="G2443" s="1494"/>
      <c r="H2443" s="1145">
        <f ca="1">'BewDifferenzen_Statut-Marktnah'!$M122</f>
        <v>0</v>
      </c>
      <c r="U2443" s="1027"/>
      <c r="V2443" s="1027"/>
      <c r="W2443" s="1027"/>
    </row>
    <row r="2444" spans="2:23" ht="12.75" customHeight="1" x14ac:dyDescent="0.2">
      <c r="B2444" s="1083">
        <f>'BewDifferenzen_Statut-Marktnah'!$A$1</f>
        <v>42</v>
      </c>
      <c r="C2444" s="1084" t="str">
        <f>'BewDifferenzen_Statut-Marktnah'!$B$1</f>
        <v>Differenzen zwischen statutarischer und marktnaher Bewertung</v>
      </c>
      <c r="D2444" s="1143" t="str">
        <f>'BewDifferenzen_Statut-Marktnah'!$D$121</f>
        <v>Übrige Verbindlichkeiten (inkl. Rechnungsabgrenzungen)</v>
      </c>
      <c r="E2444" s="1547" t="str">
        <f>'BewDifferenzen_Statut-Marktnah'!$E123</f>
        <v>dem Geschäft nach VVG zugeordnet</v>
      </c>
      <c r="F2444" s="1547" t="str">
        <f>'BewDifferenzen_Statut-Marktnah'!$M$4</f>
        <v>Bewertungs-differenzen zwischen statutarischem und marktnahem Wert</v>
      </c>
      <c r="G2444" s="1494"/>
      <c r="H2444" s="1145">
        <f ca="1">'BewDifferenzen_Statut-Marktnah'!$M123</f>
        <v>0</v>
      </c>
      <c r="U2444" s="1027"/>
      <c r="V2444" s="1027"/>
      <c r="W2444" s="1027"/>
    </row>
    <row r="2445" spans="2:23" ht="12.75" customHeight="1" x14ac:dyDescent="0.2">
      <c r="B2445" s="1083">
        <f>'BewDifferenzen_Statut-Marktnah'!$A$1</f>
        <v>42</v>
      </c>
      <c r="C2445" s="1084" t="str">
        <f>'BewDifferenzen_Statut-Marktnah'!$B$1</f>
        <v>Differenzen zwischen statutarischer und marktnaher Bewertung</v>
      </c>
      <c r="D2445" s="1143" t="str">
        <f>'BewDifferenzen_Statut-Marktnah'!$D$121</f>
        <v>Übrige Verbindlichkeiten (inkl. Rechnungsabgrenzungen)</v>
      </c>
      <c r="E2445" s="1547" t="str">
        <f>'BewDifferenzen_Statut-Marktnah'!$E124</f>
        <v>dem Geschäft nach UVG zugeordnet</v>
      </c>
      <c r="F2445" s="1547" t="str">
        <f>'BewDifferenzen_Statut-Marktnah'!$M$4</f>
        <v>Bewertungs-differenzen zwischen statutarischem und marktnahem Wert</v>
      </c>
      <c r="G2445" s="1494"/>
      <c r="H2445" s="1145">
        <f ca="1">'BewDifferenzen_Statut-Marktnah'!$M124</f>
        <v>0</v>
      </c>
      <c r="U2445" s="1027"/>
      <c r="V2445" s="1027"/>
      <c r="W2445" s="1027"/>
    </row>
    <row r="2446" spans="2:23" ht="12.75" customHeight="1" x14ac:dyDescent="0.2">
      <c r="B2446" s="1083"/>
      <c r="C2446" s="1084"/>
      <c r="D2446" s="1143"/>
      <c r="E2446" s="1547"/>
      <c r="F2446" s="1547"/>
      <c r="G2446" s="1494"/>
      <c r="H2446" s="1061"/>
      <c r="U2446" s="1027"/>
      <c r="V2446" s="1027"/>
      <c r="W2446" s="1027"/>
    </row>
    <row r="2447" spans="2:23" ht="12.75" customHeight="1" x14ac:dyDescent="0.2">
      <c r="B2447" s="1083">
        <f>'BewDifferenzen_Statut-Marktnah'!$A$1</f>
        <v>42</v>
      </c>
      <c r="C2447" s="1084" t="str">
        <f>'BewDifferenzen_Statut-Marktnah'!$B$1</f>
        <v>Differenzen zwischen statutarischer und marktnaher Bewertung</v>
      </c>
      <c r="D2447" s="1143" t="str">
        <f>'BewDifferenzen_Statut-Marktnah'!$D$126</f>
        <v>Total übrige Passiven</v>
      </c>
      <c r="E2447" s="1494"/>
      <c r="F2447" s="1547" t="str">
        <f>'BewDifferenzen_Statut-Marktnah'!$M$4</f>
        <v>Bewertungs-differenzen zwischen statutarischem und marktnahem Wert</v>
      </c>
      <c r="G2447" s="1494"/>
      <c r="H2447" s="1065">
        <f ca="1">'BewDifferenzen_Statut-Marktnah'!$M126</f>
        <v>0</v>
      </c>
      <c r="U2447" s="1027"/>
      <c r="V2447" s="1027"/>
      <c r="W2447" s="1027"/>
    </row>
    <row r="2448" spans="2:23" ht="12.75" customHeight="1" x14ac:dyDescent="0.2">
      <c r="B2448" s="1083"/>
      <c r="C2448" s="1084"/>
      <c r="D2448" s="1143"/>
      <c r="E2448" s="1547"/>
      <c r="F2448" s="1547"/>
      <c r="G2448" s="1494"/>
      <c r="H2448" s="1146"/>
      <c r="U2448" s="1027"/>
      <c r="V2448" s="1027"/>
      <c r="W2448" s="1027"/>
    </row>
    <row r="2449" spans="2:23" ht="12.75" customHeight="1" x14ac:dyDescent="0.2">
      <c r="B2449" s="1083">
        <f>'BewDifferenzen_Statut-Marktnah'!$A$1</f>
        <v>42</v>
      </c>
      <c r="C2449" s="1084" t="str">
        <f>'BewDifferenzen_Statut-Marktnah'!$B$1</f>
        <v>Differenzen zwischen statutarischer und marktnaher Bewertung</v>
      </c>
      <c r="D2449" s="1143" t="str">
        <f>'BewDifferenzen_Statut-Marktnah'!$C$128</f>
        <v>Total Fremdkapital</v>
      </c>
      <c r="E2449" s="1547"/>
      <c r="F2449" s="1547" t="str">
        <f>'BewDifferenzen_Statut-Marktnah'!$M$4</f>
        <v>Bewertungs-differenzen zwischen statutarischem und marktnahem Wert</v>
      </c>
      <c r="G2449" s="1494"/>
      <c r="H2449" s="1065">
        <f ca="1">'BewDifferenzen_Statut-Marktnah'!$M128</f>
        <v>0</v>
      </c>
      <c r="U2449" s="1027"/>
      <c r="V2449" s="1027"/>
      <c r="W2449" s="1027"/>
    </row>
    <row r="2450" spans="2:23" ht="12.75" customHeight="1" x14ac:dyDescent="0.2">
      <c r="B2450" s="1083"/>
      <c r="C2450" s="1084"/>
      <c r="D2450" s="1143"/>
      <c r="E2450" s="1547"/>
      <c r="F2450" s="1547"/>
      <c r="G2450" s="1494"/>
      <c r="H2450" s="1146"/>
      <c r="U2450" s="1027"/>
      <c r="V2450" s="1027"/>
      <c r="W2450" s="1027"/>
    </row>
    <row r="2451" spans="2:23" ht="12.75" customHeight="1" x14ac:dyDescent="0.2">
      <c r="B2451" s="1083">
        <f>'BewDifferenzen_Statut-Marktnah'!$A$1</f>
        <v>42</v>
      </c>
      <c r="C2451" s="1084" t="str">
        <f>'BewDifferenzen_Statut-Marktnah'!$B$1</f>
        <v>Differenzen zwischen statutarischer und marktnaher Bewertung</v>
      </c>
      <c r="D2451" s="1143" t="str">
        <f>'BewDifferenzen_Statut-Marktnah'!$C$130</f>
        <v>Differenz zwischen Aktiven und Fremdkapital</v>
      </c>
      <c r="E2451" s="1547"/>
      <c r="F2451" s="1547" t="str">
        <f>'BewDifferenzen_Statut-Marktnah'!$M$4</f>
        <v>Bewertungs-differenzen zwischen statutarischem und marktnahem Wert</v>
      </c>
      <c r="G2451" s="1494"/>
      <c r="H2451" s="1065">
        <f ca="1">'BewDifferenzen_Statut-Marktnah'!$M130</f>
        <v>0</v>
      </c>
      <c r="U2451" s="1027"/>
      <c r="V2451" s="1027"/>
      <c r="W2451" s="1027"/>
    </row>
    <row r="2452" spans="2:23" ht="12.75" customHeight="1" x14ac:dyDescent="0.2">
      <c r="B2452" s="1083"/>
      <c r="C2452" s="1084"/>
      <c r="D2452" s="1143"/>
      <c r="E2452" s="1547"/>
      <c r="F2452" s="1547"/>
      <c r="G2452" s="1494"/>
      <c r="H2452" s="1146"/>
      <c r="U2452" s="1027"/>
      <c r="V2452" s="1027"/>
      <c r="W2452" s="1027"/>
    </row>
    <row r="2453" spans="2:23" ht="12.75" customHeight="1" x14ac:dyDescent="0.2">
      <c r="B2453" s="1083">
        <f>'BewDifferenzen_Statut-Marktnah'!$A$1</f>
        <v>42</v>
      </c>
      <c r="C2453" s="1084" t="str">
        <f>'BewDifferenzen_Statut-Marktnah'!$B$1</f>
        <v>Differenzen zwischen statutarischer und marktnaher Bewertung</v>
      </c>
      <c r="D2453" s="1143" t="str">
        <f>'BewDifferenzen_Statut-Marktnah'!$D$132</f>
        <v>Kontrollzeile</v>
      </c>
      <c r="E2453" s="1547"/>
      <c r="F2453" s="1547" t="str">
        <f>'BewDifferenzen_Statut-Marktnah'!$M$4</f>
        <v>Bewertungs-differenzen zwischen statutarischem und marktnahem Wert</v>
      </c>
      <c r="G2453" s="1494"/>
      <c r="H2453" s="1146"/>
      <c r="U2453" s="1027"/>
      <c r="V2453" s="1027"/>
      <c r="W2453" s="1027"/>
    </row>
    <row r="2454" spans="2:23" ht="12.75" customHeight="1" x14ac:dyDescent="0.2">
      <c r="B2454" s="1083"/>
      <c r="C2454" s="1084"/>
      <c r="D2454" s="1143"/>
      <c r="E2454" s="1547"/>
      <c r="F2454" s="1547"/>
      <c r="G2454" s="1494"/>
      <c r="H2454" s="1146"/>
      <c r="U2454" s="1027"/>
      <c r="V2454" s="1027"/>
      <c r="W2454" s="1027"/>
    </row>
    <row r="2455" spans="2:23" ht="12.75" customHeight="1" x14ac:dyDescent="0.2">
      <c r="B2455" s="1083">
        <f>'BewDifferenzen_Statut-Marktnah'!$A$1</f>
        <v>42</v>
      </c>
      <c r="C2455" s="1084" t="str">
        <f>'BewDifferenzen_Statut-Marktnah'!$B$1</f>
        <v>Differenzen zwischen statutarischer und marktnaher Bewertung</v>
      </c>
      <c r="D2455" s="1143" t="str">
        <f>'BewDifferenzen_Statut-Marktnah'!$C$136</f>
        <v>Aufteilung des Eigenkapitals</v>
      </c>
      <c r="E2455" s="1547"/>
      <c r="F2455" s="1547" t="str">
        <f>'BewDifferenzen_Statut-Marktnah'!$M$4</f>
        <v>Bewertungs-differenzen zwischen statutarischem und marktnahem Wert</v>
      </c>
      <c r="G2455" s="1494"/>
      <c r="H2455" s="1065">
        <f ca="1">'BewDifferenzen_Statut-Marktnah'!$M136</f>
        <v>0</v>
      </c>
      <c r="U2455" s="1027"/>
      <c r="V2455" s="1027"/>
      <c r="W2455" s="1027"/>
    </row>
    <row r="2456" spans="2:23" ht="12.75" customHeight="1" x14ac:dyDescent="0.2">
      <c r="B2456" s="1083">
        <f>'BewDifferenzen_Statut-Marktnah'!$A$1</f>
        <v>42</v>
      </c>
      <c r="C2456" s="1084" t="str">
        <f>'BewDifferenzen_Statut-Marktnah'!$B$1</f>
        <v>Differenzen zwischen statutarischer und marktnaher Bewertung</v>
      </c>
      <c r="D2456" s="1143" t="str">
        <f>'BewDifferenzen_Statut-Marktnah'!$C$136</f>
        <v>Aufteilung des Eigenkapitals</v>
      </c>
      <c r="E2456" s="1547" t="str">
        <f>'BewDifferenzen_Statut-Marktnah'!$E137</f>
        <v>dem Geschäft nach KVG zugeordnet</v>
      </c>
      <c r="F2456" s="1547" t="str">
        <f>'BewDifferenzen_Statut-Marktnah'!$M$4</f>
        <v>Bewertungs-differenzen zwischen statutarischem und marktnahem Wert</v>
      </c>
      <c r="G2456" s="1494"/>
      <c r="H2456" s="1551">
        <f ca="1">'BewDifferenzen_Statut-Marktnah'!$M137</f>
        <v>0</v>
      </c>
      <c r="U2456" s="1027"/>
      <c r="V2456" s="1027"/>
      <c r="W2456" s="1027"/>
    </row>
    <row r="2457" spans="2:23" ht="12.75" customHeight="1" x14ac:dyDescent="0.2">
      <c r="B2457" s="1083">
        <f>'BewDifferenzen_Statut-Marktnah'!$A$1</f>
        <v>42</v>
      </c>
      <c r="C2457" s="1084" t="str">
        <f>'BewDifferenzen_Statut-Marktnah'!$B$1</f>
        <v>Differenzen zwischen statutarischer und marktnaher Bewertung</v>
      </c>
      <c r="D2457" s="1143" t="str">
        <f>'BewDifferenzen_Statut-Marktnah'!$C$136</f>
        <v>Aufteilung des Eigenkapitals</v>
      </c>
      <c r="E2457" s="1547" t="str">
        <f>'BewDifferenzen_Statut-Marktnah'!$E138</f>
        <v>dem Geschäft nach VVG zugeordnet</v>
      </c>
      <c r="F2457" s="1547" t="str">
        <f>'BewDifferenzen_Statut-Marktnah'!$M$4</f>
        <v>Bewertungs-differenzen zwischen statutarischem und marktnahem Wert</v>
      </c>
      <c r="G2457" s="1494"/>
      <c r="H2457" s="1551">
        <f ca="1">'BewDifferenzen_Statut-Marktnah'!$M138</f>
        <v>0</v>
      </c>
      <c r="U2457" s="1027"/>
      <c r="V2457" s="1027"/>
      <c r="W2457" s="1027"/>
    </row>
    <row r="2458" spans="2:23" ht="12.75" customHeight="1" thickBot="1" x14ac:dyDescent="0.25">
      <c r="B2458" s="1085">
        <f>'BewDifferenzen_Statut-Marktnah'!$A$1</f>
        <v>42</v>
      </c>
      <c r="C2458" s="1086" t="str">
        <f>'BewDifferenzen_Statut-Marktnah'!$B$1</f>
        <v>Differenzen zwischen statutarischer und marktnaher Bewertung</v>
      </c>
      <c r="D2458" s="1489" t="str">
        <f>'BewDifferenzen_Statut-Marktnah'!$C$136</f>
        <v>Aufteilung des Eigenkapitals</v>
      </c>
      <c r="E2458" s="1552" t="str">
        <f>'BewDifferenzen_Statut-Marktnah'!$E139</f>
        <v>dem Geschäft nach UVG zugeordnet</v>
      </c>
      <c r="F2458" s="1552" t="str">
        <f>'BewDifferenzen_Statut-Marktnah'!$M$4</f>
        <v>Bewertungs-differenzen zwischen statutarischem und marktnahem Wert</v>
      </c>
      <c r="G2458" s="1500"/>
      <c r="H2458" s="1553">
        <f ca="1">'BewDifferenzen_Statut-Marktnah'!$M139</f>
        <v>0</v>
      </c>
      <c r="U2458" s="1027"/>
      <c r="V2458" s="1027"/>
      <c r="W2458" s="1027"/>
    </row>
    <row r="2459" spans="2:23" ht="12.75" customHeight="1" thickBot="1" x14ac:dyDescent="0.25">
      <c r="B2459" s="1087"/>
      <c r="C2459" s="1087"/>
      <c r="D2459" s="1075"/>
      <c r="E2459" s="1484"/>
      <c r="F2459" s="1484"/>
      <c r="G2459" s="1484"/>
      <c r="H2459" s="1035"/>
      <c r="U2459" s="1027"/>
      <c r="V2459" s="1027"/>
      <c r="W2459" s="1027"/>
    </row>
    <row r="2460" spans="2:23" ht="12.75" customHeight="1" x14ac:dyDescent="0.2">
      <c r="B2460" s="1080">
        <f>Gliederung_VorRes_Stat_Marktnah!$A$1</f>
        <v>43</v>
      </c>
      <c r="C2460" s="1081" t="str">
        <f>Gliederung_VorRes_Stat_Marktnah!$B$1</f>
        <v>Aufgliederung der vorhandenen Reserven</v>
      </c>
      <c r="D2460" s="1142" t="str">
        <f>Gliederung_VorRes_Stat_Marktnah!$B$8</f>
        <v>Differenz zwischen Aktiven und Fremdkapital</v>
      </c>
      <c r="E2460" s="1492"/>
      <c r="F2460" s="1554"/>
      <c r="G2460" s="1492"/>
      <c r="H2460" s="1147">
        <f>Gliederung_VorRes_Stat_Marktnah!$E$8</f>
        <v>0</v>
      </c>
      <c r="U2460" s="1027"/>
      <c r="V2460" s="1027"/>
      <c r="W2460" s="1027"/>
    </row>
    <row r="2461" spans="2:23" ht="12.75" customHeight="1" x14ac:dyDescent="0.2">
      <c r="B2461" s="1083">
        <f>Gliederung_VorRes_Stat_Marktnah!$A$1</f>
        <v>43</v>
      </c>
      <c r="C2461" s="1084" t="str">
        <f>Gliederung_VorRes_Stat_Marktnah!$B$1</f>
        <v>Aufgliederung der vorhandenen Reserven</v>
      </c>
      <c r="D2461" s="1143" t="str">
        <f>Gliederung_VorRes_Stat_Marktnah!$B$10</f>
        <v>Kernkapital</v>
      </c>
      <c r="E2461" s="1494"/>
      <c r="F2461" s="1547"/>
      <c r="G2461" s="1494"/>
      <c r="H2461" s="1148">
        <f>Gliederung_VorRes_Stat_Marktnah!$E$10</f>
        <v>0</v>
      </c>
      <c r="U2461" s="1027"/>
      <c r="V2461" s="1027"/>
      <c r="W2461" s="1027"/>
    </row>
    <row r="2462" spans="2:23" ht="12.75" customHeight="1" x14ac:dyDescent="0.2">
      <c r="B2462" s="1083">
        <f>Gliederung_VorRes_Stat_Marktnah!$A$1</f>
        <v>43</v>
      </c>
      <c r="C2462" s="1084" t="str">
        <f>Gliederung_VorRes_Stat_Marktnah!$B$1</f>
        <v>Aufgliederung der vorhandenen Reserven</v>
      </c>
      <c r="D2462" s="1143" t="str">
        <f>Gliederung_VorRes_Stat_Marktnah!$B$12</f>
        <v>Vorhandene Reserven</v>
      </c>
      <c r="E2462" s="1494"/>
      <c r="F2462" s="1547"/>
      <c r="G2462" s="1494"/>
      <c r="H2462" s="1149">
        <f ca="1">Gliederung_VorRes_Stat_Marktnah!$E$12</f>
        <v>0</v>
      </c>
      <c r="U2462" s="1027"/>
      <c r="V2462" s="1027"/>
      <c r="W2462" s="1027"/>
    </row>
    <row r="2463" spans="2:23" ht="12.75" customHeight="1" x14ac:dyDescent="0.2">
      <c r="B2463" s="1083"/>
      <c r="C2463" s="1084"/>
      <c r="D2463" s="1143"/>
      <c r="E2463" s="1494"/>
      <c r="F2463" s="1547"/>
      <c r="G2463" s="1494"/>
      <c r="H2463" s="1146"/>
      <c r="U2463" s="1027"/>
      <c r="V2463" s="1027"/>
      <c r="W2463" s="1027"/>
    </row>
    <row r="2464" spans="2:23" ht="12.75" customHeight="1" x14ac:dyDescent="0.2">
      <c r="B2464" s="1083">
        <f>Gliederung_VorRes_Stat_Marktnah!$A$1</f>
        <v>43</v>
      </c>
      <c r="C2464" s="1084" t="str">
        <f>Gliederung_VorRes_Stat_Marktnah!$B$1</f>
        <v>Aufgliederung der vorhandenen Reserven</v>
      </c>
      <c r="D2464" s="1143" t="str">
        <f>Gliederung_VorRes_Stat_Marktnah!$C$14</f>
        <v>Nachweis Kernkapital</v>
      </c>
      <c r="E2464" s="1547"/>
      <c r="F2464" s="1494"/>
      <c r="G2464" s="1494"/>
      <c r="H2464" s="1069">
        <f ca="1">Gliederung_VorRes_Stat_Marktnah!$E14</f>
        <v>0</v>
      </c>
      <c r="U2464" s="1027"/>
      <c r="V2464" s="1027"/>
      <c r="W2464" s="1027"/>
    </row>
    <row r="2465" spans="2:23" ht="12.75" customHeight="1" x14ac:dyDescent="0.2">
      <c r="B2465" s="1083">
        <f>Gliederung_VorRes_Stat_Marktnah!$A$1</f>
        <v>43</v>
      </c>
      <c r="C2465" s="1084" t="str">
        <f>Gliederung_VorRes_Stat_Marktnah!$B$1</f>
        <v>Aufgliederung der vorhandenen Reserven</v>
      </c>
      <c r="D2465" s="1143" t="str">
        <f>Gliederung_VorRes_Stat_Marktnah!$C$14</f>
        <v>Nachweis Kernkapital</v>
      </c>
      <c r="E2465" s="1547" t="str">
        <f>Gliederung_VorRes_Stat_Marktnah!$D15</f>
        <v>Eingefordertes Aktienkapital/Genossenschaftskapital</v>
      </c>
      <c r="F2465" s="1494"/>
      <c r="G2465" s="1494"/>
      <c r="H2465" s="1060">
        <f>Gliederung_VorRes_Stat_Marktnah!$E15</f>
        <v>0</v>
      </c>
      <c r="U2465" s="1027"/>
      <c r="V2465" s="1027"/>
      <c r="W2465" s="1027"/>
    </row>
    <row r="2466" spans="2:23" ht="12.75" customHeight="1" x14ac:dyDescent="0.2">
      <c r="B2466" s="1083">
        <f>Gliederung_VorRes_Stat_Marktnah!$A$1</f>
        <v>43</v>
      </c>
      <c r="C2466" s="1084" t="str">
        <f>Gliederung_VorRes_Stat_Marktnah!$B$1</f>
        <v>Aufgliederung der vorhandenen Reserven</v>
      </c>
      <c r="D2466" s="1143" t="str">
        <f>Gliederung_VorRes_Stat_Marktnah!$C$14</f>
        <v>Nachweis Kernkapital</v>
      </c>
      <c r="E2466" s="1547" t="str">
        <f>Gliederung_VorRes_Stat_Marktnah!$D16</f>
        <v>Partizipationsscheinkapital</v>
      </c>
      <c r="F2466" s="1494"/>
      <c r="G2466" s="1494"/>
      <c r="H2466" s="1060">
        <f>Gliederung_VorRes_Stat_Marktnah!$E16</f>
        <v>0</v>
      </c>
      <c r="U2466" s="1027"/>
      <c r="V2466" s="1027"/>
      <c r="W2466" s="1027"/>
    </row>
    <row r="2467" spans="2:23" ht="12.75" customHeight="1" x14ac:dyDescent="0.2">
      <c r="B2467" s="1083">
        <f>Gliederung_VorRes_Stat_Marktnah!$A$1</f>
        <v>43</v>
      </c>
      <c r="C2467" s="1084" t="str">
        <f>Gliederung_VorRes_Stat_Marktnah!$B$1</f>
        <v>Aufgliederung der vorhandenen Reserven</v>
      </c>
      <c r="D2467" s="1143" t="str">
        <f>Gliederung_VorRes_Stat_Marktnah!$C$14</f>
        <v>Nachweis Kernkapital</v>
      </c>
      <c r="E2467" s="1547" t="str">
        <f>Gliederung_VorRes_Stat_Marktnah!$D17</f>
        <v>Kapitalreserven</v>
      </c>
      <c r="F2467" s="1494"/>
      <c r="G2467" s="1494"/>
      <c r="H2467" s="1060">
        <f>Gliederung_VorRes_Stat_Marktnah!$E17</f>
        <v>0</v>
      </c>
      <c r="U2467" s="1027"/>
      <c r="V2467" s="1027"/>
      <c r="W2467" s="1027"/>
    </row>
    <row r="2468" spans="2:23" ht="12.75" customHeight="1" x14ac:dyDescent="0.2">
      <c r="B2468" s="1083">
        <f>Gliederung_VorRes_Stat_Marktnah!$A$1</f>
        <v>43</v>
      </c>
      <c r="C2468" s="1084" t="str">
        <f>Gliederung_VorRes_Stat_Marktnah!$B$1</f>
        <v>Aufgliederung der vorhandenen Reserven</v>
      </c>
      <c r="D2468" s="1143" t="str">
        <f>Gliederung_VorRes_Stat_Marktnah!$C$14</f>
        <v>Nachweis Kernkapital</v>
      </c>
      <c r="E2468" s="1547" t="str">
        <f>Gliederung_VorRes_Stat_Marktnah!$D18</f>
        <v>Gewinnreserven</v>
      </c>
      <c r="F2468" s="1494"/>
      <c r="G2468" s="1494"/>
      <c r="H2468" s="1060">
        <f>Gliederung_VorRes_Stat_Marktnah!$E18</f>
        <v>0</v>
      </c>
      <c r="U2468" s="1027"/>
      <c r="V2468" s="1027"/>
      <c r="W2468" s="1027"/>
    </row>
    <row r="2469" spans="2:23" ht="12.75" customHeight="1" x14ac:dyDescent="0.2">
      <c r="B2469" s="1083">
        <f>Gliederung_VorRes_Stat_Marktnah!$A$1</f>
        <v>43</v>
      </c>
      <c r="C2469" s="1084" t="str">
        <f>Gliederung_VorRes_Stat_Marktnah!$B$1</f>
        <v>Aufgliederung der vorhandenen Reserven</v>
      </c>
      <c r="D2469" s="1143" t="str">
        <f>Gliederung_VorRes_Stat_Marktnah!$C$14</f>
        <v>Nachweis Kernkapital</v>
      </c>
      <c r="E2469" s="1547" t="str">
        <f>Gliederung_VorRes_Stat_Marktnah!$D19</f>
        <v>Ergebnisvortrag aus dem Vorjahr</v>
      </c>
      <c r="F2469" s="1494"/>
      <c r="G2469" s="1494"/>
      <c r="H2469" s="1060">
        <f>Gliederung_VorRes_Stat_Marktnah!$E19</f>
        <v>0</v>
      </c>
      <c r="U2469" s="1027"/>
      <c r="V2469" s="1027"/>
      <c r="W2469" s="1027"/>
    </row>
    <row r="2470" spans="2:23" ht="12.75" customHeight="1" x14ac:dyDescent="0.2">
      <c r="B2470" s="1083">
        <f>Gliederung_VorRes_Stat_Marktnah!$A$1</f>
        <v>43</v>
      </c>
      <c r="C2470" s="1084" t="str">
        <f>Gliederung_VorRes_Stat_Marktnah!$B$1</f>
        <v>Aufgliederung der vorhandenen Reserven</v>
      </c>
      <c r="D2470" s="1143" t="str">
        <f>Gliederung_VorRes_Stat_Marktnah!$C$14</f>
        <v>Nachweis Kernkapital</v>
      </c>
      <c r="E2470" s="1547" t="str">
        <f>Gliederung_VorRes_Stat_Marktnah!$D20</f>
        <v>Ergebnis des Geschäftsjahres</v>
      </c>
      <c r="F2470" s="1494"/>
      <c r="G2470" s="1494"/>
      <c r="H2470" s="1060">
        <f>Gliederung_VorRes_Stat_Marktnah!$E20</f>
        <v>0</v>
      </c>
      <c r="U2470" s="1027"/>
      <c r="V2470" s="1027"/>
      <c r="W2470" s="1027"/>
    </row>
    <row r="2471" spans="2:23" ht="12.75" customHeight="1" x14ac:dyDescent="0.2">
      <c r="B2471" s="1083"/>
      <c r="C2471" s="1084"/>
      <c r="D2471" s="1143"/>
      <c r="E2471" s="1547"/>
      <c r="F2471" s="1494"/>
      <c r="G2471" s="1494"/>
      <c r="H2471" s="1068"/>
      <c r="U2471" s="1027"/>
      <c r="V2471" s="1027"/>
      <c r="W2471" s="1027"/>
    </row>
    <row r="2472" spans="2:23" ht="12.75" customHeight="1" x14ac:dyDescent="0.2">
      <c r="B2472" s="1083">
        <f>Gliederung_VorRes_Stat_Marktnah!$A$1</f>
        <v>43</v>
      </c>
      <c r="C2472" s="1084" t="str">
        <f>Gliederung_VorRes_Stat_Marktnah!$B$1</f>
        <v>Aufgliederung der vorhandenen Reserven</v>
      </c>
      <c r="D2472" s="1143" t="str">
        <f>Gliederung_VorRes_Stat_Marktnah!$C$14</f>
        <v>Nachweis Kernkapital</v>
      </c>
      <c r="E2472" s="1547" t="str">
        <f>Gliederung_VorRes_Stat_Marktnah!$D$22</f>
        <v>Bewertungsreserven: (Marktwert Ende Vorjahr - Statutarischer Wert Ende Vorjahr)</v>
      </c>
      <c r="F2472" s="1494"/>
      <c r="G2472" s="1494"/>
      <c r="H2472" s="1068"/>
      <c r="U2472" s="1027"/>
      <c r="V2472" s="1027"/>
      <c r="W2472" s="1027"/>
    </row>
    <row r="2473" spans="2:23" ht="12.75" customHeight="1" x14ac:dyDescent="0.2">
      <c r="B2473" s="1083">
        <f>Gliederung_VorRes_Stat_Marktnah!$A$1</f>
        <v>43</v>
      </c>
      <c r="C2473" s="1084" t="str">
        <f>Gliederung_VorRes_Stat_Marktnah!$B$1</f>
        <v>Aufgliederung der vorhandenen Reserven</v>
      </c>
      <c r="D2473" s="1143" t="str">
        <f>Gliederung_VorRes_Stat_Marktnah!$C$14</f>
        <v>Nachweis Kernkapital</v>
      </c>
      <c r="E2473" s="1547" t="str">
        <f>Gliederung_VorRes_Stat_Marktnah!$D$22</f>
        <v>Bewertungsreserven: (Marktwert Ende Vorjahr - Statutarischer Wert Ende Vorjahr)</v>
      </c>
      <c r="F2473" s="1547" t="str">
        <f>Gliederung_VorRes_Stat_Marktnah!$D23</f>
        <v>- auf Kapitalanlagen</v>
      </c>
      <c r="G2473" s="1494"/>
      <c r="H2473" s="1068"/>
      <c r="U2473" s="1027"/>
      <c r="V2473" s="1027"/>
      <c r="W2473" s="1027"/>
    </row>
    <row r="2474" spans="2:23" ht="12.75" customHeight="1" x14ac:dyDescent="0.2">
      <c r="B2474" s="1083">
        <f>Gliederung_VorRes_Stat_Marktnah!$A$1</f>
        <v>43</v>
      </c>
      <c r="C2474" s="1084" t="str">
        <f>Gliederung_VorRes_Stat_Marktnah!$B$1</f>
        <v>Aufgliederung der vorhandenen Reserven</v>
      </c>
      <c r="D2474" s="1143" t="str">
        <f>Gliederung_VorRes_Stat_Marktnah!$C$14</f>
        <v>Nachweis Kernkapital</v>
      </c>
      <c r="E2474" s="1547" t="str">
        <f>Gliederung_VorRes_Stat_Marktnah!$D$22</f>
        <v>Bewertungsreserven: (Marktwert Ende Vorjahr - Statutarischer Wert Ende Vorjahr)</v>
      </c>
      <c r="F2474" s="1547" t="str">
        <f>Gliederung_VorRes_Stat_Marktnah!$D24</f>
        <v xml:space="preserve">     Grundstücke und Bauten</v>
      </c>
      <c r="G2474" s="1494"/>
      <c r="H2474" s="1020">
        <f ca="1">Gliederung_VorRes_Stat_Marktnah!$E24</f>
        <v>0</v>
      </c>
      <c r="U2474" s="1027"/>
      <c r="V2474" s="1027"/>
      <c r="W2474" s="1027"/>
    </row>
    <row r="2475" spans="2:23" ht="12.75" customHeight="1" x14ac:dyDescent="0.2">
      <c r="B2475" s="1083">
        <f>Gliederung_VorRes_Stat_Marktnah!$A$1</f>
        <v>43</v>
      </c>
      <c r="C2475" s="1084" t="str">
        <f>Gliederung_VorRes_Stat_Marktnah!$B$1</f>
        <v>Aufgliederung der vorhandenen Reserven</v>
      </c>
      <c r="D2475" s="1143" t="str">
        <f>Gliederung_VorRes_Stat_Marktnah!$C$14</f>
        <v>Nachweis Kernkapital</v>
      </c>
      <c r="E2475" s="1547" t="str">
        <f>Gliederung_VorRes_Stat_Marktnah!$D$22</f>
        <v>Bewertungsreserven: (Marktwert Ende Vorjahr - Statutarischer Wert Ende Vorjahr)</v>
      </c>
      <c r="F2475" s="1547" t="str">
        <f>Gliederung_VorRes_Stat_Marktnah!$D25</f>
        <v xml:space="preserve">     Obligationen</v>
      </c>
      <c r="G2475" s="1494"/>
      <c r="H2475" s="1020">
        <f ca="1">Gliederung_VorRes_Stat_Marktnah!$E25</f>
        <v>0</v>
      </c>
      <c r="U2475" s="1027"/>
      <c r="V2475" s="1027"/>
      <c r="W2475" s="1027"/>
    </row>
    <row r="2476" spans="2:23" ht="12.75" customHeight="1" x14ac:dyDescent="0.2">
      <c r="B2476" s="1083">
        <f>Gliederung_VorRes_Stat_Marktnah!$A$1</f>
        <v>43</v>
      </c>
      <c r="C2476" s="1084" t="str">
        <f>Gliederung_VorRes_Stat_Marktnah!$B$1</f>
        <v>Aufgliederung der vorhandenen Reserven</v>
      </c>
      <c r="D2476" s="1143" t="str">
        <f>Gliederung_VorRes_Stat_Marktnah!$C$14</f>
        <v>Nachweis Kernkapital</v>
      </c>
      <c r="E2476" s="1547" t="str">
        <f>Gliederung_VorRes_Stat_Marktnah!$D$22</f>
        <v>Bewertungsreserven: (Marktwert Ende Vorjahr - Statutarischer Wert Ende Vorjahr)</v>
      </c>
      <c r="F2476" s="1547" t="str">
        <f>Gliederung_VorRes_Stat_Marktnah!$D26</f>
        <v xml:space="preserve">     Aktien und ähnliche Anlagen</v>
      </c>
      <c r="G2476" s="1494"/>
      <c r="H2476" s="1020">
        <f ca="1">Gliederung_VorRes_Stat_Marktnah!$E26</f>
        <v>0</v>
      </c>
      <c r="U2476" s="1027"/>
      <c r="V2476" s="1027"/>
      <c r="W2476" s="1027"/>
    </row>
    <row r="2477" spans="2:23" ht="12.75" customHeight="1" x14ac:dyDescent="0.2">
      <c r="B2477" s="1083">
        <f>Gliederung_VorRes_Stat_Marktnah!$A$1</f>
        <v>43</v>
      </c>
      <c r="C2477" s="1084" t="str">
        <f>Gliederung_VorRes_Stat_Marktnah!$B$1</f>
        <v>Aufgliederung der vorhandenen Reserven</v>
      </c>
      <c r="D2477" s="1143" t="str">
        <f>Gliederung_VorRes_Stat_Marktnah!$C$14</f>
        <v>Nachweis Kernkapital</v>
      </c>
      <c r="E2477" s="1547" t="str">
        <f>Gliederung_VorRes_Stat_Marktnah!$D$22</f>
        <v>Bewertungsreserven: (Marktwert Ende Vorjahr - Statutarischer Wert Ende Vorjahr)</v>
      </c>
      <c r="F2477" s="1547" t="str">
        <f>Gliederung_VorRes_Stat_Marktnah!$D27</f>
        <v xml:space="preserve">     Anteile an Anlagefonds</v>
      </c>
      <c r="G2477" s="1494"/>
      <c r="H2477" s="1020">
        <f ca="1">Gliederung_VorRes_Stat_Marktnah!$E27</f>
        <v>0</v>
      </c>
      <c r="U2477" s="1027"/>
      <c r="V2477" s="1027"/>
      <c r="W2477" s="1027"/>
    </row>
    <row r="2478" spans="2:23" ht="12.75" customHeight="1" x14ac:dyDescent="0.2">
      <c r="B2478" s="1083">
        <f>Gliederung_VorRes_Stat_Marktnah!$A$1</f>
        <v>43</v>
      </c>
      <c r="C2478" s="1084" t="str">
        <f>Gliederung_VorRes_Stat_Marktnah!$B$1</f>
        <v>Aufgliederung der vorhandenen Reserven</v>
      </c>
      <c r="D2478" s="1143" t="str">
        <f>Gliederung_VorRes_Stat_Marktnah!$C$14</f>
        <v>Nachweis Kernkapital</v>
      </c>
      <c r="E2478" s="1547" t="str">
        <f>Gliederung_VorRes_Stat_Marktnah!$D$22</f>
        <v>Bewertungsreserven: (Marktwert Ende Vorjahr - Statutarischer Wert Ende Vorjahr)</v>
      </c>
      <c r="F2478" s="1547" t="str">
        <f>Gliederung_VorRes_Stat_Marktnah!$D28</f>
        <v xml:space="preserve">     Derivative Finanzinstrumente (Guthaben)</v>
      </c>
      <c r="G2478" s="1494"/>
      <c r="H2478" s="1020">
        <f ca="1">Gliederung_VorRes_Stat_Marktnah!$E28</f>
        <v>0</v>
      </c>
      <c r="U2478" s="1027"/>
      <c r="V2478" s="1027"/>
      <c r="W2478" s="1027"/>
    </row>
    <row r="2479" spans="2:23" ht="12.75" customHeight="1" x14ac:dyDescent="0.2">
      <c r="B2479" s="1083">
        <f>Gliederung_VorRes_Stat_Marktnah!$A$1</f>
        <v>43</v>
      </c>
      <c r="C2479" s="1084" t="str">
        <f>Gliederung_VorRes_Stat_Marktnah!$B$1</f>
        <v>Aufgliederung der vorhandenen Reserven</v>
      </c>
      <c r="D2479" s="1143" t="str">
        <f>Gliederung_VorRes_Stat_Marktnah!$C$14</f>
        <v>Nachweis Kernkapital</v>
      </c>
      <c r="E2479" s="1547" t="str">
        <f>Gliederung_VorRes_Stat_Marktnah!$D$22</f>
        <v>Bewertungsreserven: (Marktwert Ende Vorjahr - Statutarischer Wert Ende Vorjahr)</v>
      </c>
      <c r="F2479" s="1547" t="str">
        <f>Gliederung_VorRes_Stat_Marktnah!$D29</f>
        <v xml:space="preserve">     Liquide Mittel</v>
      </c>
      <c r="G2479" s="1494"/>
      <c r="H2479" s="1020">
        <f ca="1">Gliederung_VorRes_Stat_Marktnah!$E29</f>
        <v>0</v>
      </c>
      <c r="U2479" s="1027"/>
      <c r="V2479" s="1027"/>
      <c r="W2479" s="1027"/>
    </row>
    <row r="2480" spans="2:23" ht="12.75" customHeight="1" x14ac:dyDescent="0.2">
      <c r="B2480" s="1083">
        <f>Gliederung_VorRes_Stat_Marktnah!$A$1</f>
        <v>43</v>
      </c>
      <c r="C2480" s="1084" t="str">
        <f>Gliederung_VorRes_Stat_Marktnah!$B$1</f>
        <v>Aufgliederung der vorhandenen Reserven</v>
      </c>
      <c r="D2480" s="1143" t="str">
        <f>Gliederung_VorRes_Stat_Marktnah!$C$14</f>
        <v>Nachweis Kernkapital</v>
      </c>
      <c r="E2480" s="1547" t="str">
        <f>Gliederung_VorRes_Stat_Marktnah!$D$22</f>
        <v>Bewertungsreserven: (Marktwert Ende Vorjahr - Statutarischer Wert Ende Vorjahr)</v>
      </c>
      <c r="F2480" s="1547" t="str">
        <f>Gliederung_VorRes_Stat_Marktnah!$D30</f>
        <v xml:space="preserve">     Anlagen in Institutionen, die der Durchführung der sozialen Krankenversicherung dienen</v>
      </c>
      <c r="G2480" s="1494"/>
      <c r="H2480" s="1020">
        <f ca="1">Gliederung_VorRes_Stat_Marktnah!$E30</f>
        <v>0</v>
      </c>
      <c r="U2480" s="1027"/>
      <c r="V2480" s="1027"/>
      <c r="W2480" s="1027"/>
    </row>
    <row r="2481" spans="2:23" ht="12.75" customHeight="1" x14ac:dyDescent="0.2">
      <c r="B2481" s="1083">
        <f>Gliederung_VorRes_Stat_Marktnah!$A$1</f>
        <v>43</v>
      </c>
      <c r="C2481" s="1084" t="str">
        <f>Gliederung_VorRes_Stat_Marktnah!$B$1</f>
        <v>Aufgliederung der vorhandenen Reserven</v>
      </c>
      <c r="D2481" s="1143" t="str">
        <f>Gliederung_VorRes_Stat_Marktnah!$C$14</f>
        <v>Nachweis Kernkapital</v>
      </c>
      <c r="E2481" s="1547" t="str">
        <f>Gliederung_VorRes_Stat_Marktnah!$D$22</f>
        <v>Bewertungsreserven: (Marktwert Ende Vorjahr - Statutarischer Wert Ende Vorjahr)</v>
      </c>
      <c r="F2481" s="1547" t="str">
        <f>Gliederung_VorRes_Stat_Marktnah!$D31</f>
        <v xml:space="preserve">     Übrige Kapitalanlagen (Latente Steuern, Aktiven aus Vorsorgeplänen)</v>
      </c>
      <c r="G2481" s="1494"/>
      <c r="H2481" s="1020">
        <f ca="1">Gliederung_VorRes_Stat_Marktnah!$E31</f>
        <v>0</v>
      </c>
      <c r="U2481" s="1027"/>
      <c r="V2481" s="1027"/>
      <c r="W2481" s="1027"/>
    </row>
    <row r="2482" spans="2:23" ht="12.75" customHeight="1" x14ac:dyDescent="0.2">
      <c r="B2482" s="1083">
        <f>Gliederung_VorRes_Stat_Marktnah!$A$1</f>
        <v>43</v>
      </c>
      <c r="C2482" s="1084" t="str">
        <f>Gliederung_VorRes_Stat_Marktnah!$B$1</f>
        <v>Aufgliederung der vorhandenen Reserven</v>
      </c>
      <c r="D2482" s="1143" t="str">
        <f>Gliederung_VorRes_Stat_Marktnah!$C$14</f>
        <v>Nachweis Kernkapital</v>
      </c>
      <c r="E2482" s="1547" t="str">
        <f>Gliederung_VorRes_Stat_Marktnah!$D$22</f>
        <v>Bewertungsreserven: (Marktwert Ende Vorjahr - Statutarischer Wert Ende Vorjahr)</v>
      </c>
      <c r="F2482" s="1547" t="str">
        <f>Gliederung_VorRes_Stat_Marktnah!$D32</f>
        <v>- auf übrigen Aktiven</v>
      </c>
      <c r="G2482" s="1494"/>
      <c r="H2482" s="1068"/>
      <c r="U2482" s="1027"/>
      <c r="V2482" s="1027"/>
      <c r="W2482" s="1027"/>
    </row>
    <row r="2483" spans="2:23" ht="12.75" customHeight="1" x14ac:dyDescent="0.2">
      <c r="B2483" s="1083">
        <f>Gliederung_VorRes_Stat_Marktnah!$A$1</f>
        <v>43</v>
      </c>
      <c r="C2483" s="1084" t="str">
        <f>Gliederung_VorRes_Stat_Marktnah!$B$1</f>
        <v>Aufgliederung der vorhandenen Reserven</v>
      </c>
      <c r="D2483" s="1143" t="str">
        <f>Gliederung_VorRes_Stat_Marktnah!$C$14</f>
        <v>Nachweis Kernkapital</v>
      </c>
      <c r="E2483" s="1547" t="str">
        <f>Gliederung_VorRes_Stat_Marktnah!$D$22</f>
        <v>Bewertungsreserven: (Marktwert Ende Vorjahr - Statutarischer Wert Ende Vorjahr)</v>
      </c>
      <c r="F2483" s="1547" t="str">
        <f>Gliederung_VorRes_Stat_Marktnah!$D33</f>
        <v xml:space="preserve">     übriges Anlagevermögen (Immaterielle Anlagen, Sachanlagen)</v>
      </c>
      <c r="G2483" s="1494"/>
      <c r="H2483" s="1020">
        <f ca="1">Gliederung_VorRes_Stat_Marktnah!$E33</f>
        <v>0</v>
      </c>
      <c r="U2483" s="1027"/>
      <c r="V2483" s="1027"/>
      <c r="W2483" s="1027"/>
    </row>
    <row r="2484" spans="2:23" ht="12.75" customHeight="1" x14ac:dyDescent="0.2">
      <c r="B2484" s="1083">
        <f>Gliederung_VorRes_Stat_Marktnah!$A$1</f>
        <v>43</v>
      </c>
      <c r="C2484" s="1084" t="str">
        <f>Gliederung_VorRes_Stat_Marktnah!$B$1</f>
        <v>Aufgliederung der vorhandenen Reserven</v>
      </c>
      <c r="D2484" s="1143" t="str">
        <f>Gliederung_VorRes_Stat_Marktnah!$C$14</f>
        <v>Nachweis Kernkapital</v>
      </c>
      <c r="E2484" s="1547" t="str">
        <f>Gliederung_VorRes_Stat_Marktnah!$D$22</f>
        <v>Bewertungsreserven: (Marktwert Ende Vorjahr - Statutarischer Wert Ende Vorjahr)</v>
      </c>
      <c r="F2484" s="1547" t="str">
        <f>Gliederung_VorRes_Stat_Marktnah!$D34</f>
        <v xml:space="preserve">     Umlaufvermögen</v>
      </c>
      <c r="G2484" s="1494"/>
      <c r="H2484" s="1020">
        <f ca="1">Gliederung_VorRes_Stat_Marktnah!$E34</f>
        <v>0</v>
      </c>
      <c r="U2484" s="1027"/>
      <c r="V2484" s="1027"/>
      <c r="W2484" s="1027"/>
    </row>
    <row r="2485" spans="2:23" ht="12.75" customHeight="1" x14ac:dyDescent="0.2">
      <c r="B2485" s="1083">
        <f>Gliederung_VorRes_Stat_Marktnah!$A$1</f>
        <v>43</v>
      </c>
      <c r="C2485" s="1084" t="str">
        <f>Gliederung_VorRes_Stat_Marktnah!$B$1</f>
        <v>Aufgliederung der vorhandenen Reserven</v>
      </c>
      <c r="D2485" s="1143" t="str">
        <f>Gliederung_VorRes_Stat_Marktnah!$C$14</f>
        <v>Nachweis Kernkapital</v>
      </c>
      <c r="E2485" s="1547" t="str">
        <f>Gliederung_VorRes_Stat_Marktnah!$D$22</f>
        <v>Bewertungsreserven: (Marktwert Ende Vorjahr - Statutarischer Wert Ende Vorjahr)</v>
      </c>
      <c r="F2485" s="1547" t="str">
        <f>Gliederung_VorRes_Stat_Marktnah!$D35</f>
        <v>- auf versicherungstechnischen Rückstellungen</v>
      </c>
      <c r="G2485" s="1494"/>
      <c r="H2485" s="1068"/>
      <c r="U2485" s="1027"/>
      <c r="V2485" s="1027"/>
      <c r="W2485" s="1027"/>
    </row>
    <row r="2486" spans="2:23" ht="12.75" customHeight="1" x14ac:dyDescent="0.2">
      <c r="B2486" s="1083">
        <f>Gliederung_VorRes_Stat_Marktnah!$A$1</f>
        <v>43</v>
      </c>
      <c r="C2486" s="1084" t="str">
        <f>Gliederung_VorRes_Stat_Marktnah!$B$1</f>
        <v>Aufgliederung der vorhandenen Reserven</v>
      </c>
      <c r="D2486" s="1143" t="str">
        <f>Gliederung_VorRes_Stat_Marktnah!$C$14</f>
        <v>Nachweis Kernkapital</v>
      </c>
      <c r="E2486" s="1547" t="str">
        <f>Gliederung_VorRes_Stat_Marktnah!$D$22</f>
        <v>Bewertungsreserven: (Marktwert Ende Vorjahr - Statutarischer Wert Ende Vorjahr)</v>
      </c>
      <c r="F2486" s="1547" t="str">
        <f>Gliederung_VorRes_Stat_Marktnah!$D36</f>
        <v xml:space="preserve">     Leistungsrückstellungen</v>
      </c>
      <c r="G2486" s="1494"/>
      <c r="H2486" s="1020">
        <f ca="1">Gliederung_VorRes_Stat_Marktnah!$E36</f>
        <v>0</v>
      </c>
      <c r="U2486" s="1027"/>
      <c r="V2486" s="1027"/>
      <c r="W2486" s="1027"/>
    </row>
    <row r="2487" spans="2:23" ht="12.75" customHeight="1" x14ac:dyDescent="0.2">
      <c r="B2487" s="1083">
        <f>Gliederung_VorRes_Stat_Marktnah!$A$1</f>
        <v>43</v>
      </c>
      <c r="C2487" s="1084" t="str">
        <f>Gliederung_VorRes_Stat_Marktnah!$B$1</f>
        <v>Aufgliederung der vorhandenen Reserven</v>
      </c>
      <c r="D2487" s="1143" t="str">
        <f>Gliederung_VorRes_Stat_Marktnah!$C$14</f>
        <v>Nachweis Kernkapital</v>
      </c>
      <c r="E2487" s="1547" t="str">
        <f>Gliederung_VorRes_Stat_Marktnah!$D$22</f>
        <v>Bewertungsreserven: (Marktwert Ende Vorjahr - Statutarischer Wert Ende Vorjahr)</v>
      </c>
      <c r="F2487" s="1547" t="str">
        <f>Gliederung_VorRes_Stat_Marktnah!$D37</f>
        <v xml:space="preserve">     Alterungsrückstellungen und Deckungskapitalien</v>
      </c>
      <c r="G2487" s="1494"/>
      <c r="H2487" s="1020">
        <f ca="1">Gliederung_VorRes_Stat_Marktnah!$E37</f>
        <v>0</v>
      </c>
      <c r="U2487" s="1027"/>
      <c r="V2487" s="1027"/>
      <c r="W2487" s="1027"/>
    </row>
    <row r="2488" spans="2:23" ht="12.75" customHeight="1" x14ac:dyDescent="0.2">
      <c r="B2488" s="1083">
        <f>Gliederung_VorRes_Stat_Marktnah!$A$1</f>
        <v>43</v>
      </c>
      <c r="C2488" s="1084" t="str">
        <f>Gliederung_VorRes_Stat_Marktnah!$B$1</f>
        <v>Aufgliederung der vorhandenen Reserven</v>
      </c>
      <c r="D2488" s="1143" t="str">
        <f>Gliederung_VorRes_Stat_Marktnah!$C$14</f>
        <v>Nachweis Kernkapital</v>
      </c>
      <c r="E2488" s="1547" t="str">
        <f>Gliederung_VorRes_Stat_Marktnah!$D$22</f>
        <v>Bewertungsreserven: (Marktwert Ende Vorjahr - Statutarischer Wert Ende Vorjahr)</v>
      </c>
      <c r="F2488" s="1547" t="str">
        <f>Gliederung_VorRes_Stat_Marktnah!$D38</f>
        <v xml:space="preserve">     Prämienüberträge sowie Rückstellungen für künftige Überschussbeteiligungen</v>
      </c>
      <c r="G2488" s="1494"/>
      <c r="H2488" s="1020">
        <f ca="1">Gliederung_VorRes_Stat_Marktnah!$E38</f>
        <v>0</v>
      </c>
      <c r="U2488" s="1027"/>
      <c r="V2488" s="1027"/>
      <c r="W2488" s="1027"/>
    </row>
    <row r="2489" spans="2:23" ht="12.75" customHeight="1" x14ac:dyDescent="0.2">
      <c r="B2489" s="1083">
        <f>Gliederung_VorRes_Stat_Marktnah!$A$1</f>
        <v>43</v>
      </c>
      <c r="C2489" s="1084" t="str">
        <f>Gliederung_VorRes_Stat_Marktnah!$B$1</f>
        <v>Aufgliederung der vorhandenen Reserven</v>
      </c>
      <c r="D2489" s="1143" t="str">
        <f>Gliederung_VorRes_Stat_Marktnah!$C$14</f>
        <v>Nachweis Kernkapital</v>
      </c>
      <c r="E2489" s="1547" t="str">
        <f>Gliederung_VorRes_Stat_Marktnah!$D$22</f>
        <v>Bewertungsreserven: (Marktwert Ende Vorjahr - Statutarischer Wert Ende Vorjahr)</v>
      </c>
      <c r="F2489" s="1547" t="str">
        <f>Gliederung_VorRes_Stat_Marktnah!$D39</f>
        <v xml:space="preserve">     Schwankungs- und Sicherheitsrückstellungen</v>
      </c>
      <c r="G2489" s="1494"/>
      <c r="H2489" s="1020">
        <f ca="1">Gliederung_VorRes_Stat_Marktnah!$E39</f>
        <v>0</v>
      </c>
      <c r="U2489" s="1027"/>
      <c r="V2489" s="1027"/>
      <c r="W2489" s="1027"/>
    </row>
    <row r="2490" spans="2:23" ht="12.75" customHeight="1" x14ac:dyDescent="0.2">
      <c r="B2490" s="1083">
        <f>Gliederung_VorRes_Stat_Marktnah!$A$1</f>
        <v>43</v>
      </c>
      <c r="C2490" s="1084" t="str">
        <f>Gliederung_VorRes_Stat_Marktnah!$B$1</f>
        <v>Aufgliederung der vorhandenen Reserven</v>
      </c>
      <c r="D2490" s="1143" t="str">
        <f>Gliederung_VorRes_Stat_Marktnah!$C$14</f>
        <v>Nachweis Kernkapital</v>
      </c>
      <c r="E2490" s="1547" t="str">
        <f>Gliederung_VorRes_Stat_Marktnah!$D$22</f>
        <v>Bewertungsreserven: (Marktwert Ende Vorjahr - Statutarischer Wert Ende Vorjahr)</v>
      </c>
      <c r="F2490" s="1547" t="str">
        <f>Gliederung_VorRes_Stat_Marktnah!$D40</f>
        <v>- auf übrigem Fremdkapital</v>
      </c>
      <c r="G2490" s="1494"/>
      <c r="H2490" s="1068"/>
      <c r="U2490" s="1027"/>
      <c r="V2490" s="1027"/>
      <c r="W2490" s="1027"/>
    </row>
    <row r="2491" spans="2:23" ht="12.75" customHeight="1" x14ac:dyDescent="0.2">
      <c r="B2491" s="1083">
        <f>Gliederung_VorRes_Stat_Marktnah!$A$1</f>
        <v>43</v>
      </c>
      <c r="C2491" s="1084" t="str">
        <f>Gliederung_VorRes_Stat_Marktnah!$B$1</f>
        <v>Aufgliederung der vorhandenen Reserven</v>
      </c>
      <c r="D2491" s="1143" t="str">
        <f>Gliederung_VorRes_Stat_Marktnah!$C$14</f>
        <v>Nachweis Kernkapital</v>
      </c>
      <c r="E2491" s="1547" t="str">
        <f>Gliederung_VorRes_Stat_Marktnah!$D$22</f>
        <v>Bewertungsreserven: (Marktwert Ende Vorjahr - Statutarischer Wert Ende Vorjahr)</v>
      </c>
      <c r="F2491" s="1547" t="str">
        <f>Gliederung_VorRes_Stat_Marktnah!$D41</f>
        <v xml:space="preserve">     Nichtversicherungstechnische Rückstellungen</v>
      </c>
      <c r="G2491" s="1494"/>
      <c r="H2491" s="1020">
        <f ca="1">Gliederung_VorRes_Stat_Marktnah!$E41</f>
        <v>0</v>
      </c>
      <c r="U2491" s="1027"/>
      <c r="V2491" s="1027"/>
      <c r="W2491" s="1027"/>
    </row>
    <row r="2492" spans="2:23" ht="12.75" customHeight="1" x14ac:dyDescent="0.2">
      <c r="B2492" s="1083">
        <f>Gliederung_VorRes_Stat_Marktnah!$A$1</f>
        <v>43</v>
      </c>
      <c r="C2492" s="1084" t="str">
        <f>Gliederung_VorRes_Stat_Marktnah!$B$1</f>
        <v>Aufgliederung der vorhandenen Reserven</v>
      </c>
      <c r="D2492" s="1143" t="str">
        <f>Gliederung_VorRes_Stat_Marktnah!$C$14</f>
        <v>Nachweis Kernkapital</v>
      </c>
      <c r="E2492" s="1547" t="str">
        <f>Gliederung_VorRes_Stat_Marktnah!$D$22</f>
        <v>Bewertungsreserven: (Marktwert Ende Vorjahr - Statutarischer Wert Ende Vorjahr)</v>
      </c>
      <c r="F2492" s="1547" t="str">
        <f>Gliederung_VorRes_Stat_Marktnah!$D42</f>
        <v xml:space="preserve">     Rückstellungen für Risiken in den Kapitalanlagen</v>
      </c>
      <c r="G2492" s="1494"/>
      <c r="H2492" s="1020">
        <f ca="1">Gliederung_VorRes_Stat_Marktnah!$E42</f>
        <v>0</v>
      </c>
      <c r="U2492" s="1027"/>
      <c r="V2492" s="1027"/>
      <c r="W2492" s="1027"/>
    </row>
    <row r="2493" spans="2:23" ht="12.75" customHeight="1" x14ac:dyDescent="0.2">
      <c r="B2493" s="1083">
        <f>Gliederung_VorRes_Stat_Marktnah!$A$1</f>
        <v>43</v>
      </c>
      <c r="C2493" s="1084" t="str">
        <f>Gliederung_VorRes_Stat_Marktnah!$B$1</f>
        <v>Aufgliederung der vorhandenen Reserven</v>
      </c>
      <c r="D2493" s="1143" t="str">
        <f>Gliederung_VorRes_Stat_Marktnah!$C$14</f>
        <v>Nachweis Kernkapital</v>
      </c>
      <c r="E2493" s="1547" t="str">
        <f>Gliederung_VorRes_Stat_Marktnah!$D$22</f>
        <v>Bewertungsreserven: (Marktwert Ende Vorjahr - Statutarischer Wert Ende Vorjahr)</v>
      </c>
      <c r="F2493" s="1547" t="str">
        <f>Gliederung_VorRes_Stat_Marktnah!$D43</f>
        <v xml:space="preserve">     Übrige Verbindlichkeiten (inkl. Rechnungsabgrenzungen)</v>
      </c>
      <c r="G2493" s="1494"/>
      <c r="H2493" s="1020">
        <f ca="1">Gliederung_VorRes_Stat_Marktnah!$E43</f>
        <v>0</v>
      </c>
      <c r="U2493" s="1027"/>
      <c r="V2493" s="1027"/>
      <c r="W2493" s="1027"/>
    </row>
    <row r="2494" spans="2:23" ht="12.75" customHeight="1" x14ac:dyDescent="0.2">
      <c r="B2494" s="1083"/>
      <c r="C2494" s="1084"/>
      <c r="D2494" s="1143"/>
      <c r="E2494" s="1547"/>
      <c r="F2494" s="1547"/>
      <c r="G2494" s="1494"/>
      <c r="H2494" s="1068"/>
      <c r="U2494" s="1027"/>
      <c r="V2494" s="1027"/>
      <c r="W2494" s="1027"/>
    </row>
    <row r="2495" spans="2:23" ht="12.75" customHeight="1" x14ac:dyDescent="0.2">
      <c r="B2495" s="1083">
        <f>Gliederung_VorRes_Stat_Marktnah!$A$1</f>
        <v>43</v>
      </c>
      <c r="C2495" s="1084" t="str">
        <f>Gliederung_VorRes_Stat_Marktnah!$B$1</f>
        <v>Aufgliederung der vorhandenen Reserven</v>
      </c>
      <c r="D2495" s="1143" t="str">
        <f>Gliederung_VorRes_Stat_Marktnah!$C$14</f>
        <v>Nachweis Kernkapital</v>
      </c>
      <c r="E2495" s="1547" t="str">
        <f>Gliederung_VorRes_Stat_Marktnah!$D$45</f>
        <v>Jahreswechseleffekt (Marktwert Anfang Jahr - Marktwert Ende Vorjahr)</v>
      </c>
      <c r="F2495" s="1494"/>
      <c r="G2495" s="1494"/>
      <c r="H2495" s="1068"/>
      <c r="U2495" s="1027"/>
      <c r="V2495" s="1027"/>
      <c r="W2495" s="1027"/>
    </row>
    <row r="2496" spans="2:23" ht="12.75" customHeight="1" x14ac:dyDescent="0.2">
      <c r="B2496" s="1083">
        <f>Gliederung_VorRes_Stat_Marktnah!$A$1</f>
        <v>43</v>
      </c>
      <c r="C2496" s="1084" t="str">
        <f>Gliederung_VorRes_Stat_Marktnah!$B$1</f>
        <v>Aufgliederung der vorhandenen Reserven</v>
      </c>
      <c r="D2496" s="1143" t="str">
        <f>Gliederung_VorRes_Stat_Marktnah!$C$14</f>
        <v>Nachweis Kernkapital</v>
      </c>
      <c r="E2496" s="1547" t="str">
        <f>Gliederung_VorRes_Stat_Marktnah!$D$45</f>
        <v>Jahreswechseleffekt (Marktwert Anfang Jahr - Marktwert Ende Vorjahr)</v>
      </c>
      <c r="F2496" s="1547" t="str">
        <f>Gliederung_VorRes_Stat_Marktnah!$D46</f>
        <v>- auf Kapitalanlagen</v>
      </c>
      <c r="G2496" s="1494"/>
      <c r="H2496" s="1068"/>
      <c r="U2496" s="1027"/>
      <c r="V2496" s="1027"/>
      <c r="W2496" s="1027"/>
    </row>
    <row r="2497" spans="2:23" ht="12.75" customHeight="1" x14ac:dyDescent="0.2">
      <c r="B2497" s="1083">
        <f>Gliederung_VorRes_Stat_Marktnah!$A$1</f>
        <v>43</v>
      </c>
      <c r="C2497" s="1084" t="str">
        <f>Gliederung_VorRes_Stat_Marktnah!$B$1</f>
        <v>Aufgliederung der vorhandenen Reserven</v>
      </c>
      <c r="D2497" s="1143" t="str">
        <f>Gliederung_VorRes_Stat_Marktnah!$C$14</f>
        <v>Nachweis Kernkapital</v>
      </c>
      <c r="E2497" s="1547" t="str">
        <f>Gliederung_VorRes_Stat_Marktnah!$D$45</f>
        <v>Jahreswechseleffekt (Marktwert Anfang Jahr - Marktwert Ende Vorjahr)</v>
      </c>
      <c r="F2497" s="1547" t="str">
        <f>Gliederung_VorRes_Stat_Marktnah!$D47</f>
        <v xml:space="preserve">     Grundstücke und Bauten</v>
      </c>
      <c r="G2497" s="1494"/>
      <c r="H2497" s="1020">
        <f>Gliederung_VorRes_Stat_Marktnah!$E47</f>
        <v>0</v>
      </c>
      <c r="U2497" s="1027"/>
      <c r="V2497" s="1027"/>
      <c r="W2497" s="1027"/>
    </row>
    <row r="2498" spans="2:23" ht="12.75" customHeight="1" x14ac:dyDescent="0.2">
      <c r="B2498" s="1083">
        <f>Gliederung_VorRes_Stat_Marktnah!$A$1</f>
        <v>43</v>
      </c>
      <c r="C2498" s="1084" t="str">
        <f>Gliederung_VorRes_Stat_Marktnah!$B$1</f>
        <v>Aufgliederung der vorhandenen Reserven</v>
      </c>
      <c r="D2498" s="1143" t="str">
        <f>Gliederung_VorRes_Stat_Marktnah!$C$14</f>
        <v>Nachweis Kernkapital</v>
      </c>
      <c r="E2498" s="1547" t="str">
        <f>Gliederung_VorRes_Stat_Marktnah!$D$45</f>
        <v>Jahreswechseleffekt (Marktwert Anfang Jahr - Marktwert Ende Vorjahr)</v>
      </c>
      <c r="F2498" s="1547" t="str">
        <f>Gliederung_VorRes_Stat_Marktnah!$D48</f>
        <v xml:space="preserve">     Obligationen</v>
      </c>
      <c r="G2498" s="1494"/>
      <c r="H2498" s="1020">
        <f>Gliederung_VorRes_Stat_Marktnah!$E48</f>
        <v>0</v>
      </c>
      <c r="U2498" s="1027"/>
      <c r="V2498" s="1027"/>
      <c r="W2498" s="1027"/>
    </row>
    <row r="2499" spans="2:23" ht="12.75" customHeight="1" x14ac:dyDescent="0.2">
      <c r="B2499" s="1083">
        <f>Gliederung_VorRes_Stat_Marktnah!$A$1</f>
        <v>43</v>
      </c>
      <c r="C2499" s="1084" t="str">
        <f>Gliederung_VorRes_Stat_Marktnah!$B$1</f>
        <v>Aufgliederung der vorhandenen Reserven</v>
      </c>
      <c r="D2499" s="1143" t="str">
        <f>Gliederung_VorRes_Stat_Marktnah!$C$14</f>
        <v>Nachweis Kernkapital</v>
      </c>
      <c r="E2499" s="1547" t="str">
        <f>Gliederung_VorRes_Stat_Marktnah!$D$45</f>
        <v>Jahreswechseleffekt (Marktwert Anfang Jahr - Marktwert Ende Vorjahr)</v>
      </c>
      <c r="F2499" s="1547" t="str">
        <f>Gliederung_VorRes_Stat_Marktnah!$D49</f>
        <v xml:space="preserve">     Aktien und ähnliche Anlagen</v>
      </c>
      <c r="G2499" s="1494"/>
      <c r="H2499" s="1020">
        <f>Gliederung_VorRes_Stat_Marktnah!$E49</f>
        <v>0</v>
      </c>
      <c r="U2499" s="1027"/>
      <c r="V2499" s="1027"/>
      <c r="W2499" s="1027"/>
    </row>
    <row r="2500" spans="2:23" ht="12.75" customHeight="1" x14ac:dyDescent="0.2">
      <c r="B2500" s="1083">
        <f>Gliederung_VorRes_Stat_Marktnah!$A$1</f>
        <v>43</v>
      </c>
      <c r="C2500" s="1084" t="str">
        <f>Gliederung_VorRes_Stat_Marktnah!$B$1</f>
        <v>Aufgliederung der vorhandenen Reserven</v>
      </c>
      <c r="D2500" s="1143" t="str">
        <f>Gliederung_VorRes_Stat_Marktnah!$C$14</f>
        <v>Nachweis Kernkapital</v>
      </c>
      <c r="E2500" s="1547" t="str">
        <f>Gliederung_VorRes_Stat_Marktnah!$D$45</f>
        <v>Jahreswechseleffekt (Marktwert Anfang Jahr - Marktwert Ende Vorjahr)</v>
      </c>
      <c r="F2500" s="1547" t="str">
        <f>Gliederung_VorRes_Stat_Marktnah!$D50</f>
        <v xml:space="preserve">     Anteile an Anlagefonds</v>
      </c>
      <c r="G2500" s="1494"/>
      <c r="H2500" s="1020">
        <f>Gliederung_VorRes_Stat_Marktnah!$E50</f>
        <v>0</v>
      </c>
      <c r="U2500" s="1027"/>
      <c r="V2500" s="1027"/>
      <c r="W2500" s="1027"/>
    </row>
    <row r="2501" spans="2:23" ht="12.75" customHeight="1" x14ac:dyDescent="0.2">
      <c r="B2501" s="1083">
        <f>Gliederung_VorRes_Stat_Marktnah!$A$1</f>
        <v>43</v>
      </c>
      <c r="C2501" s="1084" t="str">
        <f>Gliederung_VorRes_Stat_Marktnah!$B$1</f>
        <v>Aufgliederung der vorhandenen Reserven</v>
      </c>
      <c r="D2501" s="1143" t="str">
        <f>Gliederung_VorRes_Stat_Marktnah!$C$14</f>
        <v>Nachweis Kernkapital</v>
      </c>
      <c r="E2501" s="1547" t="str">
        <f>Gliederung_VorRes_Stat_Marktnah!$D$45</f>
        <v>Jahreswechseleffekt (Marktwert Anfang Jahr - Marktwert Ende Vorjahr)</v>
      </c>
      <c r="F2501" s="1547" t="str">
        <f>Gliederung_VorRes_Stat_Marktnah!$D51</f>
        <v xml:space="preserve">     Derivative Finanzinstrumente (Guthaben)</v>
      </c>
      <c r="G2501" s="1494"/>
      <c r="H2501" s="1020">
        <f>Gliederung_VorRes_Stat_Marktnah!$E51</f>
        <v>0</v>
      </c>
      <c r="U2501" s="1027"/>
      <c r="V2501" s="1027"/>
      <c r="W2501" s="1027"/>
    </row>
    <row r="2502" spans="2:23" ht="12.75" customHeight="1" x14ac:dyDescent="0.2">
      <c r="B2502" s="1083">
        <f>Gliederung_VorRes_Stat_Marktnah!$A$1</f>
        <v>43</v>
      </c>
      <c r="C2502" s="1084" t="str">
        <f>Gliederung_VorRes_Stat_Marktnah!$B$1</f>
        <v>Aufgliederung der vorhandenen Reserven</v>
      </c>
      <c r="D2502" s="1143" t="str">
        <f>Gliederung_VorRes_Stat_Marktnah!$C$14</f>
        <v>Nachweis Kernkapital</v>
      </c>
      <c r="E2502" s="1547" t="str">
        <f>Gliederung_VorRes_Stat_Marktnah!$D$45</f>
        <v>Jahreswechseleffekt (Marktwert Anfang Jahr - Marktwert Ende Vorjahr)</v>
      </c>
      <c r="F2502" s="1547" t="str">
        <f>Gliederung_VorRes_Stat_Marktnah!$D52</f>
        <v xml:space="preserve">     Liquide Mittel</v>
      </c>
      <c r="G2502" s="1494"/>
      <c r="H2502" s="1020">
        <f>Gliederung_VorRes_Stat_Marktnah!$E52</f>
        <v>0</v>
      </c>
      <c r="U2502" s="1027"/>
      <c r="V2502" s="1027"/>
      <c r="W2502" s="1027"/>
    </row>
    <row r="2503" spans="2:23" ht="12.75" customHeight="1" x14ac:dyDescent="0.2">
      <c r="B2503" s="1083">
        <f>Gliederung_VorRes_Stat_Marktnah!$A$1</f>
        <v>43</v>
      </c>
      <c r="C2503" s="1084" t="str">
        <f>Gliederung_VorRes_Stat_Marktnah!$B$1</f>
        <v>Aufgliederung der vorhandenen Reserven</v>
      </c>
      <c r="D2503" s="1143" t="str">
        <f>Gliederung_VorRes_Stat_Marktnah!$C$14</f>
        <v>Nachweis Kernkapital</v>
      </c>
      <c r="E2503" s="1547" t="str">
        <f>Gliederung_VorRes_Stat_Marktnah!$D$45</f>
        <v>Jahreswechseleffekt (Marktwert Anfang Jahr - Marktwert Ende Vorjahr)</v>
      </c>
      <c r="F2503" s="1547" t="str">
        <f>Gliederung_VorRes_Stat_Marktnah!$D53</f>
        <v xml:space="preserve">     Anlagen in Institutionen, die der Durchführung der sozialen Krankenversicherung dienen</v>
      </c>
      <c r="G2503" s="1494"/>
      <c r="H2503" s="1020">
        <f>Gliederung_VorRes_Stat_Marktnah!$E53</f>
        <v>0</v>
      </c>
      <c r="U2503" s="1027"/>
      <c r="V2503" s="1027"/>
      <c r="W2503" s="1027"/>
    </row>
    <row r="2504" spans="2:23" ht="12.75" customHeight="1" x14ac:dyDescent="0.2">
      <c r="B2504" s="1083">
        <f>Gliederung_VorRes_Stat_Marktnah!$A$1</f>
        <v>43</v>
      </c>
      <c r="C2504" s="1084" t="str">
        <f>Gliederung_VorRes_Stat_Marktnah!$B$1</f>
        <v>Aufgliederung der vorhandenen Reserven</v>
      </c>
      <c r="D2504" s="1143" t="str">
        <f>Gliederung_VorRes_Stat_Marktnah!$C$14</f>
        <v>Nachweis Kernkapital</v>
      </c>
      <c r="E2504" s="1547" t="str">
        <f>Gliederung_VorRes_Stat_Marktnah!$D$45</f>
        <v>Jahreswechseleffekt (Marktwert Anfang Jahr - Marktwert Ende Vorjahr)</v>
      </c>
      <c r="F2504" s="1547" t="str">
        <f>Gliederung_VorRes_Stat_Marktnah!$D54</f>
        <v xml:space="preserve">     Übrige Kapitalanlagen (Latente Steuern, Aktiven aus Vorsorgeplänen)</v>
      </c>
      <c r="G2504" s="1494"/>
      <c r="H2504" s="1020">
        <f>Gliederung_VorRes_Stat_Marktnah!$E54</f>
        <v>0</v>
      </c>
      <c r="U2504" s="1027"/>
      <c r="V2504" s="1027"/>
      <c r="W2504" s="1027"/>
    </row>
    <row r="2505" spans="2:23" ht="12.75" customHeight="1" x14ac:dyDescent="0.2">
      <c r="B2505" s="1083">
        <f>Gliederung_VorRes_Stat_Marktnah!$A$1</f>
        <v>43</v>
      </c>
      <c r="C2505" s="1084" t="str">
        <f>Gliederung_VorRes_Stat_Marktnah!$B$1</f>
        <v>Aufgliederung der vorhandenen Reserven</v>
      </c>
      <c r="D2505" s="1143" t="str">
        <f>Gliederung_VorRes_Stat_Marktnah!$C$14</f>
        <v>Nachweis Kernkapital</v>
      </c>
      <c r="E2505" s="1547" t="str">
        <f>Gliederung_VorRes_Stat_Marktnah!$D$45</f>
        <v>Jahreswechseleffekt (Marktwert Anfang Jahr - Marktwert Ende Vorjahr)</v>
      </c>
      <c r="F2505" s="1547" t="str">
        <f>Gliederung_VorRes_Stat_Marktnah!$D55</f>
        <v>- auf übrigen Aktiven</v>
      </c>
      <c r="G2505" s="1494"/>
      <c r="H2505" s="1068"/>
      <c r="U2505" s="1027"/>
      <c r="V2505" s="1027"/>
      <c r="W2505" s="1027"/>
    </row>
    <row r="2506" spans="2:23" ht="12.75" customHeight="1" x14ac:dyDescent="0.2">
      <c r="B2506" s="1083">
        <f>Gliederung_VorRes_Stat_Marktnah!$A$1</f>
        <v>43</v>
      </c>
      <c r="C2506" s="1084" t="str">
        <f>Gliederung_VorRes_Stat_Marktnah!$B$1</f>
        <v>Aufgliederung der vorhandenen Reserven</v>
      </c>
      <c r="D2506" s="1143" t="str">
        <f>Gliederung_VorRes_Stat_Marktnah!$C$14</f>
        <v>Nachweis Kernkapital</v>
      </c>
      <c r="E2506" s="1547" t="str">
        <f>Gliederung_VorRes_Stat_Marktnah!$D$45</f>
        <v>Jahreswechseleffekt (Marktwert Anfang Jahr - Marktwert Ende Vorjahr)</v>
      </c>
      <c r="F2506" s="1547" t="str">
        <f>Gliederung_VorRes_Stat_Marktnah!$D56</f>
        <v xml:space="preserve">     übriges Anlagevermögen (Immaterielle Anlagen, Sachanlagen)</v>
      </c>
      <c r="G2506" s="1494"/>
      <c r="H2506" s="1020">
        <f>Gliederung_VorRes_Stat_Marktnah!$E56</f>
        <v>0</v>
      </c>
      <c r="U2506" s="1027"/>
      <c r="V2506" s="1027"/>
      <c r="W2506" s="1027"/>
    </row>
    <row r="2507" spans="2:23" ht="12.75" customHeight="1" x14ac:dyDescent="0.2">
      <c r="B2507" s="1083">
        <f>Gliederung_VorRes_Stat_Marktnah!$A$1</f>
        <v>43</v>
      </c>
      <c r="C2507" s="1084" t="str">
        <f>Gliederung_VorRes_Stat_Marktnah!$B$1</f>
        <v>Aufgliederung der vorhandenen Reserven</v>
      </c>
      <c r="D2507" s="1143" t="str">
        <f>Gliederung_VorRes_Stat_Marktnah!$C$14</f>
        <v>Nachweis Kernkapital</v>
      </c>
      <c r="E2507" s="1547" t="str">
        <f>Gliederung_VorRes_Stat_Marktnah!$D$45</f>
        <v>Jahreswechseleffekt (Marktwert Anfang Jahr - Marktwert Ende Vorjahr)</v>
      </c>
      <c r="F2507" s="1547" t="str">
        <f>Gliederung_VorRes_Stat_Marktnah!$D57</f>
        <v xml:space="preserve">     Umlaufvermögen</v>
      </c>
      <c r="G2507" s="1494"/>
      <c r="H2507" s="1020">
        <f>Gliederung_VorRes_Stat_Marktnah!$E57</f>
        <v>0</v>
      </c>
      <c r="U2507" s="1027"/>
      <c r="V2507" s="1027"/>
      <c r="W2507" s="1027"/>
    </row>
    <row r="2508" spans="2:23" ht="12.75" customHeight="1" x14ac:dyDescent="0.2">
      <c r="B2508" s="1083">
        <f>Gliederung_VorRes_Stat_Marktnah!$A$1</f>
        <v>43</v>
      </c>
      <c r="C2508" s="1084" t="str">
        <f>Gliederung_VorRes_Stat_Marktnah!$B$1</f>
        <v>Aufgliederung der vorhandenen Reserven</v>
      </c>
      <c r="D2508" s="1143" t="str">
        <f>Gliederung_VorRes_Stat_Marktnah!$C$14</f>
        <v>Nachweis Kernkapital</v>
      </c>
      <c r="E2508" s="1547" t="str">
        <f>Gliederung_VorRes_Stat_Marktnah!$D$45</f>
        <v>Jahreswechseleffekt (Marktwert Anfang Jahr - Marktwert Ende Vorjahr)</v>
      </c>
      <c r="F2508" s="1547" t="str">
        <f>Gliederung_VorRes_Stat_Marktnah!$D58</f>
        <v>- auf versicherungstechnischen Rückstellungen</v>
      </c>
      <c r="G2508" s="1494"/>
      <c r="H2508" s="1068"/>
      <c r="U2508" s="1027"/>
      <c r="V2508" s="1027"/>
      <c r="W2508" s="1027"/>
    </row>
    <row r="2509" spans="2:23" ht="12.75" customHeight="1" x14ac:dyDescent="0.2">
      <c r="B2509" s="1083">
        <f>Gliederung_VorRes_Stat_Marktnah!$A$1</f>
        <v>43</v>
      </c>
      <c r="C2509" s="1084" t="str">
        <f>Gliederung_VorRes_Stat_Marktnah!$B$1</f>
        <v>Aufgliederung der vorhandenen Reserven</v>
      </c>
      <c r="D2509" s="1143" t="str">
        <f>Gliederung_VorRes_Stat_Marktnah!$C$14</f>
        <v>Nachweis Kernkapital</v>
      </c>
      <c r="E2509" s="1547" t="str">
        <f>Gliederung_VorRes_Stat_Marktnah!$D$45</f>
        <v>Jahreswechseleffekt (Marktwert Anfang Jahr - Marktwert Ende Vorjahr)</v>
      </c>
      <c r="F2509" s="1547" t="str">
        <f>Gliederung_VorRes_Stat_Marktnah!$D59</f>
        <v xml:space="preserve">     Leistungsrückstellungen</v>
      </c>
      <c r="G2509" s="1494"/>
      <c r="H2509" s="1020">
        <f>Gliederung_VorRes_Stat_Marktnah!$E59</f>
        <v>0</v>
      </c>
      <c r="U2509" s="1027"/>
      <c r="V2509" s="1027"/>
      <c r="W2509" s="1027"/>
    </row>
    <row r="2510" spans="2:23" ht="12.75" customHeight="1" x14ac:dyDescent="0.2">
      <c r="B2510" s="1083">
        <f>Gliederung_VorRes_Stat_Marktnah!$A$1</f>
        <v>43</v>
      </c>
      <c r="C2510" s="1084" t="str">
        <f>Gliederung_VorRes_Stat_Marktnah!$B$1</f>
        <v>Aufgliederung der vorhandenen Reserven</v>
      </c>
      <c r="D2510" s="1143" t="str">
        <f>Gliederung_VorRes_Stat_Marktnah!$C$14</f>
        <v>Nachweis Kernkapital</v>
      </c>
      <c r="E2510" s="1547" t="str">
        <f>Gliederung_VorRes_Stat_Marktnah!$D$45</f>
        <v>Jahreswechseleffekt (Marktwert Anfang Jahr - Marktwert Ende Vorjahr)</v>
      </c>
      <c r="F2510" s="1547" t="str">
        <f>Gliederung_VorRes_Stat_Marktnah!$D60</f>
        <v xml:space="preserve">     Alterungsrückstellungen und Deckungskapitalien</v>
      </c>
      <c r="G2510" s="1494"/>
      <c r="H2510" s="1020">
        <f>Gliederung_VorRes_Stat_Marktnah!$E60</f>
        <v>0</v>
      </c>
      <c r="U2510" s="1027"/>
      <c r="V2510" s="1027"/>
      <c r="W2510" s="1027"/>
    </row>
    <row r="2511" spans="2:23" ht="12.75" customHeight="1" x14ac:dyDescent="0.2">
      <c r="B2511" s="1083">
        <f>Gliederung_VorRes_Stat_Marktnah!$A$1</f>
        <v>43</v>
      </c>
      <c r="C2511" s="1084" t="str">
        <f>Gliederung_VorRes_Stat_Marktnah!$B$1</f>
        <v>Aufgliederung der vorhandenen Reserven</v>
      </c>
      <c r="D2511" s="1143" t="str">
        <f>Gliederung_VorRes_Stat_Marktnah!$C$14</f>
        <v>Nachweis Kernkapital</v>
      </c>
      <c r="E2511" s="1547" t="str">
        <f>Gliederung_VorRes_Stat_Marktnah!$D$45</f>
        <v>Jahreswechseleffekt (Marktwert Anfang Jahr - Marktwert Ende Vorjahr)</v>
      </c>
      <c r="F2511" s="1547" t="str">
        <f>Gliederung_VorRes_Stat_Marktnah!$D61</f>
        <v xml:space="preserve">     Prämienüberträge sowie Rückstellungen für künftige Überschussbeteiligungen</v>
      </c>
      <c r="G2511" s="1494"/>
      <c r="H2511" s="1020">
        <f>Gliederung_VorRes_Stat_Marktnah!$E61</f>
        <v>0</v>
      </c>
      <c r="U2511" s="1027"/>
      <c r="V2511" s="1027"/>
      <c r="W2511" s="1027"/>
    </row>
    <row r="2512" spans="2:23" ht="12.75" customHeight="1" x14ac:dyDescent="0.2">
      <c r="B2512" s="1083">
        <f>Gliederung_VorRes_Stat_Marktnah!$A$1</f>
        <v>43</v>
      </c>
      <c r="C2512" s="1084" t="str">
        <f>Gliederung_VorRes_Stat_Marktnah!$B$1</f>
        <v>Aufgliederung der vorhandenen Reserven</v>
      </c>
      <c r="D2512" s="1143" t="str">
        <f>Gliederung_VorRes_Stat_Marktnah!$C$14</f>
        <v>Nachweis Kernkapital</v>
      </c>
      <c r="E2512" s="1547" t="str">
        <f>Gliederung_VorRes_Stat_Marktnah!$D$45</f>
        <v>Jahreswechseleffekt (Marktwert Anfang Jahr - Marktwert Ende Vorjahr)</v>
      </c>
      <c r="F2512" s="1547" t="str">
        <f>Gliederung_VorRes_Stat_Marktnah!$D62</f>
        <v xml:space="preserve">     Schwankungs- und Sicherheitsrückstellungen</v>
      </c>
      <c r="G2512" s="1494"/>
      <c r="H2512" s="1020">
        <f>Gliederung_VorRes_Stat_Marktnah!$E62</f>
        <v>0</v>
      </c>
      <c r="U2512" s="1027"/>
      <c r="V2512" s="1027"/>
      <c r="W2512" s="1027"/>
    </row>
    <row r="2513" spans="2:23" ht="12.75" customHeight="1" x14ac:dyDescent="0.2">
      <c r="B2513" s="1083">
        <f>Gliederung_VorRes_Stat_Marktnah!$A$1</f>
        <v>43</v>
      </c>
      <c r="C2513" s="1084" t="str">
        <f>Gliederung_VorRes_Stat_Marktnah!$B$1</f>
        <v>Aufgliederung der vorhandenen Reserven</v>
      </c>
      <c r="D2513" s="1143" t="str">
        <f>Gliederung_VorRes_Stat_Marktnah!$C$14</f>
        <v>Nachweis Kernkapital</v>
      </c>
      <c r="E2513" s="1547" t="str">
        <f>Gliederung_VorRes_Stat_Marktnah!$D$45</f>
        <v>Jahreswechseleffekt (Marktwert Anfang Jahr - Marktwert Ende Vorjahr)</v>
      </c>
      <c r="F2513" s="1547" t="str">
        <f>Gliederung_VorRes_Stat_Marktnah!$D63</f>
        <v>- auf übrigem Fremdkapital</v>
      </c>
      <c r="G2513" s="1494"/>
      <c r="H2513" s="1068"/>
      <c r="U2513" s="1027"/>
      <c r="V2513" s="1027"/>
      <c r="W2513" s="1027"/>
    </row>
    <row r="2514" spans="2:23" ht="12.75" customHeight="1" x14ac:dyDescent="0.2">
      <c r="B2514" s="1083">
        <f>Gliederung_VorRes_Stat_Marktnah!$A$1</f>
        <v>43</v>
      </c>
      <c r="C2514" s="1084" t="str">
        <f>Gliederung_VorRes_Stat_Marktnah!$B$1</f>
        <v>Aufgliederung der vorhandenen Reserven</v>
      </c>
      <c r="D2514" s="1143" t="str">
        <f>Gliederung_VorRes_Stat_Marktnah!$C$14</f>
        <v>Nachweis Kernkapital</v>
      </c>
      <c r="E2514" s="1547" t="str">
        <f>Gliederung_VorRes_Stat_Marktnah!$D$45</f>
        <v>Jahreswechseleffekt (Marktwert Anfang Jahr - Marktwert Ende Vorjahr)</v>
      </c>
      <c r="F2514" s="1547" t="str">
        <f>Gliederung_VorRes_Stat_Marktnah!$D64</f>
        <v xml:space="preserve">     Nichtversicherungstechnische Rückstellungen</v>
      </c>
      <c r="G2514" s="1494"/>
      <c r="H2514" s="1020">
        <f>Gliederung_VorRes_Stat_Marktnah!$E64</f>
        <v>0</v>
      </c>
      <c r="U2514" s="1027"/>
      <c r="V2514" s="1027"/>
      <c r="W2514" s="1027"/>
    </row>
    <row r="2515" spans="2:23" ht="12.75" customHeight="1" x14ac:dyDescent="0.2">
      <c r="B2515" s="1083">
        <f>Gliederung_VorRes_Stat_Marktnah!$A$1</f>
        <v>43</v>
      </c>
      <c r="C2515" s="1084" t="str">
        <f>Gliederung_VorRes_Stat_Marktnah!$B$1</f>
        <v>Aufgliederung der vorhandenen Reserven</v>
      </c>
      <c r="D2515" s="1143" t="str">
        <f>Gliederung_VorRes_Stat_Marktnah!$C$14</f>
        <v>Nachweis Kernkapital</v>
      </c>
      <c r="E2515" s="1547" t="str">
        <f>Gliederung_VorRes_Stat_Marktnah!$D$45</f>
        <v>Jahreswechseleffekt (Marktwert Anfang Jahr - Marktwert Ende Vorjahr)</v>
      </c>
      <c r="F2515" s="1547" t="str">
        <f>Gliederung_VorRes_Stat_Marktnah!$D65</f>
        <v xml:space="preserve">     Rückstellungen für Risiken in den Kapitalanlagen</v>
      </c>
      <c r="G2515" s="1494"/>
      <c r="H2515" s="1020">
        <f>Gliederung_VorRes_Stat_Marktnah!$E65</f>
        <v>0</v>
      </c>
      <c r="U2515" s="1027"/>
      <c r="V2515" s="1027"/>
      <c r="W2515" s="1027"/>
    </row>
    <row r="2516" spans="2:23" ht="12.75" customHeight="1" x14ac:dyDescent="0.2">
      <c r="B2516" s="1083">
        <f>Gliederung_VorRes_Stat_Marktnah!$A$1</f>
        <v>43</v>
      </c>
      <c r="C2516" s="1084" t="str">
        <f>Gliederung_VorRes_Stat_Marktnah!$B$1</f>
        <v>Aufgliederung der vorhandenen Reserven</v>
      </c>
      <c r="D2516" s="1143" t="str">
        <f>Gliederung_VorRes_Stat_Marktnah!$C$14</f>
        <v>Nachweis Kernkapital</v>
      </c>
      <c r="E2516" s="1547" t="str">
        <f>Gliederung_VorRes_Stat_Marktnah!$D$45</f>
        <v>Jahreswechseleffekt (Marktwert Anfang Jahr - Marktwert Ende Vorjahr)</v>
      </c>
      <c r="F2516" s="1547" t="str">
        <f>Gliederung_VorRes_Stat_Marktnah!$D66</f>
        <v xml:space="preserve">     Übrige Verbindlichkeiten (inkl. Rechnungsabgrenzungen)</v>
      </c>
      <c r="G2516" s="1494"/>
      <c r="H2516" s="1020">
        <f>Gliederung_VorRes_Stat_Marktnah!$E66</f>
        <v>0</v>
      </c>
      <c r="U2516" s="1027"/>
      <c r="V2516" s="1027"/>
      <c r="W2516" s="1027"/>
    </row>
    <row r="2517" spans="2:23" ht="12.75" customHeight="1" x14ac:dyDescent="0.2">
      <c r="B2517" s="1083"/>
      <c r="C2517" s="1084"/>
      <c r="D2517" s="1143"/>
      <c r="E2517" s="1547"/>
      <c r="F2517" s="1547"/>
      <c r="G2517" s="1494"/>
      <c r="H2517" s="1068"/>
      <c r="U2517" s="1027"/>
      <c r="V2517" s="1027"/>
      <c r="W2517" s="1027"/>
    </row>
    <row r="2518" spans="2:23" ht="12.75" customHeight="1" x14ac:dyDescent="0.2">
      <c r="B2518" s="1083">
        <f>Gliederung_VorRes_Stat_Marktnah!$A$1</f>
        <v>43</v>
      </c>
      <c r="C2518" s="1084" t="str">
        <f>Gliederung_VorRes_Stat_Marktnah!$B$1</f>
        <v>Aufgliederung der vorhandenen Reserven</v>
      </c>
      <c r="D2518" s="1143" t="str">
        <f>Gliederung_VorRes_Stat_Marktnah!$C$68</f>
        <v>Abzüge</v>
      </c>
      <c r="E2518" s="1547"/>
      <c r="F2518" s="1494"/>
      <c r="G2518" s="1494"/>
      <c r="H2518" s="1150">
        <f>Gliederung_VorRes_Stat_Marktnah!$E68</f>
        <v>0</v>
      </c>
      <c r="U2518" s="1027"/>
      <c r="V2518" s="1027"/>
      <c r="W2518" s="1027"/>
    </row>
    <row r="2519" spans="2:23" ht="12.75" customHeight="1" x14ac:dyDescent="0.2">
      <c r="B2519" s="1083">
        <f>Gliederung_VorRes_Stat_Marktnah!$A$1</f>
        <v>43</v>
      </c>
      <c r="C2519" s="1084" t="str">
        <f>Gliederung_VorRes_Stat_Marktnah!$B$1</f>
        <v>Aufgliederung der vorhandenen Reserven</v>
      </c>
      <c r="D2519" s="1143" t="str">
        <f>Gliederung_VorRes_Stat_Marktnah!$C$68</f>
        <v>Abzüge</v>
      </c>
      <c r="E2519" s="1547" t="str">
        <f>Gliederung_VorRes_Stat_Marktnah!$D69</f>
        <v>- Bilanzwert eigene Aktien (-)</v>
      </c>
      <c r="F2519" s="1494"/>
      <c r="G2519" s="1494"/>
      <c r="H2519" s="1060">
        <f>Gliederung_VorRes_Stat_Marktnah!$E69</f>
        <v>0</v>
      </c>
      <c r="U2519" s="1027"/>
      <c r="V2519" s="1027"/>
      <c r="W2519" s="1027"/>
    </row>
    <row r="2520" spans="2:23" ht="12.75" customHeight="1" x14ac:dyDescent="0.2">
      <c r="B2520" s="1083">
        <f>Gliederung_VorRes_Stat_Marktnah!$A$1</f>
        <v>43</v>
      </c>
      <c r="C2520" s="1084" t="str">
        <f>Gliederung_VorRes_Stat_Marktnah!$B$1</f>
        <v>Aufgliederung der vorhandenen Reserven</v>
      </c>
      <c r="D2520" s="1143" t="str">
        <f>Gliederung_VorRes_Stat_Marktnah!$C$68</f>
        <v>Abzüge</v>
      </c>
      <c r="E2520" s="1547" t="str">
        <f>Gliederung_VorRes_Stat_Marktnah!$D70</f>
        <v>- Bilanzwert immaterielle Aktiven (-)</v>
      </c>
      <c r="F2520" s="1494"/>
      <c r="G2520" s="1494"/>
      <c r="H2520" s="1060">
        <f>Gliederung_VorRes_Stat_Marktnah!$E70</f>
        <v>0</v>
      </c>
      <c r="U2520" s="1027"/>
      <c r="V2520" s="1027"/>
      <c r="W2520" s="1027"/>
    </row>
    <row r="2521" spans="2:23" ht="12.75" customHeight="1" x14ac:dyDescent="0.2">
      <c r="B2521" s="1083">
        <f>Gliederung_VorRes_Stat_Marktnah!$A$1</f>
        <v>43</v>
      </c>
      <c r="C2521" s="1084" t="str">
        <f>Gliederung_VorRes_Stat_Marktnah!$B$1</f>
        <v>Aufgliederung der vorhandenen Reserven</v>
      </c>
      <c r="D2521" s="1143" t="str">
        <f>Gliederung_VorRes_Stat_Marktnah!$C$68</f>
        <v>Abzüge</v>
      </c>
      <c r="E2521" s="1547" t="str">
        <f>Gliederung_VorRes_Stat_Marktnah!$D71</f>
        <v>- Grundstückgewinn-/Handänderungssteuern auf Bewertungsreserven Grundstücke und Bauten (-)</v>
      </c>
      <c r="F2521" s="1494"/>
      <c r="G2521" s="1494"/>
      <c r="H2521" s="1060">
        <f>Gliederung_VorRes_Stat_Marktnah!$E71</f>
        <v>0</v>
      </c>
      <c r="U2521" s="1027"/>
      <c r="V2521" s="1027"/>
      <c r="W2521" s="1027"/>
    </row>
    <row r="2522" spans="2:23" ht="12.75" customHeight="1" x14ac:dyDescent="0.2">
      <c r="B2522" s="1083">
        <f>Gliederung_VorRes_Stat_Marktnah!$A$1</f>
        <v>43</v>
      </c>
      <c r="C2522" s="1084" t="str">
        <f>Gliederung_VorRes_Stat_Marktnah!$B$1</f>
        <v>Aufgliederung der vorhandenen Reserven</v>
      </c>
      <c r="D2522" s="1143" t="str">
        <f>Gliederung_VorRes_Stat_Marktnah!$C$68</f>
        <v>Abzüge</v>
      </c>
      <c r="E2522" s="1547" t="str">
        <f>Gliederung_VorRes_Stat_Marktnah!$D72</f>
        <v>- vorgesehene Dividenden und Kapitalrückzahlungen (-)</v>
      </c>
      <c r="F2522" s="1494"/>
      <c r="G2522" s="1494"/>
      <c r="H2522" s="1060">
        <f>Gliederung_VorRes_Stat_Marktnah!$E72</f>
        <v>0</v>
      </c>
      <c r="U2522" s="1027"/>
      <c r="V2522" s="1027"/>
      <c r="W2522" s="1027"/>
    </row>
    <row r="2523" spans="2:23" ht="12.75" customHeight="1" x14ac:dyDescent="0.2">
      <c r="B2523" s="1083">
        <f>Gliederung_VorRes_Stat_Marktnah!$A$1</f>
        <v>43</v>
      </c>
      <c r="C2523" s="1084" t="str">
        <f>Gliederung_VorRes_Stat_Marktnah!$B$1</f>
        <v>Aufgliederung der vorhandenen Reserven</v>
      </c>
      <c r="D2523" s="1143" t="str">
        <f>Gliederung_VorRes_Stat_Marktnah!$C$68</f>
        <v>Abzüge</v>
      </c>
      <c r="E2523" s="1547" t="str">
        <f>Gliederung_VorRes_Stat_Marktnah!$D73</f>
        <v>- sonstige Abzüge (z.B. nicht anrechenbare konzerninterne Darlehen) (-)</v>
      </c>
      <c r="F2523" s="1494"/>
      <c r="G2523" s="1494"/>
      <c r="H2523" s="1060">
        <f>Gliederung_VorRes_Stat_Marktnah!$E73</f>
        <v>0</v>
      </c>
      <c r="U2523" s="1027"/>
      <c r="V2523" s="1027"/>
      <c r="W2523" s="1027"/>
    </row>
    <row r="2524" spans="2:23" ht="12.75" customHeight="1" x14ac:dyDescent="0.2">
      <c r="B2524" s="1083"/>
      <c r="C2524" s="1084"/>
      <c r="D2524" s="1143"/>
      <c r="E2524" s="1547"/>
      <c r="F2524" s="1494"/>
      <c r="G2524" s="1494"/>
      <c r="H2524" s="1068"/>
      <c r="U2524" s="1027"/>
      <c r="V2524" s="1027"/>
      <c r="W2524" s="1027"/>
    </row>
    <row r="2525" spans="2:23" ht="12.75" customHeight="1" x14ac:dyDescent="0.2">
      <c r="B2525" s="1083">
        <f>Gliederung_VorRes_Stat_Marktnah!$A$1</f>
        <v>43</v>
      </c>
      <c r="C2525" s="1084" t="str">
        <f>Gliederung_VorRes_Stat_Marktnah!$B$1</f>
        <v>Aufgliederung der vorhandenen Reserven</v>
      </c>
      <c r="D2525" s="1143" t="str">
        <f>Gliederung_VorRes_Stat_Marktnah!$C$75</f>
        <v>Ergänzendes Kapital</v>
      </c>
      <c r="E2525" s="1547"/>
      <c r="F2525" s="1494"/>
      <c r="G2525" s="1494"/>
      <c r="H2525" s="1150">
        <f>Gliederung_VorRes_Stat_Marktnah!$E75</f>
        <v>0</v>
      </c>
      <c r="U2525" s="1027"/>
      <c r="V2525" s="1027"/>
      <c r="W2525" s="1027"/>
    </row>
    <row r="2526" spans="2:23" ht="12.75" customHeight="1" x14ac:dyDescent="0.2">
      <c r="B2526" s="1083"/>
      <c r="C2526" s="1084"/>
      <c r="D2526" s="1143"/>
      <c r="E2526" s="1547"/>
      <c r="F2526" s="1494"/>
      <c r="G2526" s="1494"/>
      <c r="H2526" s="1068"/>
      <c r="U2526" s="1027"/>
      <c r="V2526" s="1027"/>
      <c r="W2526" s="1027"/>
    </row>
    <row r="2527" spans="2:23" ht="12.75" customHeight="1" x14ac:dyDescent="0.2">
      <c r="B2527" s="1083">
        <f>Gliederung_VorRes_Stat_Marktnah!$A$1</f>
        <v>43</v>
      </c>
      <c r="C2527" s="1084" t="str">
        <f>Gliederung_VorRes_Stat_Marktnah!$B$1</f>
        <v>Aufgliederung der vorhandenen Reserven</v>
      </c>
      <c r="D2527" s="1143" t="str">
        <f>Gliederung_VorRes_Stat_Marktnah!$C$75</f>
        <v>Ergänzendes Kapital</v>
      </c>
      <c r="E2527" s="1547" t="str">
        <f>Gliederung_VorRes_Stat_Marktnah!$D$77</f>
        <v>Oberes ergänzendes Kapital</v>
      </c>
      <c r="F2527" s="1494"/>
      <c r="G2527" s="1494"/>
      <c r="H2527" s="1151">
        <f>Gliederung_VorRes_Stat_Marktnah!$E77</f>
        <v>0</v>
      </c>
      <c r="U2527" s="1027"/>
      <c r="V2527" s="1027"/>
      <c r="W2527" s="1027"/>
    </row>
    <row r="2528" spans="2:23" ht="12.75" customHeight="1" x14ac:dyDescent="0.2">
      <c r="B2528" s="1083">
        <f>Gliederung_VorRes_Stat_Marktnah!$A$1</f>
        <v>43</v>
      </c>
      <c r="C2528" s="1084" t="str">
        <f>Gliederung_VorRes_Stat_Marktnah!$B$1</f>
        <v>Aufgliederung der vorhandenen Reserven</v>
      </c>
      <c r="D2528" s="1143" t="str">
        <f>Gliederung_VorRes_Stat_Marktnah!$C$75</f>
        <v>Ergänzendes Kapital</v>
      </c>
      <c r="E2528" s="1547" t="str">
        <f>Gliederung_VorRes_Stat_Marktnah!$D$77</f>
        <v>Oberes ergänzendes Kapital</v>
      </c>
      <c r="F2528" s="1547" t="str">
        <f>Gliederung_VorRes_Stat_Marktnah!$D78</f>
        <v>Nachrangige Darlehen ohne Befristung</v>
      </c>
      <c r="G2528" s="1494"/>
      <c r="H2528" s="1060">
        <f>Gliederung_VorRes_Stat_Marktnah!$E78</f>
        <v>0</v>
      </c>
      <c r="U2528" s="1027"/>
      <c r="V2528" s="1027"/>
      <c r="W2528" s="1027"/>
    </row>
    <row r="2529" spans="2:23" ht="12.75" customHeight="1" x14ac:dyDescent="0.2">
      <c r="B2529" s="1083">
        <f>Gliederung_VorRes_Stat_Marktnah!$A$1</f>
        <v>43</v>
      </c>
      <c r="C2529" s="1084" t="str">
        <f>Gliederung_VorRes_Stat_Marktnah!$B$1</f>
        <v>Aufgliederung der vorhandenen Reserven</v>
      </c>
      <c r="D2529" s="1143" t="str">
        <f>Gliederung_VorRes_Stat_Marktnah!$C$75</f>
        <v>Ergänzendes Kapital</v>
      </c>
      <c r="E2529" s="1547" t="str">
        <f>Gliederung_VorRes_Stat_Marktnah!$D$77</f>
        <v>Oberes ergänzendes Kapital</v>
      </c>
      <c r="F2529" s="1547" t="str">
        <f>Gliederung_VorRes_Stat_Marktnah!$D79</f>
        <v>Nachrangige Anleihen ohne Befristung</v>
      </c>
      <c r="G2529" s="1494"/>
      <c r="H2529" s="1060">
        <f>Gliederung_VorRes_Stat_Marktnah!$E79</f>
        <v>0</v>
      </c>
      <c r="U2529" s="1027"/>
      <c r="V2529" s="1027"/>
      <c r="W2529" s="1027"/>
    </row>
    <row r="2530" spans="2:23" ht="12.75" customHeight="1" x14ac:dyDescent="0.2">
      <c r="B2530" s="1083">
        <f>Gliederung_VorRes_Stat_Marktnah!$A$1</f>
        <v>43</v>
      </c>
      <c r="C2530" s="1084" t="str">
        <f>Gliederung_VorRes_Stat_Marktnah!$B$1</f>
        <v>Aufgliederung der vorhandenen Reserven</v>
      </c>
      <c r="D2530" s="1143" t="str">
        <f>Gliederung_VorRes_Stat_Marktnah!$C$75</f>
        <v>Ergänzendes Kapital</v>
      </c>
      <c r="E2530" s="1547" t="str">
        <f>Gliederung_VorRes_Stat_Marktnah!$D$77</f>
        <v>Oberes ergänzendes Kapital</v>
      </c>
      <c r="F2530" s="1547" t="str">
        <f>Gliederung_VorRes_Stat_Marktnah!$D80</f>
        <v>Sonstige hybride Instrumente ohne Befristung</v>
      </c>
      <c r="G2530" s="1494"/>
      <c r="H2530" s="1060">
        <f>Gliederung_VorRes_Stat_Marktnah!$E80</f>
        <v>0</v>
      </c>
      <c r="U2530" s="1027"/>
      <c r="V2530" s="1027"/>
      <c r="W2530" s="1027"/>
    </row>
    <row r="2531" spans="2:23" ht="12.75" customHeight="1" x14ac:dyDescent="0.2">
      <c r="B2531" s="1083"/>
      <c r="C2531" s="1084"/>
      <c r="D2531" s="1143"/>
      <c r="E2531" s="1547"/>
      <c r="F2531" s="1494"/>
      <c r="G2531" s="1494"/>
      <c r="H2531" s="1068"/>
      <c r="U2531" s="1027"/>
      <c r="V2531" s="1027"/>
      <c r="W2531" s="1027"/>
    </row>
    <row r="2532" spans="2:23" ht="12.75" customHeight="1" x14ac:dyDescent="0.2">
      <c r="B2532" s="1083">
        <f>Gliederung_VorRes_Stat_Marktnah!$A$1</f>
        <v>43</v>
      </c>
      <c r="C2532" s="1084" t="str">
        <f>Gliederung_VorRes_Stat_Marktnah!$B$1</f>
        <v>Aufgliederung der vorhandenen Reserven</v>
      </c>
      <c r="D2532" s="1143" t="str">
        <f>Gliederung_VorRes_Stat_Marktnah!$C$75</f>
        <v>Ergänzendes Kapital</v>
      </c>
      <c r="E2532" s="1547" t="str">
        <f>Gliederung_VorRes_Stat_Marktnah!$D$82</f>
        <v>Unteres ergänzendes Kapital</v>
      </c>
      <c r="F2532" s="1494"/>
      <c r="G2532" s="1494"/>
      <c r="H2532" s="1151">
        <f>Gliederung_VorRes_Stat_Marktnah!$E82</f>
        <v>0</v>
      </c>
      <c r="U2532" s="1027"/>
      <c r="V2532" s="1027"/>
      <c r="W2532" s="1027"/>
    </row>
    <row r="2533" spans="2:23" ht="12.75" customHeight="1" x14ac:dyDescent="0.2">
      <c r="B2533" s="1083">
        <f>Gliederung_VorRes_Stat_Marktnah!$A$1</f>
        <v>43</v>
      </c>
      <c r="C2533" s="1084" t="str">
        <f>Gliederung_VorRes_Stat_Marktnah!$B$1</f>
        <v>Aufgliederung der vorhandenen Reserven</v>
      </c>
      <c r="D2533" s="1143" t="str">
        <f>Gliederung_VorRes_Stat_Marktnah!$C$75</f>
        <v>Ergänzendes Kapital</v>
      </c>
      <c r="E2533" s="1547" t="str">
        <f>Gliederung_VorRes_Stat_Marktnah!$D$82</f>
        <v>Unteres ergänzendes Kapital</v>
      </c>
      <c r="F2533" s="1547" t="str">
        <f>Gliederung_VorRes_Stat_Marktnah!$D83</f>
        <v>Nachrangige Darlehen mit Befristung</v>
      </c>
      <c r="G2533" s="1494"/>
      <c r="H2533" s="1060">
        <f>Gliederung_VorRes_Stat_Marktnah!$E83</f>
        <v>0</v>
      </c>
      <c r="U2533" s="1027"/>
      <c r="V2533" s="1027"/>
      <c r="W2533" s="1027"/>
    </row>
    <row r="2534" spans="2:23" ht="12.75" customHeight="1" x14ac:dyDescent="0.2">
      <c r="B2534" s="1083">
        <f>Gliederung_VorRes_Stat_Marktnah!$A$1</f>
        <v>43</v>
      </c>
      <c r="C2534" s="1084" t="str">
        <f>Gliederung_VorRes_Stat_Marktnah!$B$1</f>
        <v>Aufgliederung der vorhandenen Reserven</v>
      </c>
      <c r="D2534" s="1143" t="str">
        <f>Gliederung_VorRes_Stat_Marktnah!$C$75</f>
        <v>Ergänzendes Kapital</v>
      </c>
      <c r="E2534" s="1547" t="str">
        <f>Gliederung_VorRes_Stat_Marktnah!$D$82</f>
        <v>Unteres ergänzendes Kapital</v>
      </c>
      <c r="F2534" s="1547" t="str">
        <f>Gliederung_VorRes_Stat_Marktnah!$D84</f>
        <v>Nachrangige Anleihen mit Befristung</v>
      </c>
      <c r="G2534" s="1494"/>
      <c r="H2534" s="1060">
        <f>Gliederung_VorRes_Stat_Marktnah!$E84</f>
        <v>0</v>
      </c>
      <c r="U2534" s="1027"/>
      <c r="V2534" s="1027"/>
      <c r="W2534" s="1027"/>
    </row>
    <row r="2535" spans="2:23" ht="12.75" customHeight="1" x14ac:dyDescent="0.2">
      <c r="B2535" s="1083">
        <f>Gliederung_VorRes_Stat_Marktnah!$A$1</f>
        <v>43</v>
      </c>
      <c r="C2535" s="1084" t="str">
        <f>Gliederung_VorRes_Stat_Marktnah!$B$1</f>
        <v>Aufgliederung der vorhandenen Reserven</v>
      </c>
      <c r="D2535" s="1143" t="str">
        <f>Gliederung_VorRes_Stat_Marktnah!$C$75</f>
        <v>Ergänzendes Kapital</v>
      </c>
      <c r="E2535" s="1547" t="str">
        <f>Gliederung_VorRes_Stat_Marktnah!$D$82</f>
        <v>Unteres ergänzendes Kapital</v>
      </c>
      <c r="F2535" s="1547" t="str">
        <f>Gliederung_VorRes_Stat_Marktnah!$D85</f>
        <v>Sonstige hybride Instrumente mit Befristung</v>
      </c>
      <c r="G2535" s="1494"/>
      <c r="H2535" s="1060">
        <f>Gliederung_VorRes_Stat_Marktnah!$E85</f>
        <v>0</v>
      </c>
      <c r="U2535" s="1027"/>
      <c r="V2535" s="1027"/>
      <c r="W2535" s="1027"/>
    </row>
    <row r="2536" spans="2:23" ht="12.75" customHeight="1" x14ac:dyDescent="0.2">
      <c r="B2536" s="1083"/>
      <c r="C2536" s="1084"/>
      <c r="D2536" s="1143"/>
      <c r="E2536" s="1547"/>
      <c r="F2536" s="1494"/>
      <c r="G2536" s="1494"/>
      <c r="H2536" s="1068"/>
      <c r="U2536" s="1027"/>
      <c r="V2536" s="1027"/>
      <c r="W2536" s="1027"/>
    </row>
    <row r="2537" spans="2:23" ht="12.75" customHeight="1" x14ac:dyDescent="0.2">
      <c r="B2537" s="1083">
        <f>Gliederung_VorRes_Stat_Marktnah!$A$1</f>
        <v>43</v>
      </c>
      <c r="C2537" s="1084" t="str">
        <f>Gliederung_VorRes_Stat_Marktnah!$B$1</f>
        <v>Aufgliederung der vorhandenen Reserven</v>
      </c>
      <c r="D2537" s="1143" t="str">
        <f>Gliederung_VorRes_Stat_Marktnah!$C$87</f>
        <v>Zusätzliches Kernkapital (keine Differenzgrösse)</v>
      </c>
      <c r="E2537" s="1547"/>
      <c r="F2537" s="1494"/>
      <c r="G2537" s="1494"/>
      <c r="H2537" s="1150">
        <f>Gliederung_VorRes_Stat_Marktnah!$E87</f>
        <v>0</v>
      </c>
      <c r="U2537" s="1027"/>
      <c r="V2537" s="1027"/>
      <c r="W2537" s="1027"/>
    </row>
    <row r="2538" spans="2:23" ht="12.75" customHeight="1" x14ac:dyDescent="0.2">
      <c r="B2538" s="1083">
        <f>Gliederung_VorRes_Stat_Marktnah!$A$1</f>
        <v>43</v>
      </c>
      <c r="C2538" s="1084" t="str">
        <f>Gliederung_VorRes_Stat_Marktnah!$B$1</f>
        <v>Aufgliederung der vorhandenen Reserven</v>
      </c>
      <c r="D2538" s="1143" t="str">
        <f>Gliederung_VorRes_Stat_Marktnah!$C$87</f>
        <v>Zusätzliches Kernkapital (keine Differenzgrösse)</v>
      </c>
      <c r="E2538" s="1547" t="str">
        <f>Gliederung_VorRes_Stat_Marktnah!$D88</f>
        <v>Fremdkapital, das nur in Eigenkapital konvertiert werden kann (Mandatory Convertible)</v>
      </c>
      <c r="F2538" s="1494"/>
      <c r="G2538" s="1494"/>
      <c r="H2538" s="1060">
        <f>Gliederung_VorRes_Stat_Marktnah!$E88</f>
        <v>0</v>
      </c>
      <c r="U2538" s="1027"/>
      <c r="V2538" s="1027"/>
      <c r="W2538" s="1027"/>
    </row>
    <row r="2539" spans="2:23" ht="12.75" customHeight="1" x14ac:dyDescent="0.2">
      <c r="B2539" s="1083"/>
      <c r="C2539" s="1084"/>
      <c r="D2539" s="1143"/>
      <c r="E2539" s="1547"/>
      <c r="F2539" s="1494"/>
      <c r="G2539" s="1494"/>
      <c r="H2539" s="1068"/>
      <c r="U2539" s="1027"/>
      <c r="V2539" s="1027"/>
      <c r="W2539" s="1027"/>
    </row>
    <row r="2540" spans="2:23" ht="12.75" customHeight="1" x14ac:dyDescent="0.2">
      <c r="B2540" s="1083"/>
      <c r="C2540" s="1084"/>
      <c r="D2540" s="1143"/>
      <c r="E2540" s="1547"/>
      <c r="F2540" s="1494"/>
      <c r="G2540" s="1494"/>
      <c r="H2540" s="1068"/>
      <c r="U2540" s="1027"/>
      <c r="V2540" s="1027"/>
      <c r="W2540" s="1027"/>
    </row>
    <row r="2541" spans="2:23" ht="12.75" customHeight="1" x14ac:dyDescent="0.2">
      <c r="B2541" s="1083">
        <f>Gliederung_VorRes_Stat_Marktnah!$A$1</f>
        <v>43</v>
      </c>
      <c r="C2541" s="1084" t="str">
        <f>Gliederung_VorRes_Stat_Marktnah!$B$1</f>
        <v>Aufgliederung der vorhandenen Reserven</v>
      </c>
      <c r="D2541" s="1143" t="str">
        <f>Gliederung_VorRes_Stat_Marktnah!$C91</f>
        <v xml:space="preserve">Kernkapital </v>
      </c>
      <c r="E2541" s="1547"/>
      <c r="F2541" s="1494"/>
      <c r="G2541" s="1494"/>
      <c r="H2541" s="1152">
        <f ca="1">Gliederung_VorRes_Stat_Marktnah!$E91</f>
        <v>0</v>
      </c>
      <c r="U2541" s="1027"/>
      <c r="V2541" s="1027"/>
      <c r="W2541" s="1027"/>
    </row>
    <row r="2542" spans="2:23" ht="12.75" customHeight="1" x14ac:dyDescent="0.2">
      <c r="B2542" s="1083">
        <f>Gliederung_VorRes_Stat_Marktnah!$A$1</f>
        <v>43</v>
      </c>
      <c r="C2542" s="1084" t="str">
        <f>Gliederung_VorRes_Stat_Marktnah!$B$1</f>
        <v>Aufgliederung der vorhandenen Reserven</v>
      </c>
      <c r="D2542" s="1143" t="str">
        <f>Gliederung_VorRes_Stat_Marktnah!$C92</f>
        <v>Zusätzliches Kernkapital</v>
      </c>
      <c r="E2542" s="1547"/>
      <c r="F2542" s="1494"/>
      <c r="G2542" s="1494"/>
      <c r="H2542" s="1152">
        <f>Gliederung_VorRes_Stat_Marktnah!$E92</f>
        <v>0</v>
      </c>
      <c r="U2542" s="1027"/>
      <c r="V2542" s="1027"/>
      <c r="W2542" s="1027"/>
    </row>
    <row r="2543" spans="2:23" ht="12.75" customHeight="1" x14ac:dyDescent="0.2">
      <c r="B2543" s="1083">
        <f>Gliederung_VorRes_Stat_Marktnah!$A$1</f>
        <v>43</v>
      </c>
      <c r="C2543" s="1084" t="str">
        <f>Gliederung_VorRes_Stat_Marktnah!$B$1</f>
        <v>Aufgliederung der vorhandenen Reserven</v>
      </c>
      <c r="D2543" s="1143" t="str">
        <f>Gliederung_VorRes_Stat_Marktnah!$C93</f>
        <v>TOTAL ANRECHENBARES KERNKAPITAL</v>
      </c>
      <c r="E2543" s="1547"/>
      <c r="F2543" s="1494"/>
      <c r="G2543" s="1494"/>
      <c r="H2543" s="1152">
        <f ca="1">Gliederung_VorRes_Stat_Marktnah!$E93</f>
        <v>0</v>
      </c>
      <c r="U2543" s="1027"/>
      <c r="V2543" s="1027"/>
      <c r="W2543" s="1027"/>
    </row>
    <row r="2544" spans="2:23" ht="12.75" customHeight="1" x14ac:dyDescent="0.2">
      <c r="B2544" s="1083"/>
      <c r="C2544" s="1084"/>
      <c r="D2544" s="1143"/>
      <c r="E2544" s="1547"/>
      <c r="F2544" s="1494"/>
      <c r="G2544" s="1494"/>
      <c r="H2544" s="1068"/>
      <c r="U2544" s="1027"/>
      <c r="V2544" s="1027"/>
      <c r="W2544" s="1027"/>
    </row>
    <row r="2545" spans="1:23" ht="12.75" customHeight="1" x14ac:dyDescent="0.2">
      <c r="B2545" s="1083">
        <f>Gliederung_VorRes_Stat_Marktnah!$A$1</f>
        <v>43</v>
      </c>
      <c r="C2545" s="1084" t="str">
        <f>Gliederung_VorRes_Stat_Marktnah!$B$1</f>
        <v>Aufgliederung der vorhandenen Reserven</v>
      </c>
      <c r="D2545" s="1143" t="str">
        <f>Gliederung_VorRes_Stat_Marktnah!$C95</f>
        <v>TOTAL OBERES ERGÄNZENDES KAPITAL</v>
      </c>
      <c r="E2545" s="1547"/>
      <c r="F2545" s="1494"/>
      <c r="G2545" s="1494"/>
      <c r="H2545" s="1152">
        <f>Gliederung_VorRes_Stat_Marktnah!$E95</f>
        <v>0</v>
      </c>
      <c r="U2545" s="1027"/>
      <c r="V2545" s="1027"/>
      <c r="W2545" s="1027"/>
    </row>
    <row r="2546" spans="1:23" ht="12.75" customHeight="1" x14ac:dyDescent="0.2">
      <c r="B2546" s="1083"/>
      <c r="C2546" s="1084"/>
      <c r="D2546" s="1143"/>
      <c r="E2546" s="1547"/>
      <c r="F2546" s="1494"/>
      <c r="G2546" s="1494"/>
      <c r="H2546" s="1068"/>
      <c r="U2546" s="1027"/>
      <c r="V2546" s="1027"/>
      <c r="W2546" s="1027"/>
    </row>
    <row r="2547" spans="1:23" ht="12.75" customHeight="1" x14ac:dyDescent="0.2">
      <c r="B2547" s="1083">
        <f>Gliederung_VorRes_Stat_Marktnah!$A$1</f>
        <v>43</v>
      </c>
      <c r="C2547" s="1084" t="str">
        <f>Gliederung_VorRes_Stat_Marktnah!$B$1</f>
        <v>Aufgliederung der vorhandenen Reserven</v>
      </c>
      <c r="D2547" s="1143" t="str">
        <f>Gliederung_VorRes_Stat_Marktnah!$C97</f>
        <v>TOTAL UNTERES ERGÄNZENDES KAPITAL</v>
      </c>
      <c r="E2547" s="1547"/>
      <c r="F2547" s="1494"/>
      <c r="G2547" s="1494"/>
      <c r="H2547" s="1152">
        <f>Gliederung_VorRes_Stat_Marktnah!$E97</f>
        <v>0</v>
      </c>
      <c r="U2547" s="1027"/>
      <c r="V2547" s="1027"/>
      <c r="W2547" s="1027"/>
    </row>
    <row r="2548" spans="1:23" ht="12.75" customHeight="1" x14ac:dyDescent="0.2">
      <c r="B2548" s="1083"/>
      <c r="C2548" s="1084"/>
      <c r="D2548" s="1143"/>
      <c r="E2548" s="1547"/>
      <c r="F2548" s="1494"/>
      <c r="G2548" s="1494"/>
      <c r="H2548" s="1068"/>
      <c r="U2548" s="1027"/>
      <c r="V2548" s="1027"/>
      <c r="W2548" s="1027"/>
    </row>
    <row r="2549" spans="1:23" ht="12.75" customHeight="1" x14ac:dyDescent="0.2">
      <c r="B2549" s="1083">
        <f>Gliederung_VorRes_Stat_Marktnah!$A$1</f>
        <v>43</v>
      </c>
      <c r="C2549" s="1084" t="str">
        <f>Gliederung_VorRes_Stat_Marktnah!$B$1</f>
        <v>Aufgliederung der vorhandenen Reserven</v>
      </c>
      <c r="D2549" s="1143" t="str">
        <f>Gliederung_VorRes_Stat_Marktnah!$C99</f>
        <v>TOTAL VORHANDENE RESERVEN</v>
      </c>
      <c r="E2549" s="1547"/>
      <c r="F2549" s="1494"/>
      <c r="G2549" s="1494"/>
      <c r="H2549" s="1152">
        <f ca="1">Gliederung_VorRes_Stat_Marktnah!$E99</f>
        <v>0</v>
      </c>
      <c r="U2549" s="1027"/>
      <c r="V2549" s="1027"/>
      <c r="W2549" s="1027"/>
    </row>
    <row r="2550" spans="1:23" ht="12.75" customHeight="1" x14ac:dyDescent="0.2">
      <c r="B2550" s="1083"/>
      <c r="C2550" s="1084"/>
      <c r="D2550" s="1143"/>
      <c r="E2550" s="1547"/>
      <c r="F2550" s="1494"/>
      <c r="G2550" s="1494"/>
      <c r="H2550" s="1068"/>
      <c r="U2550" s="1027"/>
      <c r="V2550" s="1027"/>
      <c r="W2550" s="1027"/>
    </row>
    <row r="2551" spans="1:23" ht="12.75" customHeight="1" x14ac:dyDescent="0.2">
      <c r="B2551" s="1083">
        <f>Gliederung_VorRes_Stat_Marktnah!$A$1</f>
        <v>43</v>
      </c>
      <c r="C2551" s="1084" t="str">
        <f>Gliederung_VorRes_Stat_Marktnah!$B$1</f>
        <v>Aufgliederung der vorhandenen Reserven</v>
      </c>
      <c r="D2551" s="1143"/>
      <c r="E2551" s="1143" t="str">
        <f>Gliederung_VorRes_Stat_Marktnah!$C$101</f>
        <v>davon KVG-fremde Anteile</v>
      </c>
      <c r="F2551" s="1547"/>
      <c r="G2551" s="1494"/>
      <c r="H2551" s="1150">
        <f>Gliederung_VorRes_Stat_Marktnah!$E101</f>
        <v>0</v>
      </c>
      <c r="U2551" s="1027"/>
      <c r="V2551" s="1027"/>
      <c r="W2551" s="1027"/>
    </row>
    <row r="2552" spans="1:23" ht="12.75" customHeight="1" x14ac:dyDescent="0.2">
      <c r="B2552" s="1083">
        <f>Gliederung_VorRes_Stat_Marktnah!$A$1</f>
        <v>43</v>
      </c>
      <c r="C2552" s="1084" t="str">
        <f>Gliederung_VorRes_Stat_Marktnah!$B$1</f>
        <v>Aufgliederung der vorhandenen Reserven</v>
      </c>
      <c r="D2552" s="1143"/>
      <c r="E2552" s="1143" t="str">
        <f>Gliederung_VorRes_Stat_Marktnah!$C$101</f>
        <v>davon KVG-fremde Anteile</v>
      </c>
      <c r="F2552" s="1547" t="str">
        <f>Gliederung_VorRes_Stat_Marktnah!$D102</f>
        <v>dem Geschäft nach VVG zugeordnet</v>
      </c>
      <c r="G2552" s="1494"/>
      <c r="H2552" s="1020">
        <f>Gliederung_VorRes_Stat_Marktnah!$E102</f>
        <v>0</v>
      </c>
      <c r="U2552" s="1027"/>
      <c r="V2552" s="1027"/>
      <c r="W2552" s="1027"/>
    </row>
    <row r="2553" spans="1:23" ht="12.75" customHeight="1" x14ac:dyDescent="0.2">
      <c r="B2553" s="1083">
        <f>Gliederung_VorRes_Stat_Marktnah!$A$1</f>
        <v>43</v>
      </c>
      <c r="C2553" s="1084" t="str">
        <f>Gliederung_VorRes_Stat_Marktnah!$B$1</f>
        <v>Aufgliederung der vorhandenen Reserven</v>
      </c>
      <c r="D2553" s="1143"/>
      <c r="E2553" s="1143" t="str">
        <f>Gliederung_VorRes_Stat_Marktnah!$C$101</f>
        <v>davon KVG-fremde Anteile</v>
      </c>
      <c r="F2553" s="1547" t="str">
        <f>Gliederung_VorRes_Stat_Marktnah!$D103</f>
        <v>dem Geschäft nach UVG zugeordnet</v>
      </c>
      <c r="G2553" s="1494"/>
      <c r="H2553" s="1020">
        <f>Gliederung_VorRes_Stat_Marktnah!$E103</f>
        <v>0</v>
      </c>
      <c r="U2553" s="1027"/>
      <c r="V2553" s="1027"/>
      <c r="W2553" s="1027"/>
    </row>
    <row r="2554" spans="1:23" ht="12.75" customHeight="1" x14ac:dyDescent="0.2">
      <c r="B2554" s="1083"/>
      <c r="C2554" s="1084"/>
      <c r="D2554" s="1143"/>
      <c r="E2554" s="1547"/>
      <c r="F2554" s="1494"/>
      <c r="G2554" s="1494"/>
      <c r="H2554" s="1068"/>
      <c r="U2554" s="1027"/>
      <c r="V2554" s="1027"/>
      <c r="W2554" s="1027"/>
    </row>
    <row r="2555" spans="1:23" ht="12.75" customHeight="1" thickBot="1" x14ac:dyDescent="0.25">
      <c r="B2555" s="1085">
        <f>Gliederung_VorRes_Stat_Marktnah!$A$1</f>
        <v>43</v>
      </c>
      <c r="C2555" s="1086" t="str">
        <f>Gliederung_VorRes_Stat_Marktnah!$B$1</f>
        <v>Aufgliederung der vorhandenen Reserven</v>
      </c>
      <c r="D2555" s="1153" t="str">
        <f>Gliederung_VorRes_Stat_Marktnah!$B$105</f>
        <v>Vorhandene Reserven nach KVG</v>
      </c>
      <c r="E2555" s="1552"/>
      <c r="F2555" s="1500"/>
      <c r="G2555" s="1500"/>
      <c r="H2555" s="1154">
        <f ca="1">Gliederung_VorRes_Stat_Marktnah!$E105</f>
        <v>0</v>
      </c>
      <c r="U2555" s="1027"/>
      <c r="V2555" s="1027"/>
      <c r="W2555" s="1027"/>
    </row>
    <row r="2558" spans="1:23" x14ac:dyDescent="0.2">
      <c r="A2558" s="1176" t="s">
        <v>1782</v>
      </c>
    </row>
    <row r="2559" spans="1:23" ht="13.5" thickBot="1" x14ac:dyDescent="0.25"/>
    <row r="2560" spans="1:23" ht="38.25" x14ac:dyDescent="0.2">
      <c r="B2560" s="1080">
        <f>'BewDifferenzen_Statut-Marktnah'!$A$1</f>
        <v>42</v>
      </c>
      <c r="C2560" s="1081" t="str">
        <f>'BewDifferenzen_Statut-Marktnah'!$B$1</f>
        <v>Differenzen zwischen statutarischer und marktnaher Bewertung</v>
      </c>
      <c r="D2560" s="1142" t="str">
        <f>'BewDifferenzen_Statut-Marktnah'!$D$13</f>
        <v>Grundstücke und Bauten</v>
      </c>
      <c r="E2560" s="1492"/>
      <c r="F2560" s="1546" t="str">
        <f>'BewDifferenzen_Statut-Marktnah'!$G$4</f>
        <v>Umlegungen
REF</v>
      </c>
      <c r="G2560" s="1492"/>
      <c r="H2560" s="1057"/>
      <c r="U2560" s="1027"/>
      <c r="V2560" s="1027"/>
      <c r="W2560" s="1027"/>
    </row>
    <row r="2561" spans="2:23" ht="38.25" x14ac:dyDescent="0.2">
      <c r="B2561" s="1083">
        <f>'BewDifferenzen_Statut-Marktnah'!$A$1</f>
        <v>42</v>
      </c>
      <c r="C2561" s="1084" t="str">
        <f>'BewDifferenzen_Statut-Marktnah'!$B$1</f>
        <v>Differenzen zwischen statutarischer und marktnaher Bewertung</v>
      </c>
      <c r="D2561" s="1143" t="str">
        <f>'BewDifferenzen_Statut-Marktnah'!$D$13</f>
        <v>Grundstücke und Bauten</v>
      </c>
      <c r="E2561" s="1547" t="str">
        <f>'BewDifferenzen_Statut-Marktnah'!$E14</f>
        <v>dem Geschäft nach KVG zugeordnet</v>
      </c>
      <c r="F2561" s="1548" t="str">
        <f>'BewDifferenzen_Statut-Marktnah'!$G$4</f>
        <v>Umlegungen
REF</v>
      </c>
      <c r="G2561" s="1547"/>
      <c r="H2561" s="1144">
        <f>'BewDifferenzen_Statut-Marktnah'!$G14</f>
        <v>0</v>
      </c>
      <c r="U2561" s="1027"/>
      <c r="V2561" s="1027"/>
      <c r="W2561" s="1027"/>
    </row>
    <row r="2562" spans="2:23" ht="38.25" x14ac:dyDescent="0.2">
      <c r="B2562" s="1083">
        <f>'BewDifferenzen_Statut-Marktnah'!$A$1</f>
        <v>42</v>
      </c>
      <c r="C2562" s="1084" t="str">
        <f>'BewDifferenzen_Statut-Marktnah'!$B$1</f>
        <v>Differenzen zwischen statutarischer und marktnaher Bewertung</v>
      </c>
      <c r="D2562" s="1143" t="str">
        <f>'BewDifferenzen_Statut-Marktnah'!$D$13</f>
        <v>Grundstücke und Bauten</v>
      </c>
      <c r="E2562" s="1547" t="str">
        <f>'BewDifferenzen_Statut-Marktnah'!$E15</f>
        <v>dem Geschäft nach VVG zugeordnet</v>
      </c>
      <c r="F2562" s="1548" t="str">
        <f>'BewDifferenzen_Statut-Marktnah'!$G$4</f>
        <v>Umlegungen
REF</v>
      </c>
      <c r="G2562" s="1547"/>
      <c r="H2562" s="1144">
        <f>'BewDifferenzen_Statut-Marktnah'!$G15</f>
        <v>0</v>
      </c>
      <c r="U2562" s="1027"/>
      <c r="V2562" s="1027"/>
      <c r="W2562" s="1027"/>
    </row>
    <row r="2563" spans="2:23" ht="38.25" x14ac:dyDescent="0.2">
      <c r="B2563" s="1083">
        <f>'BewDifferenzen_Statut-Marktnah'!$A$1</f>
        <v>42</v>
      </c>
      <c r="C2563" s="1084" t="str">
        <f>'BewDifferenzen_Statut-Marktnah'!$B$1</f>
        <v>Differenzen zwischen statutarischer und marktnaher Bewertung</v>
      </c>
      <c r="D2563" s="1143" t="str">
        <f>'BewDifferenzen_Statut-Marktnah'!$D$13</f>
        <v>Grundstücke und Bauten</v>
      </c>
      <c r="E2563" s="1547" t="str">
        <f>'BewDifferenzen_Statut-Marktnah'!$E16</f>
        <v>dem Geschäft nach UVG zugeordnet</v>
      </c>
      <c r="F2563" s="1548" t="str">
        <f>'BewDifferenzen_Statut-Marktnah'!$G$4</f>
        <v>Umlegungen
REF</v>
      </c>
      <c r="G2563" s="1547"/>
      <c r="H2563" s="1144">
        <f>'BewDifferenzen_Statut-Marktnah'!$G16</f>
        <v>0</v>
      </c>
      <c r="U2563" s="1027"/>
      <c r="V2563" s="1027"/>
      <c r="W2563" s="1027"/>
    </row>
    <row r="2564" spans="2:23" x14ac:dyDescent="0.2">
      <c r="B2564" s="1083"/>
      <c r="C2564" s="1084"/>
      <c r="D2564" s="1143"/>
      <c r="E2564" s="1547"/>
      <c r="F2564" s="1548"/>
      <c r="G2564" s="1547"/>
      <c r="H2564" s="1061"/>
      <c r="U2564" s="1027"/>
      <c r="V2564" s="1027"/>
      <c r="W2564" s="1027"/>
    </row>
    <row r="2565" spans="2:23" ht="38.25" x14ac:dyDescent="0.2">
      <c r="B2565" s="1083">
        <f>'BewDifferenzen_Statut-Marktnah'!$A$1</f>
        <v>42</v>
      </c>
      <c r="C2565" s="1084" t="str">
        <f>'BewDifferenzen_Statut-Marktnah'!$B$1</f>
        <v>Differenzen zwischen statutarischer und marktnaher Bewertung</v>
      </c>
      <c r="D2565" s="1143" t="str">
        <f>'BewDifferenzen_Statut-Marktnah'!$D$18</f>
        <v>Obligationen</v>
      </c>
      <c r="E2565" s="1494"/>
      <c r="F2565" s="1548" t="str">
        <f>'BewDifferenzen_Statut-Marktnah'!$G$4</f>
        <v>Umlegungen
REF</v>
      </c>
      <c r="G2565" s="1494"/>
      <c r="H2565" s="1062"/>
      <c r="U2565" s="1027"/>
      <c r="V2565" s="1027"/>
      <c r="W2565" s="1027"/>
    </row>
    <row r="2566" spans="2:23" ht="38.25" x14ac:dyDescent="0.2">
      <c r="B2566" s="1083">
        <f>'BewDifferenzen_Statut-Marktnah'!$A$1</f>
        <v>42</v>
      </c>
      <c r="C2566" s="1084" t="str">
        <f>'BewDifferenzen_Statut-Marktnah'!$B$1</f>
        <v>Differenzen zwischen statutarischer und marktnaher Bewertung</v>
      </c>
      <c r="D2566" s="1143" t="str">
        <f>'BewDifferenzen_Statut-Marktnah'!$D$18</f>
        <v>Obligationen</v>
      </c>
      <c r="E2566" s="1547" t="str">
        <f>'BewDifferenzen_Statut-Marktnah'!$E19</f>
        <v>dem Geschäft nach KVG zugeordnet</v>
      </c>
      <c r="F2566" s="1548" t="str">
        <f>'BewDifferenzen_Statut-Marktnah'!$G$4</f>
        <v>Umlegungen
REF</v>
      </c>
      <c r="G2566" s="1547"/>
      <c r="H2566" s="1144">
        <f>'BewDifferenzen_Statut-Marktnah'!$G19</f>
        <v>0</v>
      </c>
      <c r="U2566" s="1027"/>
      <c r="V2566" s="1027"/>
      <c r="W2566" s="1027"/>
    </row>
    <row r="2567" spans="2:23" ht="38.25" x14ac:dyDescent="0.2">
      <c r="B2567" s="1083">
        <f>'BewDifferenzen_Statut-Marktnah'!$A$1</f>
        <v>42</v>
      </c>
      <c r="C2567" s="1084" t="str">
        <f>'BewDifferenzen_Statut-Marktnah'!$B$1</f>
        <v>Differenzen zwischen statutarischer und marktnaher Bewertung</v>
      </c>
      <c r="D2567" s="1143" t="str">
        <f>'BewDifferenzen_Statut-Marktnah'!$D$18</f>
        <v>Obligationen</v>
      </c>
      <c r="E2567" s="1547" t="str">
        <f>'BewDifferenzen_Statut-Marktnah'!$E20</f>
        <v>dem Geschäft nach VVG zugeordnet</v>
      </c>
      <c r="F2567" s="1548" t="str">
        <f>'BewDifferenzen_Statut-Marktnah'!$G$4</f>
        <v>Umlegungen
REF</v>
      </c>
      <c r="G2567" s="1547"/>
      <c r="H2567" s="1144">
        <f>'BewDifferenzen_Statut-Marktnah'!$G20</f>
        <v>0</v>
      </c>
      <c r="U2567" s="1027"/>
      <c r="V2567" s="1027"/>
      <c r="W2567" s="1027"/>
    </row>
    <row r="2568" spans="2:23" ht="38.25" x14ac:dyDescent="0.2">
      <c r="B2568" s="1083">
        <f>'BewDifferenzen_Statut-Marktnah'!$A$1</f>
        <v>42</v>
      </c>
      <c r="C2568" s="1084" t="str">
        <f>'BewDifferenzen_Statut-Marktnah'!$B$1</f>
        <v>Differenzen zwischen statutarischer und marktnaher Bewertung</v>
      </c>
      <c r="D2568" s="1143" t="str">
        <f>'BewDifferenzen_Statut-Marktnah'!$D$18</f>
        <v>Obligationen</v>
      </c>
      <c r="E2568" s="1547" t="str">
        <f>'BewDifferenzen_Statut-Marktnah'!$E21</f>
        <v>dem Geschäft nach UVG zugeordnet</v>
      </c>
      <c r="F2568" s="1548" t="str">
        <f>'BewDifferenzen_Statut-Marktnah'!$G$4</f>
        <v>Umlegungen
REF</v>
      </c>
      <c r="G2568" s="1547"/>
      <c r="H2568" s="1144">
        <f>'BewDifferenzen_Statut-Marktnah'!$G21</f>
        <v>0</v>
      </c>
      <c r="U2568" s="1027"/>
      <c r="V2568" s="1027"/>
      <c r="W2568" s="1027"/>
    </row>
    <row r="2569" spans="2:23" x14ac:dyDescent="0.2">
      <c r="B2569" s="1083"/>
      <c r="C2569" s="1084"/>
      <c r="D2569" s="1143"/>
      <c r="E2569" s="1547"/>
      <c r="F2569" s="1548"/>
      <c r="G2569" s="1547"/>
      <c r="H2569" s="1061"/>
      <c r="U2569" s="1027"/>
      <c r="V2569" s="1027"/>
      <c r="W2569" s="1027"/>
    </row>
    <row r="2570" spans="2:23" ht="38.25" x14ac:dyDescent="0.2">
      <c r="B2570" s="1083">
        <f>'BewDifferenzen_Statut-Marktnah'!$A$1</f>
        <v>42</v>
      </c>
      <c r="C2570" s="1084" t="str">
        <f>'BewDifferenzen_Statut-Marktnah'!$B$1</f>
        <v>Differenzen zwischen statutarischer und marktnaher Bewertung</v>
      </c>
      <c r="D2570" s="1143" t="str">
        <f>'BewDifferenzen_Statut-Marktnah'!$D$23</f>
        <v>Aktien und ähnliche Anlagen</v>
      </c>
      <c r="E2570" s="1494"/>
      <c r="F2570" s="1548" t="str">
        <f>'BewDifferenzen_Statut-Marktnah'!$G$4</f>
        <v>Umlegungen
REF</v>
      </c>
      <c r="G2570" s="1494"/>
      <c r="H2570" s="1062"/>
      <c r="U2570" s="1027"/>
      <c r="V2570" s="1027"/>
      <c r="W2570" s="1027"/>
    </row>
    <row r="2571" spans="2:23" ht="38.25" x14ac:dyDescent="0.2">
      <c r="B2571" s="1083">
        <f>'BewDifferenzen_Statut-Marktnah'!$A$1</f>
        <v>42</v>
      </c>
      <c r="C2571" s="1084" t="str">
        <f>'BewDifferenzen_Statut-Marktnah'!$B$1</f>
        <v>Differenzen zwischen statutarischer und marktnaher Bewertung</v>
      </c>
      <c r="D2571" s="1143" t="str">
        <f>'BewDifferenzen_Statut-Marktnah'!$D$23</f>
        <v>Aktien und ähnliche Anlagen</v>
      </c>
      <c r="E2571" s="1547" t="str">
        <f>'BewDifferenzen_Statut-Marktnah'!$E24</f>
        <v>dem Geschäft nach KVG zugeordnet</v>
      </c>
      <c r="F2571" s="1548" t="str">
        <f>'BewDifferenzen_Statut-Marktnah'!$G$4</f>
        <v>Umlegungen
REF</v>
      </c>
      <c r="G2571" s="1547"/>
      <c r="H2571" s="1144">
        <f>'BewDifferenzen_Statut-Marktnah'!$G24</f>
        <v>0</v>
      </c>
      <c r="U2571" s="1027"/>
      <c r="V2571" s="1027"/>
      <c r="W2571" s="1027"/>
    </row>
    <row r="2572" spans="2:23" ht="38.25" x14ac:dyDescent="0.2">
      <c r="B2572" s="1083">
        <f>'BewDifferenzen_Statut-Marktnah'!$A$1</f>
        <v>42</v>
      </c>
      <c r="C2572" s="1084" t="str">
        <f>'BewDifferenzen_Statut-Marktnah'!$B$1</f>
        <v>Differenzen zwischen statutarischer und marktnaher Bewertung</v>
      </c>
      <c r="D2572" s="1143" t="str">
        <f>'BewDifferenzen_Statut-Marktnah'!$D$23</f>
        <v>Aktien und ähnliche Anlagen</v>
      </c>
      <c r="E2572" s="1547" t="str">
        <f>'BewDifferenzen_Statut-Marktnah'!$E25</f>
        <v>dem Geschäft nach VVG zugeordnet</v>
      </c>
      <c r="F2572" s="1548" t="str">
        <f>'BewDifferenzen_Statut-Marktnah'!$G$4</f>
        <v>Umlegungen
REF</v>
      </c>
      <c r="G2572" s="1547"/>
      <c r="H2572" s="1144">
        <f>'BewDifferenzen_Statut-Marktnah'!$G25</f>
        <v>0</v>
      </c>
      <c r="U2572" s="1027"/>
      <c r="V2572" s="1027"/>
      <c r="W2572" s="1027"/>
    </row>
    <row r="2573" spans="2:23" ht="38.25" x14ac:dyDescent="0.2">
      <c r="B2573" s="1083">
        <f>'BewDifferenzen_Statut-Marktnah'!$A$1</f>
        <v>42</v>
      </c>
      <c r="C2573" s="1084" t="str">
        <f>'BewDifferenzen_Statut-Marktnah'!$B$1</f>
        <v>Differenzen zwischen statutarischer und marktnaher Bewertung</v>
      </c>
      <c r="D2573" s="1143" t="str">
        <f>'BewDifferenzen_Statut-Marktnah'!$D$23</f>
        <v>Aktien und ähnliche Anlagen</v>
      </c>
      <c r="E2573" s="1547" t="str">
        <f>'BewDifferenzen_Statut-Marktnah'!$E26</f>
        <v>dem Geschäft nach UVG zugeordnet</v>
      </c>
      <c r="F2573" s="1548" t="str">
        <f>'BewDifferenzen_Statut-Marktnah'!$G$4</f>
        <v>Umlegungen
REF</v>
      </c>
      <c r="G2573" s="1547"/>
      <c r="H2573" s="1144">
        <f>'BewDifferenzen_Statut-Marktnah'!$G26</f>
        <v>0</v>
      </c>
      <c r="U2573" s="1027"/>
      <c r="V2573" s="1027"/>
      <c r="W2573" s="1027"/>
    </row>
    <row r="2574" spans="2:23" x14ac:dyDescent="0.2">
      <c r="B2574" s="1083"/>
      <c r="C2574" s="1084"/>
      <c r="D2574" s="1143"/>
      <c r="E2574" s="1547"/>
      <c r="F2574" s="1548"/>
      <c r="G2574" s="1547"/>
      <c r="H2574" s="1061"/>
      <c r="U2574" s="1027"/>
      <c r="V2574" s="1027"/>
      <c r="W2574" s="1027"/>
    </row>
    <row r="2575" spans="2:23" ht="38.25" x14ac:dyDescent="0.2">
      <c r="B2575" s="1083">
        <f>'BewDifferenzen_Statut-Marktnah'!$A$1</f>
        <v>42</v>
      </c>
      <c r="C2575" s="1084" t="str">
        <f>'BewDifferenzen_Statut-Marktnah'!$B$1</f>
        <v>Differenzen zwischen statutarischer und marktnaher Bewertung</v>
      </c>
      <c r="D2575" s="1143" t="str">
        <f>'BewDifferenzen_Statut-Marktnah'!$D$28</f>
        <v>Anteile an Anlagefonds</v>
      </c>
      <c r="E2575" s="1494"/>
      <c r="F2575" s="1548" t="str">
        <f>'BewDifferenzen_Statut-Marktnah'!$G$4</f>
        <v>Umlegungen
REF</v>
      </c>
      <c r="G2575" s="1494"/>
      <c r="H2575" s="1062"/>
      <c r="U2575" s="1027"/>
      <c r="V2575" s="1027"/>
      <c r="W2575" s="1027"/>
    </row>
    <row r="2576" spans="2:23" ht="38.25" x14ac:dyDescent="0.2">
      <c r="B2576" s="1083">
        <f>'BewDifferenzen_Statut-Marktnah'!$A$1</f>
        <v>42</v>
      </c>
      <c r="C2576" s="1084" t="str">
        <f>'BewDifferenzen_Statut-Marktnah'!$B$1</f>
        <v>Differenzen zwischen statutarischer und marktnaher Bewertung</v>
      </c>
      <c r="D2576" s="1143" t="str">
        <f>'BewDifferenzen_Statut-Marktnah'!$D$28</f>
        <v>Anteile an Anlagefonds</v>
      </c>
      <c r="E2576" s="1547" t="str">
        <f>'BewDifferenzen_Statut-Marktnah'!$E29</f>
        <v>dem Geschäft nach KVG zugeordnet</v>
      </c>
      <c r="F2576" s="1548" t="str">
        <f>'BewDifferenzen_Statut-Marktnah'!$G$4</f>
        <v>Umlegungen
REF</v>
      </c>
      <c r="G2576" s="1547"/>
      <c r="H2576" s="1144">
        <f>'BewDifferenzen_Statut-Marktnah'!$G29</f>
        <v>0</v>
      </c>
      <c r="U2576" s="1027"/>
      <c r="V2576" s="1027"/>
      <c r="W2576" s="1027"/>
    </row>
    <row r="2577" spans="2:23" ht="38.25" x14ac:dyDescent="0.2">
      <c r="B2577" s="1083">
        <f>'BewDifferenzen_Statut-Marktnah'!$A$1</f>
        <v>42</v>
      </c>
      <c r="C2577" s="1084" t="str">
        <f>'BewDifferenzen_Statut-Marktnah'!$B$1</f>
        <v>Differenzen zwischen statutarischer und marktnaher Bewertung</v>
      </c>
      <c r="D2577" s="1143" t="str">
        <f>'BewDifferenzen_Statut-Marktnah'!$D$28</f>
        <v>Anteile an Anlagefonds</v>
      </c>
      <c r="E2577" s="1547" t="str">
        <f>'BewDifferenzen_Statut-Marktnah'!$E30</f>
        <v>dem Geschäft nach VVG zugeordnet</v>
      </c>
      <c r="F2577" s="1548" t="str">
        <f>'BewDifferenzen_Statut-Marktnah'!$G$4</f>
        <v>Umlegungen
REF</v>
      </c>
      <c r="G2577" s="1547"/>
      <c r="H2577" s="1144">
        <f>'BewDifferenzen_Statut-Marktnah'!$G30</f>
        <v>0</v>
      </c>
      <c r="U2577" s="1027"/>
      <c r="V2577" s="1027"/>
      <c r="W2577" s="1027"/>
    </row>
    <row r="2578" spans="2:23" ht="38.25" x14ac:dyDescent="0.2">
      <c r="B2578" s="1083">
        <f>'BewDifferenzen_Statut-Marktnah'!$A$1</f>
        <v>42</v>
      </c>
      <c r="C2578" s="1084" t="str">
        <f>'BewDifferenzen_Statut-Marktnah'!$B$1</f>
        <v>Differenzen zwischen statutarischer und marktnaher Bewertung</v>
      </c>
      <c r="D2578" s="1143" t="str">
        <f>'BewDifferenzen_Statut-Marktnah'!$D$28</f>
        <v>Anteile an Anlagefonds</v>
      </c>
      <c r="E2578" s="1547" t="str">
        <f>'BewDifferenzen_Statut-Marktnah'!$E31</f>
        <v>dem Geschäft nach UVG zugeordnet</v>
      </c>
      <c r="F2578" s="1548" t="str">
        <f>'BewDifferenzen_Statut-Marktnah'!$G$4</f>
        <v>Umlegungen
REF</v>
      </c>
      <c r="G2578" s="1547"/>
      <c r="H2578" s="1144">
        <f>'BewDifferenzen_Statut-Marktnah'!$G31</f>
        <v>0</v>
      </c>
      <c r="U2578" s="1027"/>
      <c r="V2578" s="1027"/>
      <c r="W2578" s="1027"/>
    </row>
    <row r="2579" spans="2:23" x14ac:dyDescent="0.2">
      <c r="B2579" s="1083"/>
      <c r="C2579" s="1084"/>
      <c r="D2579" s="1143"/>
      <c r="E2579" s="1547"/>
      <c r="F2579" s="1548"/>
      <c r="G2579" s="1547"/>
      <c r="H2579" s="1061"/>
      <c r="U2579" s="1027"/>
      <c r="V2579" s="1027"/>
      <c r="W2579" s="1027"/>
    </row>
    <row r="2580" spans="2:23" ht="38.25" x14ac:dyDescent="0.2">
      <c r="B2580" s="1083">
        <f>'BewDifferenzen_Statut-Marktnah'!$A$1</f>
        <v>42</v>
      </c>
      <c r="C2580" s="1084" t="str">
        <f>'BewDifferenzen_Statut-Marktnah'!$B$1</f>
        <v>Differenzen zwischen statutarischer und marktnaher Bewertung</v>
      </c>
      <c r="D2580" s="1143" t="str">
        <f>'BewDifferenzen_Statut-Marktnah'!$D$33</f>
        <v>Derivative Finanzinstrumente (Guthaben)</v>
      </c>
      <c r="E2580" s="1494"/>
      <c r="F2580" s="1548" t="str">
        <f>'BewDifferenzen_Statut-Marktnah'!$G$4</f>
        <v>Umlegungen
REF</v>
      </c>
      <c r="G2580" s="1494"/>
      <c r="H2580" s="1062"/>
      <c r="U2580" s="1027"/>
      <c r="V2580" s="1027"/>
      <c r="W2580" s="1027"/>
    </row>
    <row r="2581" spans="2:23" ht="38.25" x14ac:dyDescent="0.2">
      <c r="B2581" s="1083">
        <f>'BewDifferenzen_Statut-Marktnah'!$A$1</f>
        <v>42</v>
      </c>
      <c r="C2581" s="1084" t="str">
        <f>'BewDifferenzen_Statut-Marktnah'!$B$1</f>
        <v>Differenzen zwischen statutarischer und marktnaher Bewertung</v>
      </c>
      <c r="D2581" s="1143" t="str">
        <f>'BewDifferenzen_Statut-Marktnah'!$D$33</f>
        <v>Derivative Finanzinstrumente (Guthaben)</v>
      </c>
      <c r="E2581" s="1547" t="str">
        <f>'BewDifferenzen_Statut-Marktnah'!$E34</f>
        <v>dem Geschäft nach KVG zugeordnet</v>
      </c>
      <c r="F2581" s="1548" t="str">
        <f>'BewDifferenzen_Statut-Marktnah'!$G$4</f>
        <v>Umlegungen
REF</v>
      </c>
      <c r="G2581" s="1547"/>
      <c r="H2581" s="1144">
        <f>'BewDifferenzen_Statut-Marktnah'!$G34</f>
        <v>0</v>
      </c>
      <c r="U2581" s="1027"/>
      <c r="V2581" s="1027"/>
      <c r="W2581" s="1027"/>
    </row>
    <row r="2582" spans="2:23" ht="38.25" x14ac:dyDescent="0.2">
      <c r="B2582" s="1083">
        <f>'BewDifferenzen_Statut-Marktnah'!$A$1</f>
        <v>42</v>
      </c>
      <c r="C2582" s="1084" t="str">
        <f>'BewDifferenzen_Statut-Marktnah'!$B$1</f>
        <v>Differenzen zwischen statutarischer und marktnaher Bewertung</v>
      </c>
      <c r="D2582" s="1143" t="str">
        <f>'BewDifferenzen_Statut-Marktnah'!$D$33</f>
        <v>Derivative Finanzinstrumente (Guthaben)</v>
      </c>
      <c r="E2582" s="1547" t="str">
        <f>'BewDifferenzen_Statut-Marktnah'!$E35</f>
        <v>dem Geschäft nach VVG zugeordnet</v>
      </c>
      <c r="F2582" s="1548" t="str">
        <f>'BewDifferenzen_Statut-Marktnah'!$G$4</f>
        <v>Umlegungen
REF</v>
      </c>
      <c r="G2582" s="1547"/>
      <c r="H2582" s="1144">
        <f>'BewDifferenzen_Statut-Marktnah'!$G35</f>
        <v>0</v>
      </c>
      <c r="U2582" s="1027"/>
      <c r="V2582" s="1027"/>
      <c r="W2582" s="1027"/>
    </row>
    <row r="2583" spans="2:23" ht="38.25" x14ac:dyDescent="0.2">
      <c r="B2583" s="1083">
        <f>'BewDifferenzen_Statut-Marktnah'!$A$1</f>
        <v>42</v>
      </c>
      <c r="C2583" s="1084" t="str">
        <f>'BewDifferenzen_Statut-Marktnah'!$B$1</f>
        <v>Differenzen zwischen statutarischer und marktnaher Bewertung</v>
      </c>
      <c r="D2583" s="1143" t="str">
        <f>'BewDifferenzen_Statut-Marktnah'!$D$33</f>
        <v>Derivative Finanzinstrumente (Guthaben)</v>
      </c>
      <c r="E2583" s="1547" t="str">
        <f>'BewDifferenzen_Statut-Marktnah'!$E36</f>
        <v>dem Geschäft nach UVG zugeordnet</v>
      </c>
      <c r="F2583" s="1548" t="str">
        <f>'BewDifferenzen_Statut-Marktnah'!$G$4</f>
        <v>Umlegungen
REF</v>
      </c>
      <c r="G2583" s="1547"/>
      <c r="H2583" s="1144">
        <f>'BewDifferenzen_Statut-Marktnah'!$G36</f>
        <v>0</v>
      </c>
      <c r="U2583" s="1027"/>
      <c r="V2583" s="1027"/>
      <c r="W2583" s="1027"/>
    </row>
    <row r="2584" spans="2:23" x14ac:dyDescent="0.2">
      <c r="B2584" s="1083"/>
      <c r="C2584" s="1084"/>
      <c r="D2584" s="1143"/>
      <c r="E2584" s="1547"/>
      <c r="F2584" s="1548"/>
      <c r="G2584" s="1547"/>
      <c r="H2584" s="1061"/>
      <c r="U2584" s="1027"/>
      <c r="V2584" s="1027"/>
      <c r="W2584" s="1027"/>
    </row>
    <row r="2585" spans="2:23" ht="38.25" x14ac:dyDescent="0.2">
      <c r="B2585" s="1083">
        <f>'BewDifferenzen_Statut-Marktnah'!$A$1</f>
        <v>42</v>
      </c>
      <c r="C2585" s="1084" t="str">
        <f>'BewDifferenzen_Statut-Marktnah'!$B$1</f>
        <v>Differenzen zwischen statutarischer und marktnaher Bewertung</v>
      </c>
      <c r="D2585" s="1143" t="str">
        <f>'BewDifferenzen_Statut-Marktnah'!$D$38</f>
        <v>Liquide Mittel</v>
      </c>
      <c r="E2585" s="1494"/>
      <c r="F2585" s="1548" t="str">
        <f>'BewDifferenzen_Statut-Marktnah'!$G$4</f>
        <v>Umlegungen
REF</v>
      </c>
      <c r="G2585" s="1494"/>
      <c r="H2585" s="1062"/>
      <c r="U2585" s="1027"/>
      <c r="V2585" s="1027"/>
      <c r="W2585" s="1027"/>
    </row>
    <row r="2586" spans="2:23" ht="38.25" x14ac:dyDescent="0.2">
      <c r="B2586" s="1083">
        <f>'BewDifferenzen_Statut-Marktnah'!$A$1</f>
        <v>42</v>
      </c>
      <c r="C2586" s="1084" t="str">
        <f>'BewDifferenzen_Statut-Marktnah'!$B$1</f>
        <v>Differenzen zwischen statutarischer und marktnaher Bewertung</v>
      </c>
      <c r="D2586" s="1143" t="str">
        <f>'BewDifferenzen_Statut-Marktnah'!$D$38</f>
        <v>Liquide Mittel</v>
      </c>
      <c r="E2586" s="1547" t="str">
        <f>'BewDifferenzen_Statut-Marktnah'!$E39</f>
        <v>dem Geschäft nach KVG zugeordnet</v>
      </c>
      <c r="F2586" s="1548" t="str">
        <f>'BewDifferenzen_Statut-Marktnah'!$G$4</f>
        <v>Umlegungen
REF</v>
      </c>
      <c r="G2586" s="1547"/>
      <c r="H2586" s="1144">
        <f>'BewDifferenzen_Statut-Marktnah'!$G39</f>
        <v>0</v>
      </c>
      <c r="U2586" s="1027"/>
      <c r="V2586" s="1027"/>
      <c r="W2586" s="1027"/>
    </row>
    <row r="2587" spans="2:23" ht="38.25" x14ac:dyDescent="0.2">
      <c r="B2587" s="1083">
        <f>'BewDifferenzen_Statut-Marktnah'!$A$1</f>
        <v>42</v>
      </c>
      <c r="C2587" s="1084" t="str">
        <f>'BewDifferenzen_Statut-Marktnah'!$B$1</f>
        <v>Differenzen zwischen statutarischer und marktnaher Bewertung</v>
      </c>
      <c r="D2587" s="1143" t="str">
        <f>'BewDifferenzen_Statut-Marktnah'!$D$38</f>
        <v>Liquide Mittel</v>
      </c>
      <c r="E2587" s="1547" t="str">
        <f>'BewDifferenzen_Statut-Marktnah'!$E40</f>
        <v>dem Geschäft nach VVG zugeordnet</v>
      </c>
      <c r="F2587" s="1548" t="str">
        <f>'BewDifferenzen_Statut-Marktnah'!$G$4</f>
        <v>Umlegungen
REF</v>
      </c>
      <c r="G2587" s="1547"/>
      <c r="H2587" s="1144">
        <f>'BewDifferenzen_Statut-Marktnah'!$G40</f>
        <v>0</v>
      </c>
      <c r="U2587" s="1027"/>
      <c r="V2587" s="1027"/>
      <c r="W2587" s="1027"/>
    </row>
    <row r="2588" spans="2:23" ht="38.25" x14ac:dyDescent="0.2">
      <c r="B2588" s="1083">
        <f>'BewDifferenzen_Statut-Marktnah'!$A$1</f>
        <v>42</v>
      </c>
      <c r="C2588" s="1084" t="str">
        <f>'BewDifferenzen_Statut-Marktnah'!$B$1</f>
        <v>Differenzen zwischen statutarischer und marktnaher Bewertung</v>
      </c>
      <c r="D2588" s="1143" t="str">
        <f>'BewDifferenzen_Statut-Marktnah'!$D$38</f>
        <v>Liquide Mittel</v>
      </c>
      <c r="E2588" s="1547" t="str">
        <f>'BewDifferenzen_Statut-Marktnah'!$E41</f>
        <v>dem Geschäft nach UVG zugeordnet</v>
      </c>
      <c r="F2588" s="1548" t="str">
        <f>'BewDifferenzen_Statut-Marktnah'!$G$4</f>
        <v>Umlegungen
REF</v>
      </c>
      <c r="G2588" s="1547"/>
      <c r="H2588" s="1144">
        <f>'BewDifferenzen_Statut-Marktnah'!$G41</f>
        <v>0</v>
      </c>
      <c r="U2588" s="1027"/>
      <c r="V2588" s="1027"/>
      <c r="W2588" s="1027"/>
    </row>
    <row r="2589" spans="2:23" x14ac:dyDescent="0.2">
      <c r="B2589" s="1083"/>
      <c r="C2589" s="1084"/>
      <c r="D2589" s="1143"/>
      <c r="E2589" s="1547"/>
      <c r="F2589" s="1548"/>
      <c r="G2589" s="1547"/>
      <c r="H2589" s="1061"/>
      <c r="U2589" s="1027"/>
      <c r="V2589" s="1027"/>
      <c r="W2589" s="1027"/>
    </row>
    <row r="2590" spans="2:23" ht="38.25" x14ac:dyDescent="0.2">
      <c r="B2590" s="1083">
        <f>'BewDifferenzen_Statut-Marktnah'!$A$1</f>
        <v>42</v>
      </c>
      <c r="C2590" s="1084" t="str">
        <f>'BewDifferenzen_Statut-Marktnah'!$B$1</f>
        <v>Differenzen zwischen statutarischer und marktnaher Bewertung</v>
      </c>
      <c r="D2590" s="1143" t="str">
        <f>'BewDifferenzen_Statut-Marktnah'!$D$43</f>
        <v>Anlagen in Institutionen, die der Durchführung der sozialen Krankenversicherung dienen</v>
      </c>
      <c r="E2590" s="1494"/>
      <c r="F2590" s="1548" t="str">
        <f>'BewDifferenzen_Statut-Marktnah'!$G$4</f>
        <v>Umlegungen
REF</v>
      </c>
      <c r="G2590" s="1494"/>
      <c r="H2590" s="1062"/>
      <c r="U2590" s="1027"/>
      <c r="V2590" s="1027"/>
      <c r="W2590" s="1027"/>
    </row>
    <row r="2591" spans="2:23" ht="38.25" x14ac:dyDescent="0.2">
      <c r="B2591" s="1083">
        <f>'BewDifferenzen_Statut-Marktnah'!$A$1</f>
        <v>42</v>
      </c>
      <c r="C2591" s="1084" t="str">
        <f>'BewDifferenzen_Statut-Marktnah'!$B$1</f>
        <v>Differenzen zwischen statutarischer und marktnaher Bewertung</v>
      </c>
      <c r="D2591" s="1143" t="str">
        <f>'BewDifferenzen_Statut-Marktnah'!$D$43</f>
        <v>Anlagen in Institutionen, die der Durchführung der sozialen Krankenversicherung dienen</v>
      </c>
      <c r="E2591" s="1547" t="str">
        <f>'BewDifferenzen_Statut-Marktnah'!$E44</f>
        <v>dem Geschäft nach KVG zugeordnet</v>
      </c>
      <c r="F2591" s="1548" t="str">
        <f>'BewDifferenzen_Statut-Marktnah'!$G$4</f>
        <v>Umlegungen
REF</v>
      </c>
      <c r="G2591" s="1547"/>
      <c r="H2591" s="1144">
        <f>'BewDifferenzen_Statut-Marktnah'!$G44</f>
        <v>0</v>
      </c>
      <c r="U2591" s="1027"/>
      <c r="V2591" s="1027"/>
      <c r="W2591" s="1027"/>
    </row>
    <row r="2592" spans="2:23" ht="38.25" x14ac:dyDescent="0.2">
      <c r="B2592" s="1083">
        <f>'BewDifferenzen_Statut-Marktnah'!$A$1</f>
        <v>42</v>
      </c>
      <c r="C2592" s="1084" t="str">
        <f>'BewDifferenzen_Statut-Marktnah'!$B$1</f>
        <v>Differenzen zwischen statutarischer und marktnaher Bewertung</v>
      </c>
      <c r="D2592" s="1143" t="str">
        <f>'BewDifferenzen_Statut-Marktnah'!$D$43</f>
        <v>Anlagen in Institutionen, die der Durchführung der sozialen Krankenversicherung dienen</v>
      </c>
      <c r="E2592" s="1547" t="str">
        <f>'BewDifferenzen_Statut-Marktnah'!$E45</f>
        <v>dem Geschäft nach VVG zugeordnet</v>
      </c>
      <c r="F2592" s="1548" t="str">
        <f>'BewDifferenzen_Statut-Marktnah'!$G$4</f>
        <v>Umlegungen
REF</v>
      </c>
      <c r="G2592" s="1547"/>
      <c r="H2592" s="1144">
        <f>'BewDifferenzen_Statut-Marktnah'!$G45</f>
        <v>0</v>
      </c>
      <c r="U2592" s="1027"/>
      <c r="V2592" s="1027"/>
      <c r="W2592" s="1027"/>
    </row>
    <row r="2593" spans="2:23" ht="38.25" x14ac:dyDescent="0.2">
      <c r="B2593" s="1083">
        <f>'BewDifferenzen_Statut-Marktnah'!$A$1</f>
        <v>42</v>
      </c>
      <c r="C2593" s="1084" t="str">
        <f>'BewDifferenzen_Statut-Marktnah'!$B$1</f>
        <v>Differenzen zwischen statutarischer und marktnaher Bewertung</v>
      </c>
      <c r="D2593" s="1143" t="str">
        <f>'BewDifferenzen_Statut-Marktnah'!$D$43</f>
        <v>Anlagen in Institutionen, die der Durchführung der sozialen Krankenversicherung dienen</v>
      </c>
      <c r="E2593" s="1547" t="str">
        <f>'BewDifferenzen_Statut-Marktnah'!$E46</f>
        <v>dem Geschäft nach UVG zugeordnet</v>
      </c>
      <c r="F2593" s="1548" t="str">
        <f>'BewDifferenzen_Statut-Marktnah'!$G$4</f>
        <v>Umlegungen
REF</v>
      </c>
      <c r="G2593" s="1547"/>
      <c r="H2593" s="1144">
        <f>'BewDifferenzen_Statut-Marktnah'!$G46</f>
        <v>0</v>
      </c>
      <c r="U2593" s="1027"/>
      <c r="V2593" s="1027"/>
      <c r="W2593" s="1027"/>
    </row>
    <row r="2594" spans="2:23" x14ac:dyDescent="0.2">
      <c r="B2594" s="1083"/>
      <c r="C2594" s="1084"/>
      <c r="D2594" s="1143"/>
      <c r="E2594" s="1547"/>
      <c r="F2594" s="1548"/>
      <c r="G2594" s="1547"/>
      <c r="H2594" s="1061"/>
      <c r="U2594" s="1027"/>
      <c r="V2594" s="1027"/>
      <c r="W2594" s="1027"/>
    </row>
    <row r="2595" spans="2:23" ht="38.25" x14ac:dyDescent="0.2">
      <c r="B2595" s="1083">
        <f>'BewDifferenzen_Statut-Marktnah'!$A$1</f>
        <v>42</v>
      </c>
      <c r="C2595" s="1084" t="str">
        <f>'BewDifferenzen_Statut-Marktnah'!$B$1</f>
        <v>Differenzen zwischen statutarischer und marktnaher Bewertung</v>
      </c>
      <c r="D2595" s="1143" t="str">
        <f>'BewDifferenzen_Statut-Marktnah'!$D$48</f>
        <v>Übrige Kapitalanlagen (Latente Steuern, Aktiven aus Vorsorgeplänen)</v>
      </c>
      <c r="E2595" s="1494"/>
      <c r="F2595" s="1548" t="str">
        <f>'BewDifferenzen_Statut-Marktnah'!$G$4</f>
        <v>Umlegungen
REF</v>
      </c>
      <c r="G2595" s="1494"/>
      <c r="H2595" s="1062"/>
      <c r="U2595" s="1027"/>
      <c r="V2595" s="1027"/>
      <c r="W2595" s="1027"/>
    </row>
    <row r="2596" spans="2:23" ht="38.25" x14ac:dyDescent="0.2">
      <c r="B2596" s="1083">
        <f>'BewDifferenzen_Statut-Marktnah'!$A$1</f>
        <v>42</v>
      </c>
      <c r="C2596" s="1084" t="str">
        <f>'BewDifferenzen_Statut-Marktnah'!$B$1</f>
        <v>Differenzen zwischen statutarischer und marktnaher Bewertung</v>
      </c>
      <c r="D2596" s="1143" t="str">
        <f>'BewDifferenzen_Statut-Marktnah'!$D$48</f>
        <v>Übrige Kapitalanlagen (Latente Steuern, Aktiven aus Vorsorgeplänen)</v>
      </c>
      <c r="E2596" s="1547" t="str">
        <f>'BewDifferenzen_Statut-Marktnah'!$E49</f>
        <v>dem Geschäft nach KVG zugeordnet</v>
      </c>
      <c r="F2596" s="1548" t="str">
        <f>'BewDifferenzen_Statut-Marktnah'!$G$4</f>
        <v>Umlegungen
REF</v>
      </c>
      <c r="G2596" s="1547"/>
      <c r="H2596" s="1144">
        <f>'BewDifferenzen_Statut-Marktnah'!$G49</f>
        <v>0</v>
      </c>
      <c r="U2596" s="1027"/>
      <c r="V2596" s="1027"/>
      <c r="W2596" s="1027"/>
    </row>
    <row r="2597" spans="2:23" ht="38.25" x14ac:dyDescent="0.2">
      <c r="B2597" s="1083">
        <f>'BewDifferenzen_Statut-Marktnah'!$A$1</f>
        <v>42</v>
      </c>
      <c r="C2597" s="1084" t="str">
        <f>'BewDifferenzen_Statut-Marktnah'!$B$1</f>
        <v>Differenzen zwischen statutarischer und marktnaher Bewertung</v>
      </c>
      <c r="D2597" s="1143" t="str">
        <f>'BewDifferenzen_Statut-Marktnah'!$D$48</f>
        <v>Übrige Kapitalanlagen (Latente Steuern, Aktiven aus Vorsorgeplänen)</v>
      </c>
      <c r="E2597" s="1547" t="str">
        <f>'BewDifferenzen_Statut-Marktnah'!$E50</f>
        <v>dem Geschäft nach VVG zugeordnet</v>
      </c>
      <c r="F2597" s="1548" t="str">
        <f>'BewDifferenzen_Statut-Marktnah'!$G$4</f>
        <v>Umlegungen
REF</v>
      </c>
      <c r="G2597" s="1547"/>
      <c r="H2597" s="1144">
        <f>'BewDifferenzen_Statut-Marktnah'!$G50</f>
        <v>0</v>
      </c>
      <c r="U2597" s="1027"/>
      <c r="V2597" s="1027"/>
      <c r="W2597" s="1027"/>
    </row>
    <row r="2598" spans="2:23" ht="38.25" x14ac:dyDescent="0.2">
      <c r="B2598" s="1083">
        <f>'BewDifferenzen_Statut-Marktnah'!$A$1</f>
        <v>42</v>
      </c>
      <c r="C2598" s="1084" t="str">
        <f>'BewDifferenzen_Statut-Marktnah'!$B$1</f>
        <v>Differenzen zwischen statutarischer und marktnaher Bewertung</v>
      </c>
      <c r="D2598" s="1143" t="str">
        <f>'BewDifferenzen_Statut-Marktnah'!$D$48</f>
        <v>Übrige Kapitalanlagen (Latente Steuern, Aktiven aus Vorsorgeplänen)</v>
      </c>
      <c r="E2598" s="1547" t="str">
        <f>'BewDifferenzen_Statut-Marktnah'!$E51</f>
        <v>dem Geschäft nach UVG zugeordnet</v>
      </c>
      <c r="F2598" s="1548" t="str">
        <f>'BewDifferenzen_Statut-Marktnah'!$G$4</f>
        <v>Umlegungen
REF</v>
      </c>
      <c r="G2598" s="1547"/>
      <c r="H2598" s="1144">
        <f>'BewDifferenzen_Statut-Marktnah'!$G51</f>
        <v>0</v>
      </c>
      <c r="U2598" s="1027"/>
      <c r="V2598" s="1027"/>
      <c r="W2598" s="1027"/>
    </row>
    <row r="2599" spans="2:23" x14ac:dyDescent="0.2">
      <c r="B2599" s="1083"/>
      <c r="C2599" s="1084"/>
      <c r="D2599" s="1143"/>
      <c r="E2599" s="1547"/>
      <c r="F2599" s="1548"/>
      <c r="G2599" s="1547"/>
      <c r="H2599" s="1061"/>
      <c r="U2599" s="1027"/>
      <c r="V2599" s="1027"/>
      <c r="W2599" s="1027"/>
    </row>
    <row r="2600" spans="2:23" ht="38.25" x14ac:dyDescent="0.2">
      <c r="B2600" s="1083">
        <f>'BewDifferenzen_Statut-Marktnah'!$A$1</f>
        <v>42</v>
      </c>
      <c r="C2600" s="1084" t="str">
        <f>'BewDifferenzen_Statut-Marktnah'!$B$1</f>
        <v>Differenzen zwischen statutarischer und marktnaher Bewertung</v>
      </c>
      <c r="D2600" s="1143" t="str">
        <f>'BewDifferenzen_Statut-Marktnah'!$D$53</f>
        <v>Total Kapitalanlagen</v>
      </c>
      <c r="E2600" s="1494"/>
      <c r="F2600" s="1548" t="str">
        <f>'BewDifferenzen_Statut-Marktnah'!$G$4</f>
        <v>Umlegungen
REF</v>
      </c>
      <c r="G2600" s="1494"/>
      <c r="H2600" s="1065"/>
      <c r="U2600" s="1027"/>
      <c r="V2600" s="1027"/>
      <c r="W2600" s="1027"/>
    </row>
    <row r="2601" spans="2:23" x14ac:dyDescent="0.2">
      <c r="B2601" s="1083"/>
      <c r="C2601" s="1084"/>
      <c r="D2601" s="1143"/>
      <c r="E2601" s="1547"/>
      <c r="F2601" s="1548"/>
      <c r="G2601" s="1547"/>
      <c r="H2601" s="1061"/>
      <c r="U2601" s="1027"/>
      <c r="V2601" s="1027"/>
      <c r="W2601" s="1027"/>
    </row>
    <row r="2602" spans="2:23" ht="38.25" x14ac:dyDescent="0.2">
      <c r="B2602" s="1083">
        <f>'BewDifferenzen_Statut-Marktnah'!$A$1</f>
        <v>42</v>
      </c>
      <c r="C2602" s="1084" t="str">
        <f>'BewDifferenzen_Statut-Marktnah'!$B$1</f>
        <v>Differenzen zwischen statutarischer und marktnaher Bewertung</v>
      </c>
      <c r="D2602" s="1143" t="str">
        <f>'BewDifferenzen_Statut-Marktnah'!$D$57</f>
        <v>Übriges Anlagevermögen (Immaterielle Anlagen, Sachanlagen)</v>
      </c>
      <c r="E2602" s="1494"/>
      <c r="F2602" s="1548" t="str">
        <f>'BewDifferenzen_Statut-Marktnah'!$G$4</f>
        <v>Umlegungen
REF</v>
      </c>
      <c r="G2602" s="1494"/>
      <c r="H2602" s="1062"/>
      <c r="U2602" s="1027"/>
      <c r="V2602" s="1027"/>
      <c r="W2602" s="1027"/>
    </row>
    <row r="2603" spans="2:23" ht="38.25" x14ac:dyDescent="0.2">
      <c r="B2603" s="1083">
        <f>'BewDifferenzen_Statut-Marktnah'!$A$1</f>
        <v>42</v>
      </c>
      <c r="C2603" s="1084" t="str">
        <f>'BewDifferenzen_Statut-Marktnah'!$B$1</f>
        <v>Differenzen zwischen statutarischer und marktnaher Bewertung</v>
      </c>
      <c r="D2603" s="1143" t="str">
        <f>'BewDifferenzen_Statut-Marktnah'!$D$57</f>
        <v>Übriges Anlagevermögen (Immaterielle Anlagen, Sachanlagen)</v>
      </c>
      <c r="E2603" s="1547" t="str">
        <f>'BewDifferenzen_Statut-Marktnah'!$E58</f>
        <v>dem Geschäft nach KVG zugeordnet</v>
      </c>
      <c r="F2603" s="1548" t="str">
        <f>'BewDifferenzen_Statut-Marktnah'!$G$4</f>
        <v>Umlegungen
REF</v>
      </c>
      <c r="G2603" s="1547"/>
      <c r="H2603" s="1144">
        <f>'BewDifferenzen_Statut-Marktnah'!$G58</f>
        <v>0</v>
      </c>
      <c r="U2603" s="1027"/>
      <c r="V2603" s="1027"/>
      <c r="W2603" s="1027"/>
    </row>
    <row r="2604" spans="2:23" ht="38.25" x14ac:dyDescent="0.2">
      <c r="B2604" s="1083">
        <f>'BewDifferenzen_Statut-Marktnah'!$A$1</f>
        <v>42</v>
      </c>
      <c r="C2604" s="1084" t="str">
        <f>'BewDifferenzen_Statut-Marktnah'!$B$1</f>
        <v>Differenzen zwischen statutarischer und marktnaher Bewertung</v>
      </c>
      <c r="D2604" s="1143" t="str">
        <f>'BewDifferenzen_Statut-Marktnah'!$D$57</f>
        <v>Übriges Anlagevermögen (Immaterielle Anlagen, Sachanlagen)</v>
      </c>
      <c r="E2604" s="1547" t="str">
        <f>'BewDifferenzen_Statut-Marktnah'!$E59</f>
        <v>dem Geschäft nach VVG zugeordnet</v>
      </c>
      <c r="F2604" s="1548" t="str">
        <f>'BewDifferenzen_Statut-Marktnah'!$G$4</f>
        <v>Umlegungen
REF</v>
      </c>
      <c r="G2604" s="1547"/>
      <c r="H2604" s="1144">
        <f>'BewDifferenzen_Statut-Marktnah'!$G59</f>
        <v>0</v>
      </c>
      <c r="U2604" s="1027"/>
      <c r="V2604" s="1027"/>
      <c r="W2604" s="1027"/>
    </row>
    <row r="2605" spans="2:23" ht="12.75" customHeight="1" x14ac:dyDescent="0.2">
      <c r="B2605" s="1083">
        <f>'BewDifferenzen_Statut-Marktnah'!$A$1</f>
        <v>42</v>
      </c>
      <c r="C2605" s="1084" t="str">
        <f>'BewDifferenzen_Statut-Marktnah'!$B$1</f>
        <v>Differenzen zwischen statutarischer und marktnaher Bewertung</v>
      </c>
      <c r="D2605" s="1143" t="str">
        <f>'BewDifferenzen_Statut-Marktnah'!$D$57</f>
        <v>Übriges Anlagevermögen (Immaterielle Anlagen, Sachanlagen)</v>
      </c>
      <c r="E2605" s="1547" t="str">
        <f>'BewDifferenzen_Statut-Marktnah'!$E60</f>
        <v>dem Geschäft nach UVG zugeordnet</v>
      </c>
      <c r="F2605" s="1548" t="str">
        <f>'BewDifferenzen_Statut-Marktnah'!$G$4</f>
        <v>Umlegungen
REF</v>
      </c>
      <c r="G2605" s="1547"/>
      <c r="H2605" s="1144">
        <f>'BewDifferenzen_Statut-Marktnah'!$G60</f>
        <v>0</v>
      </c>
      <c r="U2605" s="1027"/>
      <c r="V2605" s="1027"/>
      <c r="W2605" s="1027"/>
    </row>
    <row r="2606" spans="2:23" ht="12.75" customHeight="1" x14ac:dyDescent="0.2">
      <c r="B2606" s="1083"/>
      <c r="C2606" s="1084"/>
      <c r="D2606" s="1143"/>
      <c r="E2606" s="1547"/>
      <c r="F2606" s="1548"/>
      <c r="G2606" s="1547"/>
      <c r="H2606" s="1061"/>
      <c r="U2606" s="1027"/>
      <c r="V2606" s="1027"/>
      <c r="W2606" s="1027"/>
    </row>
    <row r="2607" spans="2:23" ht="12.75" customHeight="1" x14ac:dyDescent="0.2">
      <c r="B2607" s="1083">
        <f>'BewDifferenzen_Statut-Marktnah'!$A$1</f>
        <v>42</v>
      </c>
      <c r="C2607" s="1084" t="str">
        <f>'BewDifferenzen_Statut-Marktnah'!$B$1</f>
        <v>Differenzen zwischen statutarischer und marktnaher Bewertung</v>
      </c>
      <c r="D2607" s="1143" t="str">
        <f>'BewDifferenzen_Statut-Marktnah'!$D$62</f>
        <v>Umlaufvermögen</v>
      </c>
      <c r="E2607" s="1494"/>
      <c r="F2607" s="1548" t="str">
        <f>'BewDifferenzen_Statut-Marktnah'!$G$4</f>
        <v>Umlegungen
REF</v>
      </c>
      <c r="G2607" s="1494"/>
      <c r="H2607" s="1062"/>
      <c r="U2607" s="1027"/>
      <c r="V2607" s="1027"/>
      <c r="W2607" s="1027"/>
    </row>
    <row r="2608" spans="2:23" ht="12.75" customHeight="1" x14ac:dyDescent="0.2">
      <c r="B2608" s="1083">
        <f>'BewDifferenzen_Statut-Marktnah'!$A$1</f>
        <v>42</v>
      </c>
      <c r="C2608" s="1084" t="str">
        <f>'BewDifferenzen_Statut-Marktnah'!$B$1</f>
        <v>Differenzen zwischen statutarischer und marktnaher Bewertung</v>
      </c>
      <c r="D2608" s="1143" t="str">
        <f>'BewDifferenzen_Statut-Marktnah'!$D$62</f>
        <v>Umlaufvermögen</v>
      </c>
      <c r="E2608" s="1547" t="str">
        <f>'BewDifferenzen_Statut-Marktnah'!$E63</f>
        <v>dem Geschäft nach KVG zugeordnet</v>
      </c>
      <c r="F2608" s="1548" t="str">
        <f>'BewDifferenzen_Statut-Marktnah'!$G$4</f>
        <v>Umlegungen
REF</v>
      </c>
      <c r="G2608" s="1547"/>
      <c r="H2608" s="1144">
        <f>'BewDifferenzen_Statut-Marktnah'!$G63</f>
        <v>0</v>
      </c>
      <c r="U2608" s="1027"/>
      <c r="V2608" s="1027"/>
      <c r="W2608" s="1027"/>
    </row>
    <row r="2609" spans="2:23" ht="12.75" customHeight="1" x14ac:dyDescent="0.2">
      <c r="B2609" s="1083">
        <f>'BewDifferenzen_Statut-Marktnah'!$A$1</f>
        <v>42</v>
      </c>
      <c r="C2609" s="1084" t="str">
        <f>'BewDifferenzen_Statut-Marktnah'!$B$1</f>
        <v>Differenzen zwischen statutarischer und marktnaher Bewertung</v>
      </c>
      <c r="D2609" s="1143" t="str">
        <f>'BewDifferenzen_Statut-Marktnah'!$D$62</f>
        <v>Umlaufvermögen</v>
      </c>
      <c r="E2609" s="1547" t="str">
        <f>'BewDifferenzen_Statut-Marktnah'!$E64</f>
        <v>dem Geschäft nach VVG zugeordnet</v>
      </c>
      <c r="F2609" s="1548" t="str">
        <f>'BewDifferenzen_Statut-Marktnah'!$G$4</f>
        <v>Umlegungen
REF</v>
      </c>
      <c r="G2609" s="1547"/>
      <c r="H2609" s="1144">
        <f>'BewDifferenzen_Statut-Marktnah'!$G64</f>
        <v>0</v>
      </c>
      <c r="U2609" s="1027"/>
      <c r="V2609" s="1027"/>
      <c r="W2609" s="1027"/>
    </row>
    <row r="2610" spans="2:23" ht="12.75" customHeight="1" x14ac:dyDescent="0.2">
      <c r="B2610" s="1083">
        <f>'BewDifferenzen_Statut-Marktnah'!$A$1</f>
        <v>42</v>
      </c>
      <c r="C2610" s="1084" t="str">
        <f>'BewDifferenzen_Statut-Marktnah'!$B$1</f>
        <v>Differenzen zwischen statutarischer und marktnaher Bewertung</v>
      </c>
      <c r="D2610" s="1143" t="str">
        <f>'BewDifferenzen_Statut-Marktnah'!$D$62</f>
        <v>Umlaufvermögen</v>
      </c>
      <c r="E2610" s="1547" t="str">
        <f>'BewDifferenzen_Statut-Marktnah'!$E65</f>
        <v>dem Geschäft nach UVG zugeordnet</v>
      </c>
      <c r="F2610" s="1548" t="str">
        <f>'BewDifferenzen_Statut-Marktnah'!$G$4</f>
        <v>Umlegungen
REF</v>
      </c>
      <c r="G2610" s="1547"/>
      <c r="H2610" s="1144">
        <f>'BewDifferenzen_Statut-Marktnah'!$G65</f>
        <v>0</v>
      </c>
      <c r="U2610" s="1027"/>
      <c r="V2610" s="1027"/>
      <c r="W2610" s="1027"/>
    </row>
    <row r="2611" spans="2:23" ht="12.75" customHeight="1" x14ac:dyDescent="0.2">
      <c r="B2611" s="1083"/>
      <c r="C2611" s="1084"/>
      <c r="D2611" s="1143"/>
      <c r="E2611" s="1547"/>
      <c r="F2611" s="1548"/>
      <c r="G2611" s="1547"/>
      <c r="H2611" s="1061"/>
      <c r="U2611" s="1027"/>
      <c r="V2611" s="1027"/>
      <c r="W2611" s="1027"/>
    </row>
    <row r="2612" spans="2:23" ht="12.75" customHeight="1" x14ac:dyDescent="0.2">
      <c r="B2612" s="1083">
        <f>'BewDifferenzen_Statut-Marktnah'!$A$1</f>
        <v>42</v>
      </c>
      <c r="C2612" s="1084" t="str">
        <f>'BewDifferenzen_Statut-Marktnah'!$B$1</f>
        <v>Differenzen zwischen statutarischer und marktnaher Bewertung</v>
      </c>
      <c r="D2612" s="1143" t="str">
        <f>'BewDifferenzen_Statut-Marktnah'!$D$67</f>
        <v>Total übrige Aktiven</v>
      </c>
      <c r="E2612" s="1494"/>
      <c r="F2612" s="1548" t="str">
        <f>'BewDifferenzen_Statut-Marktnah'!$G$4</f>
        <v>Umlegungen
REF</v>
      </c>
      <c r="G2612" s="1494"/>
      <c r="H2612" s="1065"/>
      <c r="U2612" s="1027"/>
      <c r="V2612" s="1027"/>
      <c r="W2612" s="1027"/>
    </row>
    <row r="2613" spans="2:23" ht="12.75" customHeight="1" x14ac:dyDescent="0.2">
      <c r="B2613" s="1083"/>
      <c r="C2613" s="1084"/>
      <c r="D2613" s="1143"/>
      <c r="E2613" s="1547"/>
      <c r="F2613" s="1548"/>
      <c r="G2613" s="1547"/>
      <c r="H2613" s="1061"/>
      <c r="U2613" s="1027"/>
      <c r="V2613" s="1027"/>
      <c r="W2613" s="1027"/>
    </row>
    <row r="2614" spans="2:23" ht="12.75" customHeight="1" x14ac:dyDescent="0.2">
      <c r="B2614" s="1083">
        <f>'BewDifferenzen_Statut-Marktnah'!$A$1</f>
        <v>42</v>
      </c>
      <c r="C2614" s="1084" t="str">
        <f>'BewDifferenzen_Statut-Marktnah'!$B$1</f>
        <v>Differenzen zwischen statutarischer und marktnaher Bewertung</v>
      </c>
      <c r="D2614" s="1143" t="str">
        <f>'BewDifferenzen_Statut-Marktnah'!$C$69</f>
        <v>Total Aktiven</v>
      </c>
      <c r="E2614" s="1547"/>
      <c r="F2614" s="1548" t="str">
        <f>'BewDifferenzen_Statut-Marktnah'!$G$4</f>
        <v>Umlegungen
REF</v>
      </c>
      <c r="G2614" s="1547"/>
      <c r="H2614" s="1065"/>
      <c r="U2614" s="1027"/>
      <c r="V2614" s="1027"/>
      <c r="W2614" s="1027"/>
    </row>
    <row r="2615" spans="2:23" ht="12.75" customHeight="1" x14ac:dyDescent="0.2">
      <c r="B2615" s="1083"/>
      <c r="C2615" s="1084"/>
      <c r="D2615" s="1143"/>
      <c r="E2615" s="1547"/>
      <c r="F2615" s="1548"/>
      <c r="G2615" s="1547"/>
      <c r="H2615" s="1061"/>
      <c r="U2615" s="1027"/>
      <c r="V2615" s="1027"/>
      <c r="W2615" s="1027"/>
    </row>
    <row r="2616" spans="2:23" ht="12.75" customHeight="1" x14ac:dyDescent="0.2">
      <c r="B2616" s="1083"/>
      <c r="C2616" s="1084"/>
      <c r="D2616" s="1143"/>
      <c r="E2616" s="1547"/>
      <c r="F2616" s="1548"/>
      <c r="G2616" s="1547"/>
      <c r="H2616" s="1061"/>
      <c r="U2616" s="1027"/>
      <c r="V2616" s="1027"/>
      <c r="W2616" s="1027"/>
    </row>
    <row r="2617" spans="2:23" ht="12.75" customHeight="1" x14ac:dyDescent="0.2">
      <c r="B2617" s="1083">
        <f>'BewDifferenzen_Statut-Marktnah'!$A$1</f>
        <v>42</v>
      </c>
      <c r="C2617" s="1084" t="str">
        <f>'BewDifferenzen_Statut-Marktnah'!$B$1</f>
        <v>Differenzen zwischen statutarischer und marktnaher Bewertung</v>
      </c>
      <c r="D2617" s="1143" t="str">
        <f>'BewDifferenzen_Statut-Marktnah'!$D$74</f>
        <v>Leistungsrückstellungen</v>
      </c>
      <c r="E2617" s="1494"/>
      <c r="F2617" s="1548" t="str">
        <f>'BewDifferenzen_Statut-Marktnah'!$G$4</f>
        <v>Umlegungen
REF</v>
      </c>
      <c r="G2617" s="1494"/>
      <c r="H2617" s="1069"/>
      <c r="U2617" s="1027"/>
      <c r="V2617" s="1027"/>
      <c r="W2617" s="1027"/>
    </row>
    <row r="2618" spans="2:23" ht="12.75" customHeight="1" x14ac:dyDescent="0.2">
      <c r="B2618" s="1083">
        <f>'BewDifferenzen_Statut-Marktnah'!$A$1</f>
        <v>42</v>
      </c>
      <c r="C2618" s="1084" t="str">
        <f>'BewDifferenzen_Statut-Marktnah'!$B$1</f>
        <v>Differenzen zwischen statutarischer und marktnaher Bewertung</v>
      </c>
      <c r="D2618" s="1143" t="str">
        <f>'BewDifferenzen_Statut-Marktnah'!$D$74</f>
        <v>Leistungsrückstellungen</v>
      </c>
      <c r="E2618" s="1547" t="str">
        <f>'BewDifferenzen_Statut-Marktnah'!$E75</f>
        <v>Obligatorische Krankenpflegeversicherung</v>
      </c>
      <c r="F2618" s="1548" t="str">
        <f>'BewDifferenzen_Statut-Marktnah'!$G$4</f>
        <v>Umlegungen
REF</v>
      </c>
      <c r="G2618" s="1547"/>
      <c r="H2618" s="1144">
        <f>'BewDifferenzen_Statut-Marktnah'!$G75</f>
        <v>0</v>
      </c>
      <c r="U2618" s="1027"/>
      <c r="V2618" s="1027"/>
      <c r="W2618" s="1027"/>
    </row>
    <row r="2619" spans="2:23" ht="12.75" customHeight="1" x14ac:dyDescent="0.2">
      <c r="B2619" s="1083">
        <f>'BewDifferenzen_Statut-Marktnah'!$A$1</f>
        <v>42</v>
      </c>
      <c r="C2619" s="1084" t="str">
        <f>'BewDifferenzen_Statut-Marktnah'!$B$1</f>
        <v>Differenzen zwischen statutarischer und marktnaher Bewertung</v>
      </c>
      <c r="D2619" s="1143" t="str">
        <f>'BewDifferenzen_Statut-Marktnah'!$D$74</f>
        <v>Leistungsrückstellungen</v>
      </c>
      <c r="E2619" s="1547" t="str">
        <f>'BewDifferenzen_Statut-Marktnah'!$E76</f>
        <v>Einzel-Taggeldversicherung nach KVG</v>
      </c>
      <c r="F2619" s="1548" t="str">
        <f>'BewDifferenzen_Statut-Marktnah'!$G$4</f>
        <v>Umlegungen
REF</v>
      </c>
      <c r="G2619" s="1547"/>
      <c r="H2619" s="1144">
        <f>'BewDifferenzen_Statut-Marktnah'!$G76</f>
        <v>0</v>
      </c>
      <c r="U2619" s="1027"/>
      <c r="V2619" s="1027"/>
      <c r="W2619" s="1027"/>
    </row>
    <row r="2620" spans="2:23" ht="12.75" customHeight="1" x14ac:dyDescent="0.2">
      <c r="B2620" s="1083">
        <f>'BewDifferenzen_Statut-Marktnah'!$A$1</f>
        <v>42</v>
      </c>
      <c r="C2620" s="1084" t="str">
        <f>'BewDifferenzen_Statut-Marktnah'!$B$1</f>
        <v>Differenzen zwischen statutarischer und marktnaher Bewertung</v>
      </c>
      <c r="D2620" s="1143" t="str">
        <f>'BewDifferenzen_Statut-Marktnah'!$D$74</f>
        <v>Leistungsrückstellungen</v>
      </c>
      <c r="E2620" s="1547" t="str">
        <f>'BewDifferenzen_Statut-Marktnah'!$E77</f>
        <v>Kollektiv-Taggeldversicherung nach KVG</v>
      </c>
      <c r="F2620" s="1548" t="str">
        <f>'BewDifferenzen_Statut-Marktnah'!$G$4</f>
        <v>Umlegungen
REF</v>
      </c>
      <c r="G2620" s="1547"/>
      <c r="H2620" s="1144">
        <f>'BewDifferenzen_Statut-Marktnah'!$G77</f>
        <v>0</v>
      </c>
      <c r="U2620" s="1027"/>
      <c r="V2620" s="1027"/>
      <c r="W2620" s="1027"/>
    </row>
    <row r="2621" spans="2:23" ht="12.75" customHeight="1" x14ac:dyDescent="0.2">
      <c r="B2621" s="1083">
        <f>'BewDifferenzen_Statut-Marktnah'!$A$1</f>
        <v>42</v>
      </c>
      <c r="C2621" s="1084" t="str">
        <f>'BewDifferenzen_Statut-Marktnah'!$B$1</f>
        <v>Differenzen zwischen statutarischer und marktnaher Bewertung</v>
      </c>
      <c r="D2621" s="1143" t="str">
        <f>'BewDifferenzen_Statut-Marktnah'!$D$74</f>
        <v>Leistungsrückstellungen</v>
      </c>
      <c r="E2621" s="1547" t="str">
        <f>'BewDifferenzen_Statut-Marktnah'!$E78</f>
        <v>Aktive Rückversicherung nach KVG</v>
      </c>
      <c r="F2621" s="1548" t="str">
        <f>'BewDifferenzen_Statut-Marktnah'!$G$4</f>
        <v>Umlegungen
REF</v>
      </c>
      <c r="G2621" s="1547"/>
      <c r="H2621" s="1144">
        <f>'BewDifferenzen_Statut-Marktnah'!$G78</f>
        <v>0</v>
      </c>
      <c r="U2621" s="1027"/>
      <c r="V2621" s="1027"/>
      <c r="W2621" s="1027"/>
    </row>
    <row r="2622" spans="2:23" ht="12.75" customHeight="1" x14ac:dyDescent="0.2">
      <c r="B2622" s="1083">
        <f>'BewDifferenzen_Statut-Marktnah'!$A$1</f>
        <v>42</v>
      </c>
      <c r="C2622" s="1084" t="str">
        <f>'BewDifferenzen_Statut-Marktnah'!$B$1</f>
        <v>Differenzen zwischen statutarischer und marktnaher Bewertung</v>
      </c>
      <c r="D2622" s="1143" t="str">
        <f>'BewDifferenzen_Statut-Marktnah'!$D$74</f>
        <v>Leistungsrückstellungen</v>
      </c>
      <c r="E2622" s="1547" t="str">
        <f>'BewDifferenzen_Statut-Marktnah'!$E79</f>
        <v>dem Geschäft nach VVG zugeordnet</v>
      </c>
      <c r="F2622" s="1548" t="str">
        <f>'BewDifferenzen_Statut-Marktnah'!$G$4</f>
        <v>Umlegungen
REF</v>
      </c>
      <c r="G2622" s="1547"/>
      <c r="H2622" s="1144">
        <f>'BewDifferenzen_Statut-Marktnah'!$G79</f>
        <v>0</v>
      </c>
      <c r="U2622" s="1027"/>
      <c r="V2622" s="1027"/>
      <c r="W2622" s="1027"/>
    </row>
    <row r="2623" spans="2:23" ht="12.75" customHeight="1" x14ac:dyDescent="0.2">
      <c r="B2623" s="1083">
        <f>'BewDifferenzen_Statut-Marktnah'!$A$1</f>
        <v>42</v>
      </c>
      <c r="C2623" s="1084" t="str">
        <f>'BewDifferenzen_Statut-Marktnah'!$B$1</f>
        <v>Differenzen zwischen statutarischer und marktnaher Bewertung</v>
      </c>
      <c r="D2623" s="1143" t="str">
        <f>'BewDifferenzen_Statut-Marktnah'!$D$74</f>
        <v>Leistungsrückstellungen</v>
      </c>
      <c r="E2623" s="1547" t="str">
        <f>'BewDifferenzen_Statut-Marktnah'!$E80</f>
        <v>dem Geschäft nach UVG zugeordnet</v>
      </c>
      <c r="F2623" s="1548" t="str">
        <f>'BewDifferenzen_Statut-Marktnah'!$G$4</f>
        <v>Umlegungen
REF</v>
      </c>
      <c r="G2623" s="1547"/>
      <c r="H2623" s="1144">
        <f>'BewDifferenzen_Statut-Marktnah'!$G80</f>
        <v>0</v>
      </c>
      <c r="U2623" s="1027"/>
      <c r="V2623" s="1027"/>
      <c r="W2623" s="1027"/>
    </row>
    <row r="2624" spans="2:23" ht="12.75" customHeight="1" x14ac:dyDescent="0.2">
      <c r="B2624" s="1083"/>
      <c r="C2624" s="1084"/>
      <c r="D2624" s="1143"/>
      <c r="E2624" s="1547"/>
      <c r="F2624" s="1548"/>
      <c r="G2624" s="1547"/>
      <c r="H2624" s="1061"/>
      <c r="U2624" s="1027"/>
      <c r="V2624" s="1027"/>
      <c r="W2624" s="1027"/>
    </row>
    <row r="2625" spans="2:23" ht="12.75" customHeight="1" x14ac:dyDescent="0.2">
      <c r="B2625" s="1083">
        <f>'BewDifferenzen_Statut-Marktnah'!$A$1</f>
        <v>42</v>
      </c>
      <c r="C2625" s="1084" t="str">
        <f>'BewDifferenzen_Statut-Marktnah'!$B$1</f>
        <v>Differenzen zwischen statutarischer und marktnaher Bewertung</v>
      </c>
      <c r="D2625" s="1143" t="str">
        <f>'BewDifferenzen_Statut-Marktnah'!$D$82</f>
        <v>Alterungsrückstellungen und Deckungskapitalien</v>
      </c>
      <c r="E2625" s="1494"/>
      <c r="F2625" s="1548" t="str">
        <f>'BewDifferenzen_Statut-Marktnah'!$G$4</f>
        <v>Umlegungen
REF</v>
      </c>
      <c r="G2625" s="1494"/>
      <c r="H2625" s="1069"/>
      <c r="U2625" s="1027"/>
      <c r="V2625" s="1027"/>
      <c r="W2625" s="1027"/>
    </row>
    <row r="2626" spans="2:23" ht="12.75" customHeight="1" x14ac:dyDescent="0.2">
      <c r="B2626" s="1083">
        <f>'BewDifferenzen_Statut-Marktnah'!$A$1</f>
        <v>42</v>
      </c>
      <c r="C2626" s="1084" t="str">
        <f>'BewDifferenzen_Statut-Marktnah'!$B$1</f>
        <v>Differenzen zwischen statutarischer und marktnaher Bewertung</v>
      </c>
      <c r="D2626" s="1143" t="str">
        <f>'BewDifferenzen_Statut-Marktnah'!$D$82</f>
        <v>Alterungsrückstellungen und Deckungskapitalien</v>
      </c>
      <c r="E2626" s="1547" t="str">
        <f>'BewDifferenzen_Statut-Marktnah'!$E83</f>
        <v>Obligatorische Krankenpflegeversicherung</v>
      </c>
      <c r="F2626" s="1548" t="str">
        <f>'BewDifferenzen_Statut-Marktnah'!$G$4</f>
        <v>Umlegungen
REF</v>
      </c>
      <c r="G2626" s="1547"/>
      <c r="H2626" s="1144">
        <f>'BewDifferenzen_Statut-Marktnah'!$G83</f>
        <v>0</v>
      </c>
      <c r="U2626" s="1027"/>
      <c r="V2626" s="1027"/>
      <c r="W2626" s="1027"/>
    </row>
    <row r="2627" spans="2:23" ht="12.75" customHeight="1" x14ac:dyDescent="0.2">
      <c r="B2627" s="1083">
        <f>'BewDifferenzen_Statut-Marktnah'!$A$1</f>
        <v>42</v>
      </c>
      <c r="C2627" s="1084" t="str">
        <f>'BewDifferenzen_Statut-Marktnah'!$B$1</f>
        <v>Differenzen zwischen statutarischer und marktnaher Bewertung</v>
      </c>
      <c r="D2627" s="1143" t="str">
        <f>'BewDifferenzen_Statut-Marktnah'!$D$82</f>
        <v>Alterungsrückstellungen und Deckungskapitalien</v>
      </c>
      <c r="E2627" s="1547" t="str">
        <f>'BewDifferenzen_Statut-Marktnah'!$E84</f>
        <v>Einzel-Taggeldversicherung nach KVG</v>
      </c>
      <c r="F2627" s="1548" t="str">
        <f>'BewDifferenzen_Statut-Marktnah'!$G$4</f>
        <v>Umlegungen
REF</v>
      </c>
      <c r="G2627" s="1547"/>
      <c r="H2627" s="1144">
        <f>'BewDifferenzen_Statut-Marktnah'!$G84</f>
        <v>0</v>
      </c>
      <c r="U2627" s="1027"/>
      <c r="V2627" s="1027"/>
      <c r="W2627" s="1027"/>
    </row>
    <row r="2628" spans="2:23" ht="12.75" customHeight="1" x14ac:dyDescent="0.2">
      <c r="B2628" s="1083">
        <f>'BewDifferenzen_Statut-Marktnah'!$A$1</f>
        <v>42</v>
      </c>
      <c r="C2628" s="1084" t="str">
        <f>'BewDifferenzen_Statut-Marktnah'!$B$1</f>
        <v>Differenzen zwischen statutarischer und marktnaher Bewertung</v>
      </c>
      <c r="D2628" s="1143" t="str">
        <f>'BewDifferenzen_Statut-Marktnah'!$D$82</f>
        <v>Alterungsrückstellungen und Deckungskapitalien</v>
      </c>
      <c r="E2628" s="1547" t="str">
        <f>'BewDifferenzen_Statut-Marktnah'!$E85</f>
        <v>Kollektiv-Taggeldversicherung nach KVG</v>
      </c>
      <c r="F2628" s="1548" t="str">
        <f>'BewDifferenzen_Statut-Marktnah'!$G$4</f>
        <v>Umlegungen
REF</v>
      </c>
      <c r="G2628" s="1547"/>
      <c r="H2628" s="1144">
        <f>'BewDifferenzen_Statut-Marktnah'!$G85</f>
        <v>0</v>
      </c>
      <c r="U2628" s="1027"/>
      <c r="V2628" s="1027"/>
      <c r="W2628" s="1027"/>
    </row>
    <row r="2629" spans="2:23" ht="12.75" customHeight="1" x14ac:dyDescent="0.2">
      <c r="B2629" s="1083">
        <f>'BewDifferenzen_Statut-Marktnah'!$A$1</f>
        <v>42</v>
      </c>
      <c r="C2629" s="1084" t="str">
        <f>'BewDifferenzen_Statut-Marktnah'!$B$1</f>
        <v>Differenzen zwischen statutarischer und marktnaher Bewertung</v>
      </c>
      <c r="D2629" s="1143" t="str">
        <f>'BewDifferenzen_Statut-Marktnah'!$D$82</f>
        <v>Alterungsrückstellungen und Deckungskapitalien</v>
      </c>
      <c r="E2629" s="1547" t="str">
        <f>'BewDifferenzen_Statut-Marktnah'!$E86</f>
        <v>Aktive Rückversicherung nach KVG</v>
      </c>
      <c r="F2629" s="1548" t="str">
        <f>'BewDifferenzen_Statut-Marktnah'!$G$4</f>
        <v>Umlegungen
REF</v>
      </c>
      <c r="G2629" s="1547"/>
      <c r="H2629" s="1144">
        <f>'BewDifferenzen_Statut-Marktnah'!$G86</f>
        <v>0</v>
      </c>
      <c r="U2629" s="1027"/>
      <c r="V2629" s="1027"/>
      <c r="W2629" s="1027"/>
    </row>
    <row r="2630" spans="2:23" ht="12.75" customHeight="1" x14ac:dyDescent="0.2">
      <c r="B2630" s="1083">
        <f>'BewDifferenzen_Statut-Marktnah'!$A$1</f>
        <v>42</v>
      </c>
      <c r="C2630" s="1084" t="str">
        <f>'BewDifferenzen_Statut-Marktnah'!$B$1</f>
        <v>Differenzen zwischen statutarischer und marktnaher Bewertung</v>
      </c>
      <c r="D2630" s="1143" t="str">
        <f>'BewDifferenzen_Statut-Marktnah'!$D$82</f>
        <v>Alterungsrückstellungen und Deckungskapitalien</v>
      </c>
      <c r="E2630" s="1547" t="str">
        <f>'BewDifferenzen_Statut-Marktnah'!$E87</f>
        <v>dem Geschäft nach VVG zugeordnet</v>
      </c>
      <c r="F2630" s="1548" t="str">
        <f>'BewDifferenzen_Statut-Marktnah'!$G$4</f>
        <v>Umlegungen
REF</v>
      </c>
      <c r="G2630" s="1547"/>
      <c r="H2630" s="1144">
        <f>'BewDifferenzen_Statut-Marktnah'!$G87</f>
        <v>0</v>
      </c>
      <c r="U2630" s="1027"/>
      <c r="V2630" s="1027"/>
      <c r="W2630" s="1027"/>
    </row>
    <row r="2631" spans="2:23" ht="12.75" customHeight="1" x14ac:dyDescent="0.2">
      <c r="B2631" s="1083">
        <f>'BewDifferenzen_Statut-Marktnah'!$A$1</f>
        <v>42</v>
      </c>
      <c r="C2631" s="1084" t="str">
        <f>'BewDifferenzen_Statut-Marktnah'!$B$1</f>
        <v>Differenzen zwischen statutarischer und marktnaher Bewertung</v>
      </c>
      <c r="D2631" s="1143" t="str">
        <f>'BewDifferenzen_Statut-Marktnah'!$D$82</f>
        <v>Alterungsrückstellungen und Deckungskapitalien</v>
      </c>
      <c r="E2631" s="1547" t="str">
        <f>'BewDifferenzen_Statut-Marktnah'!$E88</f>
        <v>dem Geschäft nach UVG zugeordnet</v>
      </c>
      <c r="F2631" s="1548" t="str">
        <f>'BewDifferenzen_Statut-Marktnah'!$G$4</f>
        <v>Umlegungen
REF</v>
      </c>
      <c r="G2631" s="1547"/>
      <c r="H2631" s="1144">
        <f>'BewDifferenzen_Statut-Marktnah'!$G88</f>
        <v>0</v>
      </c>
      <c r="U2631" s="1027"/>
      <c r="V2631" s="1027"/>
      <c r="W2631" s="1027"/>
    </row>
    <row r="2632" spans="2:23" ht="12.75" customHeight="1" x14ac:dyDescent="0.2">
      <c r="B2632" s="1083"/>
      <c r="C2632" s="1084"/>
      <c r="D2632" s="1143"/>
      <c r="E2632" s="1547"/>
      <c r="F2632" s="1548"/>
      <c r="G2632" s="1547"/>
      <c r="H2632" s="1061"/>
      <c r="U2632" s="1027"/>
      <c r="V2632" s="1027"/>
      <c r="W2632" s="1027"/>
    </row>
    <row r="2633" spans="2:23" ht="12.75" customHeight="1" x14ac:dyDescent="0.2">
      <c r="B2633" s="1083">
        <f>'BewDifferenzen_Statut-Marktnah'!$A$1</f>
        <v>42</v>
      </c>
      <c r="C2633" s="1084" t="str">
        <f>'BewDifferenzen_Statut-Marktnah'!$B$1</f>
        <v>Differenzen zwischen statutarischer und marktnaher Bewertung</v>
      </c>
      <c r="D2633" s="1143" t="str">
        <f>'BewDifferenzen_Statut-Marktnah'!$D$90</f>
        <v>Sonstige technische Rückstellungen</v>
      </c>
      <c r="E2633" s="1494"/>
      <c r="F2633" s="1548" t="str">
        <f>'BewDifferenzen_Statut-Marktnah'!$G$4</f>
        <v>Umlegungen
REF</v>
      </c>
      <c r="G2633" s="1494"/>
      <c r="H2633" s="1069"/>
      <c r="U2633" s="1027"/>
      <c r="V2633" s="1027"/>
      <c r="W2633" s="1027"/>
    </row>
    <row r="2634" spans="2:23" ht="12.75" customHeight="1" x14ac:dyDescent="0.2">
      <c r="B2634" s="1083">
        <f>'BewDifferenzen_Statut-Marktnah'!$A$1</f>
        <v>42</v>
      </c>
      <c r="C2634" s="1084" t="str">
        <f>'BewDifferenzen_Statut-Marktnah'!$B$1</f>
        <v>Differenzen zwischen statutarischer und marktnaher Bewertung</v>
      </c>
      <c r="D2634" s="1143" t="str">
        <f>'BewDifferenzen_Statut-Marktnah'!$D$90</f>
        <v>Sonstige technische Rückstellungen</v>
      </c>
      <c r="E2634" s="1547" t="str">
        <f>'BewDifferenzen_Statut-Marktnah'!$E91</f>
        <v>Obligatorische Krankenpflegeversicherung</v>
      </c>
      <c r="F2634" s="1548" t="str">
        <f>'BewDifferenzen_Statut-Marktnah'!$G$4</f>
        <v>Umlegungen
REF</v>
      </c>
      <c r="G2634" s="1547"/>
      <c r="H2634" s="1144">
        <f>'BewDifferenzen_Statut-Marktnah'!$G91</f>
        <v>0</v>
      </c>
      <c r="U2634" s="1027"/>
      <c r="V2634" s="1027"/>
      <c r="W2634" s="1027"/>
    </row>
    <row r="2635" spans="2:23" ht="12.75" customHeight="1" x14ac:dyDescent="0.2">
      <c r="B2635" s="1083">
        <f>'BewDifferenzen_Statut-Marktnah'!$A$1</f>
        <v>42</v>
      </c>
      <c r="C2635" s="1084" t="str">
        <f>'BewDifferenzen_Statut-Marktnah'!$B$1</f>
        <v>Differenzen zwischen statutarischer und marktnaher Bewertung</v>
      </c>
      <c r="D2635" s="1143" t="str">
        <f>'BewDifferenzen_Statut-Marktnah'!$D$90</f>
        <v>Sonstige technische Rückstellungen</v>
      </c>
      <c r="E2635" s="1547" t="str">
        <f>'BewDifferenzen_Statut-Marktnah'!$E92</f>
        <v>Einzel-Taggeldversicherung nach KVG</v>
      </c>
      <c r="F2635" s="1548" t="str">
        <f>'BewDifferenzen_Statut-Marktnah'!$G$4</f>
        <v>Umlegungen
REF</v>
      </c>
      <c r="G2635" s="1547"/>
      <c r="H2635" s="1144">
        <f>'BewDifferenzen_Statut-Marktnah'!$G92</f>
        <v>0</v>
      </c>
      <c r="U2635" s="1027"/>
      <c r="V2635" s="1027"/>
      <c r="W2635" s="1027"/>
    </row>
    <row r="2636" spans="2:23" ht="12.75" customHeight="1" x14ac:dyDescent="0.2">
      <c r="B2636" s="1083">
        <f>'BewDifferenzen_Statut-Marktnah'!$A$1</f>
        <v>42</v>
      </c>
      <c r="C2636" s="1084" t="str">
        <f>'BewDifferenzen_Statut-Marktnah'!$B$1</f>
        <v>Differenzen zwischen statutarischer und marktnaher Bewertung</v>
      </c>
      <c r="D2636" s="1143" t="str">
        <f>'BewDifferenzen_Statut-Marktnah'!$D$90</f>
        <v>Sonstige technische Rückstellungen</v>
      </c>
      <c r="E2636" s="1547" t="str">
        <f>'BewDifferenzen_Statut-Marktnah'!$E93</f>
        <v>Kollektiv-Taggeldversicherung nach KVG</v>
      </c>
      <c r="F2636" s="1548" t="str">
        <f>'BewDifferenzen_Statut-Marktnah'!$G$4</f>
        <v>Umlegungen
REF</v>
      </c>
      <c r="G2636" s="1547"/>
      <c r="H2636" s="1144">
        <f>'BewDifferenzen_Statut-Marktnah'!$G93</f>
        <v>0</v>
      </c>
      <c r="U2636" s="1027"/>
      <c r="V2636" s="1027"/>
      <c r="W2636" s="1027"/>
    </row>
    <row r="2637" spans="2:23" ht="12.75" customHeight="1" x14ac:dyDescent="0.2">
      <c r="B2637" s="1083">
        <f>'BewDifferenzen_Statut-Marktnah'!$A$1</f>
        <v>42</v>
      </c>
      <c r="C2637" s="1084" t="str">
        <f>'BewDifferenzen_Statut-Marktnah'!$B$1</f>
        <v>Differenzen zwischen statutarischer und marktnaher Bewertung</v>
      </c>
      <c r="D2637" s="1143" t="str">
        <f>'BewDifferenzen_Statut-Marktnah'!$D$90</f>
        <v>Sonstige technische Rückstellungen</v>
      </c>
      <c r="E2637" s="1547" t="str">
        <f>'BewDifferenzen_Statut-Marktnah'!$E94</f>
        <v>Aktive Rückversicherung nach KVG</v>
      </c>
      <c r="F2637" s="1548" t="str">
        <f>'BewDifferenzen_Statut-Marktnah'!$G$4</f>
        <v>Umlegungen
REF</v>
      </c>
      <c r="G2637" s="1547"/>
      <c r="H2637" s="1144">
        <f>'BewDifferenzen_Statut-Marktnah'!$G94</f>
        <v>0</v>
      </c>
      <c r="U2637" s="1027"/>
      <c r="V2637" s="1027"/>
      <c r="W2637" s="1027"/>
    </row>
    <row r="2638" spans="2:23" ht="12.75" customHeight="1" x14ac:dyDescent="0.2">
      <c r="B2638" s="1083">
        <f>'BewDifferenzen_Statut-Marktnah'!$A$1</f>
        <v>42</v>
      </c>
      <c r="C2638" s="1084" t="str">
        <f>'BewDifferenzen_Statut-Marktnah'!$B$1</f>
        <v>Differenzen zwischen statutarischer und marktnaher Bewertung</v>
      </c>
      <c r="D2638" s="1143" t="str">
        <f>'BewDifferenzen_Statut-Marktnah'!$D$90</f>
        <v>Sonstige technische Rückstellungen</v>
      </c>
      <c r="E2638" s="1547" t="str">
        <f>'BewDifferenzen_Statut-Marktnah'!$E95</f>
        <v>dem Geschäft nach VVG zugeordnet</v>
      </c>
      <c r="F2638" s="1548" t="str">
        <f>'BewDifferenzen_Statut-Marktnah'!$G$4</f>
        <v>Umlegungen
REF</v>
      </c>
      <c r="G2638" s="1547"/>
      <c r="H2638" s="1144">
        <f>'BewDifferenzen_Statut-Marktnah'!$G95</f>
        <v>0</v>
      </c>
      <c r="U2638" s="1027"/>
      <c r="V2638" s="1027"/>
      <c r="W2638" s="1027"/>
    </row>
    <row r="2639" spans="2:23" ht="12.75" customHeight="1" x14ac:dyDescent="0.2">
      <c r="B2639" s="1083">
        <f>'BewDifferenzen_Statut-Marktnah'!$A$1</f>
        <v>42</v>
      </c>
      <c r="C2639" s="1084" t="str">
        <f>'BewDifferenzen_Statut-Marktnah'!$B$1</f>
        <v>Differenzen zwischen statutarischer und marktnaher Bewertung</v>
      </c>
      <c r="D2639" s="1143" t="str">
        <f>'BewDifferenzen_Statut-Marktnah'!$D$90</f>
        <v>Sonstige technische Rückstellungen</v>
      </c>
      <c r="E2639" s="1547" t="str">
        <f>'BewDifferenzen_Statut-Marktnah'!$E96</f>
        <v>dem Geschäft nach UVG zugeordnet</v>
      </c>
      <c r="F2639" s="1548" t="str">
        <f>'BewDifferenzen_Statut-Marktnah'!$G$4</f>
        <v>Umlegungen
REF</v>
      </c>
      <c r="G2639" s="1547"/>
      <c r="H2639" s="1144">
        <f>'BewDifferenzen_Statut-Marktnah'!$G96</f>
        <v>0</v>
      </c>
      <c r="U2639" s="1027"/>
      <c r="V2639" s="1027"/>
      <c r="W2639" s="1027"/>
    </row>
    <row r="2640" spans="2:23" ht="12.75" customHeight="1" x14ac:dyDescent="0.2">
      <c r="B2640" s="1083"/>
      <c r="C2640" s="1084"/>
      <c r="D2640" s="1143"/>
      <c r="E2640" s="1547"/>
      <c r="F2640" s="1548"/>
      <c r="G2640" s="1547"/>
      <c r="H2640" s="1061"/>
      <c r="U2640" s="1027"/>
      <c r="V2640" s="1027"/>
      <c r="W2640" s="1027"/>
    </row>
    <row r="2641" spans="2:23" ht="12.75" customHeight="1" x14ac:dyDescent="0.2">
      <c r="B2641" s="1083">
        <f>'BewDifferenzen_Statut-Marktnah'!$A$1</f>
        <v>42</v>
      </c>
      <c r="C2641" s="1084" t="str">
        <f>'BewDifferenzen_Statut-Marktnah'!$B$1</f>
        <v>Differenzen zwischen statutarischer und marktnaher Bewertung</v>
      </c>
      <c r="D2641" s="1143" t="str">
        <f>'BewDifferenzen_Statut-Marktnah'!$D$98</f>
        <v>Schwankungs- und Sicherheitsrückstellungen</v>
      </c>
      <c r="E2641" s="1494"/>
      <c r="F2641" s="1548" t="str">
        <f>'BewDifferenzen_Statut-Marktnah'!$G$4</f>
        <v>Umlegungen
REF</v>
      </c>
      <c r="G2641" s="1494"/>
      <c r="H2641" s="1069"/>
      <c r="U2641" s="1027"/>
      <c r="V2641" s="1027"/>
      <c r="W2641" s="1027"/>
    </row>
    <row r="2642" spans="2:23" ht="12.75" customHeight="1" x14ac:dyDescent="0.2">
      <c r="B2642" s="1083">
        <f>'BewDifferenzen_Statut-Marktnah'!$A$1</f>
        <v>42</v>
      </c>
      <c r="C2642" s="1084" t="str">
        <f>'BewDifferenzen_Statut-Marktnah'!$B$1</f>
        <v>Differenzen zwischen statutarischer und marktnaher Bewertung</v>
      </c>
      <c r="D2642" s="1143" t="str">
        <f>'BewDifferenzen_Statut-Marktnah'!$D$98</f>
        <v>Schwankungs- und Sicherheitsrückstellungen</v>
      </c>
      <c r="E2642" s="1547" t="str">
        <f>'BewDifferenzen_Statut-Marktnah'!$E99</f>
        <v>Obligatorische Krankenpflegeversicherung</v>
      </c>
      <c r="F2642" s="1548" t="str">
        <f>'BewDifferenzen_Statut-Marktnah'!$G$4</f>
        <v>Umlegungen
REF</v>
      </c>
      <c r="G2642" s="1547"/>
      <c r="H2642" s="1144">
        <f>'BewDifferenzen_Statut-Marktnah'!$G99</f>
        <v>0</v>
      </c>
      <c r="U2642" s="1027"/>
      <c r="V2642" s="1027"/>
      <c r="W2642" s="1027"/>
    </row>
    <row r="2643" spans="2:23" ht="12.75" customHeight="1" x14ac:dyDescent="0.2">
      <c r="B2643" s="1083">
        <f>'BewDifferenzen_Statut-Marktnah'!$A$1</f>
        <v>42</v>
      </c>
      <c r="C2643" s="1084" t="str">
        <f>'BewDifferenzen_Statut-Marktnah'!$B$1</f>
        <v>Differenzen zwischen statutarischer und marktnaher Bewertung</v>
      </c>
      <c r="D2643" s="1143" t="str">
        <f>'BewDifferenzen_Statut-Marktnah'!$D$98</f>
        <v>Schwankungs- und Sicherheitsrückstellungen</v>
      </c>
      <c r="E2643" s="1547" t="str">
        <f>'BewDifferenzen_Statut-Marktnah'!$E100</f>
        <v>Einzel-Taggeldversicherung nach KVG</v>
      </c>
      <c r="F2643" s="1548" t="str">
        <f>'BewDifferenzen_Statut-Marktnah'!$G$4</f>
        <v>Umlegungen
REF</v>
      </c>
      <c r="G2643" s="1547"/>
      <c r="H2643" s="1144">
        <f>'BewDifferenzen_Statut-Marktnah'!$G100</f>
        <v>0</v>
      </c>
      <c r="U2643" s="1027"/>
      <c r="V2643" s="1027"/>
      <c r="W2643" s="1027"/>
    </row>
    <row r="2644" spans="2:23" ht="12.75" customHeight="1" x14ac:dyDescent="0.2">
      <c r="B2644" s="1083">
        <f>'BewDifferenzen_Statut-Marktnah'!$A$1</f>
        <v>42</v>
      </c>
      <c r="C2644" s="1084" t="str">
        <f>'BewDifferenzen_Statut-Marktnah'!$B$1</f>
        <v>Differenzen zwischen statutarischer und marktnaher Bewertung</v>
      </c>
      <c r="D2644" s="1143" t="str">
        <f>'BewDifferenzen_Statut-Marktnah'!$D$98</f>
        <v>Schwankungs- und Sicherheitsrückstellungen</v>
      </c>
      <c r="E2644" s="1547" t="str">
        <f>'BewDifferenzen_Statut-Marktnah'!$E101</f>
        <v>Kollektiv-Taggeldversicherung nach KVG</v>
      </c>
      <c r="F2644" s="1548" t="str">
        <f>'BewDifferenzen_Statut-Marktnah'!$G$4</f>
        <v>Umlegungen
REF</v>
      </c>
      <c r="G2644" s="1547"/>
      <c r="H2644" s="1144">
        <f>'BewDifferenzen_Statut-Marktnah'!$G101</f>
        <v>0</v>
      </c>
      <c r="U2644" s="1027"/>
      <c r="V2644" s="1027"/>
      <c r="W2644" s="1027"/>
    </row>
    <row r="2645" spans="2:23" ht="12.75" customHeight="1" x14ac:dyDescent="0.2">
      <c r="B2645" s="1083">
        <f>'BewDifferenzen_Statut-Marktnah'!$A$1</f>
        <v>42</v>
      </c>
      <c r="C2645" s="1084" t="str">
        <f>'BewDifferenzen_Statut-Marktnah'!$B$1</f>
        <v>Differenzen zwischen statutarischer und marktnaher Bewertung</v>
      </c>
      <c r="D2645" s="1143" t="str">
        <f>'BewDifferenzen_Statut-Marktnah'!$D$98</f>
        <v>Schwankungs- und Sicherheitsrückstellungen</v>
      </c>
      <c r="E2645" s="1547" t="str">
        <f>'BewDifferenzen_Statut-Marktnah'!$E102</f>
        <v>Aktive Rückversicherung nach KVG</v>
      </c>
      <c r="F2645" s="1548" t="str">
        <f>'BewDifferenzen_Statut-Marktnah'!$G$4</f>
        <v>Umlegungen
REF</v>
      </c>
      <c r="G2645" s="1547"/>
      <c r="H2645" s="1144">
        <f>'BewDifferenzen_Statut-Marktnah'!$G102</f>
        <v>0</v>
      </c>
      <c r="U2645" s="1027"/>
      <c r="V2645" s="1027"/>
      <c r="W2645" s="1027"/>
    </row>
    <row r="2646" spans="2:23" ht="12.75" customHeight="1" x14ac:dyDescent="0.2">
      <c r="B2646" s="1083">
        <f>'BewDifferenzen_Statut-Marktnah'!$A$1</f>
        <v>42</v>
      </c>
      <c r="C2646" s="1084" t="str">
        <f>'BewDifferenzen_Statut-Marktnah'!$B$1</f>
        <v>Differenzen zwischen statutarischer und marktnaher Bewertung</v>
      </c>
      <c r="D2646" s="1143" t="str">
        <f>'BewDifferenzen_Statut-Marktnah'!$D$98</f>
        <v>Schwankungs- und Sicherheitsrückstellungen</v>
      </c>
      <c r="E2646" s="1547" t="str">
        <f>'BewDifferenzen_Statut-Marktnah'!$E103</f>
        <v>dem Geschäft nach VVG zugeordnet</v>
      </c>
      <c r="F2646" s="1548" t="str">
        <f>'BewDifferenzen_Statut-Marktnah'!$G$4</f>
        <v>Umlegungen
REF</v>
      </c>
      <c r="G2646" s="1547"/>
      <c r="H2646" s="1144">
        <f>'BewDifferenzen_Statut-Marktnah'!$G103</f>
        <v>0</v>
      </c>
      <c r="U2646" s="1027"/>
      <c r="V2646" s="1027"/>
      <c r="W2646" s="1027"/>
    </row>
    <row r="2647" spans="2:23" ht="12.75" customHeight="1" x14ac:dyDescent="0.2">
      <c r="B2647" s="1083">
        <f>'BewDifferenzen_Statut-Marktnah'!$A$1</f>
        <v>42</v>
      </c>
      <c r="C2647" s="1084" t="str">
        <f>'BewDifferenzen_Statut-Marktnah'!$B$1</f>
        <v>Differenzen zwischen statutarischer und marktnaher Bewertung</v>
      </c>
      <c r="D2647" s="1143" t="str">
        <f>'BewDifferenzen_Statut-Marktnah'!$D$98</f>
        <v>Schwankungs- und Sicherheitsrückstellungen</v>
      </c>
      <c r="E2647" s="1547" t="str">
        <f>'BewDifferenzen_Statut-Marktnah'!$E104</f>
        <v>dem Geschäft nach UVG zugeordnet</v>
      </c>
      <c r="F2647" s="1548" t="str">
        <f>'BewDifferenzen_Statut-Marktnah'!$G$4</f>
        <v>Umlegungen
REF</v>
      </c>
      <c r="G2647" s="1547"/>
      <c r="H2647" s="1144">
        <f>'BewDifferenzen_Statut-Marktnah'!$G104</f>
        <v>0</v>
      </c>
      <c r="U2647" s="1027"/>
      <c r="V2647" s="1027"/>
      <c r="W2647" s="1027"/>
    </row>
    <row r="2648" spans="2:23" ht="12.75" customHeight="1" x14ac:dyDescent="0.2">
      <c r="B2648" s="1083"/>
      <c r="C2648" s="1084"/>
      <c r="D2648" s="1143"/>
      <c r="E2648" s="1547"/>
      <c r="F2648" s="1548"/>
      <c r="G2648" s="1547"/>
      <c r="H2648" s="1061"/>
      <c r="U2648" s="1027"/>
      <c r="V2648" s="1027"/>
      <c r="W2648" s="1027"/>
    </row>
    <row r="2649" spans="2:23" ht="12.75" customHeight="1" x14ac:dyDescent="0.2">
      <c r="B2649" s="1083">
        <f>'BewDifferenzen_Statut-Marktnah'!$A$1</f>
        <v>42</v>
      </c>
      <c r="C2649" s="1084" t="str">
        <f>'BewDifferenzen_Statut-Marktnah'!$B$1</f>
        <v>Differenzen zwischen statutarischer und marktnaher Bewertung</v>
      </c>
      <c r="D2649" s="1143" t="str">
        <f>'BewDifferenzen_Statut-Marktnah'!$D$106</f>
        <v>Total versicherungstechnische Rückstellungen</v>
      </c>
      <c r="E2649" s="1494"/>
      <c r="F2649" s="1548" t="str">
        <f>'BewDifferenzen_Statut-Marktnah'!$G$4</f>
        <v>Umlegungen
REF</v>
      </c>
      <c r="G2649" s="1494"/>
      <c r="H2649" s="1065"/>
      <c r="U2649" s="1027"/>
      <c r="V2649" s="1027"/>
      <c r="W2649" s="1027"/>
    </row>
    <row r="2650" spans="2:23" ht="12.75" customHeight="1" x14ac:dyDescent="0.2">
      <c r="B2650" s="1083"/>
      <c r="C2650" s="1084"/>
      <c r="D2650" s="1143"/>
      <c r="E2650" s="1547"/>
      <c r="F2650" s="1548"/>
      <c r="G2650" s="1547"/>
      <c r="H2650" s="1061"/>
      <c r="U2650" s="1027"/>
      <c r="V2650" s="1027"/>
      <c r="W2650" s="1027"/>
    </row>
    <row r="2651" spans="2:23" ht="12.75" customHeight="1" x14ac:dyDescent="0.2">
      <c r="B2651" s="1083">
        <f>'BewDifferenzen_Statut-Marktnah'!$A$1</f>
        <v>42</v>
      </c>
      <c r="C2651" s="1084" t="str">
        <f>'BewDifferenzen_Statut-Marktnah'!$B$1</f>
        <v>Differenzen zwischen statutarischer und marktnaher Bewertung</v>
      </c>
      <c r="D2651" s="1143" t="str">
        <f>'BewDifferenzen_Statut-Marktnah'!$D$111</f>
        <v>Nichtversicherungstechnische Rückstellungen</v>
      </c>
      <c r="E2651" s="1494"/>
      <c r="F2651" s="1548" t="str">
        <f>'BewDifferenzen_Statut-Marktnah'!$G$4</f>
        <v>Umlegungen
REF</v>
      </c>
      <c r="G2651" s="1494"/>
      <c r="H2651" s="1062"/>
      <c r="U2651" s="1027"/>
      <c r="V2651" s="1027"/>
      <c r="W2651" s="1027"/>
    </row>
    <row r="2652" spans="2:23" ht="12.75" customHeight="1" x14ac:dyDescent="0.2">
      <c r="B2652" s="1083">
        <f>'BewDifferenzen_Statut-Marktnah'!$A$1</f>
        <v>42</v>
      </c>
      <c r="C2652" s="1084" t="str">
        <f>'BewDifferenzen_Statut-Marktnah'!$B$1</f>
        <v>Differenzen zwischen statutarischer und marktnaher Bewertung</v>
      </c>
      <c r="D2652" s="1143" t="str">
        <f>'BewDifferenzen_Statut-Marktnah'!$D$111</f>
        <v>Nichtversicherungstechnische Rückstellungen</v>
      </c>
      <c r="E2652" s="1547" t="str">
        <f>'BewDifferenzen_Statut-Marktnah'!$E112</f>
        <v>dem Geschäft nach KVG zugeordnet</v>
      </c>
      <c r="F2652" s="1548" t="str">
        <f>'BewDifferenzen_Statut-Marktnah'!$G$4</f>
        <v>Umlegungen
REF</v>
      </c>
      <c r="G2652" s="1547"/>
      <c r="H2652" s="1144">
        <f>'BewDifferenzen_Statut-Marktnah'!$G112</f>
        <v>0</v>
      </c>
      <c r="U2652" s="1027"/>
      <c r="V2652" s="1027"/>
      <c r="W2652" s="1027"/>
    </row>
    <row r="2653" spans="2:23" ht="12.75" customHeight="1" x14ac:dyDescent="0.2">
      <c r="B2653" s="1083">
        <f>'BewDifferenzen_Statut-Marktnah'!$A$1</f>
        <v>42</v>
      </c>
      <c r="C2653" s="1084" t="str">
        <f>'BewDifferenzen_Statut-Marktnah'!$B$1</f>
        <v>Differenzen zwischen statutarischer und marktnaher Bewertung</v>
      </c>
      <c r="D2653" s="1143" t="str">
        <f>'BewDifferenzen_Statut-Marktnah'!$D$111</f>
        <v>Nichtversicherungstechnische Rückstellungen</v>
      </c>
      <c r="E2653" s="1547" t="str">
        <f>'BewDifferenzen_Statut-Marktnah'!$E113</f>
        <v>dem Geschäft nach VVG zugeordnet</v>
      </c>
      <c r="F2653" s="1548" t="str">
        <f>'BewDifferenzen_Statut-Marktnah'!$G$4</f>
        <v>Umlegungen
REF</v>
      </c>
      <c r="G2653" s="1547"/>
      <c r="H2653" s="1144">
        <f>'BewDifferenzen_Statut-Marktnah'!$G113</f>
        <v>0</v>
      </c>
      <c r="U2653" s="1027"/>
      <c r="V2653" s="1027"/>
      <c r="W2653" s="1027"/>
    </row>
    <row r="2654" spans="2:23" ht="14.25" customHeight="1" x14ac:dyDescent="0.2">
      <c r="B2654" s="1083">
        <f>'BewDifferenzen_Statut-Marktnah'!$A$1</f>
        <v>42</v>
      </c>
      <c r="C2654" s="1084" t="str">
        <f>'BewDifferenzen_Statut-Marktnah'!$B$1</f>
        <v>Differenzen zwischen statutarischer und marktnaher Bewertung</v>
      </c>
      <c r="D2654" s="1143" t="str">
        <f>'BewDifferenzen_Statut-Marktnah'!$D$111</f>
        <v>Nichtversicherungstechnische Rückstellungen</v>
      </c>
      <c r="E2654" s="1547" t="str">
        <f>'BewDifferenzen_Statut-Marktnah'!$E114</f>
        <v>dem Geschäft nach UVG zugeordnet</v>
      </c>
      <c r="F2654" s="1548" t="str">
        <f>'BewDifferenzen_Statut-Marktnah'!$G$4</f>
        <v>Umlegungen
REF</v>
      </c>
      <c r="G2654" s="1547"/>
      <c r="H2654" s="1144">
        <f>'BewDifferenzen_Statut-Marktnah'!$G114</f>
        <v>0</v>
      </c>
      <c r="U2654" s="1027"/>
      <c r="V2654" s="1027"/>
      <c r="W2654" s="1027"/>
    </row>
    <row r="2655" spans="2:23" x14ac:dyDescent="0.2">
      <c r="B2655" s="1083"/>
      <c r="C2655" s="1084"/>
      <c r="D2655" s="1143"/>
      <c r="E2655" s="1547"/>
      <c r="F2655" s="1548"/>
      <c r="G2655" s="1547"/>
      <c r="H2655" s="1061"/>
      <c r="U2655" s="1027"/>
      <c r="V2655" s="1027"/>
      <c r="W2655" s="1027"/>
    </row>
    <row r="2656" spans="2:23" ht="38.25" x14ac:dyDescent="0.2">
      <c r="B2656" s="1083">
        <f>'BewDifferenzen_Statut-Marktnah'!$A$1</f>
        <v>42</v>
      </c>
      <c r="C2656" s="1084" t="str">
        <f>'BewDifferenzen_Statut-Marktnah'!$B$1</f>
        <v>Differenzen zwischen statutarischer und marktnaher Bewertung</v>
      </c>
      <c r="D2656" s="1143" t="str">
        <f>'BewDifferenzen_Statut-Marktnah'!$D$116</f>
        <v>Rückstellungen für Risiken in den Kapitalanlagen</v>
      </c>
      <c r="E2656" s="1494"/>
      <c r="F2656" s="1548" t="str">
        <f>'BewDifferenzen_Statut-Marktnah'!$G$4</f>
        <v>Umlegungen
REF</v>
      </c>
      <c r="G2656" s="1494"/>
      <c r="H2656" s="1062"/>
      <c r="U2656" s="1027"/>
      <c r="V2656" s="1027"/>
      <c r="W2656" s="1027"/>
    </row>
    <row r="2657" spans="2:23" ht="38.25" x14ac:dyDescent="0.2">
      <c r="B2657" s="1083">
        <f>'BewDifferenzen_Statut-Marktnah'!$A$1</f>
        <v>42</v>
      </c>
      <c r="C2657" s="1084" t="str">
        <f>'BewDifferenzen_Statut-Marktnah'!$B$1</f>
        <v>Differenzen zwischen statutarischer und marktnaher Bewertung</v>
      </c>
      <c r="D2657" s="1143" t="str">
        <f>'BewDifferenzen_Statut-Marktnah'!$D$116</f>
        <v>Rückstellungen für Risiken in den Kapitalanlagen</v>
      </c>
      <c r="E2657" s="1547" t="str">
        <f>'BewDifferenzen_Statut-Marktnah'!$E117</f>
        <v>dem Geschäft nach KVG zugeordnet</v>
      </c>
      <c r="F2657" s="1548" t="str">
        <f>'BewDifferenzen_Statut-Marktnah'!$G$4</f>
        <v>Umlegungen
REF</v>
      </c>
      <c r="G2657" s="1547"/>
      <c r="H2657" s="1144">
        <f>'BewDifferenzen_Statut-Marktnah'!$G117</f>
        <v>0</v>
      </c>
      <c r="U2657" s="1027"/>
      <c r="V2657" s="1027"/>
      <c r="W2657" s="1027"/>
    </row>
    <row r="2658" spans="2:23" ht="38.25" x14ac:dyDescent="0.2">
      <c r="B2658" s="1083">
        <f>'BewDifferenzen_Statut-Marktnah'!$A$1</f>
        <v>42</v>
      </c>
      <c r="C2658" s="1084" t="str">
        <f>'BewDifferenzen_Statut-Marktnah'!$B$1</f>
        <v>Differenzen zwischen statutarischer und marktnaher Bewertung</v>
      </c>
      <c r="D2658" s="1143" t="str">
        <f>'BewDifferenzen_Statut-Marktnah'!$D$116</f>
        <v>Rückstellungen für Risiken in den Kapitalanlagen</v>
      </c>
      <c r="E2658" s="1547" t="str">
        <f>'BewDifferenzen_Statut-Marktnah'!$E118</f>
        <v>dem Geschäft nach VVG zugeordnet</v>
      </c>
      <c r="F2658" s="1548" t="str">
        <f>'BewDifferenzen_Statut-Marktnah'!$G$4</f>
        <v>Umlegungen
REF</v>
      </c>
      <c r="G2658" s="1547"/>
      <c r="H2658" s="1144">
        <f>'BewDifferenzen_Statut-Marktnah'!$G118</f>
        <v>0</v>
      </c>
      <c r="U2658" s="1027"/>
      <c r="V2658" s="1027"/>
      <c r="W2658" s="1027"/>
    </row>
    <row r="2659" spans="2:23" ht="38.25" x14ac:dyDescent="0.2">
      <c r="B2659" s="1083">
        <f>'BewDifferenzen_Statut-Marktnah'!$A$1</f>
        <v>42</v>
      </c>
      <c r="C2659" s="1084" t="str">
        <f>'BewDifferenzen_Statut-Marktnah'!$B$1</f>
        <v>Differenzen zwischen statutarischer und marktnaher Bewertung</v>
      </c>
      <c r="D2659" s="1143" t="str">
        <f>'BewDifferenzen_Statut-Marktnah'!$D$116</f>
        <v>Rückstellungen für Risiken in den Kapitalanlagen</v>
      </c>
      <c r="E2659" s="1547" t="str">
        <f>'BewDifferenzen_Statut-Marktnah'!$E119</f>
        <v>dem Geschäft nach UVG zugeordnet</v>
      </c>
      <c r="F2659" s="1548" t="str">
        <f>'BewDifferenzen_Statut-Marktnah'!$G$4</f>
        <v>Umlegungen
REF</v>
      </c>
      <c r="G2659" s="1547"/>
      <c r="H2659" s="1144">
        <f>'BewDifferenzen_Statut-Marktnah'!$G119</f>
        <v>0</v>
      </c>
      <c r="U2659" s="1027"/>
      <c r="V2659" s="1027"/>
      <c r="W2659" s="1027"/>
    </row>
    <row r="2660" spans="2:23" x14ac:dyDescent="0.2">
      <c r="B2660" s="1083"/>
      <c r="C2660" s="1084"/>
      <c r="D2660" s="1143"/>
      <c r="E2660" s="1547"/>
      <c r="F2660" s="1548"/>
      <c r="G2660" s="1547"/>
      <c r="H2660" s="1061"/>
      <c r="U2660" s="1027"/>
      <c r="V2660" s="1027"/>
      <c r="W2660" s="1027"/>
    </row>
    <row r="2661" spans="2:23" ht="38.25" x14ac:dyDescent="0.2">
      <c r="B2661" s="1083">
        <f>'BewDifferenzen_Statut-Marktnah'!$A$1</f>
        <v>42</v>
      </c>
      <c r="C2661" s="1084" t="str">
        <f>'BewDifferenzen_Statut-Marktnah'!$B$1</f>
        <v>Differenzen zwischen statutarischer und marktnaher Bewertung</v>
      </c>
      <c r="D2661" s="1143" t="str">
        <f>'BewDifferenzen_Statut-Marktnah'!$D$121</f>
        <v>Übrige Verbindlichkeiten (inkl. Rechnungsabgrenzungen)</v>
      </c>
      <c r="E2661" s="1494"/>
      <c r="F2661" s="1548" t="str">
        <f>'BewDifferenzen_Statut-Marktnah'!$G$4</f>
        <v>Umlegungen
REF</v>
      </c>
      <c r="G2661" s="1494"/>
      <c r="H2661" s="1062"/>
      <c r="U2661" s="1027"/>
      <c r="V2661" s="1027"/>
      <c r="W2661" s="1027"/>
    </row>
    <row r="2662" spans="2:23" ht="38.25" x14ac:dyDescent="0.2">
      <c r="B2662" s="1083">
        <f>'BewDifferenzen_Statut-Marktnah'!$A$1</f>
        <v>42</v>
      </c>
      <c r="C2662" s="1084" t="str">
        <f>'BewDifferenzen_Statut-Marktnah'!$B$1</f>
        <v>Differenzen zwischen statutarischer und marktnaher Bewertung</v>
      </c>
      <c r="D2662" s="1143" t="str">
        <f>'BewDifferenzen_Statut-Marktnah'!$D$121</f>
        <v>Übrige Verbindlichkeiten (inkl. Rechnungsabgrenzungen)</v>
      </c>
      <c r="E2662" s="1547" t="str">
        <f>'BewDifferenzen_Statut-Marktnah'!$E122</f>
        <v>dem Geschäft nach KVG zugeordnet</v>
      </c>
      <c r="F2662" s="1548" t="str">
        <f>'BewDifferenzen_Statut-Marktnah'!$G$4</f>
        <v>Umlegungen
REF</v>
      </c>
      <c r="G2662" s="1547"/>
      <c r="H2662" s="1144">
        <f>'BewDifferenzen_Statut-Marktnah'!$G122</f>
        <v>0</v>
      </c>
      <c r="U2662" s="1027"/>
      <c r="V2662" s="1027"/>
      <c r="W2662" s="1027"/>
    </row>
    <row r="2663" spans="2:23" ht="38.25" x14ac:dyDescent="0.2">
      <c r="B2663" s="1083">
        <f>'BewDifferenzen_Statut-Marktnah'!$A$1</f>
        <v>42</v>
      </c>
      <c r="C2663" s="1084" t="str">
        <f>'BewDifferenzen_Statut-Marktnah'!$B$1</f>
        <v>Differenzen zwischen statutarischer und marktnaher Bewertung</v>
      </c>
      <c r="D2663" s="1143" t="str">
        <f>'BewDifferenzen_Statut-Marktnah'!$D$121</f>
        <v>Übrige Verbindlichkeiten (inkl. Rechnungsabgrenzungen)</v>
      </c>
      <c r="E2663" s="1547" t="str">
        <f>'BewDifferenzen_Statut-Marktnah'!$E123</f>
        <v>dem Geschäft nach VVG zugeordnet</v>
      </c>
      <c r="F2663" s="1548" t="str">
        <f>'BewDifferenzen_Statut-Marktnah'!$G$4</f>
        <v>Umlegungen
REF</v>
      </c>
      <c r="G2663" s="1547"/>
      <c r="H2663" s="1144">
        <f>'BewDifferenzen_Statut-Marktnah'!$G123</f>
        <v>0</v>
      </c>
      <c r="U2663" s="1027"/>
      <c r="V2663" s="1027"/>
      <c r="W2663" s="1027"/>
    </row>
    <row r="2664" spans="2:23" ht="38.25" x14ac:dyDescent="0.2">
      <c r="B2664" s="1083">
        <f>'BewDifferenzen_Statut-Marktnah'!$A$1</f>
        <v>42</v>
      </c>
      <c r="C2664" s="1084" t="str">
        <f>'BewDifferenzen_Statut-Marktnah'!$B$1</f>
        <v>Differenzen zwischen statutarischer und marktnaher Bewertung</v>
      </c>
      <c r="D2664" s="1143" t="str">
        <f>'BewDifferenzen_Statut-Marktnah'!$D$121</f>
        <v>Übrige Verbindlichkeiten (inkl. Rechnungsabgrenzungen)</v>
      </c>
      <c r="E2664" s="1547" t="str">
        <f>'BewDifferenzen_Statut-Marktnah'!$E124</f>
        <v>dem Geschäft nach UVG zugeordnet</v>
      </c>
      <c r="F2664" s="1548" t="str">
        <f>'BewDifferenzen_Statut-Marktnah'!$G$4</f>
        <v>Umlegungen
REF</v>
      </c>
      <c r="G2664" s="1547"/>
      <c r="H2664" s="1144">
        <f>'BewDifferenzen_Statut-Marktnah'!$G124</f>
        <v>0</v>
      </c>
      <c r="U2664" s="1027"/>
      <c r="V2664" s="1027"/>
      <c r="W2664" s="1027"/>
    </row>
    <row r="2665" spans="2:23" x14ac:dyDescent="0.2">
      <c r="B2665" s="1083"/>
      <c r="C2665" s="1084"/>
      <c r="D2665" s="1143"/>
      <c r="E2665" s="1547"/>
      <c r="F2665" s="1548"/>
      <c r="G2665" s="1547"/>
      <c r="H2665" s="1061"/>
      <c r="U2665" s="1027"/>
      <c r="V2665" s="1027"/>
      <c r="W2665" s="1027"/>
    </row>
    <row r="2666" spans="2:23" ht="38.25" x14ac:dyDescent="0.2">
      <c r="B2666" s="1083">
        <f>'BewDifferenzen_Statut-Marktnah'!$A$1</f>
        <v>42</v>
      </c>
      <c r="C2666" s="1084" t="str">
        <f>'BewDifferenzen_Statut-Marktnah'!$B$1</f>
        <v>Differenzen zwischen statutarischer und marktnaher Bewertung</v>
      </c>
      <c r="D2666" s="1143" t="str">
        <f>'BewDifferenzen_Statut-Marktnah'!$D$126</f>
        <v>Total übrige Passiven</v>
      </c>
      <c r="E2666" s="1494"/>
      <c r="F2666" s="1548" t="str">
        <f>'BewDifferenzen_Statut-Marktnah'!$G$4</f>
        <v>Umlegungen
REF</v>
      </c>
      <c r="G2666" s="1494"/>
      <c r="H2666" s="1065"/>
      <c r="U2666" s="1027"/>
      <c r="V2666" s="1027"/>
      <c r="W2666" s="1027"/>
    </row>
    <row r="2667" spans="2:23" x14ac:dyDescent="0.2">
      <c r="B2667" s="1083"/>
      <c r="C2667" s="1084"/>
      <c r="D2667" s="1143"/>
      <c r="E2667" s="1547"/>
      <c r="F2667" s="1548"/>
      <c r="G2667" s="1547"/>
      <c r="H2667" s="1061"/>
      <c r="U2667" s="1027"/>
      <c r="V2667" s="1027"/>
      <c r="W2667" s="1027"/>
    </row>
    <row r="2668" spans="2:23" ht="38.25" x14ac:dyDescent="0.2">
      <c r="B2668" s="1083">
        <f>'BewDifferenzen_Statut-Marktnah'!$A$1</f>
        <v>42</v>
      </c>
      <c r="C2668" s="1084" t="str">
        <f>'BewDifferenzen_Statut-Marktnah'!$B$1</f>
        <v>Differenzen zwischen statutarischer und marktnaher Bewertung</v>
      </c>
      <c r="D2668" s="1143" t="str">
        <f>'BewDifferenzen_Statut-Marktnah'!$C$128</f>
        <v>Total Fremdkapital</v>
      </c>
      <c r="E2668" s="1547"/>
      <c r="F2668" s="1548" t="str">
        <f>'BewDifferenzen_Statut-Marktnah'!$G$4</f>
        <v>Umlegungen
REF</v>
      </c>
      <c r="G2668" s="1547"/>
      <c r="H2668" s="1065"/>
      <c r="U2668" s="1027"/>
      <c r="V2668" s="1027"/>
      <c r="W2668" s="1027"/>
    </row>
    <row r="2669" spans="2:23" x14ac:dyDescent="0.2">
      <c r="B2669" s="1083"/>
      <c r="C2669" s="1084"/>
      <c r="D2669" s="1143"/>
      <c r="E2669" s="1547"/>
      <c r="F2669" s="1548"/>
      <c r="G2669" s="1547"/>
      <c r="H2669" s="1061"/>
      <c r="U2669" s="1027"/>
      <c r="V2669" s="1027"/>
      <c r="W2669" s="1027"/>
    </row>
    <row r="2670" spans="2:23" ht="38.25" x14ac:dyDescent="0.2">
      <c r="B2670" s="1083">
        <f>'BewDifferenzen_Statut-Marktnah'!$A$1</f>
        <v>42</v>
      </c>
      <c r="C2670" s="1084" t="str">
        <f>'BewDifferenzen_Statut-Marktnah'!$B$1</f>
        <v>Differenzen zwischen statutarischer und marktnaher Bewertung</v>
      </c>
      <c r="D2670" s="1143" t="str">
        <f>'BewDifferenzen_Statut-Marktnah'!$C$130</f>
        <v>Differenz zwischen Aktiven und Fremdkapital</v>
      </c>
      <c r="E2670" s="1547"/>
      <c r="F2670" s="1548" t="str">
        <f>'BewDifferenzen_Statut-Marktnah'!$G$4</f>
        <v>Umlegungen
REF</v>
      </c>
      <c r="G2670" s="1547"/>
      <c r="H2670" s="1065"/>
      <c r="U2670" s="1027"/>
      <c r="V2670" s="1027"/>
      <c r="W2670" s="1027"/>
    </row>
    <row r="2671" spans="2:23" x14ac:dyDescent="0.2">
      <c r="B2671" s="1083"/>
      <c r="C2671" s="1084"/>
      <c r="D2671" s="1143"/>
      <c r="E2671" s="1547"/>
      <c r="F2671" s="1548"/>
      <c r="G2671" s="1547"/>
      <c r="H2671" s="1061"/>
      <c r="U2671" s="1027"/>
      <c r="V2671" s="1027"/>
      <c r="W2671" s="1027"/>
    </row>
    <row r="2672" spans="2:23" ht="38.25" x14ac:dyDescent="0.2">
      <c r="B2672" s="1083">
        <f>'BewDifferenzen_Statut-Marktnah'!$A$1</f>
        <v>42</v>
      </c>
      <c r="C2672" s="1084" t="str">
        <f>'BewDifferenzen_Statut-Marktnah'!$B$1</f>
        <v>Differenzen zwischen statutarischer und marktnaher Bewertung</v>
      </c>
      <c r="D2672" s="1143" t="str">
        <f>'BewDifferenzen_Statut-Marktnah'!$D$132</f>
        <v>Kontrollzeile</v>
      </c>
      <c r="E2672" s="1547"/>
      <c r="F2672" s="1548" t="str">
        <f>'BewDifferenzen_Statut-Marktnah'!$G$4</f>
        <v>Umlegungen
REF</v>
      </c>
      <c r="G2672" s="1547"/>
      <c r="H2672" s="1549"/>
      <c r="U2672" s="1027"/>
      <c r="V2672" s="1027"/>
      <c r="W2672" s="1027"/>
    </row>
    <row r="2673" spans="2:23" x14ac:dyDescent="0.2">
      <c r="B2673" s="1083"/>
      <c r="C2673" s="1084"/>
      <c r="D2673" s="1143"/>
      <c r="E2673" s="1547"/>
      <c r="F2673" s="1548"/>
      <c r="G2673" s="1547"/>
      <c r="H2673" s="1061"/>
      <c r="U2673" s="1027"/>
      <c r="V2673" s="1027"/>
      <c r="W2673" s="1027"/>
    </row>
    <row r="2674" spans="2:23" ht="38.25" x14ac:dyDescent="0.2">
      <c r="B2674" s="1083">
        <f>'BewDifferenzen_Statut-Marktnah'!$A$1</f>
        <v>42</v>
      </c>
      <c r="C2674" s="1084" t="str">
        <f>'BewDifferenzen_Statut-Marktnah'!$B$1</f>
        <v>Differenzen zwischen statutarischer und marktnaher Bewertung</v>
      </c>
      <c r="D2674" s="1143" t="str">
        <f>'BewDifferenzen_Statut-Marktnah'!$C$136</f>
        <v>Aufteilung des Eigenkapitals</v>
      </c>
      <c r="E2674" s="1547"/>
      <c r="F2674" s="1548" t="str">
        <f>'BewDifferenzen_Statut-Marktnah'!$G$4</f>
        <v>Umlegungen
REF</v>
      </c>
      <c r="G2674" s="1547"/>
      <c r="H2674" s="1065"/>
      <c r="U2674" s="1027"/>
      <c r="V2674" s="1027"/>
      <c r="W2674" s="1027"/>
    </row>
    <row r="2675" spans="2:23" ht="38.25" x14ac:dyDescent="0.2">
      <c r="B2675" s="1083">
        <f>'BewDifferenzen_Statut-Marktnah'!$A$1</f>
        <v>42</v>
      </c>
      <c r="C2675" s="1084" t="str">
        <f>'BewDifferenzen_Statut-Marktnah'!$B$1</f>
        <v>Differenzen zwischen statutarischer und marktnaher Bewertung</v>
      </c>
      <c r="D2675" s="1143" t="str">
        <f>'BewDifferenzen_Statut-Marktnah'!$C$136</f>
        <v>Aufteilung des Eigenkapitals</v>
      </c>
      <c r="E2675" s="1547" t="str">
        <f>'BewDifferenzen_Statut-Marktnah'!$E137</f>
        <v>dem Geschäft nach KVG zugeordnet</v>
      </c>
      <c r="F2675" s="1548" t="str">
        <f>'BewDifferenzen_Statut-Marktnah'!$G$4</f>
        <v>Umlegungen
REF</v>
      </c>
      <c r="G2675" s="1547"/>
      <c r="H2675" s="1487"/>
      <c r="U2675" s="1027"/>
      <c r="V2675" s="1027"/>
      <c r="W2675" s="1027"/>
    </row>
    <row r="2676" spans="2:23" ht="38.25" x14ac:dyDescent="0.2">
      <c r="B2676" s="1083">
        <f>'BewDifferenzen_Statut-Marktnah'!$A$1</f>
        <v>42</v>
      </c>
      <c r="C2676" s="1084" t="str">
        <f>'BewDifferenzen_Statut-Marktnah'!$B$1</f>
        <v>Differenzen zwischen statutarischer und marktnaher Bewertung</v>
      </c>
      <c r="D2676" s="1143" t="str">
        <f>'BewDifferenzen_Statut-Marktnah'!$C$136</f>
        <v>Aufteilung des Eigenkapitals</v>
      </c>
      <c r="E2676" s="1547" t="str">
        <f>'BewDifferenzen_Statut-Marktnah'!$E138</f>
        <v>dem Geschäft nach VVG zugeordnet</v>
      </c>
      <c r="F2676" s="1548" t="str">
        <f>'BewDifferenzen_Statut-Marktnah'!$G$4</f>
        <v>Umlegungen
REF</v>
      </c>
      <c r="G2676" s="1547"/>
      <c r="H2676" s="1487"/>
      <c r="U2676" s="1027"/>
      <c r="V2676" s="1027"/>
      <c r="W2676" s="1027"/>
    </row>
    <row r="2677" spans="2:23" ht="38.25" x14ac:dyDescent="0.2">
      <c r="B2677" s="1083">
        <f>'BewDifferenzen_Statut-Marktnah'!$A$1</f>
        <v>42</v>
      </c>
      <c r="C2677" s="1084" t="str">
        <f>'BewDifferenzen_Statut-Marktnah'!$B$1</f>
        <v>Differenzen zwischen statutarischer und marktnaher Bewertung</v>
      </c>
      <c r="D2677" s="1143" t="str">
        <f>'BewDifferenzen_Statut-Marktnah'!$C$136</f>
        <v>Aufteilung des Eigenkapitals</v>
      </c>
      <c r="E2677" s="1547" t="str">
        <f>'BewDifferenzen_Statut-Marktnah'!$E139</f>
        <v>dem Geschäft nach UVG zugeordnet</v>
      </c>
      <c r="F2677" s="1548" t="str">
        <f>'BewDifferenzen_Statut-Marktnah'!$G$4</f>
        <v>Umlegungen
REF</v>
      </c>
      <c r="G2677" s="1547"/>
      <c r="H2677" s="1487"/>
      <c r="U2677" s="1027"/>
      <c r="V2677" s="1027"/>
      <c r="W2677" s="1027"/>
    </row>
    <row r="2678" spans="2:23" x14ac:dyDescent="0.2">
      <c r="B2678" s="1083"/>
      <c r="C2678" s="1084"/>
      <c r="D2678" s="1143"/>
      <c r="E2678" s="1547"/>
      <c r="F2678" s="1548"/>
      <c r="G2678" s="1494"/>
      <c r="H2678" s="1061"/>
      <c r="U2678" s="1027"/>
      <c r="V2678" s="1027"/>
      <c r="W2678" s="1027"/>
    </row>
    <row r="2679" spans="2:23" x14ac:dyDescent="0.2">
      <c r="B2679" s="1083"/>
      <c r="C2679" s="1084"/>
      <c r="D2679" s="1143"/>
      <c r="E2679" s="1547"/>
      <c r="F2679" s="1548"/>
      <c r="G2679" s="1494"/>
      <c r="H2679" s="1061"/>
      <c r="U2679" s="1027"/>
      <c r="V2679" s="1027"/>
      <c r="W2679" s="1027"/>
    </row>
    <row r="2680" spans="2:23" x14ac:dyDescent="0.2">
      <c r="B2680" s="1083"/>
      <c r="C2680" s="1084"/>
      <c r="D2680" s="1143"/>
      <c r="E2680" s="1547"/>
      <c r="F2680" s="1548"/>
      <c r="G2680" s="1494"/>
      <c r="H2680" s="1061"/>
      <c r="U2680" s="1027"/>
      <c r="V2680" s="1027"/>
      <c r="W2680" s="1027"/>
    </row>
    <row r="2681" spans="2:23" x14ac:dyDescent="0.2">
      <c r="B2681" s="1083"/>
      <c r="C2681" s="1084"/>
      <c r="D2681" s="1143"/>
      <c r="E2681" s="1547"/>
      <c r="F2681" s="1548"/>
      <c r="G2681" s="1494"/>
      <c r="H2681" s="1061"/>
      <c r="U2681" s="1027"/>
      <c r="V2681" s="1027"/>
      <c r="W2681" s="1027"/>
    </row>
    <row r="2682" spans="2:23" ht="38.25" x14ac:dyDescent="0.2">
      <c r="B2682" s="1083">
        <f>'BewDifferenzen_Statut-Marktnah'!$A$1</f>
        <v>42</v>
      </c>
      <c r="C2682" s="1084" t="str">
        <f>'BewDifferenzen_Statut-Marktnah'!$B$1</f>
        <v>Differenzen zwischen statutarischer und marktnaher Bewertung</v>
      </c>
      <c r="D2682" s="1143" t="str">
        <f>'BewDifferenzen_Statut-Marktnah'!$D$13</f>
        <v>Grundstücke und Bauten</v>
      </c>
      <c r="E2682" s="1143"/>
      <c r="F2682" s="1143" t="str">
        <f>'BewDifferenzen_Statut-Marktnah'!$H$4</f>
        <v>Umlegungen
WERT</v>
      </c>
      <c r="G2682" s="1378"/>
      <c r="H2682" s="1062"/>
    </row>
    <row r="2683" spans="2:23" ht="38.25" x14ac:dyDescent="0.2">
      <c r="B2683" s="1083">
        <f>'BewDifferenzen_Statut-Marktnah'!$A$1</f>
        <v>42</v>
      </c>
      <c r="C2683" s="1084" t="str">
        <f>'BewDifferenzen_Statut-Marktnah'!$B$1</f>
        <v>Differenzen zwischen statutarischer und marktnaher Bewertung</v>
      </c>
      <c r="D2683" s="1143" t="str">
        <f>'BewDifferenzen_Statut-Marktnah'!$D$13</f>
        <v>Grundstücke und Bauten</v>
      </c>
      <c r="E2683" s="1547" t="str">
        <f>'BewDifferenzen_Statut-Marktnah'!$E14</f>
        <v>dem Geschäft nach KVG zugeordnet</v>
      </c>
      <c r="F2683" s="1548" t="str">
        <f>'BewDifferenzen_Statut-Marktnah'!$H$4</f>
        <v>Umlegungen
WERT</v>
      </c>
      <c r="G2683" s="1547"/>
      <c r="H2683" s="1144">
        <f>'BewDifferenzen_Statut-Marktnah'!$H14</f>
        <v>0</v>
      </c>
    </row>
    <row r="2684" spans="2:23" ht="38.25" x14ac:dyDescent="0.2">
      <c r="B2684" s="1083">
        <f>'BewDifferenzen_Statut-Marktnah'!$A$1</f>
        <v>42</v>
      </c>
      <c r="C2684" s="1084" t="str">
        <f>'BewDifferenzen_Statut-Marktnah'!$B$1</f>
        <v>Differenzen zwischen statutarischer und marktnaher Bewertung</v>
      </c>
      <c r="D2684" s="1143" t="str">
        <f>'BewDifferenzen_Statut-Marktnah'!$D$13</f>
        <v>Grundstücke und Bauten</v>
      </c>
      <c r="E2684" s="1547" t="str">
        <f>'BewDifferenzen_Statut-Marktnah'!$E15</f>
        <v>dem Geschäft nach VVG zugeordnet</v>
      </c>
      <c r="F2684" s="1548" t="str">
        <f>'BewDifferenzen_Statut-Marktnah'!$H$4</f>
        <v>Umlegungen
WERT</v>
      </c>
      <c r="G2684" s="1547"/>
      <c r="H2684" s="1144">
        <f>'BewDifferenzen_Statut-Marktnah'!$H15</f>
        <v>0</v>
      </c>
    </row>
    <row r="2685" spans="2:23" ht="38.25" x14ac:dyDescent="0.2">
      <c r="B2685" s="1083">
        <f>'BewDifferenzen_Statut-Marktnah'!$A$1</f>
        <v>42</v>
      </c>
      <c r="C2685" s="1084" t="str">
        <f>'BewDifferenzen_Statut-Marktnah'!$B$1</f>
        <v>Differenzen zwischen statutarischer und marktnaher Bewertung</v>
      </c>
      <c r="D2685" s="1143" t="str">
        <f>'BewDifferenzen_Statut-Marktnah'!$D$13</f>
        <v>Grundstücke und Bauten</v>
      </c>
      <c r="E2685" s="1547" t="str">
        <f>'BewDifferenzen_Statut-Marktnah'!$E16</f>
        <v>dem Geschäft nach UVG zugeordnet</v>
      </c>
      <c r="F2685" s="1548" t="str">
        <f>'BewDifferenzen_Statut-Marktnah'!$H$4</f>
        <v>Umlegungen
WERT</v>
      </c>
      <c r="G2685" s="1547"/>
      <c r="H2685" s="1144">
        <f>'BewDifferenzen_Statut-Marktnah'!$H16</f>
        <v>0</v>
      </c>
    </row>
    <row r="2686" spans="2:23" x14ac:dyDescent="0.2">
      <c r="B2686" s="1083"/>
      <c r="C2686" s="1084"/>
      <c r="D2686" s="1143"/>
      <c r="E2686" s="1547"/>
      <c r="F2686" s="1548"/>
      <c r="G2686" s="1547"/>
      <c r="H2686" s="1061"/>
    </row>
    <row r="2687" spans="2:23" ht="38.25" x14ac:dyDescent="0.2">
      <c r="B2687" s="1083">
        <f>'BewDifferenzen_Statut-Marktnah'!$A$1</f>
        <v>42</v>
      </c>
      <c r="C2687" s="1084" t="str">
        <f>'BewDifferenzen_Statut-Marktnah'!$B$1</f>
        <v>Differenzen zwischen statutarischer und marktnaher Bewertung</v>
      </c>
      <c r="D2687" s="1143" t="str">
        <f>'BewDifferenzen_Statut-Marktnah'!$D$18</f>
        <v>Obligationen</v>
      </c>
      <c r="E2687" s="1494"/>
      <c r="F2687" s="1548" t="str">
        <f>'BewDifferenzen_Statut-Marktnah'!$H$4</f>
        <v>Umlegungen
WERT</v>
      </c>
      <c r="G2687" s="1494"/>
      <c r="H2687" s="1062"/>
    </row>
    <row r="2688" spans="2:23" ht="38.25" x14ac:dyDescent="0.2">
      <c r="B2688" s="1083">
        <f>'BewDifferenzen_Statut-Marktnah'!$A$1</f>
        <v>42</v>
      </c>
      <c r="C2688" s="1084" t="str">
        <f>'BewDifferenzen_Statut-Marktnah'!$B$1</f>
        <v>Differenzen zwischen statutarischer und marktnaher Bewertung</v>
      </c>
      <c r="D2688" s="1143" t="str">
        <f>'BewDifferenzen_Statut-Marktnah'!$D$18</f>
        <v>Obligationen</v>
      </c>
      <c r="E2688" s="1547" t="str">
        <f>'BewDifferenzen_Statut-Marktnah'!$E19</f>
        <v>dem Geschäft nach KVG zugeordnet</v>
      </c>
      <c r="F2688" s="1548" t="str">
        <f>'BewDifferenzen_Statut-Marktnah'!$H$4</f>
        <v>Umlegungen
WERT</v>
      </c>
      <c r="G2688" s="1547"/>
      <c r="H2688" s="1144">
        <f>'BewDifferenzen_Statut-Marktnah'!$H19</f>
        <v>0</v>
      </c>
    </row>
    <row r="2689" spans="2:8" ht="38.25" x14ac:dyDescent="0.2">
      <c r="B2689" s="1083">
        <f>'BewDifferenzen_Statut-Marktnah'!$A$1</f>
        <v>42</v>
      </c>
      <c r="C2689" s="1084" t="str">
        <f>'BewDifferenzen_Statut-Marktnah'!$B$1</f>
        <v>Differenzen zwischen statutarischer und marktnaher Bewertung</v>
      </c>
      <c r="D2689" s="1143" t="str">
        <f>'BewDifferenzen_Statut-Marktnah'!$D$18</f>
        <v>Obligationen</v>
      </c>
      <c r="E2689" s="1547" t="str">
        <f>'BewDifferenzen_Statut-Marktnah'!$E20</f>
        <v>dem Geschäft nach VVG zugeordnet</v>
      </c>
      <c r="F2689" s="1548" t="str">
        <f>'BewDifferenzen_Statut-Marktnah'!$H$4</f>
        <v>Umlegungen
WERT</v>
      </c>
      <c r="G2689" s="1547"/>
      <c r="H2689" s="1144">
        <f>'BewDifferenzen_Statut-Marktnah'!$H20</f>
        <v>0</v>
      </c>
    </row>
    <row r="2690" spans="2:8" ht="38.25" x14ac:dyDescent="0.2">
      <c r="B2690" s="1083">
        <f>'BewDifferenzen_Statut-Marktnah'!$A$1</f>
        <v>42</v>
      </c>
      <c r="C2690" s="1084" t="str">
        <f>'BewDifferenzen_Statut-Marktnah'!$B$1</f>
        <v>Differenzen zwischen statutarischer und marktnaher Bewertung</v>
      </c>
      <c r="D2690" s="1143" t="str">
        <f>'BewDifferenzen_Statut-Marktnah'!$D$18</f>
        <v>Obligationen</v>
      </c>
      <c r="E2690" s="1547" t="str">
        <f>'BewDifferenzen_Statut-Marktnah'!$E21</f>
        <v>dem Geschäft nach UVG zugeordnet</v>
      </c>
      <c r="F2690" s="1548" t="str">
        <f>'BewDifferenzen_Statut-Marktnah'!$H$4</f>
        <v>Umlegungen
WERT</v>
      </c>
      <c r="G2690" s="1547"/>
      <c r="H2690" s="1144">
        <f>'BewDifferenzen_Statut-Marktnah'!$H21</f>
        <v>0</v>
      </c>
    </row>
    <row r="2691" spans="2:8" x14ac:dyDescent="0.2">
      <c r="B2691" s="1083"/>
      <c r="C2691" s="1084"/>
      <c r="D2691" s="1143"/>
      <c r="E2691" s="1547"/>
      <c r="F2691" s="1548"/>
      <c r="G2691" s="1547"/>
      <c r="H2691" s="1061"/>
    </row>
    <row r="2692" spans="2:8" ht="38.25" x14ac:dyDescent="0.2">
      <c r="B2692" s="1083">
        <f>'BewDifferenzen_Statut-Marktnah'!$A$1</f>
        <v>42</v>
      </c>
      <c r="C2692" s="1084" t="str">
        <f>'BewDifferenzen_Statut-Marktnah'!$B$1</f>
        <v>Differenzen zwischen statutarischer und marktnaher Bewertung</v>
      </c>
      <c r="D2692" s="1143" t="str">
        <f>'BewDifferenzen_Statut-Marktnah'!$D$23</f>
        <v>Aktien und ähnliche Anlagen</v>
      </c>
      <c r="E2692" s="1494"/>
      <c r="F2692" s="1548" t="str">
        <f>'BewDifferenzen_Statut-Marktnah'!$H$4</f>
        <v>Umlegungen
WERT</v>
      </c>
      <c r="G2692" s="1494"/>
      <c r="H2692" s="1062"/>
    </row>
    <row r="2693" spans="2:8" ht="38.25" x14ac:dyDescent="0.2">
      <c r="B2693" s="1083">
        <f>'BewDifferenzen_Statut-Marktnah'!$A$1</f>
        <v>42</v>
      </c>
      <c r="C2693" s="1084" t="str">
        <f>'BewDifferenzen_Statut-Marktnah'!$B$1</f>
        <v>Differenzen zwischen statutarischer und marktnaher Bewertung</v>
      </c>
      <c r="D2693" s="1143" t="str">
        <f>'BewDifferenzen_Statut-Marktnah'!$D$23</f>
        <v>Aktien und ähnliche Anlagen</v>
      </c>
      <c r="E2693" s="1547" t="str">
        <f>'BewDifferenzen_Statut-Marktnah'!$E24</f>
        <v>dem Geschäft nach KVG zugeordnet</v>
      </c>
      <c r="F2693" s="1548" t="str">
        <f>'BewDifferenzen_Statut-Marktnah'!$H$4</f>
        <v>Umlegungen
WERT</v>
      </c>
      <c r="G2693" s="1547"/>
      <c r="H2693" s="1144">
        <f>'BewDifferenzen_Statut-Marktnah'!$H24</f>
        <v>0</v>
      </c>
    </row>
    <row r="2694" spans="2:8" ht="38.25" x14ac:dyDescent="0.2">
      <c r="B2694" s="1083">
        <f>'BewDifferenzen_Statut-Marktnah'!$A$1</f>
        <v>42</v>
      </c>
      <c r="C2694" s="1084" t="str">
        <f>'BewDifferenzen_Statut-Marktnah'!$B$1</f>
        <v>Differenzen zwischen statutarischer und marktnaher Bewertung</v>
      </c>
      <c r="D2694" s="1143" t="str">
        <f>'BewDifferenzen_Statut-Marktnah'!$D$23</f>
        <v>Aktien und ähnliche Anlagen</v>
      </c>
      <c r="E2694" s="1547" t="str">
        <f>'BewDifferenzen_Statut-Marktnah'!$E25</f>
        <v>dem Geschäft nach VVG zugeordnet</v>
      </c>
      <c r="F2694" s="1548" t="str">
        <f>'BewDifferenzen_Statut-Marktnah'!$H$4</f>
        <v>Umlegungen
WERT</v>
      </c>
      <c r="G2694" s="1547"/>
      <c r="H2694" s="1144">
        <f>'BewDifferenzen_Statut-Marktnah'!$H25</f>
        <v>0</v>
      </c>
    </row>
    <row r="2695" spans="2:8" ht="38.25" x14ac:dyDescent="0.2">
      <c r="B2695" s="1083">
        <f>'BewDifferenzen_Statut-Marktnah'!$A$1</f>
        <v>42</v>
      </c>
      <c r="C2695" s="1084" t="str">
        <f>'BewDifferenzen_Statut-Marktnah'!$B$1</f>
        <v>Differenzen zwischen statutarischer und marktnaher Bewertung</v>
      </c>
      <c r="D2695" s="1143" t="str">
        <f>'BewDifferenzen_Statut-Marktnah'!$D$23</f>
        <v>Aktien und ähnliche Anlagen</v>
      </c>
      <c r="E2695" s="1547" t="str">
        <f>'BewDifferenzen_Statut-Marktnah'!$E26</f>
        <v>dem Geschäft nach UVG zugeordnet</v>
      </c>
      <c r="F2695" s="1548" t="str">
        <f>'BewDifferenzen_Statut-Marktnah'!$H$4</f>
        <v>Umlegungen
WERT</v>
      </c>
      <c r="G2695" s="1547"/>
      <c r="H2695" s="1144">
        <f>'BewDifferenzen_Statut-Marktnah'!$H26</f>
        <v>0</v>
      </c>
    </row>
    <row r="2696" spans="2:8" x14ac:dyDescent="0.2">
      <c r="B2696" s="1083"/>
      <c r="C2696" s="1084"/>
      <c r="D2696" s="1143"/>
      <c r="E2696" s="1547"/>
      <c r="F2696" s="1548"/>
      <c r="G2696" s="1547"/>
      <c r="H2696" s="1061"/>
    </row>
    <row r="2697" spans="2:8" ht="38.25" x14ac:dyDescent="0.2">
      <c r="B2697" s="1083">
        <f>'BewDifferenzen_Statut-Marktnah'!$A$1</f>
        <v>42</v>
      </c>
      <c r="C2697" s="1084" t="str">
        <f>'BewDifferenzen_Statut-Marktnah'!$B$1</f>
        <v>Differenzen zwischen statutarischer und marktnaher Bewertung</v>
      </c>
      <c r="D2697" s="1143" t="str">
        <f>'BewDifferenzen_Statut-Marktnah'!$D$28</f>
        <v>Anteile an Anlagefonds</v>
      </c>
      <c r="E2697" s="1494"/>
      <c r="F2697" s="1548" t="str">
        <f>'BewDifferenzen_Statut-Marktnah'!$H$4</f>
        <v>Umlegungen
WERT</v>
      </c>
      <c r="G2697" s="1494"/>
      <c r="H2697" s="1062"/>
    </row>
    <row r="2698" spans="2:8" ht="38.25" x14ac:dyDescent="0.2">
      <c r="B2698" s="1083">
        <f>'BewDifferenzen_Statut-Marktnah'!$A$1</f>
        <v>42</v>
      </c>
      <c r="C2698" s="1084" t="str">
        <f>'BewDifferenzen_Statut-Marktnah'!$B$1</f>
        <v>Differenzen zwischen statutarischer und marktnaher Bewertung</v>
      </c>
      <c r="D2698" s="1143" t="str">
        <f>'BewDifferenzen_Statut-Marktnah'!$D$28</f>
        <v>Anteile an Anlagefonds</v>
      </c>
      <c r="E2698" s="1547" t="str">
        <f>'BewDifferenzen_Statut-Marktnah'!$E29</f>
        <v>dem Geschäft nach KVG zugeordnet</v>
      </c>
      <c r="F2698" s="1548" t="str">
        <f>'BewDifferenzen_Statut-Marktnah'!$H$4</f>
        <v>Umlegungen
WERT</v>
      </c>
      <c r="G2698" s="1547"/>
      <c r="H2698" s="1144">
        <f>'BewDifferenzen_Statut-Marktnah'!$H29</f>
        <v>0</v>
      </c>
    </row>
    <row r="2699" spans="2:8" ht="38.25" x14ac:dyDescent="0.2">
      <c r="B2699" s="1083">
        <f>'BewDifferenzen_Statut-Marktnah'!$A$1</f>
        <v>42</v>
      </c>
      <c r="C2699" s="1084" t="str">
        <f>'BewDifferenzen_Statut-Marktnah'!$B$1</f>
        <v>Differenzen zwischen statutarischer und marktnaher Bewertung</v>
      </c>
      <c r="D2699" s="1143" t="str">
        <f>'BewDifferenzen_Statut-Marktnah'!$D$28</f>
        <v>Anteile an Anlagefonds</v>
      </c>
      <c r="E2699" s="1547" t="str">
        <f>'BewDifferenzen_Statut-Marktnah'!$E30</f>
        <v>dem Geschäft nach VVG zugeordnet</v>
      </c>
      <c r="F2699" s="1548" t="str">
        <f>'BewDifferenzen_Statut-Marktnah'!$H$4</f>
        <v>Umlegungen
WERT</v>
      </c>
      <c r="G2699" s="1547"/>
      <c r="H2699" s="1144">
        <f>'BewDifferenzen_Statut-Marktnah'!$H30</f>
        <v>0</v>
      </c>
    </row>
    <row r="2700" spans="2:8" ht="38.25" x14ac:dyDescent="0.2">
      <c r="B2700" s="1083">
        <f>'BewDifferenzen_Statut-Marktnah'!$A$1</f>
        <v>42</v>
      </c>
      <c r="C2700" s="1084" t="str">
        <f>'BewDifferenzen_Statut-Marktnah'!$B$1</f>
        <v>Differenzen zwischen statutarischer und marktnaher Bewertung</v>
      </c>
      <c r="D2700" s="1143" t="str">
        <f>'BewDifferenzen_Statut-Marktnah'!$D$28</f>
        <v>Anteile an Anlagefonds</v>
      </c>
      <c r="E2700" s="1547" t="str">
        <f>'BewDifferenzen_Statut-Marktnah'!$E31</f>
        <v>dem Geschäft nach UVG zugeordnet</v>
      </c>
      <c r="F2700" s="1548" t="str">
        <f>'BewDifferenzen_Statut-Marktnah'!$H$4</f>
        <v>Umlegungen
WERT</v>
      </c>
      <c r="G2700" s="1547"/>
      <c r="H2700" s="1144">
        <f>'BewDifferenzen_Statut-Marktnah'!$H31</f>
        <v>0</v>
      </c>
    </row>
    <row r="2701" spans="2:8" x14ac:dyDescent="0.2">
      <c r="B2701" s="1083"/>
      <c r="C2701" s="1084"/>
      <c r="D2701" s="1143"/>
      <c r="E2701" s="1547"/>
      <c r="F2701" s="1548"/>
      <c r="G2701" s="1547"/>
      <c r="H2701" s="1061"/>
    </row>
    <row r="2702" spans="2:8" ht="38.25" x14ac:dyDescent="0.2">
      <c r="B2702" s="1083">
        <f>'BewDifferenzen_Statut-Marktnah'!$A$1</f>
        <v>42</v>
      </c>
      <c r="C2702" s="1084" t="str">
        <f>'BewDifferenzen_Statut-Marktnah'!$B$1</f>
        <v>Differenzen zwischen statutarischer und marktnaher Bewertung</v>
      </c>
      <c r="D2702" s="1143" t="str">
        <f>'BewDifferenzen_Statut-Marktnah'!$D$33</f>
        <v>Derivative Finanzinstrumente (Guthaben)</v>
      </c>
      <c r="E2702" s="1494"/>
      <c r="F2702" s="1548" t="str">
        <f>'BewDifferenzen_Statut-Marktnah'!$H$4</f>
        <v>Umlegungen
WERT</v>
      </c>
      <c r="G2702" s="1494"/>
      <c r="H2702" s="1062"/>
    </row>
    <row r="2703" spans="2:8" ht="38.25" x14ac:dyDescent="0.2">
      <c r="B2703" s="1083">
        <f>'BewDifferenzen_Statut-Marktnah'!$A$1</f>
        <v>42</v>
      </c>
      <c r="C2703" s="1084" t="str">
        <f>'BewDifferenzen_Statut-Marktnah'!$B$1</f>
        <v>Differenzen zwischen statutarischer und marktnaher Bewertung</v>
      </c>
      <c r="D2703" s="1143" t="str">
        <f>'BewDifferenzen_Statut-Marktnah'!$D$33</f>
        <v>Derivative Finanzinstrumente (Guthaben)</v>
      </c>
      <c r="E2703" s="1547" t="str">
        <f>'BewDifferenzen_Statut-Marktnah'!$E34</f>
        <v>dem Geschäft nach KVG zugeordnet</v>
      </c>
      <c r="F2703" s="1548" t="str">
        <f>'BewDifferenzen_Statut-Marktnah'!$H$4</f>
        <v>Umlegungen
WERT</v>
      </c>
      <c r="G2703" s="1547"/>
      <c r="H2703" s="1144">
        <f>'BewDifferenzen_Statut-Marktnah'!$H34</f>
        <v>0</v>
      </c>
    </row>
    <row r="2704" spans="2:8" ht="38.25" x14ac:dyDescent="0.2">
      <c r="B2704" s="1083">
        <f>'BewDifferenzen_Statut-Marktnah'!$A$1</f>
        <v>42</v>
      </c>
      <c r="C2704" s="1084" t="str">
        <f>'BewDifferenzen_Statut-Marktnah'!$B$1</f>
        <v>Differenzen zwischen statutarischer und marktnaher Bewertung</v>
      </c>
      <c r="D2704" s="1143" t="str">
        <f>'BewDifferenzen_Statut-Marktnah'!$D$33</f>
        <v>Derivative Finanzinstrumente (Guthaben)</v>
      </c>
      <c r="E2704" s="1547" t="str">
        <f>'BewDifferenzen_Statut-Marktnah'!$E35</f>
        <v>dem Geschäft nach VVG zugeordnet</v>
      </c>
      <c r="F2704" s="1548" t="str">
        <f>'BewDifferenzen_Statut-Marktnah'!$H$4</f>
        <v>Umlegungen
WERT</v>
      </c>
      <c r="G2704" s="1547"/>
      <c r="H2704" s="1144">
        <f>'BewDifferenzen_Statut-Marktnah'!$H35</f>
        <v>0</v>
      </c>
    </row>
    <row r="2705" spans="2:8" ht="38.25" x14ac:dyDescent="0.2">
      <c r="B2705" s="1083">
        <f>'BewDifferenzen_Statut-Marktnah'!$A$1</f>
        <v>42</v>
      </c>
      <c r="C2705" s="1084" t="str">
        <f>'BewDifferenzen_Statut-Marktnah'!$B$1</f>
        <v>Differenzen zwischen statutarischer und marktnaher Bewertung</v>
      </c>
      <c r="D2705" s="1143" t="str">
        <f>'BewDifferenzen_Statut-Marktnah'!$D$33</f>
        <v>Derivative Finanzinstrumente (Guthaben)</v>
      </c>
      <c r="E2705" s="1547" t="str">
        <f>'BewDifferenzen_Statut-Marktnah'!$E36</f>
        <v>dem Geschäft nach UVG zugeordnet</v>
      </c>
      <c r="F2705" s="1548" t="str">
        <f>'BewDifferenzen_Statut-Marktnah'!$H$4</f>
        <v>Umlegungen
WERT</v>
      </c>
      <c r="G2705" s="1547"/>
      <c r="H2705" s="1144">
        <f>'BewDifferenzen_Statut-Marktnah'!$H36</f>
        <v>0</v>
      </c>
    </row>
    <row r="2706" spans="2:8" x14ac:dyDescent="0.2">
      <c r="B2706" s="1083"/>
      <c r="C2706" s="1084"/>
      <c r="D2706" s="1143"/>
      <c r="E2706" s="1547"/>
      <c r="F2706" s="1548"/>
      <c r="G2706" s="1547"/>
      <c r="H2706" s="1061"/>
    </row>
    <row r="2707" spans="2:8" ht="38.25" x14ac:dyDescent="0.2">
      <c r="B2707" s="1083">
        <f>'BewDifferenzen_Statut-Marktnah'!$A$1</f>
        <v>42</v>
      </c>
      <c r="C2707" s="1084" t="str">
        <f>'BewDifferenzen_Statut-Marktnah'!$B$1</f>
        <v>Differenzen zwischen statutarischer und marktnaher Bewertung</v>
      </c>
      <c r="D2707" s="1143" t="str">
        <f>'BewDifferenzen_Statut-Marktnah'!$D$38</f>
        <v>Liquide Mittel</v>
      </c>
      <c r="E2707" s="1494"/>
      <c r="F2707" s="1548" t="str">
        <f>'BewDifferenzen_Statut-Marktnah'!$H$4</f>
        <v>Umlegungen
WERT</v>
      </c>
      <c r="G2707" s="1494"/>
      <c r="H2707" s="1062"/>
    </row>
    <row r="2708" spans="2:8" ht="38.25" x14ac:dyDescent="0.2">
      <c r="B2708" s="1083">
        <f>'BewDifferenzen_Statut-Marktnah'!$A$1</f>
        <v>42</v>
      </c>
      <c r="C2708" s="1084" t="str">
        <f>'BewDifferenzen_Statut-Marktnah'!$B$1</f>
        <v>Differenzen zwischen statutarischer und marktnaher Bewertung</v>
      </c>
      <c r="D2708" s="1143" t="str">
        <f>'BewDifferenzen_Statut-Marktnah'!$D$38</f>
        <v>Liquide Mittel</v>
      </c>
      <c r="E2708" s="1547" t="str">
        <f>'BewDifferenzen_Statut-Marktnah'!$E39</f>
        <v>dem Geschäft nach KVG zugeordnet</v>
      </c>
      <c r="F2708" s="1548" t="str">
        <f>'BewDifferenzen_Statut-Marktnah'!$H$4</f>
        <v>Umlegungen
WERT</v>
      </c>
      <c r="G2708" s="1547"/>
      <c r="H2708" s="1144">
        <f>'BewDifferenzen_Statut-Marktnah'!$H39</f>
        <v>0</v>
      </c>
    </row>
    <row r="2709" spans="2:8" ht="38.25" x14ac:dyDescent="0.2">
      <c r="B2709" s="1083">
        <f>'BewDifferenzen_Statut-Marktnah'!$A$1</f>
        <v>42</v>
      </c>
      <c r="C2709" s="1084" t="str">
        <f>'BewDifferenzen_Statut-Marktnah'!$B$1</f>
        <v>Differenzen zwischen statutarischer und marktnaher Bewertung</v>
      </c>
      <c r="D2709" s="1143" t="str">
        <f>'BewDifferenzen_Statut-Marktnah'!$D$38</f>
        <v>Liquide Mittel</v>
      </c>
      <c r="E2709" s="1547" t="str">
        <f>'BewDifferenzen_Statut-Marktnah'!$E40</f>
        <v>dem Geschäft nach VVG zugeordnet</v>
      </c>
      <c r="F2709" s="1548" t="str">
        <f>'BewDifferenzen_Statut-Marktnah'!$H$4</f>
        <v>Umlegungen
WERT</v>
      </c>
      <c r="G2709" s="1547"/>
      <c r="H2709" s="1144">
        <f>'BewDifferenzen_Statut-Marktnah'!$H40</f>
        <v>0</v>
      </c>
    </row>
    <row r="2710" spans="2:8" ht="38.25" x14ac:dyDescent="0.2">
      <c r="B2710" s="1083">
        <f>'BewDifferenzen_Statut-Marktnah'!$A$1</f>
        <v>42</v>
      </c>
      <c r="C2710" s="1084" t="str">
        <f>'BewDifferenzen_Statut-Marktnah'!$B$1</f>
        <v>Differenzen zwischen statutarischer und marktnaher Bewertung</v>
      </c>
      <c r="D2710" s="1143" t="str">
        <f>'BewDifferenzen_Statut-Marktnah'!$D$38</f>
        <v>Liquide Mittel</v>
      </c>
      <c r="E2710" s="1547" t="str">
        <f>'BewDifferenzen_Statut-Marktnah'!$E41</f>
        <v>dem Geschäft nach UVG zugeordnet</v>
      </c>
      <c r="F2710" s="1548" t="str">
        <f>'BewDifferenzen_Statut-Marktnah'!$H$4</f>
        <v>Umlegungen
WERT</v>
      </c>
      <c r="G2710" s="1547"/>
      <c r="H2710" s="1144">
        <f>'BewDifferenzen_Statut-Marktnah'!$H41</f>
        <v>0</v>
      </c>
    </row>
    <row r="2711" spans="2:8" x14ac:dyDescent="0.2">
      <c r="B2711" s="1083"/>
      <c r="C2711" s="1084"/>
      <c r="D2711" s="1143"/>
      <c r="E2711" s="1547"/>
      <c r="F2711" s="1548"/>
      <c r="G2711" s="1547"/>
      <c r="H2711" s="1061"/>
    </row>
    <row r="2712" spans="2:8" ht="38.25" x14ac:dyDescent="0.2">
      <c r="B2712" s="1083">
        <f>'BewDifferenzen_Statut-Marktnah'!$A$1</f>
        <v>42</v>
      </c>
      <c r="C2712" s="1084" t="str">
        <f>'BewDifferenzen_Statut-Marktnah'!$B$1</f>
        <v>Differenzen zwischen statutarischer und marktnaher Bewertung</v>
      </c>
      <c r="D2712" s="1143" t="str">
        <f>'BewDifferenzen_Statut-Marktnah'!$D$43</f>
        <v>Anlagen in Institutionen, die der Durchführung der sozialen Krankenversicherung dienen</v>
      </c>
      <c r="E2712" s="1494"/>
      <c r="F2712" s="1548" t="str">
        <f>'BewDifferenzen_Statut-Marktnah'!$H$4</f>
        <v>Umlegungen
WERT</v>
      </c>
      <c r="G2712" s="1494"/>
      <c r="H2712" s="1062"/>
    </row>
    <row r="2713" spans="2:8" ht="38.25" x14ac:dyDescent="0.2">
      <c r="B2713" s="1083">
        <f>'BewDifferenzen_Statut-Marktnah'!$A$1</f>
        <v>42</v>
      </c>
      <c r="C2713" s="1084" t="str">
        <f>'BewDifferenzen_Statut-Marktnah'!$B$1</f>
        <v>Differenzen zwischen statutarischer und marktnaher Bewertung</v>
      </c>
      <c r="D2713" s="1143" t="str">
        <f>'BewDifferenzen_Statut-Marktnah'!$D$43</f>
        <v>Anlagen in Institutionen, die der Durchführung der sozialen Krankenversicherung dienen</v>
      </c>
      <c r="E2713" s="1547" t="str">
        <f>'BewDifferenzen_Statut-Marktnah'!$E44</f>
        <v>dem Geschäft nach KVG zugeordnet</v>
      </c>
      <c r="F2713" s="1548" t="str">
        <f>'BewDifferenzen_Statut-Marktnah'!$H$4</f>
        <v>Umlegungen
WERT</v>
      </c>
      <c r="G2713" s="1547"/>
      <c r="H2713" s="1144">
        <f>'BewDifferenzen_Statut-Marktnah'!$H44</f>
        <v>0</v>
      </c>
    </row>
    <row r="2714" spans="2:8" ht="38.25" x14ac:dyDescent="0.2">
      <c r="B2714" s="1083">
        <f>'BewDifferenzen_Statut-Marktnah'!$A$1</f>
        <v>42</v>
      </c>
      <c r="C2714" s="1084" t="str">
        <f>'BewDifferenzen_Statut-Marktnah'!$B$1</f>
        <v>Differenzen zwischen statutarischer und marktnaher Bewertung</v>
      </c>
      <c r="D2714" s="1143" t="str">
        <f>'BewDifferenzen_Statut-Marktnah'!$D$43</f>
        <v>Anlagen in Institutionen, die der Durchführung der sozialen Krankenversicherung dienen</v>
      </c>
      <c r="E2714" s="1547" t="str">
        <f>'BewDifferenzen_Statut-Marktnah'!$E45</f>
        <v>dem Geschäft nach VVG zugeordnet</v>
      </c>
      <c r="F2714" s="1548" t="str">
        <f>'BewDifferenzen_Statut-Marktnah'!$H$4</f>
        <v>Umlegungen
WERT</v>
      </c>
      <c r="G2714" s="1547"/>
      <c r="H2714" s="1144">
        <f>'BewDifferenzen_Statut-Marktnah'!$H45</f>
        <v>0</v>
      </c>
    </row>
    <row r="2715" spans="2:8" ht="38.25" x14ac:dyDescent="0.2">
      <c r="B2715" s="1083">
        <f>'BewDifferenzen_Statut-Marktnah'!$A$1</f>
        <v>42</v>
      </c>
      <c r="C2715" s="1084" t="str">
        <f>'BewDifferenzen_Statut-Marktnah'!$B$1</f>
        <v>Differenzen zwischen statutarischer und marktnaher Bewertung</v>
      </c>
      <c r="D2715" s="1143" t="str">
        <f>'BewDifferenzen_Statut-Marktnah'!$D$43</f>
        <v>Anlagen in Institutionen, die der Durchführung der sozialen Krankenversicherung dienen</v>
      </c>
      <c r="E2715" s="1547" t="str">
        <f>'BewDifferenzen_Statut-Marktnah'!$E46</f>
        <v>dem Geschäft nach UVG zugeordnet</v>
      </c>
      <c r="F2715" s="1548" t="str">
        <f>'BewDifferenzen_Statut-Marktnah'!$H$4</f>
        <v>Umlegungen
WERT</v>
      </c>
      <c r="G2715" s="1547"/>
      <c r="H2715" s="1144">
        <f>'BewDifferenzen_Statut-Marktnah'!$H46</f>
        <v>0</v>
      </c>
    </row>
    <row r="2716" spans="2:8" x14ac:dyDescent="0.2">
      <c r="B2716" s="1083"/>
      <c r="C2716" s="1084"/>
      <c r="D2716" s="1143"/>
      <c r="E2716" s="1547"/>
      <c r="F2716" s="1548"/>
      <c r="G2716" s="1547"/>
      <c r="H2716" s="1061"/>
    </row>
    <row r="2717" spans="2:8" ht="38.25" x14ac:dyDescent="0.2">
      <c r="B2717" s="1083">
        <f>'BewDifferenzen_Statut-Marktnah'!$A$1</f>
        <v>42</v>
      </c>
      <c r="C2717" s="1084" t="str">
        <f>'BewDifferenzen_Statut-Marktnah'!$B$1</f>
        <v>Differenzen zwischen statutarischer und marktnaher Bewertung</v>
      </c>
      <c r="D2717" s="1143" t="str">
        <f>'BewDifferenzen_Statut-Marktnah'!$D$48</f>
        <v>Übrige Kapitalanlagen (Latente Steuern, Aktiven aus Vorsorgeplänen)</v>
      </c>
      <c r="E2717" s="1494"/>
      <c r="F2717" s="1548" t="str">
        <f>'BewDifferenzen_Statut-Marktnah'!$H$4</f>
        <v>Umlegungen
WERT</v>
      </c>
      <c r="G2717" s="1494"/>
      <c r="H2717" s="1062"/>
    </row>
    <row r="2718" spans="2:8" ht="38.25" x14ac:dyDescent="0.2">
      <c r="B2718" s="1083">
        <f>'BewDifferenzen_Statut-Marktnah'!$A$1</f>
        <v>42</v>
      </c>
      <c r="C2718" s="1084" t="str">
        <f>'BewDifferenzen_Statut-Marktnah'!$B$1</f>
        <v>Differenzen zwischen statutarischer und marktnaher Bewertung</v>
      </c>
      <c r="D2718" s="1143" t="str">
        <f>'BewDifferenzen_Statut-Marktnah'!$D$48</f>
        <v>Übrige Kapitalanlagen (Latente Steuern, Aktiven aus Vorsorgeplänen)</v>
      </c>
      <c r="E2718" s="1547" t="str">
        <f>'BewDifferenzen_Statut-Marktnah'!$E49</f>
        <v>dem Geschäft nach KVG zugeordnet</v>
      </c>
      <c r="F2718" s="1548" t="str">
        <f>'BewDifferenzen_Statut-Marktnah'!$H$4</f>
        <v>Umlegungen
WERT</v>
      </c>
      <c r="G2718" s="1547"/>
      <c r="H2718" s="1144">
        <f>'BewDifferenzen_Statut-Marktnah'!$H49</f>
        <v>0</v>
      </c>
    </row>
    <row r="2719" spans="2:8" ht="38.25" x14ac:dyDescent="0.2">
      <c r="B2719" s="1083">
        <f>'BewDifferenzen_Statut-Marktnah'!$A$1</f>
        <v>42</v>
      </c>
      <c r="C2719" s="1084" t="str">
        <f>'BewDifferenzen_Statut-Marktnah'!$B$1</f>
        <v>Differenzen zwischen statutarischer und marktnaher Bewertung</v>
      </c>
      <c r="D2719" s="1143" t="str">
        <f>'BewDifferenzen_Statut-Marktnah'!$D$48</f>
        <v>Übrige Kapitalanlagen (Latente Steuern, Aktiven aus Vorsorgeplänen)</v>
      </c>
      <c r="E2719" s="1547" t="str">
        <f>'BewDifferenzen_Statut-Marktnah'!$E50</f>
        <v>dem Geschäft nach VVG zugeordnet</v>
      </c>
      <c r="F2719" s="1548" t="str">
        <f>'BewDifferenzen_Statut-Marktnah'!$H$4</f>
        <v>Umlegungen
WERT</v>
      </c>
      <c r="G2719" s="1547"/>
      <c r="H2719" s="1144">
        <f>'BewDifferenzen_Statut-Marktnah'!$H50</f>
        <v>0</v>
      </c>
    </row>
    <row r="2720" spans="2:8" ht="38.25" x14ac:dyDescent="0.2">
      <c r="B2720" s="1083">
        <f>'BewDifferenzen_Statut-Marktnah'!$A$1</f>
        <v>42</v>
      </c>
      <c r="C2720" s="1084" t="str">
        <f>'BewDifferenzen_Statut-Marktnah'!$B$1</f>
        <v>Differenzen zwischen statutarischer und marktnaher Bewertung</v>
      </c>
      <c r="D2720" s="1143" t="str">
        <f>'BewDifferenzen_Statut-Marktnah'!$D$48</f>
        <v>Übrige Kapitalanlagen (Latente Steuern, Aktiven aus Vorsorgeplänen)</v>
      </c>
      <c r="E2720" s="1547" t="str">
        <f>'BewDifferenzen_Statut-Marktnah'!$E51</f>
        <v>dem Geschäft nach UVG zugeordnet</v>
      </c>
      <c r="F2720" s="1548" t="str">
        <f>'BewDifferenzen_Statut-Marktnah'!$H$4</f>
        <v>Umlegungen
WERT</v>
      </c>
      <c r="G2720" s="1547"/>
      <c r="H2720" s="1144">
        <f>'BewDifferenzen_Statut-Marktnah'!$H51</f>
        <v>0</v>
      </c>
    </row>
    <row r="2721" spans="2:8" x14ac:dyDescent="0.2">
      <c r="B2721" s="1083"/>
      <c r="C2721" s="1084"/>
      <c r="D2721" s="1143"/>
      <c r="E2721" s="1547"/>
      <c r="F2721" s="1548"/>
      <c r="G2721" s="1547"/>
      <c r="H2721" s="1061"/>
    </row>
    <row r="2722" spans="2:8" ht="38.25" x14ac:dyDescent="0.2">
      <c r="B2722" s="1083">
        <f>'BewDifferenzen_Statut-Marktnah'!$A$1</f>
        <v>42</v>
      </c>
      <c r="C2722" s="1084" t="str">
        <f>'BewDifferenzen_Statut-Marktnah'!$B$1</f>
        <v>Differenzen zwischen statutarischer und marktnaher Bewertung</v>
      </c>
      <c r="D2722" s="1143" t="str">
        <f>'BewDifferenzen_Statut-Marktnah'!$D$53</f>
        <v>Total Kapitalanlagen</v>
      </c>
      <c r="E2722" s="1494"/>
      <c r="F2722" s="1548" t="str">
        <f>'BewDifferenzen_Statut-Marktnah'!$H$4</f>
        <v>Umlegungen
WERT</v>
      </c>
      <c r="G2722" s="1494"/>
      <c r="H2722" s="1065"/>
    </row>
    <row r="2723" spans="2:8" x14ac:dyDescent="0.2">
      <c r="B2723" s="1083"/>
      <c r="C2723" s="1084"/>
      <c r="D2723" s="1143"/>
      <c r="E2723" s="1547"/>
      <c r="F2723" s="1548"/>
      <c r="G2723" s="1547"/>
      <c r="H2723" s="1061"/>
    </row>
    <row r="2724" spans="2:8" ht="38.25" x14ac:dyDescent="0.2">
      <c r="B2724" s="1083">
        <f>'BewDifferenzen_Statut-Marktnah'!$A$1</f>
        <v>42</v>
      </c>
      <c r="C2724" s="1084" t="str">
        <f>'BewDifferenzen_Statut-Marktnah'!$B$1</f>
        <v>Differenzen zwischen statutarischer und marktnaher Bewertung</v>
      </c>
      <c r="D2724" s="1143" t="str">
        <f>'BewDifferenzen_Statut-Marktnah'!$D$57</f>
        <v>Übriges Anlagevermögen (Immaterielle Anlagen, Sachanlagen)</v>
      </c>
      <c r="E2724" s="1494"/>
      <c r="F2724" s="1548" t="str">
        <f>'BewDifferenzen_Statut-Marktnah'!$H$4</f>
        <v>Umlegungen
WERT</v>
      </c>
      <c r="G2724" s="1494"/>
      <c r="H2724" s="1062"/>
    </row>
    <row r="2725" spans="2:8" ht="38.25" x14ac:dyDescent="0.2">
      <c r="B2725" s="1083">
        <f>'BewDifferenzen_Statut-Marktnah'!$A$1</f>
        <v>42</v>
      </c>
      <c r="C2725" s="1084" t="str">
        <f>'BewDifferenzen_Statut-Marktnah'!$B$1</f>
        <v>Differenzen zwischen statutarischer und marktnaher Bewertung</v>
      </c>
      <c r="D2725" s="1143" t="str">
        <f>'BewDifferenzen_Statut-Marktnah'!$D$57</f>
        <v>Übriges Anlagevermögen (Immaterielle Anlagen, Sachanlagen)</v>
      </c>
      <c r="E2725" s="1547" t="str">
        <f>'BewDifferenzen_Statut-Marktnah'!$E58</f>
        <v>dem Geschäft nach KVG zugeordnet</v>
      </c>
      <c r="F2725" s="1548" t="str">
        <f>'BewDifferenzen_Statut-Marktnah'!$H$4</f>
        <v>Umlegungen
WERT</v>
      </c>
      <c r="G2725" s="1547"/>
      <c r="H2725" s="1144">
        <f>'BewDifferenzen_Statut-Marktnah'!$H58</f>
        <v>0</v>
      </c>
    </row>
    <row r="2726" spans="2:8" ht="38.25" x14ac:dyDescent="0.2">
      <c r="B2726" s="1083">
        <f>'BewDifferenzen_Statut-Marktnah'!$A$1</f>
        <v>42</v>
      </c>
      <c r="C2726" s="1084" t="str">
        <f>'BewDifferenzen_Statut-Marktnah'!$B$1</f>
        <v>Differenzen zwischen statutarischer und marktnaher Bewertung</v>
      </c>
      <c r="D2726" s="1143" t="str">
        <f>'BewDifferenzen_Statut-Marktnah'!$D$57</f>
        <v>Übriges Anlagevermögen (Immaterielle Anlagen, Sachanlagen)</v>
      </c>
      <c r="E2726" s="1547" t="str">
        <f>'BewDifferenzen_Statut-Marktnah'!$E59</f>
        <v>dem Geschäft nach VVG zugeordnet</v>
      </c>
      <c r="F2726" s="1548" t="str">
        <f>'BewDifferenzen_Statut-Marktnah'!$H$4</f>
        <v>Umlegungen
WERT</v>
      </c>
      <c r="G2726" s="1547"/>
      <c r="H2726" s="1144">
        <f>'BewDifferenzen_Statut-Marktnah'!$H59</f>
        <v>0</v>
      </c>
    </row>
    <row r="2727" spans="2:8" ht="38.25" x14ac:dyDescent="0.2">
      <c r="B2727" s="1083">
        <f>'BewDifferenzen_Statut-Marktnah'!$A$1</f>
        <v>42</v>
      </c>
      <c r="C2727" s="1084" t="str">
        <f>'BewDifferenzen_Statut-Marktnah'!$B$1</f>
        <v>Differenzen zwischen statutarischer und marktnaher Bewertung</v>
      </c>
      <c r="D2727" s="1143" t="str">
        <f>'BewDifferenzen_Statut-Marktnah'!$D$57</f>
        <v>Übriges Anlagevermögen (Immaterielle Anlagen, Sachanlagen)</v>
      </c>
      <c r="E2727" s="1547" t="str">
        <f>'BewDifferenzen_Statut-Marktnah'!$E60</f>
        <v>dem Geschäft nach UVG zugeordnet</v>
      </c>
      <c r="F2727" s="1548" t="str">
        <f>'BewDifferenzen_Statut-Marktnah'!$H$4</f>
        <v>Umlegungen
WERT</v>
      </c>
      <c r="G2727" s="1547"/>
      <c r="H2727" s="1144">
        <f>'BewDifferenzen_Statut-Marktnah'!$H60</f>
        <v>0</v>
      </c>
    </row>
    <row r="2728" spans="2:8" x14ac:dyDescent="0.2">
      <c r="B2728" s="1083"/>
      <c r="C2728" s="1084"/>
      <c r="D2728" s="1143"/>
      <c r="E2728" s="1547"/>
      <c r="F2728" s="1548"/>
      <c r="G2728" s="1547"/>
      <c r="H2728" s="1061"/>
    </row>
    <row r="2729" spans="2:8" ht="38.25" x14ac:dyDescent="0.2">
      <c r="B2729" s="1083">
        <f>'BewDifferenzen_Statut-Marktnah'!$A$1</f>
        <v>42</v>
      </c>
      <c r="C2729" s="1084" t="str">
        <f>'BewDifferenzen_Statut-Marktnah'!$B$1</f>
        <v>Differenzen zwischen statutarischer und marktnaher Bewertung</v>
      </c>
      <c r="D2729" s="1143" t="str">
        <f>'BewDifferenzen_Statut-Marktnah'!$D$62</f>
        <v>Umlaufvermögen</v>
      </c>
      <c r="E2729" s="1494"/>
      <c r="F2729" s="1548" t="str">
        <f>'BewDifferenzen_Statut-Marktnah'!$H$4</f>
        <v>Umlegungen
WERT</v>
      </c>
      <c r="G2729" s="1494"/>
      <c r="H2729" s="1062"/>
    </row>
    <row r="2730" spans="2:8" ht="38.25" x14ac:dyDescent="0.2">
      <c r="B2730" s="1083">
        <f>'BewDifferenzen_Statut-Marktnah'!$A$1</f>
        <v>42</v>
      </c>
      <c r="C2730" s="1084" t="str">
        <f>'BewDifferenzen_Statut-Marktnah'!$B$1</f>
        <v>Differenzen zwischen statutarischer und marktnaher Bewertung</v>
      </c>
      <c r="D2730" s="1143" t="str">
        <f>'BewDifferenzen_Statut-Marktnah'!$D$62</f>
        <v>Umlaufvermögen</v>
      </c>
      <c r="E2730" s="1547" t="str">
        <f>'BewDifferenzen_Statut-Marktnah'!$E63</f>
        <v>dem Geschäft nach KVG zugeordnet</v>
      </c>
      <c r="F2730" s="1548" t="str">
        <f>'BewDifferenzen_Statut-Marktnah'!$H$4</f>
        <v>Umlegungen
WERT</v>
      </c>
      <c r="G2730" s="1547"/>
      <c r="H2730" s="1144">
        <f>'BewDifferenzen_Statut-Marktnah'!$H63</f>
        <v>0</v>
      </c>
    </row>
    <row r="2731" spans="2:8" ht="38.25" x14ac:dyDescent="0.2">
      <c r="B2731" s="1083">
        <f>'BewDifferenzen_Statut-Marktnah'!$A$1</f>
        <v>42</v>
      </c>
      <c r="C2731" s="1084" t="str">
        <f>'BewDifferenzen_Statut-Marktnah'!$B$1</f>
        <v>Differenzen zwischen statutarischer und marktnaher Bewertung</v>
      </c>
      <c r="D2731" s="1143" t="str">
        <f>'BewDifferenzen_Statut-Marktnah'!$D$62</f>
        <v>Umlaufvermögen</v>
      </c>
      <c r="E2731" s="1547" t="str">
        <f>'BewDifferenzen_Statut-Marktnah'!$E64</f>
        <v>dem Geschäft nach VVG zugeordnet</v>
      </c>
      <c r="F2731" s="1548" t="str">
        <f>'BewDifferenzen_Statut-Marktnah'!$H$4</f>
        <v>Umlegungen
WERT</v>
      </c>
      <c r="G2731" s="1547"/>
      <c r="H2731" s="1144">
        <f>'BewDifferenzen_Statut-Marktnah'!$H64</f>
        <v>0</v>
      </c>
    </row>
    <row r="2732" spans="2:8" ht="38.25" x14ac:dyDescent="0.2">
      <c r="B2732" s="1083">
        <f>'BewDifferenzen_Statut-Marktnah'!$A$1</f>
        <v>42</v>
      </c>
      <c r="C2732" s="1084" t="str">
        <f>'BewDifferenzen_Statut-Marktnah'!$B$1</f>
        <v>Differenzen zwischen statutarischer und marktnaher Bewertung</v>
      </c>
      <c r="D2732" s="1143" t="str">
        <f>'BewDifferenzen_Statut-Marktnah'!$D$62</f>
        <v>Umlaufvermögen</v>
      </c>
      <c r="E2732" s="1547" t="str">
        <f>'BewDifferenzen_Statut-Marktnah'!$E65</f>
        <v>dem Geschäft nach UVG zugeordnet</v>
      </c>
      <c r="F2732" s="1548" t="str">
        <f>'BewDifferenzen_Statut-Marktnah'!$H$4</f>
        <v>Umlegungen
WERT</v>
      </c>
      <c r="G2732" s="1547"/>
      <c r="H2732" s="1144">
        <f>'BewDifferenzen_Statut-Marktnah'!$H65</f>
        <v>0</v>
      </c>
    </row>
    <row r="2733" spans="2:8" x14ac:dyDescent="0.2">
      <c r="B2733" s="1083"/>
      <c r="C2733" s="1084"/>
      <c r="D2733" s="1143"/>
      <c r="E2733" s="1547"/>
      <c r="F2733" s="1548"/>
      <c r="G2733" s="1547"/>
      <c r="H2733" s="1061"/>
    </row>
    <row r="2734" spans="2:8" ht="38.25" x14ac:dyDescent="0.2">
      <c r="B2734" s="1083">
        <f>'BewDifferenzen_Statut-Marktnah'!$A$1</f>
        <v>42</v>
      </c>
      <c r="C2734" s="1084" t="str">
        <f>'BewDifferenzen_Statut-Marktnah'!$B$1</f>
        <v>Differenzen zwischen statutarischer und marktnaher Bewertung</v>
      </c>
      <c r="D2734" s="1143" t="str">
        <f>'BewDifferenzen_Statut-Marktnah'!$D$67</f>
        <v>Total übrige Aktiven</v>
      </c>
      <c r="E2734" s="1494"/>
      <c r="F2734" s="1548" t="str">
        <f>'BewDifferenzen_Statut-Marktnah'!$H$4</f>
        <v>Umlegungen
WERT</v>
      </c>
      <c r="G2734" s="1494"/>
      <c r="H2734" s="1065"/>
    </row>
    <row r="2735" spans="2:8" x14ac:dyDescent="0.2">
      <c r="B2735" s="1083"/>
      <c r="C2735" s="1084"/>
      <c r="D2735" s="1143"/>
      <c r="E2735" s="1547"/>
      <c r="F2735" s="1548"/>
      <c r="G2735" s="1547"/>
      <c r="H2735" s="1061"/>
    </row>
    <row r="2736" spans="2:8" ht="38.25" x14ac:dyDescent="0.2">
      <c r="B2736" s="1083">
        <f>'BewDifferenzen_Statut-Marktnah'!$A$1</f>
        <v>42</v>
      </c>
      <c r="C2736" s="1084" t="str">
        <f>'BewDifferenzen_Statut-Marktnah'!$B$1</f>
        <v>Differenzen zwischen statutarischer und marktnaher Bewertung</v>
      </c>
      <c r="D2736" s="1143" t="str">
        <f>'BewDifferenzen_Statut-Marktnah'!$C$69</f>
        <v>Total Aktiven</v>
      </c>
      <c r="E2736" s="1547"/>
      <c r="F2736" s="1548" t="str">
        <f>'BewDifferenzen_Statut-Marktnah'!$H$4</f>
        <v>Umlegungen
WERT</v>
      </c>
      <c r="G2736" s="1547"/>
      <c r="H2736" s="1065"/>
    </row>
    <row r="2737" spans="2:8" x14ac:dyDescent="0.2">
      <c r="B2737" s="1083"/>
      <c r="C2737" s="1084"/>
      <c r="D2737" s="1143"/>
      <c r="E2737" s="1547"/>
      <c r="F2737" s="1548"/>
      <c r="G2737" s="1547"/>
      <c r="H2737" s="1061"/>
    </row>
    <row r="2738" spans="2:8" x14ac:dyDescent="0.2">
      <c r="B2738" s="1083"/>
      <c r="C2738" s="1084"/>
      <c r="D2738" s="1143"/>
      <c r="E2738" s="1547"/>
      <c r="F2738" s="1548"/>
      <c r="G2738" s="1547"/>
      <c r="H2738" s="1061"/>
    </row>
    <row r="2739" spans="2:8" ht="38.25" x14ac:dyDescent="0.2">
      <c r="B2739" s="1083">
        <f>'BewDifferenzen_Statut-Marktnah'!$A$1</f>
        <v>42</v>
      </c>
      <c r="C2739" s="1084" t="str">
        <f>'BewDifferenzen_Statut-Marktnah'!$B$1</f>
        <v>Differenzen zwischen statutarischer und marktnaher Bewertung</v>
      </c>
      <c r="D2739" s="1143" t="str">
        <f>'BewDifferenzen_Statut-Marktnah'!$D$74</f>
        <v>Leistungsrückstellungen</v>
      </c>
      <c r="E2739" s="1494"/>
      <c r="F2739" s="1548" t="str">
        <f>'BewDifferenzen_Statut-Marktnah'!$H$4</f>
        <v>Umlegungen
WERT</v>
      </c>
      <c r="G2739" s="1494"/>
      <c r="H2739" s="1069"/>
    </row>
    <row r="2740" spans="2:8" ht="38.25" x14ac:dyDescent="0.2">
      <c r="B2740" s="1083">
        <f>'BewDifferenzen_Statut-Marktnah'!$A$1</f>
        <v>42</v>
      </c>
      <c r="C2740" s="1084" t="str">
        <f>'BewDifferenzen_Statut-Marktnah'!$B$1</f>
        <v>Differenzen zwischen statutarischer und marktnaher Bewertung</v>
      </c>
      <c r="D2740" s="1143" t="str">
        <f>'BewDifferenzen_Statut-Marktnah'!$D$74</f>
        <v>Leistungsrückstellungen</v>
      </c>
      <c r="E2740" s="1547" t="str">
        <f>'BewDifferenzen_Statut-Marktnah'!$E75</f>
        <v>Obligatorische Krankenpflegeversicherung</v>
      </c>
      <c r="F2740" s="1548" t="str">
        <f>'BewDifferenzen_Statut-Marktnah'!$H$4</f>
        <v>Umlegungen
WERT</v>
      </c>
      <c r="G2740" s="1547"/>
      <c r="H2740" s="1144">
        <f>'BewDifferenzen_Statut-Marktnah'!$H75</f>
        <v>0</v>
      </c>
    </row>
    <row r="2741" spans="2:8" ht="38.25" x14ac:dyDescent="0.2">
      <c r="B2741" s="1083">
        <f>'BewDifferenzen_Statut-Marktnah'!$A$1</f>
        <v>42</v>
      </c>
      <c r="C2741" s="1084" t="str">
        <f>'BewDifferenzen_Statut-Marktnah'!$B$1</f>
        <v>Differenzen zwischen statutarischer und marktnaher Bewertung</v>
      </c>
      <c r="D2741" s="1143" t="str">
        <f>'BewDifferenzen_Statut-Marktnah'!$D$74</f>
        <v>Leistungsrückstellungen</v>
      </c>
      <c r="E2741" s="1547" t="str">
        <f>'BewDifferenzen_Statut-Marktnah'!$E76</f>
        <v>Einzel-Taggeldversicherung nach KVG</v>
      </c>
      <c r="F2741" s="1548" t="str">
        <f>'BewDifferenzen_Statut-Marktnah'!$H$4</f>
        <v>Umlegungen
WERT</v>
      </c>
      <c r="G2741" s="1547"/>
      <c r="H2741" s="1144">
        <f>'BewDifferenzen_Statut-Marktnah'!$H76</f>
        <v>0</v>
      </c>
    </row>
    <row r="2742" spans="2:8" ht="38.25" x14ac:dyDescent="0.2">
      <c r="B2742" s="1083">
        <f>'BewDifferenzen_Statut-Marktnah'!$A$1</f>
        <v>42</v>
      </c>
      <c r="C2742" s="1084" t="str">
        <f>'BewDifferenzen_Statut-Marktnah'!$B$1</f>
        <v>Differenzen zwischen statutarischer und marktnaher Bewertung</v>
      </c>
      <c r="D2742" s="1143" t="str">
        <f>'BewDifferenzen_Statut-Marktnah'!$D$74</f>
        <v>Leistungsrückstellungen</v>
      </c>
      <c r="E2742" s="1547" t="str">
        <f>'BewDifferenzen_Statut-Marktnah'!$E77</f>
        <v>Kollektiv-Taggeldversicherung nach KVG</v>
      </c>
      <c r="F2742" s="1548" t="str">
        <f>'BewDifferenzen_Statut-Marktnah'!$H$4</f>
        <v>Umlegungen
WERT</v>
      </c>
      <c r="G2742" s="1547"/>
      <c r="H2742" s="1144">
        <f>'BewDifferenzen_Statut-Marktnah'!$H77</f>
        <v>0</v>
      </c>
    </row>
    <row r="2743" spans="2:8" ht="38.25" x14ac:dyDescent="0.2">
      <c r="B2743" s="1083">
        <f>'BewDifferenzen_Statut-Marktnah'!$A$1</f>
        <v>42</v>
      </c>
      <c r="C2743" s="1084" t="str">
        <f>'BewDifferenzen_Statut-Marktnah'!$B$1</f>
        <v>Differenzen zwischen statutarischer und marktnaher Bewertung</v>
      </c>
      <c r="D2743" s="1143" t="str">
        <f>'BewDifferenzen_Statut-Marktnah'!$D$74</f>
        <v>Leistungsrückstellungen</v>
      </c>
      <c r="E2743" s="1547" t="str">
        <f>'BewDifferenzen_Statut-Marktnah'!$E78</f>
        <v>Aktive Rückversicherung nach KVG</v>
      </c>
      <c r="F2743" s="1548" t="str">
        <f>'BewDifferenzen_Statut-Marktnah'!$H$4</f>
        <v>Umlegungen
WERT</v>
      </c>
      <c r="G2743" s="1547"/>
      <c r="H2743" s="1144">
        <f>'BewDifferenzen_Statut-Marktnah'!$H78</f>
        <v>0</v>
      </c>
    </row>
    <row r="2744" spans="2:8" ht="38.25" x14ac:dyDescent="0.2">
      <c r="B2744" s="1083">
        <f>'BewDifferenzen_Statut-Marktnah'!$A$1</f>
        <v>42</v>
      </c>
      <c r="C2744" s="1084" t="str">
        <f>'BewDifferenzen_Statut-Marktnah'!$B$1</f>
        <v>Differenzen zwischen statutarischer und marktnaher Bewertung</v>
      </c>
      <c r="D2744" s="1143" t="str">
        <f>'BewDifferenzen_Statut-Marktnah'!$D$74</f>
        <v>Leistungsrückstellungen</v>
      </c>
      <c r="E2744" s="1547" t="str">
        <f>'BewDifferenzen_Statut-Marktnah'!$E79</f>
        <v>dem Geschäft nach VVG zugeordnet</v>
      </c>
      <c r="F2744" s="1548" t="str">
        <f>'BewDifferenzen_Statut-Marktnah'!$H$4</f>
        <v>Umlegungen
WERT</v>
      </c>
      <c r="G2744" s="1547"/>
      <c r="H2744" s="1144">
        <f>'BewDifferenzen_Statut-Marktnah'!$H79</f>
        <v>0</v>
      </c>
    </row>
    <row r="2745" spans="2:8" ht="38.25" x14ac:dyDescent="0.2">
      <c r="B2745" s="1083">
        <f>'BewDifferenzen_Statut-Marktnah'!$A$1</f>
        <v>42</v>
      </c>
      <c r="C2745" s="1084" t="str">
        <f>'BewDifferenzen_Statut-Marktnah'!$B$1</f>
        <v>Differenzen zwischen statutarischer und marktnaher Bewertung</v>
      </c>
      <c r="D2745" s="1143" t="str">
        <f>'BewDifferenzen_Statut-Marktnah'!$D$74</f>
        <v>Leistungsrückstellungen</v>
      </c>
      <c r="E2745" s="1547" t="str">
        <f>'BewDifferenzen_Statut-Marktnah'!$E80</f>
        <v>dem Geschäft nach UVG zugeordnet</v>
      </c>
      <c r="F2745" s="1548" t="str">
        <f>'BewDifferenzen_Statut-Marktnah'!$H$4</f>
        <v>Umlegungen
WERT</v>
      </c>
      <c r="G2745" s="1547"/>
      <c r="H2745" s="1144">
        <f>'BewDifferenzen_Statut-Marktnah'!$H80</f>
        <v>0</v>
      </c>
    </row>
    <row r="2746" spans="2:8" x14ac:dyDescent="0.2">
      <c r="B2746" s="1083"/>
      <c r="C2746" s="1084"/>
      <c r="D2746" s="1143"/>
      <c r="E2746" s="1547"/>
      <c r="F2746" s="1548"/>
      <c r="G2746" s="1547"/>
      <c r="H2746" s="1061"/>
    </row>
    <row r="2747" spans="2:8" ht="38.25" x14ac:dyDescent="0.2">
      <c r="B2747" s="1083">
        <f>'BewDifferenzen_Statut-Marktnah'!$A$1</f>
        <v>42</v>
      </c>
      <c r="C2747" s="1084" t="str">
        <f>'BewDifferenzen_Statut-Marktnah'!$B$1</f>
        <v>Differenzen zwischen statutarischer und marktnaher Bewertung</v>
      </c>
      <c r="D2747" s="1143" t="str">
        <f>'BewDifferenzen_Statut-Marktnah'!$D$82</f>
        <v>Alterungsrückstellungen und Deckungskapitalien</v>
      </c>
      <c r="E2747" s="1494"/>
      <c r="F2747" s="1548" t="str">
        <f>'BewDifferenzen_Statut-Marktnah'!$H$4</f>
        <v>Umlegungen
WERT</v>
      </c>
      <c r="G2747" s="1494"/>
      <c r="H2747" s="1069"/>
    </row>
    <row r="2748" spans="2:8" ht="38.25" x14ac:dyDescent="0.2">
      <c r="B2748" s="1083">
        <f>'BewDifferenzen_Statut-Marktnah'!$A$1</f>
        <v>42</v>
      </c>
      <c r="C2748" s="1084" t="str">
        <f>'BewDifferenzen_Statut-Marktnah'!$B$1</f>
        <v>Differenzen zwischen statutarischer und marktnaher Bewertung</v>
      </c>
      <c r="D2748" s="1143" t="str">
        <f>'BewDifferenzen_Statut-Marktnah'!$D$82</f>
        <v>Alterungsrückstellungen und Deckungskapitalien</v>
      </c>
      <c r="E2748" s="1547" t="str">
        <f>'BewDifferenzen_Statut-Marktnah'!$E83</f>
        <v>Obligatorische Krankenpflegeversicherung</v>
      </c>
      <c r="F2748" s="1548" t="str">
        <f>'BewDifferenzen_Statut-Marktnah'!$H$4</f>
        <v>Umlegungen
WERT</v>
      </c>
      <c r="G2748" s="1547"/>
      <c r="H2748" s="1144">
        <f>'BewDifferenzen_Statut-Marktnah'!$H83</f>
        <v>0</v>
      </c>
    </row>
    <row r="2749" spans="2:8" ht="38.25" x14ac:dyDescent="0.2">
      <c r="B2749" s="1083">
        <f>'BewDifferenzen_Statut-Marktnah'!$A$1</f>
        <v>42</v>
      </c>
      <c r="C2749" s="1084" t="str">
        <f>'BewDifferenzen_Statut-Marktnah'!$B$1</f>
        <v>Differenzen zwischen statutarischer und marktnaher Bewertung</v>
      </c>
      <c r="D2749" s="1143" t="str">
        <f>'BewDifferenzen_Statut-Marktnah'!$D$82</f>
        <v>Alterungsrückstellungen und Deckungskapitalien</v>
      </c>
      <c r="E2749" s="1547" t="str">
        <f>'BewDifferenzen_Statut-Marktnah'!$E84</f>
        <v>Einzel-Taggeldversicherung nach KVG</v>
      </c>
      <c r="F2749" s="1548" t="str">
        <f>'BewDifferenzen_Statut-Marktnah'!$H$4</f>
        <v>Umlegungen
WERT</v>
      </c>
      <c r="G2749" s="1547"/>
      <c r="H2749" s="1144">
        <f>'BewDifferenzen_Statut-Marktnah'!$H84</f>
        <v>0</v>
      </c>
    </row>
    <row r="2750" spans="2:8" ht="38.25" x14ac:dyDescent="0.2">
      <c r="B2750" s="1083">
        <f>'BewDifferenzen_Statut-Marktnah'!$A$1</f>
        <v>42</v>
      </c>
      <c r="C2750" s="1084" t="str">
        <f>'BewDifferenzen_Statut-Marktnah'!$B$1</f>
        <v>Differenzen zwischen statutarischer und marktnaher Bewertung</v>
      </c>
      <c r="D2750" s="1143" t="str">
        <f>'BewDifferenzen_Statut-Marktnah'!$D$82</f>
        <v>Alterungsrückstellungen und Deckungskapitalien</v>
      </c>
      <c r="E2750" s="1547" t="str">
        <f>'BewDifferenzen_Statut-Marktnah'!$E85</f>
        <v>Kollektiv-Taggeldversicherung nach KVG</v>
      </c>
      <c r="F2750" s="1548" t="str">
        <f>'BewDifferenzen_Statut-Marktnah'!$H$4</f>
        <v>Umlegungen
WERT</v>
      </c>
      <c r="G2750" s="1547"/>
      <c r="H2750" s="1144">
        <f>'BewDifferenzen_Statut-Marktnah'!$H85</f>
        <v>0</v>
      </c>
    </row>
    <row r="2751" spans="2:8" ht="38.25" x14ac:dyDescent="0.2">
      <c r="B2751" s="1083">
        <f>'BewDifferenzen_Statut-Marktnah'!$A$1</f>
        <v>42</v>
      </c>
      <c r="C2751" s="1084" t="str">
        <f>'BewDifferenzen_Statut-Marktnah'!$B$1</f>
        <v>Differenzen zwischen statutarischer und marktnaher Bewertung</v>
      </c>
      <c r="D2751" s="1143" t="str">
        <f>'BewDifferenzen_Statut-Marktnah'!$D$82</f>
        <v>Alterungsrückstellungen und Deckungskapitalien</v>
      </c>
      <c r="E2751" s="1547" t="str">
        <f>'BewDifferenzen_Statut-Marktnah'!$E86</f>
        <v>Aktive Rückversicherung nach KVG</v>
      </c>
      <c r="F2751" s="1548" t="str">
        <f>'BewDifferenzen_Statut-Marktnah'!$H$4</f>
        <v>Umlegungen
WERT</v>
      </c>
      <c r="G2751" s="1547"/>
      <c r="H2751" s="1144">
        <f>'BewDifferenzen_Statut-Marktnah'!$H86</f>
        <v>0</v>
      </c>
    </row>
    <row r="2752" spans="2:8" ht="38.25" x14ac:dyDescent="0.2">
      <c r="B2752" s="1083">
        <f>'BewDifferenzen_Statut-Marktnah'!$A$1</f>
        <v>42</v>
      </c>
      <c r="C2752" s="1084" t="str">
        <f>'BewDifferenzen_Statut-Marktnah'!$B$1</f>
        <v>Differenzen zwischen statutarischer und marktnaher Bewertung</v>
      </c>
      <c r="D2752" s="1143" t="str">
        <f>'BewDifferenzen_Statut-Marktnah'!$D$82</f>
        <v>Alterungsrückstellungen und Deckungskapitalien</v>
      </c>
      <c r="E2752" s="1547" t="str">
        <f>'BewDifferenzen_Statut-Marktnah'!$E87</f>
        <v>dem Geschäft nach VVG zugeordnet</v>
      </c>
      <c r="F2752" s="1548" t="str">
        <f>'BewDifferenzen_Statut-Marktnah'!$H$4</f>
        <v>Umlegungen
WERT</v>
      </c>
      <c r="G2752" s="1547"/>
      <c r="H2752" s="1144">
        <f>'BewDifferenzen_Statut-Marktnah'!$H87</f>
        <v>0</v>
      </c>
    </row>
    <row r="2753" spans="2:8" ht="38.25" x14ac:dyDescent="0.2">
      <c r="B2753" s="1083">
        <f>'BewDifferenzen_Statut-Marktnah'!$A$1</f>
        <v>42</v>
      </c>
      <c r="C2753" s="1084" t="str">
        <f>'BewDifferenzen_Statut-Marktnah'!$B$1</f>
        <v>Differenzen zwischen statutarischer und marktnaher Bewertung</v>
      </c>
      <c r="D2753" s="1143" t="str">
        <f>'BewDifferenzen_Statut-Marktnah'!$D$82</f>
        <v>Alterungsrückstellungen und Deckungskapitalien</v>
      </c>
      <c r="E2753" s="1547" t="str">
        <f>'BewDifferenzen_Statut-Marktnah'!$E88</f>
        <v>dem Geschäft nach UVG zugeordnet</v>
      </c>
      <c r="F2753" s="1548" t="str">
        <f>'BewDifferenzen_Statut-Marktnah'!$H$4</f>
        <v>Umlegungen
WERT</v>
      </c>
      <c r="G2753" s="1547"/>
      <c r="H2753" s="1144">
        <f>'BewDifferenzen_Statut-Marktnah'!$H88</f>
        <v>0</v>
      </c>
    </row>
    <row r="2754" spans="2:8" x14ac:dyDescent="0.2">
      <c r="B2754" s="1083"/>
      <c r="C2754" s="1084"/>
      <c r="D2754" s="1143"/>
      <c r="E2754" s="1547"/>
      <c r="F2754" s="1548"/>
      <c r="G2754" s="1547"/>
      <c r="H2754" s="1061"/>
    </row>
    <row r="2755" spans="2:8" ht="38.25" x14ac:dyDescent="0.2">
      <c r="B2755" s="1083">
        <f>'BewDifferenzen_Statut-Marktnah'!$A$1</f>
        <v>42</v>
      </c>
      <c r="C2755" s="1084" t="str">
        <f>'BewDifferenzen_Statut-Marktnah'!$B$1</f>
        <v>Differenzen zwischen statutarischer und marktnaher Bewertung</v>
      </c>
      <c r="D2755" s="1143" t="str">
        <f>'BewDifferenzen_Statut-Marktnah'!$D$90</f>
        <v>Sonstige technische Rückstellungen</v>
      </c>
      <c r="E2755" s="1494"/>
      <c r="F2755" s="1548" t="str">
        <f>'BewDifferenzen_Statut-Marktnah'!$H$4</f>
        <v>Umlegungen
WERT</v>
      </c>
      <c r="G2755" s="1494"/>
      <c r="H2755" s="1069"/>
    </row>
    <row r="2756" spans="2:8" ht="38.25" x14ac:dyDescent="0.2">
      <c r="B2756" s="1083">
        <f>'BewDifferenzen_Statut-Marktnah'!$A$1</f>
        <v>42</v>
      </c>
      <c r="C2756" s="1084" t="str">
        <f>'BewDifferenzen_Statut-Marktnah'!$B$1</f>
        <v>Differenzen zwischen statutarischer und marktnaher Bewertung</v>
      </c>
      <c r="D2756" s="1143" t="str">
        <f>'BewDifferenzen_Statut-Marktnah'!$D$90</f>
        <v>Sonstige technische Rückstellungen</v>
      </c>
      <c r="E2756" s="1547" t="str">
        <f>'BewDifferenzen_Statut-Marktnah'!$E91</f>
        <v>Obligatorische Krankenpflegeversicherung</v>
      </c>
      <c r="F2756" s="1548" t="str">
        <f>'BewDifferenzen_Statut-Marktnah'!$H$4</f>
        <v>Umlegungen
WERT</v>
      </c>
      <c r="G2756" s="1547"/>
      <c r="H2756" s="1144">
        <f>'BewDifferenzen_Statut-Marktnah'!$H91</f>
        <v>0</v>
      </c>
    </row>
    <row r="2757" spans="2:8" ht="38.25" x14ac:dyDescent="0.2">
      <c r="B2757" s="1083">
        <f>'BewDifferenzen_Statut-Marktnah'!$A$1</f>
        <v>42</v>
      </c>
      <c r="C2757" s="1084" t="str">
        <f>'BewDifferenzen_Statut-Marktnah'!$B$1</f>
        <v>Differenzen zwischen statutarischer und marktnaher Bewertung</v>
      </c>
      <c r="D2757" s="1143" t="str">
        <f>'BewDifferenzen_Statut-Marktnah'!$D$90</f>
        <v>Sonstige technische Rückstellungen</v>
      </c>
      <c r="E2757" s="1547" t="str">
        <f>'BewDifferenzen_Statut-Marktnah'!$E92</f>
        <v>Einzel-Taggeldversicherung nach KVG</v>
      </c>
      <c r="F2757" s="1548" t="str">
        <f>'BewDifferenzen_Statut-Marktnah'!$H$4</f>
        <v>Umlegungen
WERT</v>
      </c>
      <c r="G2757" s="1547"/>
      <c r="H2757" s="1144">
        <f>'BewDifferenzen_Statut-Marktnah'!$H92</f>
        <v>0</v>
      </c>
    </row>
    <row r="2758" spans="2:8" ht="38.25" x14ac:dyDescent="0.2">
      <c r="B2758" s="1083">
        <f>'BewDifferenzen_Statut-Marktnah'!$A$1</f>
        <v>42</v>
      </c>
      <c r="C2758" s="1084" t="str">
        <f>'BewDifferenzen_Statut-Marktnah'!$B$1</f>
        <v>Differenzen zwischen statutarischer und marktnaher Bewertung</v>
      </c>
      <c r="D2758" s="1143" t="str">
        <f>'BewDifferenzen_Statut-Marktnah'!$D$90</f>
        <v>Sonstige technische Rückstellungen</v>
      </c>
      <c r="E2758" s="1547" t="str">
        <f>'BewDifferenzen_Statut-Marktnah'!$E93</f>
        <v>Kollektiv-Taggeldversicherung nach KVG</v>
      </c>
      <c r="F2758" s="1548" t="str">
        <f>'BewDifferenzen_Statut-Marktnah'!$H$4</f>
        <v>Umlegungen
WERT</v>
      </c>
      <c r="G2758" s="1547"/>
      <c r="H2758" s="1144">
        <f>'BewDifferenzen_Statut-Marktnah'!$H93</f>
        <v>0</v>
      </c>
    </row>
    <row r="2759" spans="2:8" ht="38.25" x14ac:dyDescent="0.2">
      <c r="B2759" s="1083">
        <f>'BewDifferenzen_Statut-Marktnah'!$A$1</f>
        <v>42</v>
      </c>
      <c r="C2759" s="1084" t="str">
        <f>'BewDifferenzen_Statut-Marktnah'!$B$1</f>
        <v>Differenzen zwischen statutarischer und marktnaher Bewertung</v>
      </c>
      <c r="D2759" s="1143" t="str">
        <f>'BewDifferenzen_Statut-Marktnah'!$D$90</f>
        <v>Sonstige technische Rückstellungen</v>
      </c>
      <c r="E2759" s="1547" t="str">
        <f>'BewDifferenzen_Statut-Marktnah'!$E94</f>
        <v>Aktive Rückversicherung nach KVG</v>
      </c>
      <c r="F2759" s="1548" t="str">
        <f>'BewDifferenzen_Statut-Marktnah'!$H$4</f>
        <v>Umlegungen
WERT</v>
      </c>
      <c r="G2759" s="1547"/>
      <c r="H2759" s="1144">
        <f>'BewDifferenzen_Statut-Marktnah'!$H94</f>
        <v>0</v>
      </c>
    </row>
    <row r="2760" spans="2:8" ht="38.25" x14ac:dyDescent="0.2">
      <c r="B2760" s="1083">
        <f>'BewDifferenzen_Statut-Marktnah'!$A$1</f>
        <v>42</v>
      </c>
      <c r="C2760" s="1084" t="str">
        <f>'BewDifferenzen_Statut-Marktnah'!$B$1</f>
        <v>Differenzen zwischen statutarischer und marktnaher Bewertung</v>
      </c>
      <c r="D2760" s="1143" t="str">
        <f>'BewDifferenzen_Statut-Marktnah'!$D$90</f>
        <v>Sonstige technische Rückstellungen</v>
      </c>
      <c r="E2760" s="1547" t="str">
        <f>'BewDifferenzen_Statut-Marktnah'!$E95</f>
        <v>dem Geschäft nach VVG zugeordnet</v>
      </c>
      <c r="F2760" s="1548" t="str">
        <f>'BewDifferenzen_Statut-Marktnah'!$H$4</f>
        <v>Umlegungen
WERT</v>
      </c>
      <c r="G2760" s="1547"/>
      <c r="H2760" s="1144">
        <f>'BewDifferenzen_Statut-Marktnah'!$H95</f>
        <v>0</v>
      </c>
    </row>
    <row r="2761" spans="2:8" ht="38.25" x14ac:dyDescent="0.2">
      <c r="B2761" s="1083">
        <f>'BewDifferenzen_Statut-Marktnah'!$A$1</f>
        <v>42</v>
      </c>
      <c r="C2761" s="1084" t="str">
        <f>'BewDifferenzen_Statut-Marktnah'!$B$1</f>
        <v>Differenzen zwischen statutarischer und marktnaher Bewertung</v>
      </c>
      <c r="D2761" s="1143" t="str">
        <f>'BewDifferenzen_Statut-Marktnah'!$D$90</f>
        <v>Sonstige technische Rückstellungen</v>
      </c>
      <c r="E2761" s="1547" t="str">
        <f>'BewDifferenzen_Statut-Marktnah'!$E96</f>
        <v>dem Geschäft nach UVG zugeordnet</v>
      </c>
      <c r="F2761" s="1548" t="str">
        <f>'BewDifferenzen_Statut-Marktnah'!$H$4</f>
        <v>Umlegungen
WERT</v>
      </c>
      <c r="G2761" s="1547"/>
      <c r="H2761" s="1144">
        <f>'BewDifferenzen_Statut-Marktnah'!$H96</f>
        <v>0</v>
      </c>
    </row>
    <row r="2762" spans="2:8" x14ac:dyDescent="0.2">
      <c r="B2762" s="1083"/>
      <c r="C2762" s="1084"/>
      <c r="D2762" s="1143"/>
      <c r="E2762" s="1547"/>
      <c r="F2762" s="1548"/>
      <c r="G2762" s="1547"/>
      <c r="H2762" s="1061"/>
    </row>
    <row r="2763" spans="2:8" ht="38.25" x14ac:dyDescent="0.2">
      <c r="B2763" s="1083">
        <f>'BewDifferenzen_Statut-Marktnah'!$A$1</f>
        <v>42</v>
      </c>
      <c r="C2763" s="1084" t="str">
        <f>'BewDifferenzen_Statut-Marktnah'!$B$1</f>
        <v>Differenzen zwischen statutarischer und marktnaher Bewertung</v>
      </c>
      <c r="D2763" s="1143" t="str">
        <f>'BewDifferenzen_Statut-Marktnah'!$D$98</f>
        <v>Schwankungs- und Sicherheitsrückstellungen</v>
      </c>
      <c r="E2763" s="1494"/>
      <c r="F2763" s="1548" t="str">
        <f>'BewDifferenzen_Statut-Marktnah'!$H$4</f>
        <v>Umlegungen
WERT</v>
      </c>
      <c r="G2763" s="1494"/>
      <c r="H2763" s="1069"/>
    </row>
    <row r="2764" spans="2:8" ht="38.25" x14ac:dyDescent="0.2">
      <c r="B2764" s="1083">
        <f>'BewDifferenzen_Statut-Marktnah'!$A$1</f>
        <v>42</v>
      </c>
      <c r="C2764" s="1084" t="str">
        <f>'BewDifferenzen_Statut-Marktnah'!$B$1</f>
        <v>Differenzen zwischen statutarischer und marktnaher Bewertung</v>
      </c>
      <c r="D2764" s="1143" t="str">
        <f>'BewDifferenzen_Statut-Marktnah'!$D$98</f>
        <v>Schwankungs- und Sicherheitsrückstellungen</v>
      </c>
      <c r="E2764" s="1547" t="str">
        <f>'BewDifferenzen_Statut-Marktnah'!$E99</f>
        <v>Obligatorische Krankenpflegeversicherung</v>
      </c>
      <c r="F2764" s="1548" t="str">
        <f>'BewDifferenzen_Statut-Marktnah'!$H$4</f>
        <v>Umlegungen
WERT</v>
      </c>
      <c r="G2764" s="1547"/>
      <c r="H2764" s="1144">
        <f>'BewDifferenzen_Statut-Marktnah'!$H99</f>
        <v>0</v>
      </c>
    </row>
    <row r="2765" spans="2:8" ht="38.25" x14ac:dyDescent="0.2">
      <c r="B2765" s="1083">
        <f>'BewDifferenzen_Statut-Marktnah'!$A$1</f>
        <v>42</v>
      </c>
      <c r="C2765" s="1084" t="str">
        <f>'BewDifferenzen_Statut-Marktnah'!$B$1</f>
        <v>Differenzen zwischen statutarischer und marktnaher Bewertung</v>
      </c>
      <c r="D2765" s="1143" t="str">
        <f>'BewDifferenzen_Statut-Marktnah'!$D$98</f>
        <v>Schwankungs- und Sicherheitsrückstellungen</v>
      </c>
      <c r="E2765" s="1547" t="str">
        <f>'BewDifferenzen_Statut-Marktnah'!$E100</f>
        <v>Einzel-Taggeldversicherung nach KVG</v>
      </c>
      <c r="F2765" s="1548" t="str">
        <f>'BewDifferenzen_Statut-Marktnah'!$H$4</f>
        <v>Umlegungen
WERT</v>
      </c>
      <c r="G2765" s="1547"/>
      <c r="H2765" s="1144">
        <f>'BewDifferenzen_Statut-Marktnah'!$H100</f>
        <v>0</v>
      </c>
    </row>
    <row r="2766" spans="2:8" ht="38.25" x14ac:dyDescent="0.2">
      <c r="B2766" s="1083">
        <f>'BewDifferenzen_Statut-Marktnah'!$A$1</f>
        <v>42</v>
      </c>
      <c r="C2766" s="1084" t="str">
        <f>'BewDifferenzen_Statut-Marktnah'!$B$1</f>
        <v>Differenzen zwischen statutarischer und marktnaher Bewertung</v>
      </c>
      <c r="D2766" s="1143" t="str">
        <f>'BewDifferenzen_Statut-Marktnah'!$D$98</f>
        <v>Schwankungs- und Sicherheitsrückstellungen</v>
      </c>
      <c r="E2766" s="1547" t="str">
        <f>'BewDifferenzen_Statut-Marktnah'!$E101</f>
        <v>Kollektiv-Taggeldversicherung nach KVG</v>
      </c>
      <c r="F2766" s="1548" t="str">
        <f>'BewDifferenzen_Statut-Marktnah'!$H$4</f>
        <v>Umlegungen
WERT</v>
      </c>
      <c r="G2766" s="1547"/>
      <c r="H2766" s="1144">
        <f>'BewDifferenzen_Statut-Marktnah'!$H101</f>
        <v>0</v>
      </c>
    </row>
    <row r="2767" spans="2:8" ht="38.25" x14ac:dyDescent="0.2">
      <c r="B2767" s="1083">
        <f>'BewDifferenzen_Statut-Marktnah'!$A$1</f>
        <v>42</v>
      </c>
      <c r="C2767" s="1084" t="str">
        <f>'BewDifferenzen_Statut-Marktnah'!$B$1</f>
        <v>Differenzen zwischen statutarischer und marktnaher Bewertung</v>
      </c>
      <c r="D2767" s="1143" t="str">
        <f>'BewDifferenzen_Statut-Marktnah'!$D$98</f>
        <v>Schwankungs- und Sicherheitsrückstellungen</v>
      </c>
      <c r="E2767" s="1547" t="str">
        <f>'BewDifferenzen_Statut-Marktnah'!$E102</f>
        <v>Aktive Rückversicherung nach KVG</v>
      </c>
      <c r="F2767" s="1548" t="str">
        <f>'BewDifferenzen_Statut-Marktnah'!$H$4</f>
        <v>Umlegungen
WERT</v>
      </c>
      <c r="G2767" s="1547"/>
      <c r="H2767" s="1144">
        <f>'BewDifferenzen_Statut-Marktnah'!$H102</f>
        <v>0</v>
      </c>
    </row>
    <row r="2768" spans="2:8" ht="38.25" x14ac:dyDescent="0.2">
      <c r="B2768" s="1083">
        <f>'BewDifferenzen_Statut-Marktnah'!$A$1</f>
        <v>42</v>
      </c>
      <c r="C2768" s="1084" t="str">
        <f>'BewDifferenzen_Statut-Marktnah'!$B$1</f>
        <v>Differenzen zwischen statutarischer und marktnaher Bewertung</v>
      </c>
      <c r="D2768" s="1143" t="str">
        <f>'BewDifferenzen_Statut-Marktnah'!$D$98</f>
        <v>Schwankungs- und Sicherheitsrückstellungen</v>
      </c>
      <c r="E2768" s="1547" t="str">
        <f>'BewDifferenzen_Statut-Marktnah'!$E103</f>
        <v>dem Geschäft nach VVG zugeordnet</v>
      </c>
      <c r="F2768" s="1548" t="str">
        <f>'BewDifferenzen_Statut-Marktnah'!$H$4</f>
        <v>Umlegungen
WERT</v>
      </c>
      <c r="G2768" s="1547"/>
      <c r="H2768" s="1144">
        <f>'BewDifferenzen_Statut-Marktnah'!$H103</f>
        <v>0</v>
      </c>
    </row>
    <row r="2769" spans="2:8" ht="38.25" x14ac:dyDescent="0.2">
      <c r="B2769" s="1083">
        <f>'BewDifferenzen_Statut-Marktnah'!$A$1</f>
        <v>42</v>
      </c>
      <c r="C2769" s="1084" t="str">
        <f>'BewDifferenzen_Statut-Marktnah'!$B$1</f>
        <v>Differenzen zwischen statutarischer und marktnaher Bewertung</v>
      </c>
      <c r="D2769" s="1143" t="str">
        <f>'BewDifferenzen_Statut-Marktnah'!$D$98</f>
        <v>Schwankungs- und Sicherheitsrückstellungen</v>
      </c>
      <c r="E2769" s="1547" t="str">
        <f>'BewDifferenzen_Statut-Marktnah'!$E104</f>
        <v>dem Geschäft nach UVG zugeordnet</v>
      </c>
      <c r="F2769" s="1548" t="str">
        <f>'BewDifferenzen_Statut-Marktnah'!$H$4</f>
        <v>Umlegungen
WERT</v>
      </c>
      <c r="G2769" s="1547"/>
      <c r="H2769" s="1144">
        <f>'BewDifferenzen_Statut-Marktnah'!$H104</f>
        <v>0</v>
      </c>
    </row>
    <row r="2770" spans="2:8" x14ac:dyDescent="0.2">
      <c r="B2770" s="1083"/>
      <c r="C2770" s="1084"/>
      <c r="D2770" s="1143"/>
      <c r="E2770" s="1547"/>
      <c r="F2770" s="1548"/>
      <c r="G2770" s="1547"/>
      <c r="H2770" s="1061"/>
    </row>
    <row r="2771" spans="2:8" ht="38.25" x14ac:dyDescent="0.2">
      <c r="B2771" s="1083">
        <f>'BewDifferenzen_Statut-Marktnah'!$A$1</f>
        <v>42</v>
      </c>
      <c r="C2771" s="1084" t="str">
        <f>'BewDifferenzen_Statut-Marktnah'!$B$1</f>
        <v>Differenzen zwischen statutarischer und marktnaher Bewertung</v>
      </c>
      <c r="D2771" s="1143" t="str">
        <f>'BewDifferenzen_Statut-Marktnah'!$D$106</f>
        <v>Total versicherungstechnische Rückstellungen</v>
      </c>
      <c r="E2771" s="1494"/>
      <c r="F2771" s="1548" t="str">
        <f>'BewDifferenzen_Statut-Marktnah'!$H$4</f>
        <v>Umlegungen
WERT</v>
      </c>
      <c r="G2771" s="1494"/>
      <c r="H2771" s="1065"/>
    </row>
    <row r="2772" spans="2:8" x14ac:dyDescent="0.2">
      <c r="B2772" s="1083"/>
      <c r="C2772" s="1084"/>
      <c r="D2772" s="1143"/>
      <c r="E2772" s="1547"/>
      <c r="F2772" s="1548"/>
      <c r="G2772" s="1547"/>
      <c r="H2772" s="1061"/>
    </row>
    <row r="2773" spans="2:8" ht="38.25" x14ac:dyDescent="0.2">
      <c r="B2773" s="1083">
        <f>'BewDifferenzen_Statut-Marktnah'!$A$1</f>
        <v>42</v>
      </c>
      <c r="C2773" s="1084" t="str">
        <f>'BewDifferenzen_Statut-Marktnah'!$B$1</f>
        <v>Differenzen zwischen statutarischer und marktnaher Bewertung</v>
      </c>
      <c r="D2773" s="1143" t="str">
        <f>'BewDifferenzen_Statut-Marktnah'!$D$111</f>
        <v>Nichtversicherungstechnische Rückstellungen</v>
      </c>
      <c r="E2773" s="1494"/>
      <c r="F2773" s="1548" t="str">
        <f>'BewDifferenzen_Statut-Marktnah'!$H$4</f>
        <v>Umlegungen
WERT</v>
      </c>
      <c r="G2773" s="1494"/>
      <c r="H2773" s="1062"/>
    </row>
    <row r="2774" spans="2:8" ht="38.25" x14ac:dyDescent="0.2">
      <c r="B2774" s="1083">
        <f>'BewDifferenzen_Statut-Marktnah'!$A$1</f>
        <v>42</v>
      </c>
      <c r="C2774" s="1084" t="str">
        <f>'BewDifferenzen_Statut-Marktnah'!$B$1</f>
        <v>Differenzen zwischen statutarischer und marktnaher Bewertung</v>
      </c>
      <c r="D2774" s="1143" t="str">
        <f>'BewDifferenzen_Statut-Marktnah'!$D$111</f>
        <v>Nichtversicherungstechnische Rückstellungen</v>
      </c>
      <c r="E2774" s="1547" t="str">
        <f>'BewDifferenzen_Statut-Marktnah'!$E112</f>
        <v>dem Geschäft nach KVG zugeordnet</v>
      </c>
      <c r="F2774" s="1548" t="str">
        <f>'BewDifferenzen_Statut-Marktnah'!$H$4</f>
        <v>Umlegungen
WERT</v>
      </c>
      <c r="G2774" s="1547"/>
      <c r="H2774" s="1144">
        <f>'BewDifferenzen_Statut-Marktnah'!$H112</f>
        <v>0</v>
      </c>
    </row>
    <row r="2775" spans="2:8" ht="38.25" x14ac:dyDescent="0.2">
      <c r="B2775" s="1083">
        <f>'BewDifferenzen_Statut-Marktnah'!$A$1</f>
        <v>42</v>
      </c>
      <c r="C2775" s="1084" t="str">
        <f>'BewDifferenzen_Statut-Marktnah'!$B$1</f>
        <v>Differenzen zwischen statutarischer und marktnaher Bewertung</v>
      </c>
      <c r="D2775" s="1143" t="str">
        <f>'BewDifferenzen_Statut-Marktnah'!$D$111</f>
        <v>Nichtversicherungstechnische Rückstellungen</v>
      </c>
      <c r="E2775" s="1547" t="str">
        <f>'BewDifferenzen_Statut-Marktnah'!$E113</f>
        <v>dem Geschäft nach VVG zugeordnet</v>
      </c>
      <c r="F2775" s="1548" t="str">
        <f>'BewDifferenzen_Statut-Marktnah'!$H$4</f>
        <v>Umlegungen
WERT</v>
      </c>
      <c r="G2775" s="1547"/>
      <c r="H2775" s="1144">
        <f>'BewDifferenzen_Statut-Marktnah'!$H113</f>
        <v>0</v>
      </c>
    </row>
    <row r="2776" spans="2:8" ht="38.25" x14ac:dyDescent="0.2">
      <c r="B2776" s="1083">
        <f>'BewDifferenzen_Statut-Marktnah'!$A$1</f>
        <v>42</v>
      </c>
      <c r="C2776" s="1084" t="str">
        <f>'BewDifferenzen_Statut-Marktnah'!$B$1</f>
        <v>Differenzen zwischen statutarischer und marktnaher Bewertung</v>
      </c>
      <c r="D2776" s="1143" t="str">
        <f>'BewDifferenzen_Statut-Marktnah'!$D$111</f>
        <v>Nichtversicherungstechnische Rückstellungen</v>
      </c>
      <c r="E2776" s="1547" t="str">
        <f>'BewDifferenzen_Statut-Marktnah'!$E114</f>
        <v>dem Geschäft nach UVG zugeordnet</v>
      </c>
      <c r="F2776" s="1548" t="str">
        <f>'BewDifferenzen_Statut-Marktnah'!$H$4</f>
        <v>Umlegungen
WERT</v>
      </c>
      <c r="G2776" s="1547"/>
      <c r="H2776" s="1144">
        <f>'BewDifferenzen_Statut-Marktnah'!$H114</f>
        <v>0</v>
      </c>
    </row>
    <row r="2777" spans="2:8" x14ac:dyDescent="0.2">
      <c r="B2777" s="1083"/>
      <c r="C2777" s="1084"/>
      <c r="D2777" s="1143"/>
      <c r="E2777" s="1547"/>
      <c r="F2777" s="1548"/>
      <c r="G2777" s="1547"/>
      <c r="H2777" s="1061"/>
    </row>
    <row r="2778" spans="2:8" ht="38.25" x14ac:dyDescent="0.2">
      <c r="B2778" s="1083">
        <f>'BewDifferenzen_Statut-Marktnah'!$A$1</f>
        <v>42</v>
      </c>
      <c r="C2778" s="1084" t="str">
        <f>'BewDifferenzen_Statut-Marktnah'!$B$1</f>
        <v>Differenzen zwischen statutarischer und marktnaher Bewertung</v>
      </c>
      <c r="D2778" s="1143" t="str">
        <f>'BewDifferenzen_Statut-Marktnah'!$D$116</f>
        <v>Rückstellungen für Risiken in den Kapitalanlagen</v>
      </c>
      <c r="E2778" s="1494"/>
      <c r="F2778" s="1548" t="str">
        <f>'BewDifferenzen_Statut-Marktnah'!$H$4</f>
        <v>Umlegungen
WERT</v>
      </c>
      <c r="G2778" s="1494"/>
      <c r="H2778" s="1062"/>
    </row>
    <row r="2779" spans="2:8" ht="38.25" x14ac:dyDescent="0.2">
      <c r="B2779" s="1083">
        <f>'BewDifferenzen_Statut-Marktnah'!$A$1</f>
        <v>42</v>
      </c>
      <c r="C2779" s="1084" t="str">
        <f>'BewDifferenzen_Statut-Marktnah'!$B$1</f>
        <v>Differenzen zwischen statutarischer und marktnaher Bewertung</v>
      </c>
      <c r="D2779" s="1143" t="str">
        <f>'BewDifferenzen_Statut-Marktnah'!$D$116</f>
        <v>Rückstellungen für Risiken in den Kapitalanlagen</v>
      </c>
      <c r="E2779" s="1547" t="str">
        <f>'BewDifferenzen_Statut-Marktnah'!$E117</f>
        <v>dem Geschäft nach KVG zugeordnet</v>
      </c>
      <c r="F2779" s="1548" t="str">
        <f>'BewDifferenzen_Statut-Marktnah'!$H$4</f>
        <v>Umlegungen
WERT</v>
      </c>
      <c r="G2779" s="1547"/>
      <c r="H2779" s="1144">
        <f>'BewDifferenzen_Statut-Marktnah'!$H117</f>
        <v>0</v>
      </c>
    </row>
    <row r="2780" spans="2:8" ht="38.25" x14ac:dyDescent="0.2">
      <c r="B2780" s="1083">
        <f>'BewDifferenzen_Statut-Marktnah'!$A$1</f>
        <v>42</v>
      </c>
      <c r="C2780" s="1084" t="str">
        <f>'BewDifferenzen_Statut-Marktnah'!$B$1</f>
        <v>Differenzen zwischen statutarischer und marktnaher Bewertung</v>
      </c>
      <c r="D2780" s="1143" t="str">
        <f>'BewDifferenzen_Statut-Marktnah'!$D$116</f>
        <v>Rückstellungen für Risiken in den Kapitalanlagen</v>
      </c>
      <c r="E2780" s="1547" t="str">
        <f>'BewDifferenzen_Statut-Marktnah'!$E118</f>
        <v>dem Geschäft nach VVG zugeordnet</v>
      </c>
      <c r="F2780" s="1548" t="str">
        <f>'BewDifferenzen_Statut-Marktnah'!$H$4</f>
        <v>Umlegungen
WERT</v>
      </c>
      <c r="G2780" s="1547"/>
      <c r="H2780" s="1144">
        <f>'BewDifferenzen_Statut-Marktnah'!$H118</f>
        <v>0</v>
      </c>
    </row>
    <row r="2781" spans="2:8" ht="38.25" x14ac:dyDescent="0.2">
      <c r="B2781" s="1083">
        <f>'BewDifferenzen_Statut-Marktnah'!$A$1</f>
        <v>42</v>
      </c>
      <c r="C2781" s="1084" t="str">
        <f>'BewDifferenzen_Statut-Marktnah'!$B$1</f>
        <v>Differenzen zwischen statutarischer und marktnaher Bewertung</v>
      </c>
      <c r="D2781" s="1143" t="str">
        <f>'BewDifferenzen_Statut-Marktnah'!$D$116</f>
        <v>Rückstellungen für Risiken in den Kapitalanlagen</v>
      </c>
      <c r="E2781" s="1547" t="str">
        <f>'BewDifferenzen_Statut-Marktnah'!$E119</f>
        <v>dem Geschäft nach UVG zugeordnet</v>
      </c>
      <c r="F2781" s="1548" t="str">
        <f>'BewDifferenzen_Statut-Marktnah'!$H$4</f>
        <v>Umlegungen
WERT</v>
      </c>
      <c r="G2781" s="1547"/>
      <c r="H2781" s="1144">
        <f>'BewDifferenzen_Statut-Marktnah'!$H119</f>
        <v>0</v>
      </c>
    </row>
    <row r="2782" spans="2:8" x14ac:dyDescent="0.2">
      <c r="B2782" s="1083"/>
      <c r="C2782" s="1084"/>
      <c r="D2782" s="1143"/>
      <c r="E2782" s="1547"/>
      <c r="F2782" s="1548"/>
      <c r="G2782" s="1547"/>
      <c r="H2782" s="1061"/>
    </row>
    <row r="2783" spans="2:8" ht="38.25" x14ac:dyDescent="0.2">
      <c r="B2783" s="1083">
        <f>'BewDifferenzen_Statut-Marktnah'!$A$1</f>
        <v>42</v>
      </c>
      <c r="C2783" s="1084" t="str">
        <f>'BewDifferenzen_Statut-Marktnah'!$B$1</f>
        <v>Differenzen zwischen statutarischer und marktnaher Bewertung</v>
      </c>
      <c r="D2783" s="1143" t="str">
        <f>'BewDifferenzen_Statut-Marktnah'!$D$121</f>
        <v>Übrige Verbindlichkeiten (inkl. Rechnungsabgrenzungen)</v>
      </c>
      <c r="E2783" s="1494"/>
      <c r="F2783" s="1548" t="str">
        <f>'BewDifferenzen_Statut-Marktnah'!$H$4</f>
        <v>Umlegungen
WERT</v>
      </c>
      <c r="G2783" s="1494"/>
      <c r="H2783" s="1062"/>
    </row>
    <row r="2784" spans="2:8" ht="38.25" x14ac:dyDescent="0.2">
      <c r="B2784" s="1083">
        <f>'BewDifferenzen_Statut-Marktnah'!$A$1</f>
        <v>42</v>
      </c>
      <c r="C2784" s="1084" t="str">
        <f>'BewDifferenzen_Statut-Marktnah'!$B$1</f>
        <v>Differenzen zwischen statutarischer und marktnaher Bewertung</v>
      </c>
      <c r="D2784" s="1143" t="str">
        <f>'BewDifferenzen_Statut-Marktnah'!$D$121</f>
        <v>Übrige Verbindlichkeiten (inkl. Rechnungsabgrenzungen)</v>
      </c>
      <c r="E2784" s="1547" t="str">
        <f>'BewDifferenzen_Statut-Marktnah'!$E122</f>
        <v>dem Geschäft nach KVG zugeordnet</v>
      </c>
      <c r="F2784" s="1548" t="str">
        <f>'BewDifferenzen_Statut-Marktnah'!$H$4</f>
        <v>Umlegungen
WERT</v>
      </c>
      <c r="G2784" s="1547"/>
      <c r="H2784" s="1144">
        <f>'BewDifferenzen_Statut-Marktnah'!$H122</f>
        <v>0</v>
      </c>
    </row>
    <row r="2785" spans="2:8" ht="38.25" x14ac:dyDescent="0.2">
      <c r="B2785" s="1083">
        <f>'BewDifferenzen_Statut-Marktnah'!$A$1</f>
        <v>42</v>
      </c>
      <c r="C2785" s="1084" t="str">
        <f>'BewDifferenzen_Statut-Marktnah'!$B$1</f>
        <v>Differenzen zwischen statutarischer und marktnaher Bewertung</v>
      </c>
      <c r="D2785" s="1143" t="str">
        <f>'BewDifferenzen_Statut-Marktnah'!$D$121</f>
        <v>Übrige Verbindlichkeiten (inkl. Rechnungsabgrenzungen)</v>
      </c>
      <c r="E2785" s="1547" t="str">
        <f>'BewDifferenzen_Statut-Marktnah'!$E123</f>
        <v>dem Geschäft nach VVG zugeordnet</v>
      </c>
      <c r="F2785" s="1548" t="str">
        <f>'BewDifferenzen_Statut-Marktnah'!$H$4</f>
        <v>Umlegungen
WERT</v>
      </c>
      <c r="G2785" s="1547"/>
      <c r="H2785" s="1144">
        <f>'BewDifferenzen_Statut-Marktnah'!$H123</f>
        <v>0</v>
      </c>
    </row>
    <row r="2786" spans="2:8" ht="38.25" x14ac:dyDescent="0.2">
      <c r="B2786" s="1083">
        <f>'BewDifferenzen_Statut-Marktnah'!$A$1</f>
        <v>42</v>
      </c>
      <c r="C2786" s="1084" t="str">
        <f>'BewDifferenzen_Statut-Marktnah'!$B$1</f>
        <v>Differenzen zwischen statutarischer und marktnaher Bewertung</v>
      </c>
      <c r="D2786" s="1143" t="str">
        <f>'BewDifferenzen_Statut-Marktnah'!$D$121</f>
        <v>Übrige Verbindlichkeiten (inkl. Rechnungsabgrenzungen)</v>
      </c>
      <c r="E2786" s="1547" t="str">
        <f>'BewDifferenzen_Statut-Marktnah'!$E124</f>
        <v>dem Geschäft nach UVG zugeordnet</v>
      </c>
      <c r="F2786" s="1548" t="str">
        <f>'BewDifferenzen_Statut-Marktnah'!$H$4</f>
        <v>Umlegungen
WERT</v>
      </c>
      <c r="G2786" s="1547"/>
      <c r="H2786" s="1144">
        <f>'BewDifferenzen_Statut-Marktnah'!$H124</f>
        <v>0</v>
      </c>
    </row>
    <row r="2787" spans="2:8" x14ac:dyDescent="0.2">
      <c r="B2787" s="1083"/>
      <c r="C2787" s="1084"/>
      <c r="D2787" s="1143"/>
      <c r="E2787" s="1547"/>
      <c r="F2787" s="1548"/>
      <c r="G2787" s="1547"/>
      <c r="H2787" s="1061"/>
    </row>
    <row r="2788" spans="2:8" ht="38.25" x14ac:dyDescent="0.2">
      <c r="B2788" s="1083">
        <f>'BewDifferenzen_Statut-Marktnah'!$A$1</f>
        <v>42</v>
      </c>
      <c r="C2788" s="1084" t="str">
        <f>'BewDifferenzen_Statut-Marktnah'!$B$1</f>
        <v>Differenzen zwischen statutarischer und marktnaher Bewertung</v>
      </c>
      <c r="D2788" s="1143" t="str">
        <f>'BewDifferenzen_Statut-Marktnah'!$D$126</f>
        <v>Total übrige Passiven</v>
      </c>
      <c r="E2788" s="1494"/>
      <c r="F2788" s="1548" t="str">
        <f>'BewDifferenzen_Statut-Marktnah'!$H$4</f>
        <v>Umlegungen
WERT</v>
      </c>
      <c r="G2788" s="1494"/>
      <c r="H2788" s="1065"/>
    </row>
    <row r="2789" spans="2:8" x14ac:dyDescent="0.2">
      <c r="B2789" s="1083"/>
      <c r="C2789" s="1084"/>
      <c r="D2789" s="1143"/>
      <c r="E2789" s="1547"/>
      <c r="F2789" s="1548"/>
      <c r="G2789" s="1547"/>
      <c r="H2789" s="1061"/>
    </row>
    <row r="2790" spans="2:8" ht="38.25" x14ac:dyDescent="0.2">
      <c r="B2790" s="1083">
        <f>'BewDifferenzen_Statut-Marktnah'!$A$1</f>
        <v>42</v>
      </c>
      <c r="C2790" s="1084" t="str">
        <f>'BewDifferenzen_Statut-Marktnah'!$B$1</f>
        <v>Differenzen zwischen statutarischer und marktnaher Bewertung</v>
      </c>
      <c r="D2790" s="1143" t="str">
        <f>'BewDifferenzen_Statut-Marktnah'!$C$128</f>
        <v>Total Fremdkapital</v>
      </c>
      <c r="E2790" s="1547"/>
      <c r="F2790" s="1548" t="str">
        <f>'BewDifferenzen_Statut-Marktnah'!$H$4</f>
        <v>Umlegungen
WERT</v>
      </c>
      <c r="G2790" s="1547"/>
      <c r="H2790" s="1065"/>
    </row>
    <row r="2791" spans="2:8" x14ac:dyDescent="0.2">
      <c r="B2791" s="1083"/>
      <c r="C2791" s="1084"/>
      <c r="D2791" s="1143"/>
      <c r="E2791" s="1547"/>
      <c r="F2791" s="1548"/>
      <c r="G2791" s="1547"/>
      <c r="H2791" s="1061"/>
    </row>
    <row r="2792" spans="2:8" ht="38.25" x14ac:dyDescent="0.2">
      <c r="B2792" s="1083">
        <f>'BewDifferenzen_Statut-Marktnah'!$A$1</f>
        <v>42</v>
      </c>
      <c r="C2792" s="1084" t="str">
        <f>'BewDifferenzen_Statut-Marktnah'!$B$1</f>
        <v>Differenzen zwischen statutarischer und marktnaher Bewertung</v>
      </c>
      <c r="D2792" s="1143" t="str">
        <f>'BewDifferenzen_Statut-Marktnah'!$C$130</f>
        <v>Differenz zwischen Aktiven und Fremdkapital</v>
      </c>
      <c r="E2792" s="1547"/>
      <c r="F2792" s="1548" t="str">
        <f>'BewDifferenzen_Statut-Marktnah'!$H$4</f>
        <v>Umlegungen
WERT</v>
      </c>
      <c r="G2792" s="1547"/>
      <c r="H2792" s="1065"/>
    </row>
    <row r="2793" spans="2:8" x14ac:dyDescent="0.2">
      <c r="B2793" s="1083"/>
      <c r="C2793" s="1084"/>
      <c r="D2793" s="1143"/>
      <c r="E2793" s="1547"/>
      <c r="F2793" s="1548"/>
      <c r="G2793" s="1547"/>
      <c r="H2793" s="1061"/>
    </row>
    <row r="2794" spans="2:8" ht="38.25" x14ac:dyDescent="0.2">
      <c r="B2794" s="1083">
        <f>'BewDifferenzen_Statut-Marktnah'!$A$1</f>
        <v>42</v>
      </c>
      <c r="C2794" s="1084" t="str">
        <f>'BewDifferenzen_Statut-Marktnah'!$B$1</f>
        <v>Differenzen zwischen statutarischer und marktnaher Bewertung</v>
      </c>
      <c r="D2794" s="1143" t="str">
        <f>'BewDifferenzen_Statut-Marktnah'!$D$132</f>
        <v>Kontrollzeile</v>
      </c>
      <c r="E2794" s="1547"/>
      <c r="F2794" s="1548" t="str">
        <f>'BewDifferenzen_Statut-Marktnah'!$H$4</f>
        <v>Umlegungen
WERT</v>
      </c>
      <c r="G2794" s="1547"/>
      <c r="H2794" s="1549"/>
    </row>
    <row r="2795" spans="2:8" x14ac:dyDescent="0.2">
      <c r="B2795" s="1083"/>
      <c r="C2795" s="1084"/>
      <c r="D2795" s="1143"/>
      <c r="E2795" s="1547"/>
      <c r="F2795" s="1548"/>
      <c r="G2795" s="1547"/>
      <c r="H2795" s="1061"/>
    </row>
    <row r="2796" spans="2:8" ht="38.25" x14ac:dyDescent="0.2">
      <c r="B2796" s="1083">
        <f>'BewDifferenzen_Statut-Marktnah'!$A$1</f>
        <v>42</v>
      </c>
      <c r="C2796" s="1084" t="str">
        <f>'BewDifferenzen_Statut-Marktnah'!$B$1</f>
        <v>Differenzen zwischen statutarischer und marktnaher Bewertung</v>
      </c>
      <c r="D2796" s="1143" t="str">
        <f>'BewDifferenzen_Statut-Marktnah'!$C$136</f>
        <v>Aufteilung des Eigenkapitals</v>
      </c>
      <c r="E2796" s="1547"/>
      <c r="F2796" s="1548" t="str">
        <f>'BewDifferenzen_Statut-Marktnah'!$H$4</f>
        <v>Umlegungen
WERT</v>
      </c>
      <c r="G2796" s="1547"/>
      <c r="H2796" s="1065"/>
    </row>
    <row r="2797" spans="2:8" ht="38.25" x14ac:dyDescent="0.2">
      <c r="B2797" s="1083">
        <f>'BewDifferenzen_Statut-Marktnah'!$A$1</f>
        <v>42</v>
      </c>
      <c r="C2797" s="1084" t="str">
        <f>'BewDifferenzen_Statut-Marktnah'!$B$1</f>
        <v>Differenzen zwischen statutarischer und marktnaher Bewertung</v>
      </c>
      <c r="D2797" s="1143" t="str">
        <f>'BewDifferenzen_Statut-Marktnah'!$C$136</f>
        <v>Aufteilung des Eigenkapitals</v>
      </c>
      <c r="E2797" s="1547" t="str">
        <f>'BewDifferenzen_Statut-Marktnah'!$E137</f>
        <v>dem Geschäft nach KVG zugeordnet</v>
      </c>
      <c r="F2797" s="1548" t="str">
        <f>'BewDifferenzen_Statut-Marktnah'!$H$4</f>
        <v>Umlegungen
WERT</v>
      </c>
      <c r="G2797" s="1547"/>
      <c r="H2797" s="1487"/>
    </row>
    <row r="2798" spans="2:8" ht="38.25" x14ac:dyDescent="0.2">
      <c r="B2798" s="1083">
        <f>'BewDifferenzen_Statut-Marktnah'!$A$1</f>
        <v>42</v>
      </c>
      <c r="C2798" s="1084" t="str">
        <f>'BewDifferenzen_Statut-Marktnah'!$B$1</f>
        <v>Differenzen zwischen statutarischer und marktnaher Bewertung</v>
      </c>
      <c r="D2798" s="1143" t="str">
        <f>'BewDifferenzen_Statut-Marktnah'!$C$136</f>
        <v>Aufteilung des Eigenkapitals</v>
      </c>
      <c r="E2798" s="1547" t="str">
        <f>'BewDifferenzen_Statut-Marktnah'!$E138</f>
        <v>dem Geschäft nach VVG zugeordnet</v>
      </c>
      <c r="F2798" s="1548" t="str">
        <f>'BewDifferenzen_Statut-Marktnah'!$H$4</f>
        <v>Umlegungen
WERT</v>
      </c>
      <c r="G2798" s="1547"/>
      <c r="H2798" s="1487"/>
    </row>
    <row r="2799" spans="2:8" ht="38.25" x14ac:dyDescent="0.2">
      <c r="B2799" s="1083">
        <f>'BewDifferenzen_Statut-Marktnah'!$A$1</f>
        <v>42</v>
      </c>
      <c r="C2799" s="1084" t="str">
        <f>'BewDifferenzen_Statut-Marktnah'!$B$1</f>
        <v>Differenzen zwischen statutarischer und marktnaher Bewertung</v>
      </c>
      <c r="D2799" s="1143" t="str">
        <f>'BewDifferenzen_Statut-Marktnah'!$C$136</f>
        <v>Aufteilung des Eigenkapitals</v>
      </c>
      <c r="E2799" s="1547" t="str">
        <f>'BewDifferenzen_Statut-Marktnah'!$E139</f>
        <v>dem Geschäft nach UVG zugeordnet</v>
      </c>
      <c r="F2799" s="1548" t="str">
        <f>'BewDifferenzen_Statut-Marktnah'!$H$4</f>
        <v>Umlegungen
WERT</v>
      </c>
      <c r="G2799" s="1547"/>
      <c r="H2799" s="1487"/>
    </row>
    <row r="2800" spans="2:8" x14ac:dyDescent="0.2">
      <c r="B2800" s="1083"/>
      <c r="C2800" s="1084"/>
      <c r="D2800" s="1143"/>
      <c r="E2800" s="1547"/>
      <c r="F2800" s="1548"/>
      <c r="G2800" s="1494"/>
      <c r="H2800" s="1061"/>
    </row>
    <row r="2801" spans="2:8" x14ac:dyDescent="0.2">
      <c r="B2801" s="1083"/>
      <c r="C2801" s="1084"/>
      <c r="D2801" s="1143"/>
      <c r="E2801" s="1547"/>
      <c r="F2801" s="1548"/>
      <c r="G2801" s="1494"/>
      <c r="H2801" s="1061"/>
    </row>
    <row r="2802" spans="2:8" x14ac:dyDescent="0.2">
      <c r="B2802" s="1083"/>
      <c r="C2802" s="1084"/>
      <c r="D2802" s="1143"/>
      <c r="E2802" s="1547"/>
      <c r="F2802" s="1548"/>
      <c r="G2802" s="1494"/>
      <c r="H2802" s="1061"/>
    </row>
    <row r="2803" spans="2:8" x14ac:dyDescent="0.2">
      <c r="B2803" s="1083"/>
      <c r="C2803" s="1084"/>
      <c r="D2803" s="1143"/>
      <c r="E2803" s="1547"/>
      <c r="F2803" s="1548"/>
      <c r="G2803" s="1494"/>
      <c r="H2803" s="1061"/>
    </row>
    <row r="2804" spans="2:8" ht="38.25" x14ac:dyDescent="0.2">
      <c r="B2804" s="1083">
        <f>'BewDifferenzen_Statut-Marktnah'!$A$1</f>
        <v>42</v>
      </c>
      <c r="C2804" s="1084" t="str">
        <f>'BewDifferenzen_Statut-Marktnah'!$B$1</f>
        <v>Differenzen zwischen statutarischer und marktnaher Bewertung</v>
      </c>
      <c r="D2804" s="1143" t="str">
        <f>'BewDifferenzen_Statut-Marktnah'!$D$13</f>
        <v>Grundstücke und Bauten</v>
      </c>
      <c r="E2804" s="1494"/>
      <c r="F2804" s="1548" t="str">
        <f>'BewDifferenzen_Statut-Marktnah'!$K$4</f>
        <v>Weitere Umlegungen</v>
      </c>
      <c r="G2804" s="1378"/>
      <c r="H2804" s="1069">
        <f>'BewDifferenzen_Statut-Marktnah'!$K13</f>
        <v>0</v>
      </c>
    </row>
    <row r="2805" spans="2:8" ht="38.25" x14ac:dyDescent="0.2">
      <c r="B2805" s="1083">
        <f>'BewDifferenzen_Statut-Marktnah'!$A$1</f>
        <v>42</v>
      </c>
      <c r="C2805" s="1084" t="str">
        <f>'BewDifferenzen_Statut-Marktnah'!$B$1</f>
        <v>Differenzen zwischen statutarischer und marktnaher Bewertung</v>
      </c>
      <c r="D2805" s="1143" t="str">
        <f>'BewDifferenzen_Statut-Marktnah'!$D$13</f>
        <v>Grundstücke und Bauten</v>
      </c>
      <c r="E2805" s="1547" t="str">
        <f>'BewDifferenzen_Statut-Marktnah'!$E14</f>
        <v>dem Geschäft nach KVG zugeordnet</v>
      </c>
      <c r="F2805" s="1548" t="str">
        <f>'BewDifferenzen_Statut-Marktnah'!$K$4</f>
        <v>Weitere Umlegungen</v>
      </c>
      <c r="G2805" s="1547"/>
      <c r="H2805" s="1144">
        <f>'BewDifferenzen_Statut-Marktnah'!$K14</f>
        <v>0</v>
      </c>
    </row>
    <row r="2806" spans="2:8" ht="38.25" x14ac:dyDescent="0.2">
      <c r="B2806" s="1083">
        <f>'BewDifferenzen_Statut-Marktnah'!$A$1</f>
        <v>42</v>
      </c>
      <c r="C2806" s="1084" t="str">
        <f>'BewDifferenzen_Statut-Marktnah'!$B$1</f>
        <v>Differenzen zwischen statutarischer und marktnaher Bewertung</v>
      </c>
      <c r="D2806" s="1143" t="str">
        <f>'BewDifferenzen_Statut-Marktnah'!$D$13</f>
        <v>Grundstücke und Bauten</v>
      </c>
      <c r="E2806" s="1547" t="str">
        <f>'BewDifferenzen_Statut-Marktnah'!$E15</f>
        <v>dem Geschäft nach VVG zugeordnet</v>
      </c>
      <c r="F2806" s="1548" t="str">
        <f>'BewDifferenzen_Statut-Marktnah'!$K$4</f>
        <v>Weitere Umlegungen</v>
      </c>
      <c r="G2806" s="1547"/>
      <c r="H2806" s="1144">
        <f>'BewDifferenzen_Statut-Marktnah'!$K15</f>
        <v>0</v>
      </c>
    </row>
    <row r="2807" spans="2:8" ht="38.25" x14ac:dyDescent="0.2">
      <c r="B2807" s="1083">
        <f>'BewDifferenzen_Statut-Marktnah'!$A$1</f>
        <v>42</v>
      </c>
      <c r="C2807" s="1084" t="str">
        <f>'BewDifferenzen_Statut-Marktnah'!$B$1</f>
        <v>Differenzen zwischen statutarischer und marktnaher Bewertung</v>
      </c>
      <c r="D2807" s="1143" t="str">
        <f>'BewDifferenzen_Statut-Marktnah'!$D$13</f>
        <v>Grundstücke und Bauten</v>
      </c>
      <c r="E2807" s="1547" t="str">
        <f>'BewDifferenzen_Statut-Marktnah'!$E16</f>
        <v>dem Geschäft nach UVG zugeordnet</v>
      </c>
      <c r="F2807" s="1548" t="str">
        <f>'BewDifferenzen_Statut-Marktnah'!$K$4</f>
        <v>Weitere Umlegungen</v>
      </c>
      <c r="G2807" s="1547"/>
      <c r="H2807" s="1144">
        <f>'BewDifferenzen_Statut-Marktnah'!$K16</f>
        <v>0</v>
      </c>
    </row>
    <row r="2808" spans="2:8" x14ac:dyDescent="0.2">
      <c r="B2808" s="1083"/>
      <c r="C2808" s="1084"/>
      <c r="D2808" s="1143"/>
      <c r="E2808" s="1547"/>
      <c r="F2808" s="1548"/>
      <c r="G2808" s="1547"/>
      <c r="H2808" s="1061"/>
    </row>
    <row r="2809" spans="2:8" ht="38.25" x14ac:dyDescent="0.2">
      <c r="B2809" s="1083">
        <f>'BewDifferenzen_Statut-Marktnah'!$A$1</f>
        <v>42</v>
      </c>
      <c r="C2809" s="1084" t="str">
        <f>'BewDifferenzen_Statut-Marktnah'!$B$1</f>
        <v>Differenzen zwischen statutarischer und marktnaher Bewertung</v>
      </c>
      <c r="D2809" s="1143" t="str">
        <f>'BewDifferenzen_Statut-Marktnah'!$D$18</f>
        <v>Obligationen</v>
      </c>
      <c r="E2809" s="1494"/>
      <c r="F2809" s="1548" t="str">
        <f>'BewDifferenzen_Statut-Marktnah'!$K$4</f>
        <v>Weitere Umlegungen</v>
      </c>
      <c r="G2809" s="1494"/>
      <c r="H2809" s="1062">
        <f>'BewDifferenzen_Statut-Marktnah'!$K18</f>
        <v>0</v>
      </c>
    </row>
    <row r="2810" spans="2:8" ht="38.25" x14ac:dyDescent="0.2">
      <c r="B2810" s="1083">
        <f>'BewDifferenzen_Statut-Marktnah'!$A$1</f>
        <v>42</v>
      </c>
      <c r="C2810" s="1084" t="str">
        <f>'BewDifferenzen_Statut-Marktnah'!$B$1</f>
        <v>Differenzen zwischen statutarischer und marktnaher Bewertung</v>
      </c>
      <c r="D2810" s="1143" t="str">
        <f>'BewDifferenzen_Statut-Marktnah'!$D$18</f>
        <v>Obligationen</v>
      </c>
      <c r="E2810" s="1547" t="str">
        <f>'BewDifferenzen_Statut-Marktnah'!$E19</f>
        <v>dem Geschäft nach KVG zugeordnet</v>
      </c>
      <c r="F2810" s="1548" t="str">
        <f>'BewDifferenzen_Statut-Marktnah'!$K$4</f>
        <v>Weitere Umlegungen</v>
      </c>
      <c r="G2810" s="1547"/>
      <c r="H2810" s="1144">
        <f>'BewDifferenzen_Statut-Marktnah'!$K19</f>
        <v>0</v>
      </c>
    </row>
    <row r="2811" spans="2:8" ht="38.25" x14ac:dyDescent="0.2">
      <c r="B2811" s="1083">
        <f>'BewDifferenzen_Statut-Marktnah'!$A$1</f>
        <v>42</v>
      </c>
      <c r="C2811" s="1084" t="str">
        <f>'BewDifferenzen_Statut-Marktnah'!$B$1</f>
        <v>Differenzen zwischen statutarischer und marktnaher Bewertung</v>
      </c>
      <c r="D2811" s="1143" t="str">
        <f>'BewDifferenzen_Statut-Marktnah'!$D$18</f>
        <v>Obligationen</v>
      </c>
      <c r="E2811" s="1547" t="str">
        <f>'BewDifferenzen_Statut-Marktnah'!$E20</f>
        <v>dem Geschäft nach VVG zugeordnet</v>
      </c>
      <c r="F2811" s="1548" t="str">
        <f>'BewDifferenzen_Statut-Marktnah'!$K$4</f>
        <v>Weitere Umlegungen</v>
      </c>
      <c r="G2811" s="1547"/>
      <c r="H2811" s="1144">
        <f>'BewDifferenzen_Statut-Marktnah'!$K20</f>
        <v>0</v>
      </c>
    </row>
    <row r="2812" spans="2:8" ht="38.25" x14ac:dyDescent="0.2">
      <c r="B2812" s="1083">
        <f>'BewDifferenzen_Statut-Marktnah'!$A$1</f>
        <v>42</v>
      </c>
      <c r="C2812" s="1084" t="str">
        <f>'BewDifferenzen_Statut-Marktnah'!$B$1</f>
        <v>Differenzen zwischen statutarischer und marktnaher Bewertung</v>
      </c>
      <c r="D2812" s="1143" t="str">
        <f>'BewDifferenzen_Statut-Marktnah'!$D$18</f>
        <v>Obligationen</v>
      </c>
      <c r="E2812" s="1547" t="str">
        <f>'BewDifferenzen_Statut-Marktnah'!$E21</f>
        <v>dem Geschäft nach UVG zugeordnet</v>
      </c>
      <c r="F2812" s="1548" t="str">
        <f>'BewDifferenzen_Statut-Marktnah'!$K$4</f>
        <v>Weitere Umlegungen</v>
      </c>
      <c r="G2812" s="1547"/>
      <c r="H2812" s="1144">
        <f>'BewDifferenzen_Statut-Marktnah'!$K21</f>
        <v>0</v>
      </c>
    </row>
    <row r="2813" spans="2:8" x14ac:dyDescent="0.2">
      <c r="B2813" s="1083"/>
      <c r="C2813" s="1084"/>
      <c r="D2813" s="1143"/>
      <c r="E2813" s="1547"/>
      <c r="F2813" s="1548"/>
      <c r="G2813" s="1547"/>
      <c r="H2813" s="1061"/>
    </row>
    <row r="2814" spans="2:8" ht="38.25" x14ac:dyDescent="0.2">
      <c r="B2814" s="1083">
        <f>'BewDifferenzen_Statut-Marktnah'!$A$1</f>
        <v>42</v>
      </c>
      <c r="C2814" s="1084" t="str">
        <f>'BewDifferenzen_Statut-Marktnah'!$B$1</f>
        <v>Differenzen zwischen statutarischer und marktnaher Bewertung</v>
      </c>
      <c r="D2814" s="1143" t="str">
        <f>'BewDifferenzen_Statut-Marktnah'!$D$23</f>
        <v>Aktien und ähnliche Anlagen</v>
      </c>
      <c r="E2814" s="1494"/>
      <c r="F2814" s="1548" t="str">
        <f>'BewDifferenzen_Statut-Marktnah'!$K$4</f>
        <v>Weitere Umlegungen</v>
      </c>
      <c r="G2814" s="1494"/>
      <c r="H2814" s="1062">
        <f>'BewDifferenzen_Statut-Marktnah'!$K23</f>
        <v>0</v>
      </c>
    </row>
    <row r="2815" spans="2:8" ht="38.25" x14ac:dyDescent="0.2">
      <c r="B2815" s="1083">
        <f>'BewDifferenzen_Statut-Marktnah'!$A$1</f>
        <v>42</v>
      </c>
      <c r="C2815" s="1084" t="str">
        <f>'BewDifferenzen_Statut-Marktnah'!$B$1</f>
        <v>Differenzen zwischen statutarischer und marktnaher Bewertung</v>
      </c>
      <c r="D2815" s="1143" t="str">
        <f>'BewDifferenzen_Statut-Marktnah'!$D$23</f>
        <v>Aktien und ähnliche Anlagen</v>
      </c>
      <c r="E2815" s="1547" t="str">
        <f>'BewDifferenzen_Statut-Marktnah'!$E24</f>
        <v>dem Geschäft nach KVG zugeordnet</v>
      </c>
      <c r="F2815" s="1548" t="str">
        <f>'BewDifferenzen_Statut-Marktnah'!$K$4</f>
        <v>Weitere Umlegungen</v>
      </c>
      <c r="G2815" s="1547"/>
      <c r="H2815" s="1144">
        <f>'BewDifferenzen_Statut-Marktnah'!$K24</f>
        <v>0</v>
      </c>
    </row>
    <row r="2816" spans="2:8" ht="38.25" x14ac:dyDescent="0.2">
      <c r="B2816" s="1083">
        <f>'BewDifferenzen_Statut-Marktnah'!$A$1</f>
        <v>42</v>
      </c>
      <c r="C2816" s="1084" t="str">
        <f>'BewDifferenzen_Statut-Marktnah'!$B$1</f>
        <v>Differenzen zwischen statutarischer und marktnaher Bewertung</v>
      </c>
      <c r="D2816" s="1143" t="str">
        <f>'BewDifferenzen_Statut-Marktnah'!$D$23</f>
        <v>Aktien und ähnliche Anlagen</v>
      </c>
      <c r="E2816" s="1547" t="str">
        <f>'BewDifferenzen_Statut-Marktnah'!$E25</f>
        <v>dem Geschäft nach VVG zugeordnet</v>
      </c>
      <c r="F2816" s="1548" t="str">
        <f>'BewDifferenzen_Statut-Marktnah'!$K$4</f>
        <v>Weitere Umlegungen</v>
      </c>
      <c r="G2816" s="1547"/>
      <c r="H2816" s="1144">
        <f>'BewDifferenzen_Statut-Marktnah'!$K25</f>
        <v>0</v>
      </c>
    </row>
    <row r="2817" spans="2:8" ht="38.25" x14ac:dyDescent="0.2">
      <c r="B2817" s="1083">
        <f>'BewDifferenzen_Statut-Marktnah'!$A$1</f>
        <v>42</v>
      </c>
      <c r="C2817" s="1084" t="str">
        <f>'BewDifferenzen_Statut-Marktnah'!$B$1</f>
        <v>Differenzen zwischen statutarischer und marktnaher Bewertung</v>
      </c>
      <c r="D2817" s="1143" t="str">
        <f>'BewDifferenzen_Statut-Marktnah'!$D$23</f>
        <v>Aktien und ähnliche Anlagen</v>
      </c>
      <c r="E2817" s="1547" t="str">
        <f>'BewDifferenzen_Statut-Marktnah'!$E26</f>
        <v>dem Geschäft nach UVG zugeordnet</v>
      </c>
      <c r="F2817" s="1548" t="str">
        <f>'BewDifferenzen_Statut-Marktnah'!$K$4</f>
        <v>Weitere Umlegungen</v>
      </c>
      <c r="G2817" s="1547"/>
      <c r="H2817" s="1144">
        <f>'BewDifferenzen_Statut-Marktnah'!$K26</f>
        <v>0</v>
      </c>
    </row>
    <row r="2818" spans="2:8" x14ac:dyDescent="0.2">
      <c r="B2818" s="1083"/>
      <c r="C2818" s="1084"/>
      <c r="D2818" s="1143"/>
      <c r="E2818" s="1547"/>
      <c r="F2818" s="1548"/>
      <c r="G2818" s="1547"/>
      <c r="H2818" s="1061"/>
    </row>
    <row r="2819" spans="2:8" ht="38.25" x14ac:dyDescent="0.2">
      <c r="B2819" s="1083">
        <f>'BewDifferenzen_Statut-Marktnah'!$A$1</f>
        <v>42</v>
      </c>
      <c r="C2819" s="1084" t="str">
        <f>'BewDifferenzen_Statut-Marktnah'!$B$1</f>
        <v>Differenzen zwischen statutarischer und marktnaher Bewertung</v>
      </c>
      <c r="D2819" s="1143" t="str">
        <f>'BewDifferenzen_Statut-Marktnah'!$D$28</f>
        <v>Anteile an Anlagefonds</v>
      </c>
      <c r="E2819" s="1494"/>
      <c r="F2819" s="1548" t="str">
        <f>'BewDifferenzen_Statut-Marktnah'!$K$4</f>
        <v>Weitere Umlegungen</v>
      </c>
      <c r="G2819" s="1494"/>
      <c r="H2819" s="1062">
        <f>'BewDifferenzen_Statut-Marktnah'!$K28</f>
        <v>0</v>
      </c>
    </row>
    <row r="2820" spans="2:8" ht="38.25" x14ac:dyDescent="0.2">
      <c r="B2820" s="1083">
        <f>'BewDifferenzen_Statut-Marktnah'!$A$1</f>
        <v>42</v>
      </c>
      <c r="C2820" s="1084" t="str">
        <f>'BewDifferenzen_Statut-Marktnah'!$B$1</f>
        <v>Differenzen zwischen statutarischer und marktnaher Bewertung</v>
      </c>
      <c r="D2820" s="1143" t="str">
        <f>'BewDifferenzen_Statut-Marktnah'!$D$28</f>
        <v>Anteile an Anlagefonds</v>
      </c>
      <c r="E2820" s="1547" t="str">
        <f>'BewDifferenzen_Statut-Marktnah'!$E29</f>
        <v>dem Geschäft nach KVG zugeordnet</v>
      </c>
      <c r="F2820" s="1548" t="str">
        <f>'BewDifferenzen_Statut-Marktnah'!$K$4</f>
        <v>Weitere Umlegungen</v>
      </c>
      <c r="G2820" s="1547"/>
      <c r="H2820" s="1144">
        <f>'BewDifferenzen_Statut-Marktnah'!$K29</f>
        <v>0</v>
      </c>
    </row>
    <row r="2821" spans="2:8" ht="38.25" x14ac:dyDescent="0.2">
      <c r="B2821" s="1083">
        <f>'BewDifferenzen_Statut-Marktnah'!$A$1</f>
        <v>42</v>
      </c>
      <c r="C2821" s="1084" t="str">
        <f>'BewDifferenzen_Statut-Marktnah'!$B$1</f>
        <v>Differenzen zwischen statutarischer und marktnaher Bewertung</v>
      </c>
      <c r="D2821" s="1143" t="str">
        <f>'BewDifferenzen_Statut-Marktnah'!$D$28</f>
        <v>Anteile an Anlagefonds</v>
      </c>
      <c r="E2821" s="1547" t="str">
        <f>'BewDifferenzen_Statut-Marktnah'!$E30</f>
        <v>dem Geschäft nach VVG zugeordnet</v>
      </c>
      <c r="F2821" s="1548" t="str">
        <f>'BewDifferenzen_Statut-Marktnah'!$K$4</f>
        <v>Weitere Umlegungen</v>
      </c>
      <c r="G2821" s="1547"/>
      <c r="H2821" s="1144">
        <f>'BewDifferenzen_Statut-Marktnah'!$K30</f>
        <v>0</v>
      </c>
    </row>
    <row r="2822" spans="2:8" ht="38.25" x14ac:dyDescent="0.2">
      <c r="B2822" s="1083">
        <f>'BewDifferenzen_Statut-Marktnah'!$A$1</f>
        <v>42</v>
      </c>
      <c r="C2822" s="1084" t="str">
        <f>'BewDifferenzen_Statut-Marktnah'!$B$1</f>
        <v>Differenzen zwischen statutarischer und marktnaher Bewertung</v>
      </c>
      <c r="D2822" s="1143" t="str">
        <f>'BewDifferenzen_Statut-Marktnah'!$D$28</f>
        <v>Anteile an Anlagefonds</v>
      </c>
      <c r="E2822" s="1547" t="str">
        <f>'BewDifferenzen_Statut-Marktnah'!$E31</f>
        <v>dem Geschäft nach UVG zugeordnet</v>
      </c>
      <c r="F2822" s="1548" t="str">
        <f>'BewDifferenzen_Statut-Marktnah'!$K$4</f>
        <v>Weitere Umlegungen</v>
      </c>
      <c r="G2822" s="1547"/>
      <c r="H2822" s="1144">
        <f>'BewDifferenzen_Statut-Marktnah'!$K31</f>
        <v>0</v>
      </c>
    </row>
    <row r="2823" spans="2:8" x14ac:dyDescent="0.2">
      <c r="B2823" s="1083"/>
      <c r="C2823" s="1084"/>
      <c r="D2823" s="1143"/>
      <c r="E2823" s="1547"/>
      <c r="F2823" s="1548"/>
      <c r="G2823" s="1547"/>
      <c r="H2823" s="1061"/>
    </row>
    <row r="2824" spans="2:8" ht="38.25" x14ac:dyDescent="0.2">
      <c r="B2824" s="1083">
        <f>'BewDifferenzen_Statut-Marktnah'!$A$1</f>
        <v>42</v>
      </c>
      <c r="C2824" s="1084" t="str">
        <f>'BewDifferenzen_Statut-Marktnah'!$B$1</f>
        <v>Differenzen zwischen statutarischer und marktnaher Bewertung</v>
      </c>
      <c r="D2824" s="1143" t="str">
        <f>'BewDifferenzen_Statut-Marktnah'!$D$33</f>
        <v>Derivative Finanzinstrumente (Guthaben)</v>
      </c>
      <c r="E2824" s="1494"/>
      <c r="F2824" s="1548" t="str">
        <f>'BewDifferenzen_Statut-Marktnah'!$K$4</f>
        <v>Weitere Umlegungen</v>
      </c>
      <c r="G2824" s="1494"/>
      <c r="H2824" s="1062">
        <f>'BewDifferenzen_Statut-Marktnah'!$K33</f>
        <v>0</v>
      </c>
    </row>
    <row r="2825" spans="2:8" ht="38.25" x14ac:dyDescent="0.2">
      <c r="B2825" s="1083">
        <f>'BewDifferenzen_Statut-Marktnah'!$A$1</f>
        <v>42</v>
      </c>
      <c r="C2825" s="1084" t="str">
        <f>'BewDifferenzen_Statut-Marktnah'!$B$1</f>
        <v>Differenzen zwischen statutarischer und marktnaher Bewertung</v>
      </c>
      <c r="D2825" s="1143" t="str">
        <f>'BewDifferenzen_Statut-Marktnah'!$D$33</f>
        <v>Derivative Finanzinstrumente (Guthaben)</v>
      </c>
      <c r="E2825" s="1547" t="str">
        <f>'BewDifferenzen_Statut-Marktnah'!$E34</f>
        <v>dem Geschäft nach KVG zugeordnet</v>
      </c>
      <c r="F2825" s="1548" t="str">
        <f>'BewDifferenzen_Statut-Marktnah'!$K$4</f>
        <v>Weitere Umlegungen</v>
      </c>
      <c r="G2825" s="1547"/>
      <c r="H2825" s="1144">
        <f>'BewDifferenzen_Statut-Marktnah'!$K34</f>
        <v>0</v>
      </c>
    </row>
    <row r="2826" spans="2:8" ht="38.25" x14ac:dyDescent="0.2">
      <c r="B2826" s="1083">
        <f>'BewDifferenzen_Statut-Marktnah'!$A$1</f>
        <v>42</v>
      </c>
      <c r="C2826" s="1084" t="str">
        <f>'BewDifferenzen_Statut-Marktnah'!$B$1</f>
        <v>Differenzen zwischen statutarischer und marktnaher Bewertung</v>
      </c>
      <c r="D2826" s="1143" t="str">
        <f>'BewDifferenzen_Statut-Marktnah'!$D$33</f>
        <v>Derivative Finanzinstrumente (Guthaben)</v>
      </c>
      <c r="E2826" s="1547" t="str">
        <f>'BewDifferenzen_Statut-Marktnah'!$E35</f>
        <v>dem Geschäft nach VVG zugeordnet</v>
      </c>
      <c r="F2826" s="1548" t="str">
        <f>'BewDifferenzen_Statut-Marktnah'!$K$4</f>
        <v>Weitere Umlegungen</v>
      </c>
      <c r="G2826" s="1547"/>
      <c r="H2826" s="1144">
        <f>'BewDifferenzen_Statut-Marktnah'!$K35</f>
        <v>0</v>
      </c>
    </row>
    <row r="2827" spans="2:8" ht="38.25" x14ac:dyDescent="0.2">
      <c r="B2827" s="1083">
        <f>'BewDifferenzen_Statut-Marktnah'!$A$1</f>
        <v>42</v>
      </c>
      <c r="C2827" s="1084" t="str">
        <f>'BewDifferenzen_Statut-Marktnah'!$B$1</f>
        <v>Differenzen zwischen statutarischer und marktnaher Bewertung</v>
      </c>
      <c r="D2827" s="1143" t="str">
        <f>'BewDifferenzen_Statut-Marktnah'!$D$33</f>
        <v>Derivative Finanzinstrumente (Guthaben)</v>
      </c>
      <c r="E2827" s="1547" t="str">
        <f>'BewDifferenzen_Statut-Marktnah'!$E36</f>
        <v>dem Geschäft nach UVG zugeordnet</v>
      </c>
      <c r="F2827" s="1548" t="str">
        <f>'BewDifferenzen_Statut-Marktnah'!$K$4</f>
        <v>Weitere Umlegungen</v>
      </c>
      <c r="G2827" s="1547"/>
      <c r="H2827" s="1144">
        <f>'BewDifferenzen_Statut-Marktnah'!$K36</f>
        <v>0</v>
      </c>
    </row>
    <row r="2828" spans="2:8" x14ac:dyDescent="0.2">
      <c r="B2828" s="1083"/>
      <c r="C2828" s="1084"/>
      <c r="D2828" s="1143"/>
      <c r="E2828" s="1547"/>
      <c r="F2828" s="1548"/>
      <c r="G2828" s="1547"/>
      <c r="H2828" s="1061"/>
    </row>
    <row r="2829" spans="2:8" ht="38.25" x14ac:dyDescent="0.2">
      <c r="B2829" s="1083">
        <f>'BewDifferenzen_Statut-Marktnah'!$A$1</f>
        <v>42</v>
      </c>
      <c r="C2829" s="1084" t="str">
        <f>'BewDifferenzen_Statut-Marktnah'!$B$1</f>
        <v>Differenzen zwischen statutarischer und marktnaher Bewertung</v>
      </c>
      <c r="D2829" s="1143" t="str">
        <f>'BewDifferenzen_Statut-Marktnah'!$D$38</f>
        <v>Liquide Mittel</v>
      </c>
      <c r="E2829" s="1494"/>
      <c r="F2829" s="1548" t="str">
        <f>'BewDifferenzen_Statut-Marktnah'!$K$4</f>
        <v>Weitere Umlegungen</v>
      </c>
      <c r="G2829" s="1494"/>
      <c r="H2829" s="1062">
        <f>'BewDifferenzen_Statut-Marktnah'!$K38</f>
        <v>0</v>
      </c>
    </row>
    <row r="2830" spans="2:8" ht="38.25" x14ac:dyDescent="0.2">
      <c r="B2830" s="1083">
        <f>'BewDifferenzen_Statut-Marktnah'!$A$1</f>
        <v>42</v>
      </c>
      <c r="C2830" s="1084" t="str">
        <f>'BewDifferenzen_Statut-Marktnah'!$B$1</f>
        <v>Differenzen zwischen statutarischer und marktnaher Bewertung</v>
      </c>
      <c r="D2830" s="1143" t="str">
        <f>'BewDifferenzen_Statut-Marktnah'!$D$38</f>
        <v>Liquide Mittel</v>
      </c>
      <c r="E2830" s="1547" t="str">
        <f>'BewDifferenzen_Statut-Marktnah'!$E39</f>
        <v>dem Geschäft nach KVG zugeordnet</v>
      </c>
      <c r="F2830" s="1548" t="str">
        <f>'BewDifferenzen_Statut-Marktnah'!$K$4</f>
        <v>Weitere Umlegungen</v>
      </c>
      <c r="G2830" s="1547"/>
      <c r="H2830" s="1144">
        <f>'BewDifferenzen_Statut-Marktnah'!$K39</f>
        <v>0</v>
      </c>
    </row>
    <row r="2831" spans="2:8" ht="38.25" x14ac:dyDescent="0.2">
      <c r="B2831" s="1083">
        <f>'BewDifferenzen_Statut-Marktnah'!$A$1</f>
        <v>42</v>
      </c>
      <c r="C2831" s="1084" t="str">
        <f>'BewDifferenzen_Statut-Marktnah'!$B$1</f>
        <v>Differenzen zwischen statutarischer und marktnaher Bewertung</v>
      </c>
      <c r="D2831" s="1143" t="str">
        <f>'BewDifferenzen_Statut-Marktnah'!$D$38</f>
        <v>Liquide Mittel</v>
      </c>
      <c r="E2831" s="1547" t="str">
        <f>'BewDifferenzen_Statut-Marktnah'!$E40</f>
        <v>dem Geschäft nach VVG zugeordnet</v>
      </c>
      <c r="F2831" s="1548" t="str">
        <f>'BewDifferenzen_Statut-Marktnah'!$K$4</f>
        <v>Weitere Umlegungen</v>
      </c>
      <c r="G2831" s="1547"/>
      <c r="H2831" s="1144">
        <f>'BewDifferenzen_Statut-Marktnah'!$K40</f>
        <v>0</v>
      </c>
    </row>
    <row r="2832" spans="2:8" ht="38.25" x14ac:dyDescent="0.2">
      <c r="B2832" s="1083">
        <f>'BewDifferenzen_Statut-Marktnah'!$A$1</f>
        <v>42</v>
      </c>
      <c r="C2832" s="1084" t="str">
        <f>'BewDifferenzen_Statut-Marktnah'!$B$1</f>
        <v>Differenzen zwischen statutarischer und marktnaher Bewertung</v>
      </c>
      <c r="D2832" s="1143" t="str">
        <f>'BewDifferenzen_Statut-Marktnah'!$D$38</f>
        <v>Liquide Mittel</v>
      </c>
      <c r="E2832" s="1547" t="str">
        <f>'BewDifferenzen_Statut-Marktnah'!$E41</f>
        <v>dem Geschäft nach UVG zugeordnet</v>
      </c>
      <c r="F2832" s="1548" t="str">
        <f>'BewDifferenzen_Statut-Marktnah'!$K$4</f>
        <v>Weitere Umlegungen</v>
      </c>
      <c r="G2832" s="1547"/>
      <c r="H2832" s="1144">
        <f>'BewDifferenzen_Statut-Marktnah'!$K41</f>
        <v>0</v>
      </c>
    </row>
    <row r="2833" spans="2:8" x14ac:dyDescent="0.2">
      <c r="B2833" s="1083"/>
      <c r="C2833" s="1084"/>
      <c r="D2833" s="1143"/>
      <c r="E2833" s="1547"/>
      <c r="F2833" s="1548"/>
      <c r="G2833" s="1547"/>
      <c r="H2833" s="1061"/>
    </row>
    <row r="2834" spans="2:8" ht="38.25" x14ac:dyDescent="0.2">
      <c r="B2834" s="1083">
        <f>'BewDifferenzen_Statut-Marktnah'!$A$1</f>
        <v>42</v>
      </c>
      <c r="C2834" s="1084" t="str">
        <f>'BewDifferenzen_Statut-Marktnah'!$B$1</f>
        <v>Differenzen zwischen statutarischer und marktnaher Bewertung</v>
      </c>
      <c r="D2834" s="1143" t="str">
        <f>'BewDifferenzen_Statut-Marktnah'!$D$43</f>
        <v>Anlagen in Institutionen, die der Durchführung der sozialen Krankenversicherung dienen</v>
      </c>
      <c r="E2834" s="1494"/>
      <c r="F2834" s="1548" t="str">
        <f>'BewDifferenzen_Statut-Marktnah'!$K$4</f>
        <v>Weitere Umlegungen</v>
      </c>
      <c r="G2834" s="1494"/>
      <c r="H2834" s="1062">
        <f>'BewDifferenzen_Statut-Marktnah'!$K43</f>
        <v>0</v>
      </c>
    </row>
    <row r="2835" spans="2:8" ht="38.25" x14ac:dyDescent="0.2">
      <c r="B2835" s="1083">
        <f>'BewDifferenzen_Statut-Marktnah'!$A$1</f>
        <v>42</v>
      </c>
      <c r="C2835" s="1084" t="str">
        <f>'BewDifferenzen_Statut-Marktnah'!$B$1</f>
        <v>Differenzen zwischen statutarischer und marktnaher Bewertung</v>
      </c>
      <c r="D2835" s="1143" t="str">
        <f>'BewDifferenzen_Statut-Marktnah'!$D$43</f>
        <v>Anlagen in Institutionen, die der Durchführung der sozialen Krankenversicherung dienen</v>
      </c>
      <c r="E2835" s="1547" t="str">
        <f>'BewDifferenzen_Statut-Marktnah'!$E44</f>
        <v>dem Geschäft nach KVG zugeordnet</v>
      </c>
      <c r="F2835" s="1548" t="str">
        <f>'BewDifferenzen_Statut-Marktnah'!$K$4</f>
        <v>Weitere Umlegungen</v>
      </c>
      <c r="G2835" s="1547"/>
      <c r="H2835" s="1144">
        <f>'BewDifferenzen_Statut-Marktnah'!$K44</f>
        <v>0</v>
      </c>
    </row>
    <row r="2836" spans="2:8" ht="38.25" x14ac:dyDescent="0.2">
      <c r="B2836" s="1083">
        <f>'BewDifferenzen_Statut-Marktnah'!$A$1</f>
        <v>42</v>
      </c>
      <c r="C2836" s="1084" t="str">
        <f>'BewDifferenzen_Statut-Marktnah'!$B$1</f>
        <v>Differenzen zwischen statutarischer und marktnaher Bewertung</v>
      </c>
      <c r="D2836" s="1143" t="str">
        <f>'BewDifferenzen_Statut-Marktnah'!$D$43</f>
        <v>Anlagen in Institutionen, die der Durchführung der sozialen Krankenversicherung dienen</v>
      </c>
      <c r="E2836" s="1547" t="str">
        <f>'BewDifferenzen_Statut-Marktnah'!$E45</f>
        <v>dem Geschäft nach VVG zugeordnet</v>
      </c>
      <c r="F2836" s="1548" t="str">
        <f>'BewDifferenzen_Statut-Marktnah'!$K$4</f>
        <v>Weitere Umlegungen</v>
      </c>
      <c r="G2836" s="1547"/>
      <c r="H2836" s="1144">
        <f>'BewDifferenzen_Statut-Marktnah'!$K45</f>
        <v>0</v>
      </c>
    </row>
    <row r="2837" spans="2:8" ht="38.25" x14ac:dyDescent="0.2">
      <c r="B2837" s="1083">
        <f>'BewDifferenzen_Statut-Marktnah'!$A$1</f>
        <v>42</v>
      </c>
      <c r="C2837" s="1084" t="str">
        <f>'BewDifferenzen_Statut-Marktnah'!$B$1</f>
        <v>Differenzen zwischen statutarischer und marktnaher Bewertung</v>
      </c>
      <c r="D2837" s="1143" t="str">
        <f>'BewDifferenzen_Statut-Marktnah'!$D$43</f>
        <v>Anlagen in Institutionen, die der Durchführung der sozialen Krankenversicherung dienen</v>
      </c>
      <c r="E2837" s="1547" t="str">
        <f>'BewDifferenzen_Statut-Marktnah'!$E46</f>
        <v>dem Geschäft nach UVG zugeordnet</v>
      </c>
      <c r="F2837" s="1548" t="str">
        <f>'BewDifferenzen_Statut-Marktnah'!$K$4</f>
        <v>Weitere Umlegungen</v>
      </c>
      <c r="G2837" s="1547"/>
      <c r="H2837" s="1144">
        <f>'BewDifferenzen_Statut-Marktnah'!$K46</f>
        <v>0</v>
      </c>
    </row>
    <row r="2838" spans="2:8" x14ac:dyDescent="0.2">
      <c r="B2838" s="1083"/>
      <c r="C2838" s="1084"/>
      <c r="D2838" s="1143"/>
      <c r="E2838" s="1547"/>
      <c r="F2838" s="1548"/>
      <c r="G2838" s="1547"/>
      <c r="H2838" s="1061"/>
    </row>
    <row r="2839" spans="2:8" ht="38.25" x14ac:dyDescent="0.2">
      <c r="B2839" s="1083">
        <f>'BewDifferenzen_Statut-Marktnah'!$A$1</f>
        <v>42</v>
      </c>
      <c r="C2839" s="1084" t="str">
        <f>'BewDifferenzen_Statut-Marktnah'!$B$1</f>
        <v>Differenzen zwischen statutarischer und marktnaher Bewertung</v>
      </c>
      <c r="D2839" s="1143" t="str">
        <f>'BewDifferenzen_Statut-Marktnah'!$D$48</f>
        <v>Übrige Kapitalanlagen (Latente Steuern, Aktiven aus Vorsorgeplänen)</v>
      </c>
      <c r="E2839" s="1494"/>
      <c r="F2839" s="1548" t="str">
        <f>'BewDifferenzen_Statut-Marktnah'!$K$4</f>
        <v>Weitere Umlegungen</v>
      </c>
      <c r="G2839" s="1494"/>
      <c r="H2839" s="1062">
        <f>'BewDifferenzen_Statut-Marktnah'!$K48</f>
        <v>0</v>
      </c>
    </row>
    <row r="2840" spans="2:8" ht="38.25" x14ac:dyDescent="0.2">
      <c r="B2840" s="1083">
        <f>'BewDifferenzen_Statut-Marktnah'!$A$1</f>
        <v>42</v>
      </c>
      <c r="C2840" s="1084" t="str">
        <f>'BewDifferenzen_Statut-Marktnah'!$B$1</f>
        <v>Differenzen zwischen statutarischer und marktnaher Bewertung</v>
      </c>
      <c r="D2840" s="1143" t="str">
        <f>'BewDifferenzen_Statut-Marktnah'!$D$48</f>
        <v>Übrige Kapitalanlagen (Latente Steuern, Aktiven aus Vorsorgeplänen)</v>
      </c>
      <c r="E2840" s="1547" t="str">
        <f>'BewDifferenzen_Statut-Marktnah'!$E49</f>
        <v>dem Geschäft nach KVG zugeordnet</v>
      </c>
      <c r="F2840" s="1548" t="str">
        <f>'BewDifferenzen_Statut-Marktnah'!$K$4</f>
        <v>Weitere Umlegungen</v>
      </c>
      <c r="G2840" s="1547"/>
      <c r="H2840" s="1144">
        <f>'BewDifferenzen_Statut-Marktnah'!$K49</f>
        <v>0</v>
      </c>
    </row>
    <row r="2841" spans="2:8" ht="38.25" x14ac:dyDescent="0.2">
      <c r="B2841" s="1083">
        <f>'BewDifferenzen_Statut-Marktnah'!$A$1</f>
        <v>42</v>
      </c>
      <c r="C2841" s="1084" t="str">
        <f>'BewDifferenzen_Statut-Marktnah'!$B$1</f>
        <v>Differenzen zwischen statutarischer und marktnaher Bewertung</v>
      </c>
      <c r="D2841" s="1143" t="str">
        <f>'BewDifferenzen_Statut-Marktnah'!$D$48</f>
        <v>Übrige Kapitalanlagen (Latente Steuern, Aktiven aus Vorsorgeplänen)</v>
      </c>
      <c r="E2841" s="1547" t="str">
        <f>'BewDifferenzen_Statut-Marktnah'!$E50</f>
        <v>dem Geschäft nach VVG zugeordnet</v>
      </c>
      <c r="F2841" s="1548" t="str">
        <f>'BewDifferenzen_Statut-Marktnah'!$K$4</f>
        <v>Weitere Umlegungen</v>
      </c>
      <c r="G2841" s="1547"/>
      <c r="H2841" s="1144">
        <f>'BewDifferenzen_Statut-Marktnah'!$K50</f>
        <v>0</v>
      </c>
    </row>
    <row r="2842" spans="2:8" ht="38.25" x14ac:dyDescent="0.2">
      <c r="B2842" s="1083">
        <f>'BewDifferenzen_Statut-Marktnah'!$A$1</f>
        <v>42</v>
      </c>
      <c r="C2842" s="1084" t="str">
        <f>'BewDifferenzen_Statut-Marktnah'!$B$1</f>
        <v>Differenzen zwischen statutarischer und marktnaher Bewertung</v>
      </c>
      <c r="D2842" s="1143" t="str">
        <f>'BewDifferenzen_Statut-Marktnah'!$D$48</f>
        <v>Übrige Kapitalanlagen (Latente Steuern, Aktiven aus Vorsorgeplänen)</v>
      </c>
      <c r="E2842" s="1547" t="str">
        <f>'BewDifferenzen_Statut-Marktnah'!$E51</f>
        <v>dem Geschäft nach UVG zugeordnet</v>
      </c>
      <c r="F2842" s="1548" t="str">
        <f>'BewDifferenzen_Statut-Marktnah'!$K$4</f>
        <v>Weitere Umlegungen</v>
      </c>
      <c r="G2842" s="1547"/>
      <c r="H2842" s="1144">
        <f>'BewDifferenzen_Statut-Marktnah'!$K51</f>
        <v>0</v>
      </c>
    </row>
    <row r="2843" spans="2:8" x14ac:dyDescent="0.2">
      <c r="B2843" s="1083"/>
      <c r="C2843" s="1084"/>
      <c r="D2843" s="1143"/>
      <c r="E2843" s="1547"/>
      <c r="F2843" s="1548"/>
      <c r="G2843" s="1547"/>
      <c r="H2843" s="1061"/>
    </row>
    <row r="2844" spans="2:8" ht="38.25" x14ac:dyDescent="0.2">
      <c r="B2844" s="1083">
        <f>'BewDifferenzen_Statut-Marktnah'!$A$1</f>
        <v>42</v>
      </c>
      <c r="C2844" s="1084" t="str">
        <f>'BewDifferenzen_Statut-Marktnah'!$B$1</f>
        <v>Differenzen zwischen statutarischer und marktnaher Bewertung</v>
      </c>
      <c r="D2844" s="1143" t="str">
        <f>'BewDifferenzen_Statut-Marktnah'!$D$53</f>
        <v>Total Kapitalanlagen</v>
      </c>
      <c r="E2844" s="1494"/>
      <c r="F2844" s="1548" t="str">
        <f>'BewDifferenzen_Statut-Marktnah'!$K$4</f>
        <v>Weitere Umlegungen</v>
      </c>
      <c r="G2844" s="1494"/>
      <c r="H2844" s="1065">
        <f>'BewDifferenzen_Statut-Marktnah'!$K53</f>
        <v>0</v>
      </c>
    </row>
    <row r="2845" spans="2:8" x14ac:dyDescent="0.2">
      <c r="B2845" s="1083"/>
      <c r="C2845" s="1084"/>
      <c r="D2845" s="1143"/>
      <c r="E2845" s="1547"/>
      <c r="F2845" s="1548"/>
      <c r="G2845" s="1547"/>
      <c r="H2845" s="1061"/>
    </row>
    <row r="2846" spans="2:8" ht="38.25" x14ac:dyDescent="0.2">
      <c r="B2846" s="1083">
        <f>'BewDifferenzen_Statut-Marktnah'!$A$1</f>
        <v>42</v>
      </c>
      <c r="C2846" s="1084" t="str">
        <f>'BewDifferenzen_Statut-Marktnah'!$B$1</f>
        <v>Differenzen zwischen statutarischer und marktnaher Bewertung</v>
      </c>
      <c r="D2846" s="1143" t="str">
        <f>'BewDifferenzen_Statut-Marktnah'!$D$57</f>
        <v>Übriges Anlagevermögen (Immaterielle Anlagen, Sachanlagen)</v>
      </c>
      <c r="E2846" s="1494"/>
      <c r="F2846" s="1548" t="str">
        <f>'BewDifferenzen_Statut-Marktnah'!$K$4</f>
        <v>Weitere Umlegungen</v>
      </c>
      <c r="G2846" s="1494"/>
      <c r="H2846" s="1062">
        <f>'BewDifferenzen_Statut-Marktnah'!$K57</f>
        <v>0</v>
      </c>
    </row>
    <row r="2847" spans="2:8" ht="38.25" x14ac:dyDescent="0.2">
      <c r="B2847" s="1083">
        <f>'BewDifferenzen_Statut-Marktnah'!$A$1</f>
        <v>42</v>
      </c>
      <c r="C2847" s="1084" t="str">
        <f>'BewDifferenzen_Statut-Marktnah'!$B$1</f>
        <v>Differenzen zwischen statutarischer und marktnaher Bewertung</v>
      </c>
      <c r="D2847" s="1143" t="str">
        <f>'BewDifferenzen_Statut-Marktnah'!$D$57</f>
        <v>Übriges Anlagevermögen (Immaterielle Anlagen, Sachanlagen)</v>
      </c>
      <c r="E2847" s="1547" t="str">
        <f>'BewDifferenzen_Statut-Marktnah'!$E58</f>
        <v>dem Geschäft nach KVG zugeordnet</v>
      </c>
      <c r="F2847" s="1548" t="str">
        <f>'BewDifferenzen_Statut-Marktnah'!$K$4</f>
        <v>Weitere Umlegungen</v>
      </c>
      <c r="G2847" s="1547"/>
      <c r="H2847" s="1144">
        <f>'BewDifferenzen_Statut-Marktnah'!$K58</f>
        <v>0</v>
      </c>
    </row>
    <row r="2848" spans="2:8" ht="38.25" x14ac:dyDescent="0.2">
      <c r="B2848" s="1083">
        <f>'BewDifferenzen_Statut-Marktnah'!$A$1</f>
        <v>42</v>
      </c>
      <c r="C2848" s="1084" t="str">
        <f>'BewDifferenzen_Statut-Marktnah'!$B$1</f>
        <v>Differenzen zwischen statutarischer und marktnaher Bewertung</v>
      </c>
      <c r="D2848" s="1143" t="str">
        <f>'BewDifferenzen_Statut-Marktnah'!$D$57</f>
        <v>Übriges Anlagevermögen (Immaterielle Anlagen, Sachanlagen)</v>
      </c>
      <c r="E2848" s="1547" t="str">
        <f>'BewDifferenzen_Statut-Marktnah'!$E59</f>
        <v>dem Geschäft nach VVG zugeordnet</v>
      </c>
      <c r="F2848" s="1548" t="str">
        <f>'BewDifferenzen_Statut-Marktnah'!$K$4</f>
        <v>Weitere Umlegungen</v>
      </c>
      <c r="G2848" s="1547"/>
      <c r="H2848" s="1144">
        <f>'BewDifferenzen_Statut-Marktnah'!$K59</f>
        <v>0</v>
      </c>
    </row>
    <row r="2849" spans="2:8" ht="38.25" x14ac:dyDescent="0.2">
      <c r="B2849" s="1083">
        <f>'BewDifferenzen_Statut-Marktnah'!$A$1</f>
        <v>42</v>
      </c>
      <c r="C2849" s="1084" t="str">
        <f>'BewDifferenzen_Statut-Marktnah'!$B$1</f>
        <v>Differenzen zwischen statutarischer und marktnaher Bewertung</v>
      </c>
      <c r="D2849" s="1143" t="str">
        <f>'BewDifferenzen_Statut-Marktnah'!$D$57</f>
        <v>Übriges Anlagevermögen (Immaterielle Anlagen, Sachanlagen)</v>
      </c>
      <c r="E2849" s="1547" t="str">
        <f>'BewDifferenzen_Statut-Marktnah'!$E60</f>
        <v>dem Geschäft nach UVG zugeordnet</v>
      </c>
      <c r="F2849" s="1548" t="str">
        <f>'BewDifferenzen_Statut-Marktnah'!$K$4</f>
        <v>Weitere Umlegungen</v>
      </c>
      <c r="G2849" s="1547"/>
      <c r="H2849" s="1144">
        <f>'BewDifferenzen_Statut-Marktnah'!$K60</f>
        <v>0</v>
      </c>
    </row>
    <row r="2850" spans="2:8" x14ac:dyDescent="0.2">
      <c r="B2850" s="1083"/>
      <c r="C2850" s="1084"/>
      <c r="D2850" s="1143"/>
      <c r="E2850" s="1547"/>
      <c r="F2850" s="1548"/>
      <c r="G2850" s="1547"/>
      <c r="H2850" s="1061"/>
    </row>
    <row r="2851" spans="2:8" ht="38.25" x14ac:dyDescent="0.2">
      <c r="B2851" s="1083">
        <f>'BewDifferenzen_Statut-Marktnah'!$A$1</f>
        <v>42</v>
      </c>
      <c r="C2851" s="1084" t="str">
        <f>'BewDifferenzen_Statut-Marktnah'!$B$1</f>
        <v>Differenzen zwischen statutarischer und marktnaher Bewertung</v>
      </c>
      <c r="D2851" s="1143" t="str">
        <f>'BewDifferenzen_Statut-Marktnah'!$D$62</f>
        <v>Umlaufvermögen</v>
      </c>
      <c r="E2851" s="1494"/>
      <c r="F2851" s="1548" t="str">
        <f>'BewDifferenzen_Statut-Marktnah'!$K$4</f>
        <v>Weitere Umlegungen</v>
      </c>
      <c r="G2851" s="1494"/>
      <c r="H2851" s="1062">
        <f>'BewDifferenzen_Statut-Marktnah'!$K62</f>
        <v>0</v>
      </c>
    </row>
    <row r="2852" spans="2:8" ht="38.25" x14ac:dyDescent="0.2">
      <c r="B2852" s="1083">
        <f>'BewDifferenzen_Statut-Marktnah'!$A$1</f>
        <v>42</v>
      </c>
      <c r="C2852" s="1084" t="str">
        <f>'BewDifferenzen_Statut-Marktnah'!$B$1</f>
        <v>Differenzen zwischen statutarischer und marktnaher Bewertung</v>
      </c>
      <c r="D2852" s="1143" t="str">
        <f>'BewDifferenzen_Statut-Marktnah'!$D$62</f>
        <v>Umlaufvermögen</v>
      </c>
      <c r="E2852" s="1547" t="str">
        <f>'BewDifferenzen_Statut-Marktnah'!$E63</f>
        <v>dem Geschäft nach KVG zugeordnet</v>
      </c>
      <c r="F2852" s="1548" t="str">
        <f>'BewDifferenzen_Statut-Marktnah'!$K$4</f>
        <v>Weitere Umlegungen</v>
      </c>
      <c r="G2852" s="1547"/>
      <c r="H2852" s="1144">
        <f>'BewDifferenzen_Statut-Marktnah'!$K63</f>
        <v>0</v>
      </c>
    </row>
    <row r="2853" spans="2:8" ht="38.25" x14ac:dyDescent="0.2">
      <c r="B2853" s="1083">
        <f>'BewDifferenzen_Statut-Marktnah'!$A$1</f>
        <v>42</v>
      </c>
      <c r="C2853" s="1084" t="str">
        <f>'BewDifferenzen_Statut-Marktnah'!$B$1</f>
        <v>Differenzen zwischen statutarischer und marktnaher Bewertung</v>
      </c>
      <c r="D2853" s="1143" t="str">
        <f>'BewDifferenzen_Statut-Marktnah'!$D$62</f>
        <v>Umlaufvermögen</v>
      </c>
      <c r="E2853" s="1547" t="str">
        <f>'BewDifferenzen_Statut-Marktnah'!$E64</f>
        <v>dem Geschäft nach VVG zugeordnet</v>
      </c>
      <c r="F2853" s="1548" t="str">
        <f>'BewDifferenzen_Statut-Marktnah'!$K$4</f>
        <v>Weitere Umlegungen</v>
      </c>
      <c r="G2853" s="1547"/>
      <c r="H2853" s="1144">
        <f>'BewDifferenzen_Statut-Marktnah'!$K64</f>
        <v>0</v>
      </c>
    </row>
    <row r="2854" spans="2:8" ht="38.25" x14ac:dyDescent="0.2">
      <c r="B2854" s="1083">
        <f>'BewDifferenzen_Statut-Marktnah'!$A$1</f>
        <v>42</v>
      </c>
      <c r="C2854" s="1084" t="str">
        <f>'BewDifferenzen_Statut-Marktnah'!$B$1</f>
        <v>Differenzen zwischen statutarischer und marktnaher Bewertung</v>
      </c>
      <c r="D2854" s="1143" t="str">
        <f>'BewDifferenzen_Statut-Marktnah'!$D$62</f>
        <v>Umlaufvermögen</v>
      </c>
      <c r="E2854" s="1547" t="str">
        <f>'BewDifferenzen_Statut-Marktnah'!$E65</f>
        <v>dem Geschäft nach UVG zugeordnet</v>
      </c>
      <c r="F2854" s="1548" t="str">
        <f>'BewDifferenzen_Statut-Marktnah'!$K$4</f>
        <v>Weitere Umlegungen</v>
      </c>
      <c r="G2854" s="1547"/>
      <c r="H2854" s="1144">
        <f>'BewDifferenzen_Statut-Marktnah'!$K65</f>
        <v>0</v>
      </c>
    </row>
    <row r="2855" spans="2:8" x14ac:dyDescent="0.2">
      <c r="B2855" s="1083"/>
      <c r="C2855" s="1084"/>
      <c r="D2855" s="1143"/>
      <c r="E2855" s="1547"/>
      <c r="F2855" s="1548"/>
      <c r="G2855" s="1547"/>
      <c r="H2855" s="1061"/>
    </row>
    <row r="2856" spans="2:8" ht="38.25" x14ac:dyDescent="0.2">
      <c r="B2856" s="1083">
        <f>'BewDifferenzen_Statut-Marktnah'!$A$1</f>
        <v>42</v>
      </c>
      <c r="C2856" s="1084" t="str">
        <f>'BewDifferenzen_Statut-Marktnah'!$B$1</f>
        <v>Differenzen zwischen statutarischer und marktnaher Bewertung</v>
      </c>
      <c r="D2856" s="1143" t="str">
        <f>'BewDifferenzen_Statut-Marktnah'!$D$67</f>
        <v>Total übrige Aktiven</v>
      </c>
      <c r="E2856" s="1494"/>
      <c r="F2856" s="1548" t="str">
        <f>'BewDifferenzen_Statut-Marktnah'!$K$4</f>
        <v>Weitere Umlegungen</v>
      </c>
      <c r="G2856" s="1494"/>
      <c r="H2856" s="1065">
        <f>'BewDifferenzen_Statut-Marktnah'!$K67</f>
        <v>0</v>
      </c>
    </row>
    <row r="2857" spans="2:8" x14ac:dyDescent="0.2">
      <c r="B2857" s="1083"/>
      <c r="C2857" s="1084"/>
      <c r="D2857" s="1143"/>
      <c r="E2857" s="1547"/>
      <c r="F2857" s="1548"/>
      <c r="G2857" s="1547"/>
      <c r="H2857" s="1061"/>
    </row>
    <row r="2858" spans="2:8" ht="38.25" x14ac:dyDescent="0.2">
      <c r="B2858" s="1083">
        <f>'BewDifferenzen_Statut-Marktnah'!$A$1</f>
        <v>42</v>
      </c>
      <c r="C2858" s="1084" t="str">
        <f>'BewDifferenzen_Statut-Marktnah'!$B$1</f>
        <v>Differenzen zwischen statutarischer und marktnaher Bewertung</v>
      </c>
      <c r="D2858" s="1143" t="str">
        <f>'BewDifferenzen_Statut-Marktnah'!$C$69</f>
        <v>Total Aktiven</v>
      </c>
      <c r="E2858" s="1547"/>
      <c r="F2858" s="1548" t="str">
        <f>'BewDifferenzen_Statut-Marktnah'!$K$4</f>
        <v>Weitere Umlegungen</v>
      </c>
      <c r="G2858" s="1547"/>
      <c r="H2858" s="1065">
        <f>'BewDifferenzen_Statut-Marktnah'!$K69</f>
        <v>0</v>
      </c>
    </row>
    <row r="2859" spans="2:8" x14ac:dyDescent="0.2">
      <c r="B2859" s="1083"/>
      <c r="C2859" s="1084"/>
      <c r="D2859" s="1143"/>
      <c r="E2859" s="1547"/>
      <c r="F2859" s="1548"/>
      <c r="G2859" s="1547"/>
      <c r="H2859" s="1061"/>
    </row>
    <row r="2860" spans="2:8" x14ac:dyDescent="0.2">
      <c r="B2860" s="1083"/>
      <c r="C2860" s="1084"/>
      <c r="D2860" s="1143"/>
      <c r="E2860" s="1547"/>
      <c r="F2860" s="1548"/>
      <c r="G2860" s="1547"/>
      <c r="H2860" s="1061"/>
    </row>
    <row r="2861" spans="2:8" ht="38.25" x14ac:dyDescent="0.2">
      <c r="B2861" s="1083">
        <f>'BewDifferenzen_Statut-Marktnah'!$A$1</f>
        <v>42</v>
      </c>
      <c r="C2861" s="1084" t="str">
        <f>'BewDifferenzen_Statut-Marktnah'!$B$1</f>
        <v>Differenzen zwischen statutarischer und marktnaher Bewertung</v>
      </c>
      <c r="D2861" s="1143" t="str">
        <f>'BewDifferenzen_Statut-Marktnah'!$D$74</f>
        <v>Leistungsrückstellungen</v>
      </c>
      <c r="E2861" s="1494"/>
      <c r="F2861" s="1548" t="str">
        <f>'BewDifferenzen_Statut-Marktnah'!$K$4</f>
        <v>Weitere Umlegungen</v>
      </c>
      <c r="G2861" s="1494"/>
      <c r="H2861" s="1069">
        <f>'BewDifferenzen_Statut-Marktnah'!$K74</f>
        <v>0</v>
      </c>
    </row>
    <row r="2862" spans="2:8" ht="38.25" x14ac:dyDescent="0.2">
      <c r="B2862" s="1083">
        <f>'BewDifferenzen_Statut-Marktnah'!$A$1</f>
        <v>42</v>
      </c>
      <c r="C2862" s="1084" t="str">
        <f>'BewDifferenzen_Statut-Marktnah'!$B$1</f>
        <v>Differenzen zwischen statutarischer und marktnaher Bewertung</v>
      </c>
      <c r="D2862" s="1143" t="str">
        <f>'BewDifferenzen_Statut-Marktnah'!$D$74</f>
        <v>Leistungsrückstellungen</v>
      </c>
      <c r="E2862" s="1547" t="str">
        <f>'BewDifferenzen_Statut-Marktnah'!$E75</f>
        <v>Obligatorische Krankenpflegeversicherung</v>
      </c>
      <c r="F2862" s="1548" t="str">
        <f>'BewDifferenzen_Statut-Marktnah'!$K$4</f>
        <v>Weitere Umlegungen</v>
      </c>
      <c r="G2862" s="1547"/>
      <c r="H2862" s="1144">
        <f>'BewDifferenzen_Statut-Marktnah'!$K75</f>
        <v>0</v>
      </c>
    </row>
    <row r="2863" spans="2:8" ht="38.25" x14ac:dyDescent="0.2">
      <c r="B2863" s="1083">
        <f>'BewDifferenzen_Statut-Marktnah'!$A$1</f>
        <v>42</v>
      </c>
      <c r="C2863" s="1084" t="str">
        <f>'BewDifferenzen_Statut-Marktnah'!$B$1</f>
        <v>Differenzen zwischen statutarischer und marktnaher Bewertung</v>
      </c>
      <c r="D2863" s="1143" t="str">
        <f>'BewDifferenzen_Statut-Marktnah'!$D$74</f>
        <v>Leistungsrückstellungen</v>
      </c>
      <c r="E2863" s="1547" t="str">
        <f>'BewDifferenzen_Statut-Marktnah'!$E76</f>
        <v>Einzel-Taggeldversicherung nach KVG</v>
      </c>
      <c r="F2863" s="1548" t="str">
        <f>'BewDifferenzen_Statut-Marktnah'!$K$4</f>
        <v>Weitere Umlegungen</v>
      </c>
      <c r="G2863" s="1547"/>
      <c r="H2863" s="1144">
        <f>'BewDifferenzen_Statut-Marktnah'!$K76</f>
        <v>0</v>
      </c>
    </row>
    <row r="2864" spans="2:8" ht="38.25" x14ac:dyDescent="0.2">
      <c r="B2864" s="1083">
        <f>'BewDifferenzen_Statut-Marktnah'!$A$1</f>
        <v>42</v>
      </c>
      <c r="C2864" s="1084" t="str">
        <f>'BewDifferenzen_Statut-Marktnah'!$B$1</f>
        <v>Differenzen zwischen statutarischer und marktnaher Bewertung</v>
      </c>
      <c r="D2864" s="1143" t="str">
        <f>'BewDifferenzen_Statut-Marktnah'!$D$74</f>
        <v>Leistungsrückstellungen</v>
      </c>
      <c r="E2864" s="1547" t="str">
        <f>'BewDifferenzen_Statut-Marktnah'!$E77</f>
        <v>Kollektiv-Taggeldversicherung nach KVG</v>
      </c>
      <c r="F2864" s="1548" t="str">
        <f>'BewDifferenzen_Statut-Marktnah'!$K$4</f>
        <v>Weitere Umlegungen</v>
      </c>
      <c r="G2864" s="1547"/>
      <c r="H2864" s="1144">
        <f>'BewDifferenzen_Statut-Marktnah'!$K77</f>
        <v>0</v>
      </c>
    </row>
    <row r="2865" spans="2:8" ht="38.25" x14ac:dyDescent="0.2">
      <c r="B2865" s="1083">
        <f>'BewDifferenzen_Statut-Marktnah'!$A$1</f>
        <v>42</v>
      </c>
      <c r="C2865" s="1084" t="str">
        <f>'BewDifferenzen_Statut-Marktnah'!$B$1</f>
        <v>Differenzen zwischen statutarischer und marktnaher Bewertung</v>
      </c>
      <c r="D2865" s="1143" t="str">
        <f>'BewDifferenzen_Statut-Marktnah'!$D$74</f>
        <v>Leistungsrückstellungen</v>
      </c>
      <c r="E2865" s="1547" t="str">
        <f>'BewDifferenzen_Statut-Marktnah'!$E78</f>
        <v>Aktive Rückversicherung nach KVG</v>
      </c>
      <c r="F2865" s="1548" t="str">
        <f>'BewDifferenzen_Statut-Marktnah'!$K$4</f>
        <v>Weitere Umlegungen</v>
      </c>
      <c r="G2865" s="1547"/>
      <c r="H2865" s="1144">
        <f>'BewDifferenzen_Statut-Marktnah'!$K78</f>
        <v>0</v>
      </c>
    </row>
    <row r="2866" spans="2:8" ht="38.25" x14ac:dyDescent="0.2">
      <c r="B2866" s="1083">
        <f>'BewDifferenzen_Statut-Marktnah'!$A$1</f>
        <v>42</v>
      </c>
      <c r="C2866" s="1084" t="str">
        <f>'BewDifferenzen_Statut-Marktnah'!$B$1</f>
        <v>Differenzen zwischen statutarischer und marktnaher Bewertung</v>
      </c>
      <c r="D2866" s="1143" t="str">
        <f>'BewDifferenzen_Statut-Marktnah'!$D$74</f>
        <v>Leistungsrückstellungen</v>
      </c>
      <c r="E2866" s="1547" t="str">
        <f>'BewDifferenzen_Statut-Marktnah'!$E79</f>
        <v>dem Geschäft nach VVG zugeordnet</v>
      </c>
      <c r="F2866" s="1548" t="str">
        <f>'BewDifferenzen_Statut-Marktnah'!$K$4</f>
        <v>Weitere Umlegungen</v>
      </c>
      <c r="G2866" s="1547"/>
      <c r="H2866" s="1144">
        <f>'BewDifferenzen_Statut-Marktnah'!$K79</f>
        <v>0</v>
      </c>
    </row>
    <row r="2867" spans="2:8" ht="38.25" x14ac:dyDescent="0.2">
      <c r="B2867" s="1083">
        <f>'BewDifferenzen_Statut-Marktnah'!$A$1</f>
        <v>42</v>
      </c>
      <c r="C2867" s="1084" t="str">
        <f>'BewDifferenzen_Statut-Marktnah'!$B$1</f>
        <v>Differenzen zwischen statutarischer und marktnaher Bewertung</v>
      </c>
      <c r="D2867" s="1143" t="str">
        <f>'BewDifferenzen_Statut-Marktnah'!$D$74</f>
        <v>Leistungsrückstellungen</v>
      </c>
      <c r="E2867" s="1547" t="str">
        <f>'BewDifferenzen_Statut-Marktnah'!$E80</f>
        <v>dem Geschäft nach UVG zugeordnet</v>
      </c>
      <c r="F2867" s="1548" t="str">
        <f>'BewDifferenzen_Statut-Marktnah'!$K$4</f>
        <v>Weitere Umlegungen</v>
      </c>
      <c r="G2867" s="1547"/>
      <c r="H2867" s="1144">
        <f>'BewDifferenzen_Statut-Marktnah'!$K80</f>
        <v>0</v>
      </c>
    </row>
    <row r="2868" spans="2:8" x14ac:dyDescent="0.2">
      <c r="B2868" s="1083"/>
      <c r="C2868" s="1084"/>
      <c r="D2868" s="1143"/>
      <c r="E2868" s="1547"/>
      <c r="F2868" s="1548"/>
      <c r="G2868" s="1547"/>
      <c r="H2868" s="1061"/>
    </row>
    <row r="2869" spans="2:8" ht="38.25" x14ac:dyDescent="0.2">
      <c r="B2869" s="1083">
        <f>'BewDifferenzen_Statut-Marktnah'!$A$1</f>
        <v>42</v>
      </c>
      <c r="C2869" s="1084" t="str">
        <f>'BewDifferenzen_Statut-Marktnah'!$B$1</f>
        <v>Differenzen zwischen statutarischer und marktnaher Bewertung</v>
      </c>
      <c r="D2869" s="1143" t="str">
        <f>'BewDifferenzen_Statut-Marktnah'!$D$82</f>
        <v>Alterungsrückstellungen und Deckungskapitalien</v>
      </c>
      <c r="E2869" s="1494"/>
      <c r="F2869" s="1548" t="str">
        <f>'BewDifferenzen_Statut-Marktnah'!$K$4</f>
        <v>Weitere Umlegungen</v>
      </c>
      <c r="G2869" s="1494"/>
      <c r="H2869" s="1069">
        <f>'BewDifferenzen_Statut-Marktnah'!$K82</f>
        <v>0</v>
      </c>
    </row>
    <row r="2870" spans="2:8" ht="38.25" x14ac:dyDescent="0.2">
      <c r="B2870" s="1083">
        <f>'BewDifferenzen_Statut-Marktnah'!$A$1</f>
        <v>42</v>
      </c>
      <c r="C2870" s="1084" t="str">
        <f>'BewDifferenzen_Statut-Marktnah'!$B$1</f>
        <v>Differenzen zwischen statutarischer und marktnaher Bewertung</v>
      </c>
      <c r="D2870" s="1143" t="str">
        <f>'BewDifferenzen_Statut-Marktnah'!$D$82</f>
        <v>Alterungsrückstellungen und Deckungskapitalien</v>
      </c>
      <c r="E2870" s="1547" t="str">
        <f>'BewDifferenzen_Statut-Marktnah'!$E83</f>
        <v>Obligatorische Krankenpflegeversicherung</v>
      </c>
      <c r="F2870" s="1548" t="str">
        <f>'BewDifferenzen_Statut-Marktnah'!$K$4</f>
        <v>Weitere Umlegungen</v>
      </c>
      <c r="G2870" s="1547"/>
      <c r="H2870" s="1144">
        <f>'BewDifferenzen_Statut-Marktnah'!$K83</f>
        <v>0</v>
      </c>
    </row>
    <row r="2871" spans="2:8" ht="38.25" x14ac:dyDescent="0.2">
      <c r="B2871" s="1083">
        <f>'BewDifferenzen_Statut-Marktnah'!$A$1</f>
        <v>42</v>
      </c>
      <c r="C2871" s="1084" t="str">
        <f>'BewDifferenzen_Statut-Marktnah'!$B$1</f>
        <v>Differenzen zwischen statutarischer und marktnaher Bewertung</v>
      </c>
      <c r="D2871" s="1143" t="str">
        <f>'BewDifferenzen_Statut-Marktnah'!$D$82</f>
        <v>Alterungsrückstellungen und Deckungskapitalien</v>
      </c>
      <c r="E2871" s="1547" t="str">
        <f>'BewDifferenzen_Statut-Marktnah'!$E84</f>
        <v>Einzel-Taggeldversicherung nach KVG</v>
      </c>
      <c r="F2871" s="1548" t="str">
        <f>'BewDifferenzen_Statut-Marktnah'!$K$4</f>
        <v>Weitere Umlegungen</v>
      </c>
      <c r="G2871" s="1547"/>
      <c r="H2871" s="1144">
        <f>'BewDifferenzen_Statut-Marktnah'!$K84</f>
        <v>0</v>
      </c>
    </row>
    <row r="2872" spans="2:8" ht="38.25" x14ac:dyDescent="0.2">
      <c r="B2872" s="1083">
        <f>'BewDifferenzen_Statut-Marktnah'!$A$1</f>
        <v>42</v>
      </c>
      <c r="C2872" s="1084" t="str">
        <f>'BewDifferenzen_Statut-Marktnah'!$B$1</f>
        <v>Differenzen zwischen statutarischer und marktnaher Bewertung</v>
      </c>
      <c r="D2872" s="1143" t="str">
        <f>'BewDifferenzen_Statut-Marktnah'!$D$82</f>
        <v>Alterungsrückstellungen und Deckungskapitalien</v>
      </c>
      <c r="E2872" s="1547" t="str">
        <f>'BewDifferenzen_Statut-Marktnah'!$E85</f>
        <v>Kollektiv-Taggeldversicherung nach KVG</v>
      </c>
      <c r="F2872" s="1548" t="str">
        <f>'BewDifferenzen_Statut-Marktnah'!$K$4</f>
        <v>Weitere Umlegungen</v>
      </c>
      <c r="G2872" s="1547"/>
      <c r="H2872" s="1144">
        <f>'BewDifferenzen_Statut-Marktnah'!$K85</f>
        <v>0</v>
      </c>
    </row>
    <row r="2873" spans="2:8" ht="38.25" x14ac:dyDescent="0.2">
      <c r="B2873" s="1083">
        <f>'BewDifferenzen_Statut-Marktnah'!$A$1</f>
        <v>42</v>
      </c>
      <c r="C2873" s="1084" t="str">
        <f>'BewDifferenzen_Statut-Marktnah'!$B$1</f>
        <v>Differenzen zwischen statutarischer und marktnaher Bewertung</v>
      </c>
      <c r="D2873" s="1143" t="str">
        <f>'BewDifferenzen_Statut-Marktnah'!$D$82</f>
        <v>Alterungsrückstellungen und Deckungskapitalien</v>
      </c>
      <c r="E2873" s="1547" t="str">
        <f>'BewDifferenzen_Statut-Marktnah'!$E86</f>
        <v>Aktive Rückversicherung nach KVG</v>
      </c>
      <c r="F2873" s="1548" t="str">
        <f>'BewDifferenzen_Statut-Marktnah'!$K$4</f>
        <v>Weitere Umlegungen</v>
      </c>
      <c r="G2873" s="1547"/>
      <c r="H2873" s="1144">
        <f>'BewDifferenzen_Statut-Marktnah'!$K86</f>
        <v>0</v>
      </c>
    </row>
    <row r="2874" spans="2:8" ht="38.25" x14ac:dyDescent="0.2">
      <c r="B2874" s="1083">
        <f>'BewDifferenzen_Statut-Marktnah'!$A$1</f>
        <v>42</v>
      </c>
      <c r="C2874" s="1084" t="str">
        <f>'BewDifferenzen_Statut-Marktnah'!$B$1</f>
        <v>Differenzen zwischen statutarischer und marktnaher Bewertung</v>
      </c>
      <c r="D2874" s="1143" t="str">
        <f>'BewDifferenzen_Statut-Marktnah'!$D$82</f>
        <v>Alterungsrückstellungen und Deckungskapitalien</v>
      </c>
      <c r="E2874" s="1547" t="str">
        <f>'BewDifferenzen_Statut-Marktnah'!$E87</f>
        <v>dem Geschäft nach VVG zugeordnet</v>
      </c>
      <c r="F2874" s="1548" t="str">
        <f>'BewDifferenzen_Statut-Marktnah'!$K$4</f>
        <v>Weitere Umlegungen</v>
      </c>
      <c r="G2874" s="1547"/>
      <c r="H2874" s="1144">
        <f>'BewDifferenzen_Statut-Marktnah'!$K87</f>
        <v>0</v>
      </c>
    </row>
    <row r="2875" spans="2:8" ht="38.25" x14ac:dyDescent="0.2">
      <c r="B2875" s="1083">
        <f>'BewDifferenzen_Statut-Marktnah'!$A$1</f>
        <v>42</v>
      </c>
      <c r="C2875" s="1084" t="str">
        <f>'BewDifferenzen_Statut-Marktnah'!$B$1</f>
        <v>Differenzen zwischen statutarischer und marktnaher Bewertung</v>
      </c>
      <c r="D2875" s="1143" t="str">
        <f>'BewDifferenzen_Statut-Marktnah'!$D$82</f>
        <v>Alterungsrückstellungen und Deckungskapitalien</v>
      </c>
      <c r="E2875" s="1547" t="str">
        <f>'BewDifferenzen_Statut-Marktnah'!$E88</f>
        <v>dem Geschäft nach UVG zugeordnet</v>
      </c>
      <c r="F2875" s="1548" t="str">
        <f>'BewDifferenzen_Statut-Marktnah'!$K$4</f>
        <v>Weitere Umlegungen</v>
      </c>
      <c r="G2875" s="1547"/>
      <c r="H2875" s="1144">
        <f>'BewDifferenzen_Statut-Marktnah'!$K88</f>
        <v>0</v>
      </c>
    </row>
    <row r="2876" spans="2:8" x14ac:dyDescent="0.2">
      <c r="B2876" s="1083"/>
      <c r="C2876" s="1084"/>
      <c r="D2876" s="1143"/>
      <c r="E2876" s="1547"/>
      <c r="F2876" s="1548"/>
      <c r="G2876" s="1547"/>
      <c r="H2876" s="1061"/>
    </row>
    <row r="2877" spans="2:8" ht="38.25" x14ac:dyDescent="0.2">
      <c r="B2877" s="1083">
        <f>'BewDifferenzen_Statut-Marktnah'!$A$1</f>
        <v>42</v>
      </c>
      <c r="C2877" s="1084" t="str">
        <f>'BewDifferenzen_Statut-Marktnah'!$B$1</f>
        <v>Differenzen zwischen statutarischer und marktnaher Bewertung</v>
      </c>
      <c r="D2877" s="1143" t="str">
        <f>'BewDifferenzen_Statut-Marktnah'!$D$90</f>
        <v>Sonstige technische Rückstellungen</v>
      </c>
      <c r="E2877" s="1494"/>
      <c r="F2877" s="1548" t="str">
        <f>'BewDifferenzen_Statut-Marktnah'!$K$4</f>
        <v>Weitere Umlegungen</v>
      </c>
      <c r="G2877" s="1494"/>
      <c r="H2877" s="1069">
        <f>'BewDifferenzen_Statut-Marktnah'!$K90</f>
        <v>0</v>
      </c>
    </row>
    <row r="2878" spans="2:8" ht="38.25" x14ac:dyDescent="0.2">
      <c r="B2878" s="1083">
        <f>'BewDifferenzen_Statut-Marktnah'!$A$1</f>
        <v>42</v>
      </c>
      <c r="C2878" s="1084" t="str">
        <f>'BewDifferenzen_Statut-Marktnah'!$B$1</f>
        <v>Differenzen zwischen statutarischer und marktnaher Bewertung</v>
      </c>
      <c r="D2878" s="1143" t="str">
        <f>'BewDifferenzen_Statut-Marktnah'!$D$90</f>
        <v>Sonstige technische Rückstellungen</v>
      </c>
      <c r="E2878" s="1547" t="str">
        <f>'BewDifferenzen_Statut-Marktnah'!$E91</f>
        <v>Obligatorische Krankenpflegeversicherung</v>
      </c>
      <c r="F2878" s="1548" t="str">
        <f>'BewDifferenzen_Statut-Marktnah'!$K$4</f>
        <v>Weitere Umlegungen</v>
      </c>
      <c r="G2878" s="1547"/>
      <c r="H2878" s="1144">
        <f>'BewDifferenzen_Statut-Marktnah'!$K91</f>
        <v>0</v>
      </c>
    </row>
    <row r="2879" spans="2:8" ht="38.25" x14ac:dyDescent="0.2">
      <c r="B2879" s="1083">
        <f>'BewDifferenzen_Statut-Marktnah'!$A$1</f>
        <v>42</v>
      </c>
      <c r="C2879" s="1084" t="str">
        <f>'BewDifferenzen_Statut-Marktnah'!$B$1</f>
        <v>Differenzen zwischen statutarischer und marktnaher Bewertung</v>
      </c>
      <c r="D2879" s="1143" t="str">
        <f>'BewDifferenzen_Statut-Marktnah'!$D$90</f>
        <v>Sonstige technische Rückstellungen</v>
      </c>
      <c r="E2879" s="1547" t="str">
        <f>'BewDifferenzen_Statut-Marktnah'!$E92</f>
        <v>Einzel-Taggeldversicherung nach KVG</v>
      </c>
      <c r="F2879" s="1548" t="str">
        <f>'BewDifferenzen_Statut-Marktnah'!$K$4</f>
        <v>Weitere Umlegungen</v>
      </c>
      <c r="G2879" s="1547"/>
      <c r="H2879" s="1144">
        <f>'BewDifferenzen_Statut-Marktnah'!$K92</f>
        <v>0</v>
      </c>
    </row>
    <row r="2880" spans="2:8" ht="38.25" x14ac:dyDescent="0.2">
      <c r="B2880" s="1083">
        <f>'BewDifferenzen_Statut-Marktnah'!$A$1</f>
        <v>42</v>
      </c>
      <c r="C2880" s="1084" t="str">
        <f>'BewDifferenzen_Statut-Marktnah'!$B$1</f>
        <v>Differenzen zwischen statutarischer und marktnaher Bewertung</v>
      </c>
      <c r="D2880" s="1143" t="str">
        <f>'BewDifferenzen_Statut-Marktnah'!$D$90</f>
        <v>Sonstige technische Rückstellungen</v>
      </c>
      <c r="E2880" s="1547" t="str">
        <f>'BewDifferenzen_Statut-Marktnah'!$E93</f>
        <v>Kollektiv-Taggeldversicherung nach KVG</v>
      </c>
      <c r="F2880" s="1548" t="str">
        <f>'BewDifferenzen_Statut-Marktnah'!$K$4</f>
        <v>Weitere Umlegungen</v>
      </c>
      <c r="G2880" s="1547"/>
      <c r="H2880" s="1144">
        <f>'BewDifferenzen_Statut-Marktnah'!$K93</f>
        <v>0</v>
      </c>
    </row>
    <row r="2881" spans="2:8" ht="38.25" x14ac:dyDescent="0.2">
      <c r="B2881" s="1083">
        <f>'BewDifferenzen_Statut-Marktnah'!$A$1</f>
        <v>42</v>
      </c>
      <c r="C2881" s="1084" t="str">
        <f>'BewDifferenzen_Statut-Marktnah'!$B$1</f>
        <v>Differenzen zwischen statutarischer und marktnaher Bewertung</v>
      </c>
      <c r="D2881" s="1143" t="str">
        <f>'BewDifferenzen_Statut-Marktnah'!$D$90</f>
        <v>Sonstige technische Rückstellungen</v>
      </c>
      <c r="E2881" s="1547" t="str">
        <f>'BewDifferenzen_Statut-Marktnah'!$E94</f>
        <v>Aktive Rückversicherung nach KVG</v>
      </c>
      <c r="F2881" s="1548" t="str">
        <f>'BewDifferenzen_Statut-Marktnah'!$K$4</f>
        <v>Weitere Umlegungen</v>
      </c>
      <c r="G2881" s="1547"/>
      <c r="H2881" s="1144">
        <f>'BewDifferenzen_Statut-Marktnah'!$K94</f>
        <v>0</v>
      </c>
    </row>
    <row r="2882" spans="2:8" ht="38.25" x14ac:dyDescent="0.2">
      <c r="B2882" s="1083">
        <f>'BewDifferenzen_Statut-Marktnah'!$A$1</f>
        <v>42</v>
      </c>
      <c r="C2882" s="1084" t="str">
        <f>'BewDifferenzen_Statut-Marktnah'!$B$1</f>
        <v>Differenzen zwischen statutarischer und marktnaher Bewertung</v>
      </c>
      <c r="D2882" s="1143" t="str">
        <f>'BewDifferenzen_Statut-Marktnah'!$D$90</f>
        <v>Sonstige technische Rückstellungen</v>
      </c>
      <c r="E2882" s="1547" t="str">
        <f>'BewDifferenzen_Statut-Marktnah'!$E95</f>
        <v>dem Geschäft nach VVG zugeordnet</v>
      </c>
      <c r="F2882" s="1548" t="str">
        <f>'BewDifferenzen_Statut-Marktnah'!$K$4</f>
        <v>Weitere Umlegungen</v>
      </c>
      <c r="G2882" s="1547"/>
      <c r="H2882" s="1144">
        <f>'BewDifferenzen_Statut-Marktnah'!$K95</f>
        <v>0</v>
      </c>
    </row>
    <row r="2883" spans="2:8" ht="38.25" x14ac:dyDescent="0.2">
      <c r="B2883" s="1083">
        <f>'BewDifferenzen_Statut-Marktnah'!$A$1</f>
        <v>42</v>
      </c>
      <c r="C2883" s="1084" t="str">
        <f>'BewDifferenzen_Statut-Marktnah'!$B$1</f>
        <v>Differenzen zwischen statutarischer und marktnaher Bewertung</v>
      </c>
      <c r="D2883" s="1143" t="str">
        <f>'BewDifferenzen_Statut-Marktnah'!$D$90</f>
        <v>Sonstige technische Rückstellungen</v>
      </c>
      <c r="E2883" s="1547" t="str">
        <f>'BewDifferenzen_Statut-Marktnah'!$E96</f>
        <v>dem Geschäft nach UVG zugeordnet</v>
      </c>
      <c r="F2883" s="1548" t="str">
        <f>'BewDifferenzen_Statut-Marktnah'!$K$4</f>
        <v>Weitere Umlegungen</v>
      </c>
      <c r="G2883" s="1547"/>
      <c r="H2883" s="1144">
        <f>'BewDifferenzen_Statut-Marktnah'!$K96</f>
        <v>0</v>
      </c>
    </row>
    <row r="2884" spans="2:8" x14ac:dyDescent="0.2">
      <c r="B2884" s="1083"/>
      <c r="C2884" s="1084"/>
      <c r="D2884" s="1143"/>
      <c r="E2884" s="1547"/>
      <c r="F2884" s="1548"/>
      <c r="G2884" s="1547"/>
      <c r="H2884" s="1061"/>
    </row>
    <row r="2885" spans="2:8" ht="38.25" x14ac:dyDescent="0.2">
      <c r="B2885" s="1083">
        <f>'BewDifferenzen_Statut-Marktnah'!$A$1</f>
        <v>42</v>
      </c>
      <c r="C2885" s="1084" t="str">
        <f>'BewDifferenzen_Statut-Marktnah'!$B$1</f>
        <v>Differenzen zwischen statutarischer und marktnaher Bewertung</v>
      </c>
      <c r="D2885" s="1143" t="str">
        <f>'BewDifferenzen_Statut-Marktnah'!$D$98</f>
        <v>Schwankungs- und Sicherheitsrückstellungen</v>
      </c>
      <c r="E2885" s="1494"/>
      <c r="F2885" s="1548" t="str">
        <f>'BewDifferenzen_Statut-Marktnah'!$K$4</f>
        <v>Weitere Umlegungen</v>
      </c>
      <c r="G2885" s="1494"/>
      <c r="H2885" s="1069">
        <f>'BewDifferenzen_Statut-Marktnah'!$K98</f>
        <v>0</v>
      </c>
    </row>
    <row r="2886" spans="2:8" ht="38.25" x14ac:dyDescent="0.2">
      <c r="B2886" s="1083">
        <f>'BewDifferenzen_Statut-Marktnah'!$A$1</f>
        <v>42</v>
      </c>
      <c r="C2886" s="1084" t="str">
        <f>'BewDifferenzen_Statut-Marktnah'!$B$1</f>
        <v>Differenzen zwischen statutarischer und marktnaher Bewertung</v>
      </c>
      <c r="D2886" s="1143" t="str">
        <f>'BewDifferenzen_Statut-Marktnah'!$D$98</f>
        <v>Schwankungs- und Sicherheitsrückstellungen</v>
      </c>
      <c r="E2886" s="1547" t="str">
        <f>'BewDifferenzen_Statut-Marktnah'!$E99</f>
        <v>Obligatorische Krankenpflegeversicherung</v>
      </c>
      <c r="F2886" s="1548" t="str">
        <f>'BewDifferenzen_Statut-Marktnah'!$K$4</f>
        <v>Weitere Umlegungen</v>
      </c>
      <c r="G2886" s="1547"/>
      <c r="H2886" s="1144">
        <f>'BewDifferenzen_Statut-Marktnah'!$K99</f>
        <v>0</v>
      </c>
    </row>
    <row r="2887" spans="2:8" ht="38.25" x14ac:dyDescent="0.2">
      <c r="B2887" s="1083">
        <f>'BewDifferenzen_Statut-Marktnah'!$A$1</f>
        <v>42</v>
      </c>
      <c r="C2887" s="1084" t="str">
        <f>'BewDifferenzen_Statut-Marktnah'!$B$1</f>
        <v>Differenzen zwischen statutarischer und marktnaher Bewertung</v>
      </c>
      <c r="D2887" s="1143" t="str">
        <f>'BewDifferenzen_Statut-Marktnah'!$D$98</f>
        <v>Schwankungs- und Sicherheitsrückstellungen</v>
      </c>
      <c r="E2887" s="1547" t="str">
        <f>'BewDifferenzen_Statut-Marktnah'!$E100</f>
        <v>Einzel-Taggeldversicherung nach KVG</v>
      </c>
      <c r="F2887" s="1548" t="str">
        <f>'BewDifferenzen_Statut-Marktnah'!$K$4</f>
        <v>Weitere Umlegungen</v>
      </c>
      <c r="G2887" s="1547"/>
      <c r="H2887" s="1144">
        <f>'BewDifferenzen_Statut-Marktnah'!$K100</f>
        <v>0</v>
      </c>
    </row>
    <row r="2888" spans="2:8" ht="38.25" x14ac:dyDescent="0.2">
      <c r="B2888" s="1083">
        <f>'BewDifferenzen_Statut-Marktnah'!$A$1</f>
        <v>42</v>
      </c>
      <c r="C2888" s="1084" t="str">
        <f>'BewDifferenzen_Statut-Marktnah'!$B$1</f>
        <v>Differenzen zwischen statutarischer und marktnaher Bewertung</v>
      </c>
      <c r="D2888" s="1143" t="str">
        <f>'BewDifferenzen_Statut-Marktnah'!$D$98</f>
        <v>Schwankungs- und Sicherheitsrückstellungen</v>
      </c>
      <c r="E2888" s="1547" t="str">
        <f>'BewDifferenzen_Statut-Marktnah'!$E101</f>
        <v>Kollektiv-Taggeldversicherung nach KVG</v>
      </c>
      <c r="F2888" s="1548" t="str">
        <f>'BewDifferenzen_Statut-Marktnah'!$K$4</f>
        <v>Weitere Umlegungen</v>
      </c>
      <c r="G2888" s="1547"/>
      <c r="H2888" s="1144">
        <f>'BewDifferenzen_Statut-Marktnah'!$K101</f>
        <v>0</v>
      </c>
    </row>
    <row r="2889" spans="2:8" ht="38.25" x14ac:dyDescent="0.2">
      <c r="B2889" s="1083">
        <f>'BewDifferenzen_Statut-Marktnah'!$A$1</f>
        <v>42</v>
      </c>
      <c r="C2889" s="1084" t="str">
        <f>'BewDifferenzen_Statut-Marktnah'!$B$1</f>
        <v>Differenzen zwischen statutarischer und marktnaher Bewertung</v>
      </c>
      <c r="D2889" s="1143" t="str">
        <f>'BewDifferenzen_Statut-Marktnah'!$D$98</f>
        <v>Schwankungs- und Sicherheitsrückstellungen</v>
      </c>
      <c r="E2889" s="1547" t="str">
        <f>'BewDifferenzen_Statut-Marktnah'!$E102</f>
        <v>Aktive Rückversicherung nach KVG</v>
      </c>
      <c r="F2889" s="1548" t="str">
        <f>'BewDifferenzen_Statut-Marktnah'!$K$4</f>
        <v>Weitere Umlegungen</v>
      </c>
      <c r="G2889" s="1547"/>
      <c r="H2889" s="1144">
        <f>'BewDifferenzen_Statut-Marktnah'!$K102</f>
        <v>0</v>
      </c>
    </row>
    <row r="2890" spans="2:8" ht="38.25" x14ac:dyDescent="0.2">
      <c r="B2890" s="1083">
        <f>'BewDifferenzen_Statut-Marktnah'!$A$1</f>
        <v>42</v>
      </c>
      <c r="C2890" s="1084" t="str">
        <f>'BewDifferenzen_Statut-Marktnah'!$B$1</f>
        <v>Differenzen zwischen statutarischer und marktnaher Bewertung</v>
      </c>
      <c r="D2890" s="1143" t="str">
        <f>'BewDifferenzen_Statut-Marktnah'!$D$98</f>
        <v>Schwankungs- und Sicherheitsrückstellungen</v>
      </c>
      <c r="E2890" s="1547" t="str">
        <f>'BewDifferenzen_Statut-Marktnah'!$E103</f>
        <v>dem Geschäft nach VVG zugeordnet</v>
      </c>
      <c r="F2890" s="1548" t="str">
        <f>'BewDifferenzen_Statut-Marktnah'!$K$4</f>
        <v>Weitere Umlegungen</v>
      </c>
      <c r="G2890" s="1547"/>
      <c r="H2890" s="1144">
        <f>'BewDifferenzen_Statut-Marktnah'!$K103</f>
        <v>0</v>
      </c>
    </row>
    <row r="2891" spans="2:8" ht="38.25" x14ac:dyDescent="0.2">
      <c r="B2891" s="1083">
        <f>'BewDifferenzen_Statut-Marktnah'!$A$1</f>
        <v>42</v>
      </c>
      <c r="C2891" s="1084" t="str">
        <f>'BewDifferenzen_Statut-Marktnah'!$B$1</f>
        <v>Differenzen zwischen statutarischer und marktnaher Bewertung</v>
      </c>
      <c r="D2891" s="1143" t="str">
        <f>'BewDifferenzen_Statut-Marktnah'!$D$98</f>
        <v>Schwankungs- und Sicherheitsrückstellungen</v>
      </c>
      <c r="E2891" s="1547" t="str">
        <f>'BewDifferenzen_Statut-Marktnah'!$E104</f>
        <v>dem Geschäft nach UVG zugeordnet</v>
      </c>
      <c r="F2891" s="1548" t="str">
        <f>'BewDifferenzen_Statut-Marktnah'!$K$4</f>
        <v>Weitere Umlegungen</v>
      </c>
      <c r="G2891" s="1547"/>
      <c r="H2891" s="1144">
        <f>'BewDifferenzen_Statut-Marktnah'!$K104</f>
        <v>0</v>
      </c>
    </row>
    <row r="2892" spans="2:8" x14ac:dyDescent="0.2">
      <c r="B2892" s="1083"/>
      <c r="C2892" s="1084"/>
      <c r="D2892" s="1143"/>
      <c r="E2892" s="1547"/>
      <c r="F2892" s="1548"/>
      <c r="G2892" s="1547"/>
      <c r="H2892" s="1061"/>
    </row>
    <row r="2893" spans="2:8" ht="38.25" x14ac:dyDescent="0.2">
      <c r="B2893" s="1083">
        <f>'BewDifferenzen_Statut-Marktnah'!$A$1</f>
        <v>42</v>
      </c>
      <c r="C2893" s="1084" t="str">
        <f>'BewDifferenzen_Statut-Marktnah'!$B$1</f>
        <v>Differenzen zwischen statutarischer und marktnaher Bewertung</v>
      </c>
      <c r="D2893" s="1143" t="str">
        <f>'BewDifferenzen_Statut-Marktnah'!$D$106</f>
        <v>Total versicherungstechnische Rückstellungen</v>
      </c>
      <c r="E2893" s="1494"/>
      <c r="F2893" s="1548" t="str">
        <f>'BewDifferenzen_Statut-Marktnah'!$K$4</f>
        <v>Weitere Umlegungen</v>
      </c>
      <c r="G2893" s="1494"/>
      <c r="H2893" s="1065">
        <f>'BewDifferenzen_Statut-Marktnah'!$K106</f>
        <v>0</v>
      </c>
    </row>
    <row r="2894" spans="2:8" x14ac:dyDescent="0.2">
      <c r="B2894" s="1083"/>
      <c r="C2894" s="1084"/>
      <c r="D2894" s="1143"/>
      <c r="E2894" s="1547"/>
      <c r="F2894" s="1548"/>
      <c r="G2894" s="1547"/>
      <c r="H2894" s="1061"/>
    </row>
    <row r="2895" spans="2:8" ht="38.25" x14ac:dyDescent="0.2">
      <c r="B2895" s="1083">
        <f>'BewDifferenzen_Statut-Marktnah'!$A$1</f>
        <v>42</v>
      </c>
      <c r="C2895" s="1084" t="str">
        <f>'BewDifferenzen_Statut-Marktnah'!$B$1</f>
        <v>Differenzen zwischen statutarischer und marktnaher Bewertung</v>
      </c>
      <c r="D2895" s="1143" t="str">
        <f>'BewDifferenzen_Statut-Marktnah'!$D$111</f>
        <v>Nichtversicherungstechnische Rückstellungen</v>
      </c>
      <c r="E2895" s="1494"/>
      <c r="F2895" s="1548" t="str">
        <f>'BewDifferenzen_Statut-Marktnah'!$K$4</f>
        <v>Weitere Umlegungen</v>
      </c>
      <c r="G2895" s="1494"/>
      <c r="H2895" s="1062">
        <f>'BewDifferenzen_Statut-Marktnah'!$K111</f>
        <v>0</v>
      </c>
    </row>
    <row r="2896" spans="2:8" ht="38.25" x14ac:dyDescent="0.2">
      <c r="B2896" s="1083">
        <f>'BewDifferenzen_Statut-Marktnah'!$A$1</f>
        <v>42</v>
      </c>
      <c r="C2896" s="1084" t="str">
        <f>'BewDifferenzen_Statut-Marktnah'!$B$1</f>
        <v>Differenzen zwischen statutarischer und marktnaher Bewertung</v>
      </c>
      <c r="D2896" s="1143" t="str">
        <f>'BewDifferenzen_Statut-Marktnah'!$D$111</f>
        <v>Nichtversicherungstechnische Rückstellungen</v>
      </c>
      <c r="E2896" s="1547" t="str">
        <f>'BewDifferenzen_Statut-Marktnah'!$E112</f>
        <v>dem Geschäft nach KVG zugeordnet</v>
      </c>
      <c r="F2896" s="1548" t="str">
        <f>'BewDifferenzen_Statut-Marktnah'!$K$4</f>
        <v>Weitere Umlegungen</v>
      </c>
      <c r="G2896" s="1547"/>
      <c r="H2896" s="1144">
        <f>'BewDifferenzen_Statut-Marktnah'!$K112</f>
        <v>0</v>
      </c>
    </row>
    <row r="2897" spans="2:8" ht="38.25" x14ac:dyDescent="0.2">
      <c r="B2897" s="1083">
        <f>'BewDifferenzen_Statut-Marktnah'!$A$1</f>
        <v>42</v>
      </c>
      <c r="C2897" s="1084" t="str">
        <f>'BewDifferenzen_Statut-Marktnah'!$B$1</f>
        <v>Differenzen zwischen statutarischer und marktnaher Bewertung</v>
      </c>
      <c r="D2897" s="1143" t="str">
        <f>'BewDifferenzen_Statut-Marktnah'!$D$111</f>
        <v>Nichtversicherungstechnische Rückstellungen</v>
      </c>
      <c r="E2897" s="1547" t="str">
        <f>'BewDifferenzen_Statut-Marktnah'!$E113</f>
        <v>dem Geschäft nach VVG zugeordnet</v>
      </c>
      <c r="F2897" s="1548" t="str">
        <f>'BewDifferenzen_Statut-Marktnah'!$K$4</f>
        <v>Weitere Umlegungen</v>
      </c>
      <c r="G2897" s="1547"/>
      <c r="H2897" s="1144">
        <f>'BewDifferenzen_Statut-Marktnah'!$K113</f>
        <v>0</v>
      </c>
    </row>
    <row r="2898" spans="2:8" ht="38.25" x14ac:dyDescent="0.2">
      <c r="B2898" s="1083">
        <f>'BewDifferenzen_Statut-Marktnah'!$A$1</f>
        <v>42</v>
      </c>
      <c r="C2898" s="1084" t="str">
        <f>'BewDifferenzen_Statut-Marktnah'!$B$1</f>
        <v>Differenzen zwischen statutarischer und marktnaher Bewertung</v>
      </c>
      <c r="D2898" s="1143" t="str">
        <f>'BewDifferenzen_Statut-Marktnah'!$D$111</f>
        <v>Nichtversicherungstechnische Rückstellungen</v>
      </c>
      <c r="E2898" s="1547" t="str">
        <f>'BewDifferenzen_Statut-Marktnah'!$E114</f>
        <v>dem Geschäft nach UVG zugeordnet</v>
      </c>
      <c r="F2898" s="1548" t="str">
        <f>'BewDifferenzen_Statut-Marktnah'!$K$4</f>
        <v>Weitere Umlegungen</v>
      </c>
      <c r="G2898" s="1547"/>
      <c r="H2898" s="1144">
        <f>'BewDifferenzen_Statut-Marktnah'!$K114</f>
        <v>0</v>
      </c>
    </row>
    <row r="2899" spans="2:8" x14ac:dyDescent="0.2">
      <c r="B2899" s="1083"/>
      <c r="C2899" s="1084"/>
      <c r="D2899" s="1143"/>
      <c r="E2899" s="1547"/>
      <c r="F2899" s="1548"/>
      <c r="G2899" s="1547"/>
      <c r="H2899" s="1061"/>
    </row>
    <row r="2900" spans="2:8" ht="38.25" x14ac:dyDescent="0.2">
      <c r="B2900" s="1083">
        <f>'BewDifferenzen_Statut-Marktnah'!$A$1</f>
        <v>42</v>
      </c>
      <c r="C2900" s="1084" t="str">
        <f>'BewDifferenzen_Statut-Marktnah'!$B$1</f>
        <v>Differenzen zwischen statutarischer und marktnaher Bewertung</v>
      </c>
      <c r="D2900" s="1143" t="str">
        <f>'BewDifferenzen_Statut-Marktnah'!$D$116</f>
        <v>Rückstellungen für Risiken in den Kapitalanlagen</v>
      </c>
      <c r="E2900" s="1494"/>
      <c r="F2900" s="1548" t="str">
        <f>'BewDifferenzen_Statut-Marktnah'!$K$4</f>
        <v>Weitere Umlegungen</v>
      </c>
      <c r="G2900" s="1494"/>
      <c r="H2900" s="1062">
        <f>'BewDifferenzen_Statut-Marktnah'!$K116</f>
        <v>0</v>
      </c>
    </row>
    <row r="2901" spans="2:8" ht="38.25" x14ac:dyDescent="0.2">
      <c r="B2901" s="1083">
        <f>'BewDifferenzen_Statut-Marktnah'!$A$1</f>
        <v>42</v>
      </c>
      <c r="C2901" s="1084" t="str">
        <f>'BewDifferenzen_Statut-Marktnah'!$B$1</f>
        <v>Differenzen zwischen statutarischer und marktnaher Bewertung</v>
      </c>
      <c r="D2901" s="1143" t="str">
        <f>'BewDifferenzen_Statut-Marktnah'!$D$116</f>
        <v>Rückstellungen für Risiken in den Kapitalanlagen</v>
      </c>
      <c r="E2901" s="1547" t="str">
        <f>'BewDifferenzen_Statut-Marktnah'!$E117</f>
        <v>dem Geschäft nach KVG zugeordnet</v>
      </c>
      <c r="F2901" s="1548" t="str">
        <f>'BewDifferenzen_Statut-Marktnah'!$K$4</f>
        <v>Weitere Umlegungen</v>
      </c>
      <c r="G2901" s="1547"/>
      <c r="H2901" s="1144">
        <f>'BewDifferenzen_Statut-Marktnah'!$K117</f>
        <v>0</v>
      </c>
    </row>
    <row r="2902" spans="2:8" ht="38.25" x14ac:dyDescent="0.2">
      <c r="B2902" s="1083">
        <f>'BewDifferenzen_Statut-Marktnah'!$A$1</f>
        <v>42</v>
      </c>
      <c r="C2902" s="1084" t="str">
        <f>'BewDifferenzen_Statut-Marktnah'!$B$1</f>
        <v>Differenzen zwischen statutarischer und marktnaher Bewertung</v>
      </c>
      <c r="D2902" s="1143" t="str">
        <f>'BewDifferenzen_Statut-Marktnah'!$D$116</f>
        <v>Rückstellungen für Risiken in den Kapitalanlagen</v>
      </c>
      <c r="E2902" s="1547" t="str">
        <f>'BewDifferenzen_Statut-Marktnah'!$E118</f>
        <v>dem Geschäft nach VVG zugeordnet</v>
      </c>
      <c r="F2902" s="1548" t="str">
        <f>'BewDifferenzen_Statut-Marktnah'!$K$4</f>
        <v>Weitere Umlegungen</v>
      </c>
      <c r="G2902" s="1547"/>
      <c r="H2902" s="1144">
        <f>'BewDifferenzen_Statut-Marktnah'!$K118</f>
        <v>0</v>
      </c>
    </row>
    <row r="2903" spans="2:8" ht="38.25" x14ac:dyDescent="0.2">
      <c r="B2903" s="1083">
        <f>'BewDifferenzen_Statut-Marktnah'!$A$1</f>
        <v>42</v>
      </c>
      <c r="C2903" s="1084" t="str">
        <f>'BewDifferenzen_Statut-Marktnah'!$B$1</f>
        <v>Differenzen zwischen statutarischer und marktnaher Bewertung</v>
      </c>
      <c r="D2903" s="1143" t="str">
        <f>'BewDifferenzen_Statut-Marktnah'!$D$116</f>
        <v>Rückstellungen für Risiken in den Kapitalanlagen</v>
      </c>
      <c r="E2903" s="1547" t="str">
        <f>'BewDifferenzen_Statut-Marktnah'!$E119</f>
        <v>dem Geschäft nach UVG zugeordnet</v>
      </c>
      <c r="F2903" s="1548" t="str">
        <f>'BewDifferenzen_Statut-Marktnah'!$K$4</f>
        <v>Weitere Umlegungen</v>
      </c>
      <c r="G2903" s="1547"/>
      <c r="H2903" s="1144">
        <f>'BewDifferenzen_Statut-Marktnah'!$K119</f>
        <v>0</v>
      </c>
    </row>
    <row r="2904" spans="2:8" x14ac:dyDescent="0.2">
      <c r="B2904" s="1083"/>
      <c r="C2904" s="1084"/>
      <c r="D2904" s="1143"/>
      <c r="E2904" s="1547"/>
      <c r="F2904" s="1548"/>
      <c r="G2904" s="1547"/>
      <c r="H2904" s="1061"/>
    </row>
    <row r="2905" spans="2:8" ht="38.25" x14ac:dyDescent="0.2">
      <c r="B2905" s="1083">
        <f>'BewDifferenzen_Statut-Marktnah'!$A$1</f>
        <v>42</v>
      </c>
      <c r="C2905" s="1084" t="str">
        <f>'BewDifferenzen_Statut-Marktnah'!$B$1</f>
        <v>Differenzen zwischen statutarischer und marktnaher Bewertung</v>
      </c>
      <c r="D2905" s="1143" t="str">
        <f>'BewDifferenzen_Statut-Marktnah'!$D$121</f>
        <v>Übrige Verbindlichkeiten (inkl. Rechnungsabgrenzungen)</v>
      </c>
      <c r="E2905" s="1494"/>
      <c r="F2905" s="1548" t="str">
        <f>'BewDifferenzen_Statut-Marktnah'!$K$4</f>
        <v>Weitere Umlegungen</v>
      </c>
      <c r="G2905" s="1494"/>
      <c r="H2905" s="1062">
        <f>'BewDifferenzen_Statut-Marktnah'!$K121</f>
        <v>0</v>
      </c>
    </row>
    <row r="2906" spans="2:8" ht="38.25" x14ac:dyDescent="0.2">
      <c r="B2906" s="1083">
        <f>'BewDifferenzen_Statut-Marktnah'!$A$1</f>
        <v>42</v>
      </c>
      <c r="C2906" s="1084" t="str">
        <f>'BewDifferenzen_Statut-Marktnah'!$B$1</f>
        <v>Differenzen zwischen statutarischer und marktnaher Bewertung</v>
      </c>
      <c r="D2906" s="1143" t="str">
        <f>'BewDifferenzen_Statut-Marktnah'!$D$121</f>
        <v>Übrige Verbindlichkeiten (inkl. Rechnungsabgrenzungen)</v>
      </c>
      <c r="E2906" s="1547" t="str">
        <f>'BewDifferenzen_Statut-Marktnah'!$E122</f>
        <v>dem Geschäft nach KVG zugeordnet</v>
      </c>
      <c r="F2906" s="1548" t="str">
        <f>'BewDifferenzen_Statut-Marktnah'!$K$4</f>
        <v>Weitere Umlegungen</v>
      </c>
      <c r="G2906" s="1547"/>
      <c r="H2906" s="1144">
        <f>'BewDifferenzen_Statut-Marktnah'!$K122</f>
        <v>0</v>
      </c>
    </row>
    <row r="2907" spans="2:8" ht="38.25" x14ac:dyDescent="0.2">
      <c r="B2907" s="1083">
        <f>'BewDifferenzen_Statut-Marktnah'!$A$1</f>
        <v>42</v>
      </c>
      <c r="C2907" s="1084" t="str">
        <f>'BewDifferenzen_Statut-Marktnah'!$B$1</f>
        <v>Differenzen zwischen statutarischer und marktnaher Bewertung</v>
      </c>
      <c r="D2907" s="1143" t="str">
        <f>'BewDifferenzen_Statut-Marktnah'!$D$121</f>
        <v>Übrige Verbindlichkeiten (inkl. Rechnungsabgrenzungen)</v>
      </c>
      <c r="E2907" s="1547" t="str">
        <f>'BewDifferenzen_Statut-Marktnah'!$E123</f>
        <v>dem Geschäft nach VVG zugeordnet</v>
      </c>
      <c r="F2907" s="1548" t="str">
        <f>'BewDifferenzen_Statut-Marktnah'!$K$4</f>
        <v>Weitere Umlegungen</v>
      </c>
      <c r="G2907" s="1547"/>
      <c r="H2907" s="1144">
        <f>'BewDifferenzen_Statut-Marktnah'!$K123</f>
        <v>0</v>
      </c>
    </row>
    <row r="2908" spans="2:8" ht="38.25" x14ac:dyDescent="0.2">
      <c r="B2908" s="1083">
        <f>'BewDifferenzen_Statut-Marktnah'!$A$1</f>
        <v>42</v>
      </c>
      <c r="C2908" s="1084" t="str">
        <f>'BewDifferenzen_Statut-Marktnah'!$B$1</f>
        <v>Differenzen zwischen statutarischer und marktnaher Bewertung</v>
      </c>
      <c r="D2908" s="1143" t="str">
        <f>'BewDifferenzen_Statut-Marktnah'!$D$121</f>
        <v>Übrige Verbindlichkeiten (inkl. Rechnungsabgrenzungen)</v>
      </c>
      <c r="E2908" s="1547" t="str">
        <f>'BewDifferenzen_Statut-Marktnah'!$E124</f>
        <v>dem Geschäft nach UVG zugeordnet</v>
      </c>
      <c r="F2908" s="1548" t="str">
        <f>'BewDifferenzen_Statut-Marktnah'!$K$4</f>
        <v>Weitere Umlegungen</v>
      </c>
      <c r="G2908" s="1547"/>
      <c r="H2908" s="1144">
        <f>'BewDifferenzen_Statut-Marktnah'!$K124</f>
        <v>0</v>
      </c>
    </row>
    <row r="2909" spans="2:8" x14ac:dyDescent="0.2">
      <c r="B2909" s="1083"/>
      <c r="C2909" s="1084"/>
      <c r="D2909" s="1143"/>
      <c r="E2909" s="1547"/>
      <c r="F2909" s="1548"/>
      <c r="G2909" s="1547"/>
      <c r="H2909" s="1061"/>
    </row>
    <row r="2910" spans="2:8" ht="38.25" x14ac:dyDescent="0.2">
      <c r="B2910" s="1083">
        <f>'BewDifferenzen_Statut-Marktnah'!$A$1</f>
        <v>42</v>
      </c>
      <c r="C2910" s="1084" t="str">
        <f>'BewDifferenzen_Statut-Marktnah'!$B$1</f>
        <v>Differenzen zwischen statutarischer und marktnaher Bewertung</v>
      </c>
      <c r="D2910" s="1143" t="str">
        <f>'BewDifferenzen_Statut-Marktnah'!$D$126</f>
        <v>Total übrige Passiven</v>
      </c>
      <c r="E2910" s="1494"/>
      <c r="F2910" s="1548" t="str">
        <f>'BewDifferenzen_Statut-Marktnah'!$K$4</f>
        <v>Weitere Umlegungen</v>
      </c>
      <c r="G2910" s="1494"/>
      <c r="H2910" s="1065">
        <f>'BewDifferenzen_Statut-Marktnah'!$K126</f>
        <v>0</v>
      </c>
    </row>
    <row r="2911" spans="2:8" x14ac:dyDescent="0.2">
      <c r="B2911" s="1083"/>
      <c r="C2911" s="1084"/>
      <c r="D2911" s="1143"/>
      <c r="E2911" s="1547"/>
      <c r="F2911" s="1548"/>
      <c r="G2911" s="1547"/>
      <c r="H2911" s="1061"/>
    </row>
    <row r="2912" spans="2:8" ht="38.25" x14ac:dyDescent="0.2">
      <c r="B2912" s="1083">
        <f>'BewDifferenzen_Statut-Marktnah'!$A$1</f>
        <v>42</v>
      </c>
      <c r="C2912" s="1084" t="str">
        <f>'BewDifferenzen_Statut-Marktnah'!$B$1</f>
        <v>Differenzen zwischen statutarischer und marktnaher Bewertung</v>
      </c>
      <c r="D2912" s="1143" t="str">
        <f>'BewDifferenzen_Statut-Marktnah'!$C$128</f>
        <v>Total Fremdkapital</v>
      </c>
      <c r="E2912" s="1547"/>
      <c r="F2912" s="1548" t="str">
        <f>'BewDifferenzen_Statut-Marktnah'!$K$4</f>
        <v>Weitere Umlegungen</v>
      </c>
      <c r="G2912" s="1547"/>
      <c r="H2912" s="1065">
        <f>'BewDifferenzen_Statut-Marktnah'!$K128</f>
        <v>0</v>
      </c>
    </row>
    <row r="2913" spans="1:20" x14ac:dyDescent="0.2">
      <c r="B2913" s="1083"/>
      <c r="C2913" s="1084"/>
      <c r="D2913" s="1143"/>
      <c r="E2913" s="1547"/>
      <c r="F2913" s="1548"/>
      <c r="G2913" s="1547"/>
      <c r="H2913" s="1061"/>
    </row>
    <row r="2914" spans="1:20" ht="38.25" x14ac:dyDescent="0.2">
      <c r="B2914" s="1083">
        <f>'BewDifferenzen_Statut-Marktnah'!$A$1</f>
        <v>42</v>
      </c>
      <c r="C2914" s="1084" t="str">
        <f>'BewDifferenzen_Statut-Marktnah'!$B$1</f>
        <v>Differenzen zwischen statutarischer und marktnaher Bewertung</v>
      </c>
      <c r="D2914" s="1143" t="str">
        <f>'BewDifferenzen_Statut-Marktnah'!$C$130</f>
        <v>Differenz zwischen Aktiven und Fremdkapital</v>
      </c>
      <c r="E2914" s="1547"/>
      <c r="F2914" s="1548" t="str">
        <f>'BewDifferenzen_Statut-Marktnah'!$K$4</f>
        <v>Weitere Umlegungen</v>
      </c>
      <c r="G2914" s="1547"/>
      <c r="H2914" s="1065">
        <f>'BewDifferenzen_Statut-Marktnah'!$K130</f>
        <v>0</v>
      </c>
    </row>
    <row r="2915" spans="1:20" x14ac:dyDescent="0.2">
      <c r="B2915" s="1083"/>
      <c r="C2915" s="1084"/>
      <c r="D2915" s="1143"/>
      <c r="E2915" s="1547"/>
      <c r="F2915" s="1548"/>
      <c r="G2915" s="1547"/>
      <c r="H2915" s="1061"/>
    </row>
    <row r="2916" spans="1:20" ht="38.25" x14ac:dyDescent="0.2">
      <c r="B2916" s="1083">
        <f>'BewDifferenzen_Statut-Marktnah'!$A$1</f>
        <v>42</v>
      </c>
      <c r="C2916" s="1084" t="str">
        <f>'BewDifferenzen_Statut-Marktnah'!$B$1</f>
        <v>Differenzen zwischen statutarischer und marktnaher Bewertung</v>
      </c>
      <c r="D2916" s="1143" t="str">
        <f>'BewDifferenzen_Statut-Marktnah'!$D$132</f>
        <v>Kontrollzeile</v>
      </c>
      <c r="E2916" s="1547"/>
      <c r="F2916" s="1548" t="str">
        <f>'BewDifferenzen_Statut-Marktnah'!$K$4</f>
        <v>Weitere Umlegungen</v>
      </c>
      <c r="G2916" s="1547"/>
      <c r="H2916" s="1549">
        <f>'BewDifferenzen_Statut-Marktnah'!$K132</f>
        <v>0</v>
      </c>
    </row>
    <row r="2917" spans="1:20" x14ac:dyDescent="0.2">
      <c r="B2917" s="1083"/>
      <c r="C2917" s="1084"/>
      <c r="D2917" s="1143"/>
      <c r="E2917" s="1547"/>
      <c r="F2917" s="1548"/>
      <c r="G2917" s="1547"/>
      <c r="H2917" s="1061"/>
    </row>
    <row r="2918" spans="1:20" ht="38.25" x14ac:dyDescent="0.2">
      <c r="B2918" s="1083">
        <f>'BewDifferenzen_Statut-Marktnah'!$A$1</f>
        <v>42</v>
      </c>
      <c r="C2918" s="1084" t="str">
        <f>'BewDifferenzen_Statut-Marktnah'!$B$1</f>
        <v>Differenzen zwischen statutarischer und marktnaher Bewertung</v>
      </c>
      <c r="D2918" s="1143" t="str">
        <f>'BewDifferenzen_Statut-Marktnah'!$C$136</f>
        <v>Aufteilung des Eigenkapitals</v>
      </c>
      <c r="E2918" s="1547"/>
      <c r="F2918" s="1548" t="str">
        <f>'BewDifferenzen_Statut-Marktnah'!$K$4</f>
        <v>Weitere Umlegungen</v>
      </c>
      <c r="G2918" s="1547"/>
      <c r="H2918" s="1065">
        <f>'BewDifferenzen_Statut-Marktnah'!$K136</f>
        <v>0</v>
      </c>
    </row>
    <row r="2919" spans="1:20" ht="38.25" x14ac:dyDescent="0.2">
      <c r="B2919" s="1083">
        <f>'BewDifferenzen_Statut-Marktnah'!$A$1</f>
        <v>42</v>
      </c>
      <c r="C2919" s="1084" t="str">
        <f>'BewDifferenzen_Statut-Marktnah'!$B$1</f>
        <v>Differenzen zwischen statutarischer und marktnaher Bewertung</v>
      </c>
      <c r="D2919" s="1143" t="str">
        <f>'BewDifferenzen_Statut-Marktnah'!$C$136</f>
        <v>Aufteilung des Eigenkapitals</v>
      </c>
      <c r="E2919" s="1547" t="str">
        <f>'BewDifferenzen_Statut-Marktnah'!$E137</f>
        <v>dem Geschäft nach KVG zugeordnet</v>
      </c>
      <c r="F2919" s="1548" t="str">
        <f>'BewDifferenzen_Statut-Marktnah'!$K$4</f>
        <v>Weitere Umlegungen</v>
      </c>
      <c r="G2919" s="1547"/>
      <c r="H2919" s="1487">
        <f>'BewDifferenzen_Statut-Marktnah'!$K137</f>
        <v>0</v>
      </c>
    </row>
    <row r="2920" spans="1:20" ht="38.25" x14ac:dyDescent="0.2">
      <c r="B2920" s="1083">
        <f>'BewDifferenzen_Statut-Marktnah'!$A$1</f>
        <v>42</v>
      </c>
      <c r="C2920" s="1084" t="str">
        <f>'BewDifferenzen_Statut-Marktnah'!$B$1</f>
        <v>Differenzen zwischen statutarischer und marktnaher Bewertung</v>
      </c>
      <c r="D2920" s="1143" t="str">
        <f>'BewDifferenzen_Statut-Marktnah'!$C$136</f>
        <v>Aufteilung des Eigenkapitals</v>
      </c>
      <c r="E2920" s="1547" t="str">
        <f>'BewDifferenzen_Statut-Marktnah'!$E138</f>
        <v>dem Geschäft nach VVG zugeordnet</v>
      </c>
      <c r="F2920" s="1548" t="str">
        <f>'BewDifferenzen_Statut-Marktnah'!$K$4</f>
        <v>Weitere Umlegungen</v>
      </c>
      <c r="G2920" s="1547"/>
      <c r="H2920" s="1487">
        <f>'BewDifferenzen_Statut-Marktnah'!$K138</f>
        <v>0</v>
      </c>
    </row>
    <row r="2921" spans="1:20" ht="39" thickBot="1" x14ac:dyDescent="0.25">
      <c r="B2921" s="1085">
        <f>'BewDifferenzen_Statut-Marktnah'!$A$1</f>
        <v>42</v>
      </c>
      <c r="C2921" s="1086" t="str">
        <f>'BewDifferenzen_Statut-Marktnah'!$B$1</f>
        <v>Differenzen zwischen statutarischer und marktnaher Bewertung</v>
      </c>
      <c r="D2921" s="1153" t="str">
        <f>'BewDifferenzen_Statut-Marktnah'!$C$136</f>
        <v>Aufteilung des Eigenkapitals</v>
      </c>
      <c r="E2921" s="1552" t="str">
        <f>'BewDifferenzen_Statut-Marktnah'!$E139</f>
        <v>dem Geschäft nach UVG zugeordnet</v>
      </c>
      <c r="F2921" s="1555" t="str">
        <f>'BewDifferenzen_Statut-Marktnah'!$K$4</f>
        <v>Weitere Umlegungen</v>
      </c>
      <c r="G2921" s="1552"/>
      <c r="H2921" s="1490">
        <f>'BewDifferenzen_Statut-Marktnah'!$K139</f>
        <v>0</v>
      </c>
    </row>
    <row r="2923" spans="1:20" ht="13.5" thickBot="1" x14ac:dyDescent="0.25">
      <c r="A2923" s="1176" t="s">
        <v>1803</v>
      </c>
      <c r="C2923" s="1276"/>
    </row>
    <row r="2924" spans="1:20" x14ac:dyDescent="0.2">
      <c r="B2924" s="1080">
        <f>HE_Insurance_Risk!$A$1</f>
        <v>37</v>
      </c>
      <c r="C2924" s="1082" t="str">
        <f>HE_Insurance_Risk!$B$1</f>
        <v>Versicherungsrisiko</v>
      </c>
      <c r="D2924" s="1391" t="str">
        <f>HE_Insurance_Risk!$C$61</f>
        <v>Variabilität</v>
      </c>
      <c r="E2924" s="1392" t="str">
        <f>HE_Insurance_Risk!$R$17</f>
        <v>OKP CH</v>
      </c>
      <c r="F2924" s="1392" t="str">
        <f>HE_Insurance_Risk!C87</f>
        <v>Standardabweichung des Schaden- und Leistungsaufwands (ohne Risikoausgleich)</v>
      </c>
      <c r="G2924" s="1392"/>
      <c r="H2924" s="1556">
        <f>HE_Insurance_Risk!R87</f>
        <v>0</v>
      </c>
    </row>
    <row r="2925" spans="1:20" x14ac:dyDescent="0.2">
      <c r="B2925" s="1083">
        <f>HE_Insurance_Risk!$A$1</f>
        <v>37</v>
      </c>
      <c r="C2925" s="1091" t="str">
        <f>HE_Insurance_Risk!$B$1</f>
        <v>Versicherungsrisiko</v>
      </c>
      <c r="D2925" s="1389" t="str">
        <f>HE_Insurance_Risk!$C$61</f>
        <v>Variabilität</v>
      </c>
      <c r="E2925" s="1390" t="str">
        <f>HE_Insurance_Risk!$R$17</f>
        <v>OKP CH</v>
      </c>
      <c r="F2925" s="1390" t="str">
        <f>HE_Insurance_Risk!C89</f>
        <v xml:space="preserve">Standardabweichung des Risikoausgleichs </v>
      </c>
      <c r="G2925" s="1390"/>
      <c r="H2925" s="1397">
        <f>HE_Insurance_Risk!R89</f>
        <v>0</v>
      </c>
    </row>
    <row r="2926" spans="1:20" x14ac:dyDescent="0.2">
      <c r="B2926" s="1578">
        <f>HE_Insurance_Risk!$A$1</f>
        <v>37</v>
      </c>
      <c r="C2926" s="1398" t="str">
        <f>HE_Insurance_Risk!$B$1</f>
        <v>Versicherungsrisiko</v>
      </c>
      <c r="D2926" s="1399" t="str">
        <f>HE_Insurance_Risk!$C$61</f>
        <v>Variabilität</v>
      </c>
      <c r="E2926" s="1398" t="str">
        <f>HE_Insurance_Risk!$R$17</f>
        <v>OKP CH</v>
      </c>
      <c r="F2926" s="1398" t="str">
        <f>HE_Insurance_Risk!$C92</f>
        <v>Standardabweichung des versicherungstechnischen Risikos</v>
      </c>
      <c r="G2926" s="1398" t="s">
        <v>1807</v>
      </c>
      <c r="H2926" s="1557">
        <f>HE_Insurance_Risk!$R$85*HE_Insurance_Risk!$R$53</f>
        <v>0</v>
      </c>
    </row>
    <row r="2927" spans="1:20" s="1179" customFormat="1" x14ac:dyDescent="0.2">
      <c r="B2927" s="1083">
        <f>HE_Insurance_Risk!$A$1</f>
        <v>37</v>
      </c>
      <c r="C2927" s="1395" t="str">
        <f>HE_Insurance_Risk!$B$1</f>
        <v>Versicherungsrisiko</v>
      </c>
      <c r="D2927" s="1396" t="str">
        <f>HE_Insurance_Risk!$C$61</f>
        <v>Variabilität</v>
      </c>
      <c r="E2927" s="1390" t="str">
        <f>HE_Insurance_Risk!$W$17</f>
        <v>Total KVG inkl. UVG</v>
      </c>
      <c r="F2927" s="1390" t="str">
        <f>HE_Insurance_Risk!$C92</f>
        <v>Standardabweichung des versicherungstechnischen Risikos</v>
      </c>
      <c r="G2927" s="1390" t="s">
        <v>1807</v>
      </c>
      <c r="H2927" s="1557">
        <f>SQRT(SUM(HE_Insurance_Risk!L92^2, HE_Insurance_Risk!N92^2, H2926^2, HE_Insurance_Risk!T92^2, 2*HE_Insurance_Risk!L92*HE_Insurance_Risk!N92*HE_Insurance_Risk!$N$102, 2*HE_Insurance_Risk!L92*H2926*HE_Insurance_Risk!$R$102, 2*HE_Insurance_Risk!L92*HE_Insurance_Risk!T92*HE_Insurance_Risk!$T$102, 2*HE_Insurance_Risk!N92*H2926*HE_Insurance_Risk!$R$103, 2*HE_Insurance_Risk!N92*HE_Insurance_Risk!T92*HE_Insurance_Risk!$T$103, 2*H2926*HE_Insurance_Risk!T92*HE_Insurance_Risk!$T$105))</f>
        <v>0</v>
      </c>
      <c r="I2927" s="1170"/>
      <c r="J2927" s="1170"/>
      <c r="K2927" s="1170"/>
      <c r="L2927" s="1170"/>
      <c r="M2927" s="1170"/>
      <c r="N2927" s="1170"/>
      <c r="O2927" s="1170"/>
      <c r="P2927" s="1170"/>
      <c r="Q2927" s="1170"/>
      <c r="R2927" s="1170"/>
      <c r="S2927" s="1170"/>
      <c r="T2927" s="1170"/>
    </row>
    <row r="2928" spans="1:20" x14ac:dyDescent="0.2">
      <c r="B2928" s="1578"/>
      <c r="C2928" s="1398"/>
      <c r="D2928" s="1399"/>
      <c r="E2928" s="1418"/>
      <c r="F2928" s="1418"/>
      <c r="G2928" s="1418"/>
      <c r="H2928" s="1557"/>
    </row>
    <row r="2929" spans="1:8" ht="13.5" thickBot="1" x14ac:dyDescent="0.25">
      <c r="B2929" s="1085"/>
      <c r="C2929" s="1092"/>
      <c r="D2929" s="1393"/>
      <c r="E2929" s="1394"/>
      <c r="F2929" s="1394"/>
      <c r="G2929" s="1394"/>
      <c r="H2929" s="1400"/>
    </row>
    <row r="2931" spans="1:8" ht="13.5" thickBot="1" x14ac:dyDescent="0.25">
      <c r="A2931" s="1176" t="s">
        <v>1956</v>
      </c>
      <c r="C2931" s="1276"/>
    </row>
    <row r="2932" spans="1:8" ht="13.5" thickBot="1" x14ac:dyDescent="0.25">
      <c r="B2932" s="1579">
        <f>Risk_Compensation!A1</f>
        <v>36</v>
      </c>
      <c r="C2932" s="1567" t="s">
        <v>1872</v>
      </c>
      <c r="D2932" s="1568" t="s">
        <v>1957</v>
      </c>
      <c r="E2932" s="2179" t="s">
        <v>2549</v>
      </c>
      <c r="F2932" s="2179"/>
      <c r="G2932" s="2179"/>
      <c r="H2932" s="2180"/>
    </row>
    <row r="2933" spans="1:8" ht="13.5" thickBot="1" x14ac:dyDescent="0.25">
      <c r="B2933" s="1580"/>
      <c r="C2933" s="1570"/>
      <c r="D2933" s="1571"/>
      <c r="E2933" s="1378"/>
      <c r="F2933" s="1378"/>
      <c r="G2933" s="1378"/>
      <c r="H2933" s="1572"/>
    </row>
    <row r="2934" spans="1:8" x14ac:dyDescent="0.2">
      <c r="B2934" s="1491">
        <f>'Sensitivitaeten Delta_Market'!$A$1</f>
        <v>9</v>
      </c>
      <c r="C2934" s="1486" t="str">
        <f>'Sensitivitaeten Delta_Market'!$B$1</f>
        <v>Delta-Sensitivitäten</v>
      </c>
      <c r="D2934" s="1492" t="str">
        <f>'Sensitivitaeten Delta_Market'!$F$9</f>
        <v>Marktnaher Wert der Aktiven mit entsprechendem Risikofaktor</v>
      </c>
      <c r="E2934" s="1486" t="str">
        <f>'Sensitivitaeten Delta_Market'!$F$11</f>
        <v>dem KVG- und UVG Geschäft zugeordnet</v>
      </c>
      <c r="F2934" s="1492" t="str">
        <f>'Sensitivitaeten Delta_Market'!B$54</f>
        <v>Private Equity</v>
      </c>
      <c r="G2934" s="1492"/>
      <c r="H2934" s="1076">
        <f>'Sensitivitaeten Delta_Market'!F$54</f>
        <v>0</v>
      </c>
    </row>
    <row r="2935" spans="1:8" x14ac:dyDescent="0.2">
      <c r="B2935" s="1493">
        <f>'Sensitivitaeten Delta_Market'!$A$1</f>
        <v>9</v>
      </c>
      <c r="C2935" s="1488" t="str">
        <f>'Sensitivitaeten Delta_Market'!$B$1</f>
        <v>Delta-Sensitivitäten</v>
      </c>
      <c r="D2935" s="1494" t="str">
        <f>'Sensitivitaeten Delta_Market'!$F$9</f>
        <v>Marktnaher Wert der Aktiven mit entsprechendem Risikofaktor</v>
      </c>
      <c r="E2935" s="1488" t="str">
        <f>'Sensitivitaeten Delta_Market'!$F$11</f>
        <v>dem KVG- und UVG Geschäft zugeordnet</v>
      </c>
      <c r="F2935" s="1495" t="str">
        <f>'Sensitivitaeten Delta_Market'!B$56</f>
        <v>direkte Wohnimmobilien Schweiz</v>
      </c>
      <c r="G2935" s="1494"/>
      <c r="H2935" s="1077">
        <f>'Sensitivitaeten Delta_Market'!F$56</f>
        <v>0</v>
      </c>
    </row>
    <row r="2936" spans="1:8" x14ac:dyDescent="0.2">
      <c r="B2936" s="1493">
        <f>'Sensitivitaeten Delta_Market'!$A$1</f>
        <v>9</v>
      </c>
      <c r="C2936" s="1488" t="str">
        <f>'Sensitivitaeten Delta_Market'!$B$1</f>
        <v>Delta-Sensitivitäten</v>
      </c>
      <c r="D2936" s="1494" t="str">
        <f>'Sensitivitaeten Delta_Market'!$F$9</f>
        <v>Marktnaher Wert der Aktiven mit entsprechendem Risikofaktor</v>
      </c>
      <c r="E2936" s="1488" t="str">
        <f>'Sensitivitaeten Delta_Market'!$F$11</f>
        <v>dem KVG- und UVG Geschäft zugeordnet</v>
      </c>
      <c r="F2936" s="1495" t="str">
        <f>'Sensitivitaeten Delta_Market'!B$55</f>
        <v>Immobilienfonds Schweiz</v>
      </c>
      <c r="G2936" s="1494"/>
      <c r="H2936" s="1077">
        <f>'Sensitivitaeten Delta_Market'!F$55</f>
        <v>0</v>
      </c>
    </row>
    <row r="2937" spans="1:8" x14ac:dyDescent="0.2">
      <c r="B2937" s="1493">
        <f>'Sensitivitaeten Delta_Market'!$A$1</f>
        <v>9</v>
      </c>
      <c r="C2937" s="1488" t="str">
        <f>'Sensitivitaeten Delta_Market'!$B$1</f>
        <v>Delta-Sensitivitäten</v>
      </c>
      <c r="D2937" s="1494" t="str">
        <f>'Sensitivitaeten Delta_Market'!$F$9</f>
        <v>Marktnaher Wert der Aktiven mit entsprechendem Risikofaktor</v>
      </c>
      <c r="E2937" s="1488" t="str">
        <f>'Sensitivitaeten Delta_Market'!$F$11</f>
        <v>dem KVG- und UVG Geschäft zugeordnet</v>
      </c>
      <c r="F2937" s="1495" t="str">
        <f>'Sensitivitaeten Delta_Market'!B$57</f>
        <v>direkte Geschäftsimmobilien Schweiz</v>
      </c>
      <c r="G2937" s="1494"/>
      <c r="H2937" s="1077">
        <f>'Sensitivitaeten Delta_Market'!F$57</f>
        <v>0</v>
      </c>
    </row>
    <row r="2938" spans="1:8" x14ac:dyDescent="0.2">
      <c r="B2938" s="1493">
        <f>'Sensitivitaeten Delta_Market'!$A$1</f>
        <v>9</v>
      </c>
      <c r="C2938" s="1488" t="str">
        <f>'Sensitivitaeten Delta_Market'!$B$1</f>
        <v>Delta-Sensitivitäten</v>
      </c>
      <c r="D2938" s="1494" t="str">
        <f>'Sensitivitaeten Delta_Market'!$F$9</f>
        <v>Marktnaher Wert der Aktiven mit entsprechendem Risikofaktor</v>
      </c>
      <c r="E2938" s="1488" t="str">
        <f>'Sensitivitaeten Delta_Market'!$F$11</f>
        <v>dem KVG- und UVG Geschäft zugeordnet</v>
      </c>
      <c r="F2938" s="1495" t="str">
        <f>'Sensitivitaeten Delta_Market'!B$58</f>
        <v>Beteiligungen</v>
      </c>
      <c r="G2938" s="1494"/>
      <c r="H2938" s="1077">
        <f>'Sensitivitaeten Delta_Market'!F$58</f>
        <v>0</v>
      </c>
    </row>
    <row r="2939" spans="1:8" x14ac:dyDescent="0.2">
      <c r="B2939" s="1493"/>
      <c r="C2939" s="1488"/>
      <c r="D2939" s="1494"/>
      <c r="E2939" s="1488"/>
      <c r="F2939" s="1495"/>
      <c r="G2939" s="1494"/>
      <c r="H2939" s="1077"/>
    </row>
    <row r="2940" spans="1:8" x14ac:dyDescent="0.2">
      <c r="B2940" s="1493">
        <f>'Sensitivitaeten Delta_Market'!$A$1</f>
        <v>9</v>
      </c>
      <c r="C2940" s="1488" t="str">
        <f>'Sensitivitaeten Delta_Market'!$B$1</f>
        <v>Delta-Sensitivitäten</v>
      </c>
      <c r="D2940" s="1494" t="str">
        <f>'Sensitivitaeten Delta_Market'!$F$9</f>
        <v>Marktnaher Wert der Aktiven mit entsprechendem Risikofaktor</v>
      </c>
      <c r="E2940" s="1488" t="str">
        <f>'Sensitivitaeten Delta_Market'!$G$11</f>
        <v>dem übrigen Geschäft zugeordnet</v>
      </c>
      <c r="F2940" s="1494" t="str">
        <f>'Sensitivitaeten Delta_Market'!B$54</f>
        <v>Private Equity</v>
      </c>
      <c r="G2940" s="1494"/>
      <c r="H2940" s="1569">
        <f>'Sensitivitaeten Delta_Market'!G$54</f>
        <v>0</v>
      </c>
    </row>
    <row r="2941" spans="1:8" x14ac:dyDescent="0.2">
      <c r="B2941" s="1493">
        <f>'Sensitivitaeten Delta_Market'!$A$1</f>
        <v>9</v>
      </c>
      <c r="C2941" s="1488" t="str">
        <f>'Sensitivitaeten Delta_Market'!$B$1</f>
        <v>Delta-Sensitivitäten</v>
      </c>
      <c r="D2941" s="1494" t="str">
        <f>'Sensitivitaeten Delta_Market'!$F$9</f>
        <v>Marktnaher Wert der Aktiven mit entsprechendem Risikofaktor</v>
      </c>
      <c r="E2941" s="1488" t="str">
        <f>'Sensitivitaeten Delta_Market'!$G$11</f>
        <v>dem übrigen Geschäft zugeordnet</v>
      </c>
      <c r="F2941" s="1495" t="str">
        <f>'Sensitivitaeten Delta_Market'!B$56</f>
        <v>direkte Wohnimmobilien Schweiz</v>
      </c>
      <c r="G2941" s="1494"/>
      <c r="H2941" s="1077">
        <f>'Sensitivitaeten Delta_Market'!G$56</f>
        <v>0</v>
      </c>
    </row>
    <row r="2942" spans="1:8" x14ac:dyDescent="0.2">
      <c r="B2942" s="1493">
        <f>'Sensitivitaeten Delta_Market'!$A$1</f>
        <v>9</v>
      </c>
      <c r="C2942" s="1488" t="str">
        <f>'Sensitivitaeten Delta_Market'!$B$1</f>
        <v>Delta-Sensitivitäten</v>
      </c>
      <c r="D2942" s="1494" t="str">
        <f>'Sensitivitaeten Delta_Market'!$F$9</f>
        <v>Marktnaher Wert der Aktiven mit entsprechendem Risikofaktor</v>
      </c>
      <c r="E2942" s="1488" t="str">
        <f>'Sensitivitaeten Delta_Market'!$G$11</f>
        <v>dem übrigen Geschäft zugeordnet</v>
      </c>
      <c r="F2942" s="1495" t="str">
        <f>'Sensitivitaeten Delta_Market'!B$55</f>
        <v>Immobilienfonds Schweiz</v>
      </c>
      <c r="G2942" s="1494"/>
      <c r="H2942" s="1077">
        <f>'Sensitivitaeten Delta_Market'!G$55</f>
        <v>0</v>
      </c>
    </row>
    <row r="2943" spans="1:8" x14ac:dyDescent="0.2">
      <c r="B2943" s="1493">
        <f>'Sensitivitaeten Delta_Market'!$A$1</f>
        <v>9</v>
      </c>
      <c r="C2943" s="1488" t="str">
        <f>'Sensitivitaeten Delta_Market'!$B$1</f>
        <v>Delta-Sensitivitäten</v>
      </c>
      <c r="D2943" s="1494" t="str">
        <f>'Sensitivitaeten Delta_Market'!$F$9</f>
        <v>Marktnaher Wert der Aktiven mit entsprechendem Risikofaktor</v>
      </c>
      <c r="E2943" s="1488" t="str">
        <f>'Sensitivitaeten Delta_Market'!$G$11</f>
        <v>dem übrigen Geschäft zugeordnet</v>
      </c>
      <c r="F2943" s="1495" t="str">
        <f>'Sensitivitaeten Delta_Market'!B$57</f>
        <v>direkte Geschäftsimmobilien Schweiz</v>
      </c>
      <c r="G2943" s="1494"/>
      <c r="H2943" s="1077">
        <f>'Sensitivitaeten Delta_Market'!G$57</f>
        <v>0</v>
      </c>
    </row>
    <row r="2944" spans="1:8" x14ac:dyDescent="0.2">
      <c r="B2944" s="1493">
        <f>'Sensitivitaeten Delta_Market'!$A$1</f>
        <v>9</v>
      </c>
      <c r="C2944" s="1488" t="str">
        <f>'Sensitivitaeten Delta_Market'!$B$1</f>
        <v>Delta-Sensitivitäten</v>
      </c>
      <c r="D2944" s="1494" t="str">
        <f>'Sensitivitaeten Delta_Market'!$F$9</f>
        <v>Marktnaher Wert der Aktiven mit entsprechendem Risikofaktor</v>
      </c>
      <c r="E2944" s="1488" t="str">
        <f>'Sensitivitaeten Delta_Market'!$G$11</f>
        <v>dem übrigen Geschäft zugeordnet</v>
      </c>
      <c r="F2944" s="1495" t="str">
        <f>'Sensitivitaeten Delta_Market'!B$58</f>
        <v>Beteiligungen</v>
      </c>
      <c r="G2944" s="1494"/>
      <c r="H2944" s="1077">
        <f>'Sensitivitaeten Delta_Market'!G$58</f>
        <v>0</v>
      </c>
    </row>
    <row r="2945" spans="2:8" x14ac:dyDescent="0.2">
      <c r="B2945" s="1493"/>
      <c r="C2945" s="1488"/>
      <c r="D2945" s="1494"/>
      <c r="E2945" s="1488"/>
      <c r="F2945" s="1495"/>
      <c r="G2945" s="1494"/>
      <c r="H2945" s="1077"/>
    </row>
    <row r="2946" spans="2:8" x14ac:dyDescent="0.2">
      <c r="B2946" s="1493">
        <f>'Sensitivitaeten Delta_Market'!$A$1</f>
        <v>9</v>
      </c>
      <c r="C2946" s="1488" t="str">
        <f>'Sensitivitaeten Delta_Market'!$B$1</f>
        <v>Delta-Sensitivitäten</v>
      </c>
      <c r="D2946" s="1494" t="str">
        <f>'Sensitivitaeten Delta_Market'!$I$11</f>
        <v>Änderungen der Aktiven</v>
      </c>
      <c r="E2946" s="1488" t="str">
        <f>'Sensitivitaeten Delta_Market'!$I$13</f>
        <v>nach oben</v>
      </c>
      <c r="F2946" s="1494" t="str">
        <f>'Sensitivitaeten Delta_Market'!B$54</f>
        <v>Private Equity</v>
      </c>
      <c r="G2946" s="1494"/>
      <c r="H2946" s="1569">
        <f>'Sensitivitaeten Delta_Market'!I$54</f>
        <v>0</v>
      </c>
    </row>
    <row r="2947" spans="2:8" x14ac:dyDescent="0.2">
      <c r="B2947" s="1493">
        <f>'Sensitivitaeten Delta_Market'!$A$1</f>
        <v>9</v>
      </c>
      <c r="C2947" s="1488" t="str">
        <f>'Sensitivitaeten Delta_Market'!$B$1</f>
        <v>Delta-Sensitivitäten</v>
      </c>
      <c r="D2947" s="1494" t="str">
        <f>'Sensitivitaeten Delta_Market'!$I$11</f>
        <v>Änderungen der Aktiven</v>
      </c>
      <c r="E2947" s="1488" t="str">
        <f>'Sensitivitaeten Delta_Market'!$I$13</f>
        <v>nach oben</v>
      </c>
      <c r="F2947" s="1495" t="str">
        <f>'Sensitivitaeten Delta_Market'!B$56</f>
        <v>direkte Wohnimmobilien Schweiz</v>
      </c>
      <c r="G2947" s="1494"/>
      <c r="H2947" s="1077">
        <f>'Sensitivitaeten Delta_Market'!I$56</f>
        <v>0</v>
      </c>
    </row>
    <row r="2948" spans="2:8" x14ac:dyDescent="0.2">
      <c r="B2948" s="1493">
        <f>'Sensitivitaeten Delta_Market'!$A$1</f>
        <v>9</v>
      </c>
      <c r="C2948" s="1488" t="str">
        <f>'Sensitivitaeten Delta_Market'!$B$1</f>
        <v>Delta-Sensitivitäten</v>
      </c>
      <c r="D2948" s="1494" t="str">
        <f>'Sensitivitaeten Delta_Market'!$I$11</f>
        <v>Änderungen der Aktiven</v>
      </c>
      <c r="E2948" s="1488" t="str">
        <f>'Sensitivitaeten Delta_Market'!$I$13</f>
        <v>nach oben</v>
      </c>
      <c r="F2948" s="1495" t="str">
        <f>'Sensitivitaeten Delta_Market'!B$55</f>
        <v>Immobilienfonds Schweiz</v>
      </c>
      <c r="G2948" s="1494"/>
      <c r="H2948" s="1077">
        <f>'Sensitivitaeten Delta_Market'!I$55</f>
        <v>0</v>
      </c>
    </row>
    <row r="2949" spans="2:8" x14ac:dyDescent="0.2">
      <c r="B2949" s="1493">
        <f>'Sensitivitaeten Delta_Market'!$A$1</f>
        <v>9</v>
      </c>
      <c r="C2949" s="1488" t="str">
        <f>'Sensitivitaeten Delta_Market'!$B$1</f>
        <v>Delta-Sensitivitäten</v>
      </c>
      <c r="D2949" s="1494" t="str">
        <f>'Sensitivitaeten Delta_Market'!$I$11</f>
        <v>Änderungen der Aktiven</v>
      </c>
      <c r="E2949" s="1488" t="str">
        <f>'Sensitivitaeten Delta_Market'!$I$13</f>
        <v>nach oben</v>
      </c>
      <c r="F2949" s="1495" t="str">
        <f>'Sensitivitaeten Delta_Market'!B$57</f>
        <v>direkte Geschäftsimmobilien Schweiz</v>
      </c>
      <c r="G2949" s="1494"/>
      <c r="H2949" s="1077">
        <f>'Sensitivitaeten Delta_Market'!I$57</f>
        <v>0</v>
      </c>
    </row>
    <row r="2950" spans="2:8" x14ac:dyDescent="0.2">
      <c r="B2950" s="1493">
        <f>'Sensitivitaeten Delta_Market'!$A$1</f>
        <v>9</v>
      </c>
      <c r="C2950" s="1488" t="str">
        <f>'Sensitivitaeten Delta_Market'!$B$1</f>
        <v>Delta-Sensitivitäten</v>
      </c>
      <c r="D2950" s="1494" t="str">
        <f>'Sensitivitaeten Delta_Market'!$I$11</f>
        <v>Änderungen der Aktiven</v>
      </c>
      <c r="E2950" s="1488" t="str">
        <f>'Sensitivitaeten Delta_Market'!$I$13</f>
        <v>nach oben</v>
      </c>
      <c r="F2950" s="1495" t="str">
        <f>'Sensitivitaeten Delta_Market'!B$58</f>
        <v>Beteiligungen</v>
      </c>
      <c r="G2950" s="1494"/>
      <c r="H2950" s="1077">
        <f>'Sensitivitaeten Delta_Market'!I$58</f>
        <v>0</v>
      </c>
    </row>
    <row r="2951" spans="2:8" x14ac:dyDescent="0.2">
      <c r="B2951" s="1493"/>
      <c r="C2951" s="1488"/>
      <c r="D2951" s="1494"/>
      <c r="E2951" s="1488"/>
      <c r="F2951" s="1495"/>
      <c r="G2951" s="1494"/>
      <c r="H2951" s="1077"/>
    </row>
    <row r="2952" spans="2:8" x14ac:dyDescent="0.2">
      <c r="B2952" s="1493">
        <f>'Sensitivitaeten Delta_Market'!$A$1</f>
        <v>9</v>
      </c>
      <c r="C2952" s="1488" t="str">
        <f>'Sensitivitaeten Delta_Market'!$B$1</f>
        <v>Delta-Sensitivitäten</v>
      </c>
      <c r="D2952" s="1494" t="str">
        <f>'Sensitivitaeten Delta_Market'!$I$11</f>
        <v>Änderungen der Aktiven</v>
      </c>
      <c r="E2952" s="1488" t="str">
        <f>'Sensitivitaeten Delta_Market'!$J$13</f>
        <v>nach unten</v>
      </c>
      <c r="F2952" s="1494" t="str">
        <f>'Sensitivitaeten Delta_Market'!B$54</f>
        <v>Private Equity</v>
      </c>
      <c r="G2952" s="1494"/>
      <c r="H2952" s="1569">
        <f>'Sensitivitaeten Delta_Market'!J$54</f>
        <v>0</v>
      </c>
    </row>
    <row r="2953" spans="2:8" x14ac:dyDescent="0.2">
      <c r="B2953" s="1493">
        <f>'Sensitivitaeten Delta_Market'!$A$1</f>
        <v>9</v>
      </c>
      <c r="C2953" s="1488" t="str">
        <f>'Sensitivitaeten Delta_Market'!$B$1</f>
        <v>Delta-Sensitivitäten</v>
      </c>
      <c r="D2953" s="1494" t="str">
        <f>'Sensitivitaeten Delta_Market'!$I$11</f>
        <v>Änderungen der Aktiven</v>
      </c>
      <c r="E2953" s="1488" t="str">
        <f>'Sensitivitaeten Delta_Market'!$J$13</f>
        <v>nach unten</v>
      </c>
      <c r="F2953" s="1495" t="str">
        <f>'Sensitivitaeten Delta_Market'!B$56</f>
        <v>direkte Wohnimmobilien Schweiz</v>
      </c>
      <c r="G2953" s="1494"/>
      <c r="H2953" s="1077">
        <f>'Sensitivitaeten Delta_Market'!J$56</f>
        <v>0</v>
      </c>
    </row>
    <row r="2954" spans="2:8" x14ac:dyDescent="0.2">
      <c r="B2954" s="1493">
        <f>'Sensitivitaeten Delta_Market'!$A$1</f>
        <v>9</v>
      </c>
      <c r="C2954" s="1488" t="str">
        <f>'Sensitivitaeten Delta_Market'!$B$1</f>
        <v>Delta-Sensitivitäten</v>
      </c>
      <c r="D2954" s="1494" t="str">
        <f>'Sensitivitaeten Delta_Market'!$I$11</f>
        <v>Änderungen der Aktiven</v>
      </c>
      <c r="E2954" s="1488" t="str">
        <f>'Sensitivitaeten Delta_Market'!$J$13</f>
        <v>nach unten</v>
      </c>
      <c r="F2954" s="1495" t="str">
        <f>'Sensitivitaeten Delta_Market'!B$55</f>
        <v>Immobilienfonds Schweiz</v>
      </c>
      <c r="G2954" s="1494"/>
      <c r="H2954" s="1077">
        <f>'Sensitivitaeten Delta_Market'!J$55</f>
        <v>0</v>
      </c>
    </row>
    <row r="2955" spans="2:8" x14ac:dyDescent="0.2">
      <c r="B2955" s="1493">
        <f>'Sensitivitaeten Delta_Market'!$A$1</f>
        <v>9</v>
      </c>
      <c r="C2955" s="1488" t="str">
        <f>'Sensitivitaeten Delta_Market'!$B$1</f>
        <v>Delta-Sensitivitäten</v>
      </c>
      <c r="D2955" s="1494" t="str">
        <f>'Sensitivitaeten Delta_Market'!$I$11</f>
        <v>Änderungen der Aktiven</v>
      </c>
      <c r="E2955" s="1488" t="str">
        <f>'Sensitivitaeten Delta_Market'!$J$13</f>
        <v>nach unten</v>
      </c>
      <c r="F2955" s="1495" t="str">
        <f>'Sensitivitaeten Delta_Market'!B$57</f>
        <v>direkte Geschäftsimmobilien Schweiz</v>
      </c>
      <c r="G2955" s="1494"/>
      <c r="H2955" s="1077">
        <f>'Sensitivitaeten Delta_Market'!J$57</f>
        <v>0</v>
      </c>
    </row>
    <row r="2956" spans="2:8" x14ac:dyDescent="0.2">
      <c r="B2956" s="1493">
        <f>'Sensitivitaeten Delta_Market'!$A$1</f>
        <v>9</v>
      </c>
      <c r="C2956" s="1488" t="str">
        <f>'Sensitivitaeten Delta_Market'!$B$1</f>
        <v>Delta-Sensitivitäten</v>
      </c>
      <c r="D2956" s="1494" t="str">
        <f>'Sensitivitaeten Delta_Market'!$I$11</f>
        <v>Änderungen der Aktiven</v>
      </c>
      <c r="E2956" s="1488" t="str">
        <f>'Sensitivitaeten Delta_Market'!$J$13</f>
        <v>nach unten</v>
      </c>
      <c r="F2956" s="1495" t="str">
        <f>'Sensitivitaeten Delta_Market'!B$58</f>
        <v>Beteiligungen</v>
      </c>
      <c r="G2956" s="1494"/>
      <c r="H2956" s="1077">
        <f>'Sensitivitaeten Delta_Market'!J$58</f>
        <v>0</v>
      </c>
    </row>
    <row r="2957" spans="2:8" x14ac:dyDescent="0.2">
      <c r="B2957" s="1493"/>
      <c r="C2957" s="1488"/>
      <c r="D2957" s="1494"/>
      <c r="E2957" s="1488"/>
      <c r="F2957" s="1495"/>
      <c r="G2957" s="1494"/>
      <c r="H2957" s="1077"/>
    </row>
    <row r="2958" spans="2:8" x14ac:dyDescent="0.2">
      <c r="B2958" s="1493">
        <f>'Sensitivitaeten Delta_Market'!$A$1</f>
        <v>9</v>
      </c>
      <c r="C2958" s="1488" t="str">
        <f>'Sensitivitaeten Delta_Market'!$B$1</f>
        <v>Delta-Sensitivitäten</v>
      </c>
      <c r="D2958" s="1494" t="str">
        <f>'Sensitivitaeten Delta_Market'!$O$9</f>
        <v>Marktnaher Wert der Passiven mit entsprechendem Risikofaktor</v>
      </c>
      <c r="E2958" s="1488" t="str">
        <f>'Sensitivitaeten Delta_Market'!$O$11</f>
        <v>dem KVG- und UVG Geschäft zugeordnet</v>
      </c>
      <c r="F2958" s="1494" t="str">
        <f>'Sensitivitaeten Delta_Market'!B$54</f>
        <v>Private Equity</v>
      </c>
      <c r="G2958" s="1494"/>
      <c r="H2958" s="1569">
        <f>'Sensitivitaeten Delta_Market'!O$54</f>
        <v>0</v>
      </c>
    </row>
    <row r="2959" spans="2:8" x14ac:dyDescent="0.2">
      <c r="B2959" s="1493">
        <f>'Sensitivitaeten Delta_Market'!$A$1</f>
        <v>9</v>
      </c>
      <c r="C2959" s="1488" t="str">
        <f>'Sensitivitaeten Delta_Market'!$B$1</f>
        <v>Delta-Sensitivitäten</v>
      </c>
      <c r="D2959" s="1494" t="str">
        <f>'Sensitivitaeten Delta_Market'!$O$9</f>
        <v>Marktnaher Wert der Passiven mit entsprechendem Risikofaktor</v>
      </c>
      <c r="E2959" s="1488" t="str">
        <f>'Sensitivitaeten Delta_Market'!$O$11</f>
        <v>dem KVG- und UVG Geschäft zugeordnet</v>
      </c>
      <c r="F2959" s="1495" t="str">
        <f>'Sensitivitaeten Delta_Market'!B$56</f>
        <v>direkte Wohnimmobilien Schweiz</v>
      </c>
      <c r="G2959" s="1494"/>
      <c r="H2959" s="1077">
        <f>'Sensitivitaeten Delta_Market'!O$56</f>
        <v>0</v>
      </c>
    </row>
    <row r="2960" spans="2:8" x14ac:dyDescent="0.2">
      <c r="B2960" s="1493">
        <f>'Sensitivitaeten Delta_Market'!$A$1</f>
        <v>9</v>
      </c>
      <c r="C2960" s="1488" t="str">
        <f>'Sensitivitaeten Delta_Market'!$B$1</f>
        <v>Delta-Sensitivitäten</v>
      </c>
      <c r="D2960" s="1494" t="str">
        <f>'Sensitivitaeten Delta_Market'!$O$9</f>
        <v>Marktnaher Wert der Passiven mit entsprechendem Risikofaktor</v>
      </c>
      <c r="E2960" s="1488" t="str">
        <f>'Sensitivitaeten Delta_Market'!$O$11</f>
        <v>dem KVG- und UVG Geschäft zugeordnet</v>
      </c>
      <c r="F2960" s="1495" t="str">
        <f>'Sensitivitaeten Delta_Market'!B$55</f>
        <v>Immobilienfonds Schweiz</v>
      </c>
      <c r="G2960" s="1494"/>
      <c r="H2960" s="1077">
        <f>'Sensitivitaeten Delta_Market'!O$55</f>
        <v>0</v>
      </c>
    </row>
    <row r="2961" spans="2:8" x14ac:dyDescent="0.2">
      <c r="B2961" s="1493">
        <f>'Sensitivitaeten Delta_Market'!$A$1</f>
        <v>9</v>
      </c>
      <c r="C2961" s="1488" t="str">
        <f>'Sensitivitaeten Delta_Market'!$B$1</f>
        <v>Delta-Sensitivitäten</v>
      </c>
      <c r="D2961" s="1494" t="str">
        <f>'Sensitivitaeten Delta_Market'!$O$9</f>
        <v>Marktnaher Wert der Passiven mit entsprechendem Risikofaktor</v>
      </c>
      <c r="E2961" s="1488" t="str">
        <f>'Sensitivitaeten Delta_Market'!$O$11</f>
        <v>dem KVG- und UVG Geschäft zugeordnet</v>
      </c>
      <c r="F2961" s="1495" t="str">
        <f>'Sensitivitaeten Delta_Market'!B$57</f>
        <v>direkte Geschäftsimmobilien Schweiz</v>
      </c>
      <c r="G2961" s="1494"/>
      <c r="H2961" s="1077">
        <f>'Sensitivitaeten Delta_Market'!O$57</f>
        <v>0</v>
      </c>
    </row>
    <row r="2962" spans="2:8" x14ac:dyDescent="0.2">
      <c r="B2962" s="1493">
        <f>'Sensitivitaeten Delta_Market'!$A$1</f>
        <v>9</v>
      </c>
      <c r="C2962" s="1488" t="str">
        <f>'Sensitivitaeten Delta_Market'!$B$1</f>
        <v>Delta-Sensitivitäten</v>
      </c>
      <c r="D2962" s="1494" t="str">
        <f>'Sensitivitaeten Delta_Market'!$O$9</f>
        <v>Marktnaher Wert der Passiven mit entsprechendem Risikofaktor</v>
      </c>
      <c r="E2962" s="1488" t="str">
        <f>'Sensitivitaeten Delta_Market'!$O$11</f>
        <v>dem KVG- und UVG Geschäft zugeordnet</v>
      </c>
      <c r="F2962" s="1495" t="str">
        <f>'Sensitivitaeten Delta_Market'!B$58</f>
        <v>Beteiligungen</v>
      </c>
      <c r="G2962" s="1494"/>
      <c r="H2962" s="1077">
        <f>'Sensitivitaeten Delta_Market'!O$58</f>
        <v>0</v>
      </c>
    </row>
    <row r="2963" spans="2:8" x14ac:dyDescent="0.2">
      <c r="B2963" s="1493"/>
      <c r="C2963" s="1488"/>
      <c r="D2963" s="1494"/>
      <c r="E2963" s="1488"/>
      <c r="F2963" s="1495"/>
      <c r="G2963" s="1494"/>
      <c r="H2963" s="1077"/>
    </row>
    <row r="2964" spans="2:8" x14ac:dyDescent="0.2">
      <c r="B2964" s="1493">
        <f>'Sensitivitaeten Delta_Market'!$A$1</f>
        <v>9</v>
      </c>
      <c r="C2964" s="1488" t="str">
        <f>'Sensitivitaeten Delta_Market'!$B$1</f>
        <v>Delta-Sensitivitäten</v>
      </c>
      <c r="D2964" s="1494" t="str">
        <f>'Sensitivitaeten Delta_Market'!$O$9</f>
        <v>Marktnaher Wert der Passiven mit entsprechendem Risikofaktor</v>
      </c>
      <c r="E2964" s="1488" t="str">
        <f>'Sensitivitaeten Delta_Market'!$P$11</f>
        <v>dem übrigen Geschäft zugeordnet</v>
      </c>
      <c r="F2964" s="1494" t="str">
        <f>'Sensitivitaeten Delta_Market'!B$54</f>
        <v>Private Equity</v>
      </c>
      <c r="G2964" s="1494"/>
      <c r="H2964" s="1569">
        <f>'Sensitivitaeten Delta_Market'!P$54</f>
        <v>0</v>
      </c>
    </row>
    <row r="2965" spans="2:8" x14ac:dyDescent="0.2">
      <c r="B2965" s="1493">
        <f>'Sensitivitaeten Delta_Market'!$A$1</f>
        <v>9</v>
      </c>
      <c r="C2965" s="1488" t="str">
        <f>'Sensitivitaeten Delta_Market'!$B$1</f>
        <v>Delta-Sensitivitäten</v>
      </c>
      <c r="D2965" s="1494" t="str">
        <f>'Sensitivitaeten Delta_Market'!$O$9</f>
        <v>Marktnaher Wert der Passiven mit entsprechendem Risikofaktor</v>
      </c>
      <c r="E2965" s="1488" t="str">
        <f>'Sensitivitaeten Delta_Market'!$P$11</f>
        <v>dem übrigen Geschäft zugeordnet</v>
      </c>
      <c r="F2965" s="1495" t="str">
        <f>'Sensitivitaeten Delta_Market'!B$56</f>
        <v>direkte Wohnimmobilien Schweiz</v>
      </c>
      <c r="G2965" s="1494"/>
      <c r="H2965" s="1077">
        <f>'Sensitivitaeten Delta_Market'!P$56</f>
        <v>0</v>
      </c>
    </row>
    <row r="2966" spans="2:8" x14ac:dyDescent="0.2">
      <c r="B2966" s="1493">
        <f>'Sensitivitaeten Delta_Market'!$A$1</f>
        <v>9</v>
      </c>
      <c r="C2966" s="1488" t="str">
        <f>'Sensitivitaeten Delta_Market'!$B$1</f>
        <v>Delta-Sensitivitäten</v>
      </c>
      <c r="D2966" s="1494" t="str">
        <f>'Sensitivitaeten Delta_Market'!$O$9</f>
        <v>Marktnaher Wert der Passiven mit entsprechendem Risikofaktor</v>
      </c>
      <c r="E2966" s="1488" t="str">
        <f>'Sensitivitaeten Delta_Market'!$P$11</f>
        <v>dem übrigen Geschäft zugeordnet</v>
      </c>
      <c r="F2966" s="1495" t="str">
        <f>'Sensitivitaeten Delta_Market'!B$55</f>
        <v>Immobilienfonds Schweiz</v>
      </c>
      <c r="G2966" s="1494"/>
      <c r="H2966" s="1077">
        <f>'Sensitivitaeten Delta_Market'!P$55</f>
        <v>0</v>
      </c>
    </row>
    <row r="2967" spans="2:8" x14ac:dyDescent="0.2">
      <c r="B2967" s="1493">
        <f>'Sensitivitaeten Delta_Market'!$A$1</f>
        <v>9</v>
      </c>
      <c r="C2967" s="1488" t="str">
        <f>'Sensitivitaeten Delta_Market'!$B$1</f>
        <v>Delta-Sensitivitäten</v>
      </c>
      <c r="D2967" s="1494" t="str">
        <f>'Sensitivitaeten Delta_Market'!$O$9</f>
        <v>Marktnaher Wert der Passiven mit entsprechendem Risikofaktor</v>
      </c>
      <c r="E2967" s="1488" t="str">
        <f>'Sensitivitaeten Delta_Market'!$P$11</f>
        <v>dem übrigen Geschäft zugeordnet</v>
      </c>
      <c r="F2967" s="1495" t="str">
        <f>'Sensitivitaeten Delta_Market'!B$57</f>
        <v>direkte Geschäftsimmobilien Schweiz</v>
      </c>
      <c r="G2967" s="1494"/>
      <c r="H2967" s="1077">
        <f>'Sensitivitaeten Delta_Market'!P$57</f>
        <v>0</v>
      </c>
    </row>
    <row r="2968" spans="2:8" x14ac:dyDescent="0.2">
      <c r="B2968" s="1493">
        <f>'Sensitivitaeten Delta_Market'!$A$1</f>
        <v>9</v>
      </c>
      <c r="C2968" s="1488" t="str">
        <f>'Sensitivitaeten Delta_Market'!$B$1</f>
        <v>Delta-Sensitivitäten</v>
      </c>
      <c r="D2968" s="1494" t="str">
        <f>'Sensitivitaeten Delta_Market'!$O$9</f>
        <v>Marktnaher Wert der Passiven mit entsprechendem Risikofaktor</v>
      </c>
      <c r="E2968" s="1488" t="str">
        <f>'Sensitivitaeten Delta_Market'!$P$11</f>
        <v>dem übrigen Geschäft zugeordnet</v>
      </c>
      <c r="F2968" s="1495" t="str">
        <f>'Sensitivitaeten Delta_Market'!B$58</f>
        <v>Beteiligungen</v>
      </c>
      <c r="G2968" s="1494"/>
      <c r="H2968" s="1077">
        <f>'Sensitivitaeten Delta_Market'!P$58</f>
        <v>0</v>
      </c>
    </row>
    <row r="2969" spans="2:8" x14ac:dyDescent="0.2">
      <c r="B2969" s="1493"/>
      <c r="C2969" s="1488"/>
      <c r="D2969" s="1494"/>
      <c r="E2969" s="1488"/>
      <c r="F2969" s="1495"/>
      <c r="G2969" s="1494"/>
      <c r="H2969" s="1077"/>
    </row>
    <row r="2970" spans="2:8" x14ac:dyDescent="0.2">
      <c r="B2970" s="1493">
        <f>'Sensitivitaeten Delta_Market'!$A$1</f>
        <v>9</v>
      </c>
      <c r="C2970" s="1488" t="str">
        <f>'Sensitivitaeten Delta_Market'!$B$1</f>
        <v>Delta-Sensitivitäten</v>
      </c>
      <c r="D2970" s="1494" t="str">
        <f>'Sensitivitaeten Delta_Market'!$R$11</f>
        <v>Änderungen der Passiven</v>
      </c>
      <c r="E2970" s="1488" t="str">
        <f>'Sensitivitaeten Delta_Market'!$R$13</f>
        <v>nach oben</v>
      </c>
      <c r="F2970" s="1494" t="str">
        <f>'Sensitivitaeten Delta_Market'!B$54</f>
        <v>Private Equity</v>
      </c>
      <c r="G2970" s="1494"/>
      <c r="H2970" s="1569">
        <f>'Sensitivitaeten Delta_Market'!R$54</f>
        <v>0</v>
      </c>
    </row>
    <row r="2971" spans="2:8" x14ac:dyDescent="0.2">
      <c r="B2971" s="1493">
        <f>'Sensitivitaeten Delta_Market'!$A$1</f>
        <v>9</v>
      </c>
      <c r="C2971" s="1488" t="str">
        <f>'Sensitivitaeten Delta_Market'!$B$1</f>
        <v>Delta-Sensitivitäten</v>
      </c>
      <c r="D2971" s="1494" t="str">
        <f>'Sensitivitaeten Delta_Market'!$R$11</f>
        <v>Änderungen der Passiven</v>
      </c>
      <c r="E2971" s="1488" t="str">
        <f>'Sensitivitaeten Delta_Market'!$R$13</f>
        <v>nach oben</v>
      </c>
      <c r="F2971" s="1495" t="str">
        <f>'Sensitivitaeten Delta_Market'!B$56</f>
        <v>direkte Wohnimmobilien Schweiz</v>
      </c>
      <c r="G2971" s="1494"/>
      <c r="H2971" s="1077">
        <f>'Sensitivitaeten Delta_Market'!R$56</f>
        <v>0</v>
      </c>
    </row>
    <row r="2972" spans="2:8" x14ac:dyDescent="0.2">
      <c r="B2972" s="1493">
        <f>'Sensitivitaeten Delta_Market'!$A$1</f>
        <v>9</v>
      </c>
      <c r="C2972" s="1488" t="str">
        <f>'Sensitivitaeten Delta_Market'!$B$1</f>
        <v>Delta-Sensitivitäten</v>
      </c>
      <c r="D2972" s="1494" t="str">
        <f>'Sensitivitaeten Delta_Market'!$R$11</f>
        <v>Änderungen der Passiven</v>
      </c>
      <c r="E2972" s="1488" t="str">
        <f>'Sensitivitaeten Delta_Market'!$R$13</f>
        <v>nach oben</v>
      </c>
      <c r="F2972" s="1495" t="str">
        <f>'Sensitivitaeten Delta_Market'!B$55</f>
        <v>Immobilienfonds Schweiz</v>
      </c>
      <c r="G2972" s="1494"/>
      <c r="H2972" s="1077">
        <f>'Sensitivitaeten Delta_Market'!R$55</f>
        <v>0</v>
      </c>
    </row>
    <row r="2973" spans="2:8" x14ac:dyDescent="0.2">
      <c r="B2973" s="1493">
        <f>'Sensitivitaeten Delta_Market'!$A$1</f>
        <v>9</v>
      </c>
      <c r="C2973" s="1488" t="str">
        <f>'Sensitivitaeten Delta_Market'!$B$1</f>
        <v>Delta-Sensitivitäten</v>
      </c>
      <c r="D2973" s="1494" t="str">
        <f>'Sensitivitaeten Delta_Market'!$R$11</f>
        <v>Änderungen der Passiven</v>
      </c>
      <c r="E2973" s="1488" t="str">
        <f>'Sensitivitaeten Delta_Market'!$R$13</f>
        <v>nach oben</v>
      </c>
      <c r="F2973" s="1495" t="str">
        <f>'Sensitivitaeten Delta_Market'!B$57</f>
        <v>direkte Geschäftsimmobilien Schweiz</v>
      </c>
      <c r="G2973" s="1494"/>
      <c r="H2973" s="1077">
        <f>'Sensitivitaeten Delta_Market'!R$57</f>
        <v>0</v>
      </c>
    </row>
    <row r="2974" spans="2:8" x14ac:dyDescent="0.2">
      <c r="B2974" s="1493">
        <f>'Sensitivitaeten Delta_Market'!$A$1</f>
        <v>9</v>
      </c>
      <c r="C2974" s="1488" t="str">
        <f>'Sensitivitaeten Delta_Market'!$B$1</f>
        <v>Delta-Sensitivitäten</v>
      </c>
      <c r="D2974" s="1494" t="str">
        <f>'Sensitivitaeten Delta_Market'!$R$11</f>
        <v>Änderungen der Passiven</v>
      </c>
      <c r="E2974" s="1488" t="str">
        <f>'Sensitivitaeten Delta_Market'!$R$13</f>
        <v>nach oben</v>
      </c>
      <c r="F2974" s="1495" t="str">
        <f>'Sensitivitaeten Delta_Market'!B$58</f>
        <v>Beteiligungen</v>
      </c>
      <c r="G2974" s="1494"/>
      <c r="H2974" s="1077">
        <f>'Sensitivitaeten Delta_Market'!R$58</f>
        <v>0</v>
      </c>
    </row>
    <row r="2975" spans="2:8" x14ac:dyDescent="0.2">
      <c r="B2975" s="1493"/>
      <c r="C2975" s="1488"/>
      <c r="D2975" s="1494"/>
      <c r="E2975" s="1488"/>
      <c r="F2975" s="1495"/>
      <c r="G2975" s="1494"/>
      <c r="H2975" s="1077"/>
    </row>
    <row r="2976" spans="2:8" x14ac:dyDescent="0.2">
      <c r="B2976" s="1493">
        <f>'Sensitivitaeten Delta_Market'!$A$1</f>
        <v>9</v>
      </c>
      <c r="C2976" s="1488" t="str">
        <f>'Sensitivitaeten Delta_Market'!$B$1</f>
        <v>Delta-Sensitivitäten</v>
      </c>
      <c r="D2976" s="1494" t="str">
        <f>'Sensitivitaeten Delta_Market'!$R$11</f>
        <v>Änderungen der Passiven</v>
      </c>
      <c r="E2976" s="1488" t="str">
        <f>'Sensitivitaeten Delta_Market'!$S$13</f>
        <v>nach unten</v>
      </c>
      <c r="F2976" s="1494" t="str">
        <f>'Sensitivitaeten Delta_Market'!B$54</f>
        <v>Private Equity</v>
      </c>
      <c r="G2976" s="1494"/>
      <c r="H2976" s="1569">
        <f>'Sensitivitaeten Delta_Market'!S$54</f>
        <v>0</v>
      </c>
    </row>
    <row r="2977" spans="1:8" x14ac:dyDescent="0.2">
      <c r="B2977" s="1493">
        <f>'Sensitivitaeten Delta_Market'!$A$1</f>
        <v>9</v>
      </c>
      <c r="C2977" s="1488" t="str">
        <f>'Sensitivitaeten Delta_Market'!$B$1</f>
        <v>Delta-Sensitivitäten</v>
      </c>
      <c r="D2977" s="1494" t="str">
        <f>'Sensitivitaeten Delta_Market'!$R$11</f>
        <v>Änderungen der Passiven</v>
      </c>
      <c r="E2977" s="1488" t="str">
        <f>'Sensitivitaeten Delta_Market'!$S$13</f>
        <v>nach unten</v>
      </c>
      <c r="F2977" s="1495" t="str">
        <f>'Sensitivitaeten Delta_Market'!B$56</f>
        <v>direkte Wohnimmobilien Schweiz</v>
      </c>
      <c r="G2977" s="1494"/>
      <c r="H2977" s="1077">
        <f>'Sensitivitaeten Delta_Market'!S$56</f>
        <v>0</v>
      </c>
    </row>
    <row r="2978" spans="1:8" x14ac:dyDescent="0.2">
      <c r="B2978" s="1493">
        <f>'Sensitivitaeten Delta_Market'!$A$1</f>
        <v>9</v>
      </c>
      <c r="C2978" s="1488" t="str">
        <f>'Sensitivitaeten Delta_Market'!$B$1</f>
        <v>Delta-Sensitivitäten</v>
      </c>
      <c r="D2978" s="1494" t="str">
        <f>'Sensitivitaeten Delta_Market'!$R$11</f>
        <v>Änderungen der Passiven</v>
      </c>
      <c r="E2978" s="1488" t="str">
        <f>'Sensitivitaeten Delta_Market'!$S$13</f>
        <v>nach unten</v>
      </c>
      <c r="F2978" s="1495" t="str">
        <f>'Sensitivitaeten Delta_Market'!B$55</f>
        <v>Immobilienfonds Schweiz</v>
      </c>
      <c r="G2978" s="1494"/>
      <c r="H2978" s="1077">
        <f>'Sensitivitaeten Delta_Market'!S$55</f>
        <v>0</v>
      </c>
    </row>
    <row r="2979" spans="1:8" x14ac:dyDescent="0.2">
      <c r="B2979" s="1493">
        <f>'Sensitivitaeten Delta_Market'!$A$1</f>
        <v>9</v>
      </c>
      <c r="C2979" s="1488" t="str">
        <f>'Sensitivitaeten Delta_Market'!$B$1</f>
        <v>Delta-Sensitivitäten</v>
      </c>
      <c r="D2979" s="1494" t="str">
        <f>'Sensitivitaeten Delta_Market'!$R$11</f>
        <v>Änderungen der Passiven</v>
      </c>
      <c r="E2979" s="1488" t="str">
        <f>'Sensitivitaeten Delta_Market'!$S$13</f>
        <v>nach unten</v>
      </c>
      <c r="F2979" s="1495" t="str">
        <f>'Sensitivitaeten Delta_Market'!B$57</f>
        <v>direkte Geschäftsimmobilien Schweiz</v>
      </c>
      <c r="G2979" s="1494"/>
      <c r="H2979" s="1077">
        <f>'Sensitivitaeten Delta_Market'!S$57</f>
        <v>0</v>
      </c>
    </row>
    <row r="2980" spans="1:8" ht="13.5" thickBot="1" x14ac:dyDescent="0.25">
      <c r="B2980" s="1498">
        <f>'Sensitivitaeten Delta_Market'!$A$1</f>
        <v>9</v>
      </c>
      <c r="C2980" s="1499" t="str">
        <f>'Sensitivitaeten Delta_Market'!$B$1</f>
        <v>Delta-Sensitivitäten</v>
      </c>
      <c r="D2980" s="1500" t="str">
        <f>'Sensitivitaeten Delta_Market'!$R$11</f>
        <v>Änderungen der Passiven</v>
      </c>
      <c r="E2980" s="1499" t="str">
        <f>'Sensitivitaeten Delta_Market'!$S$13</f>
        <v>nach unten</v>
      </c>
      <c r="F2980" s="1501" t="str">
        <f>'Sensitivitaeten Delta_Market'!B$58</f>
        <v>Beteiligungen</v>
      </c>
      <c r="G2980" s="1500"/>
      <c r="H2980" s="1079">
        <f>'Sensitivitaeten Delta_Market'!S$58</f>
        <v>0</v>
      </c>
    </row>
    <row r="2981" spans="1:8" x14ac:dyDescent="0.2">
      <c r="B2981" s="1581"/>
      <c r="C2981" s="1028"/>
      <c r="D2981" s="1028"/>
      <c r="E2981" s="1028"/>
      <c r="F2981" s="1028"/>
      <c r="G2981" s="1028"/>
      <c r="H2981" s="1028"/>
    </row>
    <row r="2982" spans="1:8" ht="13.5" thickBot="1" x14ac:dyDescent="0.25">
      <c r="A2982" s="1176" t="s">
        <v>1991</v>
      </c>
    </row>
    <row r="2983" spans="1:8" x14ac:dyDescent="0.2">
      <c r="B2983" s="1080" t="str">
        <f>'Input Basel III'!$A$1</f>
        <v>15b</v>
      </c>
      <c r="C2983" s="1081" t="str">
        <f>'Input Basel III'!$B$1</f>
        <v>Input Basel III</v>
      </c>
      <c r="D2983" s="1082" t="str">
        <f>'Input Basel III'!$A$5</f>
        <v>1 Zentralregierungen und Zentralbanken</v>
      </c>
      <c r="E2983" s="1392" t="str">
        <f>'Input Basel III'!$B$18</f>
        <v>Risikogewicht 150%</v>
      </c>
      <c r="F2983" s="1392" t="str">
        <f>'Input Basel III'!$C$12</f>
        <v>Risikogewicht</v>
      </c>
      <c r="G2983" s="1392"/>
      <c r="H2983" s="2413">
        <f>'Input Basel III'!C18</f>
        <v>1.5</v>
      </c>
    </row>
    <row r="2984" spans="1:8" x14ac:dyDescent="0.2">
      <c r="B2984" s="1083" t="str">
        <f>'Input Basel III'!$A$1</f>
        <v>15b</v>
      </c>
      <c r="C2984" s="1084" t="str">
        <f>'Input Basel III'!$B$1</f>
        <v>Input Basel III</v>
      </c>
      <c r="D2984" s="1091" t="str">
        <f>'Input Basel III'!$A$5</f>
        <v>1 Zentralregierungen und Zentralbanken</v>
      </c>
      <c r="E2984" s="1390" t="str">
        <f>'Input Basel III'!$B$18</f>
        <v>Risikogewicht 150%</v>
      </c>
      <c r="F2984" s="1390" t="str">
        <f>'Input Basel III'!$G$12</f>
        <v>Positionen ohne Kreditrisikominderung (CRM)</v>
      </c>
      <c r="G2984" s="1390"/>
      <c r="H2984" s="1518">
        <f>'Input Basel III'!G18</f>
        <v>0</v>
      </c>
    </row>
    <row r="2985" spans="1:8" x14ac:dyDescent="0.2">
      <c r="B2985" s="1083" t="str">
        <f>'Input Basel III'!$A$1</f>
        <v>15b</v>
      </c>
      <c r="C2985" s="1084" t="str">
        <f>'Input Basel III'!$B$1</f>
        <v>Input Basel III</v>
      </c>
      <c r="D2985" s="1091" t="str">
        <f>'Input Basel III'!$A$5</f>
        <v>1 Zentralregierungen und Zentralbanken</v>
      </c>
      <c r="E2985" s="1390" t="str">
        <f>'Input Basel III'!$B$18</f>
        <v>Risikogewicht 150%</v>
      </c>
      <c r="F2985" s="1390" t="str">
        <f>'Input Basel III'!$I$13</f>
        <v xml:space="preserve">Vor Besicherung </v>
      </c>
      <c r="G2985" s="1390"/>
      <c r="H2985" s="1518">
        <f>'Input Basel III'!I18</f>
        <v>0</v>
      </c>
    </row>
    <row r="2986" spans="1:8" x14ac:dyDescent="0.2">
      <c r="B2986" s="1083" t="str">
        <f>'Input Basel III'!$A$1</f>
        <v>15b</v>
      </c>
      <c r="C2986" s="1084" t="str">
        <f>'Input Basel III'!$B$1</f>
        <v>Input Basel III</v>
      </c>
      <c r="D2986" s="1091" t="str">
        <f>'Input Basel III'!$A$5</f>
        <v>1 Zentralregierungen und Zentralbanken</v>
      </c>
      <c r="E2986" s="1390" t="str">
        <f>'Input Basel III'!$B$18</f>
        <v>Risikogewicht 150%</v>
      </c>
      <c r="F2986" s="1390" t="str">
        <f>'Input Basel III'!$J$13</f>
        <v>Nach Besicherung</v>
      </c>
      <c r="G2986" s="1390"/>
      <c r="H2986" s="1518">
        <f>'Input Basel III'!J18</f>
        <v>0</v>
      </c>
    </row>
    <row r="2987" spans="1:8" x14ac:dyDescent="0.2">
      <c r="B2987" s="1083" t="str">
        <f>'Input Basel III'!$A$1</f>
        <v>15b</v>
      </c>
      <c r="C2987" s="1084" t="str">
        <f>'Input Basel III'!$B$1</f>
        <v>Input Basel III</v>
      </c>
      <c r="D2987" s="1091" t="str">
        <f>'Input Basel III'!$A$5</f>
        <v>1 Zentralregierungen und Zentralbanken</v>
      </c>
      <c r="E2987" s="1390" t="str">
        <f>'Input Basel III'!$B$18</f>
        <v>Risikogewicht 150%</v>
      </c>
      <c r="F2987" s="1390" t="str">
        <f>'Input Basel III'!$L$13</f>
        <v>Vor Garantien und Kreditderivate</v>
      </c>
      <c r="G2987" s="1390"/>
      <c r="H2987" s="1518">
        <f>'Input Basel III'!L18</f>
        <v>0</v>
      </c>
    </row>
    <row r="2988" spans="1:8" x14ac:dyDescent="0.2">
      <c r="B2988" s="1083" t="str">
        <f>'Input Basel III'!$A$1</f>
        <v>15b</v>
      </c>
      <c r="C2988" s="1084" t="str">
        <f>'Input Basel III'!$B$1</f>
        <v>Input Basel III</v>
      </c>
      <c r="D2988" s="1091" t="str">
        <f>'Input Basel III'!$A$5</f>
        <v>1 Zentralregierungen und Zentralbanken</v>
      </c>
      <c r="E2988" s="1390" t="str">
        <f>'Input Basel III'!$B$18</f>
        <v>Risikogewicht 150%</v>
      </c>
      <c r="F2988" s="1390" t="str">
        <f>'Input Basel III'!$M$13</f>
        <v>Nach Garantien und Kred.-.Der.</v>
      </c>
      <c r="G2988" s="1390"/>
      <c r="H2988" s="1518">
        <f>'Input Basel III'!M18</f>
        <v>0</v>
      </c>
    </row>
    <row r="2989" spans="1:8" x14ac:dyDescent="0.2">
      <c r="B2989" s="1083" t="str">
        <f>'Input Basel III'!$A$1</f>
        <v>15b</v>
      </c>
      <c r="C2989" s="1084" t="str">
        <f>'Input Basel III'!$B$1</f>
        <v>Input Basel III</v>
      </c>
      <c r="D2989" s="1091" t="str">
        <f>'Input Basel III'!$A$26</f>
        <v>2 Öffentlichrechtliche Körperschaften</v>
      </c>
      <c r="E2989" s="1390" t="str">
        <f>'Input Basel III'!$B$18</f>
        <v>Risikogewicht 150%</v>
      </c>
      <c r="F2989" s="1390" t="str">
        <f>'Input Basel III'!$C$12</f>
        <v>Risikogewicht</v>
      </c>
      <c r="G2989" s="1390"/>
      <c r="H2989" s="1517">
        <f>'Input Basel III'!C36</f>
        <v>1.5</v>
      </c>
    </row>
    <row r="2990" spans="1:8" x14ac:dyDescent="0.2">
      <c r="B2990" s="1083" t="str">
        <f>'Input Basel III'!$A$1</f>
        <v>15b</v>
      </c>
      <c r="C2990" s="1084" t="str">
        <f>'Input Basel III'!$B$1</f>
        <v>Input Basel III</v>
      </c>
      <c r="D2990" s="1091" t="str">
        <f>'Input Basel III'!$A$26</f>
        <v>2 Öffentlichrechtliche Körperschaften</v>
      </c>
      <c r="E2990" s="1390" t="str">
        <f>'Input Basel III'!$B$18</f>
        <v>Risikogewicht 150%</v>
      </c>
      <c r="F2990" s="1390" t="str">
        <f>'Input Basel III'!$G$12</f>
        <v>Positionen ohne Kreditrisikominderung (CRM)</v>
      </c>
      <c r="G2990" s="1390"/>
      <c r="H2990" s="1518">
        <f>'Input Basel III'!G36</f>
        <v>0</v>
      </c>
    </row>
    <row r="2991" spans="1:8" x14ac:dyDescent="0.2">
      <c r="B2991" s="1083" t="str">
        <f>'Input Basel III'!$A$1</f>
        <v>15b</v>
      </c>
      <c r="C2991" s="1084" t="str">
        <f>'Input Basel III'!$B$1</f>
        <v>Input Basel III</v>
      </c>
      <c r="D2991" s="1091" t="str">
        <f>'Input Basel III'!$A$26</f>
        <v>2 Öffentlichrechtliche Körperschaften</v>
      </c>
      <c r="E2991" s="1390" t="str">
        <f>'Input Basel III'!$B$18</f>
        <v>Risikogewicht 150%</v>
      </c>
      <c r="F2991" s="1390" t="str">
        <f>'Input Basel III'!$I$13</f>
        <v xml:space="preserve">Vor Besicherung </v>
      </c>
      <c r="G2991" s="1390"/>
      <c r="H2991" s="1518">
        <f>'Input Basel III'!I36</f>
        <v>0</v>
      </c>
    </row>
    <row r="2992" spans="1:8" x14ac:dyDescent="0.2">
      <c r="B2992" s="1083" t="str">
        <f>'Input Basel III'!$A$1</f>
        <v>15b</v>
      </c>
      <c r="C2992" s="1084" t="str">
        <f>'Input Basel III'!$B$1</f>
        <v>Input Basel III</v>
      </c>
      <c r="D2992" s="1091" t="str">
        <f>'Input Basel III'!$A$26</f>
        <v>2 Öffentlichrechtliche Körperschaften</v>
      </c>
      <c r="E2992" s="1390" t="str">
        <f>'Input Basel III'!$B$18</f>
        <v>Risikogewicht 150%</v>
      </c>
      <c r="F2992" s="1390" t="str">
        <f>'Input Basel III'!$J$13</f>
        <v>Nach Besicherung</v>
      </c>
      <c r="G2992" s="1390"/>
      <c r="H2992" s="1518">
        <f>'Input Basel III'!J36</f>
        <v>0</v>
      </c>
    </row>
    <row r="2993" spans="2:8" x14ac:dyDescent="0.2">
      <c r="B2993" s="1083" t="str">
        <f>'Input Basel III'!$A$1</f>
        <v>15b</v>
      </c>
      <c r="C2993" s="1084" t="str">
        <f>'Input Basel III'!$B$1</f>
        <v>Input Basel III</v>
      </c>
      <c r="D2993" s="1091" t="str">
        <f>'Input Basel III'!$A$26</f>
        <v>2 Öffentlichrechtliche Körperschaften</v>
      </c>
      <c r="E2993" s="1390" t="str">
        <f>'Input Basel III'!$B$18</f>
        <v>Risikogewicht 150%</v>
      </c>
      <c r="F2993" s="1390" t="str">
        <f>'Input Basel III'!$L$13</f>
        <v>Vor Garantien und Kreditderivate</v>
      </c>
      <c r="G2993" s="1390"/>
      <c r="H2993" s="1518">
        <f>'Input Basel III'!L36</f>
        <v>0</v>
      </c>
    </row>
    <row r="2994" spans="2:8" x14ac:dyDescent="0.2">
      <c r="B2994" s="1083" t="str">
        <f>'Input Basel III'!$A$1</f>
        <v>15b</v>
      </c>
      <c r="C2994" s="1084" t="str">
        <f>'Input Basel III'!$B$1</f>
        <v>Input Basel III</v>
      </c>
      <c r="D2994" s="1091" t="str">
        <f>'Input Basel III'!$A$26</f>
        <v>2 Öffentlichrechtliche Körperschaften</v>
      </c>
      <c r="E2994" s="1390" t="str">
        <f>'Input Basel III'!$B$18</f>
        <v>Risikogewicht 150%</v>
      </c>
      <c r="F2994" s="1390" t="str">
        <f>'Input Basel III'!$M$13</f>
        <v>Nach Garantien und Kred.-.Der.</v>
      </c>
      <c r="G2994" s="1390"/>
      <c r="H2994" s="1518">
        <f>'Input Basel III'!M36</f>
        <v>0</v>
      </c>
    </row>
    <row r="2995" spans="2:8" x14ac:dyDescent="0.2">
      <c r="B2995" s="1083" t="str">
        <f>'Input Basel III'!$A$1</f>
        <v>15b</v>
      </c>
      <c r="C2995" s="1084" t="str">
        <f>'Input Basel III'!$B$1</f>
        <v>Input Basel III</v>
      </c>
      <c r="D2995" s="1389" t="str">
        <f>'Input Basel III'!$A$44</f>
        <v>3 BIZ, IWF und multilaterale Entwicklungsbanken</v>
      </c>
      <c r="E2995" s="1611" t="str">
        <f>'Input Basel III'!$B$55</f>
        <v>Risikogewicht 150%</v>
      </c>
      <c r="F2995" s="1390" t="str">
        <f>'Input Basel III'!$C$12</f>
        <v>Risikogewicht</v>
      </c>
      <c r="G2995" s="1390"/>
      <c r="H2995" s="1517">
        <f>'Input Basel III'!C55</f>
        <v>1.5</v>
      </c>
    </row>
    <row r="2996" spans="2:8" x14ac:dyDescent="0.2">
      <c r="B2996" s="1083" t="str">
        <f>'Input Basel III'!$A$1</f>
        <v>15b</v>
      </c>
      <c r="C2996" s="1084" t="str">
        <f>'Input Basel III'!$B$1</f>
        <v>Input Basel III</v>
      </c>
      <c r="D2996" s="1389" t="str">
        <f>'Input Basel III'!$A$44</f>
        <v>3 BIZ, IWF und multilaterale Entwicklungsbanken</v>
      </c>
      <c r="E2996" s="1611" t="str">
        <f>'Input Basel III'!$B$55</f>
        <v>Risikogewicht 150%</v>
      </c>
      <c r="F2996" s="1390" t="str">
        <f>'Input Basel III'!$G$12</f>
        <v>Positionen ohne Kreditrisikominderung (CRM)</v>
      </c>
      <c r="G2996" s="1390"/>
      <c r="H2996" s="1518">
        <f>'Input Basel III'!G55</f>
        <v>0</v>
      </c>
    </row>
    <row r="2997" spans="2:8" x14ac:dyDescent="0.2">
      <c r="B2997" s="1083" t="str">
        <f>'Input Basel III'!$A$1</f>
        <v>15b</v>
      </c>
      <c r="C2997" s="1084" t="str">
        <f>'Input Basel III'!$B$1</f>
        <v>Input Basel III</v>
      </c>
      <c r="D2997" s="1389" t="str">
        <f>'Input Basel III'!$A$44</f>
        <v>3 BIZ, IWF und multilaterale Entwicklungsbanken</v>
      </c>
      <c r="E2997" s="1611" t="str">
        <f>'Input Basel III'!$B$55</f>
        <v>Risikogewicht 150%</v>
      </c>
      <c r="F2997" s="1390" t="str">
        <f>'Input Basel III'!$I$13</f>
        <v xml:space="preserve">Vor Besicherung </v>
      </c>
      <c r="G2997" s="1390"/>
      <c r="H2997" s="1518">
        <f>'Input Basel III'!I55</f>
        <v>0</v>
      </c>
    </row>
    <row r="2998" spans="2:8" x14ac:dyDescent="0.2">
      <c r="B2998" s="1083" t="str">
        <f>'Input Basel III'!$A$1</f>
        <v>15b</v>
      </c>
      <c r="C2998" s="1084" t="str">
        <f>'Input Basel III'!$B$1</f>
        <v>Input Basel III</v>
      </c>
      <c r="D2998" s="1389" t="str">
        <f>'Input Basel III'!$A$44</f>
        <v>3 BIZ, IWF und multilaterale Entwicklungsbanken</v>
      </c>
      <c r="E2998" s="1611" t="str">
        <f>'Input Basel III'!$B$55</f>
        <v>Risikogewicht 150%</v>
      </c>
      <c r="F2998" s="1390" t="str">
        <f>'Input Basel III'!$J$13</f>
        <v>Nach Besicherung</v>
      </c>
      <c r="G2998" s="1390"/>
      <c r="H2998" s="1518">
        <f>'Input Basel III'!J55</f>
        <v>0</v>
      </c>
    </row>
    <row r="2999" spans="2:8" x14ac:dyDescent="0.2">
      <c r="B2999" s="1083" t="str">
        <f>'Input Basel III'!$A$1</f>
        <v>15b</v>
      </c>
      <c r="C2999" s="1084" t="str">
        <f>'Input Basel III'!$B$1</f>
        <v>Input Basel III</v>
      </c>
      <c r="D2999" s="1389" t="str">
        <f>'Input Basel III'!$A$44</f>
        <v>3 BIZ, IWF und multilaterale Entwicklungsbanken</v>
      </c>
      <c r="E2999" s="1611" t="str">
        <f>'Input Basel III'!$B$55</f>
        <v>Risikogewicht 150%</v>
      </c>
      <c r="F2999" s="1390" t="str">
        <f>'Input Basel III'!$L$13</f>
        <v>Vor Garantien und Kreditderivate</v>
      </c>
      <c r="G2999" s="1390"/>
      <c r="H2999" s="1518">
        <f>'Input Basel III'!L55</f>
        <v>0</v>
      </c>
    </row>
    <row r="3000" spans="2:8" x14ac:dyDescent="0.2">
      <c r="B3000" s="1083" t="str">
        <f>'Input Basel III'!$A$1</f>
        <v>15b</v>
      </c>
      <c r="C3000" s="1084" t="str">
        <f>'Input Basel III'!$B$1</f>
        <v>Input Basel III</v>
      </c>
      <c r="D3000" s="1389" t="str">
        <f>'Input Basel III'!$A$44</f>
        <v>3 BIZ, IWF und multilaterale Entwicklungsbanken</v>
      </c>
      <c r="E3000" s="1611" t="str">
        <f>'Input Basel III'!$B$55</f>
        <v>Risikogewicht 150%</v>
      </c>
      <c r="F3000" s="1390" t="str">
        <f>'Input Basel III'!$M$13</f>
        <v>Nach Garantien und Kred.-.Der.</v>
      </c>
      <c r="G3000" s="1390"/>
      <c r="H3000" s="1518">
        <f>'Input Basel III'!M55</f>
        <v>0</v>
      </c>
    </row>
    <row r="3001" spans="2:8" x14ac:dyDescent="0.2">
      <c r="B3001" s="1083" t="str">
        <f>'Input Basel III'!$A$1</f>
        <v>15b</v>
      </c>
      <c r="C3001" s="1084" t="str">
        <f>'Input Basel III'!$B$1</f>
        <v>Input Basel III</v>
      </c>
      <c r="D3001" s="1389" t="str">
        <f>'Input Basel III'!$A$63</f>
        <v>4 Banken und Effektenhändler</v>
      </c>
      <c r="E3001" s="1390" t="str">
        <f>'Input Basel III'!$B$75</f>
        <v>Risikogewicht 150%</v>
      </c>
      <c r="F3001" s="1390" t="str">
        <f>'Input Basel III'!$C$12</f>
        <v>Risikogewicht</v>
      </c>
      <c r="G3001" s="1390"/>
      <c r="H3001" s="1517">
        <f>'Input Basel III'!C75</f>
        <v>1.5</v>
      </c>
    </row>
    <row r="3002" spans="2:8" x14ac:dyDescent="0.2">
      <c r="B3002" s="1083" t="str">
        <f>'Input Basel III'!$A$1</f>
        <v>15b</v>
      </c>
      <c r="C3002" s="1084" t="str">
        <f>'Input Basel III'!$B$1</f>
        <v>Input Basel III</v>
      </c>
      <c r="D3002" s="1389" t="str">
        <f>'Input Basel III'!$A$63</f>
        <v>4 Banken und Effektenhändler</v>
      </c>
      <c r="E3002" s="1390" t="str">
        <f>'Input Basel III'!$B$75</f>
        <v>Risikogewicht 150%</v>
      </c>
      <c r="F3002" s="1390" t="str">
        <f>'Input Basel III'!$G$12</f>
        <v>Positionen ohne Kreditrisikominderung (CRM)</v>
      </c>
      <c r="G3002" s="1390"/>
      <c r="H3002" s="1518">
        <f>'Input Basel III'!G75</f>
        <v>0</v>
      </c>
    </row>
    <row r="3003" spans="2:8" x14ac:dyDescent="0.2">
      <c r="B3003" s="1083" t="str">
        <f>'Input Basel III'!$A$1</f>
        <v>15b</v>
      </c>
      <c r="C3003" s="1084" t="str">
        <f>'Input Basel III'!$B$1</f>
        <v>Input Basel III</v>
      </c>
      <c r="D3003" s="1389" t="str">
        <f>'Input Basel III'!$A$63</f>
        <v>4 Banken und Effektenhändler</v>
      </c>
      <c r="E3003" s="1390" t="str">
        <f>'Input Basel III'!$B$75</f>
        <v>Risikogewicht 150%</v>
      </c>
      <c r="F3003" s="1390" t="str">
        <f>'Input Basel III'!$I$13</f>
        <v xml:space="preserve">Vor Besicherung </v>
      </c>
      <c r="G3003" s="1390"/>
      <c r="H3003" s="1518">
        <f>'Input Basel III'!I75</f>
        <v>0</v>
      </c>
    </row>
    <row r="3004" spans="2:8" x14ac:dyDescent="0.2">
      <c r="B3004" s="1083" t="str">
        <f>'Input Basel III'!$A$1</f>
        <v>15b</v>
      </c>
      <c r="C3004" s="1084" t="str">
        <f>'Input Basel III'!$B$1</f>
        <v>Input Basel III</v>
      </c>
      <c r="D3004" s="1389" t="str">
        <f>'Input Basel III'!$A$63</f>
        <v>4 Banken und Effektenhändler</v>
      </c>
      <c r="E3004" s="1390" t="str">
        <f>'Input Basel III'!$B$75</f>
        <v>Risikogewicht 150%</v>
      </c>
      <c r="F3004" s="1390" t="str">
        <f>'Input Basel III'!$J$13</f>
        <v>Nach Besicherung</v>
      </c>
      <c r="G3004" s="1390"/>
      <c r="H3004" s="1518">
        <f>'Input Basel III'!J75</f>
        <v>0</v>
      </c>
    </row>
    <row r="3005" spans="2:8" x14ac:dyDescent="0.2">
      <c r="B3005" s="1083" t="str">
        <f>'Input Basel III'!$A$1</f>
        <v>15b</v>
      </c>
      <c r="C3005" s="1084" t="str">
        <f>'Input Basel III'!$B$1</f>
        <v>Input Basel III</v>
      </c>
      <c r="D3005" s="1389" t="str">
        <f>'Input Basel III'!$A$63</f>
        <v>4 Banken und Effektenhändler</v>
      </c>
      <c r="E3005" s="1390" t="str">
        <f>'Input Basel III'!$B$75</f>
        <v>Risikogewicht 150%</v>
      </c>
      <c r="F3005" s="1390" t="str">
        <f>'Input Basel III'!$L$13</f>
        <v>Vor Garantien und Kreditderivate</v>
      </c>
      <c r="G3005" s="1390"/>
      <c r="H3005" s="1518">
        <f>'Input Basel III'!L76</f>
        <v>0</v>
      </c>
    </row>
    <row r="3006" spans="2:8" x14ac:dyDescent="0.2">
      <c r="B3006" s="1083" t="str">
        <f>'Input Basel III'!$A$1</f>
        <v>15b</v>
      </c>
      <c r="C3006" s="1084" t="str">
        <f>'Input Basel III'!$B$1</f>
        <v>Input Basel III</v>
      </c>
      <c r="D3006" s="1389" t="str">
        <f>'Input Basel III'!$A$63</f>
        <v>4 Banken und Effektenhändler</v>
      </c>
      <c r="E3006" s="1390" t="str">
        <f>'Input Basel III'!$B$75</f>
        <v>Risikogewicht 150%</v>
      </c>
      <c r="F3006" s="1390" t="str">
        <f>'Input Basel III'!$M$13</f>
        <v>Nach Garantien und Kred.-.Der.</v>
      </c>
      <c r="G3006" s="1390"/>
      <c r="H3006" s="1518">
        <v>0</v>
      </c>
    </row>
    <row r="3007" spans="2:8" x14ac:dyDescent="0.2">
      <c r="B3007" s="1083" t="str">
        <f>'Input Basel III'!$A$1</f>
        <v>15b</v>
      </c>
      <c r="C3007" s="1084" t="str">
        <f>'Input Basel III'!$B$1</f>
        <v>Input Basel III</v>
      </c>
      <c r="D3007" s="1389" t="str">
        <f>'Input Basel III'!$A$84</f>
        <v>5 Gemeinschaftseinrichtungen</v>
      </c>
      <c r="E3007" s="1390" t="str">
        <f>'Input Basel III'!$B$75</f>
        <v>Risikogewicht 150%</v>
      </c>
      <c r="F3007" s="1390" t="str">
        <f>'Input Basel III'!$C$12</f>
        <v>Risikogewicht</v>
      </c>
      <c r="G3007" s="1390"/>
      <c r="H3007" s="1517">
        <f>'Input Basel III'!C94</f>
        <v>1.5</v>
      </c>
    </row>
    <row r="3008" spans="2:8" x14ac:dyDescent="0.2">
      <c r="B3008" s="1083" t="str">
        <f>'Input Basel III'!$A$1</f>
        <v>15b</v>
      </c>
      <c r="C3008" s="1084" t="str">
        <f>'Input Basel III'!$B$1</f>
        <v>Input Basel III</v>
      </c>
      <c r="D3008" s="1389" t="str">
        <f>'Input Basel III'!$A$84</f>
        <v>5 Gemeinschaftseinrichtungen</v>
      </c>
      <c r="E3008" s="1390" t="str">
        <f>'Input Basel III'!$B$75</f>
        <v>Risikogewicht 150%</v>
      </c>
      <c r="F3008" s="1390" t="str">
        <f>'Input Basel III'!$G$12</f>
        <v>Positionen ohne Kreditrisikominderung (CRM)</v>
      </c>
      <c r="G3008" s="1390"/>
      <c r="H3008" s="1518">
        <f>'Input Basel III'!G94</f>
        <v>0</v>
      </c>
    </row>
    <row r="3009" spans="2:8" x14ac:dyDescent="0.2">
      <c r="B3009" s="1083" t="str">
        <f>'Input Basel III'!$A$1</f>
        <v>15b</v>
      </c>
      <c r="C3009" s="1084" t="str">
        <f>'Input Basel III'!$B$1</f>
        <v>Input Basel III</v>
      </c>
      <c r="D3009" s="1389" t="str">
        <f>'Input Basel III'!$A$84</f>
        <v>5 Gemeinschaftseinrichtungen</v>
      </c>
      <c r="E3009" s="1390" t="str">
        <f>'Input Basel III'!$B$75</f>
        <v>Risikogewicht 150%</v>
      </c>
      <c r="F3009" s="1390" t="str">
        <f>'Input Basel III'!$I$13</f>
        <v xml:space="preserve">Vor Besicherung </v>
      </c>
      <c r="G3009" s="1390"/>
      <c r="H3009" s="1518">
        <f>'Input Basel III'!I94</f>
        <v>0</v>
      </c>
    </row>
    <row r="3010" spans="2:8" x14ac:dyDescent="0.2">
      <c r="B3010" s="1083" t="str">
        <f>'Input Basel III'!$A$1</f>
        <v>15b</v>
      </c>
      <c r="C3010" s="1084" t="str">
        <f>'Input Basel III'!$B$1</f>
        <v>Input Basel III</v>
      </c>
      <c r="D3010" s="1389" t="str">
        <f>'Input Basel III'!$A$84</f>
        <v>5 Gemeinschaftseinrichtungen</v>
      </c>
      <c r="E3010" s="1390" t="str">
        <f>'Input Basel III'!$B$75</f>
        <v>Risikogewicht 150%</v>
      </c>
      <c r="F3010" s="1390" t="str">
        <f>'Input Basel III'!$J$13</f>
        <v>Nach Besicherung</v>
      </c>
      <c r="G3010" s="1390"/>
      <c r="H3010" s="1518">
        <f>'Input Basel III'!J94</f>
        <v>0</v>
      </c>
    </row>
    <row r="3011" spans="2:8" x14ac:dyDescent="0.2">
      <c r="B3011" s="1083" t="str">
        <f>'Input Basel III'!$A$1</f>
        <v>15b</v>
      </c>
      <c r="C3011" s="1084" t="str">
        <f>'Input Basel III'!$B$1</f>
        <v>Input Basel III</v>
      </c>
      <c r="D3011" s="1389" t="str">
        <f>'Input Basel III'!$A$84</f>
        <v>5 Gemeinschaftseinrichtungen</v>
      </c>
      <c r="E3011" s="1390" t="str">
        <f>'Input Basel III'!$B$75</f>
        <v>Risikogewicht 150%</v>
      </c>
      <c r="F3011" s="1390" t="str">
        <f>'Input Basel III'!$L$13</f>
        <v>Vor Garantien und Kreditderivate</v>
      </c>
      <c r="G3011" s="1390"/>
      <c r="H3011" s="1518">
        <f>'Input Basel III'!L94</f>
        <v>0</v>
      </c>
    </row>
    <row r="3012" spans="2:8" x14ac:dyDescent="0.2">
      <c r="B3012" s="1083" t="str">
        <f>'Input Basel III'!$A$1</f>
        <v>15b</v>
      </c>
      <c r="C3012" s="1084" t="str">
        <f>'Input Basel III'!$B$1</f>
        <v>Input Basel III</v>
      </c>
      <c r="D3012" s="1389" t="str">
        <f>'Input Basel III'!$A$84</f>
        <v>5 Gemeinschaftseinrichtungen</v>
      </c>
      <c r="E3012" s="1390" t="str">
        <f>'Input Basel III'!$B$75</f>
        <v>Risikogewicht 150%</v>
      </c>
      <c r="F3012" s="1390" t="str">
        <f>'Input Basel III'!$M$13</f>
        <v>Nach Garantien und Kred.-.Der.</v>
      </c>
      <c r="G3012" s="1390"/>
      <c r="H3012" s="1518">
        <f>'Input Basel III'!M94</f>
        <v>0</v>
      </c>
    </row>
    <row r="3013" spans="2:8" x14ac:dyDescent="0.2">
      <c r="B3013" s="1083" t="str">
        <f>'Input Basel III'!$A$1</f>
        <v>15b</v>
      </c>
      <c r="C3013" s="1084" t="str">
        <f>'Input Basel III'!$B$1</f>
        <v>Input Basel III</v>
      </c>
      <c r="D3013" s="1389" t="str">
        <f>'Input Basel III'!$A$102</f>
        <v>6 Börsen und Clearinghäuser</v>
      </c>
      <c r="E3013" s="1390" t="str">
        <f>'Input Basel III'!$B$75</f>
        <v>Risikogewicht 150%</v>
      </c>
      <c r="F3013" s="1390" t="str">
        <f>'Input Basel III'!$C$12</f>
        <v>Risikogewicht</v>
      </c>
      <c r="G3013" s="1390"/>
      <c r="H3013" s="1517">
        <f>'Input Basel III'!C114</f>
        <v>1.5</v>
      </c>
    </row>
    <row r="3014" spans="2:8" x14ac:dyDescent="0.2">
      <c r="B3014" s="1083" t="str">
        <f>'Input Basel III'!$A$1</f>
        <v>15b</v>
      </c>
      <c r="C3014" s="1084" t="str">
        <f>'Input Basel III'!$B$1</f>
        <v>Input Basel III</v>
      </c>
      <c r="D3014" s="1389" t="str">
        <f>'Input Basel III'!$A$102</f>
        <v>6 Börsen und Clearinghäuser</v>
      </c>
      <c r="E3014" s="1390" t="str">
        <f>'Input Basel III'!$B$75</f>
        <v>Risikogewicht 150%</v>
      </c>
      <c r="F3014" s="1390" t="str">
        <f>'Input Basel III'!$G$12</f>
        <v>Positionen ohne Kreditrisikominderung (CRM)</v>
      </c>
      <c r="G3014" s="1390"/>
      <c r="H3014" s="1518">
        <f>'Input Basel III'!G114</f>
        <v>0</v>
      </c>
    </row>
    <row r="3015" spans="2:8" x14ac:dyDescent="0.2">
      <c r="B3015" s="1083" t="str">
        <f>'Input Basel III'!$A$1</f>
        <v>15b</v>
      </c>
      <c r="C3015" s="1084" t="str">
        <f>'Input Basel III'!$B$1</f>
        <v>Input Basel III</v>
      </c>
      <c r="D3015" s="1389" t="str">
        <f>'Input Basel III'!$A$102</f>
        <v>6 Börsen und Clearinghäuser</v>
      </c>
      <c r="E3015" s="1390" t="str">
        <f>'Input Basel III'!$B$75</f>
        <v>Risikogewicht 150%</v>
      </c>
      <c r="F3015" s="1390" t="str">
        <f>'Input Basel III'!$I$13</f>
        <v xml:space="preserve">Vor Besicherung </v>
      </c>
      <c r="G3015" s="1390"/>
      <c r="H3015" s="1518">
        <f>'Input Basel III'!I114</f>
        <v>0</v>
      </c>
    </row>
    <row r="3016" spans="2:8" x14ac:dyDescent="0.2">
      <c r="B3016" s="1083" t="str">
        <f>'Input Basel III'!$A$1</f>
        <v>15b</v>
      </c>
      <c r="C3016" s="1084" t="str">
        <f>'Input Basel III'!$B$1</f>
        <v>Input Basel III</v>
      </c>
      <c r="D3016" s="1389" t="str">
        <f>'Input Basel III'!$A$102</f>
        <v>6 Börsen und Clearinghäuser</v>
      </c>
      <c r="E3016" s="1390" t="str">
        <f>'Input Basel III'!$B$75</f>
        <v>Risikogewicht 150%</v>
      </c>
      <c r="F3016" s="1390" t="str">
        <f>'Input Basel III'!$J$13</f>
        <v>Nach Besicherung</v>
      </c>
      <c r="G3016" s="1390"/>
      <c r="H3016" s="1518">
        <f>'Input Basel III'!J114</f>
        <v>0</v>
      </c>
    </row>
    <row r="3017" spans="2:8" x14ac:dyDescent="0.2">
      <c r="B3017" s="1083" t="str">
        <f>'Input Basel III'!$A$1</f>
        <v>15b</v>
      </c>
      <c r="C3017" s="1084" t="str">
        <f>'Input Basel III'!$B$1</f>
        <v>Input Basel III</v>
      </c>
      <c r="D3017" s="1389" t="str">
        <f>'Input Basel III'!$A$102</f>
        <v>6 Börsen und Clearinghäuser</v>
      </c>
      <c r="E3017" s="1390" t="str">
        <f>'Input Basel III'!$B$75</f>
        <v>Risikogewicht 150%</v>
      </c>
      <c r="F3017" s="1390" t="str">
        <f>'Input Basel III'!$L$13</f>
        <v>Vor Garantien und Kreditderivate</v>
      </c>
      <c r="G3017" s="1390"/>
      <c r="H3017" s="1518">
        <f>'Input Basel III'!L114</f>
        <v>0</v>
      </c>
    </row>
    <row r="3018" spans="2:8" x14ac:dyDescent="0.2">
      <c r="B3018" s="1083" t="str">
        <f>'Input Basel III'!$A$1</f>
        <v>15b</v>
      </c>
      <c r="C3018" s="1084" t="str">
        <f>'Input Basel III'!$B$1</f>
        <v>Input Basel III</v>
      </c>
      <c r="D3018" s="1389" t="str">
        <f>'Input Basel III'!$A$102</f>
        <v>6 Börsen und Clearinghäuser</v>
      </c>
      <c r="E3018" s="1390" t="str">
        <f>'Input Basel III'!$B$75</f>
        <v>Risikogewicht 150%</v>
      </c>
      <c r="F3018" s="1390" t="str">
        <f>'Input Basel III'!$M$13</f>
        <v>Nach Garantien und Kred.-.Der.</v>
      </c>
      <c r="G3018" s="1390"/>
      <c r="H3018" s="1518">
        <f>'Input Basel III'!M114</f>
        <v>0</v>
      </c>
    </row>
    <row r="3019" spans="2:8" x14ac:dyDescent="0.2">
      <c r="B3019" s="1083" t="str">
        <f>'Input Basel III'!$A$1</f>
        <v>15b</v>
      </c>
      <c r="C3019" s="1084" t="str">
        <f>'Input Basel III'!$B$1</f>
        <v>Input Basel III</v>
      </c>
      <c r="D3019" s="1389" t="str">
        <f>'Input Basel III'!$A$102</f>
        <v>6 Börsen und Clearinghäuser</v>
      </c>
      <c r="E3019" s="1611" t="str">
        <f>'Input Basel III'!$B$110</f>
        <v>Risikogewicht 2%</v>
      </c>
      <c r="F3019" s="1390" t="str">
        <f>'Input Basel III'!$C$12</f>
        <v>Risikogewicht</v>
      </c>
      <c r="G3019" s="1390"/>
      <c r="H3019" s="1517">
        <f>'Input Basel III'!C110</f>
        <v>0.02</v>
      </c>
    </row>
    <row r="3020" spans="2:8" x14ac:dyDescent="0.2">
      <c r="B3020" s="1083" t="str">
        <f>'Input Basel III'!$A$1</f>
        <v>15b</v>
      </c>
      <c r="C3020" s="1084" t="str">
        <f>'Input Basel III'!$B$1</f>
        <v>Input Basel III</v>
      </c>
      <c r="D3020" s="1389" t="str">
        <f>'Input Basel III'!$A$102</f>
        <v>6 Börsen und Clearinghäuser</v>
      </c>
      <c r="E3020" s="1611" t="str">
        <f>'Input Basel III'!$B$110</f>
        <v>Risikogewicht 2%</v>
      </c>
      <c r="F3020" s="1390" t="str">
        <f>'Input Basel III'!$G$12</f>
        <v>Positionen ohne Kreditrisikominderung (CRM)</v>
      </c>
      <c r="G3020" s="1390"/>
      <c r="H3020" s="1518">
        <f>'Input Basel III'!G110</f>
        <v>0</v>
      </c>
    </row>
    <row r="3021" spans="2:8" x14ac:dyDescent="0.2">
      <c r="B3021" s="1083" t="str">
        <f>'Input Basel III'!$A$1</f>
        <v>15b</v>
      </c>
      <c r="C3021" s="1084" t="str">
        <f>'Input Basel III'!$B$1</f>
        <v>Input Basel III</v>
      </c>
      <c r="D3021" s="1389" t="str">
        <f>'Input Basel III'!$A$102</f>
        <v>6 Börsen und Clearinghäuser</v>
      </c>
      <c r="E3021" s="1611" t="str">
        <f>'Input Basel III'!$B$110</f>
        <v>Risikogewicht 2%</v>
      </c>
      <c r="F3021" s="1390" t="str">
        <f>'Input Basel III'!$I$13</f>
        <v xml:space="preserve">Vor Besicherung </v>
      </c>
      <c r="G3021" s="1390"/>
      <c r="H3021" s="1518">
        <f>'Input Basel III'!I110</f>
        <v>0</v>
      </c>
    </row>
    <row r="3022" spans="2:8" x14ac:dyDescent="0.2">
      <c r="B3022" s="1083" t="str">
        <f>'Input Basel III'!$A$1</f>
        <v>15b</v>
      </c>
      <c r="C3022" s="1084" t="str">
        <f>'Input Basel III'!$B$1</f>
        <v>Input Basel III</v>
      </c>
      <c r="D3022" s="1389" t="str">
        <f>'Input Basel III'!$A$102</f>
        <v>6 Börsen und Clearinghäuser</v>
      </c>
      <c r="E3022" s="1611" t="str">
        <f>'Input Basel III'!$B$110</f>
        <v>Risikogewicht 2%</v>
      </c>
      <c r="F3022" s="1390" t="str">
        <f>'Input Basel III'!$J$13</f>
        <v>Nach Besicherung</v>
      </c>
      <c r="G3022" s="1390"/>
      <c r="H3022" s="1518">
        <f>'Input Basel III'!J110</f>
        <v>0</v>
      </c>
    </row>
    <row r="3023" spans="2:8" x14ac:dyDescent="0.2">
      <c r="B3023" s="1083" t="str">
        <f>'Input Basel III'!$A$1</f>
        <v>15b</v>
      </c>
      <c r="C3023" s="1084" t="str">
        <f>'Input Basel III'!$B$1</f>
        <v>Input Basel III</v>
      </c>
      <c r="D3023" s="1389" t="str">
        <f>'Input Basel III'!$A$102</f>
        <v>6 Börsen und Clearinghäuser</v>
      </c>
      <c r="E3023" s="1611" t="str">
        <f>'Input Basel III'!$B$110</f>
        <v>Risikogewicht 2%</v>
      </c>
      <c r="F3023" s="1390" t="str">
        <f>'Input Basel III'!$L$13</f>
        <v>Vor Garantien und Kreditderivate</v>
      </c>
      <c r="G3023" s="1390"/>
      <c r="H3023" s="1518">
        <f>'Input Basel III'!L110</f>
        <v>0</v>
      </c>
    </row>
    <row r="3024" spans="2:8" x14ac:dyDescent="0.2">
      <c r="B3024" s="1083" t="str">
        <f>'Input Basel III'!$A$1</f>
        <v>15b</v>
      </c>
      <c r="C3024" s="1084" t="str">
        <f>'Input Basel III'!$B$1</f>
        <v>Input Basel III</v>
      </c>
      <c r="D3024" s="1389" t="str">
        <f>'Input Basel III'!$A$102</f>
        <v>6 Börsen und Clearinghäuser</v>
      </c>
      <c r="E3024" s="1611" t="str">
        <f>'Input Basel III'!$B$110</f>
        <v>Risikogewicht 2%</v>
      </c>
      <c r="F3024" s="1390" t="str">
        <f>'Input Basel III'!$M$13</f>
        <v>Nach Garantien und Kred.-.Der.</v>
      </c>
      <c r="G3024" s="1390"/>
      <c r="H3024" s="1518">
        <f>'Input Basel III'!M110</f>
        <v>0</v>
      </c>
    </row>
    <row r="3025" spans="2:8" x14ac:dyDescent="0.2">
      <c r="B3025" s="1083" t="str">
        <f>'Input Basel III'!$A$1</f>
        <v>15b</v>
      </c>
      <c r="C3025" s="1084" t="str">
        <f>'Input Basel III'!$B$1</f>
        <v>Input Basel III</v>
      </c>
      <c r="D3025" s="1389" t="str">
        <f>'Input Basel III'!$A$122</f>
        <v xml:space="preserve">7 Unternehmen </v>
      </c>
      <c r="E3025" s="1611" t="str">
        <f>'Input Basel III'!$B$134</f>
        <v>Risikogewicht 150%</v>
      </c>
      <c r="F3025" s="1390" t="str">
        <f>'Input Basel III'!$C$12</f>
        <v>Risikogewicht</v>
      </c>
      <c r="G3025" s="1390"/>
      <c r="H3025" s="1517">
        <f>'Input Basel III'!C134</f>
        <v>1.5</v>
      </c>
    </row>
    <row r="3026" spans="2:8" x14ac:dyDescent="0.2">
      <c r="B3026" s="1083" t="str">
        <f>'Input Basel III'!$A$1</f>
        <v>15b</v>
      </c>
      <c r="C3026" s="1084" t="str">
        <f>'Input Basel III'!$B$1</f>
        <v>Input Basel III</v>
      </c>
      <c r="D3026" s="1389" t="str">
        <f>'Input Basel III'!$A$122</f>
        <v xml:space="preserve">7 Unternehmen </v>
      </c>
      <c r="E3026" s="1611" t="str">
        <f>'Input Basel III'!$B$134</f>
        <v>Risikogewicht 150%</v>
      </c>
      <c r="F3026" s="1390" t="str">
        <f>'Input Basel III'!$G$12</f>
        <v>Positionen ohne Kreditrisikominderung (CRM)</v>
      </c>
      <c r="G3026" s="1390"/>
      <c r="H3026" s="1518">
        <f>'Input Basel III'!G134</f>
        <v>0</v>
      </c>
    </row>
    <row r="3027" spans="2:8" x14ac:dyDescent="0.2">
      <c r="B3027" s="1083" t="str">
        <f>'Input Basel III'!$A$1</f>
        <v>15b</v>
      </c>
      <c r="C3027" s="1084" t="str">
        <f>'Input Basel III'!$B$1</f>
        <v>Input Basel III</v>
      </c>
      <c r="D3027" s="1389" t="str">
        <f>'Input Basel III'!$A$122</f>
        <v xml:space="preserve">7 Unternehmen </v>
      </c>
      <c r="E3027" s="1611" t="str">
        <f>'Input Basel III'!$B$134</f>
        <v>Risikogewicht 150%</v>
      </c>
      <c r="F3027" s="1390" t="str">
        <f>'Input Basel III'!$I$13</f>
        <v xml:space="preserve">Vor Besicherung </v>
      </c>
      <c r="G3027" s="1390"/>
      <c r="H3027" s="1518">
        <f>'Input Basel III'!I134</f>
        <v>0</v>
      </c>
    </row>
    <row r="3028" spans="2:8" x14ac:dyDescent="0.2">
      <c r="B3028" s="1083" t="str">
        <f>'Input Basel III'!$A$1</f>
        <v>15b</v>
      </c>
      <c r="C3028" s="1084" t="str">
        <f>'Input Basel III'!$B$1</f>
        <v>Input Basel III</v>
      </c>
      <c r="D3028" s="1389" t="str">
        <f>'Input Basel III'!$A$122</f>
        <v xml:space="preserve">7 Unternehmen </v>
      </c>
      <c r="E3028" s="1611" t="str">
        <f>'Input Basel III'!$B$134</f>
        <v>Risikogewicht 150%</v>
      </c>
      <c r="F3028" s="1390" t="str">
        <f>'Input Basel III'!$J$13</f>
        <v>Nach Besicherung</v>
      </c>
      <c r="G3028" s="1390"/>
      <c r="H3028" s="1518">
        <f>'Input Basel III'!J134</f>
        <v>0</v>
      </c>
    </row>
    <row r="3029" spans="2:8" x14ac:dyDescent="0.2">
      <c r="B3029" s="1083" t="str">
        <f>'Input Basel III'!$A$1</f>
        <v>15b</v>
      </c>
      <c r="C3029" s="1084" t="str">
        <f>'Input Basel III'!$B$1</f>
        <v>Input Basel III</v>
      </c>
      <c r="D3029" s="1389" t="str">
        <f>'Input Basel III'!$A$122</f>
        <v xml:space="preserve">7 Unternehmen </v>
      </c>
      <c r="E3029" s="1611" t="str">
        <f>'Input Basel III'!$B$134</f>
        <v>Risikogewicht 150%</v>
      </c>
      <c r="F3029" s="1390" t="str">
        <f>'Input Basel III'!$L$13</f>
        <v>Vor Garantien und Kreditderivate</v>
      </c>
      <c r="G3029" s="1390"/>
      <c r="H3029" s="1518">
        <f>'Input Basel III'!L134</f>
        <v>0</v>
      </c>
    </row>
    <row r="3030" spans="2:8" x14ac:dyDescent="0.2">
      <c r="B3030" s="1083" t="str">
        <f>'Input Basel III'!$A$1</f>
        <v>15b</v>
      </c>
      <c r="C3030" s="1084" t="str">
        <f>'Input Basel III'!$B$1</f>
        <v>Input Basel III</v>
      </c>
      <c r="D3030" s="1389" t="str">
        <f>'Input Basel III'!$A$122</f>
        <v xml:space="preserve">7 Unternehmen </v>
      </c>
      <c r="E3030" s="1611" t="str">
        <f>'Input Basel III'!$B$134</f>
        <v>Risikogewicht 150%</v>
      </c>
      <c r="F3030" s="1390" t="str">
        <f>'Input Basel III'!$M$13</f>
        <v>Nach Garantien und Kred.-.Der.</v>
      </c>
      <c r="G3030" s="1390"/>
      <c r="H3030" s="1518">
        <f>'Input Basel III'!M134</f>
        <v>0</v>
      </c>
    </row>
    <row r="3031" spans="2:8" x14ac:dyDescent="0.2">
      <c r="B3031" s="1083" t="str">
        <f>'Input Basel III'!$A$1</f>
        <v>15b</v>
      </c>
      <c r="C3031" s="1612" t="str">
        <f>'Input Basel III'!$B$1</f>
        <v>Input Basel III</v>
      </c>
      <c r="D3031" s="1389" t="str">
        <f>'Input Basel III'!$A$144</f>
        <v xml:space="preserve">8 Verbriefungen </v>
      </c>
      <c r="E3031" s="1611" t="str">
        <f>'Input Basel III'!$B$150</f>
        <v>Risikogewicht 40%</v>
      </c>
      <c r="F3031" s="1390" t="str">
        <f>'Input Basel III'!$C$12</f>
        <v>Risikogewicht</v>
      </c>
      <c r="G3031" s="1390"/>
      <c r="H3031" s="1517">
        <f>'Input Basel III'!C150</f>
        <v>0.4</v>
      </c>
    </row>
    <row r="3032" spans="2:8" x14ac:dyDescent="0.2">
      <c r="B3032" s="1083" t="str">
        <f>'Input Basel III'!$A$1</f>
        <v>15b</v>
      </c>
      <c r="C3032" s="1612" t="str">
        <f>'Input Basel III'!$B$1</f>
        <v>Input Basel III</v>
      </c>
      <c r="D3032" s="1389" t="str">
        <f>'Input Basel III'!$A$144</f>
        <v xml:space="preserve">8 Verbriefungen </v>
      </c>
      <c r="E3032" s="1611" t="str">
        <f>'Input Basel III'!$B$150</f>
        <v>Risikogewicht 40%</v>
      </c>
      <c r="F3032" s="1390" t="str">
        <f>'Input Basel III'!$G$12</f>
        <v>Positionen ohne Kreditrisikominderung (CRM)</v>
      </c>
      <c r="G3032" s="1390"/>
      <c r="H3032" s="1518">
        <f>'Input Basel III'!G150</f>
        <v>0</v>
      </c>
    </row>
    <row r="3033" spans="2:8" x14ac:dyDescent="0.2">
      <c r="B3033" s="1083" t="str">
        <f>'Input Basel III'!$A$1</f>
        <v>15b</v>
      </c>
      <c r="C3033" s="1612" t="str">
        <f>'Input Basel III'!$B$1</f>
        <v>Input Basel III</v>
      </c>
      <c r="D3033" s="1389" t="str">
        <f>'Input Basel III'!$A$144</f>
        <v xml:space="preserve">8 Verbriefungen </v>
      </c>
      <c r="E3033" s="1611" t="str">
        <f>'Input Basel III'!$B$150</f>
        <v>Risikogewicht 40%</v>
      </c>
      <c r="F3033" s="1390" t="str">
        <f>'Input Basel III'!$I$13</f>
        <v xml:space="preserve">Vor Besicherung </v>
      </c>
      <c r="G3033" s="1390"/>
      <c r="H3033" s="1518">
        <f>'Input Basel III'!I150</f>
        <v>0</v>
      </c>
    </row>
    <row r="3034" spans="2:8" x14ac:dyDescent="0.2">
      <c r="B3034" s="1083" t="str">
        <f>'Input Basel III'!$A$1</f>
        <v>15b</v>
      </c>
      <c r="C3034" s="1612" t="str">
        <f>'Input Basel III'!$B$1</f>
        <v>Input Basel III</v>
      </c>
      <c r="D3034" s="1389" t="str">
        <f>'Input Basel III'!$A$144</f>
        <v xml:space="preserve">8 Verbriefungen </v>
      </c>
      <c r="E3034" s="1611" t="str">
        <f>'Input Basel III'!$B$150</f>
        <v>Risikogewicht 40%</v>
      </c>
      <c r="F3034" s="1390" t="str">
        <f>'Input Basel III'!$J$13</f>
        <v>Nach Besicherung</v>
      </c>
      <c r="G3034" s="1390"/>
      <c r="H3034" s="1518">
        <f>'Input Basel III'!J150</f>
        <v>0</v>
      </c>
    </row>
    <row r="3035" spans="2:8" x14ac:dyDescent="0.2">
      <c r="B3035" s="1083" t="str">
        <f>'Input Basel III'!$A$1</f>
        <v>15b</v>
      </c>
      <c r="C3035" s="1612" t="str">
        <f>'Input Basel III'!$B$1</f>
        <v>Input Basel III</v>
      </c>
      <c r="D3035" s="1389" t="str">
        <f>'Input Basel III'!$A$144</f>
        <v xml:space="preserve">8 Verbriefungen </v>
      </c>
      <c r="E3035" s="1611" t="str">
        <f>'Input Basel III'!$B$150</f>
        <v>Risikogewicht 40%</v>
      </c>
      <c r="F3035" s="1390" t="str">
        <f>'Input Basel III'!$L$13</f>
        <v>Vor Garantien und Kreditderivate</v>
      </c>
      <c r="G3035" s="1390"/>
      <c r="H3035" s="1518">
        <f>'Input Basel III'!L150</f>
        <v>0</v>
      </c>
    </row>
    <row r="3036" spans="2:8" x14ac:dyDescent="0.2">
      <c r="B3036" s="1083" t="str">
        <f>'Input Basel III'!$A$1</f>
        <v>15b</v>
      </c>
      <c r="C3036" s="1612" t="str">
        <f>'Input Basel III'!$B$1</f>
        <v>Input Basel III</v>
      </c>
      <c r="D3036" s="1389" t="str">
        <f>'Input Basel III'!$A$144</f>
        <v xml:space="preserve">8 Verbriefungen </v>
      </c>
      <c r="E3036" s="1611" t="str">
        <f>'Input Basel III'!$B$150</f>
        <v>Risikogewicht 40%</v>
      </c>
      <c r="F3036" s="1390" t="str">
        <f>'Input Basel III'!$M$13</f>
        <v>Nach Garantien und Kred.-.Der.</v>
      </c>
      <c r="G3036" s="1390"/>
      <c r="H3036" s="1518">
        <f>'Input Basel III'!M150</f>
        <v>0</v>
      </c>
    </row>
    <row r="3037" spans="2:8" x14ac:dyDescent="0.2">
      <c r="B3037" s="1083" t="str">
        <f>'Input Basel III'!$A$1</f>
        <v>15b</v>
      </c>
      <c r="C3037" s="1612" t="str">
        <f>'Input Basel III'!$B$1</f>
        <v>Input Basel III</v>
      </c>
      <c r="D3037" s="1389" t="str">
        <f>'Input Basel III'!$A$144</f>
        <v xml:space="preserve">8 Verbriefungen </v>
      </c>
      <c r="E3037" s="1609" t="str">
        <f>'Input Basel III'!$B$153</f>
        <v>Risikogewicht 225%</v>
      </c>
      <c r="F3037" s="1390" t="str">
        <f>'Input Basel III'!$C$12</f>
        <v>Risikogewicht</v>
      </c>
      <c r="G3037" s="1390"/>
      <c r="H3037" s="1517">
        <f>'Input Basel III'!C153</f>
        <v>2.25</v>
      </c>
    </row>
    <row r="3038" spans="2:8" x14ac:dyDescent="0.2">
      <c r="B3038" s="1083" t="str">
        <f>'Input Basel III'!$A$1</f>
        <v>15b</v>
      </c>
      <c r="C3038" s="1612" t="str">
        <f>'Input Basel III'!$B$1</f>
        <v>Input Basel III</v>
      </c>
      <c r="D3038" s="1389" t="str">
        <f>'Input Basel III'!$A$144</f>
        <v xml:space="preserve">8 Verbriefungen </v>
      </c>
      <c r="E3038" s="1611" t="str">
        <f>'Input Basel III'!$B$153</f>
        <v>Risikogewicht 225%</v>
      </c>
      <c r="F3038" s="1390" t="str">
        <f>'Input Basel III'!$G$12</f>
        <v>Positionen ohne Kreditrisikominderung (CRM)</v>
      </c>
      <c r="G3038" s="1390"/>
      <c r="H3038" s="1518">
        <f>'Input Basel III'!G153</f>
        <v>0</v>
      </c>
    </row>
    <row r="3039" spans="2:8" x14ac:dyDescent="0.2">
      <c r="B3039" s="1083" t="str">
        <f>'Input Basel III'!$A$1</f>
        <v>15b</v>
      </c>
      <c r="C3039" s="1612" t="str">
        <f>'Input Basel III'!$B$1</f>
        <v>Input Basel III</v>
      </c>
      <c r="D3039" s="1389" t="str">
        <f>'Input Basel III'!$A$144</f>
        <v xml:space="preserve">8 Verbriefungen </v>
      </c>
      <c r="E3039" s="1611" t="str">
        <f>'Input Basel III'!$B$153</f>
        <v>Risikogewicht 225%</v>
      </c>
      <c r="F3039" s="1390" t="str">
        <f>'Input Basel III'!$I$13</f>
        <v xml:space="preserve">Vor Besicherung </v>
      </c>
      <c r="G3039" s="1390"/>
      <c r="H3039" s="1518">
        <f>'Input Basel III'!I153</f>
        <v>0</v>
      </c>
    </row>
    <row r="3040" spans="2:8" x14ac:dyDescent="0.2">
      <c r="B3040" s="1083" t="str">
        <f>'Input Basel III'!$A$1</f>
        <v>15b</v>
      </c>
      <c r="C3040" s="1612" t="str">
        <f>'Input Basel III'!$B$1</f>
        <v>Input Basel III</v>
      </c>
      <c r="D3040" s="1389" t="str">
        <f>'Input Basel III'!$A$144</f>
        <v xml:space="preserve">8 Verbriefungen </v>
      </c>
      <c r="E3040" s="1611" t="str">
        <f>'Input Basel III'!$B$153</f>
        <v>Risikogewicht 225%</v>
      </c>
      <c r="F3040" s="1390" t="str">
        <f>'Input Basel III'!$J$13</f>
        <v>Nach Besicherung</v>
      </c>
      <c r="G3040" s="1390"/>
      <c r="H3040" s="1518">
        <f>'Input Basel III'!J153</f>
        <v>0</v>
      </c>
    </row>
    <row r="3041" spans="2:8" x14ac:dyDescent="0.2">
      <c r="B3041" s="1083" t="str">
        <f>'Input Basel III'!$A$1</f>
        <v>15b</v>
      </c>
      <c r="C3041" s="1612" t="str">
        <f>'Input Basel III'!$B$1</f>
        <v>Input Basel III</v>
      </c>
      <c r="D3041" s="1389" t="str">
        <f>'Input Basel III'!$A$144</f>
        <v xml:space="preserve">8 Verbriefungen </v>
      </c>
      <c r="E3041" s="1611" t="str">
        <f>'Input Basel III'!$B$153</f>
        <v>Risikogewicht 225%</v>
      </c>
      <c r="F3041" s="1390" t="str">
        <f>'Input Basel III'!$L$13</f>
        <v>Vor Garantien und Kreditderivate</v>
      </c>
      <c r="G3041" s="1390"/>
      <c r="H3041" s="1518">
        <f>'Input Basel III'!L153</f>
        <v>0</v>
      </c>
    </row>
    <row r="3042" spans="2:8" x14ac:dyDescent="0.2">
      <c r="B3042" s="1083" t="str">
        <f>'Input Basel III'!$A$1</f>
        <v>15b</v>
      </c>
      <c r="C3042" s="1612" t="str">
        <f>'Input Basel III'!$B$1</f>
        <v>Input Basel III</v>
      </c>
      <c r="D3042" s="1389" t="str">
        <f>'Input Basel III'!$A$144</f>
        <v xml:space="preserve">8 Verbriefungen </v>
      </c>
      <c r="E3042" s="1611" t="str">
        <f>'Input Basel III'!$B$153</f>
        <v>Risikogewicht 225%</v>
      </c>
      <c r="F3042" s="1390" t="str">
        <f>'Input Basel III'!$M$13</f>
        <v>Nach Garantien und Kred.-.Der.</v>
      </c>
      <c r="G3042" s="1390"/>
      <c r="H3042" s="1518">
        <f>'Input Basel III'!M153</f>
        <v>0</v>
      </c>
    </row>
    <row r="3043" spans="2:8" x14ac:dyDescent="0.2">
      <c r="B3043" s="1083" t="str">
        <f>'Input Basel III'!$A$1</f>
        <v>15b</v>
      </c>
      <c r="C3043" s="1612" t="str">
        <f>'Input Basel III'!$B$1</f>
        <v>Input Basel III</v>
      </c>
      <c r="D3043" s="1389" t="str">
        <f>'Input Basel III'!$A$144</f>
        <v xml:space="preserve">8 Verbriefungen </v>
      </c>
      <c r="E3043" s="1611" t="str">
        <f>'Input Basel III'!$B$155</f>
        <v>Risikogewicht 650%</v>
      </c>
      <c r="F3043" s="1390" t="str">
        <f>'Input Basel III'!$C$12</f>
        <v>Risikogewicht</v>
      </c>
      <c r="G3043" s="1390"/>
      <c r="H3043" s="1517">
        <f>'Input Basel III'!C155</f>
        <v>6.5</v>
      </c>
    </row>
    <row r="3044" spans="2:8" x14ac:dyDescent="0.2">
      <c r="B3044" s="1083" t="str">
        <f>'Input Basel III'!$A$1</f>
        <v>15b</v>
      </c>
      <c r="C3044" s="1612" t="str">
        <f>'Input Basel III'!$B$1</f>
        <v>Input Basel III</v>
      </c>
      <c r="D3044" s="1389" t="str">
        <f>'Input Basel III'!$A$144</f>
        <v xml:space="preserve">8 Verbriefungen </v>
      </c>
      <c r="E3044" s="1611" t="str">
        <f>'Input Basel III'!$B$155</f>
        <v>Risikogewicht 650%</v>
      </c>
      <c r="F3044" s="1390" t="str">
        <f>'Input Basel III'!$G$12</f>
        <v>Positionen ohne Kreditrisikominderung (CRM)</v>
      </c>
      <c r="G3044" s="1390"/>
      <c r="H3044" s="1518">
        <f>'Input Basel III'!G155</f>
        <v>0</v>
      </c>
    </row>
    <row r="3045" spans="2:8" x14ac:dyDescent="0.2">
      <c r="B3045" s="1083" t="str">
        <f>'Input Basel III'!$A$1</f>
        <v>15b</v>
      </c>
      <c r="C3045" s="1612" t="str">
        <f>'Input Basel III'!$B$1</f>
        <v>Input Basel III</v>
      </c>
      <c r="D3045" s="1389" t="str">
        <f>'Input Basel III'!$A$144</f>
        <v xml:space="preserve">8 Verbriefungen </v>
      </c>
      <c r="E3045" s="1611" t="str">
        <f>'Input Basel III'!$B$155</f>
        <v>Risikogewicht 650%</v>
      </c>
      <c r="F3045" s="1390" t="str">
        <f>'Input Basel III'!$I$13</f>
        <v xml:space="preserve">Vor Besicherung </v>
      </c>
      <c r="G3045" s="1390"/>
      <c r="H3045" s="1518">
        <f>'Input Basel III'!I155</f>
        <v>0</v>
      </c>
    </row>
    <row r="3046" spans="2:8" x14ac:dyDescent="0.2">
      <c r="B3046" s="1083" t="str">
        <f>'Input Basel III'!$A$1</f>
        <v>15b</v>
      </c>
      <c r="C3046" s="1612" t="str">
        <f>'Input Basel III'!$B$1</f>
        <v>Input Basel III</v>
      </c>
      <c r="D3046" s="1389" t="str">
        <f>'Input Basel III'!$A$144</f>
        <v xml:space="preserve">8 Verbriefungen </v>
      </c>
      <c r="E3046" s="1611" t="str">
        <f>'Input Basel III'!$B$155</f>
        <v>Risikogewicht 650%</v>
      </c>
      <c r="F3046" s="1390" t="str">
        <f>'Input Basel III'!$J$13</f>
        <v>Nach Besicherung</v>
      </c>
      <c r="G3046" s="1390"/>
      <c r="H3046" s="1518">
        <f>'Input Basel III'!J155</f>
        <v>0</v>
      </c>
    </row>
    <row r="3047" spans="2:8" x14ac:dyDescent="0.2">
      <c r="B3047" s="1083" t="str">
        <f>'Input Basel III'!$A$1</f>
        <v>15b</v>
      </c>
      <c r="C3047" s="1612" t="str">
        <f>'Input Basel III'!$B$1</f>
        <v>Input Basel III</v>
      </c>
      <c r="D3047" s="1389" t="str">
        <f>'Input Basel III'!$A$144</f>
        <v xml:space="preserve">8 Verbriefungen </v>
      </c>
      <c r="E3047" s="1611" t="str">
        <f>'Input Basel III'!$B$155</f>
        <v>Risikogewicht 650%</v>
      </c>
      <c r="F3047" s="1390" t="str">
        <f>'Input Basel III'!$L$13</f>
        <v>Vor Garantien und Kreditderivate</v>
      </c>
      <c r="G3047" s="1390"/>
      <c r="H3047" s="1518">
        <f>'Input Basel III'!L155</f>
        <v>0</v>
      </c>
    </row>
    <row r="3048" spans="2:8" x14ac:dyDescent="0.2">
      <c r="B3048" s="1083" t="str">
        <f>'Input Basel III'!$A$1</f>
        <v>15b</v>
      </c>
      <c r="C3048" s="1612" t="str">
        <f>'Input Basel III'!$B$1</f>
        <v>Input Basel III</v>
      </c>
      <c r="D3048" s="1389" t="str">
        <f>'Input Basel III'!$A$144</f>
        <v xml:space="preserve">8 Verbriefungen </v>
      </c>
      <c r="E3048" s="1611" t="str">
        <f>'Input Basel III'!$B$155</f>
        <v>Risikogewicht 650%</v>
      </c>
      <c r="F3048" s="1390" t="str">
        <f>'Input Basel III'!$M$13</f>
        <v>Nach Garantien und Kred.-.Der.</v>
      </c>
      <c r="G3048" s="1390"/>
      <c r="H3048" s="1518">
        <f>'Input Basel III'!M155</f>
        <v>0</v>
      </c>
    </row>
    <row r="3049" spans="2:8" x14ac:dyDescent="0.2">
      <c r="B3049" s="1083" t="str">
        <f>'Input Basel III'!$A$1</f>
        <v>15b</v>
      </c>
      <c r="C3049" s="1084" t="str">
        <f>'Input Basel III'!$B$1</f>
        <v>Input Basel III</v>
      </c>
      <c r="D3049" s="1389" t="str">
        <f>'Input Basel III'!$A$197</f>
        <v>3 Direkt und indirekt grundpfandgesicherte Positionen</v>
      </c>
      <c r="E3049"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49" s="1611" t="str">
        <f>'Input Basel III'!$C$199</f>
        <v>Risikogewicht</v>
      </c>
      <c r="G3049" s="1390"/>
      <c r="H3049" s="1740">
        <f>'Input Basel III'!C202</f>
        <v>0.75</v>
      </c>
    </row>
    <row r="3050" spans="2:8" x14ac:dyDescent="0.2">
      <c r="B3050" s="1083" t="str">
        <f>'Input Basel III'!$A$1</f>
        <v>15b</v>
      </c>
      <c r="C3050" s="1084" t="str">
        <f>'Input Basel III'!$B$1</f>
        <v>Input Basel III</v>
      </c>
      <c r="D3050" s="1389" t="str">
        <f>'Input Basel III'!$A$197</f>
        <v>3 Direkt und indirekt grundpfandgesicherte Positionen</v>
      </c>
      <c r="E3050" s="1611" t="str">
        <f>'Input Basel III'!$B$203</f>
        <v>Direkt und indirekt grundpfandgesicherte Positionen: Wohnliegenschaften in der Schweiz und im Ausland, über 80% des Verkehrswertes</v>
      </c>
      <c r="F3050" s="1611" t="str">
        <f>'Input Basel III'!$C$199</f>
        <v>Risikogewicht</v>
      </c>
      <c r="G3050" s="1390"/>
      <c r="H3050" s="1740">
        <f>'Input Basel III'!C203</f>
        <v>1</v>
      </c>
    </row>
    <row r="3051" spans="2:8" x14ac:dyDescent="0.2">
      <c r="B3051" s="1083" t="str">
        <f>'Input Basel III'!$A$1</f>
        <v>15b</v>
      </c>
      <c r="C3051" s="1084" t="str">
        <f>'Input Basel III'!$B$1</f>
        <v>Input Basel III</v>
      </c>
      <c r="D3051" s="1389" t="str">
        <f>'Input Basel III'!$A$197</f>
        <v>3 Direkt und indirekt grundpfandgesicherte Positionen</v>
      </c>
      <c r="E3051"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1" s="1390" t="str">
        <f>'Input Basel III'!G$199</f>
        <v>Positionen ohne Kreditrisikominderung (CRM)</v>
      </c>
      <c r="G3051" s="1390"/>
      <c r="H3051" s="1741">
        <f>'Input Basel III'!G202</f>
        <v>0</v>
      </c>
    </row>
    <row r="3052" spans="2:8" x14ac:dyDescent="0.2">
      <c r="B3052" s="1083" t="str">
        <f>'Input Basel III'!$A$1</f>
        <v>15b</v>
      </c>
      <c r="C3052" s="1084" t="str">
        <f>'Input Basel III'!$B$1</f>
        <v>Input Basel III</v>
      </c>
      <c r="D3052" s="1389" t="str">
        <f>'Input Basel III'!$A$197</f>
        <v>3 Direkt und indirekt grundpfandgesicherte Positionen</v>
      </c>
      <c r="E3052" s="1611" t="str">
        <f>'Input Basel III'!$B$203</f>
        <v>Direkt und indirekt grundpfandgesicherte Positionen: Wohnliegenschaften in der Schweiz und im Ausland, über 80% des Verkehrswertes</v>
      </c>
      <c r="F3052" s="1390" t="str">
        <f>'Input Basel III'!G$199</f>
        <v>Positionen ohne Kreditrisikominderung (CRM)</v>
      </c>
      <c r="G3052" s="1390"/>
      <c r="H3052" s="1741">
        <f>'Input Basel III'!G203</f>
        <v>0</v>
      </c>
    </row>
    <row r="3053" spans="2:8" x14ac:dyDescent="0.2">
      <c r="B3053" s="1083" t="str">
        <f>'Input Basel III'!$A$1</f>
        <v>15b</v>
      </c>
      <c r="C3053" s="1084" t="str">
        <f>'Input Basel III'!$B$1</f>
        <v>Input Basel III</v>
      </c>
      <c r="D3053" s="1389" t="str">
        <f>'Input Basel III'!$A$197</f>
        <v>3 Direkt und indirekt grundpfandgesicherte Positionen</v>
      </c>
      <c r="E3053"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3" s="1390" t="str">
        <f>'Input Basel III'!I200</f>
        <v xml:space="preserve">Vor Besicherung </v>
      </c>
      <c r="G3053" s="1390"/>
      <c r="H3053" s="1741">
        <f>'Input Basel III'!I202</f>
        <v>0</v>
      </c>
    </row>
    <row r="3054" spans="2:8" x14ac:dyDescent="0.2">
      <c r="B3054" s="1083" t="str">
        <f>'Input Basel III'!$A$1</f>
        <v>15b</v>
      </c>
      <c r="C3054" s="1084" t="str">
        <f>'Input Basel III'!$B$1</f>
        <v>Input Basel III</v>
      </c>
      <c r="D3054" s="1389" t="str">
        <f>'Input Basel III'!$A$197</f>
        <v>3 Direkt und indirekt grundpfandgesicherte Positionen</v>
      </c>
      <c r="E3054" s="1611" t="str">
        <f>'Input Basel III'!$B$203</f>
        <v>Direkt und indirekt grundpfandgesicherte Positionen: Wohnliegenschaften in der Schweiz und im Ausland, über 80% des Verkehrswertes</v>
      </c>
      <c r="F3054" s="1390" t="str">
        <f>'Input Basel III'!I200</f>
        <v xml:space="preserve">Vor Besicherung </v>
      </c>
      <c r="G3054" s="1390"/>
      <c r="H3054" s="1741">
        <f>'Input Basel III'!I203</f>
        <v>0</v>
      </c>
    </row>
    <row r="3055" spans="2:8" x14ac:dyDescent="0.2">
      <c r="B3055" s="1083" t="str">
        <f>'Input Basel III'!$A$1</f>
        <v>15b</v>
      </c>
      <c r="C3055" s="1084" t="str">
        <f>'Input Basel III'!$B$1</f>
        <v>Input Basel III</v>
      </c>
      <c r="D3055" s="1389" t="str">
        <f>'Input Basel III'!$A$197</f>
        <v>3 Direkt und indirekt grundpfandgesicherte Positionen</v>
      </c>
      <c r="E3055"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5" s="1390" t="str">
        <f>'Input Basel III'!J200</f>
        <v>Nach Besicherung</v>
      </c>
      <c r="G3055" s="1390"/>
      <c r="H3055" s="1741">
        <f>'Input Basel III'!J202</f>
        <v>0</v>
      </c>
    </row>
    <row r="3056" spans="2:8" x14ac:dyDescent="0.2">
      <c r="B3056" s="1083" t="str">
        <f>'Input Basel III'!$A$1</f>
        <v>15b</v>
      </c>
      <c r="C3056" s="1084" t="str">
        <f>'Input Basel III'!$B$1</f>
        <v>Input Basel III</v>
      </c>
      <c r="D3056" s="1389" t="str">
        <f>'Input Basel III'!$A$197</f>
        <v>3 Direkt und indirekt grundpfandgesicherte Positionen</v>
      </c>
      <c r="E3056" s="1611" t="str">
        <f>'Input Basel III'!$B$203</f>
        <v>Direkt und indirekt grundpfandgesicherte Positionen: Wohnliegenschaften in der Schweiz und im Ausland, über 80% des Verkehrswertes</v>
      </c>
      <c r="F3056" s="1390" t="str">
        <f>'Input Basel III'!J200</f>
        <v>Nach Besicherung</v>
      </c>
      <c r="G3056" s="1390"/>
      <c r="H3056" s="1741">
        <f>'Input Basel III'!J203</f>
        <v>0</v>
      </c>
    </row>
    <row r="3057" spans="1:8" x14ac:dyDescent="0.2">
      <c r="B3057" s="1083" t="str">
        <f>'Input Basel III'!$A$1</f>
        <v>15b</v>
      </c>
      <c r="C3057" s="1084" t="str">
        <f>'Input Basel III'!$B$1</f>
        <v>Input Basel III</v>
      </c>
      <c r="D3057" s="1389" t="str">
        <f>'Input Basel III'!$A$197</f>
        <v>3 Direkt und indirekt grundpfandgesicherte Positionen</v>
      </c>
      <c r="E3057"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7" s="1390" t="str">
        <f>'Input Basel III'!L200</f>
        <v>Vor Garantien und Kreditderivate</v>
      </c>
      <c r="G3057" s="1390"/>
      <c r="H3057" s="1741">
        <f>'Input Basel III'!L202</f>
        <v>0</v>
      </c>
    </row>
    <row r="3058" spans="1:8" x14ac:dyDescent="0.2">
      <c r="B3058" s="1083" t="str">
        <f>'Input Basel III'!$A$1</f>
        <v>15b</v>
      </c>
      <c r="C3058" s="1084" t="str">
        <f>'Input Basel III'!$B$1</f>
        <v>Input Basel III</v>
      </c>
      <c r="D3058" s="1389" t="str">
        <f>'Input Basel III'!$A$197</f>
        <v>3 Direkt und indirekt grundpfandgesicherte Positionen</v>
      </c>
      <c r="E3058" s="1611" t="str">
        <f>'Input Basel III'!$B$203</f>
        <v>Direkt und indirekt grundpfandgesicherte Positionen: Wohnliegenschaften in der Schweiz und im Ausland, über 80% des Verkehrswertes</v>
      </c>
      <c r="F3058" s="1390" t="str">
        <f>'Input Basel III'!L200</f>
        <v>Vor Garantien und Kreditderivate</v>
      </c>
      <c r="G3058" s="1390"/>
      <c r="H3058" s="1741">
        <f>'Input Basel III'!L203</f>
        <v>0</v>
      </c>
    </row>
    <row r="3059" spans="1:8" x14ac:dyDescent="0.2">
      <c r="B3059" s="1083" t="str">
        <f>'Input Basel III'!$A$1</f>
        <v>15b</v>
      </c>
      <c r="C3059" s="1084" t="str">
        <f>'Input Basel III'!$B$1</f>
        <v>Input Basel III</v>
      </c>
      <c r="D3059" s="1389" t="str">
        <f>'Input Basel III'!$A$197</f>
        <v>3 Direkt und indirekt grundpfandgesicherte Positionen</v>
      </c>
      <c r="E3059" s="1611"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9" s="1390" t="str">
        <f>'Input Basel III'!M200</f>
        <v>Nach Garantien und Kred.-.Der.</v>
      </c>
      <c r="G3059" s="1390"/>
      <c r="H3059" s="1741">
        <f>'Input Basel III'!M202</f>
        <v>0</v>
      </c>
    </row>
    <row r="3060" spans="1:8" x14ac:dyDescent="0.2">
      <c r="B3060" s="1083" t="str">
        <f>'Input Basel III'!$A$1</f>
        <v>15b</v>
      </c>
      <c r="C3060" s="1084" t="str">
        <f>'Input Basel III'!$B$1</f>
        <v>Input Basel III</v>
      </c>
      <c r="D3060" s="1389" t="str">
        <f>'Input Basel III'!$A$197</f>
        <v>3 Direkt und indirekt grundpfandgesicherte Positionen</v>
      </c>
      <c r="E3060" s="1611" t="str">
        <f>'Input Basel III'!$B$203</f>
        <v>Direkt und indirekt grundpfandgesicherte Positionen: Wohnliegenschaften in der Schweiz und im Ausland, über 80% des Verkehrswertes</v>
      </c>
      <c r="F3060" s="1390" t="str">
        <f>'Input Basel III'!M200</f>
        <v>Nach Garantien und Kred.-.Der.</v>
      </c>
      <c r="G3060" s="1390"/>
      <c r="H3060" s="1741">
        <f>'Input Basel III'!M203</f>
        <v>0</v>
      </c>
    </row>
    <row r="3061" spans="1:8" x14ac:dyDescent="0.2">
      <c r="B3061" s="1580"/>
      <c r="C3061" s="1742"/>
    </row>
    <row r="3062" spans="1:8" x14ac:dyDescent="0.2">
      <c r="A3062" s="1176" t="s">
        <v>2141</v>
      </c>
      <c r="B3062" s="1580"/>
      <c r="C3062" s="1742"/>
    </row>
    <row r="3063" spans="1:8" x14ac:dyDescent="0.2">
      <c r="B3063" s="1610" t="str">
        <f>'BAG 0'!$A$1</f>
        <v>BAG 0</v>
      </c>
      <c r="C3063" s="1091" t="str">
        <f>'BAG 0'!$B$1</f>
        <v>Inputs für BAG-Szenarien</v>
      </c>
      <c r="D3063" s="2203" t="str">
        <f>'BAG 0'!A12</f>
        <v>Anzahl Versicherte 2024 (Durchschnittsbestand)</v>
      </c>
      <c r="E3063" s="1390" t="str">
        <f>'BAG 0'!$C$10</f>
        <v>Kinder</v>
      </c>
      <c r="F3063" s="1390" t="str">
        <f>'BAG 0'!$C$10</f>
        <v>Kinder</v>
      </c>
      <c r="G3063" s="1390"/>
      <c r="H3063" s="1741">
        <f>'BAG 0'!C12</f>
        <v>0</v>
      </c>
    </row>
    <row r="3064" spans="1:8" x14ac:dyDescent="0.2">
      <c r="B3064" s="1610" t="str">
        <f>'BAG 0'!$A$1</f>
        <v>BAG 0</v>
      </c>
      <c r="C3064" s="1091" t="str">
        <f>'BAG 0'!$B$1</f>
        <v>Inputs für BAG-Szenarien</v>
      </c>
      <c r="D3064" s="2203" t="str">
        <f>'BAG 0'!A12</f>
        <v>Anzahl Versicherte 2024 (Durchschnittsbestand)</v>
      </c>
      <c r="E3064" s="1390" t="str">
        <f>'BAG 0'!$D$10</f>
        <v>Jugendliche und Erwachsene mit wählbarer Jahresfranchise von ...</v>
      </c>
      <c r="F3064" s="1390">
        <f>'BAG 0'!$D$11</f>
        <v>300</v>
      </c>
      <c r="G3064" s="1390"/>
      <c r="H3064" s="1741">
        <f>'BAG 0'!D12</f>
        <v>0</v>
      </c>
    </row>
    <row r="3065" spans="1:8" x14ac:dyDescent="0.2">
      <c r="B3065" s="1610" t="str">
        <f>'BAG 0'!$A$1</f>
        <v>BAG 0</v>
      </c>
      <c r="C3065" s="1091" t="str">
        <f>'BAG 0'!$B$1</f>
        <v>Inputs für BAG-Szenarien</v>
      </c>
      <c r="D3065" s="2203" t="str">
        <f>'BAG 0'!A12</f>
        <v>Anzahl Versicherte 2024 (Durchschnittsbestand)</v>
      </c>
      <c r="E3065" s="1390" t="str">
        <f>'BAG 0'!$D$10</f>
        <v>Jugendliche und Erwachsene mit wählbarer Jahresfranchise von ...</v>
      </c>
      <c r="F3065" s="1390">
        <f>'BAG 0'!$E$11</f>
        <v>500</v>
      </c>
      <c r="G3065" s="1390"/>
      <c r="H3065" s="1741">
        <f>'BAG 0'!E12</f>
        <v>0</v>
      </c>
    </row>
    <row r="3066" spans="1:8" x14ac:dyDescent="0.2">
      <c r="B3066" s="1610" t="str">
        <f>'BAG 0'!$A$1</f>
        <v>BAG 0</v>
      </c>
      <c r="C3066" s="1091" t="str">
        <f>'BAG 0'!$B$1</f>
        <v>Inputs für BAG-Szenarien</v>
      </c>
      <c r="D3066" s="2203" t="str">
        <f>'BAG 0'!A12</f>
        <v>Anzahl Versicherte 2024 (Durchschnittsbestand)</v>
      </c>
      <c r="E3066" s="1390" t="str">
        <f>'BAG 0'!$D$10</f>
        <v>Jugendliche und Erwachsene mit wählbarer Jahresfranchise von ...</v>
      </c>
      <c r="F3066" s="1390">
        <f>'BAG 0'!$F$11</f>
        <v>1000</v>
      </c>
      <c r="G3066" s="1390"/>
      <c r="H3066" s="1741">
        <f>'BAG 0'!F12</f>
        <v>0</v>
      </c>
    </row>
    <row r="3067" spans="1:8" x14ac:dyDescent="0.2">
      <c r="B3067" s="1610" t="str">
        <f>'BAG 0'!$A$1</f>
        <v>BAG 0</v>
      </c>
      <c r="C3067" s="1091" t="str">
        <f>'BAG 0'!$B$1</f>
        <v>Inputs für BAG-Szenarien</v>
      </c>
      <c r="D3067" s="2203" t="str">
        <f>'BAG 0'!A12</f>
        <v>Anzahl Versicherte 2024 (Durchschnittsbestand)</v>
      </c>
      <c r="E3067" s="1390" t="str">
        <f>'BAG 0'!$D$10</f>
        <v>Jugendliche und Erwachsene mit wählbarer Jahresfranchise von ...</v>
      </c>
      <c r="F3067" s="1390">
        <f>'BAG 0'!$G$11</f>
        <v>1500</v>
      </c>
      <c r="G3067" s="1390"/>
      <c r="H3067" s="1741">
        <f>'BAG 0'!G12</f>
        <v>0</v>
      </c>
    </row>
    <row r="3068" spans="1:8" x14ac:dyDescent="0.2">
      <c r="B3068" s="1610" t="str">
        <f>'BAG 0'!$A$1</f>
        <v>BAG 0</v>
      </c>
      <c r="C3068" s="1091" t="str">
        <f>'BAG 0'!$B$1</f>
        <v>Inputs für BAG-Szenarien</v>
      </c>
      <c r="D3068" s="2203" t="str">
        <f>'BAG 0'!A12</f>
        <v>Anzahl Versicherte 2024 (Durchschnittsbestand)</v>
      </c>
      <c r="E3068" s="1390" t="str">
        <f>'BAG 0'!$D$10</f>
        <v>Jugendliche und Erwachsene mit wählbarer Jahresfranchise von ...</v>
      </c>
      <c r="F3068" s="1390">
        <f>'BAG 0'!$H$11</f>
        <v>2000</v>
      </c>
      <c r="G3068" s="1390"/>
      <c r="H3068" s="1741">
        <f>'BAG 0'!H12</f>
        <v>0</v>
      </c>
    </row>
    <row r="3069" spans="1:8" x14ac:dyDescent="0.2">
      <c r="B3069" s="1610" t="str">
        <f>'BAG 0'!$A$1</f>
        <v>BAG 0</v>
      </c>
      <c r="C3069" s="1091" t="str">
        <f>'BAG 0'!$B$1</f>
        <v>Inputs für BAG-Szenarien</v>
      </c>
      <c r="D3069" s="2203" t="str">
        <f>'BAG 0'!A12</f>
        <v>Anzahl Versicherte 2024 (Durchschnittsbestand)</v>
      </c>
      <c r="E3069" s="1390" t="str">
        <f>'BAG 0'!$D$10</f>
        <v>Jugendliche und Erwachsene mit wählbarer Jahresfranchise von ...</v>
      </c>
      <c r="F3069" s="1390">
        <f>'BAG 0'!$I$11</f>
        <v>2500</v>
      </c>
      <c r="G3069" s="1390"/>
      <c r="H3069" s="1741">
        <f>'BAG 0'!I12</f>
        <v>0</v>
      </c>
    </row>
    <row r="3070" spans="1:8" x14ac:dyDescent="0.2">
      <c r="B3070" s="1610" t="str">
        <f>'BAG 0'!$A$1</f>
        <v>BAG 0</v>
      </c>
      <c r="C3070" s="1091" t="str">
        <f>'BAG 0'!$B$1</f>
        <v>Inputs für BAG-Szenarien</v>
      </c>
      <c r="D3070" s="2204" t="str">
        <f>'BAG 0'!A13</f>
        <v>Anzahl Versicherte 2025 (Durchschnittsbestand)</v>
      </c>
      <c r="E3070" s="1390" t="str">
        <f>'BAG 0'!$C$10</f>
        <v>Kinder</v>
      </c>
      <c r="F3070" s="1390" t="str">
        <f>'BAG 0'!$C$10</f>
        <v>Kinder</v>
      </c>
      <c r="G3070" s="1390"/>
      <c r="H3070" s="1741">
        <f>'BAG 0'!C13</f>
        <v>0</v>
      </c>
    </row>
    <row r="3071" spans="1:8" x14ac:dyDescent="0.2">
      <c r="B3071" s="1610" t="str">
        <f>'BAG 0'!$A$1</f>
        <v>BAG 0</v>
      </c>
      <c r="C3071" s="1091" t="str">
        <f>'BAG 0'!$B$1</f>
        <v>Inputs für BAG-Szenarien</v>
      </c>
      <c r="D3071" s="2204" t="str">
        <f>'BAG 0'!A13</f>
        <v>Anzahl Versicherte 2025 (Durchschnittsbestand)</v>
      </c>
      <c r="E3071" s="1390" t="str">
        <f>'BAG 0'!$D$10</f>
        <v>Jugendliche und Erwachsene mit wählbarer Jahresfranchise von ...</v>
      </c>
      <c r="F3071" s="1390">
        <f>'BAG 0'!$D$11</f>
        <v>300</v>
      </c>
      <c r="G3071" s="1390"/>
      <c r="H3071" s="1741">
        <f>'BAG 0'!D13</f>
        <v>0</v>
      </c>
    </row>
    <row r="3072" spans="1:8" x14ac:dyDescent="0.2">
      <c r="B3072" s="1610" t="str">
        <f>'BAG 0'!$A$1</f>
        <v>BAG 0</v>
      </c>
      <c r="C3072" s="1091" t="str">
        <f>'BAG 0'!$B$1</f>
        <v>Inputs für BAG-Szenarien</v>
      </c>
      <c r="D3072" s="2204" t="str">
        <f>'BAG 0'!A13</f>
        <v>Anzahl Versicherte 2025 (Durchschnittsbestand)</v>
      </c>
      <c r="E3072" s="1390" t="str">
        <f>'BAG 0'!$D$10</f>
        <v>Jugendliche und Erwachsene mit wählbarer Jahresfranchise von ...</v>
      </c>
      <c r="F3072" s="1390">
        <f>'BAG 0'!$E$11</f>
        <v>500</v>
      </c>
      <c r="G3072" s="1390"/>
      <c r="H3072" s="1741">
        <f>'BAG 0'!E13</f>
        <v>0</v>
      </c>
    </row>
    <row r="3073" spans="2:8" x14ac:dyDescent="0.2">
      <c r="B3073" s="1610" t="str">
        <f>'BAG 0'!$A$1</f>
        <v>BAG 0</v>
      </c>
      <c r="C3073" s="1091" t="str">
        <f>'BAG 0'!$B$1</f>
        <v>Inputs für BAG-Szenarien</v>
      </c>
      <c r="D3073" s="2204" t="str">
        <f>'BAG 0'!A13</f>
        <v>Anzahl Versicherte 2025 (Durchschnittsbestand)</v>
      </c>
      <c r="E3073" s="1390" t="str">
        <f>'BAG 0'!$D$10</f>
        <v>Jugendliche und Erwachsene mit wählbarer Jahresfranchise von ...</v>
      </c>
      <c r="F3073" s="1390">
        <f>'BAG 0'!$F$11</f>
        <v>1000</v>
      </c>
      <c r="G3073" s="1390"/>
      <c r="H3073" s="1741">
        <f>'BAG 0'!F13</f>
        <v>0</v>
      </c>
    </row>
    <row r="3074" spans="2:8" x14ac:dyDescent="0.2">
      <c r="B3074" s="1610" t="str">
        <f>'BAG 0'!$A$1</f>
        <v>BAG 0</v>
      </c>
      <c r="C3074" s="1091" t="str">
        <f>'BAG 0'!$B$1</f>
        <v>Inputs für BAG-Szenarien</v>
      </c>
      <c r="D3074" s="2204" t="str">
        <f>'BAG 0'!A13</f>
        <v>Anzahl Versicherte 2025 (Durchschnittsbestand)</v>
      </c>
      <c r="E3074" s="1390" t="str">
        <f>'BAG 0'!$D$10</f>
        <v>Jugendliche und Erwachsene mit wählbarer Jahresfranchise von ...</v>
      </c>
      <c r="F3074" s="1390">
        <f>'BAG 0'!$G$11</f>
        <v>1500</v>
      </c>
      <c r="G3074" s="1390"/>
      <c r="H3074" s="1741">
        <f>'BAG 0'!G13</f>
        <v>0</v>
      </c>
    </row>
    <row r="3075" spans="2:8" x14ac:dyDescent="0.2">
      <c r="B3075" s="1610" t="str">
        <f>'BAG 0'!$A$1</f>
        <v>BAG 0</v>
      </c>
      <c r="C3075" s="1091" t="str">
        <f>'BAG 0'!$B$1</f>
        <v>Inputs für BAG-Szenarien</v>
      </c>
      <c r="D3075" s="2204" t="str">
        <f>'BAG 0'!A13</f>
        <v>Anzahl Versicherte 2025 (Durchschnittsbestand)</v>
      </c>
      <c r="E3075" s="1390" t="str">
        <f>'BAG 0'!$D$10</f>
        <v>Jugendliche und Erwachsene mit wählbarer Jahresfranchise von ...</v>
      </c>
      <c r="F3075" s="1390">
        <f>'BAG 0'!$H$11</f>
        <v>2000</v>
      </c>
      <c r="G3075" s="1390"/>
      <c r="H3075" s="1741">
        <f>'BAG 0'!H13</f>
        <v>0</v>
      </c>
    </row>
    <row r="3076" spans="2:8" x14ac:dyDescent="0.2">
      <c r="B3076" s="1610" t="str">
        <f>'BAG 0'!$A$1</f>
        <v>BAG 0</v>
      </c>
      <c r="C3076" s="1091" t="str">
        <f>'BAG 0'!$B$1</f>
        <v>Inputs für BAG-Szenarien</v>
      </c>
      <c r="D3076" s="2204" t="str">
        <f>'BAG 0'!A13</f>
        <v>Anzahl Versicherte 2025 (Durchschnittsbestand)</v>
      </c>
      <c r="E3076" s="1390" t="str">
        <f>'BAG 0'!$D$10</f>
        <v>Jugendliche und Erwachsene mit wählbarer Jahresfranchise von ...</v>
      </c>
      <c r="F3076" s="1390">
        <f>'BAG 0'!$I$11</f>
        <v>2500</v>
      </c>
      <c r="G3076" s="1390"/>
      <c r="H3076" s="1741">
        <f>'BAG 0'!I13</f>
        <v>0</v>
      </c>
    </row>
    <row r="3077" spans="2:8" x14ac:dyDescent="0.2">
      <c r="B3077" s="1610" t="str">
        <f>'BAG 0'!$A$1</f>
        <v>BAG 0</v>
      </c>
      <c r="C3077" s="1091" t="str">
        <f>'BAG 0'!$B$1</f>
        <v>Inputs für BAG-Szenarien</v>
      </c>
      <c r="D3077" s="2204" t="str">
        <f>'BAG 0'!A16</f>
        <v>Anzahl Bruttoneueintritte (per 01.01.2025)</v>
      </c>
      <c r="E3077" s="1390" t="str">
        <f>'BAG 0'!$C$10</f>
        <v>Kinder</v>
      </c>
      <c r="F3077" s="1390" t="str">
        <f>'BAG 0'!$C$10</f>
        <v>Kinder</v>
      </c>
      <c r="G3077" s="1390"/>
      <c r="H3077" s="1741">
        <f>'BAG 0'!C16</f>
        <v>0</v>
      </c>
    </row>
    <row r="3078" spans="2:8" x14ac:dyDescent="0.2">
      <c r="B3078" s="1610" t="str">
        <f>'BAG 0'!$A$1</f>
        <v>BAG 0</v>
      </c>
      <c r="C3078" s="1091" t="str">
        <f>'BAG 0'!$B$1</f>
        <v>Inputs für BAG-Szenarien</v>
      </c>
      <c r="D3078" s="2204" t="str">
        <f>'BAG 0'!A16</f>
        <v>Anzahl Bruttoneueintritte (per 01.01.2025)</v>
      </c>
      <c r="E3078" s="1390" t="str">
        <f>'BAG 0'!$D$10</f>
        <v>Jugendliche und Erwachsene mit wählbarer Jahresfranchise von ...</v>
      </c>
      <c r="F3078" s="1390">
        <f>'BAG 0'!$D$11</f>
        <v>300</v>
      </c>
      <c r="G3078" s="1390"/>
      <c r="H3078" s="1741">
        <f>'BAG 0'!D16</f>
        <v>0</v>
      </c>
    </row>
    <row r="3079" spans="2:8" x14ac:dyDescent="0.2">
      <c r="B3079" s="1610" t="str">
        <f>'BAG 0'!$A$1</f>
        <v>BAG 0</v>
      </c>
      <c r="C3079" s="1091" t="str">
        <f>'BAG 0'!$B$1</f>
        <v>Inputs für BAG-Szenarien</v>
      </c>
      <c r="D3079" s="2204" t="str">
        <f>'BAG 0'!A16</f>
        <v>Anzahl Bruttoneueintritte (per 01.01.2025)</v>
      </c>
      <c r="E3079" s="1390" t="str">
        <f>'BAG 0'!$D$10</f>
        <v>Jugendliche und Erwachsene mit wählbarer Jahresfranchise von ...</v>
      </c>
      <c r="F3079" s="1390">
        <f>'BAG 0'!$E$11</f>
        <v>500</v>
      </c>
      <c r="G3079" s="1390"/>
      <c r="H3079" s="1741">
        <f>'BAG 0'!E16</f>
        <v>0</v>
      </c>
    </row>
    <row r="3080" spans="2:8" x14ac:dyDescent="0.2">
      <c r="B3080" s="1610" t="str">
        <f>'BAG 0'!$A$1</f>
        <v>BAG 0</v>
      </c>
      <c r="C3080" s="1091" t="str">
        <f>'BAG 0'!$B$1</f>
        <v>Inputs für BAG-Szenarien</v>
      </c>
      <c r="D3080" s="2204" t="str">
        <f>'BAG 0'!A16</f>
        <v>Anzahl Bruttoneueintritte (per 01.01.2025)</v>
      </c>
      <c r="E3080" s="1390" t="str">
        <f>'BAG 0'!$D$10</f>
        <v>Jugendliche und Erwachsene mit wählbarer Jahresfranchise von ...</v>
      </c>
      <c r="F3080" s="1390">
        <f>'BAG 0'!$F$11</f>
        <v>1000</v>
      </c>
      <c r="G3080" s="1390"/>
      <c r="H3080" s="1741">
        <f>'BAG 0'!F16</f>
        <v>0</v>
      </c>
    </row>
    <row r="3081" spans="2:8" x14ac:dyDescent="0.2">
      <c r="B3081" s="1610" t="str">
        <f>'BAG 0'!$A$1</f>
        <v>BAG 0</v>
      </c>
      <c r="C3081" s="1091" t="str">
        <f>'BAG 0'!$B$1</f>
        <v>Inputs für BAG-Szenarien</v>
      </c>
      <c r="D3081" s="2204" t="str">
        <f>'BAG 0'!A16</f>
        <v>Anzahl Bruttoneueintritte (per 01.01.2025)</v>
      </c>
      <c r="E3081" s="1390" t="str">
        <f>'BAG 0'!$D$10</f>
        <v>Jugendliche und Erwachsene mit wählbarer Jahresfranchise von ...</v>
      </c>
      <c r="F3081" s="1390">
        <f>'BAG 0'!$G$11</f>
        <v>1500</v>
      </c>
      <c r="G3081" s="1390"/>
      <c r="H3081" s="1741">
        <f>'BAG 0'!G16</f>
        <v>0</v>
      </c>
    </row>
    <row r="3082" spans="2:8" x14ac:dyDescent="0.2">
      <c r="B3082" s="1610" t="str">
        <f>'BAG 0'!$A$1</f>
        <v>BAG 0</v>
      </c>
      <c r="C3082" s="1091" t="str">
        <f>'BAG 0'!$B$1</f>
        <v>Inputs für BAG-Szenarien</v>
      </c>
      <c r="D3082" s="2204" t="str">
        <f>'BAG 0'!A16</f>
        <v>Anzahl Bruttoneueintritte (per 01.01.2025)</v>
      </c>
      <c r="E3082" s="1390" t="str">
        <f>'BAG 0'!$D$10</f>
        <v>Jugendliche und Erwachsene mit wählbarer Jahresfranchise von ...</v>
      </c>
      <c r="F3082" s="1390">
        <f>'BAG 0'!$H$11</f>
        <v>2000</v>
      </c>
      <c r="G3082" s="1390"/>
      <c r="H3082" s="1741">
        <f>'BAG 0'!H16</f>
        <v>0</v>
      </c>
    </row>
    <row r="3083" spans="2:8" ht="13.5" thickBot="1" x14ac:dyDescent="0.25">
      <c r="B3083" s="1610" t="str">
        <f>'BAG 0'!$A$1</f>
        <v>BAG 0</v>
      </c>
      <c r="C3083" s="1091" t="str">
        <f>'BAG 0'!$B$1</f>
        <v>Inputs für BAG-Szenarien</v>
      </c>
      <c r="D3083" s="2204" t="str">
        <f>'BAG 0'!A16</f>
        <v>Anzahl Bruttoneueintritte (per 01.01.2025)</v>
      </c>
      <c r="E3083" s="1390" t="str">
        <f>'BAG 0'!$D$10</f>
        <v>Jugendliche und Erwachsene mit wählbarer Jahresfranchise von ...</v>
      </c>
      <c r="F3083" s="1390">
        <f>'BAG 0'!$I$11</f>
        <v>2500</v>
      </c>
      <c r="G3083" s="1390"/>
      <c r="H3083" s="1741">
        <f>'BAG 0'!I16</f>
        <v>0</v>
      </c>
    </row>
    <row r="3084" spans="2:8" ht="13.5" thickBot="1" x14ac:dyDescent="0.25">
      <c r="B3084" s="2405" t="str">
        <f>'BAG 0'!$A$1</f>
        <v>BAG 0</v>
      </c>
      <c r="C3084" s="1091" t="str">
        <f>'BAG 0'!$B$1</f>
        <v>Inputs für BAG-Szenarien</v>
      </c>
      <c r="D3084" s="2404" t="s">
        <v>2690</v>
      </c>
      <c r="E3084" s="1756" t="s">
        <v>2646</v>
      </c>
      <c r="F3084" s="1390"/>
      <c r="G3084" s="1390"/>
      <c r="H3084" s="1756" t="s">
        <v>2646</v>
      </c>
    </row>
    <row r="3085" spans="2:8" ht="13.5" thickBot="1" x14ac:dyDescent="0.25">
      <c r="B3085" s="2405" t="str">
        <f>'BAG 0'!$A$1</f>
        <v>BAG 0</v>
      </c>
      <c r="C3085" s="1091" t="str">
        <f>'BAG 0'!$B$1</f>
        <v>Inputs für BAG-Szenarien</v>
      </c>
      <c r="D3085" s="2404" t="s">
        <v>2690</v>
      </c>
      <c r="E3085" s="1756" t="s">
        <v>2646</v>
      </c>
      <c r="F3085" s="1390"/>
      <c r="G3085" s="1390"/>
      <c r="H3085" s="1756" t="s">
        <v>2646</v>
      </c>
    </row>
    <row r="3086" spans="2:8" ht="13.5" thickBot="1" x14ac:dyDescent="0.25">
      <c r="B3086" s="2405" t="str">
        <f>'BAG 0'!$A$1</f>
        <v>BAG 0</v>
      </c>
      <c r="C3086" s="1091" t="str">
        <f>'BAG 0'!$B$1</f>
        <v>Inputs für BAG-Szenarien</v>
      </c>
      <c r="D3086" s="2404" t="s">
        <v>2690</v>
      </c>
      <c r="E3086" s="1756" t="s">
        <v>2646</v>
      </c>
      <c r="F3086" s="1390"/>
      <c r="G3086" s="1390"/>
      <c r="H3086" s="1756" t="s">
        <v>2646</v>
      </c>
    </row>
    <row r="3087" spans="2:8" ht="13.5" thickBot="1" x14ac:dyDescent="0.25">
      <c r="B3087" s="2405" t="str">
        <f>'BAG 0'!$A$1</f>
        <v>BAG 0</v>
      </c>
      <c r="C3087" s="1091" t="str">
        <f>'BAG 0'!$B$1</f>
        <v>Inputs für BAG-Szenarien</v>
      </c>
      <c r="D3087" s="2404" t="s">
        <v>2690</v>
      </c>
      <c r="E3087" s="1756" t="s">
        <v>2646</v>
      </c>
      <c r="F3087" s="1390"/>
      <c r="G3087" s="1390"/>
      <c r="H3087" s="1756" t="s">
        <v>2646</v>
      </c>
    </row>
    <row r="3088" spans="2:8" ht="13.5" thickBot="1" x14ac:dyDescent="0.25">
      <c r="B3088" s="2405" t="str">
        <f>'BAG 0'!$A$1</f>
        <v>BAG 0</v>
      </c>
      <c r="C3088" s="1091" t="str">
        <f>'BAG 0'!$B$1</f>
        <v>Inputs für BAG-Szenarien</v>
      </c>
      <c r="D3088" s="2404" t="s">
        <v>2690</v>
      </c>
      <c r="E3088" s="1756" t="s">
        <v>2646</v>
      </c>
      <c r="F3088" s="1390"/>
      <c r="G3088" s="1390"/>
      <c r="H3088" s="1756" t="s">
        <v>2646</v>
      </c>
    </row>
    <row r="3089" spans="2:8" ht="13.5" thickBot="1" x14ac:dyDescent="0.25">
      <c r="B3089" s="2405" t="str">
        <f>'BAG 0'!$A$1</f>
        <v>BAG 0</v>
      </c>
      <c r="C3089" s="1091" t="str">
        <f>'BAG 0'!$B$1</f>
        <v>Inputs für BAG-Szenarien</v>
      </c>
      <c r="D3089" s="2404" t="s">
        <v>2690</v>
      </c>
      <c r="E3089" s="1756" t="s">
        <v>2646</v>
      </c>
      <c r="F3089" s="1390"/>
      <c r="G3089" s="1390"/>
      <c r="H3089" s="1756" t="s">
        <v>2646</v>
      </c>
    </row>
    <row r="3090" spans="2:8" ht="13.5" thickBot="1" x14ac:dyDescent="0.25">
      <c r="B3090" s="2405" t="str">
        <f>'BAG 0'!$A$1</f>
        <v>BAG 0</v>
      </c>
      <c r="C3090" s="1091" t="str">
        <f>'BAG 0'!$B$1</f>
        <v>Inputs für BAG-Szenarien</v>
      </c>
      <c r="D3090" s="2404" t="s">
        <v>2690</v>
      </c>
      <c r="E3090" s="1756" t="s">
        <v>2646</v>
      </c>
      <c r="F3090" s="1390"/>
      <c r="G3090" s="1390"/>
      <c r="H3090" s="1756" t="s">
        <v>2646</v>
      </c>
    </row>
    <row r="3091" spans="2:8" ht="13.5" thickBot="1" x14ac:dyDescent="0.25">
      <c r="B3091" s="2405" t="str">
        <f>'BAG 0'!$A$1</f>
        <v>BAG 0</v>
      </c>
      <c r="C3091" s="1091" t="str">
        <f>'BAG 0'!$B$1</f>
        <v>Inputs für BAG-Szenarien</v>
      </c>
      <c r="D3091" s="2404" t="s">
        <v>2690</v>
      </c>
      <c r="E3091" s="1756" t="s">
        <v>2646</v>
      </c>
      <c r="F3091" s="1390"/>
      <c r="G3091" s="1390"/>
      <c r="H3091" s="1756" t="s">
        <v>2646</v>
      </c>
    </row>
    <row r="3092" spans="2:8" ht="13.5" thickBot="1" x14ac:dyDescent="0.25">
      <c r="B3092" s="2405" t="str">
        <f>'BAG 0'!$A$1</f>
        <v>BAG 0</v>
      </c>
      <c r="C3092" s="1091" t="str">
        <f>'BAG 0'!$B$1</f>
        <v>Inputs für BAG-Szenarien</v>
      </c>
      <c r="D3092" s="2404" t="s">
        <v>2691</v>
      </c>
      <c r="E3092" s="1756" t="s">
        <v>2646</v>
      </c>
      <c r="F3092" s="1390"/>
      <c r="G3092" s="1390"/>
      <c r="H3092" s="1756" t="s">
        <v>2646</v>
      </c>
    </row>
    <row r="3093" spans="2:8" ht="13.5" thickBot="1" x14ac:dyDescent="0.25">
      <c r="B3093" s="2405" t="str">
        <f>'BAG 0'!$A$1</f>
        <v>BAG 0</v>
      </c>
      <c r="C3093" s="1091" t="str">
        <f>'BAG 0'!$B$1</f>
        <v>Inputs für BAG-Szenarien</v>
      </c>
      <c r="D3093" s="2404" t="s">
        <v>2691</v>
      </c>
      <c r="E3093" s="1756" t="s">
        <v>2646</v>
      </c>
      <c r="F3093" s="1390"/>
      <c r="G3093" s="1390"/>
      <c r="H3093" s="1756" t="s">
        <v>2646</v>
      </c>
    </row>
    <row r="3094" spans="2:8" ht="13.5" thickBot="1" x14ac:dyDescent="0.25">
      <c r="B3094" s="2405" t="str">
        <f>'BAG 0'!$A$1</f>
        <v>BAG 0</v>
      </c>
      <c r="C3094" s="1091" t="str">
        <f>'BAG 0'!$B$1</f>
        <v>Inputs für BAG-Szenarien</v>
      </c>
      <c r="D3094" s="2404" t="s">
        <v>2691</v>
      </c>
      <c r="E3094" s="1756" t="s">
        <v>2646</v>
      </c>
      <c r="F3094" s="1390"/>
      <c r="G3094" s="1390"/>
      <c r="H3094" s="1756" t="s">
        <v>2646</v>
      </c>
    </row>
    <row r="3095" spans="2:8" ht="13.5" thickBot="1" x14ac:dyDescent="0.25">
      <c r="B3095" s="2405" t="str">
        <f>'BAG 0'!$A$1</f>
        <v>BAG 0</v>
      </c>
      <c r="C3095" s="1091" t="str">
        <f>'BAG 0'!$B$1</f>
        <v>Inputs für BAG-Szenarien</v>
      </c>
      <c r="D3095" s="2404" t="s">
        <v>2691</v>
      </c>
      <c r="E3095" s="1756" t="s">
        <v>2646</v>
      </c>
      <c r="F3095" s="1390"/>
      <c r="G3095" s="1390"/>
      <c r="H3095" s="1756" t="s">
        <v>2646</v>
      </c>
    </row>
    <row r="3096" spans="2:8" ht="13.5" thickBot="1" x14ac:dyDescent="0.25">
      <c r="B3096" s="2405" t="str">
        <f>'BAG 0'!$A$1</f>
        <v>BAG 0</v>
      </c>
      <c r="C3096" s="1091" t="str">
        <f>'BAG 0'!$B$1</f>
        <v>Inputs für BAG-Szenarien</v>
      </c>
      <c r="D3096" s="2404" t="s">
        <v>2691</v>
      </c>
      <c r="E3096" s="1756" t="s">
        <v>2646</v>
      </c>
      <c r="F3096" s="1390"/>
      <c r="G3096" s="1390"/>
      <c r="H3096" s="1756" t="s">
        <v>2646</v>
      </c>
    </row>
    <row r="3097" spans="2:8" ht="13.5" thickBot="1" x14ac:dyDescent="0.25">
      <c r="B3097" s="2405" t="str">
        <f>'BAG 0'!$A$1</f>
        <v>BAG 0</v>
      </c>
      <c r="C3097" s="1091" t="str">
        <f>'BAG 0'!$B$1</f>
        <v>Inputs für BAG-Szenarien</v>
      </c>
      <c r="D3097" s="2404" t="s">
        <v>2691</v>
      </c>
      <c r="E3097" s="1756" t="s">
        <v>2646</v>
      </c>
      <c r="F3097" s="1390"/>
      <c r="G3097" s="1390"/>
      <c r="H3097" s="1756" t="s">
        <v>2646</v>
      </c>
    </row>
    <row r="3098" spans="2:8" ht="13.5" thickBot="1" x14ac:dyDescent="0.25">
      <c r="B3098" s="1610" t="str">
        <f>'BAG 0'!$A$1</f>
        <v>BAG 0</v>
      </c>
      <c r="C3098" s="1091" t="str">
        <f>'BAG 0'!$B$1</f>
        <v>Inputs für BAG-Szenarien</v>
      </c>
      <c r="D3098" s="2204" t="s">
        <v>2571</v>
      </c>
      <c r="E3098" s="1756" t="s">
        <v>2646</v>
      </c>
      <c r="F3098" s="1390"/>
      <c r="G3098" s="1390"/>
      <c r="H3098" s="1756" t="s">
        <v>2646</v>
      </c>
    </row>
    <row r="3099" spans="2:8" ht="13.5" thickBot="1" x14ac:dyDescent="0.25">
      <c r="B3099" s="1610" t="str">
        <f>'BAG 0'!$A$1</f>
        <v>BAG 0</v>
      </c>
      <c r="C3099" s="1091" t="str">
        <f>'BAG 0'!$B$1</f>
        <v>Inputs für BAG-Szenarien</v>
      </c>
      <c r="D3099" s="2204" t="s">
        <v>2571</v>
      </c>
      <c r="E3099" s="1756" t="s">
        <v>2646</v>
      </c>
      <c r="F3099" s="1390"/>
      <c r="G3099" s="1390"/>
      <c r="H3099" s="1756" t="s">
        <v>2646</v>
      </c>
    </row>
    <row r="3100" spans="2:8" ht="13.5" thickBot="1" x14ac:dyDescent="0.25">
      <c r="B3100" s="1610" t="str">
        <f>'BAG 0'!$A$1</f>
        <v>BAG 0</v>
      </c>
      <c r="C3100" s="1091" t="str">
        <f>'BAG 0'!$B$1</f>
        <v>Inputs für BAG-Szenarien</v>
      </c>
      <c r="D3100" s="2204" t="s">
        <v>2571</v>
      </c>
      <c r="E3100" s="1756" t="s">
        <v>2646</v>
      </c>
      <c r="F3100" s="1390"/>
      <c r="G3100" s="1390"/>
      <c r="H3100" s="1756" t="s">
        <v>2646</v>
      </c>
    </row>
    <row r="3101" spans="2:8" ht="13.5" thickBot="1" x14ac:dyDescent="0.25">
      <c r="B3101" s="1610" t="str">
        <f>'BAG 0'!$A$1</f>
        <v>BAG 0</v>
      </c>
      <c r="C3101" s="1091" t="str">
        <f>'BAG 0'!$B$1</f>
        <v>Inputs für BAG-Szenarien</v>
      </c>
      <c r="D3101" s="2204" t="s">
        <v>2571</v>
      </c>
      <c r="E3101" s="1756" t="s">
        <v>2646</v>
      </c>
      <c r="F3101" s="1390"/>
      <c r="G3101" s="1390"/>
      <c r="H3101" s="1756" t="s">
        <v>2646</v>
      </c>
    </row>
    <row r="3102" spans="2:8" ht="13.5" thickBot="1" x14ac:dyDescent="0.25">
      <c r="B3102" s="1610" t="str">
        <f>'BAG 0'!$A$1</f>
        <v>BAG 0</v>
      </c>
      <c r="C3102" s="1091" t="str">
        <f>'BAG 0'!$B$1</f>
        <v>Inputs für BAG-Szenarien</v>
      </c>
      <c r="D3102" s="2204" t="s">
        <v>2571</v>
      </c>
      <c r="E3102" s="1756" t="s">
        <v>2646</v>
      </c>
      <c r="F3102" s="1390"/>
      <c r="G3102" s="1390"/>
      <c r="H3102" s="1756" t="s">
        <v>2646</v>
      </c>
    </row>
    <row r="3103" spans="2:8" ht="13.5" thickBot="1" x14ac:dyDescent="0.25">
      <c r="B3103" s="1610" t="str">
        <f>'BAG 0'!$A$1</f>
        <v>BAG 0</v>
      </c>
      <c r="C3103" s="1091" t="str">
        <f>'BAG 0'!$B$1</f>
        <v>Inputs für BAG-Szenarien</v>
      </c>
      <c r="D3103" s="2204" t="s">
        <v>2571</v>
      </c>
      <c r="E3103" s="1756" t="s">
        <v>2646</v>
      </c>
      <c r="F3103" s="1390"/>
      <c r="G3103" s="1390"/>
      <c r="H3103" s="1756" t="s">
        <v>2646</v>
      </c>
    </row>
    <row r="3104" spans="2:8" x14ac:dyDescent="0.2">
      <c r="B3104" s="1610" t="str">
        <f>'BAG 0'!$A$1</f>
        <v>BAG 0</v>
      </c>
      <c r="C3104" s="1091" t="str">
        <f>'BAG 0'!$B$1</f>
        <v>Inputs für BAG-Szenarien</v>
      </c>
      <c r="D3104" s="2204" t="s">
        <v>2105</v>
      </c>
      <c r="E3104" s="1390"/>
      <c r="F3104" s="1390"/>
      <c r="G3104" s="1390"/>
      <c r="H3104" s="1756" t="s">
        <v>2646</v>
      </c>
    </row>
    <row r="3105" spans="2:8" ht="13.5" thickBot="1" x14ac:dyDescent="0.25">
      <c r="B3105" s="1610" t="str">
        <f>'BAG 0'!$A$1</f>
        <v>BAG 0</v>
      </c>
      <c r="C3105" s="1091" t="str">
        <f>'BAG 0'!$B$1</f>
        <v>Inputs für BAG-Szenarien</v>
      </c>
      <c r="D3105" s="2204" t="s">
        <v>2107</v>
      </c>
      <c r="E3105" s="1390"/>
      <c r="F3105" s="1390"/>
      <c r="G3105" s="1390"/>
      <c r="H3105" s="1741">
        <f>'BAG 0'!C28</f>
        <v>0</v>
      </c>
    </row>
    <row r="3106" spans="2:8" ht="13.5" thickBot="1" x14ac:dyDescent="0.25">
      <c r="B3106" s="1610" t="str">
        <f>'BAG 0'!$A$1</f>
        <v>BAG 0</v>
      </c>
      <c r="C3106" s="1091" t="str">
        <f>'BAG 0'!$B$1</f>
        <v>Inputs für BAG-Szenarien</v>
      </c>
      <c r="D3106" s="2204" t="s">
        <v>2574</v>
      </c>
      <c r="E3106" s="1756" t="s">
        <v>2646</v>
      </c>
      <c r="F3106" s="1390"/>
      <c r="G3106" s="1390"/>
      <c r="H3106" s="1756" t="s">
        <v>2646</v>
      </c>
    </row>
    <row r="3107" spans="2:8" x14ac:dyDescent="0.2">
      <c r="B3107" s="1610" t="str">
        <f>'BAG 0'!$A$1</f>
        <v>BAG 0</v>
      </c>
      <c r="C3107" s="1091" t="str">
        <f>'BAG 0'!$B$1</f>
        <v>Inputs für BAG-Szenarien</v>
      </c>
      <c r="D3107" s="2204" t="s">
        <v>2575</v>
      </c>
      <c r="E3107" s="1756" t="s">
        <v>2646</v>
      </c>
      <c r="F3107" s="1390"/>
      <c r="G3107" s="1390"/>
      <c r="H3107" s="1756" t="s">
        <v>2646</v>
      </c>
    </row>
    <row r="3108" spans="2:8" x14ac:dyDescent="0.2">
      <c r="B3108" s="1580"/>
      <c r="C3108" s="1570"/>
    </row>
    <row r="3109" spans="2:8" ht="25.5" x14ac:dyDescent="0.2">
      <c r="B3109" s="1610" t="str">
        <f>BAG_Scenarios!$A$1</f>
        <v>BAG Scenarios</v>
      </c>
      <c r="C3109" s="1091" t="str">
        <f>BAG_Scenarios!$B$1</f>
        <v>BAG Szenarien</v>
      </c>
      <c r="D3109" s="1389" t="str">
        <f>BAG_Scenarios!$A$4</f>
        <v>BAG 1</v>
      </c>
      <c r="E3109" s="1390" t="str">
        <f>BAG_Scenarios!A8</f>
        <v>Anzahl Bruttoneueintritte per 01.01.2025 - (KIN)</v>
      </c>
      <c r="F3109" s="1390"/>
      <c r="G3109" s="1390"/>
      <c r="H3109" s="1744">
        <f>BAG_Scenarios!C8</f>
        <v>0</v>
      </c>
    </row>
    <row r="3110" spans="2:8" ht="25.5" x14ac:dyDescent="0.2">
      <c r="B3110" s="1610" t="str">
        <f>BAG_Scenarios!$A$1</f>
        <v>BAG Scenarios</v>
      </c>
      <c r="C3110" s="1091" t="str">
        <f>BAG_Scenarios!$B$1</f>
        <v>BAG Szenarien</v>
      </c>
      <c r="D3110" s="1389" t="str">
        <f>BAG_Scenarios!$A$4</f>
        <v>BAG 1</v>
      </c>
      <c r="E3110" s="1390" t="str">
        <f>BAG_Scenarios!A12</f>
        <v>Anzahl Bruttoneueintritte per 01.01.2025 - (JUG+ERW)</v>
      </c>
      <c r="F3110" s="1390"/>
      <c r="G3110" s="1390"/>
      <c r="H3110" s="1744">
        <f>BAG_Scenarios!C12</f>
        <v>0</v>
      </c>
    </row>
    <row r="3111" spans="2:8" ht="25.5" x14ac:dyDescent="0.2">
      <c r="B3111" s="1610" t="str">
        <f>BAG_Scenarios!$A$1</f>
        <v>BAG Scenarios</v>
      </c>
      <c r="C3111" s="1091" t="str">
        <f>BAG_Scenarios!$B$1</f>
        <v>BAG Szenarien</v>
      </c>
      <c r="D3111" s="1389" t="str">
        <f>BAG_Scenarios!$A$4</f>
        <v>BAG 1</v>
      </c>
      <c r="E3111" s="1390" t="str">
        <f>BAG_Scenarios!A9</f>
        <v>durchsch. NL pro Versicherten - (KIN) (Kasse)</v>
      </c>
      <c r="F3111" s="1390"/>
      <c r="G3111" s="1390"/>
      <c r="H3111" s="1747">
        <f>BAG_Scenarios!C9</f>
        <v>0</v>
      </c>
    </row>
    <row r="3112" spans="2:8" ht="26.25" thickBot="1" x14ac:dyDescent="0.25">
      <c r="B3112" s="1610" t="str">
        <f>BAG_Scenarios!$A$1</f>
        <v>BAG Scenarios</v>
      </c>
      <c r="C3112" s="1091" t="str">
        <f>BAG_Scenarios!$B$1</f>
        <v>BAG Szenarien</v>
      </c>
      <c r="D3112" s="1389" t="str">
        <f>BAG_Scenarios!$A$4</f>
        <v>BAG 1</v>
      </c>
      <c r="E3112" s="1390" t="str">
        <f>BAG_Scenarios!A16</f>
        <v>nicht kalkulierte Zusatzkosten Total</v>
      </c>
      <c r="F3112" s="1390"/>
      <c r="G3112" s="1390"/>
      <c r="H3112" s="1743">
        <f>BAG_Scenarios!C16</f>
        <v>0</v>
      </c>
    </row>
    <row r="3113" spans="2:8" ht="26.25" thickBot="1" x14ac:dyDescent="0.25">
      <c r="B3113" s="1610" t="str">
        <f>BAG_Scenarios!$A$1</f>
        <v>BAG Scenarios</v>
      </c>
      <c r="C3113" s="1091" t="str">
        <f>BAG_Scenarios!$B$1</f>
        <v>BAG Szenarien</v>
      </c>
      <c r="D3113" s="1389" t="str">
        <f>BAG_Scenarios!$A$4</f>
        <v>BAG 1</v>
      </c>
      <c r="E3113" s="1756" t="s">
        <v>2646</v>
      </c>
      <c r="F3113" s="2298"/>
      <c r="G3113" s="2298"/>
      <c r="H3113" s="1756" t="s">
        <v>2646</v>
      </c>
    </row>
    <row r="3114" spans="2:8" ht="26.25" thickBot="1" x14ac:dyDescent="0.25">
      <c r="B3114" s="1610" t="str">
        <f>BAG_Scenarios!$A$1</f>
        <v>BAG Scenarios</v>
      </c>
      <c r="C3114" s="1091" t="str">
        <f>BAG_Scenarios!$B$1</f>
        <v>BAG Szenarien</v>
      </c>
      <c r="D3114" s="1389" t="str">
        <f>BAG_Scenarios!$A$4</f>
        <v>BAG 1</v>
      </c>
      <c r="E3114" s="1756" t="s">
        <v>2646</v>
      </c>
      <c r="F3114" s="2298"/>
      <c r="G3114" s="2298"/>
      <c r="H3114" s="1756" t="s">
        <v>2646</v>
      </c>
    </row>
    <row r="3115" spans="2:8" ht="26.25" thickBot="1" x14ac:dyDescent="0.25">
      <c r="B3115" s="1610" t="str">
        <f>BAG_Scenarios!$A$1</f>
        <v>BAG Scenarios</v>
      </c>
      <c r="C3115" s="1091" t="str">
        <f>BAG_Scenarios!$B$1</f>
        <v>BAG Szenarien</v>
      </c>
      <c r="D3115" s="1389" t="str">
        <f>BAG_Scenarios!$A$4</f>
        <v>BAG 1</v>
      </c>
      <c r="E3115" s="1756" t="s">
        <v>2646</v>
      </c>
      <c r="F3115" s="2298"/>
      <c r="G3115" s="2298"/>
      <c r="H3115" s="1756" t="s">
        <v>2646</v>
      </c>
    </row>
    <row r="3116" spans="2:8" ht="26.25" thickBot="1" x14ac:dyDescent="0.25">
      <c r="B3116" s="1610" t="str">
        <f>BAG_Scenarios!$A$1</f>
        <v>BAG Scenarios</v>
      </c>
      <c r="C3116" s="1091" t="str">
        <f>BAG_Scenarios!$B$1</f>
        <v>BAG Szenarien</v>
      </c>
      <c r="D3116" s="1389" t="str">
        <f>BAG_Scenarios!$A$4</f>
        <v>BAG 1</v>
      </c>
      <c r="E3116" s="1756" t="s">
        <v>2646</v>
      </c>
      <c r="F3116" s="2298"/>
      <c r="G3116" s="2298"/>
      <c r="H3116" s="1756" t="s">
        <v>2646</v>
      </c>
    </row>
    <row r="3117" spans="2:8" ht="26.25" thickBot="1" x14ac:dyDescent="0.25">
      <c r="B3117" s="1610" t="str">
        <f>BAG_Scenarios!$A$1</f>
        <v>BAG Scenarios</v>
      </c>
      <c r="C3117" s="1091" t="str">
        <f>BAG_Scenarios!$B$1</f>
        <v>BAG Szenarien</v>
      </c>
      <c r="D3117" s="1389" t="str">
        <f>BAG_Scenarios!$A$4</f>
        <v>BAG 1</v>
      </c>
      <c r="E3117" s="1756" t="s">
        <v>2646</v>
      </c>
      <c r="F3117" s="2298"/>
      <c r="G3117" s="2298"/>
      <c r="H3117" s="1756" t="s">
        <v>2646</v>
      </c>
    </row>
    <row r="3118" spans="2:8" ht="25.5" x14ac:dyDescent="0.2">
      <c r="B3118" s="1610" t="str">
        <f>BAG_Scenarios!$A$1</f>
        <v>BAG Scenarios</v>
      </c>
      <c r="C3118" s="1091" t="str">
        <f>BAG_Scenarios!$B$1</f>
        <v>BAG Szenarien</v>
      </c>
      <c r="D3118" s="1389" t="str">
        <f>BAG_Scenarios!$A$4</f>
        <v>BAG 1</v>
      </c>
      <c r="E3118" s="1756" t="s">
        <v>2646</v>
      </c>
      <c r="F3118" s="2298"/>
      <c r="G3118" s="2298"/>
      <c r="H3118" s="1756" t="s">
        <v>2646</v>
      </c>
    </row>
    <row r="3119" spans="2:8" ht="25.5" x14ac:dyDescent="0.2">
      <c r="B3119" s="1610" t="str">
        <f>BAG_Scenarios!$A$1</f>
        <v>BAG Scenarios</v>
      </c>
      <c r="C3119" s="1091" t="str">
        <f>BAG_Scenarios!$B$1</f>
        <v>BAG Szenarien</v>
      </c>
      <c r="D3119" s="1389" t="str">
        <f>BAG_Scenarios!$A$24</f>
        <v>BAG 2</v>
      </c>
      <c r="E3119" s="1390" t="str">
        <f>BAG_Scenarios!A28</f>
        <v>Anzahl Neueintritte</v>
      </c>
      <c r="F3119" s="1390"/>
      <c r="G3119" s="1390"/>
      <c r="H3119" s="1745">
        <f>BAG_Scenarios!C28</f>
        <v>0</v>
      </c>
    </row>
    <row r="3120" spans="2:8" ht="25.5" x14ac:dyDescent="0.2">
      <c r="B3120" s="1610" t="str">
        <f>BAG_Scenarios!$A$1</f>
        <v>BAG Scenarios</v>
      </c>
      <c r="C3120" s="1091" t="str">
        <f>BAG_Scenarios!$B$1</f>
        <v>BAG Szenarien</v>
      </c>
      <c r="D3120" s="1389" t="str">
        <f>BAG_Scenarios!$A$24</f>
        <v>BAG 2</v>
      </c>
      <c r="E3120" s="1390" t="str">
        <f>BAG_Scenarios!A29</f>
        <v>davon Anteil Hochkostenfälle in Prozent</v>
      </c>
      <c r="F3120" s="1390"/>
      <c r="G3120" s="1390"/>
      <c r="H3120" s="1746">
        <f>BAG_Scenarios!C29</f>
        <v>0</v>
      </c>
    </row>
    <row r="3121" spans="2:8" ht="25.5" x14ac:dyDescent="0.2">
      <c r="B3121" s="1610" t="str">
        <f>BAG_Scenarios!$A$1</f>
        <v>BAG Scenarios</v>
      </c>
      <c r="C3121" s="1091" t="str">
        <f>BAG_Scenarios!$B$1</f>
        <v>BAG Szenarien</v>
      </c>
      <c r="D3121" s="1389" t="str">
        <f>BAG_Scenarios!$A$24</f>
        <v>BAG 2</v>
      </c>
      <c r="E3121" s="1390" t="str">
        <f>BAG_Scenarios!A30</f>
        <v>davon Anteil Hochkostenfälle absolut</v>
      </c>
      <c r="F3121" s="1390"/>
      <c r="G3121" s="1390"/>
      <c r="H3121" s="1395">
        <f>BAG_Scenarios!C30</f>
        <v>0</v>
      </c>
    </row>
    <row r="3122" spans="2:8" ht="25.5" x14ac:dyDescent="0.2">
      <c r="B3122" s="1610" t="str">
        <f>BAG_Scenarios!$A$1</f>
        <v>BAG Scenarios</v>
      </c>
      <c r="C3122" s="1091" t="str">
        <f>BAG_Scenarios!$B$1</f>
        <v>BAG Szenarien</v>
      </c>
      <c r="D3122" s="1389" t="str">
        <f>BAG_Scenarios!$A$24</f>
        <v>BAG 2</v>
      </c>
      <c r="E3122" s="1390" t="str">
        <f>BAG_Scenarios!A31</f>
        <v>Zusatzkosten pro Hochkostenfall</v>
      </c>
      <c r="F3122" s="1390"/>
      <c r="G3122" s="1390"/>
      <c r="H3122" s="1747">
        <f>BAG_Scenarios!C31</f>
        <v>215000</v>
      </c>
    </row>
    <row r="3123" spans="2:8" ht="25.5" x14ac:dyDescent="0.2">
      <c r="B3123" s="1610" t="str">
        <f>BAG_Scenarios!$A$1</f>
        <v>BAG Scenarios</v>
      </c>
      <c r="C3123" s="1091" t="str">
        <f>BAG_Scenarios!$B$1</f>
        <v>BAG Szenarien</v>
      </c>
      <c r="D3123" s="1389" t="str">
        <f>BAG_Scenarios!$A$24</f>
        <v>BAG 2</v>
      </c>
      <c r="E3123" s="1390" t="str">
        <f>BAG_Scenarios!A32</f>
        <v>Zusatzkosten pro Hochkostenfall nach Rückversicherung</v>
      </c>
      <c r="F3123" s="1390"/>
      <c r="G3123" s="1390"/>
      <c r="H3123" s="1748">
        <f>BAG_Scenarios!C32</f>
        <v>215000</v>
      </c>
    </row>
    <row r="3124" spans="2:8" ht="25.5" x14ac:dyDescent="0.2">
      <c r="B3124" s="1610" t="str">
        <f>BAG_Scenarios!$A$1</f>
        <v>BAG Scenarios</v>
      </c>
      <c r="C3124" s="1091" t="str">
        <f>BAG_Scenarios!$B$1</f>
        <v>BAG Szenarien</v>
      </c>
      <c r="D3124" s="1389" t="str">
        <f>BAG_Scenarios!$A$24</f>
        <v>BAG 2</v>
      </c>
      <c r="E3124" s="1390" t="str">
        <f>BAG_Scenarios!A33</f>
        <v>Gesamtleistung der Rückversicherung</v>
      </c>
      <c r="F3124" s="1390"/>
      <c r="G3124" s="1390"/>
      <c r="H3124" s="1748">
        <f>BAG_Scenarios!C33</f>
        <v>0</v>
      </c>
    </row>
    <row r="3125" spans="2:8" ht="25.5" x14ac:dyDescent="0.2">
      <c r="B3125" s="1610" t="str">
        <f>BAG_Scenarios!$A$1</f>
        <v>BAG Scenarios</v>
      </c>
      <c r="C3125" s="1091" t="str">
        <f>BAG_Scenarios!$B$1</f>
        <v>BAG Szenarien</v>
      </c>
      <c r="D3125" s="2299" t="str">
        <f>BAG_Scenarios!$A$24</f>
        <v>BAG 2</v>
      </c>
      <c r="E3125" s="1418" t="str">
        <f>BAG_Scenarios!A34</f>
        <v>nicht kalkulierte Zusatzkosten Total</v>
      </c>
      <c r="F3125" s="1418"/>
      <c r="G3125" s="1418"/>
      <c r="H3125" s="2300">
        <f>BAG_Scenarios!C34</f>
        <v>0</v>
      </c>
    </row>
    <row r="3126" spans="2:8" ht="25.5" x14ac:dyDescent="0.2">
      <c r="B3126" s="1610" t="str">
        <f>BAG_Scenarios!$A$1</f>
        <v>BAG Scenarios</v>
      </c>
      <c r="C3126" s="1091" t="str">
        <f>BAG_Scenarios!$B$1</f>
        <v>BAG Szenarien</v>
      </c>
      <c r="D3126" s="2301" t="s">
        <v>2646</v>
      </c>
      <c r="E3126" s="2301"/>
      <c r="F3126" s="2301"/>
      <c r="G3126" s="2298"/>
      <c r="H3126" s="2301"/>
    </row>
    <row r="3127" spans="2:8" ht="25.5" x14ac:dyDescent="0.2">
      <c r="B3127" s="1610" t="str">
        <f>BAG_Scenarios!$A$1</f>
        <v>BAG Scenarios</v>
      </c>
      <c r="C3127" s="1091" t="str">
        <f>BAG_Scenarios!$B$1</f>
        <v>BAG Szenarien</v>
      </c>
      <c r="D3127" s="2301" t="s">
        <v>2646</v>
      </c>
      <c r="E3127" s="2301" t="s">
        <v>2646</v>
      </c>
      <c r="F3127" s="2301" t="s">
        <v>2646</v>
      </c>
      <c r="G3127" s="1390"/>
      <c r="H3127" s="2301" t="s">
        <v>2646</v>
      </c>
    </row>
    <row r="3128" spans="2:8" ht="25.5" x14ac:dyDescent="0.2">
      <c r="B3128" s="1610" t="str">
        <f>BAG_Scenarios!$A$1</f>
        <v>BAG Scenarios</v>
      </c>
      <c r="C3128" s="1091" t="str">
        <f>BAG_Scenarios!$B$1</f>
        <v>BAG Szenarien</v>
      </c>
      <c r="D3128" s="2301" t="s">
        <v>2646</v>
      </c>
      <c r="E3128" s="2301" t="s">
        <v>2646</v>
      </c>
      <c r="F3128" s="2301" t="s">
        <v>2646</v>
      </c>
      <c r="G3128" s="1390"/>
      <c r="H3128" s="2301" t="s">
        <v>2646</v>
      </c>
    </row>
    <row r="3129" spans="2:8" ht="25.5" x14ac:dyDescent="0.2">
      <c r="B3129" s="1610" t="str">
        <f>BAG_Scenarios!$A$1</f>
        <v>BAG Scenarios</v>
      </c>
      <c r="C3129" s="1091" t="str">
        <f>BAG_Scenarios!$B$1</f>
        <v>BAG Szenarien</v>
      </c>
      <c r="D3129" s="2301" t="s">
        <v>2646</v>
      </c>
      <c r="E3129" s="2301" t="s">
        <v>2646</v>
      </c>
      <c r="F3129" s="2301" t="s">
        <v>2646</v>
      </c>
      <c r="G3129" s="1390"/>
      <c r="H3129" s="2301" t="s">
        <v>2646</v>
      </c>
    </row>
    <row r="3130" spans="2:8" ht="25.5" x14ac:dyDescent="0.2">
      <c r="B3130" s="1610" t="str">
        <f>BAG_Scenarios!$A$1</f>
        <v>BAG Scenarios</v>
      </c>
      <c r="C3130" s="1091" t="str">
        <f>BAG_Scenarios!$B$1</f>
        <v>BAG Szenarien</v>
      </c>
      <c r="D3130" s="2301" t="s">
        <v>2646</v>
      </c>
      <c r="E3130" s="2301" t="s">
        <v>2646</v>
      </c>
      <c r="F3130" s="2301" t="s">
        <v>2646</v>
      </c>
      <c r="G3130" s="2301" t="s">
        <v>2646</v>
      </c>
      <c r="H3130" s="2301" t="s">
        <v>2646</v>
      </c>
    </row>
    <row r="3131" spans="2:8" ht="25.5" x14ac:dyDescent="0.2">
      <c r="B3131" s="1610" t="str">
        <f>BAG_Scenarios!$A$1</f>
        <v>BAG Scenarios</v>
      </c>
      <c r="C3131" s="1091" t="str">
        <f>BAG_Scenarios!$B$1</f>
        <v>BAG Szenarien</v>
      </c>
      <c r="D3131" s="2301" t="s">
        <v>2646</v>
      </c>
      <c r="E3131" s="2301" t="s">
        <v>2646</v>
      </c>
      <c r="F3131" s="2301" t="s">
        <v>2646</v>
      </c>
      <c r="G3131" s="2301" t="s">
        <v>2646</v>
      </c>
      <c r="H3131" s="2301" t="s">
        <v>2646</v>
      </c>
    </row>
    <row r="3132" spans="2:8" ht="25.5" x14ac:dyDescent="0.2">
      <c r="B3132" s="1610" t="str">
        <f>BAG_Scenarios!$A$1</f>
        <v>BAG Scenarios</v>
      </c>
      <c r="C3132" s="1091" t="str">
        <f>BAG_Scenarios!$B$1</f>
        <v>BAG Szenarien</v>
      </c>
      <c r="D3132" s="2301" t="s">
        <v>2646</v>
      </c>
      <c r="E3132" s="2301" t="s">
        <v>2646</v>
      </c>
      <c r="F3132" s="2301" t="s">
        <v>2646</v>
      </c>
      <c r="G3132" s="2301" t="s">
        <v>2646</v>
      </c>
      <c r="H3132" s="2301" t="s">
        <v>2646</v>
      </c>
    </row>
    <row r="3133" spans="2:8" ht="25.5" x14ac:dyDescent="0.2">
      <c r="B3133" s="1610" t="str">
        <f>BAG_Scenarios!$A$1</f>
        <v>BAG Scenarios</v>
      </c>
      <c r="C3133" s="1091" t="str">
        <f>BAG_Scenarios!$B$1</f>
        <v>BAG Szenarien</v>
      </c>
      <c r="D3133" s="2301" t="s">
        <v>2646</v>
      </c>
      <c r="E3133" s="2301" t="s">
        <v>2646</v>
      </c>
      <c r="F3133" s="2301" t="s">
        <v>2646</v>
      </c>
      <c r="G3133" s="1390"/>
      <c r="H3133" s="2301" t="s">
        <v>2646</v>
      </c>
    </row>
    <row r="3135" spans="2:8" ht="25.5" x14ac:dyDescent="0.2">
      <c r="B3135" s="1610" t="str">
        <f>BAG_Scenarios!$A$1</f>
        <v>BAG Scenarios</v>
      </c>
      <c r="C3135" s="1091" t="str">
        <f>BAG_Scenarios!$B$1</f>
        <v>BAG Szenarien</v>
      </c>
      <c r="D3135" s="2301" t="s">
        <v>2646</v>
      </c>
      <c r="E3135" s="2301" t="s">
        <v>2646</v>
      </c>
      <c r="F3135" s="2301" t="s">
        <v>2646</v>
      </c>
      <c r="G3135" s="2301" t="s">
        <v>2646</v>
      </c>
      <c r="H3135" s="2301" t="s">
        <v>2646</v>
      </c>
    </row>
    <row r="3136" spans="2:8" ht="25.5" x14ac:dyDescent="0.2">
      <c r="B3136" s="1610" t="str">
        <f>BAG_Scenarios!$A$1</f>
        <v>BAG Scenarios</v>
      </c>
      <c r="C3136" s="1091" t="str">
        <f>BAG_Scenarios!$B$1</f>
        <v>BAG Szenarien</v>
      </c>
      <c r="D3136" s="2301" t="s">
        <v>2646</v>
      </c>
      <c r="E3136" s="2301" t="s">
        <v>2646</v>
      </c>
      <c r="F3136" s="2301" t="s">
        <v>2646</v>
      </c>
      <c r="G3136" s="2301" t="s">
        <v>2646</v>
      </c>
      <c r="H3136" s="2301" t="s">
        <v>2646</v>
      </c>
    </row>
    <row r="3137" spans="2:8" ht="25.5" x14ac:dyDescent="0.2">
      <c r="B3137" s="1610" t="str">
        <f>BAG_Scenarios!$A$1</f>
        <v>BAG Scenarios</v>
      </c>
      <c r="C3137" s="1091" t="str">
        <f>BAG_Scenarios!$B$1</f>
        <v>BAG Szenarien</v>
      </c>
      <c r="D3137" s="2301" t="s">
        <v>2646</v>
      </c>
      <c r="E3137" s="2301" t="s">
        <v>2646</v>
      </c>
      <c r="F3137" s="2301" t="s">
        <v>2646</v>
      </c>
      <c r="G3137" s="2301" t="s">
        <v>2646</v>
      </c>
      <c r="H3137" s="2301" t="s">
        <v>2646</v>
      </c>
    </row>
    <row r="3138" spans="2:8" ht="25.5" x14ac:dyDescent="0.2">
      <c r="B3138" s="1610" t="str">
        <f>BAG_Scenarios!$A$1</f>
        <v>BAG Scenarios</v>
      </c>
      <c r="C3138" s="1091" t="str">
        <f>BAG_Scenarios!$B$1</f>
        <v>BAG Szenarien</v>
      </c>
      <c r="D3138" s="2301" t="s">
        <v>2646</v>
      </c>
      <c r="E3138" s="2301" t="s">
        <v>2646</v>
      </c>
      <c r="F3138" s="2301" t="s">
        <v>2646</v>
      </c>
      <c r="G3138" s="2301" t="s">
        <v>2646</v>
      </c>
      <c r="H3138" s="2301" t="s">
        <v>2646</v>
      </c>
    </row>
    <row r="3139" spans="2:8" ht="25.5" x14ac:dyDescent="0.2">
      <c r="B3139" s="1610" t="str">
        <f>BAG_Scenarios!$A$1</f>
        <v>BAG Scenarios</v>
      </c>
      <c r="C3139" s="1091" t="str">
        <f>BAG_Scenarios!$B$1</f>
        <v>BAG Szenarien</v>
      </c>
      <c r="D3139" s="2301" t="s">
        <v>2646</v>
      </c>
      <c r="E3139" s="2301" t="s">
        <v>2646</v>
      </c>
      <c r="F3139" s="2301" t="s">
        <v>2646</v>
      </c>
      <c r="G3139" s="2301" t="s">
        <v>2646</v>
      </c>
      <c r="H3139" s="2301" t="s">
        <v>2646</v>
      </c>
    </row>
    <row r="3140" spans="2:8" ht="25.5" x14ac:dyDescent="0.2">
      <c r="B3140" s="1610" t="str">
        <f>BAG_Scenarios!$A$1</f>
        <v>BAG Scenarios</v>
      </c>
      <c r="C3140" s="1091" t="str">
        <f>BAG_Scenarios!$B$1</f>
        <v>BAG Szenarien</v>
      </c>
      <c r="D3140" s="2301" t="s">
        <v>2646</v>
      </c>
      <c r="E3140" s="2301" t="s">
        <v>2646</v>
      </c>
      <c r="F3140" s="2301" t="s">
        <v>2646</v>
      </c>
      <c r="G3140" s="2301" t="s">
        <v>2646</v>
      </c>
      <c r="H3140" s="2301" t="s">
        <v>2646</v>
      </c>
    </row>
    <row r="3141" spans="2:8" ht="25.5" x14ac:dyDescent="0.2">
      <c r="B3141" s="1610" t="str">
        <f>BAG_Scenarios!$A$1</f>
        <v>BAG Scenarios</v>
      </c>
      <c r="C3141" s="1091" t="str">
        <f>BAG_Scenarios!$B$1</f>
        <v>BAG Szenarien</v>
      </c>
      <c r="D3141" s="1389" t="str">
        <f>BAG_Scenarios!$A$64</f>
        <v>BAG 5</v>
      </c>
      <c r="E3141" s="1390" t="str">
        <f>BAG_Scenarios!A66</f>
        <v>Prämienvolumen des Vorjahres</v>
      </c>
      <c r="F3141" s="1390"/>
      <c r="G3141" s="1390"/>
      <c r="H3141" s="1744">
        <f>BAG_Scenarios!A68</f>
        <v>0</v>
      </c>
    </row>
    <row r="3142" spans="2:8" ht="25.5" x14ac:dyDescent="0.2">
      <c r="B3142" s="1610" t="str">
        <f>BAG_Scenarios!$A$1</f>
        <v>BAG Scenarios</v>
      </c>
      <c r="C3142" s="1091" t="str">
        <f>BAG_Scenarios!$B$1</f>
        <v>BAG Szenarien</v>
      </c>
      <c r="D3142" s="1389" t="str">
        <f>BAG_Scenarios!$A$64</f>
        <v>BAG 5</v>
      </c>
      <c r="E3142" s="1611" t="str">
        <f>BAG_Scenarios!C66</f>
        <v>Zuschlag</v>
      </c>
      <c r="F3142" s="1390"/>
      <c r="G3142" s="1390"/>
      <c r="H3142" s="1749">
        <f>BAG_Scenarios!C67</f>
        <v>0.09</v>
      </c>
    </row>
    <row r="3143" spans="2:8" ht="25.5" x14ac:dyDescent="0.2">
      <c r="B3143" s="1610" t="str">
        <f>BAG_Scenarios!$A$1</f>
        <v>BAG Scenarios</v>
      </c>
      <c r="C3143" s="1091" t="str">
        <f>BAG_Scenarios!$B$1</f>
        <v>BAG Szenarien</v>
      </c>
      <c r="D3143" s="1389" t="str">
        <f>BAG_Scenarios!$A$64</f>
        <v>BAG 5</v>
      </c>
      <c r="E3143" s="1743" t="str">
        <f>BAG_Scenarios!D66</f>
        <v>nicht kalkulierte Zusatzkosten Total</v>
      </c>
      <c r="F3143" s="1390"/>
      <c r="G3143" s="1390"/>
      <c r="H3143" s="1744">
        <f>BAG_Scenarios!D68</f>
        <v>0</v>
      </c>
    </row>
    <row r="3144" spans="2:8" ht="25.5" x14ac:dyDescent="0.2">
      <c r="B3144" s="1610" t="str">
        <f>BAG_Scenarios!$A$1</f>
        <v>BAG Scenarios</v>
      </c>
      <c r="C3144" s="1091" t="str">
        <f>BAG_Scenarios!$B$1</f>
        <v>BAG Szenarien</v>
      </c>
      <c r="D3144" s="1389" t="str">
        <f>BAG_Scenarios!$A$75</f>
        <v>BAG 6</v>
      </c>
      <c r="E3144" s="1390" t="str">
        <f>BAG_Scenarios!$A$78</f>
        <v>Leistungsvolumen 2025</v>
      </c>
      <c r="F3144" s="1390" t="str">
        <f>BAG_Scenarios!$C$77</f>
        <v>Einzel-Taggeld</v>
      </c>
      <c r="G3144" s="1390"/>
      <c r="H3144" s="1743">
        <f>BAG_Scenarios!C78</f>
        <v>0</v>
      </c>
    </row>
    <row r="3145" spans="2:8" ht="25.5" x14ac:dyDescent="0.2">
      <c r="B3145" s="1610" t="str">
        <f>BAG_Scenarios!$A$1</f>
        <v>BAG Scenarios</v>
      </c>
      <c r="C3145" s="1091" t="str">
        <f>BAG_Scenarios!$B$1</f>
        <v>BAG Szenarien</v>
      </c>
      <c r="D3145" s="1389" t="str">
        <f>BAG_Scenarios!$A$75</f>
        <v>BAG 6</v>
      </c>
      <c r="E3145" s="1743" t="str">
        <f>BAG_Scenarios!$A$79</f>
        <v>Mengenausweitung gemäss Szenario</v>
      </c>
      <c r="F3145" s="1390" t="str">
        <f>BAG_Scenarios!$C$77</f>
        <v>Einzel-Taggeld</v>
      </c>
      <c r="G3145" s="1390"/>
      <c r="H3145" s="1743">
        <f>BAG_Scenarios!C79</f>
        <v>0</v>
      </c>
    </row>
    <row r="3146" spans="2:8" ht="25.5" x14ac:dyDescent="0.2">
      <c r="B3146" s="1610" t="str">
        <f>BAG_Scenarios!$A$1</f>
        <v>BAG Scenarios</v>
      </c>
      <c r="C3146" s="1091" t="str">
        <f>BAG_Scenarios!$B$1</f>
        <v>BAG Szenarien</v>
      </c>
      <c r="D3146" s="1389" t="str">
        <f>BAG_Scenarios!$A$75</f>
        <v>BAG 6</v>
      </c>
      <c r="E3146" s="1390" t="str">
        <f>BAG_Scenarios!$A$78</f>
        <v>Leistungsvolumen 2025</v>
      </c>
      <c r="F3146" s="1390" t="str">
        <f>BAG_Scenarios!$D$77</f>
        <v>Kollektiv-Taggeld</v>
      </c>
      <c r="G3146" s="1390"/>
      <c r="H3146" s="1743">
        <f>BAG_Scenarios!D78</f>
        <v>0</v>
      </c>
    </row>
    <row r="3147" spans="2:8" ht="25.5" x14ac:dyDescent="0.2">
      <c r="B3147" s="1610" t="str">
        <f>BAG_Scenarios!$A$1</f>
        <v>BAG Scenarios</v>
      </c>
      <c r="C3147" s="1091" t="str">
        <f>BAG_Scenarios!$B$1</f>
        <v>BAG Szenarien</v>
      </c>
      <c r="D3147" s="1389" t="str">
        <f>BAG_Scenarios!$A$75</f>
        <v>BAG 6</v>
      </c>
      <c r="E3147" s="1743" t="str">
        <f>BAG_Scenarios!$A$79</f>
        <v>Mengenausweitung gemäss Szenario</v>
      </c>
      <c r="F3147" s="1390" t="str">
        <f>BAG_Scenarios!$D$77</f>
        <v>Kollektiv-Taggeld</v>
      </c>
      <c r="G3147" s="1390"/>
      <c r="H3147" s="1743">
        <f>BAG_Scenarios!D79</f>
        <v>0</v>
      </c>
    </row>
    <row r="3148" spans="2:8" ht="25.5" x14ac:dyDescent="0.2">
      <c r="B3148" s="1610" t="str">
        <f>BAG_Scenarios!$A$1</f>
        <v>BAG Scenarios</v>
      </c>
      <c r="C3148" s="1091" t="str">
        <f>BAG_Scenarios!$B$1</f>
        <v>BAG Szenarien</v>
      </c>
      <c r="D3148" s="1389" t="str">
        <f>BAG_Scenarios!$A$75</f>
        <v>BAG 6</v>
      </c>
      <c r="E3148" s="1611" t="str">
        <f>BAG_Scenarios!$E$78</f>
        <v>Anstieg der Anzahl der Bezüger</v>
      </c>
      <c r="F3148" s="1390"/>
      <c r="G3148" s="1390"/>
      <c r="H3148" s="1749">
        <f>BAG_Scenarios!F78</f>
        <v>0.25</v>
      </c>
    </row>
    <row r="3149" spans="2:8" ht="25.5" x14ac:dyDescent="0.2">
      <c r="B3149" s="1610" t="str">
        <f>BAG_Scenarios!$A$1</f>
        <v>BAG Scenarios</v>
      </c>
      <c r="C3149" s="1091" t="str">
        <f>BAG_Scenarios!$B$1</f>
        <v>BAG Szenarien</v>
      </c>
      <c r="D3149" s="1389" t="str">
        <f>BAG_Scenarios!$A$75</f>
        <v>BAG 6</v>
      </c>
      <c r="E3149" s="1743" t="str">
        <f>BAG_Scenarios!$E$79</f>
        <v>Erhöhung Taggeldbezugsdauer</v>
      </c>
      <c r="F3149" s="1390"/>
      <c r="G3149" s="1390"/>
      <c r="H3149" s="1749">
        <f>BAG_Scenarios!F79</f>
        <v>0.2</v>
      </c>
    </row>
    <row r="3150" spans="2:8" ht="25.5" x14ac:dyDescent="0.2">
      <c r="B3150" s="1610" t="str">
        <f>BAG_Scenarios!$A$1</f>
        <v>BAG Scenarios</v>
      </c>
      <c r="C3150" s="1091" t="str">
        <f>BAG_Scenarios!$B$1</f>
        <v>BAG Szenarien</v>
      </c>
      <c r="D3150" s="1389" t="str">
        <f>BAG_Scenarios!$A$75</f>
        <v>BAG 6</v>
      </c>
      <c r="E3150" s="1390" t="str">
        <f>BAG_Scenarios!$E$77</f>
        <v>TOTAL Mengenausweitung</v>
      </c>
      <c r="F3150" s="1390"/>
      <c r="G3150" s="1390"/>
      <c r="H3150" s="1611">
        <f>BAG_Scenarios!F77</f>
        <v>0.5</v>
      </c>
    </row>
    <row r="3151" spans="2:8" ht="25.5" x14ac:dyDescent="0.2">
      <c r="B3151" s="1610" t="str">
        <f>BAG_Scenarios!$A$1</f>
        <v>BAG Scenarios</v>
      </c>
      <c r="C3151" s="1091" t="str">
        <f>BAG_Scenarios!$B$1</f>
        <v>BAG Szenarien</v>
      </c>
      <c r="D3151" s="1389" t="str">
        <f>BAG_Scenarios!$A$86</f>
        <v>BAG 7</v>
      </c>
      <c r="E3151" s="1390" t="str">
        <f>BAG_Scenarios!$A$89</f>
        <v>Wahrscheinlichkeiten gemäss BAG</v>
      </c>
      <c r="F3151" s="1390" t="str">
        <f>BAG_Scenarios!$C$88</f>
        <v>OKP-Versicherte</v>
      </c>
      <c r="G3151" s="1390"/>
      <c r="H3151" s="1750">
        <f>BAG_Scenarios!C89</f>
        <v>1</v>
      </c>
    </row>
    <row r="3152" spans="2:8" ht="25.5" x14ac:dyDescent="0.2">
      <c r="B3152" s="1610" t="str">
        <f>BAG_Scenarios!$A$1</f>
        <v>BAG Scenarios</v>
      </c>
      <c r="C3152" s="1091" t="str">
        <f>BAG_Scenarios!$B$1</f>
        <v>BAG Szenarien</v>
      </c>
      <c r="D3152" s="1389" t="str">
        <f>BAG_Scenarios!$A$86</f>
        <v>BAG 7</v>
      </c>
      <c r="E3152" s="1390" t="str">
        <f>BAG_Scenarios!$A$90</f>
        <v>Anzahl Betroffene</v>
      </c>
      <c r="F3152" s="1390" t="str">
        <f>BAG_Scenarios!$C$88</f>
        <v>OKP-Versicherte</v>
      </c>
      <c r="G3152" s="1390"/>
      <c r="H3152" s="1751">
        <f>BAG_Scenarios!C90</f>
        <v>0</v>
      </c>
    </row>
    <row r="3153" spans="2:8" ht="25.5" x14ac:dyDescent="0.2">
      <c r="B3153" s="1610" t="str">
        <f>BAG_Scenarios!$A$1</f>
        <v>BAG Scenarios</v>
      </c>
      <c r="C3153" s="1091" t="str">
        <f>BAG_Scenarios!$B$1</f>
        <v>BAG Szenarien</v>
      </c>
      <c r="D3153" s="1389" t="str">
        <f>BAG_Scenarios!$A$86</f>
        <v>BAG 7</v>
      </c>
      <c r="E3153" s="1390" t="str">
        <f>BAG_Scenarios!$A$91</f>
        <v>Kosten pro Fall</v>
      </c>
      <c r="F3153" s="1390" t="str">
        <f>BAG_Scenarios!$C$88</f>
        <v>OKP-Versicherte</v>
      </c>
      <c r="G3153" s="1390"/>
      <c r="H3153" s="1752">
        <f>BAG_Scenarios!C91</f>
        <v>0</v>
      </c>
    </row>
    <row r="3154" spans="2:8" ht="25.5" x14ac:dyDescent="0.2">
      <c r="B3154" s="1610" t="str">
        <f>BAG_Scenarios!$A$1</f>
        <v>BAG Scenarios</v>
      </c>
      <c r="C3154" s="1091" t="str">
        <f>BAG_Scenarios!$B$1</f>
        <v>BAG Szenarien</v>
      </c>
      <c r="D3154" s="1389" t="str">
        <f>BAG_Scenarios!$A$86</f>
        <v>BAG 7</v>
      </c>
      <c r="E3154" s="1390" t="str">
        <f>BAG_Scenarios!$A$92</f>
        <v>Medizinische Zusatzkosten</v>
      </c>
      <c r="F3154" s="1390" t="str">
        <f>BAG_Scenarios!$C$88</f>
        <v>OKP-Versicherte</v>
      </c>
      <c r="G3154" s="1390"/>
      <c r="H3154" s="1753">
        <f>BAG_Scenarios!C92</f>
        <v>0</v>
      </c>
    </row>
    <row r="3155" spans="2:8" ht="25.5" x14ac:dyDescent="0.2">
      <c r="B3155" s="1610" t="str">
        <f>BAG_Scenarios!$A$1</f>
        <v>BAG Scenarios</v>
      </c>
      <c r="C3155" s="1091" t="str">
        <f>BAG_Scenarios!$B$1</f>
        <v>BAG Szenarien</v>
      </c>
      <c r="D3155" s="1389" t="str">
        <f>BAG_Scenarios!$A$86</f>
        <v>BAG 7</v>
      </c>
      <c r="E3155" s="1390" t="str">
        <f>BAG_Scenarios!$A$89</f>
        <v>Wahrscheinlichkeiten gemäss BAG</v>
      </c>
      <c r="F3155" s="1390" t="str">
        <f>BAG_Scenarios!$D$88</f>
        <v>Erkrankte</v>
      </c>
      <c r="G3155" s="1390"/>
      <c r="H3155" s="1750">
        <f>BAG_Scenarios!D89</f>
        <v>0.25</v>
      </c>
    </row>
    <row r="3156" spans="2:8" ht="25.5" x14ac:dyDescent="0.2">
      <c r="B3156" s="1610" t="str">
        <f>BAG_Scenarios!$A$1</f>
        <v>BAG Scenarios</v>
      </c>
      <c r="C3156" s="1091" t="str">
        <f>BAG_Scenarios!$B$1</f>
        <v>BAG Szenarien</v>
      </c>
      <c r="D3156" s="1389" t="str">
        <f>BAG_Scenarios!$A$86</f>
        <v>BAG 7</v>
      </c>
      <c r="E3156" s="1390" t="str">
        <f>BAG_Scenarios!$A$90</f>
        <v>Anzahl Betroffene</v>
      </c>
      <c r="F3156" s="1390" t="str">
        <f>BAG_Scenarios!$D$88</f>
        <v>Erkrankte</v>
      </c>
      <c r="G3156" s="1390"/>
      <c r="H3156" s="1753">
        <f>BAG_Scenarios!D90</f>
        <v>0</v>
      </c>
    </row>
    <row r="3157" spans="2:8" ht="25.5" x14ac:dyDescent="0.2">
      <c r="B3157" s="1610" t="str">
        <f>BAG_Scenarios!$A$1</f>
        <v>BAG Scenarios</v>
      </c>
      <c r="C3157" s="1091" t="str">
        <f>BAG_Scenarios!$B$1</f>
        <v>BAG Szenarien</v>
      </c>
      <c r="D3157" s="1389" t="str">
        <f>BAG_Scenarios!$A$86</f>
        <v>BAG 7</v>
      </c>
      <c r="E3157" s="1390" t="str">
        <f>BAG_Scenarios!$A$91</f>
        <v>Kosten pro Fall</v>
      </c>
      <c r="F3157" s="1390" t="str">
        <f>BAG_Scenarios!$D$88</f>
        <v>Erkrankte</v>
      </c>
      <c r="G3157" s="1390"/>
      <c r="H3157" s="1752">
        <f>BAG_Scenarios!D91</f>
        <v>0</v>
      </c>
    </row>
    <row r="3158" spans="2:8" ht="25.5" x14ac:dyDescent="0.2">
      <c r="B3158" s="1610" t="str">
        <f>BAG_Scenarios!$A$1</f>
        <v>BAG Scenarios</v>
      </c>
      <c r="C3158" s="1091" t="str">
        <f>BAG_Scenarios!$B$1</f>
        <v>BAG Szenarien</v>
      </c>
      <c r="D3158" s="1389" t="str">
        <f>BAG_Scenarios!$A$86</f>
        <v>BAG 7</v>
      </c>
      <c r="E3158" s="1390" t="str">
        <f>BAG_Scenarios!$A$92</f>
        <v>Medizinische Zusatzkosten</v>
      </c>
      <c r="F3158" s="1390" t="str">
        <f>BAG_Scenarios!$D$88</f>
        <v>Erkrankte</v>
      </c>
      <c r="G3158" s="1390"/>
      <c r="H3158" s="1753">
        <f>BAG_Scenarios!D92</f>
        <v>0</v>
      </c>
    </row>
    <row r="3159" spans="2:8" ht="25.5" x14ac:dyDescent="0.2">
      <c r="B3159" s="1610" t="str">
        <f>BAG_Scenarios!$A$1</f>
        <v>BAG Scenarios</v>
      </c>
      <c r="C3159" s="1091" t="str">
        <f>BAG_Scenarios!$B$1</f>
        <v>BAG Szenarien</v>
      </c>
      <c r="D3159" s="1389" t="str">
        <f>BAG_Scenarios!$A$86</f>
        <v>BAG 7</v>
      </c>
      <c r="E3159" s="1390" t="str">
        <f>BAG_Scenarios!$A$89</f>
        <v>Wahrscheinlichkeiten gemäss BAG</v>
      </c>
      <c r="F3159" s="1390" t="str">
        <f>BAG_Scenarios!$E$88</f>
        <v>Arztbesuche</v>
      </c>
      <c r="G3159" s="1390"/>
      <c r="H3159" s="1750">
        <f>BAG_Scenarios!E89</f>
        <v>0.125</v>
      </c>
    </row>
    <row r="3160" spans="2:8" ht="25.5" x14ac:dyDescent="0.2">
      <c r="B3160" s="1610" t="str">
        <f>BAG_Scenarios!$A$1</f>
        <v>BAG Scenarios</v>
      </c>
      <c r="C3160" s="1091" t="str">
        <f>BAG_Scenarios!$B$1</f>
        <v>BAG Szenarien</v>
      </c>
      <c r="D3160" s="1389" t="str">
        <f>BAG_Scenarios!$A$86</f>
        <v>BAG 7</v>
      </c>
      <c r="E3160" s="1390" t="str">
        <f>BAG_Scenarios!$A$90</f>
        <v>Anzahl Betroffene</v>
      </c>
      <c r="F3160" s="1390" t="str">
        <f>BAG_Scenarios!$E$88</f>
        <v>Arztbesuche</v>
      </c>
      <c r="G3160" s="1390"/>
      <c r="H3160" s="1753">
        <f>BAG_Scenarios!E90</f>
        <v>0</v>
      </c>
    </row>
    <row r="3161" spans="2:8" ht="25.5" x14ac:dyDescent="0.2">
      <c r="B3161" s="1610" t="str">
        <f>BAG_Scenarios!$A$1</f>
        <v>BAG Scenarios</v>
      </c>
      <c r="C3161" s="1091" t="str">
        <f>BAG_Scenarios!$B$1</f>
        <v>BAG Szenarien</v>
      </c>
      <c r="D3161" s="1389" t="str">
        <f>BAG_Scenarios!$A$86</f>
        <v>BAG 7</v>
      </c>
      <c r="E3161" s="1390" t="str">
        <f>BAG_Scenarios!$A$91</f>
        <v>Kosten pro Fall</v>
      </c>
      <c r="F3161" s="1390" t="str">
        <f>BAG_Scenarios!$E$88</f>
        <v>Arztbesuche</v>
      </c>
      <c r="G3161" s="1390"/>
      <c r="H3161" s="1752">
        <f>BAG_Scenarios!E91</f>
        <v>100</v>
      </c>
    </row>
    <row r="3162" spans="2:8" ht="25.5" x14ac:dyDescent="0.2">
      <c r="B3162" s="1610" t="str">
        <f>BAG_Scenarios!$A$1</f>
        <v>BAG Scenarios</v>
      </c>
      <c r="C3162" s="1091" t="str">
        <f>BAG_Scenarios!$B$1</f>
        <v>BAG Szenarien</v>
      </c>
      <c r="D3162" s="1389" t="str">
        <f>BAG_Scenarios!$A$86</f>
        <v>BAG 7</v>
      </c>
      <c r="E3162" s="1390" t="str">
        <f>BAG_Scenarios!$A$92</f>
        <v>Medizinische Zusatzkosten</v>
      </c>
      <c r="F3162" s="1390" t="str">
        <f>BAG_Scenarios!$E$88</f>
        <v>Arztbesuche</v>
      </c>
      <c r="G3162" s="1390"/>
      <c r="H3162" s="1753">
        <f>BAG_Scenarios!E92</f>
        <v>0</v>
      </c>
    </row>
    <row r="3163" spans="2:8" ht="25.5" x14ac:dyDescent="0.2">
      <c r="B3163" s="1610" t="str">
        <f>BAG_Scenarios!$A$1</f>
        <v>BAG Scenarios</v>
      </c>
      <c r="C3163" s="1091" t="str">
        <f>BAG_Scenarios!$B$1</f>
        <v>BAG Szenarien</v>
      </c>
      <c r="D3163" s="1389" t="str">
        <f>BAG_Scenarios!$A$86</f>
        <v>BAG 7</v>
      </c>
      <c r="E3163" s="1390" t="str">
        <f>BAG_Scenarios!$A$89</f>
        <v>Wahrscheinlichkeiten gemäss BAG</v>
      </c>
      <c r="F3163" s="1390" t="str">
        <f>BAG_Scenarios!$F$88</f>
        <v>Hospitalisierungen</v>
      </c>
      <c r="G3163" s="1390"/>
      <c r="H3163" s="1750">
        <f>BAG_Scenarios!F89</f>
        <v>6.2500000000000003E-3</v>
      </c>
    </row>
    <row r="3164" spans="2:8" ht="25.5" x14ac:dyDescent="0.2">
      <c r="B3164" s="1610" t="str">
        <f>BAG_Scenarios!$A$1</f>
        <v>BAG Scenarios</v>
      </c>
      <c r="C3164" s="1091" t="str">
        <f>BAG_Scenarios!$B$1</f>
        <v>BAG Szenarien</v>
      </c>
      <c r="D3164" s="1389" t="str">
        <f>BAG_Scenarios!$A$86</f>
        <v>BAG 7</v>
      </c>
      <c r="E3164" s="1390" t="str">
        <f>BAG_Scenarios!$A$90</f>
        <v>Anzahl Betroffene</v>
      </c>
      <c r="F3164" s="1390" t="str">
        <f>BAG_Scenarios!$F$88</f>
        <v>Hospitalisierungen</v>
      </c>
      <c r="G3164" s="1390"/>
      <c r="H3164" s="1753">
        <f>BAG_Scenarios!F90</f>
        <v>0</v>
      </c>
    </row>
    <row r="3165" spans="2:8" ht="25.5" x14ac:dyDescent="0.2">
      <c r="B3165" s="1610" t="str">
        <f>BAG_Scenarios!$A$1</f>
        <v>BAG Scenarios</v>
      </c>
      <c r="C3165" s="1091" t="str">
        <f>BAG_Scenarios!$B$1</f>
        <v>BAG Szenarien</v>
      </c>
      <c r="D3165" s="1389" t="str">
        <f>BAG_Scenarios!$A$86</f>
        <v>BAG 7</v>
      </c>
      <c r="E3165" s="1390" t="str">
        <f>BAG_Scenarios!$A$91</f>
        <v>Kosten pro Fall</v>
      </c>
      <c r="F3165" s="1390" t="str">
        <f>BAG_Scenarios!$F$88</f>
        <v>Hospitalisierungen</v>
      </c>
      <c r="G3165" s="1390"/>
      <c r="H3165" s="1752">
        <f>BAG_Scenarios!F91</f>
        <v>6000</v>
      </c>
    </row>
    <row r="3166" spans="2:8" ht="25.5" x14ac:dyDescent="0.2">
      <c r="B3166" s="1610" t="str">
        <f>BAG_Scenarios!$A$1</f>
        <v>BAG Scenarios</v>
      </c>
      <c r="C3166" s="1091" t="str">
        <f>BAG_Scenarios!$B$1</f>
        <v>BAG Szenarien</v>
      </c>
      <c r="D3166" s="1389" t="str">
        <f>BAG_Scenarios!$A$86</f>
        <v>BAG 7</v>
      </c>
      <c r="E3166" s="1390" t="str">
        <f>BAG_Scenarios!$A$92</f>
        <v>Medizinische Zusatzkosten</v>
      </c>
      <c r="F3166" s="1390" t="str">
        <f>BAG_Scenarios!$F$88</f>
        <v>Hospitalisierungen</v>
      </c>
      <c r="G3166" s="1390"/>
      <c r="H3166" s="1753">
        <f>BAG_Scenarios!F92</f>
        <v>0</v>
      </c>
    </row>
    <row r="3167" spans="2:8" ht="25.5" x14ac:dyDescent="0.2">
      <c r="B3167" s="1610" t="str">
        <f>BAG_Scenarios!$A$1</f>
        <v>BAG Scenarios</v>
      </c>
      <c r="C3167" s="1091" t="str">
        <f>BAG_Scenarios!$B$1</f>
        <v>BAG Szenarien</v>
      </c>
      <c r="D3167" s="1389" t="str">
        <f>BAG_Scenarios!$A$86</f>
        <v>BAG 7</v>
      </c>
      <c r="E3167" s="1390" t="str">
        <f>BAG_Scenarios!$A$89</f>
        <v>Wahrscheinlichkeiten gemäss BAG</v>
      </c>
      <c r="F3167" s="1390" t="str">
        <f>BAG_Scenarios!$G$88</f>
        <v>Intensivpflegefälle</v>
      </c>
      <c r="G3167" s="1390"/>
      <c r="H3167" s="1750">
        <f>BAG_Scenarios!G89</f>
        <v>9.3749999999999997E-4</v>
      </c>
    </row>
    <row r="3168" spans="2:8" ht="25.5" x14ac:dyDescent="0.2">
      <c r="B3168" s="1610" t="str">
        <f>BAG_Scenarios!$A$1</f>
        <v>BAG Scenarios</v>
      </c>
      <c r="C3168" s="1091" t="str">
        <f>BAG_Scenarios!$B$1</f>
        <v>BAG Szenarien</v>
      </c>
      <c r="D3168" s="1389" t="str">
        <f>BAG_Scenarios!$A$86</f>
        <v>BAG 7</v>
      </c>
      <c r="E3168" s="1390" t="str">
        <f>BAG_Scenarios!$A$90</f>
        <v>Anzahl Betroffene</v>
      </c>
      <c r="F3168" s="1390" t="str">
        <f>BAG_Scenarios!$G$88</f>
        <v>Intensivpflegefälle</v>
      </c>
      <c r="G3168" s="1390"/>
      <c r="H3168" s="1753">
        <f>BAG_Scenarios!G90</f>
        <v>0</v>
      </c>
    </row>
    <row r="3169" spans="2:20" ht="25.5" x14ac:dyDescent="0.2">
      <c r="B3169" s="1610" t="str">
        <f>BAG_Scenarios!$A$1</f>
        <v>BAG Scenarios</v>
      </c>
      <c r="C3169" s="1091" t="str">
        <f>BAG_Scenarios!$B$1</f>
        <v>BAG Szenarien</v>
      </c>
      <c r="D3169" s="1389" t="str">
        <f>BAG_Scenarios!$A$86</f>
        <v>BAG 7</v>
      </c>
      <c r="E3169" s="1390" t="str">
        <f>BAG_Scenarios!$A$91</f>
        <v>Kosten pro Fall</v>
      </c>
      <c r="F3169" s="1390" t="str">
        <f>BAG_Scenarios!$G$88</f>
        <v>Intensivpflegefälle</v>
      </c>
      <c r="G3169" s="1390"/>
      <c r="H3169" s="1752">
        <f>BAG_Scenarios!G91</f>
        <v>9000</v>
      </c>
    </row>
    <row r="3170" spans="2:20" ht="25.5" x14ac:dyDescent="0.2">
      <c r="B3170" s="1610" t="str">
        <f>BAG_Scenarios!$A$1</f>
        <v>BAG Scenarios</v>
      </c>
      <c r="C3170" s="1091" t="str">
        <f>BAG_Scenarios!$B$1</f>
        <v>BAG Szenarien</v>
      </c>
      <c r="D3170" s="1389" t="str">
        <f>BAG_Scenarios!$A$86</f>
        <v>BAG 7</v>
      </c>
      <c r="E3170" s="1390" t="str">
        <f>BAG_Scenarios!$A$92</f>
        <v>Medizinische Zusatzkosten</v>
      </c>
      <c r="F3170" s="1390" t="str">
        <f>BAG_Scenarios!$G$88</f>
        <v>Intensivpflegefälle</v>
      </c>
      <c r="G3170" s="1390"/>
      <c r="H3170" s="1753">
        <f>BAG_Scenarios!G92</f>
        <v>0</v>
      </c>
    </row>
    <row r="3171" spans="2:20" ht="25.5" x14ac:dyDescent="0.2">
      <c r="B3171" s="1610" t="str">
        <f>BAG_Scenarios!$A$1</f>
        <v>BAG Scenarios</v>
      </c>
      <c r="C3171" s="1091" t="str">
        <f>BAG_Scenarios!$B$1</f>
        <v>BAG Szenarien</v>
      </c>
      <c r="D3171" s="1389" t="str">
        <f>BAG_Scenarios!$A$86</f>
        <v>BAG 7</v>
      </c>
      <c r="E3171" s="1390" t="str">
        <f>BAG_Scenarios!$A$89</f>
        <v>Wahrscheinlichkeiten gemäss BAG</v>
      </c>
      <c r="F3171" s="1390" t="str">
        <f>BAG_Scenarios!$H$88</f>
        <v>Verstorbene</v>
      </c>
      <c r="G3171" s="1390"/>
      <c r="H3171" s="1752">
        <f>BAG_Scenarios!H89</f>
        <v>1E-3</v>
      </c>
    </row>
    <row r="3172" spans="2:20" ht="25.5" x14ac:dyDescent="0.2">
      <c r="B3172" s="1610" t="str">
        <f>BAG_Scenarios!$A$1</f>
        <v>BAG Scenarios</v>
      </c>
      <c r="C3172" s="1091" t="str">
        <f>BAG_Scenarios!$B$1</f>
        <v>BAG Szenarien</v>
      </c>
      <c r="D3172" s="1389" t="str">
        <f>BAG_Scenarios!$A$86</f>
        <v>BAG 7</v>
      </c>
      <c r="E3172" s="1390" t="str">
        <f>BAG_Scenarios!$A$90</f>
        <v>Anzahl Betroffene</v>
      </c>
      <c r="F3172" s="1390" t="str">
        <f>BAG_Scenarios!$H$88</f>
        <v>Verstorbene</v>
      </c>
      <c r="G3172" s="1390"/>
      <c r="H3172" s="1753">
        <f>BAG_Scenarios!H90</f>
        <v>0</v>
      </c>
    </row>
    <row r="3173" spans="2:20" ht="25.5" x14ac:dyDescent="0.2">
      <c r="B3173" s="1610" t="str">
        <f>BAG_Scenarios!$A$1</f>
        <v>BAG Scenarios</v>
      </c>
      <c r="C3173" s="1091" t="str">
        <f>BAG_Scenarios!$B$1</f>
        <v>BAG Szenarien</v>
      </c>
      <c r="D3173" s="1389" t="str">
        <f>BAG_Scenarios!$A$86</f>
        <v>BAG 7</v>
      </c>
      <c r="E3173" s="1390" t="str">
        <f>BAG_Scenarios!$A$91</f>
        <v>Kosten pro Fall</v>
      </c>
      <c r="F3173" s="1390" t="str">
        <f>BAG_Scenarios!$H$88</f>
        <v>Verstorbene</v>
      </c>
      <c r="G3173" s="1390"/>
      <c r="H3173" s="1752">
        <f>BAG_Scenarios!H91</f>
        <v>0</v>
      </c>
    </row>
    <row r="3174" spans="2:20" ht="25.5" x14ac:dyDescent="0.2">
      <c r="B3174" s="1610" t="str">
        <f>BAG_Scenarios!$A$1</f>
        <v>BAG Scenarios</v>
      </c>
      <c r="C3174" s="1091" t="str">
        <f>BAG_Scenarios!$B$1</f>
        <v>BAG Szenarien</v>
      </c>
      <c r="D3174" s="1389" t="str">
        <f>BAG_Scenarios!$A$86</f>
        <v>BAG 7</v>
      </c>
      <c r="E3174" s="1390" t="str">
        <f>BAG_Scenarios!$A$92</f>
        <v>Medizinische Zusatzkosten</v>
      </c>
      <c r="F3174" s="1390" t="str">
        <f>BAG_Scenarios!$H$88</f>
        <v>Verstorbene</v>
      </c>
      <c r="G3174" s="1390"/>
      <c r="H3174" s="1753">
        <f>BAG_Scenarios!H92</f>
        <v>0</v>
      </c>
    </row>
    <row r="3175" spans="2:20" ht="25.5" x14ac:dyDescent="0.2">
      <c r="B3175" s="1610" t="str">
        <f>BAG_Scenarios!$A$1</f>
        <v>BAG Scenarios</v>
      </c>
      <c r="C3175" s="1091" t="str">
        <f>BAG_Scenarios!$B$1</f>
        <v>BAG Szenarien</v>
      </c>
      <c r="D3175" s="1389" t="str">
        <f>BAG_Scenarios!$A$86</f>
        <v>BAG 7</v>
      </c>
      <c r="E3175" s="1390" t="str">
        <f>BAG_Scenarios!$A$92</f>
        <v>Medizinische Zusatzkosten</v>
      </c>
      <c r="F3175" s="1390" t="str">
        <f>BAG_Scenarios!I88</f>
        <v>TOTAL</v>
      </c>
      <c r="G3175" s="1390"/>
      <c r="H3175" s="1743">
        <f>BAG_Scenarios!I92</f>
        <v>0</v>
      </c>
    </row>
    <row r="3176" spans="2:20" s="1179" customFormat="1" x14ac:dyDescent="0.2">
      <c r="B3176" s="1580"/>
      <c r="C3176" s="1570"/>
      <c r="D3176" s="1571"/>
      <c r="E3176" s="1378"/>
      <c r="F3176" s="1378"/>
      <c r="G3176" s="1378"/>
      <c r="H3176" s="1378"/>
      <c r="I3176" s="1170"/>
      <c r="J3176" s="1170"/>
      <c r="K3176" s="1170"/>
      <c r="L3176" s="1170"/>
      <c r="M3176" s="1170"/>
      <c r="N3176" s="1170"/>
      <c r="O3176" s="1170"/>
      <c r="P3176" s="1170"/>
      <c r="Q3176" s="1170"/>
      <c r="R3176" s="1170"/>
      <c r="S3176" s="1170"/>
      <c r="T3176" s="1170"/>
    </row>
    <row r="3177" spans="2:20" ht="25.5" x14ac:dyDescent="0.2">
      <c r="B3177" s="1610" t="str">
        <f>BAG_Scenarios!$A$1</f>
        <v>BAG Scenarios</v>
      </c>
      <c r="C3177" s="1091" t="str">
        <f>BAG_Scenarios!$B$1</f>
        <v>BAG Szenarien</v>
      </c>
      <c r="D3177" s="2301" t="s">
        <v>2646</v>
      </c>
      <c r="E3177" s="2301"/>
      <c r="F3177" s="2301"/>
      <c r="G3177" s="2298"/>
      <c r="H3177" s="2301"/>
    </row>
    <row r="3178" spans="2:20" ht="25.5" x14ac:dyDescent="0.2">
      <c r="B3178" s="1610" t="str">
        <f>BAG_Scenarios!$A$1</f>
        <v>BAG Scenarios</v>
      </c>
      <c r="C3178" s="1091" t="str">
        <f>BAG_Scenarios!$B$1</f>
        <v>BAG Szenarien</v>
      </c>
      <c r="D3178" s="2301" t="s">
        <v>2646</v>
      </c>
      <c r="E3178" s="2301"/>
      <c r="F3178" s="2301"/>
      <c r="G3178" s="2298"/>
      <c r="H3178" s="2301"/>
    </row>
    <row r="3179" spans="2:20" ht="25.5" x14ac:dyDescent="0.2">
      <c r="B3179" s="1610" t="str">
        <f>BAG_Scenarios!$A$1</f>
        <v>BAG Scenarios</v>
      </c>
      <c r="C3179" s="1091" t="str">
        <f>BAG_Scenarios!$B$1</f>
        <v>BAG Szenarien</v>
      </c>
      <c r="D3179" s="2301" t="s">
        <v>2646</v>
      </c>
      <c r="E3179" s="2301"/>
      <c r="F3179" s="2301"/>
      <c r="G3179" s="2298"/>
      <c r="H3179" s="2301"/>
    </row>
    <row r="3180" spans="2:20" ht="25.5" x14ac:dyDescent="0.2">
      <c r="B3180" s="1610" t="str">
        <f>BAG_Scenarios!$A$1</f>
        <v>BAG Scenarios</v>
      </c>
      <c r="C3180" s="1091" t="str">
        <f>BAG_Scenarios!$B$1</f>
        <v>BAG Szenarien</v>
      </c>
      <c r="D3180" s="2301" t="s">
        <v>2646</v>
      </c>
      <c r="E3180" s="2301"/>
      <c r="F3180" s="2301"/>
      <c r="G3180" s="2298"/>
      <c r="H3180" s="2301"/>
    </row>
    <row r="3181" spans="2:20" ht="25.5" x14ac:dyDescent="0.2">
      <c r="B3181" s="1610" t="str">
        <f>BAG_Scenarios!$A$1</f>
        <v>BAG Scenarios</v>
      </c>
      <c r="C3181" s="1091" t="str">
        <f>BAG_Scenarios!$B$1</f>
        <v>BAG Szenarien</v>
      </c>
      <c r="D3181" s="2301" t="s">
        <v>2646</v>
      </c>
      <c r="E3181" s="2301"/>
      <c r="F3181" s="2301"/>
      <c r="G3181" s="2298"/>
      <c r="H3181" s="2301"/>
    </row>
    <row r="3182" spans="2:20" ht="25.5" x14ac:dyDescent="0.2">
      <c r="B3182" s="1610" t="str">
        <f>BAG_Scenarios!$A$1</f>
        <v>BAG Scenarios</v>
      </c>
      <c r="C3182" s="1091" t="str">
        <f>BAG_Scenarios!$B$1</f>
        <v>BAG Szenarien</v>
      </c>
      <c r="D3182" s="2301" t="s">
        <v>2646</v>
      </c>
      <c r="E3182" s="2301"/>
      <c r="F3182" s="2301"/>
      <c r="G3182" s="2298"/>
      <c r="H3182" s="2301"/>
    </row>
    <row r="3183" spans="2:20" ht="25.5" x14ac:dyDescent="0.2">
      <c r="B3183" s="1610" t="str">
        <f>BAG_Scenarios!$A$1</f>
        <v>BAG Scenarios</v>
      </c>
      <c r="C3183" s="1091" t="str">
        <f>BAG_Scenarios!$B$1</f>
        <v>BAG Szenarien</v>
      </c>
      <c r="D3183" s="2301" t="s">
        <v>2646</v>
      </c>
      <c r="E3183" s="2301"/>
      <c r="F3183" s="2301"/>
      <c r="G3183" s="2298"/>
      <c r="H3183" s="2301"/>
    </row>
    <row r="3184" spans="2:20" ht="25.5" x14ac:dyDescent="0.2">
      <c r="B3184" s="1610" t="str">
        <f>BAG_Scenarios!$A$1</f>
        <v>BAG Scenarios</v>
      </c>
      <c r="C3184" s="1091" t="str">
        <f>BAG_Scenarios!$B$1</f>
        <v>BAG Szenarien</v>
      </c>
      <c r="D3184" s="2301" t="s">
        <v>2646</v>
      </c>
      <c r="E3184" s="2301"/>
      <c r="F3184" s="2301"/>
      <c r="G3184" s="2298"/>
      <c r="H3184" s="2301"/>
    </row>
    <row r="3185" spans="2:8" ht="25.5" x14ac:dyDescent="0.2">
      <c r="B3185" s="1610" t="str">
        <f>BAG_Scenarios!$A$1</f>
        <v>BAG Scenarios</v>
      </c>
      <c r="C3185" s="1091" t="str">
        <f>BAG_Scenarios!$B$1</f>
        <v>BAG Szenarien</v>
      </c>
      <c r="D3185" s="2301" t="s">
        <v>2646</v>
      </c>
      <c r="E3185" s="2301"/>
      <c r="F3185" s="2301"/>
      <c r="G3185" s="2298"/>
      <c r="H3185" s="2301"/>
    </row>
    <row r="3186" spans="2:8" ht="25.5" x14ac:dyDescent="0.2">
      <c r="B3186" s="1610" t="str">
        <f>BAG_Scenarios!$A$1</f>
        <v>BAG Scenarios</v>
      </c>
      <c r="C3186" s="1091" t="str">
        <f>BAG_Scenarios!$B$1</f>
        <v>BAG Szenarien</v>
      </c>
      <c r="D3186" s="2301" t="s">
        <v>2646</v>
      </c>
      <c r="E3186" s="2301"/>
      <c r="F3186" s="2301"/>
      <c r="G3186" s="2298"/>
      <c r="H3186" s="2301"/>
    </row>
    <row r="3187" spans="2:8" ht="25.5" x14ac:dyDescent="0.2">
      <c r="B3187" s="1610" t="str">
        <f>BAG_Scenarios!$A$1</f>
        <v>BAG Scenarios</v>
      </c>
      <c r="C3187" s="1091" t="str">
        <f>BAG_Scenarios!$B$1</f>
        <v>BAG Szenarien</v>
      </c>
      <c r="D3187" s="2301" t="s">
        <v>2646</v>
      </c>
      <c r="E3187" s="2301"/>
      <c r="F3187" s="2301"/>
      <c r="G3187" s="2298"/>
      <c r="H3187" s="2301"/>
    </row>
    <row r="3188" spans="2:8" ht="25.5" x14ac:dyDescent="0.2">
      <c r="B3188" s="1610" t="str">
        <f>BAG_Scenarios!$A$1</f>
        <v>BAG Scenarios</v>
      </c>
      <c r="C3188" s="1091" t="str">
        <f>BAG_Scenarios!$B$1</f>
        <v>BAG Szenarien</v>
      </c>
      <c r="D3188" s="1389" t="str">
        <f>BAG_Scenarios!$A$51</f>
        <v>BAG 4</v>
      </c>
      <c r="E3188" s="1390" t="str">
        <f>BAG_Scenarios!$A$54</f>
        <v>Erwarteter Schadenaufwand</v>
      </c>
      <c r="F3188" s="1390">
        <f>BAG_Scenarios!$B$53</f>
        <v>0</v>
      </c>
      <c r="G3188" s="1390"/>
      <c r="H3188" s="1755">
        <f>BAG_Scenarios!B54</f>
        <v>0</v>
      </c>
    </row>
    <row r="3189" spans="2:8" ht="25.5" x14ac:dyDescent="0.2">
      <c r="B3189" s="1610" t="str">
        <f>BAG_Scenarios!$A$1</f>
        <v>BAG Scenarios</v>
      </c>
      <c r="C3189" s="1091" t="str">
        <f>BAG_Scenarios!$B$1</f>
        <v>BAG Szenarien</v>
      </c>
      <c r="D3189" s="1389" t="str">
        <f>BAG_Scenarios!$A$51</f>
        <v>BAG 4</v>
      </c>
      <c r="E3189" s="1390" t="str">
        <f>BAG_Scenarios!$A$55</f>
        <v>Bestand</v>
      </c>
      <c r="F3189" s="1390">
        <f>BAG_Scenarios!$B$53</f>
        <v>0</v>
      </c>
      <c r="G3189" s="1390"/>
      <c r="H3189" s="1755">
        <f>BAG_Scenarios!B55</f>
        <v>0</v>
      </c>
    </row>
    <row r="3190" spans="2:8" ht="25.5" x14ac:dyDescent="0.2">
      <c r="B3190" s="1610" t="str">
        <f>BAG_Scenarios!$A$1</f>
        <v>BAG Scenarios</v>
      </c>
      <c r="C3190" s="1091" t="str">
        <f>BAG_Scenarios!$B$1</f>
        <v>BAG Szenarien</v>
      </c>
      <c r="D3190" s="1389" t="str">
        <f>BAG_Scenarios!$A$51</f>
        <v>BAG 4</v>
      </c>
      <c r="E3190" s="1390" t="str">
        <f>BAG_Scenarios!$A$56</f>
        <v>Abweichung in Leistungen</v>
      </c>
      <c r="F3190" s="1390">
        <f>BAG_Scenarios!$B$53</f>
        <v>0</v>
      </c>
      <c r="G3190" s="1390"/>
      <c r="H3190" s="1755">
        <f>BAG_Scenarios!B56</f>
        <v>0</v>
      </c>
    </row>
    <row r="3191" spans="2:8" ht="25.5" x14ac:dyDescent="0.2">
      <c r="B3191" s="1610" t="str">
        <f>BAG_Scenarios!$A$1</f>
        <v>BAG Scenarios</v>
      </c>
      <c r="C3191" s="1091" t="str">
        <f>BAG_Scenarios!$B$1</f>
        <v>BAG Szenarien</v>
      </c>
      <c r="D3191" s="2301" t="s">
        <v>2646</v>
      </c>
      <c r="E3191" s="2301"/>
      <c r="F3191" s="2301"/>
      <c r="G3191" s="2298"/>
      <c r="H3191" s="2301"/>
    </row>
    <row r="3192" spans="2:8" ht="25.5" x14ac:dyDescent="0.2">
      <c r="B3192" s="1610" t="str">
        <f>BAG_Scenarios!$A$1</f>
        <v>BAG Scenarios</v>
      </c>
      <c r="C3192" s="1091" t="str">
        <f>BAG_Scenarios!$B$1</f>
        <v>BAG Szenarien</v>
      </c>
      <c r="D3192" s="1389" t="str">
        <f>BAG_Scenarios!$A$51</f>
        <v>BAG 4</v>
      </c>
      <c r="E3192" s="1390" t="str">
        <f>BAG_Scenarios!$A$57</f>
        <v>Zusatzkosten</v>
      </c>
      <c r="F3192" s="1390">
        <f>BAG_Scenarios!$B$53</f>
        <v>0</v>
      </c>
      <c r="G3192" s="1390"/>
      <c r="H3192" s="1755">
        <f>BAG_Scenarios!B57</f>
        <v>0</v>
      </c>
    </row>
    <row r="3193" spans="2:8" ht="25.5" x14ac:dyDescent="0.2">
      <c r="B3193" s="1610" t="str">
        <f>BAG_Scenarios!$A$1</f>
        <v>BAG Scenarios</v>
      </c>
      <c r="C3193" s="1091" t="str">
        <f>BAG_Scenarios!$B$1</f>
        <v>BAG Szenarien</v>
      </c>
      <c r="D3193" s="1389" t="str">
        <f>BAG_Scenarios!$A$51</f>
        <v>BAG 4</v>
      </c>
      <c r="E3193" s="1390"/>
      <c r="F3193" s="1390" t="s">
        <v>2142</v>
      </c>
      <c r="G3193" s="1390"/>
      <c r="H3193" s="2301" t="s">
        <v>2646</v>
      </c>
    </row>
    <row r="3194" spans="2:8" ht="25.5" x14ac:dyDescent="0.2">
      <c r="B3194" s="1610" t="str">
        <f>BAG_Scenarios!$A$1</f>
        <v>BAG Scenarios</v>
      </c>
      <c r="C3194" s="1091" t="str">
        <f>BAG_Scenarios!$B$1</f>
        <v>BAG Szenarien</v>
      </c>
      <c r="D3194" s="1389" t="str">
        <f>BAG_Scenarios!$A$51</f>
        <v>BAG 4</v>
      </c>
      <c r="E3194" s="1390" t="str">
        <f>BAG_Scenarios!$A$54</f>
        <v>Erwarteter Schadenaufwand</v>
      </c>
      <c r="F3194" s="1390" t="str">
        <f>BAG_Scenarios!$C$53</f>
        <v>(Aus Blatt BAG 37)</v>
      </c>
      <c r="G3194" s="1390"/>
      <c r="H3194" s="1743">
        <f>BAG_Scenarios!C54</f>
        <v>0</v>
      </c>
    </row>
    <row r="3195" spans="2:8" ht="25.5" x14ac:dyDescent="0.2">
      <c r="B3195" s="1610" t="str">
        <f>BAG_Scenarios!$A$1</f>
        <v>BAG Scenarios</v>
      </c>
      <c r="C3195" s="1091" t="str">
        <f>BAG_Scenarios!$B$1</f>
        <v>BAG Szenarien</v>
      </c>
      <c r="D3195" s="1389" t="str">
        <f>BAG_Scenarios!$A$51</f>
        <v>BAG 4</v>
      </c>
      <c r="E3195" s="1390" t="str">
        <f>BAG_Scenarios!$A$55</f>
        <v>Bestand</v>
      </c>
      <c r="F3195" s="1390" t="str">
        <f>BAG_Scenarios!$C$53</f>
        <v>(Aus Blatt BAG 37)</v>
      </c>
      <c r="G3195" s="1390"/>
      <c r="H3195" s="1743">
        <f>BAG_Scenarios!C55</f>
        <v>0</v>
      </c>
    </row>
    <row r="3196" spans="2:8" ht="25.5" x14ac:dyDescent="0.2">
      <c r="B3196" s="1610" t="str">
        <f>BAG_Scenarios!$A$1</f>
        <v>BAG Scenarios</v>
      </c>
      <c r="C3196" s="1091" t="str">
        <f>BAG_Scenarios!$B$1</f>
        <v>BAG Szenarien</v>
      </c>
      <c r="D3196" s="1389" t="str">
        <f>BAG_Scenarios!$A$51</f>
        <v>BAG 4</v>
      </c>
      <c r="E3196" s="1390" t="str">
        <f>BAG_Scenarios!$A$56</f>
        <v>Abweichung in Leistungen</v>
      </c>
      <c r="F3196" s="1390" t="str">
        <f>BAG_Scenarios!$C$53</f>
        <v>(Aus Blatt BAG 37)</v>
      </c>
      <c r="G3196" s="1390"/>
      <c r="H3196" s="1743">
        <f>BAG_Scenarios!C56</f>
        <v>0.60000000000000009</v>
      </c>
    </row>
    <row r="3197" spans="2:8" ht="25.5" x14ac:dyDescent="0.2">
      <c r="B3197" s="1610" t="str">
        <f>BAG_Scenarios!$A$1</f>
        <v>BAG Scenarios</v>
      </c>
      <c r="C3197" s="1091" t="str">
        <f>BAG_Scenarios!$B$1</f>
        <v>BAG Szenarien</v>
      </c>
      <c r="D3197" s="2301" t="s">
        <v>2646</v>
      </c>
      <c r="E3197" s="2301"/>
      <c r="F3197" s="2301"/>
      <c r="G3197" s="2298"/>
      <c r="H3197" s="2301"/>
    </row>
    <row r="3198" spans="2:8" ht="25.5" x14ac:dyDescent="0.2">
      <c r="B3198" s="1610" t="str">
        <f>BAG_Scenarios!$A$1</f>
        <v>BAG Scenarios</v>
      </c>
      <c r="C3198" s="1091" t="str">
        <f>BAG_Scenarios!$B$1</f>
        <v>BAG Szenarien</v>
      </c>
      <c r="D3198" s="1389" t="str">
        <f>BAG_Scenarios!$A$51</f>
        <v>BAG 4</v>
      </c>
      <c r="E3198" s="1390" t="str">
        <f>BAG_Scenarios!$A$57</f>
        <v>Zusatzkosten</v>
      </c>
      <c r="F3198" s="1390" t="str">
        <f>BAG_Scenarios!$C$53</f>
        <v>(Aus Blatt BAG 37)</v>
      </c>
      <c r="G3198" s="1390"/>
      <c r="H3198" s="1754">
        <f>BAG_Scenarios!C57</f>
        <v>0</v>
      </c>
    </row>
    <row r="3199" spans="2:8" ht="25.5" x14ac:dyDescent="0.2">
      <c r="B3199" s="1610" t="str">
        <f>BAG_Scenarios!$A$1</f>
        <v>BAG Scenarios</v>
      </c>
      <c r="C3199" s="1091" t="str">
        <f>BAG_Scenarios!$B$1</f>
        <v>BAG Szenarien</v>
      </c>
      <c r="D3199" s="1389" t="str">
        <f>BAG_Scenarios!$A$51</f>
        <v>BAG 4</v>
      </c>
      <c r="E3199" s="1390" t="str">
        <f>BAG_Scenarios!$A$54</f>
        <v>Erwarteter Schadenaufwand</v>
      </c>
      <c r="F3199" s="1390">
        <f>BAG_Scenarios!$D$53</f>
        <v>0</v>
      </c>
      <c r="G3199" s="1390"/>
      <c r="H3199" s="1755">
        <f>BAG_Scenarios!D54</f>
        <v>0</v>
      </c>
    </row>
    <row r="3200" spans="2:8" ht="25.5" x14ac:dyDescent="0.2">
      <c r="B3200" s="1610" t="str">
        <f>BAG_Scenarios!$A$1</f>
        <v>BAG Scenarios</v>
      </c>
      <c r="C3200" s="1091" t="str">
        <f>BAG_Scenarios!$B$1</f>
        <v>BAG Szenarien</v>
      </c>
      <c r="D3200" s="1389" t="str">
        <f>BAG_Scenarios!$A$51</f>
        <v>BAG 4</v>
      </c>
      <c r="E3200" s="1390" t="str">
        <f>BAG_Scenarios!$A$55</f>
        <v>Bestand</v>
      </c>
      <c r="F3200" s="1390">
        <f>BAG_Scenarios!$D$53</f>
        <v>0</v>
      </c>
      <c r="G3200" s="1390"/>
      <c r="H3200" s="1755">
        <f>BAG_Scenarios!D55</f>
        <v>0</v>
      </c>
    </row>
    <row r="3201" spans="2:8" ht="25.5" x14ac:dyDescent="0.2">
      <c r="B3201" s="1610" t="str">
        <f>BAG_Scenarios!$A$1</f>
        <v>BAG Scenarios</v>
      </c>
      <c r="C3201" s="1091" t="str">
        <f>BAG_Scenarios!$B$1</f>
        <v>BAG Szenarien</v>
      </c>
      <c r="D3201" s="1389" t="str">
        <f>BAG_Scenarios!$A$51</f>
        <v>BAG 4</v>
      </c>
      <c r="E3201" s="1390" t="str">
        <f>BAG_Scenarios!$A$56</f>
        <v>Abweichung in Leistungen</v>
      </c>
      <c r="F3201" s="1390">
        <f>BAG_Scenarios!$D$53</f>
        <v>0</v>
      </c>
      <c r="G3201" s="1390"/>
      <c r="H3201" s="1755">
        <f>BAG_Scenarios!D56</f>
        <v>0</v>
      </c>
    </row>
    <row r="3202" spans="2:8" ht="25.5" x14ac:dyDescent="0.2">
      <c r="B3202" s="1610" t="str">
        <f>BAG_Scenarios!$A$1</f>
        <v>BAG Scenarios</v>
      </c>
      <c r="C3202" s="1091" t="str">
        <f>BAG_Scenarios!$B$1</f>
        <v>BAG Szenarien</v>
      </c>
      <c r="D3202" s="2301" t="s">
        <v>2646</v>
      </c>
      <c r="E3202" s="2301"/>
      <c r="F3202" s="2301"/>
      <c r="G3202" s="2298"/>
      <c r="H3202" s="2301"/>
    </row>
    <row r="3203" spans="2:8" ht="25.5" x14ac:dyDescent="0.2">
      <c r="B3203" s="1610" t="str">
        <f>BAG_Scenarios!$A$1</f>
        <v>BAG Scenarios</v>
      </c>
      <c r="C3203" s="1091" t="str">
        <f>BAG_Scenarios!$B$1</f>
        <v>BAG Szenarien</v>
      </c>
      <c r="D3203" s="1389" t="str">
        <f>BAG_Scenarios!$A$51</f>
        <v>BAG 4</v>
      </c>
      <c r="E3203" s="1390" t="str">
        <f>BAG_Scenarios!$A$57</f>
        <v>Zusatzkosten</v>
      </c>
      <c r="F3203" s="1390">
        <f>BAG_Scenarios!$D$53</f>
        <v>0</v>
      </c>
      <c r="G3203" s="1390"/>
      <c r="H3203" s="1755">
        <f>BAG_Scenarios!D57</f>
        <v>0</v>
      </c>
    </row>
    <row r="3204" spans="2:8" ht="25.5" x14ac:dyDescent="0.2">
      <c r="B3204" s="1610" t="str">
        <f>BAG_Scenarios!$A$1</f>
        <v>BAG Scenarios</v>
      </c>
      <c r="C3204" s="1091" t="str">
        <f>BAG_Scenarios!$B$1</f>
        <v>BAG Szenarien</v>
      </c>
      <c r="D3204" s="1389" t="str">
        <f>BAG_Scenarios!$A$51</f>
        <v>BAG 4</v>
      </c>
      <c r="E3204" s="1390" t="str">
        <f>BAG_Scenarios!$A$54</f>
        <v>Erwarteter Schadenaufwand</v>
      </c>
      <c r="F3204" s="1390" t="str">
        <f>BAG_Scenarios!$E$53</f>
        <v>Zusatzkosten TOTAL</v>
      </c>
      <c r="G3204" s="1390"/>
      <c r="H3204" s="1743">
        <f>BAG_Scenarios!E54</f>
        <v>0</v>
      </c>
    </row>
    <row r="3205" spans="2:8" ht="25.5" x14ac:dyDescent="0.2">
      <c r="B3205" s="1610" t="str">
        <f>BAG_Scenarios!$A$1</f>
        <v>BAG Scenarios</v>
      </c>
      <c r="C3205" s="1091" t="str">
        <f>BAG_Scenarios!$B$1</f>
        <v>BAG Szenarien</v>
      </c>
      <c r="D3205" s="1389" t="str">
        <f>BAG_Scenarios!$A$51</f>
        <v>BAG 4</v>
      </c>
      <c r="E3205" s="1390" t="str">
        <f>BAG_Scenarios!$A$55</f>
        <v>Bestand</v>
      </c>
      <c r="F3205" s="1390" t="str">
        <f>BAG_Scenarios!$E$53</f>
        <v>Zusatzkosten TOTAL</v>
      </c>
      <c r="G3205" s="1390"/>
      <c r="H3205" s="1743">
        <f>BAG_Scenarios!E55</f>
        <v>0</v>
      </c>
    </row>
    <row r="3206" spans="2:8" ht="25.5" x14ac:dyDescent="0.2">
      <c r="B3206" s="1610" t="str">
        <f>BAG_Scenarios!$A$1</f>
        <v>BAG Scenarios</v>
      </c>
      <c r="C3206" s="1091" t="str">
        <f>BAG_Scenarios!$B$1</f>
        <v>BAG Szenarien</v>
      </c>
      <c r="D3206" s="1389" t="str">
        <f>BAG_Scenarios!$A$51</f>
        <v>BAG 4</v>
      </c>
      <c r="E3206" s="1390" t="str">
        <f>BAG_Scenarios!$A$56</f>
        <v>Abweichung in Leistungen</v>
      </c>
      <c r="F3206" s="1390" t="str">
        <f>BAG_Scenarios!$E$53</f>
        <v>Zusatzkosten TOTAL</v>
      </c>
      <c r="G3206" s="1390"/>
      <c r="H3206" s="1743">
        <f>BAG_Scenarios!E56</f>
        <v>0</v>
      </c>
    </row>
    <row r="3207" spans="2:8" ht="25.5" x14ac:dyDescent="0.2">
      <c r="B3207" s="1610" t="str">
        <f>BAG_Scenarios!$A$1</f>
        <v>BAG Scenarios</v>
      </c>
      <c r="C3207" s="1091" t="str">
        <f>BAG_Scenarios!$B$1</f>
        <v>BAG Szenarien</v>
      </c>
      <c r="D3207" s="2301" t="s">
        <v>2646</v>
      </c>
      <c r="E3207" s="2301"/>
      <c r="F3207" s="2301"/>
      <c r="G3207" s="2298"/>
      <c r="H3207" s="2301"/>
    </row>
    <row r="3208" spans="2:8" ht="25.5" x14ac:dyDescent="0.2">
      <c r="B3208" s="1610" t="str">
        <f>BAG_Scenarios!$A$1</f>
        <v>BAG Scenarios</v>
      </c>
      <c r="C3208" s="1091" t="str">
        <f>BAG_Scenarios!$B$1</f>
        <v>BAG Szenarien</v>
      </c>
      <c r="D3208" s="1389" t="str">
        <f>BAG_Scenarios!$A$51</f>
        <v>BAG 4</v>
      </c>
      <c r="E3208" s="1390" t="str">
        <f>BAG_Scenarios!$A$57</f>
        <v>Zusatzkosten</v>
      </c>
      <c r="F3208" s="1390" t="str">
        <f>BAG_Scenarios!$E$53</f>
        <v>Zusatzkosten TOTAL</v>
      </c>
      <c r="G3208" s="1390"/>
      <c r="H3208" s="1743">
        <f>BAG_Scenarios!E57</f>
        <v>0</v>
      </c>
    </row>
    <row r="3210" spans="2:8" x14ac:dyDescent="0.2">
      <c r="B3210" s="1083">
        <f>Scenarios!$A$1</f>
        <v>14</v>
      </c>
      <c r="C3210" s="1084" t="str">
        <f>Scenarios!$B$1</f>
        <v>Szenarien</v>
      </c>
      <c r="D3210" s="1091" t="str">
        <f>Scenarios!$D$13</f>
        <v>Eintritts-wahrscheinlichkeit</v>
      </c>
      <c r="E3210" s="1488" t="str">
        <f>Scenarios!$B$22</f>
        <v>Ungünstige Risikostruktur</v>
      </c>
      <c r="F3210" s="1561"/>
      <c r="G3210" s="1561"/>
      <c r="H3210" s="1755">
        <f>Scenarios!D22</f>
        <v>0.01</v>
      </c>
    </row>
    <row r="3211" spans="2:8" x14ac:dyDescent="0.2">
      <c r="B3211" s="1083">
        <f>Scenarios!$A$1</f>
        <v>14</v>
      </c>
      <c r="C3211" s="1084" t="str">
        <f>Scenarios!$B$1</f>
        <v>Szenarien</v>
      </c>
      <c r="D3211" s="1091" t="str">
        <f>Scenarios!$D$13</f>
        <v>Eintritts-wahrscheinlichkeit</v>
      </c>
      <c r="E3211" s="1505" t="str">
        <f>Scenarios!$B$26</f>
        <v>Zunahme Hochkostenfälle</v>
      </c>
      <c r="F3211" s="1759"/>
      <c r="G3211" s="1759"/>
      <c r="H3211" s="1755">
        <f>Scenarios!D26</f>
        <v>0.01</v>
      </c>
    </row>
    <row r="3212" spans="2:8" x14ac:dyDescent="0.2">
      <c r="B3212" s="1083">
        <f>Scenarios!$A$1</f>
        <v>14</v>
      </c>
      <c r="C3212" s="1084" t="str">
        <f>Scenarios!$B$1</f>
        <v>Szenarien</v>
      </c>
      <c r="D3212" s="1091" t="str">
        <f>Scenarios!$D$13</f>
        <v>Eintritts-wahrscheinlichkeit</v>
      </c>
      <c r="E3212" s="2301" t="s">
        <v>2646</v>
      </c>
      <c r="F3212" s="2298"/>
      <c r="G3212" s="2298"/>
      <c r="H3212" s="2298"/>
    </row>
    <row r="3213" spans="2:8" x14ac:dyDescent="0.2">
      <c r="B3213" s="1083">
        <f>Scenarios!$A$1</f>
        <v>14</v>
      </c>
      <c r="C3213" s="1084" t="str">
        <f>Scenarios!$B$1</f>
        <v>Szenarien</v>
      </c>
      <c r="D3213" s="1091" t="str">
        <f>Scenarios!$D$13</f>
        <v>Eintritts-wahrscheinlichkeit</v>
      </c>
      <c r="E3213" s="2301" t="s">
        <v>2646</v>
      </c>
      <c r="F3213" s="2298"/>
      <c r="G3213" s="2298"/>
      <c r="H3213" s="2298"/>
    </row>
    <row r="3214" spans="2:8" x14ac:dyDescent="0.2">
      <c r="B3214" s="1083">
        <f>Scenarios!$A$1</f>
        <v>14</v>
      </c>
      <c r="C3214" s="1084" t="str">
        <f>Scenarios!$B$1</f>
        <v>Szenarien</v>
      </c>
      <c r="D3214" s="1091" t="str">
        <f>Scenarios!$D$13</f>
        <v>Eintritts-wahrscheinlichkeit</v>
      </c>
      <c r="E3214" s="1505" t="str">
        <f>Scenarios!$B$34</f>
        <v>Leistungsszenario EU</v>
      </c>
      <c r="F3214" s="1759"/>
      <c r="G3214" s="1759"/>
      <c r="H3214" s="1755">
        <f>Scenarios!D34</f>
        <v>5.0000000000000001E-3</v>
      </c>
    </row>
    <row r="3215" spans="2:8" x14ac:dyDescent="0.2">
      <c r="B3215" s="1088">
        <f>Scenarios!$A$1</f>
        <v>14</v>
      </c>
      <c r="C3215" s="1089" t="str">
        <f>Scenarios!$B$1</f>
        <v>Szenarien</v>
      </c>
      <c r="D3215" s="1105" t="str">
        <f>Scenarios!$N$13</f>
        <v>Änderungen</v>
      </c>
      <c r="E3215" s="1488" t="str">
        <f>Scenarios!$B$22</f>
        <v>Ungünstige Risikostruktur</v>
      </c>
      <c r="F3215" s="1506"/>
      <c r="G3215" s="1506"/>
      <c r="H3215" s="1760">
        <f>Scenarios!P24</f>
        <v>0</v>
      </c>
    </row>
    <row r="3216" spans="2:8" x14ac:dyDescent="0.2">
      <c r="B3216" s="1088">
        <f>Scenarios!$A$1</f>
        <v>14</v>
      </c>
      <c r="C3216" s="1089" t="str">
        <f>Scenarios!$B$1</f>
        <v>Szenarien</v>
      </c>
      <c r="D3216" s="1105" t="str">
        <f>Scenarios!$N$13</f>
        <v>Änderungen</v>
      </c>
      <c r="E3216" s="1505" t="str">
        <f>Scenarios!$B$26</f>
        <v>Zunahme Hochkostenfälle</v>
      </c>
      <c r="F3216" s="1506"/>
      <c r="G3216" s="1506"/>
      <c r="H3216" s="1760">
        <f>Scenarios!P28</f>
        <v>0</v>
      </c>
    </row>
    <row r="3217" spans="1:20" x14ac:dyDescent="0.2">
      <c r="B3217" s="1088">
        <f>Scenarios!$A$1</f>
        <v>14</v>
      </c>
      <c r="C3217" s="1089" t="str">
        <f>Scenarios!$B$1</f>
        <v>Szenarien</v>
      </c>
      <c r="D3217" s="1105" t="str">
        <f>Scenarios!$N$13</f>
        <v>Änderungen</v>
      </c>
      <c r="E3217" s="2301" t="s">
        <v>2646</v>
      </c>
      <c r="F3217" s="2298"/>
      <c r="G3217" s="2298"/>
      <c r="H3217" s="2298"/>
    </row>
    <row r="3218" spans="1:20" x14ac:dyDescent="0.2">
      <c r="B3218" s="1088">
        <f>Scenarios!$A$1</f>
        <v>14</v>
      </c>
      <c r="C3218" s="1089" t="str">
        <f>Scenarios!$B$1</f>
        <v>Szenarien</v>
      </c>
      <c r="D3218" s="1105" t="str">
        <f>Scenarios!$N$13</f>
        <v>Änderungen</v>
      </c>
      <c r="E3218" s="2301" t="s">
        <v>2646</v>
      </c>
      <c r="F3218" s="2298"/>
      <c r="G3218" s="2298"/>
      <c r="H3218" s="2298"/>
    </row>
    <row r="3219" spans="1:20" x14ac:dyDescent="0.2">
      <c r="B3219" s="1088">
        <f>Scenarios!$A$1</f>
        <v>14</v>
      </c>
      <c r="C3219" s="1089" t="str">
        <f>Scenarios!$B$1</f>
        <v>Szenarien</v>
      </c>
      <c r="D3219" s="1105" t="str">
        <f>Scenarios!$N$13</f>
        <v>Änderungen</v>
      </c>
      <c r="E3219" s="1505" t="str">
        <f>Scenarios!$B$34</f>
        <v>Leistungsszenario EU</v>
      </c>
      <c r="F3219" s="1506"/>
      <c r="G3219" s="1506"/>
      <c r="H3219" s="1760">
        <f>Scenarios!P36</f>
        <v>0</v>
      </c>
    </row>
    <row r="3222" spans="1:20" ht="13.5" thickBot="1" x14ac:dyDescent="0.25">
      <c r="A3222" s="1813" t="s">
        <v>2161</v>
      </c>
    </row>
    <row r="3223" spans="1:20" x14ac:dyDescent="0.2">
      <c r="B3223" s="1080">
        <f>HE_Insurance_Risk!A$1</f>
        <v>37</v>
      </c>
      <c r="C3223" s="1082" t="str">
        <f>HE_Insurance_Risk!B$1</f>
        <v>Versicherungsrisiko</v>
      </c>
      <c r="D3223" s="1391" t="str">
        <f>HE_Insurance_Risk!$C$110</f>
        <v>Passive Rückversicherung KVG</v>
      </c>
      <c r="E3223" s="1392" t="str">
        <f>HE_Insurance_Risk!C$124</f>
        <v>K Kapazität (Mio. CHF)</v>
      </c>
      <c r="F3223" s="1492" t="str">
        <f>HE_Insurance_Risk!$L$97</f>
        <v>KVG-Taggeld Einzel</v>
      </c>
      <c r="G3223" s="1392"/>
      <c r="H3223" s="2173">
        <f>HE_Insurance_Risk!L$124</f>
        <v>0</v>
      </c>
    </row>
    <row r="3224" spans="1:20" x14ac:dyDescent="0.2">
      <c r="B3224" s="1083">
        <f>HE_Insurance_Risk!A$1</f>
        <v>37</v>
      </c>
      <c r="C3224" s="1091" t="str">
        <f>HE_Insurance_Risk!B$1</f>
        <v>Versicherungsrisiko</v>
      </c>
      <c r="D3224" s="1389" t="str">
        <f>HE_Insurance_Risk!$C$110</f>
        <v>Passive Rückversicherung KVG</v>
      </c>
      <c r="E3224" s="1390" t="str">
        <f>HE_Insurance_Risk!C$124</f>
        <v>K Kapazität (Mio. CHF)</v>
      </c>
      <c r="F3224" s="1494" t="str">
        <f>HE_Insurance_Risk!$N$97</f>
        <v>KVG-Taggeld Kollektiv</v>
      </c>
      <c r="G3224" s="1390"/>
      <c r="H3224" s="1106">
        <f>HE_Insurance_Risk!N$124</f>
        <v>0</v>
      </c>
    </row>
    <row r="3225" spans="1:20" x14ac:dyDescent="0.2">
      <c r="B3225" s="1083">
        <f>HE_Insurance_Risk!A$1</f>
        <v>37</v>
      </c>
      <c r="C3225" s="1091" t="str">
        <f>HE_Insurance_Risk!B$1</f>
        <v>Versicherungsrisiko</v>
      </c>
      <c r="D3225" s="1389" t="str">
        <f>HE_Insurance_Risk!$C$110</f>
        <v>Passive Rückversicherung KVG</v>
      </c>
      <c r="E3225" s="1390" t="str">
        <f>HE_Insurance_Risk!C$124</f>
        <v>K Kapazität (Mio. CHF)</v>
      </c>
      <c r="F3225" s="1494" t="str">
        <f>HE_Insurance_Risk!$R$97</f>
        <v>OKP CH</v>
      </c>
      <c r="G3225" s="1390"/>
      <c r="H3225" s="1106">
        <f>HE_Insurance_Risk!R$124</f>
        <v>0</v>
      </c>
    </row>
    <row r="3226" spans="1:20" x14ac:dyDescent="0.2">
      <c r="B3226" s="1083">
        <f>HE_Insurance_Risk!A$1</f>
        <v>37</v>
      </c>
      <c r="C3226" s="1091" t="str">
        <f>HE_Insurance_Risk!B$1</f>
        <v>Versicherungsrisiko</v>
      </c>
      <c r="D3226" s="1389" t="str">
        <f>HE_Insurance_Risk!$C$110</f>
        <v>Passive Rückversicherung KVG</v>
      </c>
      <c r="E3226" s="1390" t="str">
        <f>HE_Insurance_Risk!C$124</f>
        <v>K Kapazität (Mio. CHF)</v>
      </c>
      <c r="F3226" s="1494" t="str">
        <f>HE_Insurance_Risk!$T$97</f>
        <v>Aktive Rück-versicherung KVG</v>
      </c>
      <c r="G3226" s="1390"/>
      <c r="H3226" s="1106">
        <f>HE_Insurance_Risk!T$124</f>
        <v>0</v>
      </c>
    </row>
    <row r="3227" spans="1:20" x14ac:dyDescent="0.2">
      <c r="B3227" s="1083">
        <v>35</v>
      </c>
      <c r="C3227" s="2340" t="s">
        <v>2662</v>
      </c>
      <c r="D3227" s="2302"/>
      <c r="E3227" s="2298"/>
      <c r="F3227" s="1617"/>
      <c r="G3227" s="2298"/>
      <c r="H3227" s="2303"/>
      <c r="N3227" s="1028"/>
      <c r="O3227" s="1028"/>
      <c r="P3227" s="1028"/>
      <c r="Q3227" s="1028"/>
      <c r="R3227" s="1028"/>
      <c r="S3227" s="1028"/>
      <c r="T3227" s="1028"/>
    </row>
    <row r="3228" spans="1:20" x14ac:dyDescent="0.2">
      <c r="B3228" s="1083">
        <v>35</v>
      </c>
      <c r="C3228" s="2340" t="s">
        <v>2662</v>
      </c>
      <c r="D3228" s="2302"/>
      <c r="E3228" s="2298"/>
      <c r="F3228" s="1617"/>
      <c r="G3228" s="2298"/>
      <c r="H3228" s="2303"/>
      <c r="N3228" s="1028"/>
      <c r="O3228" s="1028"/>
      <c r="P3228" s="1028"/>
      <c r="Q3228" s="1028"/>
      <c r="R3228" s="1028"/>
      <c r="S3228" s="1028"/>
      <c r="T3228" s="1028"/>
    </row>
    <row r="3229" spans="1:20" x14ac:dyDescent="0.2">
      <c r="B3229" s="1083">
        <v>35</v>
      </c>
      <c r="C3229" s="2340" t="s">
        <v>2662</v>
      </c>
      <c r="D3229" s="2302"/>
      <c r="E3229" s="2298"/>
      <c r="F3229" s="1617"/>
      <c r="G3229" s="2298"/>
      <c r="H3229" s="2303"/>
      <c r="N3229" s="1028"/>
      <c r="O3229" s="1028"/>
      <c r="P3229" s="1028"/>
      <c r="Q3229" s="1028"/>
      <c r="R3229" s="1028"/>
      <c r="S3229" s="1028"/>
      <c r="T3229" s="1028"/>
    </row>
    <row r="3230" spans="1:20" x14ac:dyDescent="0.2">
      <c r="B3230" s="1083">
        <v>35</v>
      </c>
      <c r="C3230" s="2340" t="s">
        <v>2662</v>
      </c>
      <c r="D3230" s="2302"/>
      <c r="E3230" s="2298"/>
      <c r="F3230" s="1617"/>
      <c r="G3230" s="2298"/>
      <c r="H3230" s="2303"/>
      <c r="N3230" s="1028"/>
      <c r="O3230" s="1028"/>
      <c r="P3230" s="1028"/>
      <c r="Q3230" s="1028"/>
      <c r="R3230" s="1028"/>
      <c r="S3230" s="1028"/>
      <c r="T3230" s="1028"/>
    </row>
    <row r="3231" spans="1:20" x14ac:dyDescent="0.2">
      <c r="B3231" s="1083">
        <v>35</v>
      </c>
      <c r="C3231" s="2340" t="s">
        <v>2662</v>
      </c>
      <c r="D3231" s="2302"/>
      <c r="E3231" s="2298"/>
      <c r="F3231" s="1617"/>
      <c r="G3231" s="2298"/>
      <c r="H3231" s="2303"/>
      <c r="N3231" s="1028"/>
      <c r="O3231" s="1028"/>
      <c r="P3231" s="1028"/>
      <c r="Q3231" s="1028"/>
      <c r="R3231" s="1028"/>
      <c r="S3231" s="1028"/>
      <c r="T3231" s="1028"/>
    </row>
    <row r="3232" spans="1:20" x14ac:dyDescent="0.2">
      <c r="B3232" s="1083">
        <v>35</v>
      </c>
      <c r="C3232" s="2340" t="s">
        <v>2662</v>
      </c>
      <c r="D3232" s="2302"/>
      <c r="E3232" s="2298"/>
      <c r="F3232" s="1617"/>
      <c r="G3232" s="2298"/>
      <c r="H3232" s="2303"/>
      <c r="N3232" s="1028"/>
      <c r="O3232" s="1028"/>
      <c r="P3232" s="1028"/>
      <c r="Q3232" s="1028"/>
      <c r="R3232" s="1028"/>
      <c r="S3232" s="1028"/>
      <c r="T3232" s="1028"/>
    </row>
    <row r="3233" spans="2:8" x14ac:dyDescent="0.2">
      <c r="B3233" s="1083">
        <v>35</v>
      </c>
      <c r="C3233" s="2340" t="s">
        <v>2662</v>
      </c>
      <c r="D3233" s="2298"/>
      <c r="E3233" s="2298"/>
      <c r="F3233" s="2298"/>
      <c r="G3233" s="2304"/>
      <c r="H3233" s="2305"/>
    </row>
    <row r="3234" spans="2:8" x14ac:dyDescent="0.2">
      <c r="B3234" s="1083">
        <v>35</v>
      </c>
      <c r="C3234" s="2340" t="s">
        <v>2662</v>
      </c>
      <c r="D3234" s="2298"/>
      <c r="E3234" s="2298"/>
      <c r="F3234" s="2298"/>
      <c r="G3234" s="2304"/>
      <c r="H3234" s="2305"/>
    </row>
    <row r="3235" spans="2:8" x14ac:dyDescent="0.2">
      <c r="B3235" s="1083">
        <v>35</v>
      </c>
      <c r="C3235" s="2340" t="s">
        <v>2662</v>
      </c>
      <c r="D3235" s="2298"/>
      <c r="E3235" s="2298"/>
      <c r="F3235" s="2298"/>
      <c r="G3235" s="2304"/>
      <c r="H3235" s="2305"/>
    </row>
    <row r="3236" spans="2:8" x14ac:dyDescent="0.2">
      <c r="B3236" s="1083">
        <v>35</v>
      </c>
      <c r="C3236" s="2340" t="s">
        <v>2662</v>
      </c>
      <c r="D3236" s="2298"/>
      <c r="E3236" s="2298"/>
      <c r="F3236" s="2298"/>
      <c r="G3236" s="2304"/>
      <c r="H3236" s="2305"/>
    </row>
    <row r="3237" spans="2:8" x14ac:dyDescent="0.2">
      <c r="B3237" s="1083">
        <v>35</v>
      </c>
      <c r="C3237" s="2340" t="s">
        <v>2662</v>
      </c>
      <c r="D3237" s="2298"/>
      <c r="E3237" s="2298"/>
      <c r="F3237" s="2298"/>
      <c r="G3237" s="2304"/>
      <c r="H3237" s="2305"/>
    </row>
    <row r="3238" spans="2:8" x14ac:dyDescent="0.2">
      <c r="B3238" s="1083">
        <v>35</v>
      </c>
      <c r="C3238" s="2340" t="s">
        <v>2662</v>
      </c>
      <c r="D3238" s="2298"/>
      <c r="E3238" s="2298"/>
      <c r="F3238" s="2298"/>
      <c r="G3238" s="2304"/>
      <c r="H3238" s="2305"/>
    </row>
    <row r="3239" spans="2:8" x14ac:dyDescent="0.2">
      <c r="B3239" s="1083">
        <v>35</v>
      </c>
      <c r="C3239" s="2340" t="s">
        <v>2662</v>
      </c>
      <c r="D3239" s="2298"/>
      <c r="E3239" s="2298"/>
      <c r="F3239" s="2298"/>
      <c r="G3239" s="2304"/>
      <c r="H3239" s="2305"/>
    </row>
    <row r="3240" spans="2:8" x14ac:dyDescent="0.2">
      <c r="B3240" s="1083">
        <v>35</v>
      </c>
      <c r="C3240" s="2340" t="s">
        <v>2662</v>
      </c>
      <c r="D3240" s="2298"/>
      <c r="E3240" s="2298"/>
      <c r="F3240" s="2298"/>
      <c r="G3240" s="2304"/>
      <c r="H3240" s="2305"/>
    </row>
    <row r="3241" spans="2:8" x14ac:dyDescent="0.2">
      <c r="B3241" s="1083">
        <v>35</v>
      </c>
      <c r="C3241" s="2340" t="s">
        <v>2662</v>
      </c>
      <c r="D3241" s="2298"/>
      <c r="E3241" s="2298"/>
      <c r="F3241" s="2298"/>
      <c r="G3241" s="2304"/>
      <c r="H3241" s="2305"/>
    </row>
    <row r="3242" spans="2:8" x14ac:dyDescent="0.2">
      <c r="B3242" s="1083">
        <v>35</v>
      </c>
      <c r="C3242" s="2340" t="s">
        <v>2662</v>
      </c>
      <c r="D3242" s="2298"/>
      <c r="E3242" s="2298"/>
      <c r="F3242" s="2298"/>
      <c r="G3242" s="2304"/>
      <c r="H3242" s="2305"/>
    </row>
    <row r="3243" spans="2:8" x14ac:dyDescent="0.2">
      <c r="B3243" s="1083">
        <v>35</v>
      </c>
      <c r="C3243" s="2340" t="s">
        <v>2662</v>
      </c>
      <c r="D3243" s="2298"/>
      <c r="E3243" s="2298"/>
      <c r="F3243" s="2298"/>
      <c r="G3243" s="2304"/>
      <c r="H3243" s="2305"/>
    </row>
    <row r="3244" spans="2:8" x14ac:dyDescent="0.2">
      <c r="B3244" s="1083">
        <v>35</v>
      </c>
      <c r="C3244" s="2340" t="s">
        <v>2662</v>
      </c>
      <c r="D3244" s="2298"/>
      <c r="E3244" s="2298"/>
      <c r="F3244" s="2298"/>
      <c r="G3244" s="2304"/>
      <c r="H3244" s="2305"/>
    </row>
    <row r="3245" spans="2:8" x14ac:dyDescent="0.2">
      <c r="B3245" s="1083">
        <v>35</v>
      </c>
      <c r="C3245" s="2340" t="s">
        <v>2662</v>
      </c>
      <c r="D3245" s="2298"/>
      <c r="E3245" s="2298"/>
      <c r="F3245" s="2298"/>
      <c r="G3245" s="2304"/>
      <c r="H3245" s="2305"/>
    </row>
    <row r="3246" spans="2:8" x14ac:dyDescent="0.2">
      <c r="B3246" s="1083">
        <v>35</v>
      </c>
      <c r="C3246" s="2340" t="s">
        <v>2662</v>
      </c>
      <c r="D3246" s="2298"/>
      <c r="E3246" s="2298"/>
      <c r="F3246" s="2298"/>
      <c r="G3246" s="2304"/>
      <c r="H3246" s="2305"/>
    </row>
    <row r="3247" spans="2:8" x14ac:dyDescent="0.2">
      <c r="B3247" s="1083">
        <v>35</v>
      </c>
      <c r="C3247" s="2340" t="s">
        <v>2662</v>
      </c>
      <c r="D3247" s="2298"/>
      <c r="E3247" s="2298"/>
      <c r="F3247" s="2298"/>
      <c r="G3247" s="2304"/>
      <c r="H3247" s="2305"/>
    </row>
    <row r="3248" spans="2:8" x14ac:dyDescent="0.2">
      <c r="B3248" s="1083">
        <v>35</v>
      </c>
      <c r="C3248" s="2340" t="s">
        <v>2662</v>
      </c>
      <c r="D3248" s="2298"/>
      <c r="E3248" s="2298"/>
      <c r="F3248" s="2298"/>
      <c r="G3248" s="2304"/>
      <c r="H3248" s="2305"/>
    </row>
    <row r="3249" spans="2:8" x14ac:dyDescent="0.2">
      <c r="B3249" s="1083">
        <v>35</v>
      </c>
      <c r="C3249" s="2340" t="s">
        <v>2662</v>
      </c>
      <c r="D3249" s="2298"/>
      <c r="E3249" s="2298"/>
      <c r="F3249" s="2298"/>
      <c r="G3249" s="2304"/>
      <c r="H3249" s="2305"/>
    </row>
    <row r="3250" spans="2:8" x14ac:dyDescent="0.2">
      <c r="B3250" s="1083">
        <v>35</v>
      </c>
      <c r="C3250" s="2340" t="s">
        <v>2662</v>
      </c>
      <c r="D3250" s="2298"/>
      <c r="E3250" s="2298"/>
      <c r="F3250" s="2298"/>
      <c r="G3250" s="2304"/>
      <c r="H3250" s="2305"/>
    </row>
    <row r="3251" spans="2:8" x14ac:dyDescent="0.2">
      <c r="B3251" s="1083">
        <v>35</v>
      </c>
      <c r="C3251" s="2340" t="s">
        <v>2662</v>
      </c>
      <c r="D3251" s="2298"/>
      <c r="E3251" s="2298"/>
      <c r="F3251" s="2298"/>
      <c r="G3251" s="2304"/>
      <c r="H3251" s="2305"/>
    </row>
    <row r="3252" spans="2:8" x14ac:dyDescent="0.2">
      <c r="B3252" s="1083">
        <v>35</v>
      </c>
      <c r="C3252" s="2340" t="s">
        <v>2662</v>
      </c>
      <c r="D3252" s="2298"/>
      <c r="E3252" s="2298"/>
      <c r="F3252" s="2298"/>
      <c r="G3252" s="2304"/>
      <c r="H3252" s="2305"/>
    </row>
    <row r="3253" spans="2:8" x14ac:dyDescent="0.2">
      <c r="B3253" s="1083">
        <v>35</v>
      </c>
      <c r="C3253" s="2340" t="s">
        <v>2662</v>
      </c>
      <c r="D3253" s="2298"/>
      <c r="E3253" s="2298"/>
      <c r="F3253" s="2298"/>
      <c r="G3253" s="2304"/>
      <c r="H3253" s="2305"/>
    </row>
    <row r="3254" spans="2:8" x14ac:dyDescent="0.2">
      <c r="B3254" s="1083">
        <v>35</v>
      </c>
      <c r="C3254" s="2340" t="s">
        <v>2662</v>
      </c>
      <c r="D3254" s="2298"/>
      <c r="E3254" s="2298"/>
      <c r="F3254" s="2298"/>
      <c r="G3254" s="2304"/>
      <c r="H3254" s="2305"/>
    </row>
    <row r="3255" spans="2:8" x14ac:dyDescent="0.2">
      <c r="B3255" s="1083">
        <v>35</v>
      </c>
      <c r="C3255" s="2340" t="s">
        <v>2662</v>
      </c>
      <c r="D3255" s="2298"/>
      <c r="E3255" s="2298"/>
      <c r="F3255" s="2298"/>
      <c r="G3255" s="2304"/>
      <c r="H3255" s="2305"/>
    </row>
    <row r="3256" spans="2:8" x14ac:dyDescent="0.2">
      <c r="B3256" s="1083">
        <v>35</v>
      </c>
      <c r="C3256" s="2340" t="s">
        <v>2662</v>
      </c>
      <c r="D3256" s="2298"/>
      <c r="E3256" s="2298"/>
      <c r="F3256" s="2298"/>
      <c r="G3256" s="2304"/>
      <c r="H3256" s="2305"/>
    </row>
    <row r="3257" spans="2:8" x14ac:dyDescent="0.2">
      <c r="B3257" s="1083">
        <v>35</v>
      </c>
      <c r="C3257" s="2340" t="s">
        <v>2662</v>
      </c>
      <c r="D3257" s="2298"/>
      <c r="E3257" s="2298"/>
      <c r="F3257" s="2298"/>
      <c r="G3257" s="2304"/>
      <c r="H3257" s="2305"/>
    </row>
    <row r="3258" spans="2:8" x14ac:dyDescent="0.2">
      <c r="B3258" s="1083">
        <v>35</v>
      </c>
      <c r="C3258" s="2340" t="s">
        <v>2662</v>
      </c>
      <c r="D3258" s="2298"/>
      <c r="E3258" s="2298"/>
      <c r="F3258" s="2298"/>
      <c r="G3258" s="2304"/>
      <c r="H3258" s="2305"/>
    </row>
    <row r="3259" spans="2:8" x14ac:dyDescent="0.2">
      <c r="B3259" s="1083">
        <v>35</v>
      </c>
      <c r="C3259" s="2340" t="s">
        <v>2662</v>
      </c>
      <c r="D3259" s="2298"/>
      <c r="E3259" s="2298"/>
      <c r="F3259" s="2298"/>
      <c r="G3259" s="2304"/>
      <c r="H3259" s="2305"/>
    </row>
    <row r="3260" spans="2:8" x14ac:dyDescent="0.2">
      <c r="B3260" s="1083">
        <v>35</v>
      </c>
      <c r="C3260" s="2340" t="s">
        <v>2662</v>
      </c>
      <c r="D3260" s="2298"/>
      <c r="E3260" s="2298"/>
      <c r="F3260" s="2298"/>
      <c r="G3260" s="2304"/>
      <c r="H3260" s="2305"/>
    </row>
    <row r="3261" spans="2:8" x14ac:dyDescent="0.2">
      <c r="B3261" s="1083">
        <v>35</v>
      </c>
      <c r="C3261" s="2340" t="s">
        <v>2662</v>
      </c>
      <c r="D3261" s="2298"/>
      <c r="E3261" s="2298"/>
      <c r="F3261" s="2298"/>
      <c r="G3261" s="2304"/>
      <c r="H3261" s="2305"/>
    </row>
    <row r="3262" spans="2:8" x14ac:dyDescent="0.2">
      <c r="B3262" s="1083">
        <v>35</v>
      </c>
      <c r="C3262" s="2340" t="s">
        <v>2662</v>
      </c>
      <c r="D3262" s="2298"/>
      <c r="E3262" s="2298"/>
      <c r="F3262" s="2298"/>
      <c r="G3262" s="2304"/>
      <c r="H3262" s="2305"/>
    </row>
    <row r="3263" spans="2:8" x14ac:dyDescent="0.2">
      <c r="B3263" s="1083">
        <v>35</v>
      </c>
      <c r="C3263" s="2340" t="s">
        <v>2662</v>
      </c>
      <c r="D3263" s="2298"/>
      <c r="E3263" s="2298"/>
      <c r="F3263" s="2298"/>
      <c r="G3263" s="2304"/>
      <c r="H3263" s="2305"/>
    </row>
    <row r="3264" spans="2:8" x14ac:dyDescent="0.2">
      <c r="B3264" s="1083">
        <v>35</v>
      </c>
      <c r="C3264" s="2340" t="s">
        <v>2662</v>
      </c>
      <c r="D3264" s="2298"/>
      <c r="E3264" s="2298"/>
      <c r="F3264" s="2298"/>
      <c r="G3264" s="2304"/>
      <c r="H3264" s="2305"/>
    </row>
    <row r="3265" spans="2:8" x14ac:dyDescent="0.2">
      <c r="B3265" s="1083">
        <v>35</v>
      </c>
      <c r="C3265" s="2340" t="s">
        <v>2662</v>
      </c>
      <c r="D3265" s="2298"/>
      <c r="E3265" s="2298"/>
      <c r="F3265" s="2298"/>
      <c r="G3265" s="2304"/>
      <c r="H3265" s="2305"/>
    </row>
    <row r="3266" spans="2:8" x14ac:dyDescent="0.2">
      <c r="B3266" s="1083">
        <v>35</v>
      </c>
      <c r="C3266" s="2340" t="s">
        <v>2662</v>
      </c>
      <c r="D3266" s="2298"/>
      <c r="E3266" s="2298"/>
      <c r="F3266" s="2298"/>
      <c r="G3266" s="2304"/>
      <c r="H3266" s="2305"/>
    </row>
    <row r="3267" spans="2:8" x14ac:dyDescent="0.2">
      <c r="B3267" s="1083">
        <v>35</v>
      </c>
      <c r="C3267" s="2340" t="s">
        <v>2662</v>
      </c>
      <c r="D3267" s="2298"/>
      <c r="E3267" s="2298"/>
      <c r="F3267" s="2298"/>
      <c r="G3267" s="2304"/>
      <c r="H3267" s="2305"/>
    </row>
    <row r="3268" spans="2:8" x14ac:dyDescent="0.2">
      <c r="B3268" s="1083">
        <v>35</v>
      </c>
      <c r="C3268" s="2340" t="s">
        <v>2662</v>
      </c>
      <c r="D3268" s="2298"/>
      <c r="E3268" s="2298"/>
      <c r="F3268" s="2298"/>
      <c r="G3268" s="2304"/>
      <c r="H3268" s="2305"/>
    </row>
    <row r="3269" spans="2:8" x14ac:dyDescent="0.2">
      <c r="B3269" s="1083">
        <v>35</v>
      </c>
      <c r="C3269" s="2340" t="s">
        <v>2662</v>
      </c>
      <c r="D3269" s="2298"/>
      <c r="E3269" s="2298"/>
      <c r="F3269" s="2298"/>
      <c r="G3269" s="2304"/>
      <c r="H3269" s="2305"/>
    </row>
    <row r="3270" spans="2:8" x14ac:dyDescent="0.2">
      <c r="B3270" s="1083">
        <v>35</v>
      </c>
      <c r="C3270" s="2340" t="s">
        <v>2662</v>
      </c>
      <c r="D3270" s="2298"/>
      <c r="E3270" s="2298"/>
      <c r="F3270" s="2298"/>
      <c r="G3270" s="2304"/>
      <c r="H3270" s="2305"/>
    </row>
    <row r="3271" spans="2:8" x14ac:dyDescent="0.2">
      <c r="B3271" s="1083">
        <v>35</v>
      </c>
      <c r="C3271" s="2340" t="s">
        <v>2662</v>
      </c>
      <c r="D3271" s="2298"/>
      <c r="E3271" s="2298"/>
      <c r="F3271" s="2298"/>
      <c r="G3271" s="2304"/>
      <c r="H3271" s="2305"/>
    </row>
    <row r="3272" spans="2:8" x14ac:dyDescent="0.2">
      <c r="B3272" s="1083">
        <v>35</v>
      </c>
      <c r="C3272" s="2340" t="s">
        <v>2662</v>
      </c>
      <c r="D3272" s="2298"/>
      <c r="E3272" s="2298"/>
      <c r="F3272" s="2298"/>
      <c r="G3272" s="2304"/>
      <c r="H3272" s="2305"/>
    </row>
    <row r="3273" spans="2:8" x14ac:dyDescent="0.2">
      <c r="B3273" s="1083">
        <v>35</v>
      </c>
      <c r="C3273" s="2340" t="s">
        <v>2662</v>
      </c>
      <c r="D3273" s="2298"/>
      <c r="E3273" s="2298"/>
      <c r="F3273" s="2298"/>
      <c r="G3273" s="2304"/>
      <c r="H3273" s="2305"/>
    </row>
    <row r="3274" spans="2:8" x14ac:dyDescent="0.2">
      <c r="B3274" s="1083">
        <v>35</v>
      </c>
      <c r="C3274" s="2340" t="s">
        <v>2662</v>
      </c>
      <c r="D3274" s="2298"/>
      <c r="E3274" s="2298"/>
      <c r="F3274" s="2298"/>
      <c r="G3274" s="2304"/>
      <c r="H3274" s="2305"/>
    </row>
    <row r="3275" spans="2:8" x14ac:dyDescent="0.2">
      <c r="B3275" s="1083">
        <v>35</v>
      </c>
      <c r="C3275" s="2340" t="s">
        <v>2662</v>
      </c>
      <c r="D3275" s="2298"/>
      <c r="E3275" s="2298"/>
      <c r="F3275" s="2298"/>
      <c r="G3275" s="2304"/>
      <c r="H3275" s="2305"/>
    </row>
    <row r="3276" spans="2:8" x14ac:dyDescent="0.2">
      <c r="B3276" s="1083">
        <v>35</v>
      </c>
      <c r="C3276" s="2340" t="s">
        <v>2662</v>
      </c>
      <c r="D3276" s="2298"/>
      <c r="E3276" s="2298"/>
      <c r="F3276" s="2298"/>
      <c r="G3276" s="2304"/>
      <c r="H3276" s="2305"/>
    </row>
    <row r="3277" spans="2:8" x14ac:dyDescent="0.2">
      <c r="B3277" s="1083">
        <v>35</v>
      </c>
      <c r="C3277" s="2340" t="s">
        <v>2662</v>
      </c>
      <c r="D3277" s="2298"/>
      <c r="E3277" s="2298"/>
      <c r="F3277" s="2298"/>
      <c r="G3277" s="2304"/>
      <c r="H3277" s="2305"/>
    </row>
    <row r="3278" spans="2:8" x14ac:dyDescent="0.2">
      <c r="B3278" s="1083">
        <v>35</v>
      </c>
      <c r="C3278" s="2340" t="s">
        <v>2662</v>
      </c>
      <c r="D3278" s="2298"/>
      <c r="E3278" s="2298"/>
      <c r="F3278" s="2298"/>
      <c r="G3278" s="2304"/>
      <c r="H3278" s="2305"/>
    </row>
    <row r="3279" spans="2:8" x14ac:dyDescent="0.2">
      <c r="B3279" s="1083">
        <v>35</v>
      </c>
      <c r="C3279" s="2340" t="s">
        <v>2662</v>
      </c>
      <c r="D3279" s="2298"/>
      <c r="E3279" s="2298"/>
      <c r="F3279" s="2298"/>
      <c r="G3279" s="2304"/>
      <c r="H3279" s="2305"/>
    </row>
    <row r="3280" spans="2:8" x14ac:dyDescent="0.2">
      <c r="B3280" s="1083">
        <v>35</v>
      </c>
      <c r="C3280" s="2340" t="s">
        <v>2662</v>
      </c>
      <c r="D3280" s="2298"/>
      <c r="E3280" s="2298"/>
      <c r="F3280" s="2298"/>
      <c r="G3280" s="2304"/>
      <c r="H3280" s="2305"/>
    </row>
    <row r="3281" spans="2:8" x14ac:dyDescent="0.2">
      <c r="B3281" s="1083">
        <v>35</v>
      </c>
      <c r="C3281" s="2340" t="s">
        <v>2662</v>
      </c>
      <c r="D3281" s="2298"/>
      <c r="E3281" s="2298"/>
      <c r="F3281" s="2298"/>
      <c r="G3281" s="2304"/>
      <c r="H3281" s="2305"/>
    </row>
    <row r="3282" spans="2:8" x14ac:dyDescent="0.2">
      <c r="B3282" s="1083">
        <v>35</v>
      </c>
      <c r="C3282" s="2340" t="s">
        <v>2662</v>
      </c>
      <c r="D3282" s="2298"/>
      <c r="E3282" s="2298"/>
      <c r="F3282" s="2298"/>
      <c r="G3282" s="2304"/>
      <c r="H3282" s="2305"/>
    </row>
    <row r="3283" spans="2:8" x14ac:dyDescent="0.2">
      <c r="B3283" s="1083">
        <v>35</v>
      </c>
      <c r="C3283" s="2340" t="s">
        <v>2662</v>
      </c>
      <c r="D3283" s="2298"/>
      <c r="E3283" s="2298"/>
      <c r="F3283" s="2298"/>
      <c r="G3283" s="2304"/>
      <c r="H3283" s="2305"/>
    </row>
    <row r="3284" spans="2:8" x14ac:dyDescent="0.2">
      <c r="B3284" s="1083">
        <v>35</v>
      </c>
      <c r="C3284" s="2340" t="s">
        <v>2662</v>
      </c>
      <c r="D3284" s="2298"/>
      <c r="E3284" s="2298"/>
      <c r="F3284" s="2298"/>
      <c r="G3284" s="2304"/>
      <c r="H3284" s="2305"/>
    </row>
    <row r="3285" spans="2:8" x14ac:dyDescent="0.2">
      <c r="B3285" s="1083">
        <v>35</v>
      </c>
      <c r="C3285" s="2340" t="s">
        <v>2662</v>
      </c>
      <c r="D3285" s="2298"/>
      <c r="E3285" s="2298"/>
      <c r="F3285" s="2298"/>
      <c r="G3285" s="2304"/>
      <c r="H3285" s="2305"/>
    </row>
    <row r="3286" spans="2:8" x14ac:dyDescent="0.2">
      <c r="B3286" s="1083">
        <v>35</v>
      </c>
      <c r="C3286" s="2340" t="s">
        <v>2662</v>
      </c>
      <c r="D3286" s="2298"/>
      <c r="E3286" s="2298"/>
      <c r="F3286" s="2298"/>
      <c r="G3286" s="2304"/>
      <c r="H3286" s="2305"/>
    </row>
    <row r="3287" spans="2:8" x14ac:dyDescent="0.2">
      <c r="B3287" s="1083">
        <v>35</v>
      </c>
      <c r="C3287" s="2340" t="s">
        <v>2662</v>
      </c>
      <c r="D3287" s="2298"/>
      <c r="E3287" s="2298"/>
      <c r="F3287" s="2298"/>
      <c r="G3287" s="2304"/>
      <c r="H3287" s="2305"/>
    </row>
    <row r="3288" spans="2:8" x14ac:dyDescent="0.2">
      <c r="B3288" s="1083">
        <v>35</v>
      </c>
      <c r="C3288" s="2340" t="s">
        <v>2662</v>
      </c>
      <c r="D3288" s="2298"/>
      <c r="E3288" s="2298"/>
      <c r="F3288" s="2298"/>
      <c r="G3288" s="2304"/>
      <c r="H3288" s="2305"/>
    </row>
    <row r="3289" spans="2:8" x14ac:dyDescent="0.2">
      <c r="B3289" s="1083">
        <v>35</v>
      </c>
      <c r="C3289" s="2340" t="s">
        <v>2662</v>
      </c>
      <c r="D3289" s="2298"/>
      <c r="E3289" s="2298"/>
      <c r="F3289" s="2298"/>
      <c r="G3289" s="2304"/>
      <c r="H3289" s="2305"/>
    </row>
    <row r="3290" spans="2:8" x14ac:dyDescent="0.2">
      <c r="B3290" s="1083">
        <v>35</v>
      </c>
      <c r="C3290" s="2340" t="s">
        <v>2662</v>
      </c>
      <c r="D3290" s="2298"/>
      <c r="E3290" s="2298"/>
      <c r="F3290" s="2298"/>
      <c r="G3290" s="2304"/>
      <c r="H3290" s="2305"/>
    </row>
    <row r="3291" spans="2:8" x14ac:dyDescent="0.2">
      <c r="B3291" s="1083">
        <v>35</v>
      </c>
      <c r="C3291" s="2340" t="s">
        <v>2662</v>
      </c>
      <c r="D3291" s="2298"/>
      <c r="E3291" s="2298"/>
      <c r="F3291" s="2298"/>
      <c r="G3291" s="2304"/>
      <c r="H3291" s="2305"/>
    </row>
    <row r="3292" spans="2:8" x14ac:dyDescent="0.2">
      <c r="B3292" s="1083">
        <v>35</v>
      </c>
      <c r="C3292" s="2340" t="s">
        <v>2662</v>
      </c>
      <c r="D3292" s="2298"/>
      <c r="E3292" s="2298"/>
      <c r="F3292" s="2298"/>
      <c r="G3292" s="2304"/>
      <c r="H3292" s="2305"/>
    </row>
    <row r="3293" spans="2:8" x14ac:dyDescent="0.2">
      <c r="B3293" s="1083">
        <v>35</v>
      </c>
      <c r="C3293" s="2340" t="s">
        <v>2662</v>
      </c>
      <c r="D3293" s="2298"/>
      <c r="E3293" s="2298"/>
      <c r="F3293" s="2298"/>
      <c r="G3293" s="2304"/>
      <c r="H3293" s="2305"/>
    </row>
    <row r="3294" spans="2:8" x14ac:dyDescent="0.2">
      <c r="B3294" s="1083">
        <v>35</v>
      </c>
      <c r="C3294" s="2340" t="s">
        <v>2662</v>
      </c>
      <c r="D3294" s="2298"/>
      <c r="E3294" s="2298"/>
      <c r="F3294" s="2298"/>
      <c r="G3294" s="2304"/>
      <c r="H3294" s="2305"/>
    </row>
    <row r="3295" spans="2:8" x14ac:dyDescent="0.2">
      <c r="B3295" s="1083">
        <v>35</v>
      </c>
      <c r="C3295" s="2340" t="s">
        <v>2662</v>
      </c>
      <c r="D3295" s="2298"/>
      <c r="E3295" s="2298"/>
      <c r="F3295" s="2298"/>
      <c r="G3295" s="2304"/>
      <c r="H3295" s="2305"/>
    </row>
    <row r="3296" spans="2:8" x14ac:dyDescent="0.2">
      <c r="B3296" s="1083">
        <v>35</v>
      </c>
      <c r="C3296" s="2340" t="s">
        <v>2662</v>
      </c>
      <c r="D3296" s="2298"/>
      <c r="E3296" s="2298"/>
      <c r="F3296" s="2298"/>
      <c r="G3296" s="2304"/>
      <c r="H3296" s="2305"/>
    </row>
    <row r="3297" spans="2:8" x14ac:dyDescent="0.2">
      <c r="B3297" s="1083">
        <v>35</v>
      </c>
      <c r="C3297" s="2340" t="s">
        <v>2662</v>
      </c>
      <c r="D3297" s="2298"/>
      <c r="E3297" s="2298"/>
      <c r="F3297" s="2298"/>
      <c r="G3297" s="2304"/>
      <c r="H3297" s="2305"/>
    </row>
    <row r="3298" spans="2:8" x14ac:dyDescent="0.2">
      <c r="B3298" s="1083">
        <v>35</v>
      </c>
      <c r="C3298" s="2340" t="s">
        <v>2662</v>
      </c>
      <c r="D3298" s="2298"/>
      <c r="E3298" s="2298"/>
      <c r="F3298" s="2298"/>
      <c r="G3298" s="2304"/>
      <c r="H3298" s="2305"/>
    </row>
    <row r="3299" spans="2:8" x14ac:dyDescent="0.2">
      <c r="B3299" s="1083">
        <v>35</v>
      </c>
      <c r="C3299" s="2340" t="s">
        <v>2662</v>
      </c>
      <c r="D3299" s="2306"/>
      <c r="E3299" s="2307"/>
      <c r="F3299" s="2304"/>
      <c r="G3299" s="2304"/>
      <c r="H3299" s="2308"/>
    </row>
    <row r="3300" spans="2:8" x14ac:dyDescent="0.2">
      <c r="B3300" s="1083">
        <v>35</v>
      </c>
      <c r="C3300" s="2340" t="s">
        <v>2662</v>
      </c>
      <c r="D3300" s="2298"/>
      <c r="E3300" s="2298"/>
      <c r="F3300" s="2298"/>
      <c r="G3300" s="2304"/>
      <c r="H3300" s="2305"/>
    </row>
    <row r="3301" spans="2:8" x14ac:dyDescent="0.2">
      <c r="B3301" s="1083">
        <v>35</v>
      </c>
      <c r="C3301" s="2340" t="s">
        <v>2662</v>
      </c>
      <c r="D3301" s="2298"/>
      <c r="E3301" s="2298"/>
      <c r="F3301" s="2298"/>
      <c r="G3301" s="2304"/>
      <c r="H3301" s="2305"/>
    </row>
    <row r="3302" spans="2:8" x14ac:dyDescent="0.2">
      <c r="B3302" s="1083">
        <v>35</v>
      </c>
      <c r="C3302" s="2340" t="s">
        <v>2662</v>
      </c>
      <c r="D3302" s="2298"/>
      <c r="E3302" s="2298"/>
      <c r="F3302" s="2298"/>
      <c r="G3302" s="2304"/>
      <c r="H3302" s="2305"/>
    </row>
    <row r="3303" spans="2:8" x14ac:dyDescent="0.2">
      <c r="B3303" s="1083">
        <v>35</v>
      </c>
      <c r="C3303" s="2340" t="s">
        <v>2662</v>
      </c>
      <c r="D3303" s="2298"/>
      <c r="E3303" s="2298"/>
      <c r="F3303" s="2298"/>
      <c r="G3303" s="2304"/>
      <c r="H3303" s="2305"/>
    </row>
    <row r="3304" spans="2:8" x14ac:dyDescent="0.2">
      <c r="B3304" s="1083">
        <v>35</v>
      </c>
      <c r="C3304" s="2340" t="s">
        <v>2662</v>
      </c>
      <c r="D3304" s="2298"/>
      <c r="E3304" s="2298"/>
      <c r="F3304" s="2298"/>
      <c r="G3304" s="2304"/>
      <c r="H3304" s="2305"/>
    </row>
    <row r="3305" spans="2:8" x14ac:dyDescent="0.2">
      <c r="B3305" s="1083">
        <v>35</v>
      </c>
      <c r="C3305" s="2340" t="s">
        <v>2662</v>
      </c>
      <c r="D3305" s="2298"/>
      <c r="E3305" s="2298"/>
      <c r="F3305" s="2298"/>
      <c r="G3305" s="2304"/>
      <c r="H3305" s="2305"/>
    </row>
    <row r="3306" spans="2:8" x14ac:dyDescent="0.2">
      <c r="B3306" s="1083">
        <v>35</v>
      </c>
      <c r="C3306" s="2340" t="s">
        <v>2662</v>
      </c>
      <c r="D3306" s="2298"/>
      <c r="E3306" s="2298"/>
      <c r="F3306" s="2298"/>
      <c r="G3306" s="2304"/>
      <c r="H3306" s="2305"/>
    </row>
    <row r="3307" spans="2:8" x14ac:dyDescent="0.2">
      <c r="B3307" s="1083">
        <v>35</v>
      </c>
      <c r="C3307" s="2340" t="s">
        <v>2662</v>
      </c>
      <c r="D3307" s="2298"/>
      <c r="E3307" s="2298"/>
      <c r="F3307" s="2298"/>
      <c r="G3307" s="2304"/>
      <c r="H3307" s="2305"/>
    </row>
    <row r="3308" spans="2:8" x14ac:dyDescent="0.2">
      <c r="B3308" s="1083">
        <v>35</v>
      </c>
      <c r="C3308" s="2340" t="s">
        <v>2662</v>
      </c>
      <c r="D3308" s="2298"/>
      <c r="E3308" s="2298"/>
      <c r="F3308" s="2298"/>
      <c r="G3308" s="2304"/>
      <c r="H3308" s="2305"/>
    </row>
    <row r="3309" spans="2:8" x14ac:dyDescent="0.2">
      <c r="B3309" s="1083">
        <v>35</v>
      </c>
      <c r="C3309" s="2340" t="s">
        <v>2662</v>
      </c>
      <c r="D3309" s="2298"/>
      <c r="E3309" s="2298"/>
      <c r="F3309" s="2298"/>
      <c r="G3309" s="2304"/>
      <c r="H3309" s="2305"/>
    </row>
    <row r="3310" spans="2:8" x14ac:dyDescent="0.2">
      <c r="B3310" s="1083">
        <v>35</v>
      </c>
      <c r="C3310" s="2340" t="s">
        <v>2662</v>
      </c>
      <c r="D3310" s="2298"/>
      <c r="E3310" s="2298"/>
      <c r="F3310" s="2298"/>
      <c r="G3310" s="2304"/>
      <c r="H3310" s="2305"/>
    </row>
    <row r="3311" spans="2:8" x14ac:dyDescent="0.2">
      <c r="B3311" s="1083">
        <v>35</v>
      </c>
      <c r="C3311" s="2340" t="s">
        <v>2662</v>
      </c>
      <c r="D3311" s="2298"/>
      <c r="E3311" s="2298"/>
      <c r="F3311" s="2298"/>
      <c r="G3311" s="2304"/>
      <c r="H3311" s="2305"/>
    </row>
    <row r="3312" spans="2:8" x14ac:dyDescent="0.2">
      <c r="B3312" s="1083">
        <v>35</v>
      </c>
      <c r="C3312" s="2340" t="s">
        <v>2662</v>
      </c>
      <c r="D3312" s="2298"/>
      <c r="E3312" s="2298"/>
      <c r="F3312" s="2298"/>
      <c r="G3312" s="2304"/>
      <c r="H3312" s="2305"/>
    </row>
    <row r="3313" spans="2:8" x14ac:dyDescent="0.2">
      <c r="B3313" s="1083">
        <v>35</v>
      </c>
      <c r="C3313" s="2340" t="s">
        <v>2662</v>
      </c>
      <c r="D3313" s="2298"/>
      <c r="E3313" s="2298"/>
      <c r="F3313" s="2298"/>
      <c r="G3313" s="2304"/>
      <c r="H3313" s="2305"/>
    </row>
    <row r="3314" spans="2:8" x14ac:dyDescent="0.2">
      <c r="B3314" s="1083">
        <v>35</v>
      </c>
      <c r="C3314" s="2340" t="s">
        <v>2662</v>
      </c>
      <c r="D3314" s="2298"/>
      <c r="E3314" s="2298"/>
      <c r="F3314" s="2298"/>
      <c r="G3314" s="2304"/>
      <c r="H3314" s="2305"/>
    </row>
    <row r="3315" spans="2:8" x14ac:dyDescent="0.2">
      <c r="B3315" s="1083">
        <v>35</v>
      </c>
      <c r="C3315" s="2340" t="s">
        <v>2662</v>
      </c>
      <c r="D3315" s="2298"/>
      <c r="E3315" s="2298"/>
      <c r="F3315" s="2298"/>
      <c r="G3315" s="2304"/>
      <c r="H3315" s="2305"/>
    </row>
    <row r="3316" spans="2:8" x14ac:dyDescent="0.2">
      <c r="B3316" s="1083">
        <v>35</v>
      </c>
      <c r="C3316" s="2340" t="s">
        <v>2662</v>
      </c>
      <c r="D3316" s="2298"/>
      <c r="E3316" s="2298"/>
      <c r="F3316" s="2298"/>
      <c r="G3316" s="2304"/>
      <c r="H3316" s="2305"/>
    </row>
    <row r="3317" spans="2:8" x14ac:dyDescent="0.2">
      <c r="B3317" s="1083">
        <v>35</v>
      </c>
      <c r="C3317" s="2340" t="s">
        <v>2662</v>
      </c>
      <c r="D3317" s="2298"/>
      <c r="E3317" s="2298"/>
      <c r="F3317" s="2298"/>
      <c r="G3317" s="2304"/>
      <c r="H3317" s="2305"/>
    </row>
    <row r="3318" spans="2:8" x14ac:dyDescent="0.2">
      <c r="B3318" s="1083">
        <v>35</v>
      </c>
      <c r="C3318" s="2340" t="s">
        <v>2662</v>
      </c>
      <c r="D3318" s="2298"/>
      <c r="E3318" s="2298"/>
      <c r="F3318" s="2298"/>
      <c r="G3318" s="2304"/>
      <c r="H3318" s="2305"/>
    </row>
    <row r="3319" spans="2:8" x14ac:dyDescent="0.2">
      <c r="B3319" s="1083">
        <v>35</v>
      </c>
      <c r="C3319" s="2340" t="s">
        <v>2662</v>
      </c>
      <c r="D3319" s="2298"/>
      <c r="E3319" s="2298"/>
      <c r="F3319" s="2298"/>
      <c r="G3319" s="2304"/>
      <c r="H3319" s="2305"/>
    </row>
    <row r="3320" spans="2:8" x14ac:dyDescent="0.2">
      <c r="B3320" s="1083">
        <v>35</v>
      </c>
      <c r="C3320" s="2340" t="s">
        <v>2662</v>
      </c>
      <c r="D3320" s="2298"/>
      <c r="E3320" s="2298"/>
      <c r="F3320" s="2298"/>
      <c r="G3320" s="2304"/>
      <c r="H3320" s="2305"/>
    </row>
    <row r="3321" spans="2:8" x14ac:dyDescent="0.2">
      <c r="B3321" s="1083">
        <v>35</v>
      </c>
      <c r="C3321" s="2340" t="s">
        <v>2662</v>
      </c>
      <c r="D3321" s="2298"/>
      <c r="E3321" s="2298"/>
      <c r="F3321" s="2298"/>
      <c r="G3321" s="2304"/>
      <c r="H3321" s="2305"/>
    </row>
    <row r="3322" spans="2:8" x14ac:dyDescent="0.2">
      <c r="B3322" s="1083">
        <v>35</v>
      </c>
      <c r="C3322" s="2340" t="s">
        <v>2662</v>
      </c>
      <c r="D3322" s="2298"/>
      <c r="E3322" s="2298"/>
      <c r="F3322" s="2298"/>
      <c r="G3322" s="2304"/>
      <c r="H3322" s="2305"/>
    </row>
    <row r="3323" spans="2:8" x14ac:dyDescent="0.2">
      <c r="B3323" s="1083">
        <v>35</v>
      </c>
      <c r="C3323" s="2340" t="s">
        <v>2662</v>
      </c>
      <c r="D3323" s="2298"/>
      <c r="E3323" s="2298"/>
      <c r="F3323" s="2298"/>
      <c r="G3323" s="2304"/>
      <c r="H3323" s="2305"/>
    </row>
    <row r="3324" spans="2:8" x14ac:dyDescent="0.2">
      <c r="B3324" s="1083">
        <v>35</v>
      </c>
      <c r="C3324" s="2340" t="s">
        <v>2662</v>
      </c>
      <c r="D3324" s="2298"/>
      <c r="E3324" s="2298"/>
      <c r="F3324" s="2298"/>
      <c r="G3324" s="2304"/>
      <c r="H3324" s="2305"/>
    </row>
    <row r="3325" spans="2:8" x14ac:dyDescent="0.2">
      <c r="B3325" s="1083">
        <v>35</v>
      </c>
      <c r="C3325" s="2340" t="s">
        <v>2662</v>
      </c>
      <c r="D3325" s="2298"/>
      <c r="E3325" s="2298"/>
      <c r="F3325" s="2298"/>
      <c r="G3325" s="2304"/>
      <c r="H3325" s="2305"/>
    </row>
    <row r="3326" spans="2:8" x14ac:dyDescent="0.2">
      <c r="B3326" s="1083">
        <v>35</v>
      </c>
      <c r="C3326" s="2340" t="s">
        <v>2662</v>
      </c>
      <c r="D3326" s="2298"/>
      <c r="E3326" s="2298"/>
      <c r="F3326" s="2298"/>
      <c r="G3326" s="2304"/>
      <c r="H3326" s="2305"/>
    </row>
    <row r="3327" spans="2:8" x14ac:dyDescent="0.2">
      <c r="B3327" s="1083">
        <v>35</v>
      </c>
      <c r="C3327" s="2340" t="s">
        <v>2662</v>
      </c>
      <c r="D3327" s="2298"/>
      <c r="E3327" s="2298"/>
      <c r="F3327" s="2298"/>
      <c r="G3327" s="2304"/>
      <c r="H3327" s="2305"/>
    </row>
    <row r="3328" spans="2:8" x14ac:dyDescent="0.2">
      <c r="B3328" s="1083">
        <v>35</v>
      </c>
      <c r="C3328" s="2340" t="s">
        <v>2662</v>
      </c>
      <c r="D3328" s="2298"/>
      <c r="E3328" s="2298"/>
      <c r="F3328" s="2298"/>
      <c r="G3328" s="2304"/>
      <c r="H3328" s="2305"/>
    </row>
    <row r="3329" spans="2:8" x14ac:dyDescent="0.2">
      <c r="B3329" s="1083">
        <v>35</v>
      </c>
      <c r="C3329" s="2340" t="s">
        <v>2662</v>
      </c>
      <c r="D3329" s="2298"/>
      <c r="E3329" s="2298"/>
      <c r="F3329" s="2298"/>
      <c r="G3329" s="2304"/>
      <c r="H3329" s="2305"/>
    </row>
    <row r="3330" spans="2:8" x14ac:dyDescent="0.2">
      <c r="B3330" s="1083">
        <v>35</v>
      </c>
      <c r="C3330" s="2340" t="s">
        <v>2662</v>
      </c>
      <c r="D3330" s="2298"/>
      <c r="E3330" s="2298"/>
      <c r="F3330" s="2298"/>
      <c r="G3330" s="2304"/>
      <c r="H3330" s="2305"/>
    </row>
    <row r="3331" spans="2:8" x14ac:dyDescent="0.2">
      <c r="B3331" s="1083">
        <v>35</v>
      </c>
      <c r="C3331" s="2340" t="s">
        <v>2662</v>
      </c>
      <c r="D3331" s="2298"/>
      <c r="E3331" s="2298"/>
      <c r="F3331" s="2298"/>
      <c r="G3331" s="2304"/>
      <c r="H3331" s="2305"/>
    </row>
    <row r="3332" spans="2:8" x14ac:dyDescent="0.2">
      <c r="B3332" s="1083">
        <v>35</v>
      </c>
      <c r="C3332" s="2340" t="s">
        <v>2662</v>
      </c>
      <c r="D3332" s="2298"/>
      <c r="E3332" s="2298"/>
      <c r="F3332" s="2298"/>
      <c r="G3332" s="2304"/>
      <c r="H3332" s="2305"/>
    </row>
    <row r="3333" spans="2:8" x14ac:dyDescent="0.2">
      <c r="B3333" s="1083">
        <v>35</v>
      </c>
      <c r="C3333" s="2340" t="s">
        <v>2662</v>
      </c>
      <c r="D3333" s="2298"/>
      <c r="E3333" s="2298"/>
      <c r="F3333" s="2298"/>
      <c r="G3333" s="2304"/>
      <c r="H3333" s="2305"/>
    </row>
    <row r="3334" spans="2:8" x14ac:dyDescent="0.2">
      <c r="B3334" s="1083">
        <v>35</v>
      </c>
      <c r="C3334" s="2340" t="s">
        <v>2662</v>
      </c>
      <c r="D3334" s="2298"/>
      <c r="E3334" s="2298"/>
      <c r="F3334" s="2298"/>
      <c r="G3334" s="2304"/>
      <c r="H3334" s="2305"/>
    </row>
    <row r="3335" spans="2:8" x14ac:dyDescent="0.2">
      <c r="B3335" s="1083">
        <v>35</v>
      </c>
      <c r="C3335" s="2340" t="s">
        <v>2662</v>
      </c>
      <c r="D3335" s="2298"/>
      <c r="E3335" s="2298"/>
      <c r="F3335" s="2298"/>
      <c r="G3335" s="2304"/>
      <c r="H3335" s="2305"/>
    </row>
    <row r="3336" spans="2:8" x14ac:dyDescent="0.2">
      <c r="B3336" s="1083">
        <v>35</v>
      </c>
      <c r="C3336" s="2340" t="s">
        <v>2662</v>
      </c>
      <c r="D3336" s="2298"/>
      <c r="E3336" s="2298"/>
      <c r="F3336" s="2298"/>
      <c r="G3336" s="2304"/>
      <c r="H3336" s="2305"/>
    </row>
    <row r="3337" spans="2:8" x14ac:dyDescent="0.2">
      <c r="B3337" s="1083">
        <v>35</v>
      </c>
      <c r="C3337" s="2340" t="s">
        <v>2662</v>
      </c>
      <c r="D3337" s="2298"/>
      <c r="E3337" s="2298"/>
      <c r="F3337" s="2298"/>
      <c r="G3337" s="2304"/>
      <c r="H3337" s="2305"/>
    </row>
    <row r="3338" spans="2:8" x14ac:dyDescent="0.2">
      <c r="B3338" s="1083">
        <v>35</v>
      </c>
      <c r="C3338" s="2340" t="s">
        <v>2662</v>
      </c>
      <c r="D3338" s="2298"/>
      <c r="E3338" s="2298"/>
      <c r="F3338" s="2298"/>
      <c r="G3338" s="2304"/>
      <c r="H3338" s="2305"/>
    </row>
    <row r="3339" spans="2:8" x14ac:dyDescent="0.2">
      <c r="B3339" s="1083">
        <v>35</v>
      </c>
      <c r="C3339" s="2340" t="s">
        <v>2662</v>
      </c>
      <c r="D3339" s="2298"/>
      <c r="E3339" s="2298"/>
      <c r="F3339" s="2298"/>
      <c r="G3339" s="2304"/>
      <c r="H3339" s="2305"/>
    </row>
    <row r="3340" spans="2:8" x14ac:dyDescent="0.2">
      <c r="B3340" s="1083">
        <v>35</v>
      </c>
      <c r="C3340" s="2340" t="s">
        <v>2662</v>
      </c>
      <c r="D3340" s="2298"/>
      <c r="E3340" s="2298"/>
      <c r="F3340" s="2298"/>
      <c r="G3340" s="2304"/>
      <c r="H3340" s="2305"/>
    </row>
    <row r="3341" spans="2:8" x14ac:dyDescent="0.2">
      <c r="B3341" s="1083">
        <v>35</v>
      </c>
      <c r="C3341" s="2340" t="s">
        <v>2662</v>
      </c>
      <c r="D3341" s="2298"/>
      <c r="E3341" s="2298"/>
      <c r="F3341" s="2298"/>
      <c r="G3341" s="2304"/>
      <c r="H3341" s="2305"/>
    </row>
    <row r="3342" spans="2:8" x14ac:dyDescent="0.2">
      <c r="B3342" s="1083">
        <v>35</v>
      </c>
      <c r="C3342" s="2340" t="s">
        <v>2662</v>
      </c>
      <c r="D3342" s="2298"/>
      <c r="E3342" s="2298"/>
      <c r="F3342" s="2298"/>
      <c r="G3342" s="2304"/>
      <c r="H3342" s="2305"/>
    </row>
    <row r="3343" spans="2:8" x14ac:dyDescent="0.2">
      <c r="B3343" s="1083">
        <v>35</v>
      </c>
      <c r="C3343" s="2340" t="s">
        <v>2662</v>
      </c>
      <c r="D3343" s="2298"/>
      <c r="E3343" s="2298"/>
      <c r="F3343" s="2298"/>
      <c r="G3343" s="2304"/>
      <c r="H3343" s="2305"/>
    </row>
    <row r="3344" spans="2:8" x14ac:dyDescent="0.2">
      <c r="B3344" s="1083">
        <v>35</v>
      </c>
      <c r="C3344" s="2340" t="s">
        <v>2662</v>
      </c>
      <c r="D3344" s="2298"/>
      <c r="E3344" s="2298"/>
      <c r="F3344" s="2298"/>
      <c r="G3344" s="2304"/>
      <c r="H3344" s="2305"/>
    </row>
    <row r="3345" spans="2:8" x14ac:dyDescent="0.2">
      <c r="B3345" s="1083">
        <v>35</v>
      </c>
      <c r="C3345" s="2340" t="s">
        <v>2662</v>
      </c>
      <c r="D3345" s="2298"/>
      <c r="E3345" s="2298"/>
      <c r="F3345" s="2298"/>
      <c r="G3345" s="2304"/>
      <c r="H3345" s="2305"/>
    </row>
    <row r="3346" spans="2:8" x14ac:dyDescent="0.2">
      <c r="B3346" s="1083">
        <v>35</v>
      </c>
      <c r="C3346" s="2340" t="s">
        <v>2662</v>
      </c>
      <c r="D3346" s="2298"/>
      <c r="E3346" s="2298"/>
      <c r="F3346" s="2298"/>
      <c r="G3346" s="2304"/>
      <c r="H3346" s="2305"/>
    </row>
    <row r="3347" spans="2:8" x14ac:dyDescent="0.2">
      <c r="B3347" s="1083">
        <v>35</v>
      </c>
      <c r="C3347" s="2340" t="s">
        <v>2662</v>
      </c>
      <c r="D3347" s="2298"/>
      <c r="E3347" s="2298"/>
      <c r="F3347" s="2298"/>
      <c r="G3347" s="2304"/>
      <c r="H3347" s="2305"/>
    </row>
    <row r="3348" spans="2:8" x14ac:dyDescent="0.2">
      <c r="B3348" s="1083">
        <v>35</v>
      </c>
      <c r="C3348" s="2340" t="s">
        <v>2662</v>
      </c>
      <c r="D3348" s="2298"/>
      <c r="E3348" s="2298"/>
      <c r="F3348" s="2298"/>
      <c r="G3348" s="2304"/>
      <c r="H3348" s="2305"/>
    </row>
    <row r="3349" spans="2:8" x14ac:dyDescent="0.2">
      <c r="B3349" s="1083">
        <v>35</v>
      </c>
      <c r="C3349" s="2340" t="s">
        <v>2662</v>
      </c>
      <c r="D3349" s="2298"/>
      <c r="E3349" s="2298"/>
      <c r="F3349" s="2298"/>
      <c r="G3349" s="2304"/>
      <c r="H3349" s="2305"/>
    </row>
    <row r="3350" spans="2:8" x14ac:dyDescent="0.2">
      <c r="B3350" s="1083">
        <v>35</v>
      </c>
      <c r="C3350" s="2340" t="s">
        <v>2662</v>
      </c>
      <c r="D3350" s="2298"/>
      <c r="E3350" s="2298"/>
      <c r="F3350" s="2298"/>
      <c r="G3350" s="2304"/>
      <c r="H3350" s="2305"/>
    </row>
    <row r="3351" spans="2:8" x14ac:dyDescent="0.2">
      <c r="B3351" s="1083">
        <v>35</v>
      </c>
      <c r="C3351" s="2340" t="s">
        <v>2662</v>
      </c>
      <c r="D3351" s="2298"/>
      <c r="E3351" s="2298"/>
      <c r="F3351" s="2298"/>
      <c r="G3351" s="2304"/>
      <c r="H3351" s="2305"/>
    </row>
    <row r="3352" spans="2:8" x14ac:dyDescent="0.2">
      <c r="B3352" s="1083">
        <v>35</v>
      </c>
      <c r="C3352" s="2340" t="s">
        <v>2662</v>
      </c>
      <c r="D3352" s="2298"/>
      <c r="E3352" s="2298"/>
      <c r="F3352" s="2298"/>
      <c r="G3352" s="2304"/>
      <c r="H3352" s="2305"/>
    </row>
    <row r="3353" spans="2:8" x14ac:dyDescent="0.2">
      <c r="B3353" s="1083">
        <v>35</v>
      </c>
      <c r="C3353" s="2340" t="s">
        <v>2662</v>
      </c>
      <c r="D3353" s="2298"/>
      <c r="E3353" s="2298"/>
      <c r="F3353" s="2298"/>
      <c r="G3353" s="2304"/>
      <c r="H3353" s="2305"/>
    </row>
    <row r="3354" spans="2:8" x14ac:dyDescent="0.2">
      <c r="B3354" s="1083">
        <v>35</v>
      </c>
      <c r="C3354" s="2340" t="s">
        <v>2662</v>
      </c>
      <c r="D3354" s="2298"/>
      <c r="E3354" s="2298"/>
      <c r="F3354" s="2298"/>
      <c r="G3354" s="2304"/>
      <c r="H3354" s="2305"/>
    </row>
    <row r="3355" spans="2:8" x14ac:dyDescent="0.2">
      <c r="B3355" s="1083">
        <v>35</v>
      </c>
      <c r="C3355" s="2340" t="s">
        <v>2662</v>
      </c>
      <c r="D3355" s="2298"/>
      <c r="E3355" s="2298"/>
      <c r="F3355" s="2298"/>
      <c r="G3355" s="2304"/>
      <c r="H3355" s="2305"/>
    </row>
    <row r="3356" spans="2:8" x14ac:dyDescent="0.2">
      <c r="B3356" s="1083">
        <v>35</v>
      </c>
      <c r="C3356" s="2340" t="s">
        <v>2662</v>
      </c>
      <c r="D3356" s="2298"/>
      <c r="E3356" s="2298"/>
      <c r="F3356" s="2298"/>
      <c r="G3356" s="2304"/>
      <c r="H3356" s="2305"/>
    </row>
    <row r="3357" spans="2:8" x14ac:dyDescent="0.2">
      <c r="B3357" s="1083">
        <v>35</v>
      </c>
      <c r="C3357" s="2340" t="s">
        <v>2662</v>
      </c>
      <c r="D3357" s="2298"/>
      <c r="E3357" s="2298"/>
      <c r="F3357" s="2298"/>
      <c r="G3357" s="2304"/>
      <c r="H3357" s="2305"/>
    </row>
    <row r="3358" spans="2:8" x14ac:dyDescent="0.2">
      <c r="B3358" s="1083">
        <v>35</v>
      </c>
      <c r="C3358" s="2340" t="s">
        <v>2662</v>
      </c>
      <c r="D3358" s="2298"/>
      <c r="E3358" s="2298"/>
      <c r="F3358" s="2298"/>
      <c r="G3358" s="2304"/>
      <c r="H3358" s="2305"/>
    </row>
    <row r="3359" spans="2:8" x14ac:dyDescent="0.2">
      <c r="B3359" s="1083">
        <v>35</v>
      </c>
      <c r="C3359" s="2340" t="s">
        <v>2662</v>
      </c>
      <c r="D3359" s="2298"/>
      <c r="E3359" s="2298"/>
      <c r="F3359" s="2298"/>
      <c r="G3359" s="2304"/>
      <c r="H3359" s="2305"/>
    </row>
    <row r="3360" spans="2:8" x14ac:dyDescent="0.2">
      <c r="B3360" s="1083">
        <v>35</v>
      </c>
      <c r="C3360" s="2340" t="s">
        <v>2662</v>
      </c>
      <c r="D3360" s="2298"/>
      <c r="E3360" s="2298"/>
      <c r="F3360" s="2298"/>
      <c r="G3360" s="2304"/>
      <c r="H3360" s="2305"/>
    </row>
    <row r="3361" spans="2:8" x14ac:dyDescent="0.2">
      <c r="B3361" s="1083">
        <v>35</v>
      </c>
      <c r="C3361" s="2340" t="s">
        <v>2662</v>
      </c>
      <c r="D3361" s="2298"/>
      <c r="E3361" s="2298"/>
      <c r="F3361" s="2298"/>
      <c r="G3361" s="2304"/>
      <c r="H3361" s="2305"/>
    </row>
    <row r="3362" spans="2:8" x14ac:dyDescent="0.2">
      <c r="B3362" s="1083">
        <v>35</v>
      </c>
      <c r="C3362" s="2340" t="s">
        <v>2662</v>
      </c>
      <c r="D3362" s="2298"/>
      <c r="E3362" s="2298"/>
      <c r="F3362" s="2298"/>
      <c r="G3362" s="2304"/>
      <c r="H3362" s="2305"/>
    </row>
    <row r="3363" spans="2:8" x14ac:dyDescent="0.2">
      <c r="B3363" s="1083">
        <v>35</v>
      </c>
      <c r="C3363" s="2340" t="s">
        <v>2662</v>
      </c>
      <c r="D3363" s="2298"/>
      <c r="E3363" s="2298"/>
      <c r="F3363" s="2298"/>
      <c r="G3363" s="2304"/>
      <c r="H3363" s="2305"/>
    </row>
    <row r="3364" spans="2:8" x14ac:dyDescent="0.2">
      <c r="B3364" s="1083">
        <v>35</v>
      </c>
      <c r="C3364" s="2340" t="s">
        <v>2662</v>
      </c>
      <c r="D3364" s="2298"/>
      <c r="E3364" s="2298"/>
      <c r="F3364" s="2298"/>
      <c r="G3364" s="2304"/>
      <c r="H3364" s="2305"/>
    </row>
    <row r="3365" spans="2:8" x14ac:dyDescent="0.2">
      <c r="B3365" s="1083">
        <v>35</v>
      </c>
      <c r="C3365" s="2340" t="s">
        <v>2662</v>
      </c>
      <c r="D3365" s="2298"/>
      <c r="E3365" s="2298"/>
      <c r="F3365" s="2298"/>
      <c r="G3365" s="2304"/>
      <c r="H3365" s="2305"/>
    </row>
    <row r="3366" spans="2:8" x14ac:dyDescent="0.2">
      <c r="B3366" s="1083">
        <v>35</v>
      </c>
      <c r="C3366" s="2340" t="s">
        <v>2662</v>
      </c>
      <c r="D3366" s="2306"/>
      <c r="E3366" s="2307"/>
      <c r="F3366" s="2304"/>
      <c r="G3366" s="2304"/>
      <c r="H3366" s="2308"/>
    </row>
    <row r="3367" spans="2:8" x14ac:dyDescent="0.2">
      <c r="B3367" s="1083">
        <v>35</v>
      </c>
      <c r="C3367" s="2340" t="s">
        <v>2662</v>
      </c>
      <c r="D3367" s="2298"/>
      <c r="E3367" s="2298"/>
      <c r="F3367" s="2298"/>
      <c r="G3367" s="2304"/>
      <c r="H3367" s="2305"/>
    </row>
    <row r="3368" spans="2:8" x14ac:dyDescent="0.2">
      <c r="B3368" s="1083">
        <v>35</v>
      </c>
      <c r="C3368" s="2340" t="s">
        <v>2662</v>
      </c>
      <c r="D3368" s="2298"/>
      <c r="E3368" s="2298"/>
      <c r="F3368" s="2298"/>
      <c r="G3368" s="2304"/>
      <c r="H3368" s="2305"/>
    </row>
    <row r="3369" spans="2:8" x14ac:dyDescent="0.2">
      <c r="B3369" s="1083">
        <v>35</v>
      </c>
      <c r="C3369" s="2340" t="s">
        <v>2662</v>
      </c>
      <c r="D3369" s="2298"/>
      <c r="E3369" s="2298"/>
      <c r="F3369" s="2298"/>
      <c r="G3369" s="2304"/>
      <c r="H3369" s="2305"/>
    </row>
    <row r="3370" spans="2:8" x14ac:dyDescent="0.2">
      <c r="B3370" s="1083">
        <v>35</v>
      </c>
      <c r="C3370" s="2340" t="s">
        <v>2662</v>
      </c>
      <c r="D3370" s="2298"/>
      <c r="E3370" s="2298"/>
      <c r="F3370" s="2298"/>
      <c r="G3370" s="2304"/>
      <c r="H3370" s="2305"/>
    </row>
    <row r="3371" spans="2:8" x14ac:dyDescent="0.2">
      <c r="B3371" s="1083">
        <v>35</v>
      </c>
      <c r="C3371" s="2340" t="s">
        <v>2662</v>
      </c>
      <c r="D3371" s="2298"/>
      <c r="E3371" s="2298"/>
      <c r="F3371" s="2298"/>
      <c r="G3371" s="2304"/>
      <c r="H3371" s="2305"/>
    </row>
    <row r="3372" spans="2:8" x14ac:dyDescent="0.2">
      <c r="B3372" s="1083">
        <v>35</v>
      </c>
      <c r="C3372" s="2340" t="s">
        <v>2662</v>
      </c>
      <c r="D3372" s="2298"/>
      <c r="E3372" s="2298"/>
      <c r="F3372" s="2298"/>
      <c r="G3372" s="2304"/>
      <c r="H3372" s="2305"/>
    </row>
    <row r="3373" spans="2:8" x14ac:dyDescent="0.2">
      <c r="B3373" s="1083">
        <v>35</v>
      </c>
      <c r="C3373" s="2340" t="s">
        <v>2662</v>
      </c>
      <c r="D3373" s="2306"/>
      <c r="E3373" s="2307"/>
      <c r="F3373" s="2304"/>
      <c r="G3373" s="2304"/>
      <c r="H3373" s="2308"/>
    </row>
    <row r="3374" spans="2:8" x14ac:dyDescent="0.2">
      <c r="B3374" s="1083">
        <v>35</v>
      </c>
      <c r="C3374" s="2340" t="s">
        <v>2662</v>
      </c>
      <c r="D3374" s="2298"/>
      <c r="E3374" s="2298"/>
      <c r="F3374" s="2298"/>
      <c r="G3374" s="2304"/>
      <c r="H3374" s="2305"/>
    </row>
    <row r="3375" spans="2:8" x14ac:dyDescent="0.2">
      <c r="B3375" s="1083">
        <v>35</v>
      </c>
      <c r="C3375" s="2340" t="s">
        <v>2662</v>
      </c>
      <c r="D3375" s="2298"/>
      <c r="E3375" s="2298"/>
      <c r="F3375" s="2298"/>
      <c r="G3375" s="2304"/>
      <c r="H3375" s="2305"/>
    </row>
    <row r="3376" spans="2:8" x14ac:dyDescent="0.2">
      <c r="B3376" s="1083">
        <v>35</v>
      </c>
      <c r="C3376" s="2340" t="s">
        <v>2662</v>
      </c>
      <c r="D3376" s="2298"/>
      <c r="E3376" s="2298"/>
      <c r="F3376" s="2298"/>
      <c r="G3376" s="2304"/>
      <c r="H3376" s="2305"/>
    </row>
    <row r="3377" spans="2:8" x14ac:dyDescent="0.2">
      <c r="B3377" s="1083">
        <v>35</v>
      </c>
      <c r="C3377" s="2340" t="s">
        <v>2662</v>
      </c>
      <c r="D3377" s="2298"/>
      <c r="E3377" s="2298"/>
      <c r="F3377" s="2298"/>
      <c r="G3377" s="2304"/>
      <c r="H3377" s="2305"/>
    </row>
    <row r="3378" spans="2:8" x14ac:dyDescent="0.2">
      <c r="B3378" s="1083">
        <v>35</v>
      </c>
      <c r="C3378" s="2340" t="s">
        <v>2662</v>
      </c>
      <c r="D3378" s="2298"/>
      <c r="E3378" s="2298"/>
      <c r="F3378" s="2298"/>
      <c r="G3378" s="2304"/>
      <c r="H3378" s="2305"/>
    </row>
    <row r="3379" spans="2:8" x14ac:dyDescent="0.2">
      <c r="B3379" s="1083">
        <v>35</v>
      </c>
      <c r="C3379" s="2340" t="s">
        <v>2662</v>
      </c>
      <c r="D3379" s="2298"/>
      <c r="E3379" s="2298"/>
      <c r="F3379" s="2298"/>
      <c r="G3379" s="2304"/>
      <c r="H3379" s="2305"/>
    </row>
    <row r="3380" spans="2:8" x14ac:dyDescent="0.2">
      <c r="B3380" s="1083">
        <v>35</v>
      </c>
      <c r="C3380" s="2340" t="s">
        <v>2662</v>
      </c>
      <c r="D3380" s="2298"/>
      <c r="E3380" s="2298"/>
      <c r="F3380" s="2298"/>
      <c r="G3380" s="2304"/>
      <c r="H3380" s="2305"/>
    </row>
    <row r="3381" spans="2:8" x14ac:dyDescent="0.2">
      <c r="B3381" s="1083">
        <v>35</v>
      </c>
      <c r="C3381" s="2340" t="s">
        <v>2662</v>
      </c>
      <c r="D3381" s="2298"/>
      <c r="E3381" s="2298"/>
      <c r="F3381" s="2298"/>
      <c r="G3381" s="2304"/>
      <c r="H3381" s="2305"/>
    </row>
    <row r="3382" spans="2:8" x14ac:dyDescent="0.2">
      <c r="B3382" s="1083">
        <v>35</v>
      </c>
      <c r="C3382" s="2340" t="s">
        <v>2662</v>
      </c>
      <c r="D3382" s="2298"/>
      <c r="E3382" s="2298"/>
      <c r="F3382" s="2298"/>
      <c r="G3382" s="2304"/>
      <c r="H3382" s="2305"/>
    </row>
    <row r="3383" spans="2:8" x14ac:dyDescent="0.2">
      <c r="B3383" s="1083">
        <v>35</v>
      </c>
      <c r="C3383" s="2340" t="s">
        <v>2662</v>
      </c>
      <c r="D3383" s="2298"/>
      <c r="E3383" s="2298"/>
      <c r="F3383" s="2298"/>
      <c r="G3383" s="2304"/>
      <c r="H3383" s="2305"/>
    </row>
    <row r="3384" spans="2:8" x14ac:dyDescent="0.2">
      <c r="B3384" s="1083">
        <v>35</v>
      </c>
      <c r="C3384" s="2340" t="s">
        <v>2662</v>
      </c>
      <c r="D3384" s="2298"/>
      <c r="E3384" s="2298"/>
      <c r="F3384" s="2298"/>
      <c r="G3384" s="2304"/>
      <c r="H3384" s="2305"/>
    </row>
    <row r="3385" spans="2:8" x14ac:dyDescent="0.2">
      <c r="B3385" s="1083">
        <v>35</v>
      </c>
      <c r="C3385" s="2340" t="s">
        <v>2662</v>
      </c>
      <c r="D3385" s="2298"/>
      <c r="E3385" s="2298"/>
      <c r="F3385" s="2298"/>
      <c r="G3385" s="2304"/>
      <c r="H3385" s="2305"/>
    </row>
    <row r="3386" spans="2:8" x14ac:dyDescent="0.2">
      <c r="B3386" s="1083">
        <v>35</v>
      </c>
      <c r="C3386" s="2340" t="s">
        <v>2662</v>
      </c>
      <c r="D3386" s="2298"/>
      <c r="E3386" s="2298"/>
      <c r="F3386" s="2298"/>
      <c r="G3386" s="2304"/>
      <c r="H3386" s="2305"/>
    </row>
    <row r="3387" spans="2:8" x14ac:dyDescent="0.2">
      <c r="B3387" s="1083">
        <v>35</v>
      </c>
      <c r="C3387" s="2340" t="s">
        <v>2662</v>
      </c>
      <c r="D3387" s="2298"/>
      <c r="E3387" s="2298"/>
      <c r="F3387" s="2298"/>
      <c r="G3387" s="2304"/>
      <c r="H3387" s="2305"/>
    </row>
    <row r="3388" spans="2:8" x14ac:dyDescent="0.2">
      <c r="B3388" s="1083">
        <v>35</v>
      </c>
      <c r="C3388" s="2340" t="s">
        <v>2662</v>
      </c>
      <c r="D3388" s="2298"/>
      <c r="E3388" s="2298"/>
      <c r="F3388" s="2298"/>
      <c r="G3388" s="2304"/>
      <c r="H3388" s="2305"/>
    </row>
    <row r="3389" spans="2:8" x14ac:dyDescent="0.2">
      <c r="B3389" s="1083">
        <v>35</v>
      </c>
      <c r="C3389" s="2340" t="s">
        <v>2662</v>
      </c>
      <c r="D3389" s="2298"/>
      <c r="E3389" s="2298"/>
      <c r="F3389" s="2298"/>
      <c r="G3389" s="2304"/>
      <c r="H3389" s="2305"/>
    </row>
    <row r="3390" spans="2:8" x14ac:dyDescent="0.2">
      <c r="B3390" s="1083">
        <v>35</v>
      </c>
      <c r="C3390" s="2340" t="s">
        <v>2662</v>
      </c>
      <c r="D3390" s="2298"/>
      <c r="E3390" s="2298"/>
      <c r="F3390" s="2298"/>
      <c r="G3390" s="2304"/>
      <c r="H3390" s="2305"/>
    </row>
    <row r="3391" spans="2:8" x14ac:dyDescent="0.2">
      <c r="B3391" s="1083">
        <v>35</v>
      </c>
      <c r="C3391" s="2340" t="s">
        <v>2662</v>
      </c>
      <c r="D3391" s="2298"/>
      <c r="E3391" s="2298"/>
      <c r="F3391" s="2298"/>
      <c r="G3391" s="2304"/>
      <c r="H3391" s="2305"/>
    </row>
    <row r="3392" spans="2:8" x14ac:dyDescent="0.2">
      <c r="B3392" s="1083">
        <v>35</v>
      </c>
      <c r="C3392" s="2340" t="s">
        <v>2662</v>
      </c>
      <c r="D3392" s="2298"/>
      <c r="E3392" s="2298"/>
      <c r="F3392" s="2298"/>
      <c r="G3392" s="2304"/>
      <c r="H3392" s="2305"/>
    </row>
    <row r="3393" spans="2:8" x14ac:dyDescent="0.2">
      <c r="B3393" s="1083">
        <v>35</v>
      </c>
      <c r="C3393" s="2340" t="s">
        <v>2662</v>
      </c>
      <c r="D3393" s="2298"/>
      <c r="E3393" s="2298"/>
      <c r="F3393" s="2298"/>
      <c r="G3393" s="2304"/>
      <c r="H3393" s="2305"/>
    </row>
    <row r="3394" spans="2:8" x14ac:dyDescent="0.2">
      <c r="B3394" s="1083">
        <v>35</v>
      </c>
      <c r="C3394" s="2340" t="s">
        <v>2662</v>
      </c>
      <c r="D3394" s="2298"/>
      <c r="E3394" s="2298"/>
      <c r="F3394" s="2298"/>
      <c r="G3394" s="2304"/>
      <c r="H3394" s="2305"/>
    </row>
    <row r="3395" spans="2:8" x14ac:dyDescent="0.2">
      <c r="B3395" s="1083">
        <v>35</v>
      </c>
      <c r="C3395" s="2340" t="s">
        <v>2662</v>
      </c>
      <c r="D3395" s="2298"/>
      <c r="E3395" s="2298"/>
      <c r="F3395" s="2298"/>
      <c r="G3395" s="2304"/>
      <c r="H3395" s="2305"/>
    </row>
    <row r="3396" spans="2:8" x14ac:dyDescent="0.2">
      <c r="B3396" s="1083">
        <v>35</v>
      </c>
      <c r="C3396" s="2340" t="s">
        <v>2662</v>
      </c>
      <c r="D3396" s="2298"/>
      <c r="E3396" s="2298"/>
      <c r="F3396" s="2298"/>
      <c r="G3396" s="2304"/>
      <c r="H3396" s="2305"/>
    </row>
    <row r="3397" spans="2:8" x14ac:dyDescent="0.2">
      <c r="B3397" s="1083">
        <v>35</v>
      </c>
      <c r="C3397" s="2340" t="s">
        <v>2662</v>
      </c>
      <c r="D3397" s="2298"/>
      <c r="E3397" s="2298"/>
      <c r="F3397" s="2298"/>
      <c r="G3397" s="2304"/>
      <c r="H3397" s="2305"/>
    </row>
    <row r="3398" spans="2:8" x14ac:dyDescent="0.2">
      <c r="B3398" s="1083">
        <v>35</v>
      </c>
      <c r="C3398" s="2340" t="s">
        <v>2662</v>
      </c>
      <c r="D3398" s="2298"/>
      <c r="E3398" s="2298"/>
      <c r="F3398" s="2298"/>
      <c r="G3398" s="2304"/>
      <c r="H3398" s="2305"/>
    </row>
    <row r="3399" spans="2:8" x14ac:dyDescent="0.2">
      <c r="B3399" s="1083">
        <v>35</v>
      </c>
      <c r="C3399" s="2340" t="s">
        <v>2662</v>
      </c>
      <c r="D3399" s="2298"/>
      <c r="E3399" s="2298"/>
      <c r="F3399" s="2298"/>
      <c r="G3399" s="2304"/>
      <c r="H3399" s="2305"/>
    </row>
    <row r="3400" spans="2:8" x14ac:dyDescent="0.2">
      <c r="B3400" s="1083">
        <v>35</v>
      </c>
      <c r="C3400" s="2340" t="s">
        <v>2662</v>
      </c>
      <c r="D3400" s="2298"/>
      <c r="E3400" s="2298"/>
      <c r="F3400" s="2298"/>
      <c r="G3400" s="2304"/>
      <c r="H3400" s="2305"/>
    </row>
    <row r="3401" spans="2:8" x14ac:dyDescent="0.2">
      <c r="B3401" s="1083">
        <v>35</v>
      </c>
      <c r="C3401" s="2340" t="s">
        <v>2662</v>
      </c>
      <c r="D3401" s="2298"/>
      <c r="E3401" s="2298"/>
      <c r="F3401" s="2298"/>
      <c r="G3401" s="2304"/>
      <c r="H3401" s="2305"/>
    </row>
    <row r="3402" spans="2:8" x14ac:dyDescent="0.2">
      <c r="B3402" s="1083">
        <v>35</v>
      </c>
      <c r="C3402" s="2340" t="s">
        <v>2662</v>
      </c>
      <c r="D3402" s="2298"/>
      <c r="E3402" s="2298"/>
      <c r="F3402" s="2298"/>
      <c r="G3402" s="2304"/>
      <c r="H3402" s="2305"/>
    </row>
    <row r="3403" spans="2:8" x14ac:dyDescent="0.2">
      <c r="B3403" s="1083">
        <v>35</v>
      </c>
      <c r="C3403" s="2340" t="s">
        <v>2662</v>
      </c>
      <c r="D3403" s="2298"/>
      <c r="E3403" s="2298"/>
      <c r="F3403" s="2298"/>
      <c r="G3403" s="2304"/>
      <c r="H3403" s="2305"/>
    </row>
    <row r="3404" spans="2:8" x14ac:dyDescent="0.2">
      <c r="B3404" s="1083">
        <v>35</v>
      </c>
      <c r="C3404" s="2340" t="s">
        <v>2662</v>
      </c>
      <c r="D3404" s="2298"/>
      <c r="E3404" s="2298"/>
      <c r="F3404" s="2298"/>
      <c r="G3404" s="2304"/>
      <c r="H3404" s="2305"/>
    </row>
    <row r="3405" spans="2:8" x14ac:dyDescent="0.2">
      <c r="B3405" s="1083">
        <v>35</v>
      </c>
      <c r="C3405" s="2340" t="s">
        <v>2662</v>
      </c>
      <c r="D3405" s="2298"/>
      <c r="E3405" s="2298"/>
      <c r="F3405" s="2298"/>
      <c r="G3405" s="2304"/>
      <c r="H3405" s="2305"/>
    </row>
    <row r="3406" spans="2:8" x14ac:dyDescent="0.2">
      <c r="B3406" s="1083">
        <v>35</v>
      </c>
      <c r="C3406" s="2340" t="s">
        <v>2662</v>
      </c>
      <c r="D3406" s="2298"/>
      <c r="E3406" s="2298"/>
      <c r="F3406" s="2298"/>
      <c r="G3406" s="2304"/>
      <c r="H3406" s="2305"/>
    </row>
    <row r="3407" spans="2:8" x14ac:dyDescent="0.2">
      <c r="B3407" s="1083">
        <v>35</v>
      </c>
      <c r="C3407" s="2340" t="s">
        <v>2662</v>
      </c>
      <c r="D3407" s="2298"/>
      <c r="E3407" s="2298"/>
      <c r="F3407" s="2298"/>
      <c r="G3407" s="2304"/>
      <c r="H3407" s="2305"/>
    </row>
    <row r="3408" spans="2:8" x14ac:dyDescent="0.2">
      <c r="B3408" s="1083">
        <v>35</v>
      </c>
      <c r="C3408" s="2340" t="s">
        <v>2662</v>
      </c>
      <c r="D3408" s="2298"/>
      <c r="E3408" s="2298"/>
      <c r="F3408" s="2298"/>
      <c r="G3408" s="2304"/>
      <c r="H3408" s="2305"/>
    </row>
    <row r="3409" spans="2:8" x14ac:dyDescent="0.2">
      <c r="B3409" s="1083">
        <v>35</v>
      </c>
      <c r="C3409" s="2340" t="s">
        <v>2662</v>
      </c>
      <c r="D3409" s="2298"/>
      <c r="E3409" s="2298"/>
      <c r="F3409" s="2298"/>
      <c r="G3409" s="2304"/>
      <c r="H3409" s="2305"/>
    </row>
    <row r="3410" spans="2:8" x14ac:dyDescent="0.2">
      <c r="B3410" s="1083">
        <v>35</v>
      </c>
      <c r="C3410" s="2340" t="s">
        <v>2662</v>
      </c>
      <c r="D3410" s="2298"/>
      <c r="E3410" s="2298"/>
      <c r="F3410" s="2298"/>
      <c r="G3410" s="2304"/>
      <c r="H3410" s="2305"/>
    </row>
    <row r="3411" spans="2:8" x14ac:dyDescent="0.2">
      <c r="B3411" s="1083">
        <v>35</v>
      </c>
      <c r="C3411" s="2340" t="s">
        <v>2662</v>
      </c>
      <c r="D3411" s="2298"/>
      <c r="E3411" s="2298"/>
      <c r="F3411" s="2298"/>
      <c r="G3411" s="2304"/>
      <c r="H3411" s="2305"/>
    </row>
    <row r="3412" spans="2:8" x14ac:dyDescent="0.2">
      <c r="B3412" s="1083">
        <v>35</v>
      </c>
      <c r="C3412" s="2340" t="s">
        <v>2662</v>
      </c>
      <c r="D3412" s="2298"/>
      <c r="E3412" s="2298"/>
      <c r="F3412" s="2298"/>
      <c r="G3412" s="2304"/>
      <c r="H3412" s="2305"/>
    </row>
    <row r="3413" spans="2:8" x14ac:dyDescent="0.2">
      <c r="B3413" s="1083">
        <v>35</v>
      </c>
      <c r="C3413" s="2340" t="s">
        <v>2662</v>
      </c>
      <c r="D3413" s="2298"/>
      <c r="E3413" s="2298"/>
      <c r="F3413" s="2298"/>
      <c r="G3413" s="2304"/>
      <c r="H3413" s="2305"/>
    </row>
    <row r="3414" spans="2:8" x14ac:dyDescent="0.2">
      <c r="B3414" s="1083">
        <v>35</v>
      </c>
      <c r="C3414" s="2340" t="s">
        <v>2662</v>
      </c>
      <c r="D3414" s="2298"/>
      <c r="E3414" s="2298"/>
      <c r="F3414" s="2298"/>
      <c r="G3414" s="2304"/>
      <c r="H3414" s="2305"/>
    </row>
    <row r="3415" spans="2:8" x14ac:dyDescent="0.2">
      <c r="B3415" s="1083">
        <v>35</v>
      </c>
      <c r="C3415" s="2340" t="s">
        <v>2662</v>
      </c>
      <c r="D3415" s="2298"/>
      <c r="E3415" s="2298"/>
      <c r="F3415" s="2298"/>
      <c r="G3415" s="2304"/>
      <c r="H3415" s="2305"/>
    </row>
    <row r="3416" spans="2:8" x14ac:dyDescent="0.2">
      <c r="B3416" s="1083">
        <v>35</v>
      </c>
      <c r="C3416" s="2340" t="s">
        <v>2662</v>
      </c>
      <c r="D3416" s="2298"/>
      <c r="E3416" s="2298"/>
      <c r="F3416" s="2298"/>
      <c r="G3416" s="2304"/>
      <c r="H3416" s="2305"/>
    </row>
    <row r="3417" spans="2:8" x14ac:dyDescent="0.2">
      <c r="B3417" s="1083">
        <v>35</v>
      </c>
      <c r="C3417" s="2340" t="s">
        <v>2662</v>
      </c>
      <c r="D3417" s="2298"/>
      <c r="E3417" s="2298"/>
      <c r="F3417" s="2298"/>
      <c r="G3417" s="2304"/>
      <c r="H3417" s="2305"/>
    </row>
    <row r="3418" spans="2:8" x14ac:dyDescent="0.2">
      <c r="B3418" s="1083">
        <v>35</v>
      </c>
      <c r="C3418" s="2340" t="s">
        <v>2662</v>
      </c>
      <c r="D3418" s="2298"/>
      <c r="E3418" s="2298"/>
      <c r="F3418" s="2298"/>
      <c r="G3418" s="2304"/>
      <c r="H3418" s="2305"/>
    </row>
    <row r="3419" spans="2:8" x14ac:dyDescent="0.2">
      <c r="B3419" s="1083">
        <v>35</v>
      </c>
      <c r="C3419" s="2340" t="s">
        <v>2662</v>
      </c>
      <c r="D3419" s="2298"/>
      <c r="E3419" s="2298"/>
      <c r="F3419" s="2298"/>
      <c r="G3419" s="2304"/>
      <c r="H3419" s="2305"/>
    </row>
    <row r="3420" spans="2:8" x14ac:dyDescent="0.2">
      <c r="B3420" s="1083">
        <v>35</v>
      </c>
      <c r="C3420" s="2340" t="s">
        <v>2662</v>
      </c>
      <c r="D3420" s="2298"/>
      <c r="E3420" s="2298"/>
      <c r="F3420" s="2298"/>
      <c r="G3420" s="2304"/>
      <c r="H3420" s="2305"/>
    </row>
    <row r="3421" spans="2:8" x14ac:dyDescent="0.2">
      <c r="B3421" s="1083">
        <v>35</v>
      </c>
      <c r="C3421" s="2340" t="s">
        <v>2662</v>
      </c>
      <c r="D3421" s="2298"/>
      <c r="E3421" s="2298"/>
      <c r="F3421" s="2298"/>
      <c r="G3421" s="2304"/>
      <c r="H3421" s="2305"/>
    </row>
    <row r="3422" spans="2:8" x14ac:dyDescent="0.2">
      <c r="B3422" s="1083">
        <v>35</v>
      </c>
      <c r="C3422" s="2340" t="s">
        <v>2662</v>
      </c>
      <c r="D3422" s="2298"/>
      <c r="E3422" s="2298"/>
      <c r="F3422" s="2298"/>
      <c r="G3422" s="2304"/>
      <c r="H3422" s="2305"/>
    </row>
    <row r="3423" spans="2:8" x14ac:dyDescent="0.2">
      <c r="B3423" s="1083">
        <v>35</v>
      </c>
      <c r="C3423" s="2340" t="s">
        <v>2662</v>
      </c>
      <c r="D3423" s="2298"/>
      <c r="E3423" s="2298"/>
      <c r="F3423" s="2298"/>
      <c r="G3423" s="2304"/>
      <c r="H3423" s="2305"/>
    </row>
    <row r="3424" spans="2:8" x14ac:dyDescent="0.2">
      <c r="B3424" s="1083">
        <v>35</v>
      </c>
      <c r="C3424" s="2340" t="s">
        <v>2662</v>
      </c>
      <c r="D3424" s="2298"/>
      <c r="E3424" s="2298"/>
      <c r="F3424" s="2298"/>
      <c r="G3424" s="2304"/>
      <c r="H3424" s="2305"/>
    </row>
    <row r="3425" spans="1:20" x14ac:dyDescent="0.2">
      <c r="B3425" s="1083">
        <v>35</v>
      </c>
      <c r="C3425" s="2340" t="s">
        <v>2662</v>
      </c>
      <c r="D3425" s="2298"/>
      <c r="E3425" s="2298"/>
      <c r="F3425" s="2298"/>
      <c r="G3425" s="2304"/>
      <c r="H3425" s="2305"/>
    </row>
    <row r="3426" spans="1:20" x14ac:dyDescent="0.2">
      <c r="B3426" s="1083">
        <v>35</v>
      </c>
      <c r="C3426" s="2340" t="s">
        <v>2662</v>
      </c>
      <c r="D3426" s="2298"/>
      <c r="E3426" s="2298"/>
      <c r="F3426" s="2298"/>
      <c r="G3426" s="2304"/>
      <c r="H3426" s="2305"/>
    </row>
    <row r="3427" spans="1:20" x14ac:dyDescent="0.2">
      <c r="B3427" s="1083">
        <v>35</v>
      </c>
      <c r="C3427" s="2340" t="s">
        <v>2662</v>
      </c>
      <c r="D3427" s="2298"/>
      <c r="E3427" s="2298"/>
      <c r="F3427" s="2298"/>
      <c r="G3427" s="2304"/>
      <c r="H3427" s="2305"/>
    </row>
    <row r="3428" spans="1:20" x14ac:dyDescent="0.2">
      <c r="B3428" s="1083">
        <v>35</v>
      </c>
      <c r="C3428" s="2340" t="s">
        <v>2662</v>
      </c>
      <c r="D3428" s="2298"/>
      <c r="E3428" s="2298"/>
      <c r="F3428" s="2298"/>
      <c r="G3428" s="2304"/>
      <c r="H3428" s="2305"/>
    </row>
    <row r="3429" spans="1:20" x14ac:dyDescent="0.2">
      <c r="B3429" s="1083">
        <v>35</v>
      </c>
      <c r="C3429" s="2340" t="s">
        <v>2662</v>
      </c>
      <c r="D3429" s="2298"/>
      <c r="E3429" s="2298"/>
      <c r="F3429" s="2298"/>
      <c r="G3429" s="2304"/>
      <c r="H3429" s="2305"/>
    </row>
    <row r="3430" spans="1:20" x14ac:dyDescent="0.2">
      <c r="B3430" s="1083">
        <v>35</v>
      </c>
      <c r="C3430" s="2340" t="s">
        <v>2662</v>
      </c>
      <c r="D3430" s="2298"/>
      <c r="E3430" s="2298"/>
      <c r="F3430" s="2298"/>
      <c r="G3430" s="2304"/>
      <c r="H3430" s="2305"/>
    </row>
    <row r="3431" spans="1:20" x14ac:dyDescent="0.2">
      <c r="B3431" s="1083">
        <v>35</v>
      </c>
      <c r="C3431" s="2340" t="s">
        <v>2662</v>
      </c>
      <c r="D3431" s="2298"/>
      <c r="E3431" s="2298"/>
      <c r="F3431" s="2298"/>
      <c r="G3431" s="2304"/>
      <c r="H3431" s="2305"/>
    </row>
    <row r="3432" spans="1:20" x14ac:dyDescent="0.2">
      <c r="B3432" s="1083">
        <v>35</v>
      </c>
      <c r="C3432" s="2340" t="s">
        <v>2662</v>
      </c>
      <c r="D3432" s="2298"/>
      <c r="E3432" s="2298"/>
      <c r="F3432" s="2298"/>
      <c r="G3432" s="2304"/>
      <c r="H3432" s="2305"/>
    </row>
    <row r="3433" spans="1:20" x14ac:dyDescent="0.2">
      <c r="B3433" s="1083">
        <v>35</v>
      </c>
      <c r="C3433" s="2340" t="s">
        <v>2662</v>
      </c>
      <c r="D3433" s="2298"/>
      <c r="E3433" s="2298"/>
      <c r="F3433" s="2298"/>
      <c r="G3433" s="2304"/>
      <c r="H3433" s="2305"/>
    </row>
    <row r="3434" spans="1:20" x14ac:dyDescent="0.2">
      <c r="B3434" s="1083">
        <v>35</v>
      </c>
      <c r="C3434" s="2340" t="s">
        <v>2662</v>
      </c>
      <c r="D3434" s="2298"/>
      <c r="E3434" s="2298"/>
      <c r="F3434" s="2298"/>
      <c r="G3434" s="2304"/>
      <c r="H3434" s="2305"/>
    </row>
    <row r="3435" spans="1:20" x14ac:dyDescent="0.2">
      <c r="B3435" s="1083">
        <v>35</v>
      </c>
      <c r="C3435" s="2340" t="s">
        <v>2662</v>
      </c>
      <c r="D3435" s="2298"/>
      <c r="E3435" s="2298"/>
      <c r="F3435" s="2298"/>
      <c r="G3435" s="2304"/>
      <c r="H3435" s="2305"/>
    </row>
    <row r="3436" spans="1:20" x14ac:dyDescent="0.2">
      <c r="B3436" s="1083">
        <v>35</v>
      </c>
      <c r="C3436" s="2340" t="s">
        <v>2662</v>
      </c>
      <c r="D3436" s="2298"/>
      <c r="E3436" s="2298"/>
      <c r="F3436" s="2298"/>
      <c r="G3436" s="2304"/>
      <c r="H3436" s="2305"/>
    </row>
    <row r="3437" spans="1:20" x14ac:dyDescent="0.2">
      <c r="B3437" s="1083">
        <v>35</v>
      </c>
      <c r="C3437" s="2340" t="s">
        <v>2662</v>
      </c>
      <c r="D3437" s="2298"/>
      <c r="E3437" s="2298"/>
      <c r="F3437" s="2298"/>
      <c r="G3437" s="2304"/>
      <c r="H3437" s="2305"/>
    </row>
    <row r="3438" spans="1:20" x14ac:dyDescent="0.2">
      <c r="B3438" s="1083">
        <v>35</v>
      </c>
      <c r="C3438" s="2340" t="s">
        <v>2662</v>
      </c>
      <c r="D3438" s="2298"/>
      <c r="E3438" s="2298"/>
      <c r="F3438" s="2298"/>
      <c r="G3438" s="2304"/>
      <c r="H3438" s="2305"/>
    </row>
    <row r="3439" spans="1:20" x14ac:dyDescent="0.2">
      <c r="B3439" s="1083">
        <v>35</v>
      </c>
      <c r="C3439" s="2340" t="s">
        <v>2662</v>
      </c>
      <c r="D3439" s="2298"/>
      <c r="E3439" s="2298"/>
      <c r="F3439" s="2298"/>
      <c r="G3439" s="2304"/>
      <c r="H3439" s="2305"/>
    </row>
    <row r="3440" spans="1:20" x14ac:dyDescent="0.2">
      <c r="A3440" s="1027"/>
      <c r="B3440" s="1083">
        <f>Risk_Compensation!A$1</f>
        <v>36</v>
      </c>
      <c r="C3440" s="1091" t="str">
        <f>Risk_Compensation!B$1</f>
        <v xml:space="preserve">Risikoausgleich </v>
      </c>
      <c r="D3440" s="1389" t="str">
        <f>Risk_Compensation!C5</f>
        <v>Erwartungswert Risikoausgleich</v>
      </c>
      <c r="E3440" s="1390" t="str">
        <f>Risk_Compensation!F4</f>
        <v>Risiko-gruppe</v>
      </c>
      <c r="F3440" s="1494"/>
      <c r="G3440" s="1390"/>
      <c r="H3440" s="1106">
        <f>Risk_Compensation!F5</f>
        <v>0</v>
      </c>
      <c r="N3440" s="1028"/>
      <c r="O3440" s="1028"/>
      <c r="P3440" s="1028"/>
      <c r="Q3440" s="1028"/>
      <c r="R3440" s="1028"/>
      <c r="S3440" s="1028"/>
      <c r="T3440" s="1028"/>
    </row>
    <row r="3441" spans="1:20" x14ac:dyDescent="0.2">
      <c r="A3441" s="1027"/>
      <c r="B3441" s="1083">
        <f>Risk_Compensation!A$1</f>
        <v>36</v>
      </c>
      <c r="C3441" s="1091" t="str">
        <f>Risk_Compensation!B$1</f>
        <v xml:space="preserve">Risikoausgleich </v>
      </c>
      <c r="D3441" s="1389" t="str">
        <f>Risk_Compensation!C5</f>
        <v>Erwartungswert Risikoausgleich</v>
      </c>
      <c r="E3441" s="1390" t="str">
        <f>Risk_Compensation!H4</f>
        <v>PCG</v>
      </c>
      <c r="F3441" s="1494"/>
      <c r="G3441" s="1390"/>
      <c r="H3441" s="1106">
        <f>Risk_Compensation!H5</f>
        <v>0</v>
      </c>
      <c r="N3441" s="1028"/>
      <c r="O3441" s="1028"/>
      <c r="P3441" s="1028"/>
      <c r="Q3441" s="1028"/>
      <c r="R3441" s="1028"/>
      <c r="S3441" s="1028"/>
      <c r="T3441" s="1028"/>
    </row>
    <row r="3442" spans="1:20" x14ac:dyDescent="0.2">
      <c r="B3442" s="1083">
        <f>Risk_Compensation!A$1</f>
        <v>36</v>
      </c>
      <c r="C3442" s="1091" t="str">
        <f>Risk_Compensation!B$1</f>
        <v xml:space="preserve">Risikoausgleich </v>
      </c>
      <c r="D3442" s="1389" t="str">
        <f>Risk_Compensation!C5</f>
        <v>Erwartungswert Risikoausgleich</v>
      </c>
      <c r="E3442" s="1390" t="str">
        <f>Risk_Compensation!J4</f>
        <v>Total</v>
      </c>
      <c r="F3442" s="1494"/>
      <c r="G3442" s="1390"/>
      <c r="H3442" s="1106">
        <f>Risk_Compensation!J5</f>
        <v>0</v>
      </c>
      <c r="N3442" s="1028"/>
      <c r="O3442" s="1028"/>
      <c r="P3442" s="1028"/>
      <c r="Q3442" s="1028"/>
      <c r="R3442" s="1028"/>
      <c r="S3442" s="1028"/>
      <c r="T3442" s="1028"/>
    </row>
    <row r="3443" spans="1:20" x14ac:dyDescent="0.2">
      <c r="B3443" s="1083">
        <f>Risk_Compensation!A$1</f>
        <v>36</v>
      </c>
      <c r="C3443" s="1091" t="str">
        <f>Risk_Compensation!B$1</f>
        <v xml:space="preserve">Risikoausgleich </v>
      </c>
      <c r="D3443" s="1389" t="str">
        <f>Risk_Compensation!C7</f>
        <v>Standardabweichung Risikoausgleich</v>
      </c>
      <c r="E3443" s="1390"/>
      <c r="F3443" s="1494"/>
      <c r="G3443" s="1390"/>
      <c r="H3443" s="1106">
        <f>Risk_Compensation!J7</f>
        <v>0</v>
      </c>
      <c r="N3443" s="1028"/>
      <c r="O3443" s="1028"/>
      <c r="P3443" s="1028"/>
      <c r="Q3443" s="1028"/>
      <c r="R3443" s="1028"/>
      <c r="S3443" s="1028"/>
      <c r="T3443" s="1028"/>
    </row>
    <row r="3444" spans="1:20" x14ac:dyDescent="0.2">
      <c r="B3444" s="1083">
        <f>Risk_Compensation!A$1</f>
        <v>36</v>
      </c>
      <c r="C3444" s="1091" t="str">
        <f>Risk_Compensation!B$1</f>
        <v xml:space="preserve">Risikoausgleich </v>
      </c>
      <c r="D3444" s="1389" t="str">
        <f>Risk_Compensation!C8</f>
        <v>Standardabweichung Zufallsrisiko</v>
      </c>
      <c r="E3444" s="1390"/>
      <c r="F3444" s="1494"/>
      <c r="G3444" s="1390"/>
      <c r="H3444" s="1106">
        <f>Risk_Compensation!J8</f>
        <v>0</v>
      </c>
      <c r="N3444" s="1028"/>
      <c r="O3444" s="1028"/>
      <c r="P3444" s="1028"/>
      <c r="Q3444" s="1028"/>
      <c r="R3444" s="1028"/>
      <c r="S3444" s="1028"/>
      <c r="T3444" s="1028"/>
    </row>
    <row r="3445" spans="1:20" x14ac:dyDescent="0.2">
      <c r="B3445" s="1083">
        <f>Risk_Compensation!A$1</f>
        <v>36</v>
      </c>
      <c r="C3445" s="1091" t="str">
        <f>Risk_Compensation!B$1</f>
        <v xml:space="preserve">Risikoausgleich </v>
      </c>
      <c r="D3445" s="1389" t="str">
        <f>Risk_Compensation!C9</f>
        <v>Standardabweichung Parameterrisiko</v>
      </c>
      <c r="E3445" s="1390"/>
      <c r="F3445" s="1494"/>
      <c r="G3445" s="1390"/>
      <c r="H3445" s="1106">
        <f>Risk_Compensation!J9</f>
        <v>0</v>
      </c>
      <c r="N3445" s="1028"/>
      <c r="O3445" s="1028"/>
      <c r="P3445" s="1028"/>
      <c r="Q3445" s="1028"/>
      <c r="R3445" s="1028"/>
      <c r="S3445" s="1028"/>
      <c r="T3445" s="1028"/>
    </row>
    <row r="3446" spans="1:20" x14ac:dyDescent="0.2">
      <c r="A3446" s="1027"/>
      <c r="B3446" s="1083">
        <f>Risk_Compensation!A$1</f>
        <v>36</v>
      </c>
      <c r="C3446" s="1390" t="str">
        <f>Risk_Compensation!$B$1</f>
        <v xml:space="preserve">Risikoausgleich </v>
      </c>
      <c r="D3446" s="2205" t="s">
        <v>2572</v>
      </c>
      <c r="E3446" s="1390">
        <f>Risk_Compensation!$G18</f>
        <v>1</v>
      </c>
      <c r="F3446" s="1390" t="str">
        <f>Risk_Compensation!$H$17</f>
        <v>AG</v>
      </c>
      <c r="G3446" s="1390"/>
      <c r="H3446" s="1077">
        <f>Risk_Compensation!$H18</f>
        <v>0</v>
      </c>
      <c r="I3446" s="1275"/>
    </row>
    <row r="3447" spans="1:20" x14ac:dyDescent="0.2">
      <c r="A3447" s="1027"/>
      <c r="B3447" s="1083">
        <f>Risk_Compensation!A$1</f>
        <v>36</v>
      </c>
      <c r="C3447" s="1390" t="str">
        <f>Risk_Compensation!$B$1</f>
        <v xml:space="preserve">Risikoausgleich </v>
      </c>
      <c r="D3447" s="2205" t="s">
        <v>2572</v>
      </c>
      <c r="E3447" s="1390">
        <f>Risk_Compensation!$G19</f>
        <v>2</v>
      </c>
      <c r="F3447" s="1390" t="str">
        <f>Risk_Compensation!$H$17</f>
        <v>AG</v>
      </c>
      <c r="G3447" s="1390"/>
      <c r="H3447" s="1077">
        <f>Risk_Compensation!$H19</f>
        <v>0</v>
      </c>
    </row>
    <row r="3448" spans="1:20" x14ac:dyDescent="0.2">
      <c r="A3448" s="1027"/>
      <c r="B3448" s="1083">
        <f>Risk_Compensation!A$1</f>
        <v>36</v>
      </c>
      <c r="C3448" s="1390" t="str">
        <f>Risk_Compensation!$B$1</f>
        <v xml:space="preserve">Risikoausgleich </v>
      </c>
      <c r="D3448" s="2205" t="s">
        <v>2572</v>
      </c>
      <c r="E3448" s="1390">
        <f>Risk_Compensation!$G20</f>
        <v>3</v>
      </c>
      <c r="F3448" s="1390" t="str">
        <f>Risk_Compensation!$H$17</f>
        <v>AG</v>
      </c>
      <c r="G3448" s="1390"/>
      <c r="H3448" s="1077">
        <f>Risk_Compensation!$H20</f>
        <v>0</v>
      </c>
    </row>
    <row r="3449" spans="1:20" x14ac:dyDescent="0.2">
      <c r="A3449" s="1027"/>
      <c r="B3449" s="1083">
        <f>Risk_Compensation!A$1</f>
        <v>36</v>
      </c>
      <c r="C3449" s="1390" t="str">
        <f>Risk_Compensation!$B$1</f>
        <v xml:space="preserve">Risikoausgleich </v>
      </c>
      <c r="D3449" s="2205" t="s">
        <v>2572</v>
      </c>
      <c r="E3449" s="1390">
        <f>Risk_Compensation!$G21</f>
        <v>4</v>
      </c>
      <c r="F3449" s="1390" t="str">
        <f>Risk_Compensation!$H$17</f>
        <v>AG</v>
      </c>
      <c r="G3449" s="1390"/>
      <c r="H3449" s="1077">
        <f>Risk_Compensation!$H21</f>
        <v>0</v>
      </c>
    </row>
    <row r="3450" spans="1:20" x14ac:dyDescent="0.2">
      <c r="A3450" s="1027"/>
      <c r="B3450" s="1083">
        <f>Risk_Compensation!A$1</f>
        <v>36</v>
      </c>
      <c r="C3450" s="1390" t="str">
        <f>Risk_Compensation!$B$1</f>
        <v xml:space="preserve">Risikoausgleich </v>
      </c>
      <c r="D3450" s="2205" t="s">
        <v>2572</v>
      </c>
      <c r="E3450" s="1390">
        <f>Risk_Compensation!$G22</f>
        <v>5</v>
      </c>
      <c r="F3450" s="1390" t="str">
        <f>Risk_Compensation!$H$17</f>
        <v>AG</v>
      </c>
      <c r="G3450" s="1390"/>
      <c r="H3450" s="1077">
        <f>Risk_Compensation!$H22</f>
        <v>0</v>
      </c>
    </row>
    <row r="3451" spans="1:20" x14ac:dyDescent="0.2">
      <c r="A3451" s="1027"/>
      <c r="B3451" s="1083">
        <f>Risk_Compensation!A$1</f>
        <v>36</v>
      </c>
      <c r="C3451" s="1390" t="str">
        <f>Risk_Compensation!$B$1</f>
        <v xml:space="preserve">Risikoausgleich </v>
      </c>
      <c r="D3451" s="2205" t="s">
        <v>2572</v>
      </c>
      <c r="E3451" s="1390">
        <f>Risk_Compensation!$G23</f>
        <v>6</v>
      </c>
      <c r="F3451" s="1390" t="str">
        <f>Risk_Compensation!$H$17</f>
        <v>AG</v>
      </c>
      <c r="G3451" s="1390"/>
      <c r="H3451" s="1077">
        <f>Risk_Compensation!$H23</f>
        <v>0</v>
      </c>
    </row>
    <row r="3452" spans="1:20" x14ac:dyDescent="0.2">
      <c r="A3452" s="1027"/>
      <c r="B3452" s="1083">
        <f>Risk_Compensation!A$1</f>
        <v>36</v>
      </c>
      <c r="C3452" s="1390" t="str">
        <f>Risk_Compensation!$B$1</f>
        <v xml:space="preserve">Risikoausgleich </v>
      </c>
      <c r="D3452" s="2205" t="s">
        <v>2572</v>
      </c>
      <c r="E3452" s="1390">
        <f>Risk_Compensation!$G24</f>
        <v>7</v>
      </c>
      <c r="F3452" s="1390" t="str">
        <f>Risk_Compensation!$H$17</f>
        <v>AG</v>
      </c>
      <c r="G3452" s="1390"/>
      <c r="H3452" s="1077">
        <f>Risk_Compensation!$H24</f>
        <v>0</v>
      </c>
    </row>
    <row r="3453" spans="1:20" x14ac:dyDescent="0.2">
      <c r="A3453" s="1027"/>
      <c r="B3453" s="1083">
        <f>Risk_Compensation!A$1</f>
        <v>36</v>
      </c>
      <c r="C3453" s="1390" t="str">
        <f>Risk_Compensation!$B$1</f>
        <v xml:space="preserve">Risikoausgleich </v>
      </c>
      <c r="D3453" s="2205" t="s">
        <v>2572</v>
      </c>
      <c r="E3453" s="1390">
        <f>Risk_Compensation!$G25</f>
        <v>8</v>
      </c>
      <c r="F3453" s="1390" t="str">
        <f>Risk_Compensation!$H$17</f>
        <v>AG</v>
      </c>
      <c r="G3453" s="1390"/>
      <c r="H3453" s="1077">
        <f>Risk_Compensation!$H25</f>
        <v>0</v>
      </c>
    </row>
    <row r="3454" spans="1:20" x14ac:dyDescent="0.2">
      <c r="A3454" s="1027"/>
      <c r="B3454" s="1083">
        <f>Risk_Compensation!A$1</f>
        <v>36</v>
      </c>
      <c r="C3454" s="1390" t="str">
        <f>Risk_Compensation!$B$1</f>
        <v xml:space="preserve">Risikoausgleich </v>
      </c>
      <c r="D3454" s="2205" t="s">
        <v>2572</v>
      </c>
      <c r="E3454" s="1390">
        <f>Risk_Compensation!$G26</f>
        <v>9</v>
      </c>
      <c r="F3454" s="1390" t="str">
        <f>Risk_Compensation!$H$17</f>
        <v>AG</v>
      </c>
      <c r="G3454" s="1390"/>
      <c r="H3454" s="1077">
        <f>Risk_Compensation!$H26</f>
        <v>0</v>
      </c>
    </row>
    <row r="3455" spans="1:20" x14ac:dyDescent="0.2">
      <c r="A3455" s="1027"/>
      <c r="B3455" s="1083">
        <f>Risk_Compensation!A$1</f>
        <v>36</v>
      </c>
      <c r="C3455" s="1390" t="str">
        <f>Risk_Compensation!$B$1</f>
        <v xml:space="preserve">Risikoausgleich </v>
      </c>
      <c r="D3455" s="2205" t="s">
        <v>2572</v>
      </c>
      <c r="E3455" s="1390">
        <f>Risk_Compensation!$G27</f>
        <v>10</v>
      </c>
      <c r="F3455" s="1390" t="str">
        <f>Risk_Compensation!$H$17</f>
        <v>AG</v>
      </c>
      <c r="G3455" s="1390"/>
      <c r="H3455" s="1077">
        <f>Risk_Compensation!$H27</f>
        <v>0</v>
      </c>
    </row>
    <row r="3456" spans="1:20" x14ac:dyDescent="0.2">
      <c r="A3456" s="1027"/>
      <c r="B3456" s="1083">
        <f>Risk_Compensation!A$1</f>
        <v>36</v>
      </c>
      <c r="C3456" s="1390" t="str">
        <f>Risk_Compensation!$B$1</f>
        <v xml:space="preserve">Risikoausgleich </v>
      </c>
      <c r="D3456" s="2205" t="s">
        <v>2572</v>
      </c>
      <c r="E3456" s="1390">
        <f>Risk_Compensation!$G28</f>
        <v>11</v>
      </c>
      <c r="F3456" s="1390" t="str">
        <f>Risk_Compensation!$H$17</f>
        <v>AG</v>
      </c>
      <c r="G3456" s="1390"/>
      <c r="H3456" s="1077">
        <f>Risk_Compensation!$H28</f>
        <v>0</v>
      </c>
    </row>
    <row r="3457" spans="1:8" x14ac:dyDescent="0.2">
      <c r="A3457" s="1027"/>
      <c r="B3457" s="1083">
        <f>Risk_Compensation!A$1</f>
        <v>36</v>
      </c>
      <c r="C3457" s="1390" t="str">
        <f>Risk_Compensation!$B$1</f>
        <v xml:space="preserve">Risikoausgleich </v>
      </c>
      <c r="D3457" s="2205" t="s">
        <v>2572</v>
      </c>
      <c r="E3457" s="1390">
        <f>Risk_Compensation!$G29</f>
        <v>12</v>
      </c>
      <c r="F3457" s="1390" t="str">
        <f>Risk_Compensation!$H$17</f>
        <v>AG</v>
      </c>
      <c r="G3457" s="1390"/>
      <c r="H3457" s="1077">
        <f>Risk_Compensation!$H29</f>
        <v>0</v>
      </c>
    </row>
    <row r="3458" spans="1:8" x14ac:dyDescent="0.2">
      <c r="A3458" s="1027"/>
      <c r="B3458" s="1083">
        <f>Risk_Compensation!A$1</f>
        <v>36</v>
      </c>
      <c r="C3458" s="1390" t="str">
        <f>Risk_Compensation!$B$1</f>
        <v xml:space="preserve">Risikoausgleich </v>
      </c>
      <c r="D3458" s="2205" t="s">
        <v>2572</v>
      </c>
      <c r="E3458" s="1390">
        <f>Risk_Compensation!$G30</f>
        <v>13</v>
      </c>
      <c r="F3458" s="1390" t="str">
        <f>Risk_Compensation!$H$17</f>
        <v>AG</v>
      </c>
      <c r="G3458" s="1390"/>
      <c r="H3458" s="1077">
        <f>Risk_Compensation!$H30</f>
        <v>0</v>
      </c>
    </row>
    <row r="3459" spans="1:8" x14ac:dyDescent="0.2">
      <c r="A3459" s="1027"/>
      <c r="B3459" s="1083">
        <f>Risk_Compensation!A$1</f>
        <v>36</v>
      </c>
      <c r="C3459" s="1390" t="str">
        <f>Risk_Compensation!$B$1</f>
        <v xml:space="preserve">Risikoausgleich </v>
      </c>
      <c r="D3459" s="2205" t="s">
        <v>2572</v>
      </c>
      <c r="E3459" s="1390">
        <f>Risk_Compensation!$G31</f>
        <v>14</v>
      </c>
      <c r="F3459" s="1390" t="str">
        <f>Risk_Compensation!$H$17</f>
        <v>AG</v>
      </c>
      <c r="G3459" s="1390"/>
      <c r="H3459" s="1077">
        <f>Risk_Compensation!$H31</f>
        <v>0</v>
      </c>
    </row>
    <row r="3460" spans="1:8" x14ac:dyDescent="0.2">
      <c r="A3460" s="1027"/>
      <c r="B3460" s="1083">
        <f>Risk_Compensation!A$1</f>
        <v>36</v>
      </c>
      <c r="C3460" s="1390" t="str">
        <f>Risk_Compensation!$B$1</f>
        <v xml:space="preserve">Risikoausgleich </v>
      </c>
      <c r="D3460" s="2205" t="s">
        <v>2572</v>
      </c>
      <c r="E3460" s="1390">
        <f>Risk_Compensation!$G32</f>
        <v>15</v>
      </c>
      <c r="F3460" s="1390" t="str">
        <f>Risk_Compensation!$H$17</f>
        <v>AG</v>
      </c>
      <c r="G3460" s="1390"/>
      <c r="H3460" s="1077">
        <f>Risk_Compensation!$H32</f>
        <v>0</v>
      </c>
    </row>
    <row r="3461" spans="1:8" x14ac:dyDescent="0.2">
      <c r="A3461" s="1027"/>
      <c r="B3461" s="1083">
        <f>Risk_Compensation!A$1</f>
        <v>36</v>
      </c>
      <c r="C3461" s="1390" t="str">
        <f>Risk_Compensation!$B$1</f>
        <v xml:space="preserve">Risikoausgleich </v>
      </c>
      <c r="D3461" s="2205" t="s">
        <v>2572</v>
      </c>
      <c r="E3461" s="1390">
        <f>Risk_Compensation!$G33</f>
        <v>16</v>
      </c>
      <c r="F3461" s="1390" t="str">
        <f>Risk_Compensation!$H$17</f>
        <v>AG</v>
      </c>
      <c r="G3461" s="1390"/>
      <c r="H3461" s="1077">
        <f>Risk_Compensation!$H33</f>
        <v>0</v>
      </c>
    </row>
    <row r="3462" spans="1:8" x14ac:dyDescent="0.2">
      <c r="A3462" s="1027"/>
      <c r="B3462" s="1083">
        <f>Risk_Compensation!A$1</f>
        <v>36</v>
      </c>
      <c r="C3462" s="1390" t="str">
        <f>Risk_Compensation!$B$1</f>
        <v xml:space="preserve">Risikoausgleich </v>
      </c>
      <c r="D3462" s="2205" t="s">
        <v>2572</v>
      </c>
      <c r="E3462" s="1390">
        <f>Risk_Compensation!$G34</f>
        <v>17</v>
      </c>
      <c r="F3462" s="1390" t="str">
        <f>Risk_Compensation!$H$17</f>
        <v>AG</v>
      </c>
      <c r="G3462" s="1390"/>
      <c r="H3462" s="1077">
        <f>Risk_Compensation!$H34</f>
        <v>0</v>
      </c>
    </row>
    <row r="3463" spans="1:8" x14ac:dyDescent="0.2">
      <c r="A3463" s="1027"/>
      <c r="B3463" s="1083">
        <f>Risk_Compensation!A$1</f>
        <v>36</v>
      </c>
      <c r="C3463" s="1390" t="str">
        <f>Risk_Compensation!$B$1</f>
        <v xml:space="preserve">Risikoausgleich </v>
      </c>
      <c r="D3463" s="2205" t="s">
        <v>2572</v>
      </c>
      <c r="E3463" s="1390">
        <f>Risk_Compensation!$G35</f>
        <v>18</v>
      </c>
      <c r="F3463" s="1390" t="str">
        <f>Risk_Compensation!$H$17</f>
        <v>AG</v>
      </c>
      <c r="G3463" s="1390"/>
      <c r="H3463" s="1077">
        <f>Risk_Compensation!$H35</f>
        <v>0</v>
      </c>
    </row>
    <row r="3464" spans="1:8" x14ac:dyDescent="0.2">
      <c r="A3464" s="1027"/>
      <c r="B3464" s="1083">
        <f>Risk_Compensation!A$1</f>
        <v>36</v>
      </c>
      <c r="C3464" s="1390" t="str">
        <f>Risk_Compensation!$B$1</f>
        <v xml:space="preserve">Risikoausgleich </v>
      </c>
      <c r="D3464" s="2205" t="s">
        <v>2572</v>
      </c>
      <c r="E3464" s="1390">
        <f>Risk_Compensation!$G36</f>
        <v>19</v>
      </c>
      <c r="F3464" s="1390" t="str">
        <f>Risk_Compensation!$H$17</f>
        <v>AG</v>
      </c>
      <c r="G3464" s="1390"/>
      <c r="H3464" s="1077">
        <f>Risk_Compensation!$H36</f>
        <v>0</v>
      </c>
    </row>
    <row r="3465" spans="1:8" x14ac:dyDescent="0.2">
      <c r="A3465" s="1027"/>
      <c r="B3465" s="1083">
        <f>Risk_Compensation!A$1</f>
        <v>36</v>
      </c>
      <c r="C3465" s="1390" t="str">
        <f>Risk_Compensation!$B$1</f>
        <v xml:space="preserve">Risikoausgleich </v>
      </c>
      <c r="D3465" s="2205" t="s">
        <v>2572</v>
      </c>
      <c r="E3465" s="1390">
        <f>Risk_Compensation!$G37</f>
        <v>20</v>
      </c>
      <c r="F3465" s="1390" t="str">
        <f>Risk_Compensation!$H$17</f>
        <v>AG</v>
      </c>
      <c r="G3465" s="1390"/>
      <c r="H3465" s="1077">
        <f>Risk_Compensation!$H37</f>
        <v>0</v>
      </c>
    </row>
    <row r="3466" spans="1:8" x14ac:dyDescent="0.2">
      <c r="A3466" s="1027"/>
      <c r="B3466" s="1083">
        <f>Risk_Compensation!A$1</f>
        <v>36</v>
      </c>
      <c r="C3466" s="1390" t="str">
        <f>Risk_Compensation!$B$1</f>
        <v xml:space="preserve">Risikoausgleich </v>
      </c>
      <c r="D3466" s="2205" t="s">
        <v>2572</v>
      </c>
      <c r="E3466" s="1390">
        <f>Risk_Compensation!$G38</f>
        <v>21</v>
      </c>
      <c r="F3466" s="1390" t="str">
        <f>Risk_Compensation!$H$17</f>
        <v>AG</v>
      </c>
      <c r="G3466" s="1390"/>
      <c r="H3466" s="1077">
        <f>Risk_Compensation!$H38</f>
        <v>0</v>
      </c>
    </row>
    <row r="3467" spans="1:8" x14ac:dyDescent="0.2">
      <c r="A3467" s="1027"/>
      <c r="B3467" s="1083">
        <f>Risk_Compensation!A$1</f>
        <v>36</v>
      </c>
      <c r="C3467" s="1390" t="str">
        <f>Risk_Compensation!$B$1</f>
        <v xml:space="preserve">Risikoausgleich </v>
      </c>
      <c r="D3467" s="2205" t="s">
        <v>2572</v>
      </c>
      <c r="E3467" s="1390">
        <f>Risk_Compensation!$G39</f>
        <v>22</v>
      </c>
      <c r="F3467" s="1390" t="str">
        <f>Risk_Compensation!$H$17</f>
        <v>AG</v>
      </c>
      <c r="G3467" s="1390"/>
      <c r="H3467" s="1077">
        <f>Risk_Compensation!$H39</f>
        <v>0</v>
      </c>
    </row>
    <row r="3468" spans="1:8" x14ac:dyDescent="0.2">
      <c r="A3468" s="1027"/>
      <c r="B3468" s="1083">
        <f>Risk_Compensation!A$1</f>
        <v>36</v>
      </c>
      <c r="C3468" s="1390" t="str">
        <f>Risk_Compensation!$B$1</f>
        <v xml:space="preserve">Risikoausgleich </v>
      </c>
      <c r="D3468" s="2205" t="s">
        <v>2572</v>
      </c>
      <c r="E3468" s="1390">
        <f>Risk_Compensation!$G40</f>
        <v>23</v>
      </c>
      <c r="F3468" s="1390" t="str">
        <f>Risk_Compensation!$H$17</f>
        <v>AG</v>
      </c>
      <c r="G3468" s="1390"/>
      <c r="H3468" s="1077">
        <f>Risk_Compensation!$H40</f>
        <v>0</v>
      </c>
    </row>
    <row r="3469" spans="1:8" x14ac:dyDescent="0.2">
      <c r="A3469" s="1027"/>
      <c r="B3469" s="1083">
        <f>Risk_Compensation!A$1</f>
        <v>36</v>
      </c>
      <c r="C3469" s="1390" t="str">
        <f>Risk_Compensation!$B$1</f>
        <v xml:space="preserve">Risikoausgleich </v>
      </c>
      <c r="D3469" s="2205" t="s">
        <v>2572</v>
      </c>
      <c r="E3469" s="1390">
        <f>Risk_Compensation!$G41</f>
        <v>24</v>
      </c>
      <c r="F3469" s="1390" t="str">
        <f>Risk_Compensation!$H$17</f>
        <v>AG</v>
      </c>
      <c r="G3469" s="1390"/>
      <c r="H3469" s="1077">
        <f>Risk_Compensation!$H41</f>
        <v>0</v>
      </c>
    </row>
    <row r="3470" spans="1:8" x14ac:dyDescent="0.2">
      <c r="A3470" s="1027"/>
      <c r="B3470" s="1083">
        <f>Risk_Compensation!A$1</f>
        <v>36</v>
      </c>
      <c r="C3470" s="1390" t="str">
        <f>Risk_Compensation!$B$1</f>
        <v xml:space="preserve">Risikoausgleich </v>
      </c>
      <c r="D3470" s="2205" t="s">
        <v>2572</v>
      </c>
      <c r="E3470" s="1390">
        <f>Risk_Compensation!$G42</f>
        <v>25</v>
      </c>
      <c r="F3470" s="1390" t="str">
        <f>Risk_Compensation!$H$17</f>
        <v>AG</v>
      </c>
      <c r="G3470" s="1390"/>
      <c r="H3470" s="1077">
        <f>Risk_Compensation!$H42</f>
        <v>0</v>
      </c>
    </row>
    <row r="3471" spans="1:8" x14ac:dyDescent="0.2">
      <c r="A3471" s="1027"/>
      <c r="B3471" s="1083">
        <f>Risk_Compensation!A$1</f>
        <v>36</v>
      </c>
      <c r="C3471" s="1390" t="str">
        <f>Risk_Compensation!$B$1</f>
        <v xml:space="preserve">Risikoausgleich </v>
      </c>
      <c r="D3471" s="2205" t="s">
        <v>2572</v>
      </c>
      <c r="E3471" s="1390">
        <f>Risk_Compensation!$G43</f>
        <v>26</v>
      </c>
      <c r="F3471" s="1390" t="str">
        <f>Risk_Compensation!$H$17</f>
        <v>AG</v>
      </c>
      <c r="G3471" s="1390"/>
      <c r="H3471" s="1077">
        <f>Risk_Compensation!$H43</f>
        <v>0</v>
      </c>
    </row>
    <row r="3472" spans="1:8" x14ac:dyDescent="0.2">
      <c r="A3472" s="1027"/>
      <c r="B3472" s="1083">
        <f>Risk_Compensation!A$1</f>
        <v>36</v>
      </c>
      <c r="C3472" s="1390" t="str">
        <f>Risk_Compensation!$B$1</f>
        <v xml:space="preserve">Risikoausgleich </v>
      </c>
      <c r="D3472" s="2205" t="s">
        <v>2572</v>
      </c>
      <c r="E3472" s="1390">
        <f>Risk_Compensation!$G44</f>
        <v>27</v>
      </c>
      <c r="F3472" s="1390" t="str">
        <f>Risk_Compensation!$H$17</f>
        <v>AG</v>
      </c>
      <c r="G3472" s="1390"/>
      <c r="H3472" s="1077">
        <f>Risk_Compensation!$H44</f>
        <v>0</v>
      </c>
    </row>
    <row r="3473" spans="1:8" x14ac:dyDescent="0.2">
      <c r="A3473" s="1027"/>
      <c r="B3473" s="1083">
        <f>Risk_Compensation!A$1</f>
        <v>36</v>
      </c>
      <c r="C3473" s="1390" t="str">
        <f>Risk_Compensation!$B$1</f>
        <v xml:space="preserve">Risikoausgleich </v>
      </c>
      <c r="D3473" s="2205" t="s">
        <v>2572</v>
      </c>
      <c r="E3473" s="1390">
        <f>Risk_Compensation!$G45</f>
        <v>28</v>
      </c>
      <c r="F3473" s="1390" t="str">
        <f>Risk_Compensation!$H$17</f>
        <v>AG</v>
      </c>
      <c r="G3473" s="1390"/>
      <c r="H3473" s="1077">
        <f>Risk_Compensation!$H45</f>
        <v>0</v>
      </c>
    </row>
    <row r="3474" spans="1:8" x14ac:dyDescent="0.2">
      <c r="A3474" s="1027"/>
      <c r="B3474" s="1083">
        <f>Risk_Compensation!A$1</f>
        <v>36</v>
      </c>
      <c r="C3474" s="1390" t="str">
        <f>Risk_Compensation!$B$1</f>
        <v xml:space="preserve">Risikoausgleich </v>
      </c>
      <c r="D3474" s="2205" t="s">
        <v>2572</v>
      </c>
      <c r="E3474" s="1390">
        <f>Risk_Compensation!$G46</f>
        <v>29</v>
      </c>
      <c r="F3474" s="1390" t="str">
        <f>Risk_Compensation!$H$17</f>
        <v>AG</v>
      </c>
      <c r="G3474" s="1390"/>
      <c r="H3474" s="1077">
        <f>Risk_Compensation!$H46</f>
        <v>0</v>
      </c>
    </row>
    <row r="3475" spans="1:8" x14ac:dyDescent="0.2">
      <c r="A3475" s="1027"/>
      <c r="B3475" s="1083">
        <f>Risk_Compensation!A$1</f>
        <v>36</v>
      </c>
      <c r="C3475" s="1390" t="str">
        <f>Risk_Compensation!$B$1</f>
        <v xml:space="preserve">Risikoausgleich </v>
      </c>
      <c r="D3475" s="2205" t="s">
        <v>2572</v>
      </c>
      <c r="E3475" s="1390">
        <f>Risk_Compensation!$G47</f>
        <v>30</v>
      </c>
      <c r="F3475" s="1390" t="str">
        <f>Risk_Compensation!$H$17</f>
        <v>AG</v>
      </c>
      <c r="G3475" s="1390"/>
      <c r="H3475" s="1077">
        <f>Risk_Compensation!$H47</f>
        <v>0</v>
      </c>
    </row>
    <row r="3476" spans="1:8" x14ac:dyDescent="0.2">
      <c r="A3476" s="1027"/>
      <c r="B3476" s="1083">
        <f>Risk_Compensation!A$1</f>
        <v>36</v>
      </c>
      <c r="C3476" s="1390" t="str">
        <f>Risk_Compensation!$B$1</f>
        <v xml:space="preserve">Risikoausgleich </v>
      </c>
      <c r="D3476" s="2205" t="s">
        <v>2572</v>
      </c>
      <c r="E3476" s="1390">
        <f>Risk_Compensation!$G48</f>
        <v>31</v>
      </c>
      <c r="F3476" s="1390" t="str">
        <f>Risk_Compensation!$H$17</f>
        <v>AG</v>
      </c>
      <c r="G3476" s="1390"/>
      <c r="H3476" s="1077">
        <f>Risk_Compensation!$H48</f>
        <v>0</v>
      </c>
    </row>
    <row r="3477" spans="1:8" x14ac:dyDescent="0.2">
      <c r="A3477" s="1027"/>
      <c r="B3477" s="1083">
        <f>Risk_Compensation!A$1</f>
        <v>36</v>
      </c>
      <c r="C3477" s="1390" t="str">
        <f>Risk_Compensation!$B$1</f>
        <v xml:space="preserve">Risikoausgleich </v>
      </c>
      <c r="D3477" s="2205" t="s">
        <v>2572</v>
      </c>
      <c r="E3477" s="1390">
        <f>Risk_Compensation!$G49</f>
        <v>32</v>
      </c>
      <c r="F3477" s="1390" t="str">
        <f>Risk_Compensation!$H$17</f>
        <v>AG</v>
      </c>
      <c r="G3477" s="1390"/>
      <c r="H3477" s="1077">
        <f>Risk_Compensation!$H49</f>
        <v>0</v>
      </c>
    </row>
    <row r="3478" spans="1:8" x14ac:dyDescent="0.2">
      <c r="A3478" s="1027"/>
      <c r="B3478" s="1083">
        <f>Risk_Compensation!A$1</f>
        <v>36</v>
      </c>
      <c r="C3478" s="1390" t="str">
        <f>Risk_Compensation!$B$1</f>
        <v xml:space="preserve">Risikoausgleich </v>
      </c>
      <c r="D3478" s="2205" t="s">
        <v>2572</v>
      </c>
      <c r="E3478" s="1390">
        <f>Risk_Compensation!$G50</f>
        <v>33</v>
      </c>
      <c r="F3478" s="1390" t="str">
        <f>Risk_Compensation!$H$17</f>
        <v>AG</v>
      </c>
      <c r="G3478" s="1390"/>
      <c r="H3478" s="1077">
        <f>Risk_Compensation!$H50</f>
        <v>0</v>
      </c>
    </row>
    <row r="3479" spans="1:8" x14ac:dyDescent="0.2">
      <c r="A3479" s="1027"/>
      <c r="B3479" s="1083">
        <f>Risk_Compensation!A$1</f>
        <v>36</v>
      </c>
      <c r="C3479" s="1390" t="str">
        <f>Risk_Compensation!$B$1</f>
        <v xml:space="preserve">Risikoausgleich </v>
      </c>
      <c r="D3479" s="2205" t="s">
        <v>2572</v>
      </c>
      <c r="E3479" s="1390">
        <f>Risk_Compensation!$G51</f>
        <v>34</v>
      </c>
      <c r="F3479" s="1390" t="str">
        <f>Risk_Compensation!$H$17</f>
        <v>AG</v>
      </c>
      <c r="G3479" s="1390"/>
      <c r="H3479" s="1077">
        <f>Risk_Compensation!$H51</f>
        <v>0</v>
      </c>
    </row>
    <row r="3480" spans="1:8" x14ac:dyDescent="0.2">
      <c r="A3480" s="1027"/>
      <c r="B3480" s="1083">
        <f>Risk_Compensation!A$1</f>
        <v>36</v>
      </c>
      <c r="C3480" s="1390" t="str">
        <f>Risk_Compensation!$B$1</f>
        <v xml:space="preserve">Risikoausgleich </v>
      </c>
      <c r="D3480" s="2205" t="s">
        <v>2572</v>
      </c>
      <c r="E3480" s="1390">
        <f>Risk_Compensation!$G52</f>
        <v>35</v>
      </c>
      <c r="F3480" s="1390" t="str">
        <f>Risk_Compensation!$H$17</f>
        <v>AG</v>
      </c>
      <c r="G3480" s="1390"/>
      <c r="H3480" s="1077">
        <f>Risk_Compensation!$H52</f>
        <v>0</v>
      </c>
    </row>
    <row r="3481" spans="1:8" x14ac:dyDescent="0.2">
      <c r="A3481" s="1027"/>
      <c r="B3481" s="1083">
        <f>Risk_Compensation!A$1</f>
        <v>36</v>
      </c>
      <c r="C3481" s="1390" t="str">
        <f>Risk_Compensation!$B$1</f>
        <v xml:space="preserve">Risikoausgleich </v>
      </c>
      <c r="D3481" s="2205" t="s">
        <v>2572</v>
      </c>
      <c r="E3481" s="1390">
        <f>Risk_Compensation!$G53</f>
        <v>36</v>
      </c>
      <c r="F3481" s="1390" t="str">
        <f>Risk_Compensation!$H$17</f>
        <v>AG</v>
      </c>
      <c r="G3481" s="1390"/>
      <c r="H3481" s="1077">
        <f>Risk_Compensation!$H53</f>
        <v>0</v>
      </c>
    </row>
    <row r="3482" spans="1:8" x14ac:dyDescent="0.2">
      <c r="A3482" s="1027"/>
      <c r="B3482" s="1083">
        <f>Risk_Compensation!A$1</f>
        <v>36</v>
      </c>
      <c r="C3482" s="1390" t="str">
        <f>Risk_Compensation!$B$1</f>
        <v xml:space="preserve">Risikoausgleich </v>
      </c>
      <c r="D3482" s="2205" t="s">
        <v>2572</v>
      </c>
      <c r="E3482" s="1390">
        <f>Risk_Compensation!$G54</f>
        <v>37</v>
      </c>
      <c r="F3482" s="1390" t="str">
        <f>Risk_Compensation!$H$17</f>
        <v>AG</v>
      </c>
      <c r="G3482" s="1390"/>
      <c r="H3482" s="1077">
        <f>Risk_Compensation!$H54</f>
        <v>0</v>
      </c>
    </row>
    <row r="3483" spans="1:8" x14ac:dyDescent="0.2">
      <c r="A3483" s="1027"/>
      <c r="B3483" s="1083">
        <f>Risk_Compensation!A$1</f>
        <v>36</v>
      </c>
      <c r="C3483" s="1390" t="str">
        <f>Risk_Compensation!$B$1</f>
        <v xml:space="preserve">Risikoausgleich </v>
      </c>
      <c r="D3483" s="2205" t="s">
        <v>2572</v>
      </c>
      <c r="E3483" s="1390">
        <f>Risk_Compensation!$G55</f>
        <v>38</v>
      </c>
      <c r="F3483" s="1390" t="str">
        <f>Risk_Compensation!$H$17</f>
        <v>AG</v>
      </c>
      <c r="G3483" s="1390"/>
      <c r="H3483" s="1077">
        <f>Risk_Compensation!$H55</f>
        <v>0</v>
      </c>
    </row>
    <row r="3484" spans="1:8" x14ac:dyDescent="0.2">
      <c r="A3484" s="1027"/>
      <c r="B3484" s="1083">
        <f>Risk_Compensation!A$1</f>
        <v>36</v>
      </c>
      <c r="C3484" s="1390" t="str">
        <f>Risk_Compensation!$B$1</f>
        <v xml:space="preserve">Risikoausgleich </v>
      </c>
      <c r="D3484" s="2205" t="s">
        <v>2572</v>
      </c>
      <c r="E3484" s="1390">
        <f>Risk_Compensation!$G56</f>
        <v>39</v>
      </c>
      <c r="F3484" s="1390" t="str">
        <f>Risk_Compensation!$H$17</f>
        <v>AG</v>
      </c>
      <c r="G3484" s="1390"/>
      <c r="H3484" s="1077">
        <f>Risk_Compensation!$H56</f>
        <v>0</v>
      </c>
    </row>
    <row r="3485" spans="1:8" x14ac:dyDescent="0.2">
      <c r="A3485" s="1027"/>
      <c r="B3485" s="1083">
        <f>Risk_Compensation!A$1</f>
        <v>36</v>
      </c>
      <c r="C3485" s="1390" t="str">
        <f>Risk_Compensation!$B$1</f>
        <v xml:space="preserve">Risikoausgleich </v>
      </c>
      <c r="D3485" s="2205" t="s">
        <v>2572</v>
      </c>
      <c r="E3485" s="1390">
        <f>Risk_Compensation!$G57</f>
        <v>40</v>
      </c>
      <c r="F3485" s="1390" t="str">
        <f>Risk_Compensation!$H$17</f>
        <v>AG</v>
      </c>
      <c r="G3485" s="1390"/>
      <c r="H3485" s="1077">
        <f>Risk_Compensation!$H57</f>
        <v>0</v>
      </c>
    </row>
    <row r="3486" spans="1:8" x14ac:dyDescent="0.2">
      <c r="A3486" s="1027"/>
      <c r="B3486" s="1083">
        <f>Risk_Compensation!A$1</f>
        <v>36</v>
      </c>
      <c r="C3486" s="1390" t="str">
        <f>Risk_Compensation!$B$1</f>
        <v xml:space="preserve">Risikoausgleich </v>
      </c>
      <c r="D3486" s="2205" t="s">
        <v>2572</v>
      </c>
      <c r="E3486" s="1390">
        <f>Risk_Compensation!$G58</f>
        <v>41</v>
      </c>
      <c r="F3486" s="1390" t="str">
        <f>Risk_Compensation!$H$17</f>
        <v>AG</v>
      </c>
      <c r="G3486" s="1390"/>
      <c r="H3486" s="1077">
        <f>Risk_Compensation!$H58</f>
        <v>0</v>
      </c>
    </row>
    <row r="3487" spans="1:8" x14ac:dyDescent="0.2">
      <c r="A3487" s="1027"/>
      <c r="B3487" s="1083">
        <f>Risk_Compensation!A$1</f>
        <v>36</v>
      </c>
      <c r="C3487" s="1390" t="str">
        <f>Risk_Compensation!$B$1</f>
        <v xml:space="preserve">Risikoausgleich </v>
      </c>
      <c r="D3487" s="2205" t="s">
        <v>2572</v>
      </c>
      <c r="E3487" s="1390">
        <f>Risk_Compensation!$G59</f>
        <v>42</v>
      </c>
      <c r="F3487" s="1390" t="str">
        <f>Risk_Compensation!$H$17</f>
        <v>AG</v>
      </c>
      <c r="G3487" s="1390"/>
      <c r="H3487" s="1077">
        <f>Risk_Compensation!$H59</f>
        <v>0</v>
      </c>
    </row>
    <row r="3488" spans="1:8" x14ac:dyDescent="0.2">
      <c r="A3488" s="1027"/>
      <c r="B3488" s="1083">
        <f>Risk_Compensation!A$1</f>
        <v>36</v>
      </c>
      <c r="C3488" s="1390" t="str">
        <f>Risk_Compensation!$B$1</f>
        <v xml:space="preserve">Risikoausgleich </v>
      </c>
      <c r="D3488" s="2205" t="s">
        <v>2572</v>
      </c>
      <c r="E3488" s="1390">
        <f>Risk_Compensation!$G60</f>
        <v>43</v>
      </c>
      <c r="F3488" s="1390" t="str">
        <f>Risk_Compensation!$H$17</f>
        <v>AG</v>
      </c>
      <c r="G3488" s="1390"/>
      <c r="H3488" s="1077">
        <f>Risk_Compensation!$H60</f>
        <v>0</v>
      </c>
    </row>
    <row r="3489" spans="1:8" x14ac:dyDescent="0.2">
      <c r="A3489" s="1027"/>
      <c r="B3489" s="1083">
        <f>Risk_Compensation!A$1</f>
        <v>36</v>
      </c>
      <c r="C3489" s="1390" t="str">
        <f>Risk_Compensation!$B$1</f>
        <v xml:space="preserve">Risikoausgleich </v>
      </c>
      <c r="D3489" s="2205" t="s">
        <v>2572</v>
      </c>
      <c r="E3489" s="1390">
        <f>Risk_Compensation!$G61</f>
        <v>44</v>
      </c>
      <c r="F3489" s="1390" t="str">
        <f>Risk_Compensation!$H$17</f>
        <v>AG</v>
      </c>
      <c r="G3489" s="1390"/>
      <c r="H3489" s="1077">
        <f>Risk_Compensation!$H61</f>
        <v>0</v>
      </c>
    </row>
    <row r="3490" spans="1:8" x14ac:dyDescent="0.2">
      <c r="A3490" s="1027"/>
      <c r="B3490" s="1083">
        <f>Risk_Compensation!A$1</f>
        <v>36</v>
      </c>
      <c r="C3490" s="1390" t="str">
        <f>Risk_Compensation!$B$1</f>
        <v xml:space="preserve">Risikoausgleich </v>
      </c>
      <c r="D3490" s="2205" t="s">
        <v>2572</v>
      </c>
      <c r="E3490" s="1390">
        <f>Risk_Compensation!$G62</f>
        <v>45</v>
      </c>
      <c r="F3490" s="1390" t="str">
        <f>Risk_Compensation!$H$17</f>
        <v>AG</v>
      </c>
      <c r="G3490" s="1390"/>
      <c r="H3490" s="1077">
        <f>Risk_Compensation!$H62</f>
        <v>0</v>
      </c>
    </row>
    <row r="3491" spans="1:8" x14ac:dyDescent="0.2">
      <c r="A3491" s="1027"/>
      <c r="B3491" s="1083">
        <f>Risk_Compensation!A$1</f>
        <v>36</v>
      </c>
      <c r="C3491" s="1390" t="str">
        <f>Risk_Compensation!$B$1</f>
        <v xml:space="preserve">Risikoausgleich </v>
      </c>
      <c r="D3491" s="2205" t="s">
        <v>2572</v>
      </c>
      <c r="E3491" s="1390">
        <f>Risk_Compensation!$G63</f>
        <v>46</v>
      </c>
      <c r="F3491" s="1390" t="str">
        <f>Risk_Compensation!$H$17</f>
        <v>AG</v>
      </c>
      <c r="G3491" s="1390"/>
      <c r="H3491" s="1077">
        <f>Risk_Compensation!$H63</f>
        <v>0</v>
      </c>
    </row>
    <row r="3492" spans="1:8" x14ac:dyDescent="0.2">
      <c r="A3492" s="1027"/>
      <c r="B3492" s="1083">
        <f>Risk_Compensation!A$1</f>
        <v>36</v>
      </c>
      <c r="C3492" s="1390" t="str">
        <f>Risk_Compensation!$B$1</f>
        <v xml:space="preserve">Risikoausgleich </v>
      </c>
      <c r="D3492" s="2205" t="s">
        <v>2572</v>
      </c>
      <c r="E3492" s="1390">
        <f>Risk_Compensation!$G64</f>
        <v>47</v>
      </c>
      <c r="F3492" s="1390" t="str">
        <f>Risk_Compensation!$H$17</f>
        <v>AG</v>
      </c>
      <c r="G3492" s="1390"/>
      <c r="H3492" s="1077">
        <f>Risk_Compensation!$H64</f>
        <v>0</v>
      </c>
    </row>
    <row r="3493" spans="1:8" x14ac:dyDescent="0.2">
      <c r="A3493" s="1027"/>
      <c r="B3493" s="1083">
        <f>Risk_Compensation!A$1</f>
        <v>36</v>
      </c>
      <c r="C3493" s="1390" t="str">
        <f>Risk_Compensation!$B$1</f>
        <v xml:space="preserve">Risikoausgleich </v>
      </c>
      <c r="D3493" s="2205" t="s">
        <v>2572</v>
      </c>
      <c r="E3493" s="1390">
        <f>Risk_Compensation!$G65</f>
        <v>48</v>
      </c>
      <c r="F3493" s="1390" t="str">
        <f>Risk_Compensation!$H$17</f>
        <v>AG</v>
      </c>
      <c r="G3493" s="1390"/>
      <c r="H3493" s="1077">
        <f>Risk_Compensation!$H65</f>
        <v>0</v>
      </c>
    </row>
    <row r="3494" spans="1:8" x14ac:dyDescent="0.2">
      <c r="A3494" s="1027"/>
      <c r="B3494" s="1083">
        <f>Risk_Compensation!A$1</f>
        <v>36</v>
      </c>
      <c r="C3494" s="1390" t="str">
        <f>Risk_Compensation!$B$1</f>
        <v xml:space="preserve">Risikoausgleich </v>
      </c>
      <c r="D3494" s="2205" t="s">
        <v>2572</v>
      </c>
      <c r="E3494" s="1390">
        <f>Risk_Compensation!$G66</f>
        <v>49</v>
      </c>
      <c r="F3494" s="1390" t="str">
        <f>Risk_Compensation!$H$17</f>
        <v>AG</v>
      </c>
      <c r="G3494" s="1390"/>
      <c r="H3494" s="1077">
        <f>Risk_Compensation!$H66</f>
        <v>0</v>
      </c>
    </row>
    <row r="3495" spans="1:8" x14ac:dyDescent="0.2">
      <c r="A3495" s="1027"/>
      <c r="B3495" s="1083">
        <f>Risk_Compensation!A$1</f>
        <v>36</v>
      </c>
      <c r="C3495" s="1390" t="str">
        <f>Risk_Compensation!$B$1</f>
        <v xml:space="preserve">Risikoausgleich </v>
      </c>
      <c r="D3495" s="2205" t="s">
        <v>2572</v>
      </c>
      <c r="E3495" s="1390">
        <f>Risk_Compensation!$G67</f>
        <v>50</v>
      </c>
      <c r="F3495" s="1390" t="str">
        <f>Risk_Compensation!$H$17</f>
        <v>AG</v>
      </c>
      <c r="G3495" s="1390"/>
      <c r="H3495" s="1077">
        <f>Risk_Compensation!$H67</f>
        <v>0</v>
      </c>
    </row>
    <row r="3496" spans="1:8" x14ac:dyDescent="0.2">
      <c r="A3496" s="1027"/>
      <c r="B3496" s="1083">
        <f>Risk_Compensation!A$1</f>
        <v>36</v>
      </c>
      <c r="C3496" s="1390" t="str">
        <f>Risk_Compensation!$B$1</f>
        <v xml:space="preserve">Risikoausgleich </v>
      </c>
      <c r="D3496" s="2205" t="s">
        <v>2572</v>
      </c>
      <c r="E3496" s="1390">
        <f>Risk_Compensation!$G68</f>
        <v>51</v>
      </c>
      <c r="F3496" s="1390" t="str">
        <f>Risk_Compensation!$H$17</f>
        <v>AG</v>
      </c>
      <c r="G3496" s="1390"/>
      <c r="H3496" s="1077">
        <f>Risk_Compensation!$H68</f>
        <v>0</v>
      </c>
    </row>
    <row r="3497" spans="1:8" x14ac:dyDescent="0.2">
      <c r="A3497" s="1027"/>
      <c r="B3497" s="1083">
        <f>Risk_Compensation!A$1</f>
        <v>36</v>
      </c>
      <c r="C3497" s="1390" t="str">
        <f>Risk_Compensation!$B$1</f>
        <v xml:space="preserve">Risikoausgleich </v>
      </c>
      <c r="D3497" s="2205" t="s">
        <v>2572</v>
      </c>
      <c r="E3497" s="1390">
        <f>Risk_Compensation!$G69</f>
        <v>52</v>
      </c>
      <c r="F3497" s="1390" t="str">
        <f>Risk_Compensation!$H$17</f>
        <v>AG</v>
      </c>
      <c r="G3497" s="1390"/>
      <c r="H3497" s="1077">
        <f>Risk_Compensation!$H69</f>
        <v>0</v>
      </c>
    </row>
    <row r="3498" spans="1:8" x14ac:dyDescent="0.2">
      <c r="A3498" s="1027"/>
      <c r="B3498" s="1083">
        <f>Risk_Compensation!A$1</f>
        <v>36</v>
      </c>
      <c r="C3498" s="1390" t="str">
        <f>Risk_Compensation!$B$1</f>
        <v xml:space="preserve">Risikoausgleich </v>
      </c>
      <c r="D3498" s="2205" t="s">
        <v>2572</v>
      </c>
      <c r="E3498" s="1390">
        <f>Risk_Compensation!$G70</f>
        <v>53</v>
      </c>
      <c r="F3498" s="1390" t="str">
        <f>Risk_Compensation!$H$17</f>
        <v>AG</v>
      </c>
      <c r="G3498" s="1390"/>
      <c r="H3498" s="1077">
        <f>Risk_Compensation!$H70</f>
        <v>0</v>
      </c>
    </row>
    <row r="3499" spans="1:8" x14ac:dyDescent="0.2">
      <c r="A3499" s="1027"/>
      <c r="B3499" s="1083">
        <f>Risk_Compensation!A$1</f>
        <v>36</v>
      </c>
      <c r="C3499" s="1390" t="str">
        <f>Risk_Compensation!$B$1</f>
        <v xml:space="preserve">Risikoausgleich </v>
      </c>
      <c r="D3499" s="2205" t="s">
        <v>2572</v>
      </c>
      <c r="E3499" s="1390">
        <f>Risk_Compensation!$G71</f>
        <v>54</v>
      </c>
      <c r="F3499" s="1390" t="str">
        <f>Risk_Compensation!$H$17</f>
        <v>AG</v>
      </c>
      <c r="G3499" s="1390"/>
      <c r="H3499" s="1077">
        <f>Risk_Compensation!$H71</f>
        <v>0</v>
      </c>
    </row>
    <row r="3500" spans="1:8" x14ac:dyDescent="0.2">
      <c r="A3500" s="1027"/>
      <c r="B3500" s="1083">
        <f>Risk_Compensation!A$1</f>
        <v>36</v>
      </c>
      <c r="C3500" s="1390" t="str">
        <f>Risk_Compensation!$B$1</f>
        <v xml:space="preserve">Risikoausgleich </v>
      </c>
      <c r="D3500" s="2205" t="s">
        <v>2572</v>
      </c>
      <c r="E3500" s="1390">
        <f>Risk_Compensation!$G72</f>
        <v>55</v>
      </c>
      <c r="F3500" s="1390" t="str">
        <f>Risk_Compensation!$H$17</f>
        <v>AG</v>
      </c>
      <c r="G3500" s="1390"/>
      <c r="H3500" s="1077">
        <f>Risk_Compensation!$H72</f>
        <v>0</v>
      </c>
    </row>
    <row r="3501" spans="1:8" x14ac:dyDescent="0.2">
      <c r="A3501" s="1027"/>
      <c r="B3501" s="1083">
        <f>Risk_Compensation!A$1</f>
        <v>36</v>
      </c>
      <c r="C3501" s="1390" t="str">
        <f>Risk_Compensation!$B$1</f>
        <v xml:space="preserve">Risikoausgleich </v>
      </c>
      <c r="D3501" s="2205" t="s">
        <v>2572</v>
      </c>
      <c r="E3501" s="1390">
        <f>Risk_Compensation!$G73</f>
        <v>56</v>
      </c>
      <c r="F3501" s="1390" t="str">
        <f>Risk_Compensation!$H$17</f>
        <v>AG</v>
      </c>
      <c r="G3501" s="1390"/>
      <c r="H3501" s="1077">
        <f>Risk_Compensation!$H73</f>
        <v>0</v>
      </c>
    </row>
    <row r="3502" spans="1:8" x14ac:dyDescent="0.2">
      <c r="A3502" s="1027"/>
      <c r="B3502" s="1083">
        <f>Risk_Compensation!A$1</f>
        <v>36</v>
      </c>
      <c r="C3502" s="1390" t="str">
        <f>Risk_Compensation!$B$1</f>
        <v xml:space="preserve">Risikoausgleich </v>
      </c>
      <c r="D3502" s="2205" t="s">
        <v>2572</v>
      </c>
      <c r="E3502" s="1390">
        <f>Risk_Compensation!$G74</f>
        <v>57</v>
      </c>
      <c r="F3502" s="1390" t="str">
        <f>Risk_Compensation!$H$17</f>
        <v>AG</v>
      </c>
      <c r="G3502" s="1390"/>
      <c r="H3502" s="1077">
        <f>Risk_Compensation!$H74</f>
        <v>0</v>
      </c>
    </row>
    <row r="3503" spans="1:8" x14ac:dyDescent="0.2">
      <c r="A3503" s="1027"/>
      <c r="B3503" s="1083">
        <f>Risk_Compensation!A$1</f>
        <v>36</v>
      </c>
      <c r="C3503" s="1390" t="str">
        <f>Risk_Compensation!$B$1</f>
        <v xml:space="preserve">Risikoausgleich </v>
      </c>
      <c r="D3503" s="2205" t="s">
        <v>2572</v>
      </c>
      <c r="E3503" s="1390">
        <f>Risk_Compensation!$G75</f>
        <v>58</v>
      </c>
      <c r="F3503" s="1390" t="str">
        <f>Risk_Compensation!$H$17</f>
        <v>AG</v>
      </c>
      <c r="G3503" s="1390"/>
      <c r="H3503" s="1077">
        <f>Risk_Compensation!$H75</f>
        <v>0</v>
      </c>
    </row>
    <row r="3504" spans="1:8" x14ac:dyDescent="0.2">
      <c r="A3504" s="1027"/>
      <c r="B3504" s="1083">
        <f>Risk_Compensation!A$1</f>
        <v>36</v>
      </c>
      <c r="C3504" s="1390" t="str">
        <f>Risk_Compensation!$B$1</f>
        <v xml:space="preserve">Risikoausgleich </v>
      </c>
      <c r="D3504" s="2205" t="s">
        <v>2572</v>
      </c>
      <c r="E3504" s="1390">
        <f>Risk_Compensation!$G76</f>
        <v>59</v>
      </c>
      <c r="F3504" s="1390" t="str">
        <f>Risk_Compensation!$H$17</f>
        <v>AG</v>
      </c>
      <c r="G3504" s="1390"/>
      <c r="H3504" s="1077">
        <f>Risk_Compensation!$H76</f>
        <v>0</v>
      </c>
    </row>
    <row r="3505" spans="1:8" x14ac:dyDescent="0.2">
      <c r="A3505" s="1027"/>
      <c r="B3505" s="1083">
        <f>Risk_Compensation!A$1</f>
        <v>36</v>
      </c>
      <c r="C3505" s="1390" t="str">
        <f>Risk_Compensation!$B$1</f>
        <v xml:space="preserve">Risikoausgleich </v>
      </c>
      <c r="D3505" s="2205" t="s">
        <v>2572</v>
      </c>
      <c r="E3505" s="1390">
        <f>Risk_Compensation!$G77</f>
        <v>60</v>
      </c>
      <c r="F3505" s="1390" t="str">
        <f>Risk_Compensation!$H$17</f>
        <v>AG</v>
      </c>
      <c r="G3505" s="1390"/>
      <c r="H3505" s="1077">
        <f>Risk_Compensation!$H77</f>
        <v>0</v>
      </c>
    </row>
    <row r="3506" spans="1:8" x14ac:dyDescent="0.2">
      <c r="A3506" s="1027"/>
      <c r="B3506" s="2174"/>
      <c r="C3506" s="1390"/>
      <c r="D3506" s="2175"/>
      <c r="E3506" s="2176"/>
      <c r="F3506" s="1390"/>
      <c r="G3506" s="1390"/>
      <c r="H3506" s="2177"/>
    </row>
    <row r="3507" spans="1:8" x14ac:dyDescent="0.2">
      <c r="A3507" s="1027"/>
      <c r="B3507" s="1083">
        <f>Risk_Compensation!A$1</f>
        <v>36</v>
      </c>
      <c r="C3507" s="1390" t="str">
        <f>Risk_Compensation!$B$1</f>
        <v xml:space="preserve">Risikoausgleich </v>
      </c>
      <c r="D3507" s="2205" t="s">
        <v>2572</v>
      </c>
      <c r="E3507" s="1390">
        <f>Risk_Compensation!$G18</f>
        <v>1</v>
      </c>
      <c r="F3507" s="1390" t="str">
        <f>Risk_Compensation!$I$17</f>
        <v>AI</v>
      </c>
      <c r="G3507" s="1390"/>
      <c r="H3507" s="1077">
        <f>Risk_Compensation!$I18</f>
        <v>0</v>
      </c>
    </row>
    <row r="3508" spans="1:8" x14ac:dyDescent="0.2">
      <c r="A3508" s="1027"/>
      <c r="B3508" s="1083">
        <f>Risk_Compensation!A$1</f>
        <v>36</v>
      </c>
      <c r="C3508" s="1390" t="str">
        <f>Risk_Compensation!$B$1</f>
        <v xml:space="preserve">Risikoausgleich </v>
      </c>
      <c r="D3508" s="2205" t="s">
        <v>2572</v>
      </c>
      <c r="E3508" s="1390">
        <f>Risk_Compensation!$G19</f>
        <v>2</v>
      </c>
      <c r="F3508" s="1390" t="str">
        <f>Risk_Compensation!$I$17</f>
        <v>AI</v>
      </c>
      <c r="G3508" s="1390"/>
      <c r="H3508" s="1077">
        <f>Risk_Compensation!$I19</f>
        <v>0</v>
      </c>
    </row>
    <row r="3509" spans="1:8" x14ac:dyDescent="0.2">
      <c r="A3509" s="1027"/>
      <c r="B3509" s="1083">
        <f>Risk_Compensation!A$1</f>
        <v>36</v>
      </c>
      <c r="C3509" s="1390" t="str">
        <f>Risk_Compensation!$B$1</f>
        <v xml:space="preserve">Risikoausgleich </v>
      </c>
      <c r="D3509" s="2205" t="s">
        <v>2572</v>
      </c>
      <c r="E3509" s="1390">
        <f>Risk_Compensation!$G20</f>
        <v>3</v>
      </c>
      <c r="F3509" s="1390" t="str">
        <f>Risk_Compensation!$I$17</f>
        <v>AI</v>
      </c>
      <c r="G3509" s="1390"/>
      <c r="H3509" s="1077">
        <f>Risk_Compensation!$I20</f>
        <v>0</v>
      </c>
    </row>
    <row r="3510" spans="1:8" x14ac:dyDescent="0.2">
      <c r="A3510" s="1027"/>
      <c r="B3510" s="1083">
        <f>Risk_Compensation!A$1</f>
        <v>36</v>
      </c>
      <c r="C3510" s="1390" t="str">
        <f>Risk_Compensation!$B$1</f>
        <v xml:space="preserve">Risikoausgleich </v>
      </c>
      <c r="D3510" s="2205" t="s">
        <v>2572</v>
      </c>
      <c r="E3510" s="1390">
        <f>Risk_Compensation!$G21</f>
        <v>4</v>
      </c>
      <c r="F3510" s="1390" t="str">
        <f>Risk_Compensation!$I$17</f>
        <v>AI</v>
      </c>
      <c r="G3510" s="1390"/>
      <c r="H3510" s="1077">
        <f>Risk_Compensation!$I21</f>
        <v>0</v>
      </c>
    </row>
    <row r="3511" spans="1:8" x14ac:dyDescent="0.2">
      <c r="A3511" s="1027"/>
      <c r="B3511" s="1083">
        <f>Risk_Compensation!A$1</f>
        <v>36</v>
      </c>
      <c r="C3511" s="1390" t="str">
        <f>Risk_Compensation!$B$1</f>
        <v xml:space="preserve">Risikoausgleich </v>
      </c>
      <c r="D3511" s="2205" t="s">
        <v>2572</v>
      </c>
      <c r="E3511" s="1390">
        <f>Risk_Compensation!$G22</f>
        <v>5</v>
      </c>
      <c r="F3511" s="1390" t="str">
        <f>Risk_Compensation!$I$17</f>
        <v>AI</v>
      </c>
      <c r="G3511" s="1390"/>
      <c r="H3511" s="1077">
        <f>Risk_Compensation!$I22</f>
        <v>0</v>
      </c>
    </row>
    <row r="3512" spans="1:8" x14ac:dyDescent="0.2">
      <c r="A3512" s="1027"/>
      <c r="B3512" s="1083">
        <f>Risk_Compensation!A$1</f>
        <v>36</v>
      </c>
      <c r="C3512" s="1390" t="str">
        <f>Risk_Compensation!$B$1</f>
        <v xml:space="preserve">Risikoausgleich </v>
      </c>
      <c r="D3512" s="2205" t="s">
        <v>2572</v>
      </c>
      <c r="E3512" s="1390">
        <f>Risk_Compensation!$G23</f>
        <v>6</v>
      </c>
      <c r="F3512" s="1390" t="str">
        <f>Risk_Compensation!$I$17</f>
        <v>AI</v>
      </c>
      <c r="G3512" s="1390"/>
      <c r="H3512" s="1077">
        <f>Risk_Compensation!$I23</f>
        <v>0</v>
      </c>
    </row>
    <row r="3513" spans="1:8" x14ac:dyDescent="0.2">
      <c r="A3513" s="1027"/>
      <c r="B3513" s="1083">
        <f>Risk_Compensation!A$1</f>
        <v>36</v>
      </c>
      <c r="C3513" s="1390" t="str">
        <f>Risk_Compensation!$B$1</f>
        <v xml:space="preserve">Risikoausgleich </v>
      </c>
      <c r="D3513" s="2205" t="s">
        <v>2572</v>
      </c>
      <c r="E3513" s="1390">
        <f>Risk_Compensation!$G24</f>
        <v>7</v>
      </c>
      <c r="F3513" s="1390" t="str">
        <f>Risk_Compensation!$I$17</f>
        <v>AI</v>
      </c>
      <c r="G3513" s="1390"/>
      <c r="H3513" s="1077">
        <f>Risk_Compensation!$I24</f>
        <v>0</v>
      </c>
    </row>
    <row r="3514" spans="1:8" x14ac:dyDescent="0.2">
      <c r="A3514" s="1027"/>
      <c r="B3514" s="1083">
        <f>Risk_Compensation!A$1</f>
        <v>36</v>
      </c>
      <c r="C3514" s="1390" t="str">
        <f>Risk_Compensation!$B$1</f>
        <v xml:space="preserve">Risikoausgleich </v>
      </c>
      <c r="D3514" s="2205" t="s">
        <v>2572</v>
      </c>
      <c r="E3514" s="1390">
        <f>Risk_Compensation!$G25</f>
        <v>8</v>
      </c>
      <c r="F3514" s="1390" t="str">
        <f>Risk_Compensation!$I$17</f>
        <v>AI</v>
      </c>
      <c r="G3514" s="1390"/>
      <c r="H3514" s="1077">
        <f>Risk_Compensation!$I25</f>
        <v>0</v>
      </c>
    </row>
    <row r="3515" spans="1:8" x14ac:dyDescent="0.2">
      <c r="A3515" s="1027"/>
      <c r="B3515" s="1083">
        <f>Risk_Compensation!A$1</f>
        <v>36</v>
      </c>
      <c r="C3515" s="1390" t="str">
        <f>Risk_Compensation!$B$1</f>
        <v xml:space="preserve">Risikoausgleich </v>
      </c>
      <c r="D3515" s="2205" t="s">
        <v>2572</v>
      </c>
      <c r="E3515" s="1390">
        <f>Risk_Compensation!$G26</f>
        <v>9</v>
      </c>
      <c r="F3515" s="1390" t="str">
        <f>Risk_Compensation!$I$17</f>
        <v>AI</v>
      </c>
      <c r="G3515" s="1390"/>
      <c r="H3515" s="1077">
        <f>Risk_Compensation!$I26</f>
        <v>0</v>
      </c>
    </row>
    <row r="3516" spans="1:8" x14ac:dyDescent="0.2">
      <c r="A3516" s="1027"/>
      <c r="B3516" s="1083">
        <f>Risk_Compensation!A$1</f>
        <v>36</v>
      </c>
      <c r="C3516" s="1390" t="str">
        <f>Risk_Compensation!$B$1</f>
        <v xml:space="preserve">Risikoausgleich </v>
      </c>
      <c r="D3516" s="2205" t="s">
        <v>2572</v>
      </c>
      <c r="E3516" s="1390">
        <f>Risk_Compensation!$G27</f>
        <v>10</v>
      </c>
      <c r="F3516" s="1390" t="str">
        <f>Risk_Compensation!$I$17</f>
        <v>AI</v>
      </c>
      <c r="G3516" s="1390"/>
      <c r="H3516" s="1077">
        <f>Risk_Compensation!$I27</f>
        <v>0</v>
      </c>
    </row>
    <row r="3517" spans="1:8" x14ac:dyDescent="0.2">
      <c r="A3517" s="1027"/>
      <c r="B3517" s="1083">
        <f>Risk_Compensation!A$1</f>
        <v>36</v>
      </c>
      <c r="C3517" s="1390" t="str">
        <f>Risk_Compensation!$B$1</f>
        <v xml:space="preserve">Risikoausgleich </v>
      </c>
      <c r="D3517" s="2205" t="s">
        <v>2572</v>
      </c>
      <c r="E3517" s="1390">
        <f>Risk_Compensation!$G28</f>
        <v>11</v>
      </c>
      <c r="F3517" s="1390" t="str">
        <f>Risk_Compensation!$I$17</f>
        <v>AI</v>
      </c>
      <c r="G3517" s="1390"/>
      <c r="H3517" s="1077">
        <f>Risk_Compensation!$I28</f>
        <v>0</v>
      </c>
    </row>
    <row r="3518" spans="1:8" x14ac:dyDescent="0.2">
      <c r="A3518" s="1027"/>
      <c r="B3518" s="1083">
        <f>Risk_Compensation!A$1</f>
        <v>36</v>
      </c>
      <c r="C3518" s="1390" t="str">
        <f>Risk_Compensation!$B$1</f>
        <v xml:space="preserve">Risikoausgleich </v>
      </c>
      <c r="D3518" s="2205" t="s">
        <v>2572</v>
      </c>
      <c r="E3518" s="1390">
        <f>Risk_Compensation!$G29</f>
        <v>12</v>
      </c>
      <c r="F3518" s="1390" t="str">
        <f>Risk_Compensation!$I$17</f>
        <v>AI</v>
      </c>
      <c r="G3518" s="1390"/>
      <c r="H3518" s="1077">
        <f>Risk_Compensation!$I29</f>
        <v>0</v>
      </c>
    </row>
    <row r="3519" spans="1:8" x14ac:dyDescent="0.2">
      <c r="A3519" s="1027"/>
      <c r="B3519" s="1083">
        <f>Risk_Compensation!A$1</f>
        <v>36</v>
      </c>
      <c r="C3519" s="1390" t="str">
        <f>Risk_Compensation!$B$1</f>
        <v xml:space="preserve">Risikoausgleich </v>
      </c>
      <c r="D3519" s="2205" t="s">
        <v>2572</v>
      </c>
      <c r="E3519" s="1390">
        <f>Risk_Compensation!$G30</f>
        <v>13</v>
      </c>
      <c r="F3519" s="1390" t="str">
        <f>Risk_Compensation!$I$17</f>
        <v>AI</v>
      </c>
      <c r="G3519" s="1390"/>
      <c r="H3519" s="1077">
        <f>Risk_Compensation!$I30</f>
        <v>0</v>
      </c>
    </row>
    <row r="3520" spans="1:8" x14ac:dyDescent="0.2">
      <c r="A3520" s="1027"/>
      <c r="B3520" s="1083">
        <f>Risk_Compensation!A$1</f>
        <v>36</v>
      </c>
      <c r="C3520" s="1390" t="str">
        <f>Risk_Compensation!$B$1</f>
        <v xml:space="preserve">Risikoausgleich </v>
      </c>
      <c r="D3520" s="2205" t="s">
        <v>2572</v>
      </c>
      <c r="E3520" s="1390">
        <f>Risk_Compensation!$G31</f>
        <v>14</v>
      </c>
      <c r="F3520" s="1390" t="str">
        <f>Risk_Compensation!$I$17</f>
        <v>AI</v>
      </c>
      <c r="G3520" s="1390"/>
      <c r="H3520" s="1077">
        <f>Risk_Compensation!$I31</f>
        <v>0</v>
      </c>
    </row>
    <row r="3521" spans="1:8" x14ac:dyDescent="0.2">
      <c r="A3521" s="1027"/>
      <c r="B3521" s="1083">
        <f>Risk_Compensation!A$1</f>
        <v>36</v>
      </c>
      <c r="C3521" s="1390" t="str">
        <f>Risk_Compensation!$B$1</f>
        <v xml:space="preserve">Risikoausgleich </v>
      </c>
      <c r="D3521" s="2205" t="s">
        <v>2572</v>
      </c>
      <c r="E3521" s="1390">
        <f>Risk_Compensation!$G32</f>
        <v>15</v>
      </c>
      <c r="F3521" s="1390" t="str">
        <f>Risk_Compensation!$I$17</f>
        <v>AI</v>
      </c>
      <c r="G3521" s="1390"/>
      <c r="H3521" s="1077">
        <f>Risk_Compensation!$I32</f>
        <v>0</v>
      </c>
    </row>
    <row r="3522" spans="1:8" x14ac:dyDescent="0.2">
      <c r="A3522" s="1027"/>
      <c r="B3522" s="1083">
        <f>Risk_Compensation!A$1</f>
        <v>36</v>
      </c>
      <c r="C3522" s="1390" t="str">
        <f>Risk_Compensation!$B$1</f>
        <v xml:space="preserve">Risikoausgleich </v>
      </c>
      <c r="D3522" s="2205" t="s">
        <v>2572</v>
      </c>
      <c r="E3522" s="1390">
        <f>Risk_Compensation!$G33</f>
        <v>16</v>
      </c>
      <c r="F3522" s="1390" t="str">
        <f>Risk_Compensation!$I$17</f>
        <v>AI</v>
      </c>
      <c r="G3522" s="1390"/>
      <c r="H3522" s="1077">
        <f>Risk_Compensation!$I33</f>
        <v>0</v>
      </c>
    </row>
    <row r="3523" spans="1:8" x14ac:dyDescent="0.2">
      <c r="A3523" s="1027"/>
      <c r="B3523" s="1083">
        <f>Risk_Compensation!A$1</f>
        <v>36</v>
      </c>
      <c r="C3523" s="1390" t="str">
        <f>Risk_Compensation!$B$1</f>
        <v xml:space="preserve">Risikoausgleich </v>
      </c>
      <c r="D3523" s="2205" t="s">
        <v>2572</v>
      </c>
      <c r="E3523" s="1390">
        <f>Risk_Compensation!$G34</f>
        <v>17</v>
      </c>
      <c r="F3523" s="1390" t="str">
        <f>Risk_Compensation!$I$17</f>
        <v>AI</v>
      </c>
      <c r="G3523" s="1390"/>
      <c r="H3523" s="1077">
        <f>Risk_Compensation!$I34</f>
        <v>0</v>
      </c>
    </row>
    <row r="3524" spans="1:8" x14ac:dyDescent="0.2">
      <c r="A3524" s="1027"/>
      <c r="B3524" s="1083">
        <f>Risk_Compensation!A$1</f>
        <v>36</v>
      </c>
      <c r="C3524" s="1390" t="str">
        <f>Risk_Compensation!$B$1</f>
        <v xml:space="preserve">Risikoausgleich </v>
      </c>
      <c r="D3524" s="2205" t="s">
        <v>2572</v>
      </c>
      <c r="E3524" s="1390">
        <f>Risk_Compensation!$G35</f>
        <v>18</v>
      </c>
      <c r="F3524" s="1390" t="str">
        <f>Risk_Compensation!$I$17</f>
        <v>AI</v>
      </c>
      <c r="G3524" s="1390"/>
      <c r="H3524" s="1077">
        <f>Risk_Compensation!$I35</f>
        <v>0</v>
      </c>
    </row>
    <row r="3525" spans="1:8" x14ac:dyDescent="0.2">
      <c r="A3525" s="1027"/>
      <c r="B3525" s="1083">
        <f>Risk_Compensation!A$1</f>
        <v>36</v>
      </c>
      <c r="C3525" s="1390" t="str">
        <f>Risk_Compensation!$B$1</f>
        <v xml:space="preserve">Risikoausgleich </v>
      </c>
      <c r="D3525" s="2205" t="s">
        <v>2572</v>
      </c>
      <c r="E3525" s="1390">
        <f>Risk_Compensation!$G36</f>
        <v>19</v>
      </c>
      <c r="F3525" s="1390" t="str">
        <f>Risk_Compensation!$I$17</f>
        <v>AI</v>
      </c>
      <c r="G3525" s="1390"/>
      <c r="H3525" s="1077">
        <f>Risk_Compensation!$I36</f>
        <v>0</v>
      </c>
    </row>
    <row r="3526" spans="1:8" x14ac:dyDescent="0.2">
      <c r="A3526" s="1027"/>
      <c r="B3526" s="1083">
        <f>Risk_Compensation!A$1</f>
        <v>36</v>
      </c>
      <c r="C3526" s="1390" t="str">
        <f>Risk_Compensation!$B$1</f>
        <v xml:space="preserve">Risikoausgleich </v>
      </c>
      <c r="D3526" s="2205" t="s">
        <v>2572</v>
      </c>
      <c r="E3526" s="1390">
        <f>Risk_Compensation!$G37</f>
        <v>20</v>
      </c>
      <c r="F3526" s="1390" t="str">
        <f>Risk_Compensation!$I$17</f>
        <v>AI</v>
      </c>
      <c r="G3526" s="1390"/>
      <c r="H3526" s="1077">
        <f>Risk_Compensation!$I37</f>
        <v>0</v>
      </c>
    </row>
    <row r="3527" spans="1:8" x14ac:dyDescent="0.2">
      <c r="A3527" s="1027"/>
      <c r="B3527" s="1083">
        <f>Risk_Compensation!A$1</f>
        <v>36</v>
      </c>
      <c r="C3527" s="1390" t="str">
        <f>Risk_Compensation!$B$1</f>
        <v xml:space="preserve">Risikoausgleich </v>
      </c>
      <c r="D3527" s="2205" t="s">
        <v>2572</v>
      </c>
      <c r="E3527" s="1390">
        <f>Risk_Compensation!$G38</f>
        <v>21</v>
      </c>
      <c r="F3527" s="1390" t="str">
        <f>Risk_Compensation!$I$17</f>
        <v>AI</v>
      </c>
      <c r="G3527" s="1390"/>
      <c r="H3527" s="1077">
        <f>Risk_Compensation!$I38</f>
        <v>0</v>
      </c>
    </row>
    <row r="3528" spans="1:8" x14ac:dyDescent="0.2">
      <c r="A3528" s="1027"/>
      <c r="B3528" s="1083">
        <f>Risk_Compensation!A$1</f>
        <v>36</v>
      </c>
      <c r="C3528" s="1390" t="str">
        <f>Risk_Compensation!$B$1</f>
        <v xml:space="preserve">Risikoausgleich </v>
      </c>
      <c r="D3528" s="2205" t="s">
        <v>2572</v>
      </c>
      <c r="E3528" s="1390">
        <f>Risk_Compensation!$G39</f>
        <v>22</v>
      </c>
      <c r="F3528" s="1390" t="str">
        <f>Risk_Compensation!$I$17</f>
        <v>AI</v>
      </c>
      <c r="G3528" s="1390"/>
      <c r="H3528" s="1077">
        <f>Risk_Compensation!$I39</f>
        <v>0</v>
      </c>
    </row>
    <row r="3529" spans="1:8" x14ac:dyDescent="0.2">
      <c r="A3529" s="1027"/>
      <c r="B3529" s="1083">
        <f>Risk_Compensation!A$1</f>
        <v>36</v>
      </c>
      <c r="C3529" s="1390" t="str">
        <f>Risk_Compensation!$B$1</f>
        <v xml:space="preserve">Risikoausgleich </v>
      </c>
      <c r="D3529" s="2205" t="s">
        <v>2572</v>
      </c>
      <c r="E3529" s="1390">
        <f>Risk_Compensation!$G40</f>
        <v>23</v>
      </c>
      <c r="F3529" s="1390" t="str">
        <f>Risk_Compensation!$I$17</f>
        <v>AI</v>
      </c>
      <c r="G3529" s="1390"/>
      <c r="H3529" s="1077">
        <f>Risk_Compensation!$I40</f>
        <v>0</v>
      </c>
    </row>
    <row r="3530" spans="1:8" x14ac:dyDescent="0.2">
      <c r="A3530" s="1027"/>
      <c r="B3530" s="1083">
        <f>Risk_Compensation!A$1</f>
        <v>36</v>
      </c>
      <c r="C3530" s="1390" t="str">
        <f>Risk_Compensation!$B$1</f>
        <v xml:space="preserve">Risikoausgleich </v>
      </c>
      <c r="D3530" s="2205" t="s">
        <v>2572</v>
      </c>
      <c r="E3530" s="1390">
        <f>Risk_Compensation!$G41</f>
        <v>24</v>
      </c>
      <c r="F3530" s="1390" t="str">
        <f>Risk_Compensation!$I$17</f>
        <v>AI</v>
      </c>
      <c r="G3530" s="1390"/>
      <c r="H3530" s="1077">
        <f>Risk_Compensation!$I41</f>
        <v>0</v>
      </c>
    </row>
    <row r="3531" spans="1:8" x14ac:dyDescent="0.2">
      <c r="A3531" s="1027"/>
      <c r="B3531" s="1083">
        <f>Risk_Compensation!A$1</f>
        <v>36</v>
      </c>
      <c r="C3531" s="1390" t="str">
        <f>Risk_Compensation!$B$1</f>
        <v xml:space="preserve">Risikoausgleich </v>
      </c>
      <c r="D3531" s="2205" t="s">
        <v>2572</v>
      </c>
      <c r="E3531" s="1390">
        <f>Risk_Compensation!$G42</f>
        <v>25</v>
      </c>
      <c r="F3531" s="1390" t="str">
        <f>Risk_Compensation!$I$17</f>
        <v>AI</v>
      </c>
      <c r="G3531" s="1390"/>
      <c r="H3531" s="1077">
        <f>Risk_Compensation!$I42</f>
        <v>0</v>
      </c>
    </row>
    <row r="3532" spans="1:8" x14ac:dyDescent="0.2">
      <c r="A3532" s="1027"/>
      <c r="B3532" s="1083">
        <f>Risk_Compensation!A$1</f>
        <v>36</v>
      </c>
      <c r="C3532" s="1390" t="str">
        <f>Risk_Compensation!$B$1</f>
        <v xml:space="preserve">Risikoausgleich </v>
      </c>
      <c r="D3532" s="2205" t="s">
        <v>2572</v>
      </c>
      <c r="E3532" s="1390">
        <f>Risk_Compensation!$G43</f>
        <v>26</v>
      </c>
      <c r="F3532" s="1390" t="str">
        <f>Risk_Compensation!$I$17</f>
        <v>AI</v>
      </c>
      <c r="G3532" s="1390"/>
      <c r="H3532" s="1077">
        <f>Risk_Compensation!$I43</f>
        <v>0</v>
      </c>
    </row>
    <row r="3533" spans="1:8" x14ac:dyDescent="0.2">
      <c r="A3533" s="1027"/>
      <c r="B3533" s="1083">
        <f>Risk_Compensation!A$1</f>
        <v>36</v>
      </c>
      <c r="C3533" s="1390" t="str">
        <f>Risk_Compensation!$B$1</f>
        <v xml:space="preserve">Risikoausgleich </v>
      </c>
      <c r="D3533" s="2205" t="s">
        <v>2572</v>
      </c>
      <c r="E3533" s="1390">
        <f>Risk_Compensation!$G44</f>
        <v>27</v>
      </c>
      <c r="F3533" s="1390" t="str">
        <f>Risk_Compensation!$I$17</f>
        <v>AI</v>
      </c>
      <c r="G3533" s="1390"/>
      <c r="H3533" s="1077">
        <f>Risk_Compensation!$I44</f>
        <v>0</v>
      </c>
    </row>
    <row r="3534" spans="1:8" x14ac:dyDescent="0.2">
      <c r="A3534" s="1027"/>
      <c r="B3534" s="1083">
        <f>Risk_Compensation!A$1</f>
        <v>36</v>
      </c>
      <c r="C3534" s="1390" t="str">
        <f>Risk_Compensation!$B$1</f>
        <v xml:space="preserve">Risikoausgleich </v>
      </c>
      <c r="D3534" s="2205" t="s">
        <v>2572</v>
      </c>
      <c r="E3534" s="1390">
        <f>Risk_Compensation!$G45</f>
        <v>28</v>
      </c>
      <c r="F3534" s="1390" t="str">
        <f>Risk_Compensation!$I$17</f>
        <v>AI</v>
      </c>
      <c r="G3534" s="1390"/>
      <c r="H3534" s="1077">
        <f>Risk_Compensation!$I45</f>
        <v>0</v>
      </c>
    </row>
    <row r="3535" spans="1:8" x14ac:dyDescent="0.2">
      <c r="A3535" s="1027"/>
      <c r="B3535" s="1083">
        <f>Risk_Compensation!A$1</f>
        <v>36</v>
      </c>
      <c r="C3535" s="1390" t="str">
        <f>Risk_Compensation!$B$1</f>
        <v xml:space="preserve">Risikoausgleich </v>
      </c>
      <c r="D3535" s="2205" t="s">
        <v>2572</v>
      </c>
      <c r="E3535" s="1390">
        <f>Risk_Compensation!$G46</f>
        <v>29</v>
      </c>
      <c r="F3535" s="1390" t="str">
        <f>Risk_Compensation!$I$17</f>
        <v>AI</v>
      </c>
      <c r="G3535" s="1390"/>
      <c r="H3535" s="1077">
        <f>Risk_Compensation!$I46</f>
        <v>0</v>
      </c>
    </row>
    <row r="3536" spans="1:8" x14ac:dyDescent="0.2">
      <c r="A3536" s="1027"/>
      <c r="B3536" s="1083">
        <f>Risk_Compensation!A$1</f>
        <v>36</v>
      </c>
      <c r="C3536" s="1390" t="str">
        <f>Risk_Compensation!$B$1</f>
        <v xml:space="preserve">Risikoausgleich </v>
      </c>
      <c r="D3536" s="2205" t="s">
        <v>2572</v>
      </c>
      <c r="E3536" s="1390">
        <f>Risk_Compensation!$G47</f>
        <v>30</v>
      </c>
      <c r="F3536" s="1390" t="str">
        <f>Risk_Compensation!$I$17</f>
        <v>AI</v>
      </c>
      <c r="G3536" s="1390"/>
      <c r="H3536" s="1077">
        <f>Risk_Compensation!$I47</f>
        <v>0</v>
      </c>
    </row>
    <row r="3537" spans="1:8" x14ac:dyDescent="0.2">
      <c r="A3537" s="1027"/>
      <c r="B3537" s="1083">
        <f>Risk_Compensation!A$1</f>
        <v>36</v>
      </c>
      <c r="C3537" s="1390" t="str">
        <f>Risk_Compensation!$B$1</f>
        <v xml:space="preserve">Risikoausgleich </v>
      </c>
      <c r="D3537" s="2205" t="s">
        <v>2572</v>
      </c>
      <c r="E3537" s="1390">
        <f>Risk_Compensation!$G48</f>
        <v>31</v>
      </c>
      <c r="F3537" s="1390" t="str">
        <f>Risk_Compensation!$I$17</f>
        <v>AI</v>
      </c>
      <c r="G3537" s="1390"/>
      <c r="H3537" s="1077">
        <f>Risk_Compensation!$I48</f>
        <v>0</v>
      </c>
    </row>
    <row r="3538" spans="1:8" x14ac:dyDescent="0.2">
      <c r="A3538" s="1027"/>
      <c r="B3538" s="1083">
        <f>Risk_Compensation!A$1</f>
        <v>36</v>
      </c>
      <c r="C3538" s="1390" t="str">
        <f>Risk_Compensation!$B$1</f>
        <v xml:space="preserve">Risikoausgleich </v>
      </c>
      <c r="D3538" s="2205" t="s">
        <v>2572</v>
      </c>
      <c r="E3538" s="1390">
        <f>Risk_Compensation!$G49</f>
        <v>32</v>
      </c>
      <c r="F3538" s="1390" t="str">
        <f>Risk_Compensation!$I$17</f>
        <v>AI</v>
      </c>
      <c r="G3538" s="1390"/>
      <c r="H3538" s="1077">
        <f>Risk_Compensation!$I49</f>
        <v>0</v>
      </c>
    </row>
    <row r="3539" spans="1:8" x14ac:dyDescent="0.2">
      <c r="A3539" s="1027"/>
      <c r="B3539" s="1083">
        <f>Risk_Compensation!A$1</f>
        <v>36</v>
      </c>
      <c r="C3539" s="1390" t="str">
        <f>Risk_Compensation!$B$1</f>
        <v xml:space="preserve">Risikoausgleich </v>
      </c>
      <c r="D3539" s="2205" t="s">
        <v>2572</v>
      </c>
      <c r="E3539" s="1390">
        <f>Risk_Compensation!$G50</f>
        <v>33</v>
      </c>
      <c r="F3539" s="1390" t="str">
        <f>Risk_Compensation!$I$17</f>
        <v>AI</v>
      </c>
      <c r="G3539" s="1390"/>
      <c r="H3539" s="1077">
        <f>Risk_Compensation!$I50</f>
        <v>0</v>
      </c>
    </row>
    <row r="3540" spans="1:8" x14ac:dyDescent="0.2">
      <c r="A3540" s="1027"/>
      <c r="B3540" s="1083">
        <f>Risk_Compensation!A$1</f>
        <v>36</v>
      </c>
      <c r="C3540" s="1390" t="str">
        <f>Risk_Compensation!$B$1</f>
        <v xml:space="preserve">Risikoausgleich </v>
      </c>
      <c r="D3540" s="2205" t="s">
        <v>2572</v>
      </c>
      <c r="E3540" s="1390">
        <f>Risk_Compensation!$G51</f>
        <v>34</v>
      </c>
      <c r="F3540" s="1390" t="str">
        <f>Risk_Compensation!$I$17</f>
        <v>AI</v>
      </c>
      <c r="G3540" s="1390"/>
      <c r="H3540" s="1077">
        <f>Risk_Compensation!$I51</f>
        <v>0</v>
      </c>
    </row>
    <row r="3541" spans="1:8" x14ac:dyDescent="0.2">
      <c r="A3541" s="1027"/>
      <c r="B3541" s="1083">
        <f>Risk_Compensation!A$1</f>
        <v>36</v>
      </c>
      <c r="C3541" s="1390" t="str">
        <f>Risk_Compensation!$B$1</f>
        <v xml:space="preserve">Risikoausgleich </v>
      </c>
      <c r="D3541" s="2205" t="s">
        <v>2572</v>
      </c>
      <c r="E3541" s="1390">
        <f>Risk_Compensation!$G52</f>
        <v>35</v>
      </c>
      <c r="F3541" s="1390" t="str">
        <f>Risk_Compensation!$I$17</f>
        <v>AI</v>
      </c>
      <c r="G3541" s="1390"/>
      <c r="H3541" s="1077">
        <f>Risk_Compensation!$I52</f>
        <v>0</v>
      </c>
    </row>
    <row r="3542" spans="1:8" x14ac:dyDescent="0.2">
      <c r="A3542" s="1027"/>
      <c r="B3542" s="1083">
        <f>Risk_Compensation!A$1</f>
        <v>36</v>
      </c>
      <c r="C3542" s="1390" t="str">
        <f>Risk_Compensation!$B$1</f>
        <v xml:space="preserve">Risikoausgleich </v>
      </c>
      <c r="D3542" s="2205" t="s">
        <v>2572</v>
      </c>
      <c r="E3542" s="1390">
        <f>Risk_Compensation!$G53</f>
        <v>36</v>
      </c>
      <c r="F3542" s="1390" t="str">
        <f>Risk_Compensation!$I$17</f>
        <v>AI</v>
      </c>
      <c r="G3542" s="1390"/>
      <c r="H3542" s="1077">
        <f>Risk_Compensation!$I53</f>
        <v>0</v>
      </c>
    </row>
    <row r="3543" spans="1:8" x14ac:dyDescent="0.2">
      <c r="A3543" s="1027"/>
      <c r="B3543" s="1083">
        <f>Risk_Compensation!A$1</f>
        <v>36</v>
      </c>
      <c r="C3543" s="1390" t="str">
        <f>Risk_Compensation!$B$1</f>
        <v xml:space="preserve">Risikoausgleich </v>
      </c>
      <c r="D3543" s="2205" t="s">
        <v>2572</v>
      </c>
      <c r="E3543" s="1390">
        <f>Risk_Compensation!$G54</f>
        <v>37</v>
      </c>
      <c r="F3543" s="1390" t="str">
        <f>Risk_Compensation!$I$17</f>
        <v>AI</v>
      </c>
      <c r="G3543" s="1390"/>
      <c r="H3543" s="1077">
        <f>Risk_Compensation!$I54</f>
        <v>0</v>
      </c>
    </row>
    <row r="3544" spans="1:8" x14ac:dyDescent="0.2">
      <c r="A3544" s="1027"/>
      <c r="B3544" s="1083">
        <f>Risk_Compensation!A$1</f>
        <v>36</v>
      </c>
      <c r="C3544" s="1390" t="str">
        <f>Risk_Compensation!$B$1</f>
        <v xml:space="preserve">Risikoausgleich </v>
      </c>
      <c r="D3544" s="2205" t="s">
        <v>2572</v>
      </c>
      <c r="E3544" s="1390">
        <f>Risk_Compensation!$G55</f>
        <v>38</v>
      </c>
      <c r="F3544" s="1390" t="str">
        <f>Risk_Compensation!$I$17</f>
        <v>AI</v>
      </c>
      <c r="G3544" s="1390"/>
      <c r="H3544" s="1077">
        <f>Risk_Compensation!$I55</f>
        <v>0</v>
      </c>
    </row>
    <row r="3545" spans="1:8" x14ac:dyDescent="0.2">
      <c r="A3545" s="1027"/>
      <c r="B3545" s="1083">
        <f>Risk_Compensation!A$1</f>
        <v>36</v>
      </c>
      <c r="C3545" s="1390" t="str">
        <f>Risk_Compensation!$B$1</f>
        <v xml:space="preserve">Risikoausgleich </v>
      </c>
      <c r="D3545" s="2205" t="s">
        <v>2572</v>
      </c>
      <c r="E3545" s="1390">
        <f>Risk_Compensation!$G56</f>
        <v>39</v>
      </c>
      <c r="F3545" s="1390" t="str">
        <f>Risk_Compensation!$I$17</f>
        <v>AI</v>
      </c>
      <c r="G3545" s="1390"/>
      <c r="H3545" s="1077">
        <f>Risk_Compensation!$I56</f>
        <v>0</v>
      </c>
    </row>
    <row r="3546" spans="1:8" x14ac:dyDescent="0.2">
      <c r="A3546" s="1027"/>
      <c r="B3546" s="1083">
        <f>Risk_Compensation!A$1</f>
        <v>36</v>
      </c>
      <c r="C3546" s="1390" t="str">
        <f>Risk_Compensation!$B$1</f>
        <v xml:space="preserve">Risikoausgleich </v>
      </c>
      <c r="D3546" s="2205" t="s">
        <v>2572</v>
      </c>
      <c r="E3546" s="1390">
        <f>Risk_Compensation!$G57</f>
        <v>40</v>
      </c>
      <c r="F3546" s="1390" t="str">
        <f>Risk_Compensation!$I$17</f>
        <v>AI</v>
      </c>
      <c r="G3546" s="1390"/>
      <c r="H3546" s="1077">
        <f>Risk_Compensation!$I57</f>
        <v>0</v>
      </c>
    </row>
    <row r="3547" spans="1:8" x14ac:dyDescent="0.2">
      <c r="A3547" s="1027"/>
      <c r="B3547" s="1083">
        <f>Risk_Compensation!A$1</f>
        <v>36</v>
      </c>
      <c r="C3547" s="1390" t="str">
        <f>Risk_Compensation!$B$1</f>
        <v xml:space="preserve">Risikoausgleich </v>
      </c>
      <c r="D3547" s="2205" t="s">
        <v>2572</v>
      </c>
      <c r="E3547" s="1390">
        <f>Risk_Compensation!$G58</f>
        <v>41</v>
      </c>
      <c r="F3547" s="1390" t="str">
        <f>Risk_Compensation!$I$17</f>
        <v>AI</v>
      </c>
      <c r="G3547" s="1390"/>
      <c r="H3547" s="1077">
        <f>Risk_Compensation!$I58</f>
        <v>0</v>
      </c>
    </row>
    <row r="3548" spans="1:8" x14ac:dyDescent="0.2">
      <c r="A3548" s="1027"/>
      <c r="B3548" s="1083">
        <f>Risk_Compensation!A$1</f>
        <v>36</v>
      </c>
      <c r="C3548" s="1390" t="str">
        <f>Risk_Compensation!$B$1</f>
        <v xml:space="preserve">Risikoausgleich </v>
      </c>
      <c r="D3548" s="2205" t="s">
        <v>2572</v>
      </c>
      <c r="E3548" s="1390">
        <f>Risk_Compensation!$G59</f>
        <v>42</v>
      </c>
      <c r="F3548" s="1390" t="str">
        <f>Risk_Compensation!$I$17</f>
        <v>AI</v>
      </c>
      <c r="G3548" s="1390"/>
      <c r="H3548" s="1077">
        <f>Risk_Compensation!$I59</f>
        <v>0</v>
      </c>
    </row>
    <row r="3549" spans="1:8" x14ac:dyDescent="0.2">
      <c r="A3549" s="1027"/>
      <c r="B3549" s="1083">
        <f>Risk_Compensation!A$1</f>
        <v>36</v>
      </c>
      <c r="C3549" s="1390" t="str">
        <f>Risk_Compensation!$B$1</f>
        <v xml:space="preserve">Risikoausgleich </v>
      </c>
      <c r="D3549" s="2205" t="s">
        <v>2572</v>
      </c>
      <c r="E3549" s="1390">
        <f>Risk_Compensation!$G60</f>
        <v>43</v>
      </c>
      <c r="F3549" s="1390" t="str">
        <f>Risk_Compensation!$I$17</f>
        <v>AI</v>
      </c>
      <c r="G3549" s="1390"/>
      <c r="H3549" s="1077">
        <f>Risk_Compensation!$I60</f>
        <v>0</v>
      </c>
    </row>
    <row r="3550" spans="1:8" x14ac:dyDescent="0.2">
      <c r="A3550" s="1027"/>
      <c r="B3550" s="1083">
        <f>Risk_Compensation!A$1</f>
        <v>36</v>
      </c>
      <c r="C3550" s="1390" t="str">
        <f>Risk_Compensation!$B$1</f>
        <v xml:space="preserve">Risikoausgleich </v>
      </c>
      <c r="D3550" s="2205" t="s">
        <v>2572</v>
      </c>
      <c r="E3550" s="1390">
        <f>Risk_Compensation!$G61</f>
        <v>44</v>
      </c>
      <c r="F3550" s="1390" t="str">
        <f>Risk_Compensation!$I$17</f>
        <v>AI</v>
      </c>
      <c r="G3550" s="1390"/>
      <c r="H3550" s="1077">
        <f>Risk_Compensation!$I61</f>
        <v>0</v>
      </c>
    </row>
    <row r="3551" spans="1:8" x14ac:dyDescent="0.2">
      <c r="A3551" s="1027"/>
      <c r="B3551" s="1083">
        <f>Risk_Compensation!A$1</f>
        <v>36</v>
      </c>
      <c r="C3551" s="1390" t="str">
        <f>Risk_Compensation!$B$1</f>
        <v xml:space="preserve">Risikoausgleich </v>
      </c>
      <c r="D3551" s="2205" t="s">
        <v>2572</v>
      </c>
      <c r="E3551" s="1390">
        <f>Risk_Compensation!$G62</f>
        <v>45</v>
      </c>
      <c r="F3551" s="1390" t="str">
        <f>Risk_Compensation!$I$17</f>
        <v>AI</v>
      </c>
      <c r="G3551" s="1390"/>
      <c r="H3551" s="1077">
        <f>Risk_Compensation!$I62</f>
        <v>0</v>
      </c>
    </row>
    <row r="3552" spans="1:8" x14ac:dyDescent="0.2">
      <c r="A3552" s="1027"/>
      <c r="B3552" s="1083">
        <f>Risk_Compensation!A$1</f>
        <v>36</v>
      </c>
      <c r="C3552" s="1390" t="str">
        <f>Risk_Compensation!$B$1</f>
        <v xml:space="preserve">Risikoausgleich </v>
      </c>
      <c r="D3552" s="2205" t="s">
        <v>2572</v>
      </c>
      <c r="E3552" s="1390">
        <f>Risk_Compensation!$G63</f>
        <v>46</v>
      </c>
      <c r="F3552" s="1390" t="str">
        <f>Risk_Compensation!$I$17</f>
        <v>AI</v>
      </c>
      <c r="G3552" s="1390"/>
      <c r="H3552" s="1077">
        <f>Risk_Compensation!$I63</f>
        <v>0</v>
      </c>
    </row>
    <row r="3553" spans="1:8" x14ac:dyDescent="0.2">
      <c r="A3553" s="1027"/>
      <c r="B3553" s="1083">
        <f>Risk_Compensation!A$1</f>
        <v>36</v>
      </c>
      <c r="C3553" s="1390" t="str">
        <f>Risk_Compensation!$B$1</f>
        <v xml:space="preserve">Risikoausgleich </v>
      </c>
      <c r="D3553" s="2205" t="s">
        <v>2572</v>
      </c>
      <c r="E3553" s="1390">
        <f>Risk_Compensation!$G64</f>
        <v>47</v>
      </c>
      <c r="F3553" s="1390" t="str">
        <f>Risk_Compensation!$I$17</f>
        <v>AI</v>
      </c>
      <c r="G3553" s="1390"/>
      <c r="H3553" s="1077">
        <f>Risk_Compensation!$I64</f>
        <v>0</v>
      </c>
    </row>
    <row r="3554" spans="1:8" x14ac:dyDescent="0.2">
      <c r="A3554" s="1027"/>
      <c r="B3554" s="1083">
        <f>Risk_Compensation!A$1</f>
        <v>36</v>
      </c>
      <c r="C3554" s="1390" t="str">
        <f>Risk_Compensation!$B$1</f>
        <v xml:space="preserve">Risikoausgleich </v>
      </c>
      <c r="D3554" s="2205" t="s">
        <v>2572</v>
      </c>
      <c r="E3554" s="1390">
        <f>Risk_Compensation!$G65</f>
        <v>48</v>
      </c>
      <c r="F3554" s="1390" t="str">
        <f>Risk_Compensation!$I$17</f>
        <v>AI</v>
      </c>
      <c r="G3554" s="1390"/>
      <c r="H3554" s="1077">
        <f>Risk_Compensation!$I65</f>
        <v>0</v>
      </c>
    </row>
    <row r="3555" spans="1:8" x14ac:dyDescent="0.2">
      <c r="A3555" s="1027"/>
      <c r="B3555" s="1083">
        <f>Risk_Compensation!A$1</f>
        <v>36</v>
      </c>
      <c r="C3555" s="1390" t="str">
        <f>Risk_Compensation!$B$1</f>
        <v xml:space="preserve">Risikoausgleich </v>
      </c>
      <c r="D3555" s="2205" t="s">
        <v>2572</v>
      </c>
      <c r="E3555" s="1390">
        <f>Risk_Compensation!$G66</f>
        <v>49</v>
      </c>
      <c r="F3555" s="1390" t="str">
        <f>Risk_Compensation!$I$17</f>
        <v>AI</v>
      </c>
      <c r="G3555" s="1390"/>
      <c r="H3555" s="1077">
        <f>Risk_Compensation!$I66</f>
        <v>0</v>
      </c>
    </row>
    <row r="3556" spans="1:8" x14ac:dyDescent="0.2">
      <c r="A3556" s="1027"/>
      <c r="B3556" s="1083">
        <f>Risk_Compensation!A$1</f>
        <v>36</v>
      </c>
      <c r="C3556" s="1390" t="str">
        <f>Risk_Compensation!$B$1</f>
        <v xml:space="preserve">Risikoausgleich </v>
      </c>
      <c r="D3556" s="2205" t="s">
        <v>2572</v>
      </c>
      <c r="E3556" s="1390">
        <f>Risk_Compensation!$G67</f>
        <v>50</v>
      </c>
      <c r="F3556" s="1390" t="str">
        <f>Risk_Compensation!$I$17</f>
        <v>AI</v>
      </c>
      <c r="G3556" s="1390"/>
      <c r="H3556" s="1077">
        <f>Risk_Compensation!$I67</f>
        <v>0</v>
      </c>
    </row>
    <row r="3557" spans="1:8" x14ac:dyDescent="0.2">
      <c r="A3557" s="1027"/>
      <c r="B3557" s="1083">
        <f>Risk_Compensation!A$1</f>
        <v>36</v>
      </c>
      <c r="C3557" s="1390" t="str">
        <f>Risk_Compensation!$B$1</f>
        <v xml:space="preserve">Risikoausgleich </v>
      </c>
      <c r="D3557" s="2205" t="s">
        <v>2572</v>
      </c>
      <c r="E3557" s="1390">
        <f>Risk_Compensation!$G68</f>
        <v>51</v>
      </c>
      <c r="F3557" s="1390" t="str">
        <f>Risk_Compensation!$I$17</f>
        <v>AI</v>
      </c>
      <c r="G3557" s="1390"/>
      <c r="H3557" s="1077">
        <f>Risk_Compensation!$I68</f>
        <v>0</v>
      </c>
    </row>
    <row r="3558" spans="1:8" x14ac:dyDescent="0.2">
      <c r="A3558" s="1027"/>
      <c r="B3558" s="1083">
        <f>Risk_Compensation!A$1</f>
        <v>36</v>
      </c>
      <c r="C3558" s="1390" t="str">
        <f>Risk_Compensation!$B$1</f>
        <v xml:space="preserve">Risikoausgleich </v>
      </c>
      <c r="D3558" s="2205" t="s">
        <v>2572</v>
      </c>
      <c r="E3558" s="1390">
        <f>Risk_Compensation!$G69</f>
        <v>52</v>
      </c>
      <c r="F3558" s="1390" t="str">
        <f>Risk_Compensation!$I$17</f>
        <v>AI</v>
      </c>
      <c r="G3558" s="1390"/>
      <c r="H3558" s="1077">
        <f>Risk_Compensation!$I69</f>
        <v>0</v>
      </c>
    </row>
    <row r="3559" spans="1:8" x14ac:dyDescent="0.2">
      <c r="A3559" s="1027"/>
      <c r="B3559" s="1083">
        <f>Risk_Compensation!A$1</f>
        <v>36</v>
      </c>
      <c r="C3559" s="1390" t="str">
        <f>Risk_Compensation!$B$1</f>
        <v xml:space="preserve">Risikoausgleich </v>
      </c>
      <c r="D3559" s="2205" t="s">
        <v>2572</v>
      </c>
      <c r="E3559" s="1390">
        <f>Risk_Compensation!$G70</f>
        <v>53</v>
      </c>
      <c r="F3559" s="1390" t="str">
        <f>Risk_Compensation!$I$17</f>
        <v>AI</v>
      </c>
      <c r="G3559" s="1390"/>
      <c r="H3559" s="1077">
        <f>Risk_Compensation!$I70</f>
        <v>0</v>
      </c>
    </row>
    <row r="3560" spans="1:8" x14ac:dyDescent="0.2">
      <c r="A3560" s="1027"/>
      <c r="B3560" s="1083">
        <f>Risk_Compensation!A$1</f>
        <v>36</v>
      </c>
      <c r="C3560" s="1390" t="str">
        <f>Risk_Compensation!$B$1</f>
        <v xml:space="preserve">Risikoausgleich </v>
      </c>
      <c r="D3560" s="2205" t="s">
        <v>2572</v>
      </c>
      <c r="E3560" s="1390">
        <f>Risk_Compensation!$G71</f>
        <v>54</v>
      </c>
      <c r="F3560" s="1390" t="str">
        <f>Risk_Compensation!$I$17</f>
        <v>AI</v>
      </c>
      <c r="G3560" s="1390"/>
      <c r="H3560" s="1077">
        <f>Risk_Compensation!$I71</f>
        <v>0</v>
      </c>
    </row>
    <row r="3561" spans="1:8" x14ac:dyDescent="0.2">
      <c r="A3561" s="1027"/>
      <c r="B3561" s="1083">
        <f>Risk_Compensation!A$1</f>
        <v>36</v>
      </c>
      <c r="C3561" s="1390" t="str">
        <f>Risk_Compensation!$B$1</f>
        <v xml:space="preserve">Risikoausgleich </v>
      </c>
      <c r="D3561" s="2205" t="s">
        <v>2572</v>
      </c>
      <c r="E3561" s="1390">
        <f>Risk_Compensation!$G72</f>
        <v>55</v>
      </c>
      <c r="F3561" s="1390" t="str">
        <f>Risk_Compensation!$I$17</f>
        <v>AI</v>
      </c>
      <c r="G3561" s="1390"/>
      <c r="H3561" s="1077">
        <f>Risk_Compensation!$I72</f>
        <v>0</v>
      </c>
    </row>
    <row r="3562" spans="1:8" x14ac:dyDescent="0.2">
      <c r="A3562" s="1027"/>
      <c r="B3562" s="1083">
        <f>Risk_Compensation!A$1</f>
        <v>36</v>
      </c>
      <c r="C3562" s="1390" t="str">
        <f>Risk_Compensation!$B$1</f>
        <v xml:space="preserve">Risikoausgleich </v>
      </c>
      <c r="D3562" s="2205" t="s">
        <v>2572</v>
      </c>
      <c r="E3562" s="1390">
        <f>Risk_Compensation!$G73</f>
        <v>56</v>
      </c>
      <c r="F3562" s="1390" t="str">
        <f>Risk_Compensation!$I$17</f>
        <v>AI</v>
      </c>
      <c r="G3562" s="1390"/>
      <c r="H3562" s="1077">
        <f>Risk_Compensation!$I73</f>
        <v>0</v>
      </c>
    </row>
    <row r="3563" spans="1:8" x14ac:dyDescent="0.2">
      <c r="A3563" s="1027"/>
      <c r="B3563" s="1083">
        <f>Risk_Compensation!A$1</f>
        <v>36</v>
      </c>
      <c r="C3563" s="1390" t="str">
        <f>Risk_Compensation!$B$1</f>
        <v xml:space="preserve">Risikoausgleich </v>
      </c>
      <c r="D3563" s="2205" t="s">
        <v>2572</v>
      </c>
      <c r="E3563" s="1390">
        <f>Risk_Compensation!$G74</f>
        <v>57</v>
      </c>
      <c r="F3563" s="1390" t="str">
        <f>Risk_Compensation!$I$17</f>
        <v>AI</v>
      </c>
      <c r="G3563" s="1390"/>
      <c r="H3563" s="1077">
        <f>Risk_Compensation!$I74</f>
        <v>0</v>
      </c>
    </row>
    <row r="3564" spans="1:8" x14ac:dyDescent="0.2">
      <c r="A3564" s="1027"/>
      <c r="B3564" s="1083">
        <f>Risk_Compensation!A$1</f>
        <v>36</v>
      </c>
      <c r="C3564" s="1390" t="str">
        <f>Risk_Compensation!$B$1</f>
        <v xml:space="preserve">Risikoausgleich </v>
      </c>
      <c r="D3564" s="2205" t="s">
        <v>2572</v>
      </c>
      <c r="E3564" s="1390">
        <f>Risk_Compensation!$G75</f>
        <v>58</v>
      </c>
      <c r="F3564" s="1390" t="str">
        <f>Risk_Compensation!$I$17</f>
        <v>AI</v>
      </c>
      <c r="G3564" s="1390"/>
      <c r="H3564" s="1077">
        <f>Risk_Compensation!$I75</f>
        <v>0</v>
      </c>
    </row>
    <row r="3565" spans="1:8" x14ac:dyDescent="0.2">
      <c r="A3565" s="1027"/>
      <c r="B3565" s="1083">
        <f>Risk_Compensation!A$1</f>
        <v>36</v>
      </c>
      <c r="C3565" s="1390" t="str">
        <f>Risk_Compensation!$B$1</f>
        <v xml:space="preserve">Risikoausgleich </v>
      </c>
      <c r="D3565" s="2205" t="s">
        <v>2572</v>
      </c>
      <c r="E3565" s="1390">
        <f>Risk_Compensation!$G76</f>
        <v>59</v>
      </c>
      <c r="F3565" s="1390" t="str">
        <f>Risk_Compensation!$I$17</f>
        <v>AI</v>
      </c>
      <c r="G3565" s="1390"/>
      <c r="H3565" s="1077">
        <f>Risk_Compensation!$I76</f>
        <v>0</v>
      </c>
    </row>
    <row r="3566" spans="1:8" x14ac:dyDescent="0.2">
      <c r="A3566" s="1027"/>
      <c r="B3566" s="1083">
        <f>Risk_Compensation!A$1</f>
        <v>36</v>
      </c>
      <c r="C3566" s="1390" t="str">
        <f>Risk_Compensation!$B$1</f>
        <v xml:space="preserve">Risikoausgleich </v>
      </c>
      <c r="D3566" s="2205" t="s">
        <v>2572</v>
      </c>
      <c r="E3566" s="1390">
        <f>Risk_Compensation!$G77</f>
        <v>60</v>
      </c>
      <c r="F3566" s="1390" t="str">
        <f>Risk_Compensation!$I$17</f>
        <v>AI</v>
      </c>
      <c r="G3566" s="1390"/>
      <c r="H3566" s="1077">
        <f>Risk_Compensation!$I77</f>
        <v>0</v>
      </c>
    </row>
    <row r="3567" spans="1:8" x14ac:dyDescent="0.2">
      <c r="A3567" s="1027"/>
      <c r="B3567" s="2174"/>
      <c r="C3567" s="1390"/>
      <c r="D3567" s="2175"/>
      <c r="E3567" s="2176"/>
      <c r="F3567" s="1390"/>
      <c r="G3567" s="1390"/>
      <c r="H3567" s="1078"/>
    </row>
    <row r="3568" spans="1:8" x14ac:dyDescent="0.2">
      <c r="A3568" s="1027"/>
      <c r="B3568" s="1083">
        <f>Risk_Compensation!A$1</f>
        <v>36</v>
      </c>
      <c r="C3568" s="1390" t="str">
        <f>Risk_Compensation!$B$1</f>
        <v xml:space="preserve">Risikoausgleich </v>
      </c>
      <c r="D3568" s="2205" t="s">
        <v>2572</v>
      </c>
      <c r="E3568" s="1390">
        <f>Risk_Compensation!$G18</f>
        <v>1</v>
      </c>
      <c r="F3568" s="1390" t="str">
        <f>Risk_Compensation!$J$17</f>
        <v>AR</v>
      </c>
      <c r="G3568" s="1390"/>
      <c r="H3568" s="1077">
        <f>Risk_Compensation!$J18</f>
        <v>0</v>
      </c>
    </row>
    <row r="3569" spans="1:8" x14ac:dyDescent="0.2">
      <c r="A3569" s="1027"/>
      <c r="B3569" s="1083">
        <f>Risk_Compensation!A$1</f>
        <v>36</v>
      </c>
      <c r="C3569" s="1390" t="str">
        <f>Risk_Compensation!$B$1</f>
        <v xml:space="preserve">Risikoausgleich </v>
      </c>
      <c r="D3569" s="2205" t="s">
        <v>2572</v>
      </c>
      <c r="E3569" s="1390">
        <f>Risk_Compensation!$G19</f>
        <v>2</v>
      </c>
      <c r="F3569" s="1390" t="str">
        <f>Risk_Compensation!$J$17</f>
        <v>AR</v>
      </c>
      <c r="G3569" s="1390"/>
      <c r="H3569" s="1077">
        <f>Risk_Compensation!$J19</f>
        <v>0</v>
      </c>
    </row>
    <row r="3570" spans="1:8" x14ac:dyDescent="0.2">
      <c r="A3570" s="1027"/>
      <c r="B3570" s="1083">
        <f>Risk_Compensation!A$1</f>
        <v>36</v>
      </c>
      <c r="C3570" s="1390" t="str">
        <f>Risk_Compensation!$B$1</f>
        <v xml:space="preserve">Risikoausgleich </v>
      </c>
      <c r="D3570" s="2205" t="s">
        <v>2572</v>
      </c>
      <c r="E3570" s="1390">
        <f>Risk_Compensation!$G20</f>
        <v>3</v>
      </c>
      <c r="F3570" s="1390" t="str">
        <f>Risk_Compensation!$J$17</f>
        <v>AR</v>
      </c>
      <c r="G3570" s="1390"/>
      <c r="H3570" s="1077">
        <f>Risk_Compensation!$J20</f>
        <v>0</v>
      </c>
    </row>
    <row r="3571" spans="1:8" x14ac:dyDescent="0.2">
      <c r="A3571" s="1027"/>
      <c r="B3571" s="1083">
        <f>Risk_Compensation!A$1</f>
        <v>36</v>
      </c>
      <c r="C3571" s="1390" t="str">
        <f>Risk_Compensation!$B$1</f>
        <v xml:space="preserve">Risikoausgleich </v>
      </c>
      <c r="D3571" s="2205" t="s">
        <v>2572</v>
      </c>
      <c r="E3571" s="1390">
        <f>Risk_Compensation!$G21</f>
        <v>4</v>
      </c>
      <c r="F3571" s="1390" t="str">
        <f>Risk_Compensation!$J$17</f>
        <v>AR</v>
      </c>
      <c r="G3571" s="1390"/>
      <c r="H3571" s="1077">
        <f>Risk_Compensation!$J21</f>
        <v>0</v>
      </c>
    </row>
    <row r="3572" spans="1:8" x14ac:dyDescent="0.2">
      <c r="A3572" s="1027"/>
      <c r="B3572" s="1083">
        <f>Risk_Compensation!A$1</f>
        <v>36</v>
      </c>
      <c r="C3572" s="1390" t="str">
        <f>Risk_Compensation!$B$1</f>
        <v xml:space="preserve">Risikoausgleich </v>
      </c>
      <c r="D3572" s="2205" t="s">
        <v>2572</v>
      </c>
      <c r="E3572" s="1390">
        <f>Risk_Compensation!$G22</f>
        <v>5</v>
      </c>
      <c r="F3572" s="1390" t="str">
        <f>Risk_Compensation!$J$17</f>
        <v>AR</v>
      </c>
      <c r="G3572" s="1390"/>
      <c r="H3572" s="1077">
        <f>Risk_Compensation!$J22</f>
        <v>0</v>
      </c>
    </row>
    <row r="3573" spans="1:8" x14ac:dyDescent="0.2">
      <c r="A3573" s="1027"/>
      <c r="B3573" s="1083">
        <f>Risk_Compensation!A$1</f>
        <v>36</v>
      </c>
      <c r="C3573" s="1390" t="str">
        <f>Risk_Compensation!$B$1</f>
        <v xml:space="preserve">Risikoausgleich </v>
      </c>
      <c r="D3573" s="2205" t="s">
        <v>2572</v>
      </c>
      <c r="E3573" s="1390">
        <f>Risk_Compensation!$G23</f>
        <v>6</v>
      </c>
      <c r="F3573" s="1390" t="str">
        <f>Risk_Compensation!$J$17</f>
        <v>AR</v>
      </c>
      <c r="G3573" s="1390"/>
      <c r="H3573" s="1077">
        <f>Risk_Compensation!$J23</f>
        <v>0</v>
      </c>
    </row>
    <row r="3574" spans="1:8" x14ac:dyDescent="0.2">
      <c r="A3574" s="1027"/>
      <c r="B3574" s="1083">
        <f>Risk_Compensation!A$1</f>
        <v>36</v>
      </c>
      <c r="C3574" s="1390" t="str">
        <f>Risk_Compensation!$B$1</f>
        <v xml:space="preserve">Risikoausgleich </v>
      </c>
      <c r="D3574" s="2205" t="s">
        <v>2572</v>
      </c>
      <c r="E3574" s="1390">
        <f>Risk_Compensation!$G24</f>
        <v>7</v>
      </c>
      <c r="F3574" s="1390" t="str">
        <f>Risk_Compensation!$J$17</f>
        <v>AR</v>
      </c>
      <c r="G3574" s="1390"/>
      <c r="H3574" s="1077">
        <f>Risk_Compensation!$J24</f>
        <v>0</v>
      </c>
    </row>
    <row r="3575" spans="1:8" x14ac:dyDescent="0.2">
      <c r="A3575" s="1027"/>
      <c r="B3575" s="1083">
        <f>Risk_Compensation!A$1</f>
        <v>36</v>
      </c>
      <c r="C3575" s="1390" t="str">
        <f>Risk_Compensation!$B$1</f>
        <v xml:space="preserve">Risikoausgleich </v>
      </c>
      <c r="D3575" s="2205" t="s">
        <v>2572</v>
      </c>
      <c r="E3575" s="1390">
        <f>Risk_Compensation!$G25</f>
        <v>8</v>
      </c>
      <c r="F3575" s="1390" t="str">
        <f>Risk_Compensation!$J$17</f>
        <v>AR</v>
      </c>
      <c r="G3575" s="1390"/>
      <c r="H3575" s="1077">
        <f>Risk_Compensation!$J25</f>
        <v>0</v>
      </c>
    </row>
    <row r="3576" spans="1:8" x14ac:dyDescent="0.2">
      <c r="A3576" s="1027"/>
      <c r="B3576" s="1083">
        <f>Risk_Compensation!A$1</f>
        <v>36</v>
      </c>
      <c r="C3576" s="1390" t="str">
        <f>Risk_Compensation!$B$1</f>
        <v xml:space="preserve">Risikoausgleich </v>
      </c>
      <c r="D3576" s="2205" t="s">
        <v>2572</v>
      </c>
      <c r="E3576" s="1390">
        <f>Risk_Compensation!$G26</f>
        <v>9</v>
      </c>
      <c r="F3576" s="1390" t="str">
        <f>Risk_Compensation!$J$17</f>
        <v>AR</v>
      </c>
      <c r="G3576" s="1390"/>
      <c r="H3576" s="1077">
        <f>Risk_Compensation!$J26</f>
        <v>0</v>
      </c>
    </row>
    <row r="3577" spans="1:8" x14ac:dyDescent="0.2">
      <c r="A3577" s="1027"/>
      <c r="B3577" s="1083">
        <f>Risk_Compensation!A$1</f>
        <v>36</v>
      </c>
      <c r="C3577" s="1390" t="str">
        <f>Risk_Compensation!$B$1</f>
        <v xml:space="preserve">Risikoausgleich </v>
      </c>
      <c r="D3577" s="2205" t="s">
        <v>2572</v>
      </c>
      <c r="E3577" s="1390">
        <f>Risk_Compensation!$G27</f>
        <v>10</v>
      </c>
      <c r="F3577" s="1390" t="str">
        <f>Risk_Compensation!$J$17</f>
        <v>AR</v>
      </c>
      <c r="G3577" s="1390"/>
      <c r="H3577" s="1077">
        <f>Risk_Compensation!$J27</f>
        <v>0</v>
      </c>
    </row>
    <row r="3578" spans="1:8" x14ac:dyDescent="0.2">
      <c r="A3578" s="1027"/>
      <c r="B3578" s="1083">
        <f>Risk_Compensation!A$1</f>
        <v>36</v>
      </c>
      <c r="C3578" s="1390" t="str">
        <f>Risk_Compensation!$B$1</f>
        <v xml:space="preserve">Risikoausgleich </v>
      </c>
      <c r="D3578" s="2205" t="s">
        <v>2572</v>
      </c>
      <c r="E3578" s="1390">
        <f>Risk_Compensation!$G28</f>
        <v>11</v>
      </c>
      <c r="F3578" s="1390" t="str">
        <f>Risk_Compensation!$J$17</f>
        <v>AR</v>
      </c>
      <c r="G3578" s="1390"/>
      <c r="H3578" s="1077">
        <f>Risk_Compensation!$J28</f>
        <v>0</v>
      </c>
    </row>
    <row r="3579" spans="1:8" x14ac:dyDescent="0.2">
      <c r="A3579" s="1027"/>
      <c r="B3579" s="1083">
        <f>Risk_Compensation!A$1</f>
        <v>36</v>
      </c>
      <c r="C3579" s="1390" t="str">
        <f>Risk_Compensation!$B$1</f>
        <v xml:space="preserve">Risikoausgleich </v>
      </c>
      <c r="D3579" s="2205" t="s">
        <v>2572</v>
      </c>
      <c r="E3579" s="1390">
        <f>Risk_Compensation!$G29</f>
        <v>12</v>
      </c>
      <c r="F3579" s="1390" t="str">
        <f>Risk_Compensation!$J$17</f>
        <v>AR</v>
      </c>
      <c r="G3579" s="1390"/>
      <c r="H3579" s="1077">
        <f>Risk_Compensation!$J29</f>
        <v>0</v>
      </c>
    </row>
    <row r="3580" spans="1:8" x14ac:dyDescent="0.2">
      <c r="A3580" s="1027"/>
      <c r="B3580" s="1083">
        <f>Risk_Compensation!A$1</f>
        <v>36</v>
      </c>
      <c r="C3580" s="1390" t="str">
        <f>Risk_Compensation!$B$1</f>
        <v xml:space="preserve">Risikoausgleich </v>
      </c>
      <c r="D3580" s="2205" t="s">
        <v>2572</v>
      </c>
      <c r="E3580" s="1390">
        <f>Risk_Compensation!$G30</f>
        <v>13</v>
      </c>
      <c r="F3580" s="1390" t="str">
        <f>Risk_Compensation!$J$17</f>
        <v>AR</v>
      </c>
      <c r="G3580" s="1390"/>
      <c r="H3580" s="1077">
        <f>Risk_Compensation!$J30</f>
        <v>0</v>
      </c>
    </row>
    <row r="3581" spans="1:8" x14ac:dyDescent="0.2">
      <c r="A3581" s="1027"/>
      <c r="B3581" s="1083">
        <f>Risk_Compensation!A$1</f>
        <v>36</v>
      </c>
      <c r="C3581" s="1390" t="str">
        <f>Risk_Compensation!$B$1</f>
        <v xml:space="preserve">Risikoausgleich </v>
      </c>
      <c r="D3581" s="2205" t="s">
        <v>2572</v>
      </c>
      <c r="E3581" s="1390">
        <f>Risk_Compensation!$G31</f>
        <v>14</v>
      </c>
      <c r="F3581" s="1390" t="str">
        <f>Risk_Compensation!$J$17</f>
        <v>AR</v>
      </c>
      <c r="G3581" s="1390"/>
      <c r="H3581" s="1077">
        <f>Risk_Compensation!$J31</f>
        <v>0</v>
      </c>
    </row>
    <row r="3582" spans="1:8" x14ac:dyDescent="0.2">
      <c r="A3582" s="1027"/>
      <c r="B3582" s="1083">
        <f>Risk_Compensation!A$1</f>
        <v>36</v>
      </c>
      <c r="C3582" s="1390" t="str">
        <f>Risk_Compensation!$B$1</f>
        <v xml:space="preserve">Risikoausgleich </v>
      </c>
      <c r="D3582" s="2205" t="s">
        <v>2572</v>
      </c>
      <c r="E3582" s="1390">
        <f>Risk_Compensation!$G32</f>
        <v>15</v>
      </c>
      <c r="F3582" s="1390" t="str">
        <f>Risk_Compensation!$J$17</f>
        <v>AR</v>
      </c>
      <c r="G3582" s="1390"/>
      <c r="H3582" s="1077">
        <f>Risk_Compensation!$J32</f>
        <v>0</v>
      </c>
    </row>
    <row r="3583" spans="1:8" x14ac:dyDescent="0.2">
      <c r="A3583" s="1027"/>
      <c r="B3583" s="1083">
        <f>Risk_Compensation!A$1</f>
        <v>36</v>
      </c>
      <c r="C3583" s="1390" t="str">
        <f>Risk_Compensation!$B$1</f>
        <v xml:space="preserve">Risikoausgleich </v>
      </c>
      <c r="D3583" s="2205" t="s">
        <v>2572</v>
      </c>
      <c r="E3583" s="1390">
        <f>Risk_Compensation!$G33</f>
        <v>16</v>
      </c>
      <c r="F3583" s="1390" t="str">
        <f>Risk_Compensation!$J$17</f>
        <v>AR</v>
      </c>
      <c r="G3583" s="1390"/>
      <c r="H3583" s="1077">
        <f>Risk_Compensation!$J33</f>
        <v>0</v>
      </c>
    </row>
    <row r="3584" spans="1:8" x14ac:dyDescent="0.2">
      <c r="A3584" s="1027"/>
      <c r="B3584" s="1083">
        <f>Risk_Compensation!A$1</f>
        <v>36</v>
      </c>
      <c r="C3584" s="1390" t="str">
        <f>Risk_Compensation!$B$1</f>
        <v xml:space="preserve">Risikoausgleich </v>
      </c>
      <c r="D3584" s="2205" t="s">
        <v>2572</v>
      </c>
      <c r="E3584" s="1390">
        <f>Risk_Compensation!$G34</f>
        <v>17</v>
      </c>
      <c r="F3584" s="1390" t="str">
        <f>Risk_Compensation!$J$17</f>
        <v>AR</v>
      </c>
      <c r="G3584" s="1390"/>
      <c r="H3584" s="1077">
        <f>Risk_Compensation!$J34</f>
        <v>0</v>
      </c>
    </row>
    <row r="3585" spans="1:8" x14ac:dyDescent="0.2">
      <c r="A3585" s="1027"/>
      <c r="B3585" s="1083">
        <f>Risk_Compensation!A$1</f>
        <v>36</v>
      </c>
      <c r="C3585" s="1390" t="str">
        <f>Risk_Compensation!$B$1</f>
        <v xml:space="preserve">Risikoausgleich </v>
      </c>
      <c r="D3585" s="2205" t="s">
        <v>2572</v>
      </c>
      <c r="E3585" s="1390">
        <f>Risk_Compensation!$G35</f>
        <v>18</v>
      </c>
      <c r="F3585" s="1390" t="str">
        <f>Risk_Compensation!$J$17</f>
        <v>AR</v>
      </c>
      <c r="G3585" s="1390"/>
      <c r="H3585" s="1077">
        <f>Risk_Compensation!$J35</f>
        <v>0</v>
      </c>
    </row>
    <row r="3586" spans="1:8" x14ac:dyDescent="0.2">
      <c r="A3586" s="1027"/>
      <c r="B3586" s="1083">
        <f>Risk_Compensation!A$1</f>
        <v>36</v>
      </c>
      <c r="C3586" s="1390" t="str">
        <f>Risk_Compensation!$B$1</f>
        <v xml:space="preserve">Risikoausgleich </v>
      </c>
      <c r="D3586" s="2205" t="s">
        <v>2572</v>
      </c>
      <c r="E3586" s="1390">
        <f>Risk_Compensation!$G36</f>
        <v>19</v>
      </c>
      <c r="F3586" s="1390" t="str">
        <f>Risk_Compensation!$J$17</f>
        <v>AR</v>
      </c>
      <c r="G3586" s="1390"/>
      <c r="H3586" s="1077">
        <f>Risk_Compensation!$J36</f>
        <v>0</v>
      </c>
    </row>
    <row r="3587" spans="1:8" x14ac:dyDescent="0.2">
      <c r="A3587" s="1027"/>
      <c r="B3587" s="1083">
        <f>Risk_Compensation!A$1</f>
        <v>36</v>
      </c>
      <c r="C3587" s="1390" t="str">
        <f>Risk_Compensation!$B$1</f>
        <v xml:space="preserve">Risikoausgleich </v>
      </c>
      <c r="D3587" s="2205" t="s">
        <v>2572</v>
      </c>
      <c r="E3587" s="1390">
        <f>Risk_Compensation!$G37</f>
        <v>20</v>
      </c>
      <c r="F3587" s="1390" t="str">
        <f>Risk_Compensation!$J$17</f>
        <v>AR</v>
      </c>
      <c r="G3587" s="1390"/>
      <c r="H3587" s="1077">
        <f>Risk_Compensation!$J37</f>
        <v>0</v>
      </c>
    </row>
    <row r="3588" spans="1:8" x14ac:dyDescent="0.2">
      <c r="A3588" s="1027"/>
      <c r="B3588" s="1083">
        <f>Risk_Compensation!A$1</f>
        <v>36</v>
      </c>
      <c r="C3588" s="1390" t="str">
        <f>Risk_Compensation!$B$1</f>
        <v xml:space="preserve">Risikoausgleich </v>
      </c>
      <c r="D3588" s="2205" t="s">
        <v>2572</v>
      </c>
      <c r="E3588" s="1390">
        <f>Risk_Compensation!$G38</f>
        <v>21</v>
      </c>
      <c r="F3588" s="1390" t="str">
        <f>Risk_Compensation!$J$17</f>
        <v>AR</v>
      </c>
      <c r="G3588" s="1390"/>
      <c r="H3588" s="1077">
        <f>Risk_Compensation!$J38</f>
        <v>0</v>
      </c>
    </row>
    <row r="3589" spans="1:8" x14ac:dyDescent="0.2">
      <c r="A3589" s="1027"/>
      <c r="B3589" s="1083">
        <f>Risk_Compensation!A$1</f>
        <v>36</v>
      </c>
      <c r="C3589" s="1390" t="str">
        <f>Risk_Compensation!$B$1</f>
        <v xml:space="preserve">Risikoausgleich </v>
      </c>
      <c r="D3589" s="2205" t="s">
        <v>2572</v>
      </c>
      <c r="E3589" s="1390">
        <f>Risk_Compensation!$G39</f>
        <v>22</v>
      </c>
      <c r="F3589" s="1390" t="str">
        <f>Risk_Compensation!$J$17</f>
        <v>AR</v>
      </c>
      <c r="G3589" s="1390"/>
      <c r="H3589" s="1077">
        <f>Risk_Compensation!$J39</f>
        <v>0</v>
      </c>
    </row>
    <row r="3590" spans="1:8" x14ac:dyDescent="0.2">
      <c r="A3590" s="1027"/>
      <c r="B3590" s="1083">
        <f>Risk_Compensation!A$1</f>
        <v>36</v>
      </c>
      <c r="C3590" s="1390" t="str">
        <f>Risk_Compensation!$B$1</f>
        <v xml:space="preserve">Risikoausgleich </v>
      </c>
      <c r="D3590" s="2205" t="s">
        <v>2572</v>
      </c>
      <c r="E3590" s="1390">
        <f>Risk_Compensation!$G40</f>
        <v>23</v>
      </c>
      <c r="F3590" s="1390" t="str">
        <f>Risk_Compensation!$J$17</f>
        <v>AR</v>
      </c>
      <c r="G3590" s="1390"/>
      <c r="H3590" s="1077">
        <f>Risk_Compensation!$J40</f>
        <v>0</v>
      </c>
    </row>
    <row r="3591" spans="1:8" x14ac:dyDescent="0.2">
      <c r="A3591" s="1027"/>
      <c r="B3591" s="1083">
        <f>Risk_Compensation!A$1</f>
        <v>36</v>
      </c>
      <c r="C3591" s="1390" t="str">
        <f>Risk_Compensation!$B$1</f>
        <v xml:space="preserve">Risikoausgleich </v>
      </c>
      <c r="D3591" s="2205" t="s">
        <v>2572</v>
      </c>
      <c r="E3591" s="1390">
        <f>Risk_Compensation!$G41</f>
        <v>24</v>
      </c>
      <c r="F3591" s="1390" t="str">
        <f>Risk_Compensation!$J$17</f>
        <v>AR</v>
      </c>
      <c r="G3591" s="1390"/>
      <c r="H3591" s="1077">
        <f>Risk_Compensation!$J41</f>
        <v>0</v>
      </c>
    </row>
    <row r="3592" spans="1:8" x14ac:dyDescent="0.2">
      <c r="A3592" s="1027"/>
      <c r="B3592" s="1083">
        <f>Risk_Compensation!A$1</f>
        <v>36</v>
      </c>
      <c r="C3592" s="1390" t="str">
        <f>Risk_Compensation!$B$1</f>
        <v xml:space="preserve">Risikoausgleich </v>
      </c>
      <c r="D3592" s="2205" t="s">
        <v>2572</v>
      </c>
      <c r="E3592" s="1390">
        <f>Risk_Compensation!$G42</f>
        <v>25</v>
      </c>
      <c r="F3592" s="1390" t="str">
        <f>Risk_Compensation!$J$17</f>
        <v>AR</v>
      </c>
      <c r="G3592" s="1390"/>
      <c r="H3592" s="1077">
        <f>Risk_Compensation!$J42</f>
        <v>0</v>
      </c>
    </row>
    <row r="3593" spans="1:8" x14ac:dyDescent="0.2">
      <c r="A3593" s="1027"/>
      <c r="B3593" s="1083">
        <f>Risk_Compensation!A$1</f>
        <v>36</v>
      </c>
      <c r="C3593" s="1390" t="str">
        <f>Risk_Compensation!$B$1</f>
        <v xml:space="preserve">Risikoausgleich </v>
      </c>
      <c r="D3593" s="2205" t="s">
        <v>2572</v>
      </c>
      <c r="E3593" s="1390">
        <f>Risk_Compensation!$G43</f>
        <v>26</v>
      </c>
      <c r="F3593" s="1390" t="str">
        <f>Risk_Compensation!$J$17</f>
        <v>AR</v>
      </c>
      <c r="G3593" s="1390"/>
      <c r="H3593" s="1077">
        <f>Risk_Compensation!$J43</f>
        <v>0</v>
      </c>
    </row>
    <row r="3594" spans="1:8" x14ac:dyDescent="0.2">
      <c r="A3594" s="1027"/>
      <c r="B3594" s="1083">
        <f>Risk_Compensation!A$1</f>
        <v>36</v>
      </c>
      <c r="C3594" s="1390" t="str">
        <f>Risk_Compensation!$B$1</f>
        <v xml:space="preserve">Risikoausgleich </v>
      </c>
      <c r="D3594" s="2205" t="s">
        <v>2572</v>
      </c>
      <c r="E3594" s="1390">
        <f>Risk_Compensation!$G44</f>
        <v>27</v>
      </c>
      <c r="F3594" s="1390" t="str">
        <f>Risk_Compensation!$J$17</f>
        <v>AR</v>
      </c>
      <c r="G3594" s="1390"/>
      <c r="H3594" s="1077">
        <f>Risk_Compensation!$J44</f>
        <v>0</v>
      </c>
    </row>
    <row r="3595" spans="1:8" x14ac:dyDescent="0.2">
      <c r="A3595" s="1027"/>
      <c r="B3595" s="1083">
        <f>Risk_Compensation!A$1</f>
        <v>36</v>
      </c>
      <c r="C3595" s="1390" t="str">
        <f>Risk_Compensation!$B$1</f>
        <v xml:space="preserve">Risikoausgleich </v>
      </c>
      <c r="D3595" s="2205" t="s">
        <v>2572</v>
      </c>
      <c r="E3595" s="1390">
        <f>Risk_Compensation!$G45</f>
        <v>28</v>
      </c>
      <c r="F3595" s="1390" t="str">
        <f>Risk_Compensation!$J$17</f>
        <v>AR</v>
      </c>
      <c r="G3595" s="1390"/>
      <c r="H3595" s="1077">
        <f>Risk_Compensation!$J45</f>
        <v>0</v>
      </c>
    </row>
    <row r="3596" spans="1:8" x14ac:dyDescent="0.2">
      <c r="A3596" s="1027"/>
      <c r="B3596" s="1083">
        <f>Risk_Compensation!A$1</f>
        <v>36</v>
      </c>
      <c r="C3596" s="1390" t="str">
        <f>Risk_Compensation!$B$1</f>
        <v xml:space="preserve">Risikoausgleich </v>
      </c>
      <c r="D3596" s="2205" t="s">
        <v>2572</v>
      </c>
      <c r="E3596" s="1390">
        <f>Risk_Compensation!$G46</f>
        <v>29</v>
      </c>
      <c r="F3596" s="1390" t="str">
        <f>Risk_Compensation!$J$17</f>
        <v>AR</v>
      </c>
      <c r="G3596" s="1390"/>
      <c r="H3596" s="1077">
        <f>Risk_Compensation!$J46</f>
        <v>0</v>
      </c>
    </row>
    <row r="3597" spans="1:8" x14ac:dyDescent="0.2">
      <c r="A3597" s="1027"/>
      <c r="B3597" s="1083">
        <f>Risk_Compensation!A$1</f>
        <v>36</v>
      </c>
      <c r="C3597" s="1390" t="str">
        <f>Risk_Compensation!$B$1</f>
        <v xml:space="preserve">Risikoausgleich </v>
      </c>
      <c r="D3597" s="2205" t="s">
        <v>2572</v>
      </c>
      <c r="E3597" s="1390">
        <f>Risk_Compensation!$G47</f>
        <v>30</v>
      </c>
      <c r="F3597" s="1390" t="str">
        <f>Risk_Compensation!$J$17</f>
        <v>AR</v>
      </c>
      <c r="G3597" s="1390"/>
      <c r="H3597" s="1077">
        <f>Risk_Compensation!$J47</f>
        <v>0</v>
      </c>
    </row>
    <row r="3598" spans="1:8" x14ac:dyDescent="0.2">
      <c r="A3598" s="1027"/>
      <c r="B3598" s="1083">
        <f>Risk_Compensation!A$1</f>
        <v>36</v>
      </c>
      <c r="C3598" s="1390" t="str">
        <f>Risk_Compensation!$B$1</f>
        <v xml:space="preserve">Risikoausgleich </v>
      </c>
      <c r="D3598" s="2205" t="s">
        <v>2572</v>
      </c>
      <c r="E3598" s="1390">
        <f>Risk_Compensation!$G48</f>
        <v>31</v>
      </c>
      <c r="F3598" s="1390" t="str">
        <f>Risk_Compensation!$J$17</f>
        <v>AR</v>
      </c>
      <c r="G3598" s="1390"/>
      <c r="H3598" s="1077">
        <f>Risk_Compensation!$J48</f>
        <v>0</v>
      </c>
    </row>
    <row r="3599" spans="1:8" x14ac:dyDescent="0.2">
      <c r="A3599" s="1027"/>
      <c r="B3599" s="1083">
        <f>Risk_Compensation!A$1</f>
        <v>36</v>
      </c>
      <c r="C3599" s="1390" t="str">
        <f>Risk_Compensation!$B$1</f>
        <v xml:space="preserve">Risikoausgleich </v>
      </c>
      <c r="D3599" s="2205" t="s">
        <v>2572</v>
      </c>
      <c r="E3599" s="1390">
        <f>Risk_Compensation!$G49</f>
        <v>32</v>
      </c>
      <c r="F3599" s="1390" t="str">
        <f>Risk_Compensation!$J$17</f>
        <v>AR</v>
      </c>
      <c r="G3599" s="1390"/>
      <c r="H3599" s="1077">
        <f>Risk_Compensation!$J49</f>
        <v>0</v>
      </c>
    </row>
    <row r="3600" spans="1:8" x14ac:dyDescent="0.2">
      <c r="A3600" s="1027"/>
      <c r="B3600" s="1083">
        <f>Risk_Compensation!A$1</f>
        <v>36</v>
      </c>
      <c r="C3600" s="1390" t="str">
        <f>Risk_Compensation!$B$1</f>
        <v xml:space="preserve">Risikoausgleich </v>
      </c>
      <c r="D3600" s="2205" t="s">
        <v>2572</v>
      </c>
      <c r="E3600" s="1390">
        <f>Risk_Compensation!$G50</f>
        <v>33</v>
      </c>
      <c r="F3600" s="1390" t="str">
        <f>Risk_Compensation!$J$17</f>
        <v>AR</v>
      </c>
      <c r="G3600" s="1390"/>
      <c r="H3600" s="1077">
        <f>Risk_Compensation!$J50</f>
        <v>0</v>
      </c>
    </row>
    <row r="3601" spans="1:8" x14ac:dyDescent="0.2">
      <c r="A3601" s="1027"/>
      <c r="B3601" s="1083">
        <f>Risk_Compensation!A$1</f>
        <v>36</v>
      </c>
      <c r="C3601" s="1390" t="str">
        <f>Risk_Compensation!$B$1</f>
        <v xml:space="preserve">Risikoausgleich </v>
      </c>
      <c r="D3601" s="2205" t="s">
        <v>2572</v>
      </c>
      <c r="E3601" s="1390">
        <f>Risk_Compensation!$G51</f>
        <v>34</v>
      </c>
      <c r="F3601" s="1390" t="str">
        <f>Risk_Compensation!$J$17</f>
        <v>AR</v>
      </c>
      <c r="G3601" s="1390"/>
      <c r="H3601" s="1077">
        <f>Risk_Compensation!$J51</f>
        <v>0</v>
      </c>
    </row>
    <row r="3602" spans="1:8" x14ac:dyDescent="0.2">
      <c r="A3602" s="1027"/>
      <c r="B3602" s="1083">
        <f>Risk_Compensation!A$1</f>
        <v>36</v>
      </c>
      <c r="C3602" s="1390" t="str">
        <f>Risk_Compensation!$B$1</f>
        <v xml:space="preserve">Risikoausgleich </v>
      </c>
      <c r="D3602" s="2205" t="s">
        <v>2572</v>
      </c>
      <c r="E3602" s="1390">
        <f>Risk_Compensation!$G52</f>
        <v>35</v>
      </c>
      <c r="F3602" s="1390" t="str">
        <f>Risk_Compensation!$J$17</f>
        <v>AR</v>
      </c>
      <c r="G3602" s="1390"/>
      <c r="H3602" s="1077">
        <f>Risk_Compensation!$J52</f>
        <v>0</v>
      </c>
    </row>
    <row r="3603" spans="1:8" x14ac:dyDescent="0.2">
      <c r="A3603" s="1027"/>
      <c r="B3603" s="1083">
        <f>Risk_Compensation!A$1</f>
        <v>36</v>
      </c>
      <c r="C3603" s="1390" t="str">
        <f>Risk_Compensation!$B$1</f>
        <v xml:space="preserve">Risikoausgleich </v>
      </c>
      <c r="D3603" s="2205" t="s">
        <v>2572</v>
      </c>
      <c r="E3603" s="1390">
        <f>Risk_Compensation!$G53</f>
        <v>36</v>
      </c>
      <c r="F3603" s="1390" t="str">
        <f>Risk_Compensation!$J$17</f>
        <v>AR</v>
      </c>
      <c r="G3603" s="1390"/>
      <c r="H3603" s="1077">
        <f>Risk_Compensation!$J53</f>
        <v>0</v>
      </c>
    </row>
    <row r="3604" spans="1:8" x14ac:dyDescent="0.2">
      <c r="A3604" s="1027"/>
      <c r="B3604" s="1083">
        <f>Risk_Compensation!A$1</f>
        <v>36</v>
      </c>
      <c r="C3604" s="1390" t="str">
        <f>Risk_Compensation!$B$1</f>
        <v xml:space="preserve">Risikoausgleich </v>
      </c>
      <c r="D3604" s="2205" t="s">
        <v>2572</v>
      </c>
      <c r="E3604" s="1390">
        <f>Risk_Compensation!$G54</f>
        <v>37</v>
      </c>
      <c r="F3604" s="1390" t="str">
        <f>Risk_Compensation!$J$17</f>
        <v>AR</v>
      </c>
      <c r="G3604" s="1390"/>
      <c r="H3604" s="1077">
        <f>Risk_Compensation!$J54</f>
        <v>0</v>
      </c>
    </row>
    <row r="3605" spans="1:8" x14ac:dyDescent="0.2">
      <c r="A3605" s="1027"/>
      <c r="B3605" s="1083">
        <f>Risk_Compensation!A$1</f>
        <v>36</v>
      </c>
      <c r="C3605" s="1390" t="str">
        <f>Risk_Compensation!$B$1</f>
        <v xml:space="preserve">Risikoausgleich </v>
      </c>
      <c r="D3605" s="2205" t="s">
        <v>2572</v>
      </c>
      <c r="E3605" s="1390">
        <f>Risk_Compensation!$G55</f>
        <v>38</v>
      </c>
      <c r="F3605" s="1390" t="str">
        <f>Risk_Compensation!$J$17</f>
        <v>AR</v>
      </c>
      <c r="G3605" s="1390"/>
      <c r="H3605" s="1077">
        <f>Risk_Compensation!$J55</f>
        <v>0</v>
      </c>
    </row>
    <row r="3606" spans="1:8" x14ac:dyDescent="0.2">
      <c r="A3606" s="1027"/>
      <c r="B3606" s="1083">
        <f>Risk_Compensation!A$1</f>
        <v>36</v>
      </c>
      <c r="C3606" s="1390" t="str">
        <f>Risk_Compensation!$B$1</f>
        <v xml:space="preserve">Risikoausgleich </v>
      </c>
      <c r="D3606" s="2205" t="s">
        <v>2572</v>
      </c>
      <c r="E3606" s="1390">
        <f>Risk_Compensation!$G56</f>
        <v>39</v>
      </c>
      <c r="F3606" s="1390" t="str">
        <f>Risk_Compensation!$J$17</f>
        <v>AR</v>
      </c>
      <c r="G3606" s="1390"/>
      <c r="H3606" s="1077">
        <f>Risk_Compensation!$J56</f>
        <v>0</v>
      </c>
    </row>
    <row r="3607" spans="1:8" x14ac:dyDescent="0.2">
      <c r="A3607" s="1027"/>
      <c r="B3607" s="1083">
        <f>Risk_Compensation!A$1</f>
        <v>36</v>
      </c>
      <c r="C3607" s="1390" t="str">
        <f>Risk_Compensation!$B$1</f>
        <v xml:space="preserve">Risikoausgleich </v>
      </c>
      <c r="D3607" s="2205" t="s">
        <v>2572</v>
      </c>
      <c r="E3607" s="1390">
        <f>Risk_Compensation!$G57</f>
        <v>40</v>
      </c>
      <c r="F3607" s="1390" t="str">
        <f>Risk_Compensation!$J$17</f>
        <v>AR</v>
      </c>
      <c r="G3607" s="1390"/>
      <c r="H3607" s="1077">
        <f>Risk_Compensation!$J57</f>
        <v>0</v>
      </c>
    </row>
    <row r="3608" spans="1:8" x14ac:dyDescent="0.2">
      <c r="A3608" s="1027"/>
      <c r="B3608" s="1083">
        <f>Risk_Compensation!A$1</f>
        <v>36</v>
      </c>
      <c r="C3608" s="1390" t="str">
        <f>Risk_Compensation!$B$1</f>
        <v xml:space="preserve">Risikoausgleich </v>
      </c>
      <c r="D3608" s="2205" t="s">
        <v>2572</v>
      </c>
      <c r="E3608" s="1390">
        <f>Risk_Compensation!$G58</f>
        <v>41</v>
      </c>
      <c r="F3608" s="1390" t="str">
        <f>Risk_Compensation!$J$17</f>
        <v>AR</v>
      </c>
      <c r="G3608" s="1390"/>
      <c r="H3608" s="1077">
        <f>Risk_Compensation!$J58</f>
        <v>0</v>
      </c>
    </row>
    <row r="3609" spans="1:8" x14ac:dyDescent="0.2">
      <c r="A3609" s="1027"/>
      <c r="B3609" s="1083">
        <f>Risk_Compensation!A$1</f>
        <v>36</v>
      </c>
      <c r="C3609" s="1390" t="str">
        <f>Risk_Compensation!$B$1</f>
        <v xml:space="preserve">Risikoausgleich </v>
      </c>
      <c r="D3609" s="2205" t="s">
        <v>2572</v>
      </c>
      <c r="E3609" s="1390">
        <f>Risk_Compensation!$G59</f>
        <v>42</v>
      </c>
      <c r="F3609" s="1390" t="str">
        <f>Risk_Compensation!$J$17</f>
        <v>AR</v>
      </c>
      <c r="G3609" s="1390"/>
      <c r="H3609" s="1077">
        <f>Risk_Compensation!$J59</f>
        <v>0</v>
      </c>
    </row>
    <row r="3610" spans="1:8" x14ac:dyDescent="0.2">
      <c r="A3610" s="1027"/>
      <c r="B3610" s="1083">
        <f>Risk_Compensation!A$1</f>
        <v>36</v>
      </c>
      <c r="C3610" s="1390" t="str">
        <f>Risk_Compensation!$B$1</f>
        <v xml:space="preserve">Risikoausgleich </v>
      </c>
      <c r="D3610" s="2205" t="s">
        <v>2572</v>
      </c>
      <c r="E3610" s="1390">
        <f>Risk_Compensation!$G60</f>
        <v>43</v>
      </c>
      <c r="F3610" s="1390" t="str">
        <f>Risk_Compensation!$J$17</f>
        <v>AR</v>
      </c>
      <c r="G3610" s="1390"/>
      <c r="H3610" s="1077">
        <f>Risk_Compensation!$J60</f>
        <v>0</v>
      </c>
    </row>
    <row r="3611" spans="1:8" x14ac:dyDescent="0.2">
      <c r="A3611" s="1027"/>
      <c r="B3611" s="1083">
        <f>Risk_Compensation!A$1</f>
        <v>36</v>
      </c>
      <c r="C3611" s="1390" t="str">
        <f>Risk_Compensation!$B$1</f>
        <v xml:space="preserve">Risikoausgleich </v>
      </c>
      <c r="D3611" s="2205" t="s">
        <v>2572</v>
      </c>
      <c r="E3611" s="1390">
        <f>Risk_Compensation!$G61</f>
        <v>44</v>
      </c>
      <c r="F3611" s="1390" t="str">
        <f>Risk_Compensation!$J$17</f>
        <v>AR</v>
      </c>
      <c r="G3611" s="1390"/>
      <c r="H3611" s="1077">
        <f>Risk_Compensation!$J61</f>
        <v>0</v>
      </c>
    </row>
    <row r="3612" spans="1:8" x14ac:dyDescent="0.2">
      <c r="A3612" s="1027"/>
      <c r="B3612" s="1083">
        <f>Risk_Compensation!A$1</f>
        <v>36</v>
      </c>
      <c r="C3612" s="1390" t="str">
        <f>Risk_Compensation!$B$1</f>
        <v xml:space="preserve">Risikoausgleich </v>
      </c>
      <c r="D3612" s="2205" t="s">
        <v>2572</v>
      </c>
      <c r="E3612" s="1390">
        <f>Risk_Compensation!$G62</f>
        <v>45</v>
      </c>
      <c r="F3612" s="1390" t="str">
        <f>Risk_Compensation!$J$17</f>
        <v>AR</v>
      </c>
      <c r="G3612" s="1390"/>
      <c r="H3612" s="1077">
        <f>Risk_Compensation!$J62</f>
        <v>0</v>
      </c>
    </row>
    <row r="3613" spans="1:8" x14ac:dyDescent="0.2">
      <c r="A3613" s="1027"/>
      <c r="B3613" s="1083">
        <f>Risk_Compensation!A$1</f>
        <v>36</v>
      </c>
      <c r="C3613" s="1390" t="str">
        <f>Risk_Compensation!$B$1</f>
        <v xml:space="preserve">Risikoausgleich </v>
      </c>
      <c r="D3613" s="2205" t="s">
        <v>2572</v>
      </c>
      <c r="E3613" s="1390">
        <f>Risk_Compensation!$G63</f>
        <v>46</v>
      </c>
      <c r="F3613" s="1390" t="str">
        <f>Risk_Compensation!$J$17</f>
        <v>AR</v>
      </c>
      <c r="G3613" s="1390"/>
      <c r="H3613" s="1077">
        <f>Risk_Compensation!$J63</f>
        <v>0</v>
      </c>
    </row>
    <row r="3614" spans="1:8" x14ac:dyDescent="0.2">
      <c r="A3614" s="1027"/>
      <c r="B3614" s="1083">
        <f>Risk_Compensation!A$1</f>
        <v>36</v>
      </c>
      <c r="C3614" s="1390" t="str">
        <f>Risk_Compensation!$B$1</f>
        <v xml:space="preserve">Risikoausgleich </v>
      </c>
      <c r="D3614" s="2205" t="s">
        <v>2572</v>
      </c>
      <c r="E3614" s="1390">
        <f>Risk_Compensation!$G64</f>
        <v>47</v>
      </c>
      <c r="F3614" s="1390" t="str">
        <f>Risk_Compensation!$J$17</f>
        <v>AR</v>
      </c>
      <c r="G3614" s="1390"/>
      <c r="H3614" s="1077">
        <f>Risk_Compensation!$J64</f>
        <v>0</v>
      </c>
    </row>
    <row r="3615" spans="1:8" x14ac:dyDescent="0.2">
      <c r="A3615" s="1027"/>
      <c r="B3615" s="1083">
        <f>Risk_Compensation!A$1</f>
        <v>36</v>
      </c>
      <c r="C3615" s="1390" t="str">
        <f>Risk_Compensation!$B$1</f>
        <v xml:space="preserve">Risikoausgleich </v>
      </c>
      <c r="D3615" s="2205" t="s">
        <v>2572</v>
      </c>
      <c r="E3615" s="1390">
        <f>Risk_Compensation!$G65</f>
        <v>48</v>
      </c>
      <c r="F3615" s="1390" t="str">
        <f>Risk_Compensation!$J$17</f>
        <v>AR</v>
      </c>
      <c r="G3615" s="1390"/>
      <c r="H3615" s="1077">
        <f>Risk_Compensation!$J65</f>
        <v>0</v>
      </c>
    </row>
    <row r="3616" spans="1:8" x14ac:dyDescent="0.2">
      <c r="A3616" s="1027"/>
      <c r="B3616" s="1083">
        <f>Risk_Compensation!A$1</f>
        <v>36</v>
      </c>
      <c r="C3616" s="1390" t="str">
        <f>Risk_Compensation!$B$1</f>
        <v xml:space="preserve">Risikoausgleich </v>
      </c>
      <c r="D3616" s="2205" t="s">
        <v>2572</v>
      </c>
      <c r="E3616" s="1390">
        <f>Risk_Compensation!$G66</f>
        <v>49</v>
      </c>
      <c r="F3616" s="1390" t="str">
        <f>Risk_Compensation!$J$17</f>
        <v>AR</v>
      </c>
      <c r="G3616" s="1390"/>
      <c r="H3616" s="1077">
        <f>Risk_Compensation!$J66</f>
        <v>0</v>
      </c>
    </row>
    <row r="3617" spans="1:8" x14ac:dyDescent="0.2">
      <c r="A3617" s="1027"/>
      <c r="B3617" s="1083">
        <f>Risk_Compensation!A$1</f>
        <v>36</v>
      </c>
      <c r="C3617" s="1390" t="str">
        <f>Risk_Compensation!$B$1</f>
        <v xml:space="preserve">Risikoausgleich </v>
      </c>
      <c r="D3617" s="2205" t="s">
        <v>2572</v>
      </c>
      <c r="E3617" s="1390">
        <f>Risk_Compensation!$G67</f>
        <v>50</v>
      </c>
      <c r="F3617" s="1390" t="str">
        <f>Risk_Compensation!$J$17</f>
        <v>AR</v>
      </c>
      <c r="G3617" s="1390"/>
      <c r="H3617" s="1077">
        <f>Risk_Compensation!$J67</f>
        <v>0</v>
      </c>
    </row>
    <row r="3618" spans="1:8" x14ac:dyDescent="0.2">
      <c r="A3618" s="1027"/>
      <c r="B3618" s="1083">
        <f>Risk_Compensation!A$1</f>
        <v>36</v>
      </c>
      <c r="C3618" s="1390" t="str">
        <f>Risk_Compensation!$B$1</f>
        <v xml:space="preserve">Risikoausgleich </v>
      </c>
      <c r="D3618" s="2205" t="s">
        <v>2572</v>
      </c>
      <c r="E3618" s="1390">
        <f>Risk_Compensation!$G68</f>
        <v>51</v>
      </c>
      <c r="F3618" s="1390" t="str">
        <f>Risk_Compensation!$J$17</f>
        <v>AR</v>
      </c>
      <c r="G3618" s="1390"/>
      <c r="H3618" s="1077">
        <f>Risk_Compensation!$J68</f>
        <v>0</v>
      </c>
    </row>
    <row r="3619" spans="1:8" x14ac:dyDescent="0.2">
      <c r="A3619" s="1027"/>
      <c r="B3619" s="1083">
        <f>Risk_Compensation!A$1</f>
        <v>36</v>
      </c>
      <c r="C3619" s="1390" t="str">
        <f>Risk_Compensation!$B$1</f>
        <v xml:space="preserve">Risikoausgleich </v>
      </c>
      <c r="D3619" s="2205" t="s">
        <v>2572</v>
      </c>
      <c r="E3619" s="1390">
        <f>Risk_Compensation!$G69</f>
        <v>52</v>
      </c>
      <c r="F3619" s="1390" t="str">
        <f>Risk_Compensation!$J$17</f>
        <v>AR</v>
      </c>
      <c r="G3619" s="1390"/>
      <c r="H3619" s="1077">
        <f>Risk_Compensation!$J69</f>
        <v>0</v>
      </c>
    </row>
    <row r="3620" spans="1:8" x14ac:dyDescent="0.2">
      <c r="A3620" s="1027"/>
      <c r="B3620" s="1083">
        <f>Risk_Compensation!A$1</f>
        <v>36</v>
      </c>
      <c r="C3620" s="1390" t="str">
        <f>Risk_Compensation!$B$1</f>
        <v xml:space="preserve">Risikoausgleich </v>
      </c>
      <c r="D3620" s="2205" t="s">
        <v>2572</v>
      </c>
      <c r="E3620" s="1390">
        <f>Risk_Compensation!$G70</f>
        <v>53</v>
      </c>
      <c r="F3620" s="1390" t="str">
        <f>Risk_Compensation!$J$17</f>
        <v>AR</v>
      </c>
      <c r="G3620" s="1390"/>
      <c r="H3620" s="1077">
        <f>Risk_Compensation!$J70</f>
        <v>0</v>
      </c>
    </row>
    <row r="3621" spans="1:8" x14ac:dyDescent="0.2">
      <c r="A3621" s="1027"/>
      <c r="B3621" s="1083">
        <f>Risk_Compensation!A$1</f>
        <v>36</v>
      </c>
      <c r="C3621" s="1390" t="str">
        <f>Risk_Compensation!$B$1</f>
        <v xml:space="preserve">Risikoausgleich </v>
      </c>
      <c r="D3621" s="2205" t="s">
        <v>2572</v>
      </c>
      <c r="E3621" s="1390">
        <f>Risk_Compensation!$G71</f>
        <v>54</v>
      </c>
      <c r="F3621" s="1390" t="str">
        <f>Risk_Compensation!$J$17</f>
        <v>AR</v>
      </c>
      <c r="G3621" s="1390"/>
      <c r="H3621" s="1077">
        <f>Risk_Compensation!$J71</f>
        <v>0</v>
      </c>
    </row>
    <row r="3622" spans="1:8" x14ac:dyDescent="0.2">
      <c r="A3622" s="1027"/>
      <c r="B3622" s="1083">
        <f>Risk_Compensation!A$1</f>
        <v>36</v>
      </c>
      <c r="C3622" s="1390" t="str">
        <f>Risk_Compensation!$B$1</f>
        <v xml:space="preserve">Risikoausgleich </v>
      </c>
      <c r="D3622" s="2205" t="s">
        <v>2572</v>
      </c>
      <c r="E3622" s="1390">
        <f>Risk_Compensation!$G72</f>
        <v>55</v>
      </c>
      <c r="F3622" s="1390" t="str">
        <f>Risk_Compensation!$J$17</f>
        <v>AR</v>
      </c>
      <c r="G3622" s="1390"/>
      <c r="H3622" s="1077">
        <f>Risk_Compensation!$J72</f>
        <v>0</v>
      </c>
    </row>
    <row r="3623" spans="1:8" x14ac:dyDescent="0.2">
      <c r="A3623" s="1027"/>
      <c r="B3623" s="1083">
        <f>Risk_Compensation!A$1</f>
        <v>36</v>
      </c>
      <c r="C3623" s="1390" t="str">
        <f>Risk_Compensation!$B$1</f>
        <v xml:space="preserve">Risikoausgleich </v>
      </c>
      <c r="D3623" s="2205" t="s">
        <v>2572</v>
      </c>
      <c r="E3623" s="1390">
        <f>Risk_Compensation!$G73</f>
        <v>56</v>
      </c>
      <c r="F3623" s="1390" t="str">
        <f>Risk_Compensation!$J$17</f>
        <v>AR</v>
      </c>
      <c r="G3623" s="1390"/>
      <c r="H3623" s="1077">
        <f>Risk_Compensation!$J73</f>
        <v>0</v>
      </c>
    </row>
    <row r="3624" spans="1:8" x14ac:dyDescent="0.2">
      <c r="A3624" s="1027"/>
      <c r="B3624" s="1083">
        <f>Risk_Compensation!A$1</f>
        <v>36</v>
      </c>
      <c r="C3624" s="1390" t="str">
        <f>Risk_Compensation!$B$1</f>
        <v xml:space="preserve">Risikoausgleich </v>
      </c>
      <c r="D3624" s="2205" t="s">
        <v>2572</v>
      </c>
      <c r="E3624" s="1390">
        <f>Risk_Compensation!$G74</f>
        <v>57</v>
      </c>
      <c r="F3624" s="1390" t="str">
        <f>Risk_Compensation!$J$17</f>
        <v>AR</v>
      </c>
      <c r="G3624" s="1390"/>
      <c r="H3624" s="1077">
        <f>Risk_Compensation!$J74</f>
        <v>0</v>
      </c>
    </row>
    <row r="3625" spans="1:8" x14ac:dyDescent="0.2">
      <c r="A3625" s="1027"/>
      <c r="B3625" s="1083">
        <f>Risk_Compensation!A$1</f>
        <v>36</v>
      </c>
      <c r="C3625" s="1390" t="str">
        <f>Risk_Compensation!$B$1</f>
        <v xml:space="preserve">Risikoausgleich </v>
      </c>
      <c r="D3625" s="2205" t="s">
        <v>2572</v>
      </c>
      <c r="E3625" s="1390">
        <f>Risk_Compensation!$G75</f>
        <v>58</v>
      </c>
      <c r="F3625" s="1390" t="str">
        <f>Risk_Compensation!$J$17</f>
        <v>AR</v>
      </c>
      <c r="G3625" s="1390"/>
      <c r="H3625" s="1077">
        <f>Risk_Compensation!$J75</f>
        <v>0</v>
      </c>
    </row>
    <row r="3626" spans="1:8" x14ac:dyDescent="0.2">
      <c r="A3626" s="1027"/>
      <c r="B3626" s="1083">
        <f>Risk_Compensation!A$1</f>
        <v>36</v>
      </c>
      <c r="C3626" s="1390" t="str">
        <f>Risk_Compensation!$B$1</f>
        <v xml:space="preserve">Risikoausgleich </v>
      </c>
      <c r="D3626" s="2205" t="s">
        <v>2572</v>
      </c>
      <c r="E3626" s="1390">
        <f>Risk_Compensation!$G76</f>
        <v>59</v>
      </c>
      <c r="F3626" s="1390" t="str">
        <f>Risk_Compensation!$J$17</f>
        <v>AR</v>
      </c>
      <c r="G3626" s="1390"/>
      <c r="H3626" s="1077">
        <f>Risk_Compensation!$J76</f>
        <v>0</v>
      </c>
    </row>
    <row r="3627" spans="1:8" x14ac:dyDescent="0.2">
      <c r="A3627" s="1027"/>
      <c r="B3627" s="1083">
        <f>Risk_Compensation!A$1</f>
        <v>36</v>
      </c>
      <c r="C3627" s="1390" t="str">
        <f>Risk_Compensation!$B$1</f>
        <v xml:space="preserve">Risikoausgleich </v>
      </c>
      <c r="D3627" s="2205" t="s">
        <v>2572</v>
      </c>
      <c r="E3627" s="1390">
        <f>Risk_Compensation!$G77</f>
        <v>60</v>
      </c>
      <c r="F3627" s="1390" t="str">
        <f>Risk_Compensation!$J$17</f>
        <v>AR</v>
      </c>
      <c r="G3627" s="1390"/>
      <c r="H3627" s="1077">
        <f>Risk_Compensation!$J77</f>
        <v>0</v>
      </c>
    </row>
    <row r="3628" spans="1:8" x14ac:dyDescent="0.2">
      <c r="A3628" s="1027"/>
      <c r="B3628" s="2174"/>
      <c r="C3628" s="1390"/>
      <c r="D3628" s="2175"/>
      <c r="E3628" s="2176"/>
      <c r="F3628" s="1390"/>
      <c r="G3628" s="1390"/>
      <c r="H3628" s="1078"/>
    </row>
    <row r="3629" spans="1:8" x14ac:dyDescent="0.2">
      <c r="A3629" s="1027"/>
      <c r="B3629" s="1083">
        <f>Risk_Compensation!A$1</f>
        <v>36</v>
      </c>
      <c r="C3629" s="1390" t="str">
        <f>Risk_Compensation!$B$1</f>
        <v xml:space="preserve">Risikoausgleich </v>
      </c>
      <c r="D3629" s="2205" t="s">
        <v>2572</v>
      </c>
      <c r="E3629" s="1390">
        <f>Risk_Compensation!$G18</f>
        <v>1</v>
      </c>
      <c r="F3629" s="1390" t="str">
        <f>Risk_Compensation!$K$17</f>
        <v>BE</v>
      </c>
      <c r="G3629" s="1390"/>
      <c r="H3629" s="1077">
        <f>Risk_Compensation!$K18</f>
        <v>0</v>
      </c>
    </row>
    <row r="3630" spans="1:8" x14ac:dyDescent="0.2">
      <c r="A3630" s="1027"/>
      <c r="B3630" s="1083">
        <f>Risk_Compensation!A$1</f>
        <v>36</v>
      </c>
      <c r="C3630" s="1390" t="str">
        <f>Risk_Compensation!$B$1</f>
        <v xml:space="preserve">Risikoausgleich </v>
      </c>
      <c r="D3630" s="2205" t="s">
        <v>2572</v>
      </c>
      <c r="E3630" s="1390">
        <f>Risk_Compensation!$G19</f>
        <v>2</v>
      </c>
      <c r="F3630" s="1390" t="str">
        <f>Risk_Compensation!$K$17</f>
        <v>BE</v>
      </c>
      <c r="G3630" s="1390"/>
      <c r="H3630" s="1077">
        <f>Risk_Compensation!$K19</f>
        <v>0</v>
      </c>
    </row>
    <row r="3631" spans="1:8" x14ac:dyDescent="0.2">
      <c r="A3631" s="1027"/>
      <c r="B3631" s="1083">
        <f>Risk_Compensation!A$1</f>
        <v>36</v>
      </c>
      <c r="C3631" s="1390" t="str">
        <f>Risk_Compensation!$B$1</f>
        <v xml:space="preserve">Risikoausgleich </v>
      </c>
      <c r="D3631" s="2205" t="s">
        <v>2572</v>
      </c>
      <c r="E3631" s="1390">
        <f>Risk_Compensation!$G20</f>
        <v>3</v>
      </c>
      <c r="F3631" s="1390" t="str">
        <f>Risk_Compensation!$K$17</f>
        <v>BE</v>
      </c>
      <c r="G3631" s="1390"/>
      <c r="H3631" s="1077">
        <f>Risk_Compensation!$K20</f>
        <v>0</v>
      </c>
    </row>
    <row r="3632" spans="1:8" x14ac:dyDescent="0.2">
      <c r="A3632" s="1027"/>
      <c r="B3632" s="1083">
        <f>Risk_Compensation!A$1</f>
        <v>36</v>
      </c>
      <c r="C3632" s="1390" t="str">
        <f>Risk_Compensation!$B$1</f>
        <v xml:space="preserve">Risikoausgleich </v>
      </c>
      <c r="D3632" s="2205" t="s">
        <v>2572</v>
      </c>
      <c r="E3632" s="1390">
        <f>Risk_Compensation!$G21</f>
        <v>4</v>
      </c>
      <c r="F3632" s="1390" t="str">
        <f>Risk_Compensation!$K$17</f>
        <v>BE</v>
      </c>
      <c r="G3632" s="1390"/>
      <c r="H3632" s="1077">
        <f>Risk_Compensation!$K21</f>
        <v>0</v>
      </c>
    </row>
    <row r="3633" spans="1:8" x14ac:dyDescent="0.2">
      <c r="A3633" s="1027"/>
      <c r="B3633" s="1083">
        <f>Risk_Compensation!A$1</f>
        <v>36</v>
      </c>
      <c r="C3633" s="1390" t="str">
        <f>Risk_Compensation!$B$1</f>
        <v xml:space="preserve">Risikoausgleich </v>
      </c>
      <c r="D3633" s="2205" t="s">
        <v>2572</v>
      </c>
      <c r="E3633" s="1390">
        <f>Risk_Compensation!$G22</f>
        <v>5</v>
      </c>
      <c r="F3633" s="1390" t="str">
        <f>Risk_Compensation!$K$17</f>
        <v>BE</v>
      </c>
      <c r="G3633" s="1390"/>
      <c r="H3633" s="1077">
        <f>Risk_Compensation!$K22</f>
        <v>0</v>
      </c>
    </row>
    <row r="3634" spans="1:8" x14ac:dyDescent="0.2">
      <c r="A3634" s="1027"/>
      <c r="B3634" s="1083">
        <f>Risk_Compensation!A$1</f>
        <v>36</v>
      </c>
      <c r="C3634" s="1390" t="str">
        <f>Risk_Compensation!$B$1</f>
        <v xml:space="preserve">Risikoausgleich </v>
      </c>
      <c r="D3634" s="2205" t="s">
        <v>2572</v>
      </c>
      <c r="E3634" s="1390">
        <f>Risk_Compensation!$G23</f>
        <v>6</v>
      </c>
      <c r="F3634" s="1390" t="str">
        <f>Risk_Compensation!$K$17</f>
        <v>BE</v>
      </c>
      <c r="G3634" s="1390"/>
      <c r="H3634" s="1077">
        <f>Risk_Compensation!$K23</f>
        <v>0</v>
      </c>
    </row>
    <row r="3635" spans="1:8" x14ac:dyDescent="0.2">
      <c r="A3635" s="1027"/>
      <c r="B3635" s="1083">
        <f>Risk_Compensation!A$1</f>
        <v>36</v>
      </c>
      <c r="C3635" s="1390" t="str">
        <f>Risk_Compensation!$B$1</f>
        <v xml:space="preserve">Risikoausgleich </v>
      </c>
      <c r="D3635" s="2205" t="s">
        <v>2572</v>
      </c>
      <c r="E3635" s="1390">
        <f>Risk_Compensation!$G24</f>
        <v>7</v>
      </c>
      <c r="F3635" s="1390" t="str">
        <f>Risk_Compensation!$K$17</f>
        <v>BE</v>
      </c>
      <c r="G3635" s="1390"/>
      <c r="H3635" s="1077">
        <f>Risk_Compensation!$K24</f>
        <v>0</v>
      </c>
    </row>
    <row r="3636" spans="1:8" x14ac:dyDescent="0.2">
      <c r="A3636" s="1027"/>
      <c r="B3636" s="1083">
        <f>Risk_Compensation!A$1</f>
        <v>36</v>
      </c>
      <c r="C3636" s="1390" t="str">
        <f>Risk_Compensation!$B$1</f>
        <v xml:space="preserve">Risikoausgleich </v>
      </c>
      <c r="D3636" s="2205" t="s">
        <v>2572</v>
      </c>
      <c r="E3636" s="1390">
        <f>Risk_Compensation!$G25</f>
        <v>8</v>
      </c>
      <c r="F3636" s="1390" t="str">
        <f>Risk_Compensation!$K$17</f>
        <v>BE</v>
      </c>
      <c r="G3636" s="1390"/>
      <c r="H3636" s="1077">
        <f>Risk_Compensation!$K25</f>
        <v>0</v>
      </c>
    </row>
    <row r="3637" spans="1:8" x14ac:dyDescent="0.2">
      <c r="A3637" s="1027"/>
      <c r="B3637" s="1083">
        <f>Risk_Compensation!A$1</f>
        <v>36</v>
      </c>
      <c r="C3637" s="1390" t="str">
        <f>Risk_Compensation!$B$1</f>
        <v xml:space="preserve">Risikoausgleich </v>
      </c>
      <c r="D3637" s="2205" t="s">
        <v>2572</v>
      </c>
      <c r="E3637" s="1390">
        <f>Risk_Compensation!$G26</f>
        <v>9</v>
      </c>
      <c r="F3637" s="1390" t="str">
        <f>Risk_Compensation!$K$17</f>
        <v>BE</v>
      </c>
      <c r="G3637" s="1390"/>
      <c r="H3637" s="1077">
        <f>Risk_Compensation!$K26</f>
        <v>0</v>
      </c>
    </row>
    <row r="3638" spans="1:8" x14ac:dyDescent="0.2">
      <c r="A3638" s="1027"/>
      <c r="B3638" s="1083">
        <f>Risk_Compensation!A$1</f>
        <v>36</v>
      </c>
      <c r="C3638" s="1390" t="str">
        <f>Risk_Compensation!$B$1</f>
        <v xml:space="preserve">Risikoausgleich </v>
      </c>
      <c r="D3638" s="2205" t="s">
        <v>2572</v>
      </c>
      <c r="E3638" s="1390">
        <f>Risk_Compensation!$G27</f>
        <v>10</v>
      </c>
      <c r="F3638" s="1390" t="str">
        <f>Risk_Compensation!$K$17</f>
        <v>BE</v>
      </c>
      <c r="G3638" s="1390"/>
      <c r="H3638" s="1077">
        <f>Risk_Compensation!$K27</f>
        <v>0</v>
      </c>
    </row>
    <row r="3639" spans="1:8" x14ac:dyDescent="0.2">
      <c r="A3639" s="1027"/>
      <c r="B3639" s="1083">
        <f>Risk_Compensation!A$1</f>
        <v>36</v>
      </c>
      <c r="C3639" s="1390" t="str">
        <f>Risk_Compensation!$B$1</f>
        <v xml:space="preserve">Risikoausgleich </v>
      </c>
      <c r="D3639" s="2205" t="s">
        <v>2572</v>
      </c>
      <c r="E3639" s="1390">
        <f>Risk_Compensation!$G28</f>
        <v>11</v>
      </c>
      <c r="F3639" s="1390" t="str">
        <f>Risk_Compensation!$K$17</f>
        <v>BE</v>
      </c>
      <c r="G3639" s="1390"/>
      <c r="H3639" s="1077">
        <f>Risk_Compensation!$K28</f>
        <v>0</v>
      </c>
    </row>
    <row r="3640" spans="1:8" x14ac:dyDescent="0.2">
      <c r="A3640" s="1027"/>
      <c r="B3640" s="1083">
        <f>Risk_Compensation!A$1</f>
        <v>36</v>
      </c>
      <c r="C3640" s="1390" t="str">
        <f>Risk_Compensation!$B$1</f>
        <v xml:space="preserve">Risikoausgleich </v>
      </c>
      <c r="D3640" s="2205" t="s">
        <v>2572</v>
      </c>
      <c r="E3640" s="1390">
        <f>Risk_Compensation!$G29</f>
        <v>12</v>
      </c>
      <c r="F3640" s="1390" t="str">
        <f>Risk_Compensation!$K$17</f>
        <v>BE</v>
      </c>
      <c r="G3640" s="1390"/>
      <c r="H3640" s="1077">
        <f>Risk_Compensation!$K29</f>
        <v>0</v>
      </c>
    </row>
    <row r="3641" spans="1:8" x14ac:dyDescent="0.2">
      <c r="A3641" s="1027"/>
      <c r="B3641" s="1083">
        <f>Risk_Compensation!A$1</f>
        <v>36</v>
      </c>
      <c r="C3641" s="1390" t="str">
        <f>Risk_Compensation!$B$1</f>
        <v xml:space="preserve">Risikoausgleich </v>
      </c>
      <c r="D3641" s="2205" t="s">
        <v>2572</v>
      </c>
      <c r="E3641" s="1390">
        <f>Risk_Compensation!$G30</f>
        <v>13</v>
      </c>
      <c r="F3641" s="1390" t="str">
        <f>Risk_Compensation!$K$17</f>
        <v>BE</v>
      </c>
      <c r="G3641" s="1390"/>
      <c r="H3641" s="1077">
        <f>Risk_Compensation!$K30</f>
        <v>0</v>
      </c>
    </row>
    <row r="3642" spans="1:8" x14ac:dyDescent="0.2">
      <c r="A3642" s="1027"/>
      <c r="B3642" s="1083">
        <f>Risk_Compensation!A$1</f>
        <v>36</v>
      </c>
      <c r="C3642" s="1390" t="str">
        <f>Risk_Compensation!$B$1</f>
        <v xml:space="preserve">Risikoausgleich </v>
      </c>
      <c r="D3642" s="2205" t="s">
        <v>2572</v>
      </c>
      <c r="E3642" s="1390">
        <f>Risk_Compensation!$G31</f>
        <v>14</v>
      </c>
      <c r="F3642" s="1390" t="str">
        <f>Risk_Compensation!$K$17</f>
        <v>BE</v>
      </c>
      <c r="G3642" s="1390"/>
      <c r="H3642" s="1077">
        <f>Risk_Compensation!$K31</f>
        <v>0</v>
      </c>
    </row>
    <row r="3643" spans="1:8" x14ac:dyDescent="0.2">
      <c r="A3643" s="1027"/>
      <c r="B3643" s="1083">
        <f>Risk_Compensation!A$1</f>
        <v>36</v>
      </c>
      <c r="C3643" s="1390" t="str">
        <f>Risk_Compensation!$B$1</f>
        <v xml:space="preserve">Risikoausgleich </v>
      </c>
      <c r="D3643" s="2205" t="s">
        <v>2572</v>
      </c>
      <c r="E3643" s="1390">
        <f>Risk_Compensation!$G32</f>
        <v>15</v>
      </c>
      <c r="F3643" s="1390" t="str">
        <f>Risk_Compensation!$K$17</f>
        <v>BE</v>
      </c>
      <c r="G3643" s="1390"/>
      <c r="H3643" s="1077">
        <f>Risk_Compensation!$K32</f>
        <v>0</v>
      </c>
    </row>
    <row r="3644" spans="1:8" x14ac:dyDescent="0.2">
      <c r="A3644" s="1027"/>
      <c r="B3644" s="1083">
        <f>Risk_Compensation!A$1</f>
        <v>36</v>
      </c>
      <c r="C3644" s="1390" t="str">
        <f>Risk_Compensation!$B$1</f>
        <v xml:space="preserve">Risikoausgleich </v>
      </c>
      <c r="D3644" s="2205" t="s">
        <v>2572</v>
      </c>
      <c r="E3644" s="1390">
        <f>Risk_Compensation!$G33</f>
        <v>16</v>
      </c>
      <c r="F3644" s="1390" t="str">
        <f>Risk_Compensation!$K$17</f>
        <v>BE</v>
      </c>
      <c r="G3644" s="1390"/>
      <c r="H3644" s="1077">
        <f>Risk_Compensation!$K33</f>
        <v>0</v>
      </c>
    </row>
    <row r="3645" spans="1:8" x14ac:dyDescent="0.2">
      <c r="A3645" s="1027"/>
      <c r="B3645" s="1083">
        <f>Risk_Compensation!A$1</f>
        <v>36</v>
      </c>
      <c r="C3645" s="1390" t="str">
        <f>Risk_Compensation!$B$1</f>
        <v xml:space="preserve">Risikoausgleich </v>
      </c>
      <c r="D3645" s="2205" t="s">
        <v>2572</v>
      </c>
      <c r="E3645" s="1390">
        <f>Risk_Compensation!$G34</f>
        <v>17</v>
      </c>
      <c r="F3645" s="1390" t="str">
        <f>Risk_Compensation!$K$17</f>
        <v>BE</v>
      </c>
      <c r="G3645" s="1390"/>
      <c r="H3645" s="1077">
        <f>Risk_Compensation!$K34</f>
        <v>0</v>
      </c>
    </row>
    <row r="3646" spans="1:8" x14ac:dyDescent="0.2">
      <c r="A3646" s="1027"/>
      <c r="B3646" s="1083">
        <f>Risk_Compensation!A$1</f>
        <v>36</v>
      </c>
      <c r="C3646" s="1390" t="str">
        <f>Risk_Compensation!$B$1</f>
        <v xml:space="preserve">Risikoausgleich </v>
      </c>
      <c r="D3646" s="2205" t="s">
        <v>2572</v>
      </c>
      <c r="E3646" s="1390">
        <f>Risk_Compensation!$G35</f>
        <v>18</v>
      </c>
      <c r="F3646" s="1390" t="str">
        <f>Risk_Compensation!$K$17</f>
        <v>BE</v>
      </c>
      <c r="G3646" s="1390"/>
      <c r="H3646" s="1077">
        <f>Risk_Compensation!$K35</f>
        <v>0</v>
      </c>
    </row>
    <row r="3647" spans="1:8" x14ac:dyDescent="0.2">
      <c r="A3647" s="1027"/>
      <c r="B3647" s="1083">
        <f>Risk_Compensation!A$1</f>
        <v>36</v>
      </c>
      <c r="C3647" s="1390" t="str">
        <f>Risk_Compensation!$B$1</f>
        <v xml:space="preserve">Risikoausgleich </v>
      </c>
      <c r="D3647" s="2205" t="s">
        <v>2572</v>
      </c>
      <c r="E3647" s="1390">
        <f>Risk_Compensation!$G36</f>
        <v>19</v>
      </c>
      <c r="F3647" s="1390" t="str">
        <f>Risk_Compensation!$K$17</f>
        <v>BE</v>
      </c>
      <c r="G3647" s="1390"/>
      <c r="H3647" s="1077">
        <f>Risk_Compensation!$K36</f>
        <v>0</v>
      </c>
    </row>
    <row r="3648" spans="1:8" x14ac:dyDescent="0.2">
      <c r="A3648" s="1027"/>
      <c r="B3648" s="1083">
        <f>Risk_Compensation!A$1</f>
        <v>36</v>
      </c>
      <c r="C3648" s="1390" t="str">
        <f>Risk_Compensation!$B$1</f>
        <v xml:space="preserve">Risikoausgleich </v>
      </c>
      <c r="D3648" s="2205" t="s">
        <v>2572</v>
      </c>
      <c r="E3648" s="1390">
        <f>Risk_Compensation!$G37</f>
        <v>20</v>
      </c>
      <c r="F3648" s="1390" t="str">
        <f>Risk_Compensation!$K$17</f>
        <v>BE</v>
      </c>
      <c r="G3648" s="1390"/>
      <c r="H3648" s="1077">
        <f>Risk_Compensation!$K37</f>
        <v>0</v>
      </c>
    </row>
    <row r="3649" spans="1:8" x14ac:dyDescent="0.2">
      <c r="A3649" s="1027"/>
      <c r="B3649" s="1083">
        <f>Risk_Compensation!A$1</f>
        <v>36</v>
      </c>
      <c r="C3649" s="1390" t="str">
        <f>Risk_Compensation!$B$1</f>
        <v xml:space="preserve">Risikoausgleich </v>
      </c>
      <c r="D3649" s="2205" t="s">
        <v>2572</v>
      </c>
      <c r="E3649" s="1390">
        <f>Risk_Compensation!$G38</f>
        <v>21</v>
      </c>
      <c r="F3649" s="1390" t="str">
        <f>Risk_Compensation!$K$17</f>
        <v>BE</v>
      </c>
      <c r="G3649" s="1390"/>
      <c r="H3649" s="1077">
        <f>Risk_Compensation!$K38</f>
        <v>0</v>
      </c>
    </row>
    <row r="3650" spans="1:8" x14ac:dyDescent="0.2">
      <c r="A3650" s="1027"/>
      <c r="B3650" s="1083">
        <f>Risk_Compensation!A$1</f>
        <v>36</v>
      </c>
      <c r="C3650" s="1390" t="str">
        <f>Risk_Compensation!$B$1</f>
        <v xml:space="preserve">Risikoausgleich </v>
      </c>
      <c r="D3650" s="2205" t="s">
        <v>2572</v>
      </c>
      <c r="E3650" s="1390">
        <f>Risk_Compensation!$G39</f>
        <v>22</v>
      </c>
      <c r="F3650" s="1390" t="str">
        <f>Risk_Compensation!$K$17</f>
        <v>BE</v>
      </c>
      <c r="G3650" s="1390"/>
      <c r="H3650" s="1077">
        <f>Risk_Compensation!$K39</f>
        <v>0</v>
      </c>
    </row>
    <row r="3651" spans="1:8" x14ac:dyDescent="0.2">
      <c r="A3651" s="1027"/>
      <c r="B3651" s="1083">
        <f>Risk_Compensation!A$1</f>
        <v>36</v>
      </c>
      <c r="C3651" s="1390" t="str">
        <f>Risk_Compensation!$B$1</f>
        <v xml:space="preserve">Risikoausgleich </v>
      </c>
      <c r="D3651" s="2205" t="s">
        <v>2572</v>
      </c>
      <c r="E3651" s="1390">
        <f>Risk_Compensation!$G40</f>
        <v>23</v>
      </c>
      <c r="F3651" s="1390" t="str">
        <f>Risk_Compensation!$K$17</f>
        <v>BE</v>
      </c>
      <c r="G3651" s="1390"/>
      <c r="H3651" s="1077">
        <f>Risk_Compensation!$K40</f>
        <v>0</v>
      </c>
    </row>
    <row r="3652" spans="1:8" x14ac:dyDescent="0.2">
      <c r="A3652" s="1027"/>
      <c r="B3652" s="1083">
        <f>Risk_Compensation!A$1</f>
        <v>36</v>
      </c>
      <c r="C3652" s="1390" t="str">
        <f>Risk_Compensation!$B$1</f>
        <v xml:space="preserve">Risikoausgleich </v>
      </c>
      <c r="D3652" s="2205" t="s">
        <v>2572</v>
      </c>
      <c r="E3652" s="1390">
        <f>Risk_Compensation!$G41</f>
        <v>24</v>
      </c>
      <c r="F3652" s="1390" t="str">
        <f>Risk_Compensation!$K$17</f>
        <v>BE</v>
      </c>
      <c r="G3652" s="1390"/>
      <c r="H3652" s="1077">
        <f>Risk_Compensation!$K41</f>
        <v>0</v>
      </c>
    </row>
    <row r="3653" spans="1:8" x14ac:dyDescent="0.2">
      <c r="A3653" s="1027"/>
      <c r="B3653" s="1083">
        <f>Risk_Compensation!A$1</f>
        <v>36</v>
      </c>
      <c r="C3653" s="1390" t="str">
        <f>Risk_Compensation!$B$1</f>
        <v xml:space="preserve">Risikoausgleich </v>
      </c>
      <c r="D3653" s="2205" t="s">
        <v>2572</v>
      </c>
      <c r="E3653" s="1390">
        <f>Risk_Compensation!$G42</f>
        <v>25</v>
      </c>
      <c r="F3653" s="1390" t="str">
        <f>Risk_Compensation!$K$17</f>
        <v>BE</v>
      </c>
      <c r="G3653" s="1390"/>
      <c r="H3653" s="1077">
        <f>Risk_Compensation!$K42</f>
        <v>0</v>
      </c>
    </row>
    <row r="3654" spans="1:8" x14ac:dyDescent="0.2">
      <c r="A3654" s="1027"/>
      <c r="B3654" s="1083">
        <f>Risk_Compensation!A$1</f>
        <v>36</v>
      </c>
      <c r="C3654" s="1390" t="str">
        <f>Risk_Compensation!$B$1</f>
        <v xml:space="preserve">Risikoausgleich </v>
      </c>
      <c r="D3654" s="2205" t="s">
        <v>2572</v>
      </c>
      <c r="E3654" s="1390">
        <f>Risk_Compensation!$G43</f>
        <v>26</v>
      </c>
      <c r="F3654" s="1390" t="str">
        <f>Risk_Compensation!$K$17</f>
        <v>BE</v>
      </c>
      <c r="G3654" s="1390"/>
      <c r="H3654" s="1077">
        <f>Risk_Compensation!$K43</f>
        <v>0</v>
      </c>
    </row>
    <row r="3655" spans="1:8" x14ac:dyDescent="0.2">
      <c r="A3655" s="1027"/>
      <c r="B3655" s="1083">
        <f>Risk_Compensation!A$1</f>
        <v>36</v>
      </c>
      <c r="C3655" s="1390" t="str">
        <f>Risk_Compensation!$B$1</f>
        <v xml:space="preserve">Risikoausgleich </v>
      </c>
      <c r="D3655" s="2205" t="s">
        <v>2572</v>
      </c>
      <c r="E3655" s="1390">
        <f>Risk_Compensation!$G44</f>
        <v>27</v>
      </c>
      <c r="F3655" s="1390" t="str">
        <f>Risk_Compensation!$K$17</f>
        <v>BE</v>
      </c>
      <c r="G3655" s="1390"/>
      <c r="H3655" s="1077">
        <f>Risk_Compensation!$K44</f>
        <v>0</v>
      </c>
    </row>
    <row r="3656" spans="1:8" x14ac:dyDescent="0.2">
      <c r="A3656" s="1027"/>
      <c r="B3656" s="1083">
        <f>Risk_Compensation!A$1</f>
        <v>36</v>
      </c>
      <c r="C3656" s="1390" t="str">
        <f>Risk_Compensation!$B$1</f>
        <v xml:space="preserve">Risikoausgleich </v>
      </c>
      <c r="D3656" s="2205" t="s">
        <v>2572</v>
      </c>
      <c r="E3656" s="1390">
        <f>Risk_Compensation!$G45</f>
        <v>28</v>
      </c>
      <c r="F3656" s="1390" t="str">
        <f>Risk_Compensation!$K$17</f>
        <v>BE</v>
      </c>
      <c r="G3656" s="1390"/>
      <c r="H3656" s="1077">
        <f>Risk_Compensation!$K45</f>
        <v>0</v>
      </c>
    </row>
    <row r="3657" spans="1:8" x14ac:dyDescent="0.2">
      <c r="A3657" s="1027"/>
      <c r="B3657" s="1083">
        <f>Risk_Compensation!A$1</f>
        <v>36</v>
      </c>
      <c r="C3657" s="1390" t="str">
        <f>Risk_Compensation!$B$1</f>
        <v xml:space="preserve">Risikoausgleich </v>
      </c>
      <c r="D3657" s="2205" t="s">
        <v>2572</v>
      </c>
      <c r="E3657" s="1390">
        <f>Risk_Compensation!$G46</f>
        <v>29</v>
      </c>
      <c r="F3657" s="1390" t="str">
        <f>Risk_Compensation!$K$17</f>
        <v>BE</v>
      </c>
      <c r="G3657" s="1390"/>
      <c r="H3657" s="1077">
        <f>Risk_Compensation!$K46</f>
        <v>0</v>
      </c>
    </row>
    <row r="3658" spans="1:8" x14ac:dyDescent="0.2">
      <c r="A3658" s="1027"/>
      <c r="B3658" s="1083">
        <f>Risk_Compensation!A$1</f>
        <v>36</v>
      </c>
      <c r="C3658" s="1390" t="str">
        <f>Risk_Compensation!$B$1</f>
        <v xml:space="preserve">Risikoausgleich </v>
      </c>
      <c r="D3658" s="2205" t="s">
        <v>2572</v>
      </c>
      <c r="E3658" s="1390">
        <f>Risk_Compensation!$G47</f>
        <v>30</v>
      </c>
      <c r="F3658" s="1390" t="str">
        <f>Risk_Compensation!$K$17</f>
        <v>BE</v>
      </c>
      <c r="G3658" s="1390"/>
      <c r="H3658" s="1077">
        <f>Risk_Compensation!$K47</f>
        <v>0</v>
      </c>
    </row>
    <row r="3659" spans="1:8" x14ac:dyDescent="0.2">
      <c r="A3659" s="1027"/>
      <c r="B3659" s="1083">
        <f>Risk_Compensation!A$1</f>
        <v>36</v>
      </c>
      <c r="C3659" s="1390" t="str">
        <f>Risk_Compensation!$B$1</f>
        <v xml:space="preserve">Risikoausgleich </v>
      </c>
      <c r="D3659" s="2205" t="s">
        <v>2572</v>
      </c>
      <c r="E3659" s="1390">
        <f>Risk_Compensation!$G48</f>
        <v>31</v>
      </c>
      <c r="F3659" s="1390" t="str">
        <f>Risk_Compensation!$K$17</f>
        <v>BE</v>
      </c>
      <c r="G3659" s="1390"/>
      <c r="H3659" s="1077">
        <f>Risk_Compensation!$K48</f>
        <v>0</v>
      </c>
    </row>
    <row r="3660" spans="1:8" x14ac:dyDescent="0.2">
      <c r="A3660" s="1027"/>
      <c r="B3660" s="1083">
        <f>Risk_Compensation!A$1</f>
        <v>36</v>
      </c>
      <c r="C3660" s="1390" t="str">
        <f>Risk_Compensation!$B$1</f>
        <v xml:space="preserve">Risikoausgleich </v>
      </c>
      <c r="D3660" s="2205" t="s">
        <v>2572</v>
      </c>
      <c r="E3660" s="1390">
        <f>Risk_Compensation!$G49</f>
        <v>32</v>
      </c>
      <c r="F3660" s="1390" t="str">
        <f>Risk_Compensation!$K$17</f>
        <v>BE</v>
      </c>
      <c r="G3660" s="1390"/>
      <c r="H3660" s="1077">
        <f>Risk_Compensation!$K49</f>
        <v>0</v>
      </c>
    </row>
    <row r="3661" spans="1:8" x14ac:dyDescent="0.2">
      <c r="A3661" s="1027"/>
      <c r="B3661" s="1083">
        <f>Risk_Compensation!A$1</f>
        <v>36</v>
      </c>
      <c r="C3661" s="1390" t="str">
        <f>Risk_Compensation!$B$1</f>
        <v xml:space="preserve">Risikoausgleich </v>
      </c>
      <c r="D3661" s="2205" t="s">
        <v>2572</v>
      </c>
      <c r="E3661" s="1390">
        <f>Risk_Compensation!$G50</f>
        <v>33</v>
      </c>
      <c r="F3661" s="1390" t="str">
        <f>Risk_Compensation!$K$17</f>
        <v>BE</v>
      </c>
      <c r="G3661" s="1390"/>
      <c r="H3661" s="1077">
        <f>Risk_Compensation!$K50</f>
        <v>0</v>
      </c>
    </row>
    <row r="3662" spans="1:8" x14ac:dyDescent="0.2">
      <c r="A3662" s="1027"/>
      <c r="B3662" s="1083">
        <f>Risk_Compensation!A$1</f>
        <v>36</v>
      </c>
      <c r="C3662" s="1390" t="str">
        <f>Risk_Compensation!$B$1</f>
        <v xml:space="preserve">Risikoausgleich </v>
      </c>
      <c r="D3662" s="2205" t="s">
        <v>2572</v>
      </c>
      <c r="E3662" s="1390">
        <f>Risk_Compensation!$G51</f>
        <v>34</v>
      </c>
      <c r="F3662" s="1390" t="str">
        <f>Risk_Compensation!$K$17</f>
        <v>BE</v>
      </c>
      <c r="G3662" s="1390"/>
      <c r="H3662" s="1077">
        <f>Risk_Compensation!$K51</f>
        <v>0</v>
      </c>
    </row>
    <row r="3663" spans="1:8" x14ac:dyDescent="0.2">
      <c r="A3663" s="1027"/>
      <c r="B3663" s="1083">
        <f>Risk_Compensation!A$1</f>
        <v>36</v>
      </c>
      <c r="C3663" s="1390" t="str">
        <f>Risk_Compensation!$B$1</f>
        <v xml:space="preserve">Risikoausgleich </v>
      </c>
      <c r="D3663" s="2205" t="s">
        <v>2572</v>
      </c>
      <c r="E3663" s="1390">
        <f>Risk_Compensation!$G52</f>
        <v>35</v>
      </c>
      <c r="F3663" s="1390" t="str">
        <f>Risk_Compensation!$K$17</f>
        <v>BE</v>
      </c>
      <c r="G3663" s="1390"/>
      <c r="H3663" s="1077">
        <f>Risk_Compensation!$K52</f>
        <v>0</v>
      </c>
    </row>
    <row r="3664" spans="1:8" x14ac:dyDescent="0.2">
      <c r="A3664" s="1027"/>
      <c r="B3664" s="1083">
        <f>Risk_Compensation!A$1</f>
        <v>36</v>
      </c>
      <c r="C3664" s="1390" t="str">
        <f>Risk_Compensation!$B$1</f>
        <v xml:space="preserve">Risikoausgleich </v>
      </c>
      <c r="D3664" s="2205" t="s">
        <v>2572</v>
      </c>
      <c r="E3664" s="1390">
        <f>Risk_Compensation!$G53</f>
        <v>36</v>
      </c>
      <c r="F3664" s="1390" t="str">
        <f>Risk_Compensation!$K$17</f>
        <v>BE</v>
      </c>
      <c r="G3664" s="1390"/>
      <c r="H3664" s="1077">
        <f>Risk_Compensation!$K53</f>
        <v>0</v>
      </c>
    </row>
    <row r="3665" spans="1:8" x14ac:dyDescent="0.2">
      <c r="A3665" s="1027"/>
      <c r="B3665" s="1083">
        <f>Risk_Compensation!A$1</f>
        <v>36</v>
      </c>
      <c r="C3665" s="1390" t="str">
        <f>Risk_Compensation!$B$1</f>
        <v xml:space="preserve">Risikoausgleich </v>
      </c>
      <c r="D3665" s="2205" t="s">
        <v>2572</v>
      </c>
      <c r="E3665" s="1390">
        <f>Risk_Compensation!$G54</f>
        <v>37</v>
      </c>
      <c r="F3665" s="1390" t="str">
        <f>Risk_Compensation!$K$17</f>
        <v>BE</v>
      </c>
      <c r="G3665" s="1390"/>
      <c r="H3665" s="1077">
        <f>Risk_Compensation!$K54</f>
        <v>0</v>
      </c>
    </row>
    <row r="3666" spans="1:8" x14ac:dyDescent="0.2">
      <c r="A3666" s="1027"/>
      <c r="B3666" s="1083">
        <f>Risk_Compensation!A$1</f>
        <v>36</v>
      </c>
      <c r="C3666" s="1390" t="str">
        <f>Risk_Compensation!$B$1</f>
        <v xml:space="preserve">Risikoausgleich </v>
      </c>
      <c r="D3666" s="2205" t="s">
        <v>2572</v>
      </c>
      <c r="E3666" s="1390">
        <f>Risk_Compensation!$G55</f>
        <v>38</v>
      </c>
      <c r="F3666" s="1390" t="str">
        <f>Risk_Compensation!$K$17</f>
        <v>BE</v>
      </c>
      <c r="G3666" s="1390"/>
      <c r="H3666" s="1077">
        <f>Risk_Compensation!$K55</f>
        <v>0</v>
      </c>
    </row>
    <row r="3667" spans="1:8" x14ac:dyDescent="0.2">
      <c r="A3667" s="1027"/>
      <c r="B3667" s="1083">
        <f>Risk_Compensation!A$1</f>
        <v>36</v>
      </c>
      <c r="C3667" s="1390" t="str">
        <f>Risk_Compensation!$B$1</f>
        <v xml:space="preserve">Risikoausgleich </v>
      </c>
      <c r="D3667" s="2205" t="s">
        <v>2572</v>
      </c>
      <c r="E3667" s="1390">
        <f>Risk_Compensation!$G56</f>
        <v>39</v>
      </c>
      <c r="F3667" s="1390" t="str">
        <f>Risk_Compensation!$K$17</f>
        <v>BE</v>
      </c>
      <c r="G3667" s="1390"/>
      <c r="H3667" s="1077">
        <f>Risk_Compensation!$K56</f>
        <v>0</v>
      </c>
    </row>
    <row r="3668" spans="1:8" x14ac:dyDescent="0.2">
      <c r="A3668" s="1027"/>
      <c r="B3668" s="1083">
        <f>Risk_Compensation!A$1</f>
        <v>36</v>
      </c>
      <c r="C3668" s="1390" t="str">
        <f>Risk_Compensation!$B$1</f>
        <v xml:space="preserve">Risikoausgleich </v>
      </c>
      <c r="D3668" s="2205" t="s">
        <v>2572</v>
      </c>
      <c r="E3668" s="1390">
        <f>Risk_Compensation!$G57</f>
        <v>40</v>
      </c>
      <c r="F3668" s="1390" t="str">
        <f>Risk_Compensation!$K$17</f>
        <v>BE</v>
      </c>
      <c r="G3668" s="1390"/>
      <c r="H3668" s="1077">
        <f>Risk_Compensation!$K57</f>
        <v>0</v>
      </c>
    </row>
    <row r="3669" spans="1:8" x14ac:dyDescent="0.2">
      <c r="A3669" s="1027"/>
      <c r="B3669" s="1083">
        <f>Risk_Compensation!A$1</f>
        <v>36</v>
      </c>
      <c r="C3669" s="1390" t="str">
        <f>Risk_Compensation!$B$1</f>
        <v xml:space="preserve">Risikoausgleich </v>
      </c>
      <c r="D3669" s="2205" t="s">
        <v>2572</v>
      </c>
      <c r="E3669" s="1390">
        <f>Risk_Compensation!$G58</f>
        <v>41</v>
      </c>
      <c r="F3669" s="1390" t="str">
        <f>Risk_Compensation!$K$17</f>
        <v>BE</v>
      </c>
      <c r="G3669" s="1390"/>
      <c r="H3669" s="1077">
        <f>Risk_Compensation!$K58</f>
        <v>0</v>
      </c>
    </row>
    <row r="3670" spans="1:8" x14ac:dyDescent="0.2">
      <c r="A3670" s="1027"/>
      <c r="B3670" s="1083">
        <f>Risk_Compensation!A$1</f>
        <v>36</v>
      </c>
      <c r="C3670" s="1390" t="str">
        <f>Risk_Compensation!$B$1</f>
        <v xml:space="preserve">Risikoausgleich </v>
      </c>
      <c r="D3670" s="2205" t="s">
        <v>2572</v>
      </c>
      <c r="E3670" s="1390">
        <f>Risk_Compensation!$G59</f>
        <v>42</v>
      </c>
      <c r="F3670" s="1390" t="str">
        <f>Risk_Compensation!$K$17</f>
        <v>BE</v>
      </c>
      <c r="G3670" s="1390"/>
      <c r="H3670" s="1077">
        <f>Risk_Compensation!$K59</f>
        <v>0</v>
      </c>
    </row>
    <row r="3671" spans="1:8" x14ac:dyDescent="0.2">
      <c r="A3671" s="1027"/>
      <c r="B3671" s="1083">
        <f>Risk_Compensation!A$1</f>
        <v>36</v>
      </c>
      <c r="C3671" s="1390" t="str">
        <f>Risk_Compensation!$B$1</f>
        <v xml:space="preserve">Risikoausgleich </v>
      </c>
      <c r="D3671" s="2205" t="s">
        <v>2572</v>
      </c>
      <c r="E3671" s="1390">
        <f>Risk_Compensation!$G60</f>
        <v>43</v>
      </c>
      <c r="F3671" s="1390" t="str">
        <f>Risk_Compensation!$K$17</f>
        <v>BE</v>
      </c>
      <c r="G3671" s="1390"/>
      <c r="H3671" s="1077">
        <f>Risk_Compensation!$K60</f>
        <v>0</v>
      </c>
    </row>
    <row r="3672" spans="1:8" x14ac:dyDescent="0.2">
      <c r="A3672" s="1027"/>
      <c r="B3672" s="1083">
        <f>Risk_Compensation!A$1</f>
        <v>36</v>
      </c>
      <c r="C3672" s="1390" t="str">
        <f>Risk_Compensation!$B$1</f>
        <v xml:space="preserve">Risikoausgleich </v>
      </c>
      <c r="D3672" s="2205" t="s">
        <v>2572</v>
      </c>
      <c r="E3672" s="1390">
        <f>Risk_Compensation!$G61</f>
        <v>44</v>
      </c>
      <c r="F3672" s="1390" t="str">
        <f>Risk_Compensation!$K$17</f>
        <v>BE</v>
      </c>
      <c r="G3672" s="1390"/>
      <c r="H3672" s="1077">
        <f>Risk_Compensation!$K61</f>
        <v>0</v>
      </c>
    </row>
    <row r="3673" spans="1:8" x14ac:dyDescent="0.2">
      <c r="A3673" s="1027"/>
      <c r="B3673" s="1083">
        <f>Risk_Compensation!A$1</f>
        <v>36</v>
      </c>
      <c r="C3673" s="1390" t="str">
        <f>Risk_Compensation!$B$1</f>
        <v xml:space="preserve">Risikoausgleich </v>
      </c>
      <c r="D3673" s="2205" t="s">
        <v>2572</v>
      </c>
      <c r="E3673" s="1390">
        <f>Risk_Compensation!$G62</f>
        <v>45</v>
      </c>
      <c r="F3673" s="1390" t="str">
        <f>Risk_Compensation!$K$17</f>
        <v>BE</v>
      </c>
      <c r="G3673" s="1390"/>
      <c r="H3673" s="1077">
        <f>Risk_Compensation!$K62</f>
        <v>0</v>
      </c>
    </row>
    <row r="3674" spans="1:8" x14ac:dyDescent="0.2">
      <c r="A3674" s="1027"/>
      <c r="B3674" s="1083">
        <f>Risk_Compensation!A$1</f>
        <v>36</v>
      </c>
      <c r="C3674" s="1390" t="str">
        <f>Risk_Compensation!$B$1</f>
        <v xml:space="preserve">Risikoausgleich </v>
      </c>
      <c r="D3674" s="2205" t="s">
        <v>2572</v>
      </c>
      <c r="E3674" s="1390">
        <f>Risk_Compensation!$G63</f>
        <v>46</v>
      </c>
      <c r="F3674" s="1390" t="str">
        <f>Risk_Compensation!$K$17</f>
        <v>BE</v>
      </c>
      <c r="G3674" s="1390"/>
      <c r="H3674" s="1077">
        <f>Risk_Compensation!$K63</f>
        <v>0</v>
      </c>
    </row>
    <row r="3675" spans="1:8" x14ac:dyDescent="0.2">
      <c r="A3675" s="1027"/>
      <c r="B3675" s="1083">
        <f>Risk_Compensation!A$1</f>
        <v>36</v>
      </c>
      <c r="C3675" s="1390" t="str">
        <f>Risk_Compensation!$B$1</f>
        <v xml:space="preserve">Risikoausgleich </v>
      </c>
      <c r="D3675" s="2205" t="s">
        <v>2572</v>
      </c>
      <c r="E3675" s="1390">
        <f>Risk_Compensation!$G64</f>
        <v>47</v>
      </c>
      <c r="F3675" s="1390" t="str">
        <f>Risk_Compensation!$K$17</f>
        <v>BE</v>
      </c>
      <c r="G3675" s="1390"/>
      <c r="H3675" s="1077">
        <f>Risk_Compensation!$K64</f>
        <v>0</v>
      </c>
    </row>
    <row r="3676" spans="1:8" x14ac:dyDescent="0.2">
      <c r="A3676" s="1027"/>
      <c r="B3676" s="1083">
        <f>Risk_Compensation!A$1</f>
        <v>36</v>
      </c>
      <c r="C3676" s="1390" t="str">
        <f>Risk_Compensation!$B$1</f>
        <v xml:space="preserve">Risikoausgleich </v>
      </c>
      <c r="D3676" s="2205" t="s">
        <v>2572</v>
      </c>
      <c r="E3676" s="1390">
        <f>Risk_Compensation!$G65</f>
        <v>48</v>
      </c>
      <c r="F3676" s="1390" t="str">
        <f>Risk_Compensation!$K$17</f>
        <v>BE</v>
      </c>
      <c r="G3676" s="1390"/>
      <c r="H3676" s="1077">
        <f>Risk_Compensation!$K65</f>
        <v>0</v>
      </c>
    </row>
    <row r="3677" spans="1:8" x14ac:dyDescent="0.2">
      <c r="A3677" s="1027"/>
      <c r="B3677" s="1083">
        <f>Risk_Compensation!A$1</f>
        <v>36</v>
      </c>
      <c r="C3677" s="1390" t="str">
        <f>Risk_Compensation!$B$1</f>
        <v xml:space="preserve">Risikoausgleich </v>
      </c>
      <c r="D3677" s="2205" t="s">
        <v>2572</v>
      </c>
      <c r="E3677" s="1390">
        <f>Risk_Compensation!$G66</f>
        <v>49</v>
      </c>
      <c r="F3677" s="1390" t="str">
        <f>Risk_Compensation!$K$17</f>
        <v>BE</v>
      </c>
      <c r="G3677" s="1390"/>
      <c r="H3677" s="1077">
        <f>Risk_Compensation!$K66</f>
        <v>0</v>
      </c>
    </row>
    <row r="3678" spans="1:8" x14ac:dyDescent="0.2">
      <c r="A3678" s="1027"/>
      <c r="B3678" s="1083">
        <f>Risk_Compensation!A$1</f>
        <v>36</v>
      </c>
      <c r="C3678" s="1390" t="str">
        <f>Risk_Compensation!$B$1</f>
        <v xml:space="preserve">Risikoausgleich </v>
      </c>
      <c r="D3678" s="2205" t="s">
        <v>2572</v>
      </c>
      <c r="E3678" s="1390">
        <f>Risk_Compensation!$G67</f>
        <v>50</v>
      </c>
      <c r="F3678" s="1390" t="str">
        <f>Risk_Compensation!$K$17</f>
        <v>BE</v>
      </c>
      <c r="G3678" s="1390"/>
      <c r="H3678" s="1077">
        <f>Risk_Compensation!$K67</f>
        <v>0</v>
      </c>
    </row>
    <row r="3679" spans="1:8" x14ac:dyDescent="0.2">
      <c r="A3679" s="1027"/>
      <c r="B3679" s="1083">
        <f>Risk_Compensation!A$1</f>
        <v>36</v>
      </c>
      <c r="C3679" s="1390" t="str">
        <f>Risk_Compensation!$B$1</f>
        <v xml:space="preserve">Risikoausgleich </v>
      </c>
      <c r="D3679" s="2205" t="s">
        <v>2572</v>
      </c>
      <c r="E3679" s="1390">
        <f>Risk_Compensation!$G68</f>
        <v>51</v>
      </c>
      <c r="F3679" s="1390" t="str">
        <f>Risk_Compensation!$K$17</f>
        <v>BE</v>
      </c>
      <c r="G3679" s="1390"/>
      <c r="H3679" s="1077">
        <f>Risk_Compensation!$K68</f>
        <v>0</v>
      </c>
    </row>
    <row r="3680" spans="1:8" x14ac:dyDescent="0.2">
      <c r="A3680" s="1027"/>
      <c r="B3680" s="1083">
        <f>Risk_Compensation!A$1</f>
        <v>36</v>
      </c>
      <c r="C3680" s="1390" t="str">
        <f>Risk_Compensation!$B$1</f>
        <v xml:space="preserve">Risikoausgleich </v>
      </c>
      <c r="D3680" s="2205" t="s">
        <v>2572</v>
      </c>
      <c r="E3680" s="1390">
        <f>Risk_Compensation!$G69</f>
        <v>52</v>
      </c>
      <c r="F3680" s="1390" t="str">
        <f>Risk_Compensation!$K$17</f>
        <v>BE</v>
      </c>
      <c r="G3680" s="1390"/>
      <c r="H3680" s="1077">
        <f>Risk_Compensation!$K69</f>
        <v>0</v>
      </c>
    </row>
    <row r="3681" spans="1:8" x14ac:dyDescent="0.2">
      <c r="A3681" s="1027"/>
      <c r="B3681" s="1083">
        <f>Risk_Compensation!A$1</f>
        <v>36</v>
      </c>
      <c r="C3681" s="1390" t="str">
        <f>Risk_Compensation!$B$1</f>
        <v xml:space="preserve">Risikoausgleich </v>
      </c>
      <c r="D3681" s="2205" t="s">
        <v>2572</v>
      </c>
      <c r="E3681" s="1390">
        <f>Risk_Compensation!$G70</f>
        <v>53</v>
      </c>
      <c r="F3681" s="1390" t="str">
        <f>Risk_Compensation!$K$17</f>
        <v>BE</v>
      </c>
      <c r="G3681" s="1390"/>
      <c r="H3681" s="1077">
        <f>Risk_Compensation!$K70</f>
        <v>0</v>
      </c>
    </row>
    <row r="3682" spans="1:8" x14ac:dyDescent="0.2">
      <c r="A3682" s="1027"/>
      <c r="B3682" s="1083">
        <f>Risk_Compensation!A$1</f>
        <v>36</v>
      </c>
      <c r="C3682" s="1390" t="str">
        <f>Risk_Compensation!$B$1</f>
        <v xml:space="preserve">Risikoausgleich </v>
      </c>
      <c r="D3682" s="2205" t="s">
        <v>2572</v>
      </c>
      <c r="E3682" s="1390">
        <f>Risk_Compensation!$G71</f>
        <v>54</v>
      </c>
      <c r="F3682" s="1390" t="str">
        <f>Risk_Compensation!$K$17</f>
        <v>BE</v>
      </c>
      <c r="G3682" s="1390"/>
      <c r="H3682" s="1077">
        <f>Risk_Compensation!$K71</f>
        <v>0</v>
      </c>
    </row>
    <row r="3683" spans="1:8" x14ac:dyDescent="0.2">
      <c r="A3683" s="1027"/>
      <c r="B3683" s="1083">
        <f>Risk_Compensation!A$1</f>
        <v>36</v>
      </c>
      <c r="C3683" s="1390" t="str">
        <f>Risk_Compensation!$B$1</f>
        <v xml:space="preserve">Risikoausgleich </v>
      </c>
      <c r="D3683" s="2205" t="s">
        <v>2572</v>
      </c>
      <c r="E3683" s="1390">
        <f>Risk_Compensation!$G72</f>
        <v>55</v>
      </c>
      <c r="F3683" s="1390" t="str">
        <f>Risk_Compensation!$K$17</f>
        <v>BE</v>
      </c>
      <c r="G3683" s="1390"/>
      <c r="H3683" s="1077">
        <f>Risk_Compensation!$K72</f>
        <v>0</v>
      </c>
    </row>
    <row r="3684" spans="1:8" x14ac:dyDescent="0.2">
      <c r="A3684" s="1027"/>
      <c r="B3684" s="1083">
        <f>Risk_Compensation!A$1</f>
        <v>36</v>
      </c>
      <c r="C3684" s="1390" t="str">
        <f>Risk_Compensation!$B$1</f>
        <v xml:space="preserve">Risikoausgleich </v>
      </c>
      <c r="D3684" s="2205" t="s">
        <v>2572</v>
      </c>
      <c r="E3684" s="1390">
        <f>Risk_Compensation!$G73</f>
        <v>56</v>
      </c>
      <c r="F3684" s="1390" t="str">
        <f>Risk_Compensation!$K$17</f>
        <v>BE</v>
      </c>
      <c r="G3684" s="1390"/>
      <c r="H3684" s="1077">
        <f>Risk_Compensation!$K73</f>
        <v>0</v>
      </c>
    </row>
    <row r="3685" spans="1:8" x14ac:dyDescent="0.2">
      <c r="A3685" s="1027"/>
      <c r="B3685" s="1083">
        <f>Risk_Compensation!A$1</f>
        <v>36</v>
      </c>
      <c r="C3685" s="1390" t="str">
        <f>Risk_Compensation!$B$1</f>
        <v xml:space="preserve">Risikoausgleich </v>
      </c>
      <c r="D3685" s="2205" t="s">
        <v>2572</v>
      </c>
      <c r="E3685" s="1390">
        <f>Risk_Compensation!$G74</f>
        <v>57</v>
      </c>
      <c r="F3685" s="1390" t="str">
        <f>Risk_Compensation!$K$17</f>
        <v>BE</v>
      </c>
      <c r="G3685" s="1390"/>
      <c r="H3685" s="1077">
        <f>Risk_Compensation!$K74</f>
        <v>0</v>
      </c>
    </row>
    <row r="3686" spans="1:8" x14ac:dyDescent="0.2">
      <c r="A3686" s="1027"/>
      <c r="B3686" s="1083">
        <f>Risk_Compensation!A$1</f>
        <v>36</v>
      </c>
      <c r="C3686" s="1390" t="str">
        <f>Risk_Compensation!$B$1</f>
        <v xml:space="preserve">Risikoausgleich </v>
      </c>
      <c r="D3686" s="2205" t="s">
        <v>2572</v>
      </c>
      <c r="E3686" s="1390">
        <f>Risk_Compensation!$G75</f>
        <v>58</v>
      </c>
      <c r="F3686" s="1390" t="str">
        <f>Risk_Compensation!$K$17</f>
        <v>BE</v>
      </c>
      <c r="G3686" s="1390"/>
      <c r="H3686" s="1077">
        <f>Risk_Compensation!$K75</f>
        <v>0</v>
      </c>
    </row>
    <row r="3687" spans="1:8" x14ac:dyDescent="0.2">
      <c r="A3687" s="1027"/>
      <c r="B3687" s="1083">
        <f>Risk_Compensation!A$1</f>
        <v>36</v>
      </c>
      <c r="C3687" s="1390" t="str">
        <f>Risk_Compensation!$B$1</f>
        <v xml:space="preserve">Risikoausgleich </v>
      </c>
      <c r="D3687" s="2205" t="s">
        <v>2572</v>
      </c>
      <c r="E3687" s="1390">
        <f>Risk_Compensation!$G76</f>
        <v>59</v>
      </c>
      <c r="F3687" s="1390" t="str">
        <f>Risk_Compensation!$K$17</f>
        <v>BE</v>
      </c>
      <c r="G3687" s="1390"/>
      <c r="H3687" s="1077">
        <f>Risk_Compensation!$K76</f>
        <v>0</v>
      </c>
    </row>
    <row r="3688" spans="1:8" x14ac:dyDescent="0.2">
      <c r="A3688" s="1027"/>
      <c r="B3688" s="1083">
        <f>Risk_Compensation!A$1</f>
        <v>36</v>
      </c>
      <c r="C3688" s="1390" t="str">
        <f>Risk_Compensation!$B$1</f>
        <v xml:space="preserve">Risikoausgleich </v>
      </c>
      <c r="D3688" s="2205" t="s">
        <v>2572</v>
      </c>
      <c r="E3688" s="1390">
        <f>Risk_Compensation!$G77</f>
        <v>60</v>
      </c>
      <c r="F3688" s="1390" t="str">
        <f>Risk_Compensation!$K$17</f>
        <v>BE</v>
      </c>
      <c r="G3688" s="1390"/>
      <c r="H3688" s="1077">
        <f>Risk_Compensation!$K77</f>
        <v>0</v>
      </c>
    </row>
    <row r="3689" spans="1:8" x14ac:dyDescent="0.2">
      <c r="A3689" s="1027"/>
      <c r="B3689" s="2174"/>
      <c r="C3689" s="1390"/>
      <c r="D3689" s="2175"/>
      <c r="E3689" s="2176"/>
      <c r="F3689" s="1390"/>
      <c r="G3689" s="1390"/>
      <c r="H3689" s="1078"/>
    </row>
    <row r="3690" spans="1:8" x14ac:dyDescent="0.2">
      <c r="A3690" s="1027"/>
      <c r="B3690" s="1083">
        <f>Risk_Compensation!A$1</f>
        <v>36</v>
      </c>
      <c r="C3690" s="1390" t="str">
        <f>Risk_Compensation!$B$1</f>
        <v xml:space="preserve">Risikoausgleich </v>
      </c>
      <c r="D3690" s="2205" t="s">
        <v>2572</v>
      </c>
      <c r="E3690" s="1390">
        <f>Risk_Compensation!$G18</f>
        <v>1</v>
      </c>
      <c r="F3690" s="1390" t="str">
        <f>Risk_Compensation!$L$17</f>
        <v>BL</v>
      </c>
      <c r="G3690" s="1390"/>
      <c r="H3690" s="1077">
        <f>Risk_Compensation!$L18</f>
        <v>0</v>
      </c>
    </row>
    <row r="3691" spans="1:8" x14ac:dyDescent="0.2">
      <c r="A3691" s="1027"/>
      <c r="B3691" s="1083">
        <f>Risk_Compensation!A$1</f>
        <v>36</v>
      </c>
      <c r="C3691" s="1390" t="str">
        <f>Risk_Compensation!$B$1</f>
        <v xml:space="preserve">Risikoausgleich </v>
      </c>
      <c r="D3691" s="2205" t="s">
        <v>2572</v>
      </c>
      <c r="E3691" s="1390">
        <f>Risk_Compensation!$G19</f>
        <v>2</v>
      </c>
      <c r="F3691" s="1390" t="str">
        <f>Risk_Compensation!$L$17</f>
        <v>BL</v>
      </c>
      <c r="G3691" s="1390"/>
      <c r="H3691" s="1077">
        <f>Risk_Compensation!$L19</f>
        <v>0</v>
      </c>
    </row>
    <row r="3692" spans="1:8" x14ac:dyDescent="0.2">
      <c r="A3692" s="1027"/>
      <c r="B3692" s="1083">
        <f>Risk_Compensation!A$1</f>
        <v>36</v>
      </c>
      <c r="C3692" s="1390" t="str">
        <f>Risk_Compensation!$B$1</f>
        <v xml:space="preserve">Risikoausgleich </v>
      </c>
      <c r="D3692" s="2205" t="s">
        <v>2572</v>
      </c>
      <c r="E3692" s="1390">
        <f>Risk_Compensation!$G20</f>
        <v>3</v>
      </c>
      <c r="F3692" s="1390" t="str">
        <f>Risk_Compensation!$L$17</f>
        <v>BL</v>
      </c>
      <c r="G3692" s="1390"/>
      <c r="H3692" s="1077">
        <f>Risk_Compensation!$L20</f>
        <v>0</v>
      </c>
    </row>
    <row r="3693" spans="1:8" x14ac:dyDescent="0.2">
      <c r="A3693" s="1027"/>
      <c r="B3693" s="1083">
        <f>Risk_Compensation!A$1</f>
        <v>36</v>
      </c>
      <c r="C3693" s="1390" t="str">
        <f>Risk_Compensation!$B$1</f>
        <v xml:space="preserve">Risikoausgleich </v>
      </c>
      <c r="D3693" s="2205" t="s">
        <v>2572</v>
      </c>
      <c r="E3693" s="1390">
        <f>Risk_Compensation!$G21</f>
        <v>4</v>
      </c>
      <c r="F3693" s="1390" t="str">
        <f>Risk_Compensation!$L$17</f>
        <v>BL</v>
      </c>
      <c r="G3693" s="1390"/>
      <c r="H3693" s="1077">
        <f>Risk_Compensation!$L21</f>
        <v>0</v>
      </c>
    </row>
    <row r="3694" spans="1:8" x14ac:dyDescent="0.2">
      <c r="A3694" s="1027"/>
      <c r="B3694" s="1083">
        <f>Risk_Compensation!A$1</f>
        <v>36</v>
      </c>
      <c r="C3694" s="1390" t="str">
        <f>Risk_Compensation!$B$1</f>
        <v xml:space="preserve">Risikoausgleich </v>
      </c>
      <c r="D3694" s="2205" t="s">
        <v>2572</v>
      </c>
      <c r="E3694" s="1390">
        <f>Risk_Compensation!$G22</f>
        <v>5</v>
      </c>
      <c r="F3694" s="1390" t="str">
        <f>Risk_Compensation!$L$17</f>
        <v>BL</v>
      </c>
      <c r="G3694" s="1390"/>
      <c r="H3694" s="1077">
        <f>Risk_Compensation!$L22</f>
        <v>0</v>
      </c>
    </row>
    <row r="3695" spans="1:8" x14ac:dyDescent="0.2">
      <c r="A3695" s="1027"/>
      <c r="B3695" s="1083">
        <f>Risk_Compensation!A$1</f>
        <v>36</v>
      </c>
      <c r="C3695" s="1390" t="str">
        <f>Risk_Compensation!$B$1</f>
        <v xml:space="preserve">Risikoausgleich </v>
      </c>
      <c r="D3695" s="2205" t="s">
        <v>2572</v>
      </c>
      <c r="E3695" s="1390">
        <f>Risk_Compensation!$G23</f>
        <v>6</v>
      </c>
      <c r="F3695" s="1390" t="str">
        <f>Risk_Compensation!$L$17</f>
        <v>BL</v>
      </c>
      <c r="G3695" s="1390"/>
      <c r="H3695" s="1077">
        <f>Risk_Compensation!$L23</f>
        <v>0</v>
      </c>
    </row>
    <row r="3696" spans="1:8" x14ac:dyDescent="0.2">
      <c r="A3696" s="1027"/>
      <c r="B3696" s="1083">
        <f>Risk_Compensation!A$1</f>
        <v>36</v>
      </c>
      <c r="C3696" s="1390" t="str">
        <f>Risk_Compensation!$B$1</f>
        <v xml:space="preserve">Risikoausgleich </v>
      </c>
      <c r="D3696" s="2205" t="s">
        <v>2572</v>
      </c>
      <c r="E3696" s="1390">
        <f>Risk_Compensation!$G24</f>
        <v>7</v>
      </c>
      <c r="F3696" s="1390" t="str">
        <f>Risk_Compensation!$L$17</f>
        <v>BL</v>
      </c>
      <c r="G3696" s="1390"/>
      <c r="H3696" s="1077">
        <f>Risk_Compensation!$L24</f>
        <v>0</v>
      </c>
    </row>
    <row r="3697" spans="1:8" x14ac:dyDescent="0.2">
      <c r="A3697" s="1027"/>
      <c r="B3697" s="1083">
        <f>Risk_Compensation!A$1</f>
        <v>36</v>
      </c>
      <c r="C3697" s="1390" t="str">
        <f>Risk_Compensation!$B$1</f>
        <v xml:space="preserve">Risikoausgleich </v>
      </c>
      <c r="D3697" s="2205" t="s">
        <v>2572</v>
      </c>
      <c r="E3697" s="1390">
        <f>Risk_Compensation!$G25</f>
        <v>8</v>
      </c>
      <c r="F3697" s="1390" t="str">
        <f>Risk_Compensation!$L$17</f>
        <v>BL</v>
      </c>
      <c r="G3697" s="1390"/>
      <c r="H3697" s="1077">
        <f>Risk_Compensation!$L25</f>
        <v>0</v>
      </c>
    </row>
    <row r="3698" spans="1:8" x14ac:dyDescent="0.2">
      <c r="A3698" s="1027"/>
      <c r="B3698" s="1083">
        <f>Risk_Compensation!A$1</f>
        <v>36</v>
      </c>
      <c r="C3698" s="1390" t="str">
        <f>Risk_Compensation!$B$1</f>
        <v xml:space="preserve">Risikoausgleich </v>
      </c>
      <c r="D3698" s="2205" t="s">
        <v>2572</v>
      </c>
      <c r="E3698" s="1390">
        <f>Risk_Compensation!$G26</f>
        <v>9</v>
      </c>
      <c r="F3698" s="1390" t="str">
        <f>Risk_Compensation!$L$17</f>
        <v>BL</v>
      </c>
      <c r="G3698" s="1390"/>
      <c r="H3698" s="1077">
        <f>Risk_Compensation!$L26</f>
        <v>0</v>
      </c>
    </row>
    <row r="3699" spans="1:8" x14ac:dyDescent="0.2">
      <c r="A3699" s="1027"/>
      <c r="B3699" s="1083">
        <f>Risk_Compensation!A$1</f>
        <v>36</v>
      </c>
      <c r="C3699" s="1390" t="str">
        <f>Risk_Compensation!$B$1</f>
        <v xml:space="preserve">Risikoausgleich </v>
      </c>
      <c r="D3699" s="2205" t="s">
        <v>2572</v>
      </c>
      <c r="E3699" s="1390">
        <f>Risk_Compensation!$G27</f>
        <v>10</v>
      </c>
      <c r="F3699" s="1390" t="str">
        <f>Risk_Compensation!$L$17</f>
        <v>BL</v>
      </c>
      <c r="G3699" s="1390"/>
      <c r="H3699" s="1077">
        <f>Risk_Compensation!$L27</f>
        <v>0</v>
      </c>
    </row>
    <row r="3700" spans="1:8" x14ac:dyDescent="0.2">
      <c r="A3700" s="1027"/>
      <c r="B3700" s="1083">
        <f>Risk_Compensation!A$1</f>
        <v>36</v>
      </c>
      <c r="C3700" s="1390" t="str">
        <f>Risk_Compensation!$B$1</f>
        <v xml:space="preserve">Risikoausgleich </v>
      </c>
      <c r="D3700" s="2205" t="s">
        <v>2572</v>
      </c>
      <c r="E3700" s="1390">
        <f>Risk_Compensation!$G28</f>
        <v>11</v>
      </c>
      <c r="F3700" s="1390" t="str">
        <f>Risk_Compensation!$L$17</f>
        <v>BL</v>
      </c>
      <c r="G3700" s="1390"/>
      <c r="H3700" s="1077">
        <f>Risk_Compensation!$L28</f>
        <v>0</v>
      </c>
    </row>
    <row r="3701" spans="1:8" x14ac:dyDescent="0.2">
      <c r="A3701" s="1027"/>
      <c r="B3701" s="1083">
        <f>Risk_Compensation!A$1</f>
        <v>36</v>
      </c>
      <c r="C3701" s="1390" t="str">
        <f>Risk_Compensation!$B$1</f>
        <v xml:space="preserve">Risikoausgleich </v>
      </c>
      <c r="D3701" s="2205" t="s">
        <v>2572</v>
      </c>
      <c r="E3701" s="1390">
        <f>Risk_Compensation!$G29</f>
        <v>12</v>
      </c>
      <c r="F3701" s="1390" t="str">
        <f>Risk_Compensation!$L$17</f>
        <v>BL</v>
      </c>
      <c r="G3701" s="1390"/>
      <c r="H3701" s="1077">
        <f>Risk_Compensation!$L29</f>
        <v>0</v>
      </c>
    </row>
    <row r="3702" spans="1:8" x14ac:dyDescent="0.2">
      <c r="A3702" s="1027"/>
      <c r="B3702" s="1083">
        <f>Risk_Compensation!A$1</f>
        <v>36</v>
      </c>
      <c r="C3702" s="1390" t="str">
        <f>Risk_Compensation!$B$1</f>
        <v xml:space="preserve">Risikoausgleich </v>
      </c>
      <c r="D3702" s="2205" t="s">
        <v>2572</v>
      </c>
      <c r="E3702" s="1390">
        <f>Risk_Compensation!$G30</f>
        <v>13</v>
      </c>
      <c r="F3702" s="1390" t="str">
        <f>Risk_Compensation!$L$17</f>
        <v>BL</v>
      </c>
      <c r="G3702" s="1390"/>
      <c r="H3702" s="1077">
        <f>Risk_Compensation!$L30</f>
        <v>0</v>
      </c>
    </row>
    <row r="3703" spans="1:8" x14ac:dyDescent="0.2">
      <c r="A3703" s="1027"/>
      <c r="B3703" s="1083">
        <f>Risk_Compensation!A$1</f>
        <v>36</v>
      </c>
      <c r="C3703" s="1390" t="str">
        <f>Risk_Compensation!$B$1</f>
        <v xml:space="preserve">Risikoausgleich </v>
      </c>
      <c r="D3703" s="2205" t="s">
        <v>2572</v>
      </c>
      <c r="E3703" s="1390">
        <f>Risk_Compensation!$G31</f>
        <v>14</v>
      </c>
      <c r="F3703" s="1390" t="str">
        <f>Risk_Compensation!$L$17</f>
        <v>BL</v>
      </c>
      <c r="G3703" s="1390"/>
      <c r="H3703" s="1077">
        <f>Risk_Compensation!$L31</f>
        <v>0</v>
      </c>
    </row>
    <row r="3704" spans="1:8" x14ac:dyDescent="0.2">
      <c r="A3704" s="1027"/>
      <c r="B3704" s="1083">
        <f>Risk_Compensation!A$1</f>
        <v>36</v>
      </c>
      <c r="C3704" s="1390" t="str">
        <f>Risk_Compensation!$B$1</f>
        <v xml:space="preserve">Risikoausgleich </v>
      </c>
      <c r="D3704" s="2205" t="s">
        <v>2572</v>
      </c>
      <c r="E3704" s="1390">
        <f>Risk_Compensation!$G32</f>
        <v>15</v>
      </c>
      <c r="F3704" s="1390" t="str">
        <f>Risk_Compensation!$L$17</f>
        <v>BL</v>
      </c>
      <c r="G3704" s="1390"/>
      <c r="H3704" s="1077">
        <f>Risk_Compensation!$L32</f>
        <v>0</v>
      </c>
    </row>
    <row r="3705" spans="1:8" x14ac:dyDescent="0.2">
      <c r="A3705" s="1027"/>
      <c r="B3705" s="1083">
        <f>Risk_Compensation!A$1</f>
        <v>36</v>
      </c>
      <c r="C3705" s="1390" t="str">
        <f>Risk_Compensation!$B$1</f>
        <v xml:space="preserve">Risikoausgleich </v>
      </c>
      <c r="D3705" s="2205" t="s">
        <v>2572</v>
      </c>
      <c r="E3705" s="1390">
        <f>Risk_Compensation!$G33</f>
        <v>16</v>
      </c>
      <c r="F3705" s="1390" t="str">
        <f>Risk_Compensation!$L$17</f>
        <v>BL</v>
      </c>
      <c r="G3705" s="1390"/>
      <c r="H3705" s="1077">
        <f>Risk_Compensation!$L33</f>
        <v>0</v>
      </c>
    </row>
    <row r="3706" spans="1:8" x14ac:dyDescent="0.2">
      <c r="A3706" s="1027"/>
      <c r="B3706" s="1083">
        <f>Risk_Compensation!A$1</f>
        <v>36</v>
      </c>
      <c r="C3706" s="1390" t="str">
        <f>Risk_Compensation!$B$1</f>
        <v xml:space="preserve">Risikoausgleich </v>
      </c>
      <c r="D3706" s="2205" t="s">
        <v>2572</v>
      </c>
      <c r="E3706" s="1390">
        <f>Risk_Compensation!$G34</f>
        <v>17</v>
      </c>
      <c r="F3706" s="1390" t="str">
        <f>Risk_Compensation!$L$17</f>
        <v>BL</v>
      </c>
      <c r="G3706" s="1390"/>
      <c r="H3706" s="1077">
        <f>Risk_Compensation!$L34</f>
        <v>0</v>
      </c>
    </row>
    <row r="3707" spans="1:8" x14ac:dyDescent="0.2">
      <c r="A3707" s="1027"/>
      <c r="B3707" s="1083">
        <f>Risk_Compensation!A$1</f>
        <v>36</v>
      </c>
      <c r="C3707" s="1390" t="str">
        <f>Risk_Compensation!$B$1</f>
        <v xml:space="preserve">Risikoausgleich </v>
      </c>
      <c r="D3707" s="2205" t="s">
        <v>2572</v>
      </c>
      <c r="E3707" s="1390">
        <f>Risk_Compensation!$G35</f>
        <v>18</v>
      </c>
      <c r="F3707" s="1390" t="str">
        <f>Risk_Compensation!$L$17</f>
        <v>BL</v>
      </c>
      <c r="G3707" s="1390"/>
      <c r="H3707" s="1077">
        <f>Risk_Compensation!$L35</f>
        <v>0</v>
      </c>
    </row>
    <row r="3708" spans="1:8" x14ac:dyDescent="0.2">
      <c r="A3708" s="1027"/>
      <c r="B3708" s="1083">
        <f>Risk_Compensation!A$1</f>
        <v>36</v>
      </c>
      <c r="C3708" s="1390" t="str">
        <f>Risk_Compensation!$B$1</f>
        <v xml:space="preserve">Risikoausgleich </v>
      </c>
      <c r="D3708" s="2205" t="s">
        <v>2572</v>
      </c>
      <c r="E3708" s="1390">
        <f>Risk_Compensation!$G36</f>
        <v>19</v>
      </c>
      <c r="F3708" s="1390" t="str">
        <f>Risk_Compensation!$L$17</f>
        <v>BL</v>
      </c>
      <c r="G3708" s="1390"/>
      <c r="H3708" s="1077">
        <f>Risk_Compensation!$L36</f>
        <v>0</v>
      </c>
    </row>
    <row r="3709" spans="1:8" x14ac:dyDescent="0.2">
      <c r="A3709" s="1027"/>
      <c r="B3709" s="1083">
        <f>Risk_Compensation!A$1</f>
        <v>36</v>
      </c>
      <c r="C3709" s="1390" t="str">
        <f>Risk_Compensation!$B$1</f>
        <v xml:space="preserve">Risikoausgleich </v>
      </c>
      <c r="D3709" s="2205" t="s">
        <v>2572</v>
      </c>
      <c r="E3709" s="1390">
        <f>Risk_Compensation!$G37</f>
        <v>20</v>
      </c>
      <c r="F3709" s="1390" t="str">
        <f>Risk_Compensation!$L$17</f>
        <v>BL</v>
      </c>
      <c r="G3709" s="1390"/>
      <c r="H3709" s="1077">
        <f>Risk_Compensation!$L37</f>
        <v>0</v>
      </c>
    </row>
    <row r="3710" spans="1:8" x14ac:dyDescent="0.2">
      <c r="A3710" s="1027"/>
      <c r="B3710" s="1083">
        <f>Risk_Compensation!A$1</f>
        <v>36</v>
      </c>
      <c r="C3710" s="1390" t="str">
        <f>Risk_Compensation!$B$1</f>
        <v xml:space="preserve">Risikoausgleich </v>
      </c>
      <c r="D3710" s="2205" t="s">
        <v>2572</v>
      </c>
      <c r="E3710" s="1390">
        <f>Risk_Compensation!$G38</f>
        <v>21</v>
      </c>
      <c r="F3710" s="1390" t="str">
        <f>Risk_Compensation!$L$17</f>
        <v>BL</v>
      </c>
      <c r="G3710" s="1390"/>
      <c r="H3710" s="1077">
        <f>Risk_Compensation!$L38</f>
        <v>0</v>
      </c>
    </row>
    <row r="3711" spans="1:8" x14ac:dyDescent="0.2">
      <c r="A3711" s="1027"/>
      <c r="B3711" s="1083">
        <f>Risk_Compensation!A$1</f>
        <v>36</v>
      </c>
      <c r="C3711" s="1390" t="str">
        <f>Risk_Compensation!$B$1</f>
        <v xml:space="preserve">Risikoausgleich </v>
      </c>
      <c r="D3711" s="2205" t="s">
        <v>2572</v>
      </c>
      <c r="E3711" s="1390">
        <f>Risk_Compensation!$G39</f>
        <v>22</v>
      </c>
      <c r="F3711" s="1390" t="str">
        <f>Risk_Compensation!$L$17</f>
        <v>BL</v>
      </c>
      <c r="G3711" s="1390"/>
      <c r="H3711" s="1077">
        <f>Risk_Compensation!$L39</f>
        <v>0</v>
      </c>
    </row>
    <row r="3712" spans="1:8" x14ac:dyDescent="0.2">
      <c r="A3712" s="1027"/>
      <c r="B3712" s="1083">
        <f>Risk_Compensation!A$1</f>
        <v>36</v>
      </c>
      <c r="C3712" s="1390" t="str">
        <f>Risk_Compensation!$B$1</f>
        <v xml:space="preserve">Risikoausgleich </v>
      </c>
      <c r="D3712" s="2205" t="s">
        <v>2572</v>
      </c>
      <c r="E3712" s="1390">
        <f>Risk_Compensation!$G40</f>
        <v>23</v>
      </c>
      <c r="F3712" s="1390" t="str">
        <f>Risk_Compensation!$L$17</f>
        <v>BL</v>
      </c>
      <c r="G3712" s="1390"/>
      <c r="H3712" s="1077">
        <f>Risk_Compensation!$L40</f>
        <v>0</v>
      </c>
    </row>
    <row r="3713" spans="1:8" x14ac:dyDescent="0.2">
      <c r="A3713" s="1027"/>
      <c r="B3713" s="1083">
        <f>Risk_Compensation!A$1</f>
        <v>36</v>
      </c>
      <c r="C3713" s="1390" t="str">
        <f>Risk_Compensation!$B$1</f>
        <v xml:space="preserve">Risikoausgleich </v>
      </c>
      <c r="D3713" s="2205" t="s">
        <v>2572</v>
      </c>
      <c r="E3713" s="1390">
        <f>Risk_Compensation!$G41</f>
        <v>24</v>
      </c>
      <c r="F3713" s="1390" t="str">
        <f>Risk_Compensation!$L$17</f>
        <v>BL</v>
      </c>
      <c r="G3713" s="1390"/>
      <c r="H3713" s="1077">
        <f>Risk_Compensation!$L41</f>
        <v>0</v>
      </c>
    </row>
    <row r="3714" spans="1:8" x14ac:dyDescent="0.2">
      <c r="A3714" s="1027"/>
      <c r="B3714" s="1083">
        <f>Risk_Compensation!A$1</f>
        <v>36</v>
      </c>
      <c r="C3714" s="1390" t="str">
        <f>Risk_Compensation!$B$1</f>
        <v xml:space="preserve">Risikoausgleich </v>
      </c>
      <c r="D3714" s="2205" t="s">
        <v>2572</v>
      </c>
      <c r="E3714" s="1390">
        <f>Risk_Compensation!$G42</f>
        <v>25</v>
      </c>
      <c r="F3714" s="1390" t="str">
        <f>Risk_Compensation!$L$17</f>
        <v>BL</v>
      </c>
      <c r="G3714" s="1390"/>
      <c r="H3714" s="1077">
        <f>Risk_Compensation!$L42</f>
        <v>0</v>
      </c>
    </row>
    <row r="3715" spans="1:8" x14ac:dyDescent="0.2">
      <c r="A3715" s="1027"/>
      <c r="B3715" s="1083">
        <f>Risk_Compensation!A$1</f>
        <v>36</v>
      </c>
      <c r="C3715" s="1390" t="str">
        <f>Risk_Compensation!$B$1</f>
        <v xml:space="preserve">Risikoausgleich </v>
      </c>
      <c r="D3715" s="2205" t="s">
        <v>2572</v>
      </c>
      <c r="E3715" s="1390">
        <f>Risk_Compensation!$G43</f>
        <v>26</v>
      </c>
      <c r="F3715" s="1390" t="str">
        <f>Risk_Compensation!$L$17</f>
        <v>BL</v>
      </c>
      <c r="G3715" s="1390"/>
      <c r="H3715" s="1077">
        <f>Risk_Compensation!$L43</f>
        <v>0</v>
      </c>
    </row>
    <row r="3716" spans="1:8" x14ac:dyDescent="0.2">
      <c r="A3716" s="1027"/>
      <c r="B3716" s="1083">
        <f>Risk_Compensation!A$1</f>
        <v>36</v>
      </c>
      <c r="C3716" s="1390" t="str">
        <f>Risk_Compensation!$B$1</f>
        <v xml:space="preserve">Risikoausgleich </v>
      </c>
      <c r="D3716" s="2205" t="s">
        <v>2572</v>
      </c>
      <c r="E3716" s="1390">
        <f>Risk_Compensation!$G44</f>
        <v>27</v>
      </c>
      <c r="F3716" s="1390" t="str">
        <f>Risk_Compensation!$L$17</f>
        <v>BL</v>
      </c>
      <c r="G3716" s="1390"/>
      <c r="H3716" s="1077">
        <f>Risk_Compensation!$L44</f>
        <v>0</v>
      </c>
    </row>
    <row r="3717" spans="1:8" x14ac:dyDescent="0.2">
      <c r="A3717" s="1027"/>
      <c r="B3717" s="1083">
        <f>Risk_Compensation!A$1</f>
        <v>36</v>
      </c>
      <c r="C3717" s="1390" t="str">
        <f>Risk_Compensation!$B$1</f>
        <v xml:space="preserve">Risikoausgleich </v>
      </c>
      <c r="D3717" s="2205" t="s">
        <v>2572</v>
      </c>
      <c r="E3717" s="1390">
        <f>Risk_Compensation!$G45</f>
        <v>28</v>
      </c>
      <c r="F3717" s="1390" t="str">
        <f>Risk_Compensation!$L$17</f>
        <v>BL</v>
      </c>
      <c r="G3717" s="1390"/>
      <c r="H3717" s="1077">
        <f>Risk_Compensation!$L45</f>
        <v>0</v>
      </c>
    </row>
    <row r="3718" spans="1:8" x14ac:dyDescent="0.2">
      <c r="A3718" s="1027"/>
      <c r="B3718" s="1083">
        <f>Risk_Compensation!A$1</f>
        <v>36</v>
      </c>
      <c r="C3718" s="1390" t="str">
        <f>Risk_Compensation!$B$1</f>
        <v xml:space="preserve">Risikoausgleich </v>
      </c>
      <c r="D3718" s="2205" t="s">
        <v>2572</v>
      </c>
      <c r="E3718" s="1390">
        <f>Risk_Compensation!$G46</f>
        <v>29</v>
      </c>
      <c r="F3718" s="1390" t="str">
        <f>Risk_Compensation!$L$17</f>
        <v>BL</v>
      </c>
      <c r="G3718" s="1390"/>
      <c r="H3718" s="1077">
        <f>Risk_Compensation!$L46</f>
        <v>0</v>
      </c>
    </row>
    <row r="3719" spans="1:8" x14ac:dyDescent="0.2">
      <c r="A3719" s="1027"/>
      <c r="B3719" s="1083">
        <f>Risk_Compensation!A$1</f>
        <v>36</v>
      </c>
      <c r="C3719" s="1390" t="str">
        <f>Risk_Compensation!$B$1</f>
        <v xml:space="preserve">Risikoausgleich </v>
      </c>
      <c r="D3719" s="2205" t="s">
        <v>2572</v>
      </c>
      <c r="E3719" s="1390">
        <f>Risk_Compensation!$G47</f>
        <v>30</v>
      </c>
      <c r="F3719" s="1390" t="str">
        <f>Risk_Compensation!$L$17</f>
        <v>BL</v>
      </c>
      <c r="G3719" s="1390"/>
      <c r="H3719" s="1077">
        <f>Risk_Compensation!$L47</f>
        <v>0</v>
      </c>
    </row>
    <row r="3720" spans="1:8" x14ac:dyDescent="0.2">
      <c r="A3720" s="1027"/>
      <c r="B3720" s="1083">
        <f>Risk_Compensation!A$1</f>
        <v>36</v>
      </c>
      <c r="C3720" s="1390" t="str">
        <f>Risk_Compensation!$B$1</f>
        <v xml:space="preserve">Risikoausgleich </v>
      </c>
      <c r="D3720" s="2205" t="s">
        <v>2572</v>
      </c>
      <c r="E3720" s="1390">
        <f>Risk_Compensation!$G48</f>
        <v>31</v>
      </c>
      <c r="F3720" s="1390" t="str">
        <f>Risk_Compensation!$L$17</f>
        <v>BL</v>
      </c>
      <c r="G3720" s="1390"/>
      <c r="H3720" s="1077">
        <f>Risk_Compensation!$L48</f>
        <v>0</v>
      </c>
    </row>
    <row r="3721" spans="1:8" x14ac:dyDescent="0.2">
      <c r="A3721" s="1027"/>
      <c r="B3721" s="1083">
        <f>Risk_Compensation!A$1</f>
        <v>36</v>
      </c>
      <c r="C3721" s="1390" t="str">
        <f>Risk_Compensation!$B$1</f>
        <v xml:space="preserve">Risikoausgleich </v>
      </c>
      <c r="D3721" s="2205" t="s">
        <v>2572</v>
      </c>
      <c r="E3721" s="1390">
        <f>Risk_Compensation!$G49</f>
        <v>32</v>
      </c>
      <c r="F3721" s="1390" t="str">
        <f>Risk_Compensation!$L$17</f>
        <v>BL</v>
      </c>
      <c r="G3721" s="1390"/>
      <c r="H3721" s="1077">
        <f>Risk_Compensation!$L49</f>
        <v>0</v>
      </c>
    </row>
    <row r="3722" spans="1:8" x14ac:dyDescent="0.2">
      <c r="A3722" s="1027"/>
      <c r="B3722" s="1083">
        <f>Risk_Compensation!A$1</f>
        <v>36</v>
      </c>
      <c r="C3722" s="1390" t="str">
        <f>Risk_Compensation!$B$1</f>
        <v xml:space="preserve">Risikoausgleich </v>
      </c>
      <c r="D3722" s="2205" t="s">
        <v>2572</v>
      </c>
      <c r="E3722" s="1390">
        <f>Risk_Compensation!$G50</f>
        <v>33</v>
      </c>
      <c r="F3722" s="1390" t="str">
        <f>Risk_Compensation!$L$17</f>
        <v>BL</v>
      </c>
      <c r="G3722" s="1390"/>
      <c r="H3722" s="1077">
        <f>Risk_Compensation!$L50</f>
        <v>0</v>
      </c>
    </row>
    <row r="3723" spans="1:8" x14ac:dyDescent="0.2">
      <c r="A3723" s="1027"/>
      <c r="B3723" s="1083">
        <f>Risk_Compensation!A$1</f>
        <v>36</v>
      </c>
      <c r="C3723" s="1390" t="str">
        <f>Risk_Compensation!$B$1</f>
        <v xml:space="preserve">Risikoausgleich </v>
      </c>
      <c r="D3723" s="2205" t="s">
        <v>2572</v>
      </c>
      <c r="E3723" s="1390">
        <f>Risk_Compensation!$G51</f>
        <v>34</v>
      </c>
      <c r="F3723" s="1390" t="str">
        <f>Risk_Compensation!$L$17</f>
        <v>BL</v>
      </c>
      <c r="G3723" s="1390"/>
      <c r="H3723" s="1077">
        <f>Risk_Compensation!$L51</f>
        <v>0</v>
      </c>
    </row>
    <row r="3724" spans="1:8" x14ac:dyDescent="0.2">
      <c r="A3724" s="1027"/>
      <c r="B3724" s="1083">
        <f>Risk_Compensation!A$1</f>
        <v>36</v>
      </c>
      <c r="C3724" s="1390" t="str">
        <f>Risk_Compensation!$B$1</f>
        <v xml:space="preserve">Risikoausgleich </v>
      </c>
      <c r="D3724" s="2205" t="s">
        <v>2572</v>
      </c>
      <c r="E3724" s="1390">
        <f>Risk_Compensation!$G52</f>
        <v>35</v>
      </c>
      <c r="F3724" s="1390" t="str">
        <f>Risk_Compensation!$L$17</f>
        <v>BL</v>
      </c>
      <c r="G3724" s="1390"/>
      <c r="H3724" s="1077">
        <f>Risk_Compensation!$L52</f>
        <v>0</v>
      </c>
    </row>
    <row r="3725" spans="1:8" x14ac:dyDescent="0.2">
      <c r="A3725" s="1027"/>
      <c r="B3725" s="1083">
        <f>Risk_Compensation!A$1</f>
        <v>36</v>
      </c>
      <c r="C3725" s="1390" t="str">
        <f>Risk_Compensation!$B$1</f>
        <v xml:space="preserve">Risikoausgleich </v>
      </c>
      <c r="D3725" s="2205" t="s">
        <v>2572</v>
      </c>
      <c r="E3725" s="1390">
        <f>Risk_Compensation!$G53</f>
        <v>36</v>
      </c>
      <c r="F3725" s="1390" t="str">
        <f>Risk_Compensation!$L$17</f>
        <v>BL</v>
      </c>
      <c r="G3725" s="1390"/>
      <c r="H3725" s="1077">
        <f>Risk_Compensation!$L53</f>
        <v>0</v>
      </c>
    </row>
    <row r="3726" spans="1:8" x14ac:dyDescent="0.2">
      <c r="A3726" s="1027"/>
      <c r="B3726" s="1083">
        <f>Risk_Compensation!A$1</f>
        <v>36</v>
      </c>
      <c r="C3726" s="1390" t="str">
        <f>Risk_Compensation!$B$1</f>
        <v xml:space="preserve">Risikoausgleich </v>
      </c>
      <c r="D3726" s="2205" t="s">
        <v>2572</v>
      </c>
      <c r="E3726" s="1390">
        <f>Risk_Compensation!$G54</f>
        <v>37</v>
      </c>
      <c r="F3726" s="1390" t="str">
        <f>Risk_Compensation!$L$17</f>
        <v>BL</v>
      </c>
      <c r="G3726" s="1390"/>
      <c r="H3726" s="1077">
        <f>Risk_Compensation!$L54</f>
        <v>0</v>
      </c>
    </row>
    <row r="3727" spans="1:8" x14ac:dyDescent="0.2">
      <c r="A3727" s="1027"/>
      <c r="B3727" s="1083">
        <f>Risk_Compensation!A$1</f>
        <v>36</v>
      </c>
      <c r="C3727" s="1390" t="str">
        <f>Risk_Compensation!$B$1</f>
        <v xml:space="preserve">Risikoausgleich </v>
      </c>
      <c r="D3727" s="2205" t="s">
        <v>2572</v>
      </c>
      <c r="E3727" s="1390">
        <f>Risk_Compensation!$G55</f>
        <v>38</v>
      </c>
      <c r="F3727" s="1390" t="str">
        <f>Risk_Compensation!$L$17</f>
        <v>BL</v>
      </c>
      <c r="G3727" s="1390"/>
      <c r="H3727" s="1077">
        <f>Risk_Compensation!$L55</f>
        <v>0</v>
      </c>
    </row>
    <row r="3728" spans="1:8" x14ac:dyDescent="0.2">
      <c r="A3728" s="1027"/>
      <c r="B3728" s="1083">
        <f>Risk_Compensation!A$1</f>
        <v>36</v>
      </c>
      <c r="C3728" s="1390" t="str">
        <f>Risk_Compensation!$B$1</f>
        <v xml:space="preserve">Risikoausgleich </v>
      </c>
      <c r="D3728" s="2205" t="s">
        <v>2572</v>
      </c>
      <c r="E3728" s="1390">
        <f>Risk_Compensation!$G56</f>
        <v>39</v>
      </c>
      <c r="F3728" s="1390" t="str">
        <f>Risk_Compensation!$L$17</f>
        <v>BL</v>
      </c>
      <c r="G3728" s="1390"/>
      <c r="H3728" s="1077">
        <f>Risk_Compensation!$L56</f>
        <v>0</v>
      </c>
    </row>
    <row r="3729" spans="1:8" x14ac:dyDescent="0.2">
      <c r="A3729" s="1027"/>
      <c r="B3729" s="1083">
        <f>Risk_Compensation!A$1</f>
        <v>36</v>
      </c>
      <c r="C3729" s="1390" t="str">
        <f>Risk_Compensation!$B$1</f>
        <v xml:space="preserve">Risikoausgleich </v>
      </c>
      <c r="D3729" s="2205" t="s">
        <v>2572</v>
      </c>
      <c r="E3729" s="1390">
        <f>Risk_Compensation!$G57</f>
        <v>40</v>
      </c>
      <c r="F3729" s="1390" t="str">
        <f>Risk_Compensation!$L$17</f>
        <v>BL</v>
      </c>
      <c r="G3729" s="1390"/>
      <c r="H3729" s="1077">
        <f>Risk_Compensation!$L57</f>
        <v>0</v>
      </c>
    </row>
    <row r="3730" spans="1:8" x14ac:dyDescent="0.2">
      <c r="A3730" s="1027"/>
      <c r="B3730" s="1083">
        <f>Risk_Compensation!A$1</f>
        <v>36</v>
      </c>
      <c r="C3730" s="1390" t="str">
        <f>Risk_Compensation!$B$1</f>
        <v xml:space="preserve">Risikoausgleich </v>
      </c>
      <c r="D3730" s="2205" t="s">
        <v>2572</v>
      </c>
      <c r="E3730" s="1390">
        <f>Risk_Compensation!$G58</f>
        <v>41</v>
      </c>
      <c r="F3730" s="1390" t="str">
        <f>Risk_Compensation!$L$17</f>
        <v>BL</v>
      </c>
      <c r="G3730" s="1390"/>
      <c r="H3730" s="1077">
        <f>Risk_Compensation!$L58</f>
        <v>0</v>
      </c>
    </row>
    <row r="3731" spans="1:8" x14ac:dyDescent="0.2">
      <c r="A3731" s="1027"/>
      <c r="B3731" s="1083">
        <f>Risk_Compensation!A$1</f>
        <v>36</v>
      </c>
      <c r="C3731" s="1390" t="str">
        <f>Risk_Compensation!$B$1</f>
        <v xml:space="preserve">Risikoausgleich </v>
      </c>
      <c r="D3731" s="2205" t="s">
        <v>2572</v>
      </c>
      <c r="E3731" s="1390">
        <f>Risk_Compensation!$G59</f>
        <v>42</v>
      </c>
      <c r="F3731" s="1390" t="str">
        <f>Risk_Compensation!$L$17</f>
        <v>BL</v>
      </c>
      <c r="G3731" s="1390"/>
      <c r="H3731" s="1077">
        <f>Risk_Compensation!$L59</f>
        <v>0</v>
      </c>
    </row>
    <row r="3732" spans="1:8" x14ac:dyDescent="0.2">
      <c r="A3732" s="1027"/>
      <c r="B3732" s="1083">
        <f>Risk_Compensation!A$1</f>
        <v>36</v>
      </c>
      <c r="C3732" s="1390" t="str">
        <f>Risk_Compensation!$B$1</f>
        <v xml:space="preserve">Risikoausgleich </v>
      </c>
      <c r="D3732" s="2205" t="s">
        <v>2572</v>
      </c>
      <c r="E3732" s="1390">
        <f>Risk_Compensation!$G60</f>
        <v>43</v>
      </c>
      <c r="F3732" s="1390" t="str">
        <f>Risk_Compensation!$L$17</f>
        <v>BL</v>
      </c>
      <c r="G3732" s="1390"/>
      <c r="H3732" s="1077">
        <f>Risk_Compensation!$L60</f>
        <v>0</v>
      </c>
    </row>
    <row r="3733" spans="1:8" x14ac:dyDescent="0.2">
      <c r="A3733" s="1027"/>
      <c r="B3733" s="1083">
        <f>Risk_Compensation!A$1</f>
        <v>36</v>
      </c>
      <c r="C3733" s="1390" t="str">
        <f>Risk_Compensation!$B$1</f>
        <v xml:space="preserve">Risikoausgleich </v>
      </c>
      <c r="D3733" s="2205" t="s">
        <v>2572</v>
      </c>
      <c r="E3733" s="1390">
        <f>Risk_Compensation!$G61</f>
        <v>44</v>
      </c>
      <c r="F3733" s="1390" t="str">
        <f>Risk_Compensation!$L$17</f>
        <v>BL</v>
      </c>
      <c r="G3733" s="1390"/>
      <c r="H3733" s="1077">
        <f>Risk_Compensation!$L61</f>
        <v>0</v>
      </c>
    </row>
    <row r="3734" spans="1:8" x14ac:dyDescent="0.2">
      <c r="A3734" s="1027"/>
      <c r="B3734" s="1083">
        <f>Risk_Compensation!A$1</f>
        <v>36</v>
      </c>
      <c r="C3734" s="1390" t="str">
        <f>Risk_Compensation!$B$1</f>
        <v xml:space="preserve">Risikoausgleich </v>
      </c>
      <c r="D3734" s="2205" t="s">
        <v>2572</v>
      </c>
      <c r="E3734" s="1390">
        <f>Risk_Compensation!$G62</f>
        <v>45</v>
      </c>
      <c r="F3734" s="1390" t="str">
        <f>Risk_Compensation!$L$17</f>
        <v>BL</v>
      </c>
      <c r="G3734" s="1390"/>
      <c r="H3734" s="1077">
        <f>Risk_Compensation!$L62</f>
        <v>0</v>
      </c>
    </row>
    <row r="3735" spans="1:8" x14ac:dyDescent="0.2">
      <c r="A3735" s="1027"/>
      <c r="B3735" s="1083">
        <f>Risk_Compensation!A$1</f>
        <v>36</v>
      </c>
      <c r="C3735" s="1390" t="str">
        <f>Risk_Compensation!$B$1</f>
        <v xml:space="preserve">Risikoausgleich </v>
      </c>
      <c r="D3735" s="2205" t="s">
        <v>2572</v>
      </c>
      <c r="E3735" s="1390">
        <f>Risk_Compensation!$G63</f>
        <v>46</v>
      </c>
      <c r="F3735" s="1390" t="str">
        <f>Risk_Compensation!$L$17</f>
        <v>BL</v>
      </c>
      <c r="G3735" s="1390"/>
      <c r="H3735" s="1077">
        <f>Risk_Compensation!$L63</f>
        <v>0</v>
      </c>
    </row>
    <row r="3736" spans="1:8" x14ac:dyDescent="0.2">
      <c r="A3736" s="1027"/>
      <c r="B3736" s="1083">
        <f>Risk_Compensation!A$1</f>
        <v>36</v>
      </c>
      <c r="C3736" s="1390" t="str">
        <f>Risk_Compensation!$B$1</f>
        <v xml:space="preserve">Risikoausgleich </v>
      </c>
      <c r="D3736" s="2205" t="s">
        <v>2572</v>
      </c>
      <c r="E3736" s="1390">
        <f>Risk_Compensation!$G64</f>
        <v>47</v>
      </c>
      <c r="F3736" s="1390" t="str">
        <f>Risk_Compensation!$L$17</f>
        <v>BL</v>
      </c>
      <c r="G3736" s="1390"/>
      <c r="H3736" s="1077">
        <f>Risk_Compensation!$L64</f>
        <v>0</v>
      </c>
    </row>
    <row r="3737" spans="1:8" x14ac:dyDescent="0.2">
      <c r="A3737" s="1027"/>
      <c r="B3737" s="1083">
        <f>Risk_Compensation!A$1</f>
        <v>36</v>
      </c>
      <c r="C3737" s="1390" t="str">
        <f>Risk_Compensation!$B$1</f>
        <v xml:space="preserve">Risikoausgleich </v>
      </c>
      <c r="D3737" s="2205" t="s">
        <v>2572</v>
      </c>
      <c r="E3737" s="1390">
        <f>Risk_Compensation!$G65</f>
        <v>48</v>
      </c>
      <c r="F3737" s="1390" t="str">
        <f>Risk_Compensation!$L$17</f>
        <v>BL</v>
      </c>
      <c r="G3737" s="1390"/>
      <c r="H3737" s="1077">
        <f>Risk_Compensation!$L65</f>
        <v>0</v>
      </c>
    </row>
    <row r="3738" spans="1:8" x14ac:dyDescent="0.2">
      <c r="A3738" s="1027"/>
      <c r="B3738" s="1083">
        <f>Risk_Compensation!A$1</f>
        <v>36</v>
      </c>
      <c r="C3738" s="1390" t="str">
        <f>Risk_Compensation!$B$1</f>
        <v xml:space="preserve">Risikoausgleich </v>
      </c>
      <c r="D3738" s="2205" t="s">
        <v>2572</v>
      </c>
      <c r="E3738" s="1390">
        <f>Risk_Compensation!$G66</f>
        <v>49</v>
      </c>
      <c r="F3738" s="1390" t="str">
        <f>Risk_Compensation!$L$17</f>
        <v>BL</v>
      </c>
      <c r="G3738" s="1390"/>
      <c r="H3738" s="1077">
        <f>Risk_Compensation!$L66</f>
        <v>0</v>
      </c>
    </row>
    <row r="3739" spans="1:8" x14ac:dyDescent="0.2">
      <c r="A3739" s="1027"/>
      <c r="B3739" s="1083">
        <f>Risk_Compensation!A$1</f>
        <v>36</v>
      </c>
      <c r="C3739" s="1390" t="str">
        <f>Risk_Compensation!$B$1</f>
        <v xml:space="preserve">Risikoausgleich </v>
      </c>
      <c r="D3739" s="2205" t="s">
        <v>2572</v>
      </c>
      <c r="E3739" s="1390">
        <f>Risk_Compensation!$G67</f>
        <v>50</v>
      </c>
      <c r="F3739" s="1390" t="str">
        <f>Risk_Compensation!$L$17</f>
        <v>BL</v>
      </c>
      <c r="G3739" s="1390"/>
      <c r="H3739" s="1077">
        <f>Risk_Compensation!$L67</f>
        <v>0</v>
      </c>
    </row>
    <row r="3740" spans="1:8" x14ac:dyDescent="0.2">
      <c r="A3740" s="1027"/>
      <c r="B3740" s="1083">
        <f>Risk_Compensation!A$1</f>
        <v>36</v>
      </c>
      <c r="C3740" s="1390" t="str">
        <f>Risk_Compensation!$B$1</f>
        <v xml:space="preserve">Risikoausgleich </v>
      </c>
      <c r="D3740" s="2205" t="s">
        <v>2572</v>
      </c>
      <c r="E3740" s="1390">
        <f>Risk_Compensation!$G68</f>
        <v>51</v>
      </c>
      <c r="F3740" s="1390" t="str">
        <f>Risk_Compensation!$L$17</f>
        <v>BL</v>
      </c>
      <c r="G3740" s="1390"/>
      <c r="H3740" s="1077">
        <f>Risk_Compensation!$L68</f>
        <v>0</v>
      </c>
    </row>
    <row r="3741" spans="1:8" x14ac:dyDescent="0.2">
      <c r="A3741" s="1027"/>
      <c r="B3741" s="1083">
        <f>Risk_Compensation!A$1</f>
        <v>36</v>
      </c>
      <c r="C3741" s="1390" t="str">
        <f>Risk_Compensation!$B$1</f>
        <v xml:space="preserve">Risikoausgleich </v>
      </c>
      <c r="D3741" s="2205" t="s">
        <v>2572</v>
      </c>
      <c r="E3741" s="1390">
        <f>Risk_Compensation!$G69</f>
        <v>52</v>
      </c>
      <c r="F3741" s="1390" t="str">
        <f>Risk_Compensation!$L$17</f>
        <v>BL</v>
      </c>
      <c r="G3741" s="1390"/>
      <c r="H3741" s="1077">
        <f>Risk_Compensation!$L69</f>
        <v>0</v>
      </c>
    </row>
    <row r="3742" spans="1:8" x14ac:dyDescent="0.2">
      <c r="A3742" s="1027"/>
      <c r="B3742" s="1083">
        <f>Risk_Compensation!A$1</f>
        <v>36</v>
      </c>
      <c r="C3742" s="1390" t="str">
        <f>Risk_Compensation!$B$1</f>
        <v xml:space="preserve">Risikoausgleich </v>
      </c>
      <c r="D3742" s="2205" t="s">
        <v>2572</v>
      </c>
      <c r="E3742" s="1390">
        <f>Risk_Compensation!$G70</f>
        <v>53</v>
      </c>
      <c r="F3742" s="1390" t="str">
        <f>Risk_Compensation!$L$17</f>
        <v>BL</v>
      </c>
      <c r="G3742" s="1390"/>
      <c r="H3742" s="1077">
        <f>Risk_Compensation!$L70</f>
        <v>0</v>
      </c>
    </row>
    <row r="3743" spans="1:8" x14ac:dyDescent="0.2">
      <c r="A3743" s="1027"/>
      <c r="B3743" s="1083">
        <f>Risk_Compensation!A$1</f>
        <v>36</v>
      </c>
      <c r="C3743" s="1390" t="str">
        <f>Risk_Compensation!$B$1</f>
        <v xml:space="preserve">Risikoausgleich </v>
      </c>
      <c r="D3743" s="2205" t="s">
        <v>2572</v>
      </c>
      <c r="E3743" s="1390">
        <f>Risk_Compensation!$G71</f>
        <v>54</v>
      </c>
      <c r="F3743" s="1390" t="str">
        <f>Risk_Compensation!$L$17</f>
        <v>BL</v>
      </c>
      <c r="G3743" s="1390"/>
      <c r="H3743" s="1077">
        <f>Risk_Compensation!$L71</f>
        <v>0</v>
      </c>
    </row>
    <row r="3744" spans="1:8" x14ac:dyDescent="0.2">
      <c r="A3744" s="1027"/>
      <c r="B3744" s="1083">
        <f>Risk_Compensation!A$1</f>
        <v>36</v>
      </c>
      <c r="C3744" s="1390" t="str">
        <f>Risk_Compensation!$B$1</f>
        <v xml:space="preserve">Risikoausgleich </v>
      </c>
      <c r="D3744" s="2205" t="s">
        <v>2572</v>
      </c>
      <c r="E3744" s="1390">
        <f>Risk_Compensation!$G72</f>
        <v>55</v>
      </c>
      <c r="F3744" s="1390" t="str">
        <f>Risk_Compensation!$L$17</f>
        <v>BL</v>
      </c>
      <c r="G3744" s="1390"/>
      <c r="H3744" s="1077">
        <f>Risk_Compensation!$L72</f>
        <v>0</v>
      </c>
    </row>
    <row r="3745" spans="1:8" x14ac:dyDescent="0.2">
      <c r="A3745" s="1027"/>
      <c r="B3745" s="1083">
        <f>Risk_Compensation!A$1</f>
        <v>36</v>
      </c>
      <c r="C3745" s="1390" t="str">
        <f>Risk_Compensation!$B$1</f>
        <v xml:space="preserve">Risikoausgleich </v>
      </c>
      <c r="D3745" s="2205" t="s">
        <v>2572</v>
      </c>
      <c r="E3745" s="1390">
        <f>Risk_Compensation!$G73</f>
        <v>56</v>
      </c>
      <c r="F3745" s="1390" t="str">
        <f>Risk_Compensation!$L$17</f>
        <v>BL</v>
      </c>
      <c r="G3745" s="1390"/>
      <c r="H3745" s="1077">
        <f>Risk_Compensation!$L73</f>
        <v>0</v>
      </c>
    </row>
    <row r="3746" spans="1:8" x14ac:dyDescent="0.2">
      <c r="A3746" s="1027"/>
      <c r="B3746" s="1083">
        <f>Risk_Compensation!A$1</f>
        <v>36</v>
      </c>
      <c r="C3746" s="1390" t="str">
        <f>Risk_Compensation!$B$1</f>
        <v xml:space="preserve">Risikoausgleich </v>
      </c>
      <c r="D3746" s="2205" t="s">
        <v>2572</v>
      </c>
      <c r="E3746" s="1390">
        <f>Risk_Compensation!$G74</f>
        <v>57</v>
      </c>
      <c r="F3746" s="1390" t="str">
        <f>Risk_Compensation!$L$17</f>
        <v>BL</v>
      </c>
      <c r="G3746" s="1390"/>
      <c r="H3746" s="1077">
        <f>Risk_Compensation!$L74</f>
        <v>0</v>
      </c>
    </row>
    <row r="3747" spans="1:8" x14ac:dyDescent="0.2">
      <c r="A3747" s="1027"/>
      <c r="B3747" s="1083">
        <f>Risk_Compensation!A$1</f>
        <v>36</v>
      </c>
      <c r="C3747" s="1390" t="str">
        <f>Risk_Compensation!$B$1</f>
        <v xml:space="preserve">Risikoausgleich </v>
      </c>
      <c r="D3747" s="2205" t="s">
        <v>2572</v>
      </c>
      <c r="E3747" s="1390">
        <f>Risk_Compensation!$G75</f>
        <v>58</v>
      </c>
      <c r="F3747" s="1390" t="str">
        <f>Risk_Compensation!$L$17</f>
        <v>BL</v>
      </c>
      <c r="G3747" s="1390"/>
      <c r="H3747" s="1077">
        <f>Risk_Compensation!$L75</f>
        <v>0</v>
      </c>
    </row>
    <row r="3748" spans="1:8" x14ac:dyDescent="0.2">
      <c r="A3748" s="1027"/>
      <c r="B3748" s="1083">
        <f>Risk_Compensation!A$1</f>
        <v>36</v>
      </c>
      <c r="C3748" s="1390" t="str">
        <f>Risk_Compensation!$B$1</f>
        <v xml:space="preserve">Risikoausgleich </v>
      </c>
      <c r="D3748" s="2205" t="s">
        <v>2572</v>
      </c>
      <c r="E3748" s="1390">
        <f>Risk_Compensation!$G76</f>
        <v>59</v>
      </c>
      <c r="F3748" s="1390" t="str">
        <f>Risk_Compensation!$L$17</f>
        <v>BL</v>
      </c>
      <c r="G3748" s="1390"/>
      <c r="H3748" s="1077">
        <f>Risk_Compensation!$L76</f>
        <v>0</v>
      </c>
    </row>
    <row r="3749" spans="1:8" x14ac:dyDescent="0.2">
      <c r="A3749" s="1027"/>
      <c r="B3749" s="1083">
        <f>Risk_Compensation!A$1</f>
        <v>36</v>
      </c>
      <c r="C3749" s="1390" t="str">
        <f>Risk_Compensation!$B$1</f>
        <v xml:space="preserve">Risikoausgleich </v>
      </c>
      <c r="D3749" s="2205" t="s">
        <v>2572</v>
      </c>
      <c r="E3749" s="1390">
        <f>Risk_Compensation!$G77</f>
        <v>60</v>
      </c>
      <c r="F3749" s="1390" t="str">
        <f>Risk_Compensation!$L$17</f>
        <v>BL</v>
      </c>
      <c r="G3749" s="1390"/>
      <c r="H3749" s="1077">
        <f>Risk_Compensation!$L77</f>
        <v>0</v>
      </c>
    </row>
    <row r="3750" spans="1:8" x14ac:dyDescent="0.2">
      <c r="A3750" s="1027"/>
      <c r="B3750" s="2174"/>
      <c r="C3750" s="1390"/>
      <c r="D3750" s="2175"/>
      <c r="E3750" s="2176"/>
      <c r="F3750" s="1390"/>
      <c r="G3750" s="1390"/>
      <c r="H3750" s="1078"/>
    </row>
    <row r="3751" spans="1:8" x14ac:dyDescent="0.2">
      <c r="A3751" s="1027"/>
      <c r="B3751" s="1083">
        <f>Risk_Compensation!A$1</f>
        <v>36</v>
      </c>
      <c r="C3751" s="1390" t="str">
        <f>Risk_Compensation!$B$1</f>
        <v xml:space="preserve">Risikoausgleich </v>
      </c>
      <c r="D3751" s="2205" t="s">
        <v>2572</v>
      </c>
      <c r="E3751" s="1390">
        <f>Risk_Compensation!$G18</f>
        <v>1</v>
      </c>
      <c r="F3751" s="1390" t="str">
        <f>Risk_Compensation!$M$17</f>
        <v>BS</v>
      </c>
      <c r="G3751" s="1390"/>
      <c r="H3751" s="1077">
        <f>Risk_Compensation!$M18</f>
        <v>0</v>
      </c>
    </row>
    <row r="3752" spans="1:8" x14ac:dyDescent="0.2">
      <c r="A3752" s="1027"/>
      <c r="B3752" s="1083">
        <f>Risk_Compensation!A$1</f>
        <v>36</v>
      </c>
      <c r="C3752" s="1390" t="str">
        <f>Risk_Compensation!$B$1</f>
        <v xml:space="preserve">Risikoausgleich </v>
      </c>
      <c r="D3752" s="2205" t="s">
        <v>2572</v>
      </c>
      <c r="E3752" s="1390">
        <f>Risk_Compensation!$G19</f>
        <v>2</v>
      </c>
      <c r="F3752" s="1390" t="str">
        <f>Risk_Compensation!$M$17</f>
        <v>BS</v>
      </c>
      <c r="G3752" s="1390"/>
      <c r="H3752" s="1077">
        <f>Risk_Compensation!$M19</f>
        <v>0</v>
      </c>
    </row>
    <row r="3753" spans="1:8" x14ac:dyDescent="0.2">
      <c r="A3753" s="1027"/>
      <c r="B3753" s="1083">
        <f>Risk_Compensation!A$1</f>
        <v>36</v>
      </c>
      <c r="C3753" s="1390" t="str">
        <f>Risk_Compensation!$B$1</f>
        <v xml:space="preserve">Risikoausgleich </v>
      </c>
      <c r="D3753" s="2205" t="s">
        <v>2572</v>
      </c>
      <c r="E3753" s="1390">
        <f>Risk_Compensation!$G20</f>
        <v>3</v>
      </c>
      <c r="F3753" s="1390" t="str">
        <f>Risk_Compensation!$M$17</f>
        <v>BS</v>
      </c>
      <c r="G3753" s="1390"/>
      <c r="H3753" s="1077">
        <f>Risk_Compensation!$M20</f>
        <v>0</v>
      </c>
    </row>
    <row r="3754" spans="1:8" x14ac:dyDescent="0.2">
      <c r="A3754" s="1027"/>
      <c r="B3754" s="1083">
        <f>Risk_Compensation!A$1</f>
        <v>36</v>
      </c>
      <c r="C3754" s="1390" t="str">
        <f>Risk_Compensation!$B$1</f>
        <v xml:space="preserve">Risikoausgleich </v>
      </c>
      <c r="D3754" s="2205" t="s">
        <v>2572</v>
      </c>
      <c r="E3754" s="1390">
        <f>Risk_Compensation!$G21</f>
        <v>4</v>
      </c>
      <c r="F3754" s="1390" t="str">
        <f>Risk_Compensation!$M$17</f>
        <v>BS</v>
      </c>
      <c r="G3754" s="1390"/>
      <c r="H3754" s="1077">
        <f>Risk_Compensation!$M21</f>
        <v>0</v>
      </c>
    </row>
    <row r="3755" spans="1:8" x14ac:dyDescent="0.2">
      <c r="A3755" s="1027"/>
      <c r="B3755" s="1083">
        <f>Risk_Compensation!A$1</f>
        <v>36</v>
      </c>
      <c r="C3755" s="1390" t="str">
        <f>Risk_Compensation!$B$1</f>
        <v xml:space="preserve">Risikoausgleich </v>
      </c>
      <c r="D3755" s="2205" t="s">
        <v>2572</v>
      </c>
      <c r="E3755" s="1390">
        <f>Risk_Compensation!$G22</f>
        <v>5</v>
      </c>
      <c r="F3755" s="1390" t="str">
        <f>Risk_Compensation!$M$17</f>
        <v>BS</v>
      </c>
      <c r="G3755" s="1390"/>
      <c r="H3755" s="1077">
        <f>Risk_Compensation!$M22</f>
        <v>0</v>
      </c>
    </row>
    <row r="3756" spans="1:8" x14ac:dyDescent="0.2">
      <c r="A3756" s="1027"/>
      <c r="B3756" s="1083">
        <f>Risk_Compensation!A$1</f>
        <v>36</v>
      </c>
      <c r="C3756" s="1390" t="str">
        <f>Risk_Compensation!$B$1</f>
        <v xml:space="preserve">Risikoausgleich </v>
      </c>
      <c r="D3756" s="2205" t="s">
        <v>2572</v>
      </c>
      <c r="E3756" s="1390">
        <f>Risk_Compensation!$G23</f>
        <v>6</v>
      </c>
      <c r="F3756" s="1390" t="str">
        <f>Risk_Compensation!$M$17</f>
        <v>BS</v>
      </c>
      <c r="G3756" s="1390"/>
      <c r="H3756" s="1077">
        <f>Risk_Compensation!$M23</f>
        <v>0</v>
      </c>
    </row>
    <row r="3757" spans="1:8" x14ac:dyDescent="0.2">
      <c r="A3757" s="1027"/>
      <c r="B3757" s="1083">
        <f>Risk_Compensation!A$1</f>
        <v>36</v>
      </c>
      <c r="C3757" s="1390" t="str">
        <f>Risk_Compensation!$B$1</f>
        <v xml:space="preserve">Risikoausgleich </v>
      </c>
      <c r="D3757" s="2205" t="s">
        <v>2572</v>
      </c>
      <c r="E3757" s="1390">
        <f>Risk_Compensation!$G24</f>
        <v>7</v>
      </c>
      <c r="F3757" s="1390" t="str">
        <f>Risk_Compensation!$M$17</f>
        <v>BS</v>
      </c>
      <c r="G3757" s="1390"/>
      <c r="H3757" s="1077">
        <f>Risk_Compensation!$M24</f>
        <v>0</v>
      </c>
    </row>
    <row r="3758" spans="1:8" x14ac:dyDescent="0.2">
      <c r="A3758" s="1027"/>
      <c r="B3758" s="1083">
        <f>Risk_Compensation!A$1</f>
        <v>36</v>
      </c>
      <c r="C3758" s="1390" t="str">
        <f>Risk_Compensation!$B$1</f>
        <v xml:space="preserve">Risikoausgleich </v>
      </c>
      <c r="D3758" s="2205" t="s">
        <v>2572</v>
      </c>
      <c r="E3758" s="1390">
        <f>Risk_Compensation!$G25</f>
        <v>8</v>
      </c>
      <c r="F3758" s="1390" t="str">
        <f>Risk_Compensation!$M$17</f>
        <v>BS</v>
      </c>
      <c r="G3758" s="1390"/>
      <c r="H3758" s="1077">
        <f>Risk_Compensation!$M25</f>
        <v>0</v>
      </c>
    </row>
    <row r="3759" spans="1:8" x14ac:dyDescent="0.2">
      <c r="A3759" s="1027"/>
      <c r="B3759" s="1083">
        <f>Risk_Compensation!A$1</f>
        <v>36</v>
      </c>
      <c r="C3759" s="1390" t="str">
        <f>Risk_Compensation!$B$1</f>
        <v xml:space="preserve">Risikoausgleich </v>
      </c>
      <c r="D3759" s="2205" t="s">
        <v>2572</v>
      </c>
      <c r="E3759" s="1390">
        <f>Risk_Compensation!$G26</f>
        <v>9</v>
      </c>
      <c r="F3759" s="1390" t="str">
        <f>Risk_Compensation!$M$17</f>
        <v>BS</v>
      </c>
      <c r="G3759" s="1390"/>
      <c r="H3759" s="1077">
        <f>Risk_Compensation!$M26</f>
        <v>0</v>
      </c>
    </row>
    <row r="3760" spans="1:8" x14ac:dyDescent="0.2">
      <c r="A3760" s="1027"/>
      <c r="B3760" s="1083">
        <f>Risk_Compensation!A$1</f>
        <v>36</v>
      </c>
      <c r="C3760" s="1390" t="str">
        <f>Risk_Compensation!$B$1</f>
        <v xml:space="preserve">Risikoausgleich </v>
      </c>
      <c r="D3760" s="2205" t="s">
        <v>2572</v>
      </c>
      <c r="E3760" s="1390">
        <f>Risk_Compensation!$G27</f>
        <v>10</v>
      </c>
      <c r="F3760" s="1390" t="str">
        <f>Risk_Compensation!$M$17</f>
        <v>BS</v>
      </c>
      <c r="G3760" s="1390"/>
      <c r="H3760" s="1077">
        <f>Risk_Compensation!$M27</f>
        <v>0</v>
      </c>
    </row>
    <row r="3761" spans="1:8" x14ac:dyDescent="0.2">
      <c r="A3761" s="1027"/>
      <c r="B3761" s="1083">
        <f>Risk_Compensation!A$1</f>
        <v>36</v>
      </c>
      <c r="C3761" s="1390" t="str">
        <f>Risk_Compensation!$B$1</f>
        <v xml:space="preserve">Risikoausgleich </v>
      </c>
      <c r="D3761" s="2205" t="s">
        <v>2572</v>
      </c>
      <c r="E3761" s="1390">
        <f>Risk_Compensation!$G28</f>
        <v>11</v>
      </c>
      <c r="F3761" s="1390" t="str">
        <f>Risk_Compensation!$M$17</f>
        <v>BS</v>
      </c>
      <c r="G3761" s="1390"/>
      <c r="H3761" s="1077">
        <f>Risk_Compensation!$M28</f>
        <v>0</v>
      </c>
    </row>
    <row r="3762" spans="1:8" x14ac:dyDescent="0.2">
      <c r="A3762" s="1027"/>
      <c r="B3762" s="1083">
        <f>Risk_Compensation!A$1</f>
        <v>36</v>
      </c>
      <c r="C3762" s="1390" t="str">
        <f>Risk_Compensation!$B$1</f>
        <v xml:space="preserve">Risikoausgleich </v>
      </c>
      <c r="D3762" s="2205" t="s">
        <v>2572</v>
      </c>
      <c r="E3762" s="1390">
        <f>Risk_Compensation!$G29</f>
        <v>12</v>
      </c>
      <c r="F3762" s="1390" t="str">
        <f>Risk_Compensation!$M$17</f>
        <v>BS</v>
      </c>
      <c r="G3762" s="1390"/>
      <c r="H3762" s="1077">
        <f>Risk_Compensation!$M29</f>
        <v>0</v>
      </c>
    </row>
    <row r="3763" spans="1:8" x14ac:dyDescent="0.2">
      <c r="A3763" s="1027"/>
      <c r="B3763" s="1083">
        <f>Risk_Compensation!A$1</f>
        <v>36</v>
      </c>
      <c r="C3763" s="1390" t="str">
        <f>Risk_Compensation!$B$1</f>
        <v xml:space="preserve">Risikoausgleich </v>
      </c>
      <c r="D3763" s="2205" t="s">
        <v>2572</v>
      </c>
      <c r="E3763" s="1390">
        <f>Risk_Compensation!$G30</f>
        <v>13</v>
      </c>
      <c r="F3763" s="1390" t="str">
        <f>Risk_Compensation!$M$17</f>
        <v>BS</v>
      </c>
      <c r="G3763" s="1390"/>
      <c r="H3763" s="1077">
        <f>Risk_Compensation!$M30</f>
        <v>0</v>
      </c>
    </row>
    <row r="3764" spans="1:8" x14ac:dyDescent="0.2">
      <c r="A3764" s="1027"/>
      <c r="B3764" s="1083">
        <f>Risk_Compensation!A$1</f>
        <v>36</v>
      </c>
      <c r="C3764" s="1390" t="str">
        <f>Risk_Compensation!$B$1</f>
        <v xml:space="preserve">Risikoausgleich </v>
      </c>
      <c r="D3764" s="2205" t="s">
        <v>2572</v>
      </c>
      <c r="E3764" s="1390">
        <f>Risk_Compensation!$G31</f>
        <v>14</v>
      </c>
      <c r="F3764" s="1390" t="str">
        <f>Risk_Compensation!$M$17</f>
        <v>BS</v>
      </c>
      <c r="G3764" s="1390"/>
      <c r="H3764" s="1077">
        <f>Risk_Compensation!$M31</f>
        <v>0</v>
      </c>
    </row>
    <row r="3765" spans="1:8" x14ac:dyDescent="0.2">
      <c r="A3765" s="1027"/>
      <c r="B3765" s="1083">
        <f>Risk_Compensation!A$1</f>
        <v>36</v>
      </c>
      <c r="C3765" s="1390" t="str">
        <f>Risk_Compensation!$B$1</f>
        <v xml:space="preserve">Risikoausgleich </v>
      </c>
      <c r="D3765" s="2205" t="s">
        <v>2572</v>
      </c>
      <c r="E3765" s="1390">
        <f>Risk_Compensation!$G32</f>
        <v>15</v>
      </c>
      <c r="F3765" s="1390" t="str">
        <f>Risk_Compensation!$M$17</f>
        <v>BS</v>
      </c>
      <c r="G3765" s="1390"/>
      <c r="H3765" s="1077">
        <f>Risk_Compensation!$M32</f>
        <v>0</v>
      </c>
    </row>
    <row r="3766" spans="1:8" x14ac:dyDescent="0.2">
      <c r="A3766" s="1027"/>
      <c r="B3766" s="1083">
        <f>Risk_Compensation!A$1</f>
        <v>36</v>
      </c>
      <c r="C3766" s="1390" t="str">
        <f>Risk_Compensation!$B$1</f>
        <v xml:space="preserve">Risikoausgleich </v>
      </c>
      <c r="D3766" s="2205" t="s">
        <v>2572</v>
      </c>
      <c r="E3766" s="1390">
        <f>Risk_Compensation!$G33</f>
        <v>16</v>
      </c>
      <c r="F3766" s="1390" t="str">
        <f>Risk_Compensation!$M$17</f>
        <v>BS</v>
      </c>
      <c r="G3766" s="1390"/>
      <c r="H3766" s="1077">
        <f>Risk_Compensation!$M33</f>
        <v>0</v>
      </c>
    </row>
    <row r="3767" spans="1:8" x14ac:dyDescent="0.2">
      <c r="A3767" s="1027"/>
      <c r="B3767" s="1083">
        <f>Risk_Compensation!A$1</f>
        <v>36</v>
      </c>
      <c r="C3767" s="1390" t="str">
        <f>Risk_Compensation!$B$1</f>
        <v xml:space="preserve">Risikoausgleich </v>
      </c>
      <c r="D3767" s="2205" t="s">
        <v>2572</v>
      </c>
      <c r="E3767" s="1390">
        <f>Risk_Compensation!$G34</f>
        <v>17</v>
      </c>
      <c r="F3767" s="1390" t="str">
        <f>Risk_Compensation!$M$17</f>
        <v>BS</v>
      </c>
      <c r="G3767" s="1390"/>
      <c r="H3767" s="1077">
        <f>Risk_Compensation!$M34</f>
        <v>0</v>
      </c>
    </row>
    <row r="3768" spans="1:8" x14ac:dyDescent="0.2">
      <c r="A3768" s="1027"/>
      <c r="B3768" s="1083">
        <f>Risk_Compensation!A$1</f>
        <v>36</v>
      </c>
      <c r="C3768" s="1390" t="str">
        <f>Risk_Compensation!$B$1</f>
        <v xml:space="preserve">Risikoausgleich </v>
      </c>
      <c r="D3768" s="2205" t="s">
        <v>2572</v>
      </c>
      <c r="E3768" s="1390">
        <f>Risk_Compensation!$G35</f>
        <v>18</v>
      </c>
      <c r="F3768" s="1390" t="str">
        <f>Risk_Compensation!$M$17</f>
        <v>BS</v>
      </c>
      <c r="G3768" s="1390"/>
      <c r="H3768" s="1077">
        <f>Risk_Compensation!$M35</f>
        <v>0</v>
      </c>
    </row>
    <row r="3769" spans="1:8" x14ac:dyDescent="0.2">
      <c r="A3769" s="1027"/>
      <c r="B3769" s="1083">
        <f>Risk_Compensation!A$1</f>
        <v>36</v>
      </c>
      <c r="C3769" s="1390" t="str">
        <f>Risk_Compensation!$B$1</f>
        <v xml:space="preserve">Risikoausgleich </v>
      </c>
      <c r="D3769" s="2205" t="s">
        <v>2572</v>
      </c>
      <c r="E3769" s="1390">
        <f>Risk_Compensation!$G36</f>
        <v>19</v>
      </c>
      <c r="F3769" s="1390" t="str">
        <f>Risk_Compensation!$M$17</f>
        <v>BS</v>
      </c>
      <c r="G3769" s="1390"/>
      <c r="H3769" s="1077">
        <f>Risk_Compensation!$M36</f>
        <v>0</v>
      </c>
    </row>
    <row r="3770" spans="1:8" x14ac:dyDescent="0.2">
      <c r="A3770" s="1027"/>
      <c r="B3770" s="1083">
        <f>Risk_Compensation!A$1</f>
        <v>36</v>
      </c>
      <c r="C3770" s="1390" t="str">
        <f>Risk_Compensation!$B$1</f>
        <v xml:space="preserve">Risikoausgleich </v>
      </c>
      <c r="D3770" s="2205" t="s">
        <v>2572</v>
      </c>
      <c r="E3770" s="1390">
        <f>Risk_Compensation!$G37</f>
        <v>20</v>
      </c>
      <c r="F3770" s="1390" t="str">
        <f>Risk_Compensation!$M$17</f>
        <v>BS</v>
      </c>
      <c r="G3770" s="1390"/>
      <c r="H3770" s="1077">
        <f>Risk_Compensation!$M37</f>
        <v>0</v>
      </c>
    </row>
    <row r="3771" spans="1:8" x14ac:dyDescent="0.2">
      <c r="A3771" s="1027"/>
      <c r="B3771" s="1083">
        <f>Risk_Compensation!A$1</f>
        <v>36</v>
      </c>
      <c r="C3771" s="1390" t="str">
        <f>Risk_Compensation!$B$1</f>
        <v xml:space="preserve">Risikoausgleich </v>
      </c>
      <c r="D3771" s="2205" t="s">
        <v>2572</v>
      </c>
      <c r="E3771" s="1390">
        <f>Risk_Compensation!$G38</f>
        <v>21</v>
      </c>
      <c r="F3771" s="1390" t="str">
        <f>Risk_Compensation!$M$17</f>
        <v>BS</v>
      </c>
      <c r="G3771" s="1390"/>
      <c r="H3771" s="1077">
        <f>Risk_Compensation!$M38</f>
        <v>0</v>
      </c>
    </row>
    <row r="3772" spans="1:8" x14ac:dyDescent="0.2">
      <c r="A3772" s="1027"/>
      <c r="B3772" s="1083">
        <f>Risk_Compensation!A$1</f>
        <v>36</v>
      </c>
      <c r="C3772" s="1390" t="str">
        <f>Risk_Compensation!$B$1</f>
        <v xml:space="preserve">Risikoausgleich </v>
      </c>
      <c r="D3772" s="2205" t="s">
        <v>2572</v>
      </c>
      <c r="E3772" s="1390">
        <f>Risk_Compensation!$G39</f>
        <v>22</v>
      </c>
      <c r="F3772" s="1390" t="str">
        <f>Risk_Compensation!$M$17</f>
        <v>BS</v>
      </c>
      <c r="G3772" s="1390"/>
      <c r="H3772" s="1077">
        <f>Risk_Compensation!$M39</f>
        <v>0</v>
      </c>
    </row>
    <row r="3773" spans="1:8" x14ac:dyDescent="0.2">
      <c r="A3773" s="1027"/>
      <c r="B3773" s="1083">
        <f>Risk_Compensation!A$1</f>
        <v>36</v>
      </c>
      <c r="C3773" s="1390" t="str">
        <f>Risk_Compensation!$B$1</f>
        <v xml:space="preserve">Risikoausgleich </v>
      </c>
      <c r="D3773" s="2205" t="s">
        <v>2572</v>
      </c>
      <c r="E3773" s="1390">
        <f>Risk_Compensation!$G40</f>
        <v>23</v>
      </c>
      <c r="F3773" s="1390" t="str">
        <f>Risk_Compensation!$M$17</f>
        <v>BS</v>
      </c>
      <c r="G3773" s="1390"/>
      <c r="H3773" s="1077">
        <f>Risk_Compensation!$M40</f>
        <v>0</v>
      </c>
    </row>
    <row r="3774" spans="1:8" x14ac:dyDescent="0.2">
      <c r="A3774" s="1027"/>
      <c r="B3774" s="1083">
        <f>Risk_Compensation!A$1</f>
        <v>36</v>
      </c>
      <c r="C3774" s="1390" t="str">
        <f>Risk_Compensation!$B$1</f>
        <v xml:space="preserve">Risikoausgleich </v>
      </c>
      <c r="D3774" s="2205" t="s">
        <v>2572</v>
      </c>
      <c r="E3774" s="1390">
        <f>Risk_Compensation!$G41</f>
        <v>24</v>
      </c>
      <c r="F3774" s="1390" t="str">
        <f>Risk_Compensation!$M$17</f>
        <v>BS</v>
      </c>
      <c r="G3774" s="1390"/>
      <c r="H3774" s="1077">
        <f>Risk_Compensation!$M41</f>
        <v>0</v>
      </c>
    </row>
    <row r="3775" spans="1:8" x14ac:dyDescent="0.2">
      <c r="A3775" s="1027"/>
      <c r="B3775" s="1083">
        <f>Risk_Compensation!A$1</f>
        <v>36</v>
      </c>
      <c r="C3775" s="1390" t="str">
        <f>Risk_Compensation!$B$1</f>
        <v xml:space="preserve">Risikoausgleich </v>
      </c>
      <c r="D3775" s="2205" t="s">
        <v>2572</v>
      </c>
      <c r="E3775" s="1390">
        <f>Risk_Compensation!$G42</f>
        <v>25</v>
      </c>
      <c r="F3775" s="1390" t="str">
        <f>Risk_Compensation!$M$17</f>
        <v>BS</v>
      </c>
      <c r="G3775" s="1390"/>
      <c r="H3775" s="1077">
        <f>Risk_Compensation!$M42</f>
        <v>0</v>
      </c>
    </row>
    <row r="3776" spans="1:8" x14ac:dyDescent="0.2">
      <c r="A3776" s="1027"/>
      <c r="B3776" s="1083">
        <f>Risk_Compensation!A$1</f>
        <v>36</v>
      </c>
      <c r="C3776" s="1390" t="str">
        <f>Risk_Compensation!$B$1</f>
        <v xml:space="preserve">Risikoausgleich </v>
      </c>
      <c r="D3776" s="2205" t="s">
        <v>2572</v>
      </c>
      <c r="E3776" s="1390">
        <f>Risk_Compensation!$G43</f>
        <v>26</v>
      </c>
      <c r="F3776" s="1390" t="str">
        <f>Risk_Compensation!$M$17</f>
        <v>BS</v>
      </c>
      <c r="G3776" s="1390"/>
      <c r="H3776" s="1077">
        <f>Risk_Compensation!$M43</f>
        <v>0</v>
      </c>
    </row>
    <row r="3777" spans="1:8" x14ac:dyDescent="0.2">
      <c r="A3777" s="1027"/>
      <c r="B3777" s="1083">
        <f>Risk_Compensation!A$1</f>
        <v>36</v>
      </c>
      <c r="C3777" s="1390" t="str">
        <f>Risk_Compensation!$B$1</f>
        <v xml:space="preserve">Risikoausgleich </v>
      </c>
      <c r="D3777" s="2205" t="s">
        <v>2572</v>
      </c>
      <c r="E3777" s="1390">
        <f>Risk_Compensation!$G44</f>
        <v>27</v>
      </c>
      <c r="F3777" s="1390" t="str">
        <f>Risk_Compensation!$M$17</f>
        <v>BS</v>
      </c>
      <c r="G3777" s="1390"/>
      <c r="H3777" s="1077">
        <f>Risk_Compensation!$M44</f>
        <v>0</v>
      </c>
    </row>
    <row r="3778" spans="1:8" x14ac:dyDescent="0.2">
      <c r="A3778" s="1027"/>
      <c r="B3778" s="1083">
        <f>Risk_Compensation!A$1</f>
        <v>36</v>
      </c>
      <c r="C3778" s="1390" t="str">
        <f>Risk_Compensation!$B$1</f>
        <v xml:space="preserve">Risikoausgleich </v>
      </c>
      <c r="D3778" s="2205" t="s">
        <v>2572</v>
      </c>
      <c r="E3778" s="1390">
        <f>Risk_Compensation!$G45</f>
        <v>28</v>
      </c>
      <c r="F3778" s="1390" t="str">
        <f>Risk_Compensation!$M$17</f>
        <v>BS</v>
      </c>
      <c r="G3778" s="1390"/>
      <c r="H3778" s="1077">
        <f>Risk_Compensation!$M45</f>
        <v>0</v>
      </c>
    </row>
    <row r="3779" spans="1:8" x14ac:dyDescent="0.2">
      <c r="A3779" s="1027"/>
      <c r="B3779" s="1083">
        <f>Risk_Compensation!A$1</f>
        <v>36</v>
      </c>
      <c r="C3779" s="1390" t="str">
        <f>Risk_Compensation!$B$1</f>
        <v xml:space="preserve">Risikoausgleich </v>
      </c>
      <c r="D3779" s="2205" t="s">
        <v>2572</v>
      </c>
      <c r="E3779" s="1390">
        <f>Risk_Compensation!$G46</f>
        <v>29</v>
      </c>
      <c r="F3779" s="1390" t="str">
        <f>Risk_Compensation!$M$17</f>
        <v>BS</v>
      </c>
      <c r="G3779" s="1390"/>
      <c r="H3779" s="1077">
        <f>Risk_Compensation!$M46</f>
        <v>0</v>
      </c>
    </row>
    <row r="3780" spans="1:8" x14ac:dyDescent="0.2">
      <c r="A3780" s="1027"/>
      <c r="B3780" s="1083">
        <f>Risk_Compensation!A$1</f>
        <v>36</v>
      </c>
      <c r="C3780" s="1390" t="str">
        <f>Risk_Compensation!$B$1</f>
        <v xml:space="preserve">Risikoausgleich </v>
      </c>
      <c r="D3780" s="2205" t="s">
        <v>2572</v>
      </c>
      <c r="E3780" s="1390">
        <f>Risk_Compensation!$G47</f>
        <v>30</v>
      </c>
      <c r="F3780" s="1390" t="str">
        <f>Risk_Compensation!$M$17</f>
        <v>BS</v>
      </c>
      <c r="G3780" s="1390"/>
      <c r="H3780" s="1077">
        <f>Risk_Compensation!$M47</f>
        <v>0</v>
      </c>
    </row>
    <row r="3781" spans="1:8" x14ac:dyDescent="0.2">
      <c r="A3781" s="1027"/>
      <c r="B3781" s="1083">
        <f>Risk_Compensation!A$1</f>
        <v>36</v>
      </c>
      <c r="C3781" s="1390" t="str">
        <f>Risk_Compensation!$B$1</f>
        <v xml:space="preserve">Risikoausgleich </v>
      </c>
      <c r="D3781" s="2205" t="s">
        <v>2572</v>
      </c>
      <c r="E3781" s="1390">
        <f>Risk_Compensation!$G48</f>
        <v>31</v>
      </c>
      <c r="F3781" s="1390" t="str">
        <f>Risk_Compensation!$M$17</f>
        <v>BS</v>
      </c>
      <c r="G3781" s="1390"/>
      <c r="H3781" s="1077">
        <f>Risk_Compensation!$M48</f>
        <v>0</v>
      </c>
    </row>
    <row r="3782" spans="1:8" x14ac:dyDescent="0.2">
      <c r="A3782" s="1027"/>
      <c r="B3782" s="1083">
        <f>Risk_Compensation!A$1</f>
        <v>36</v>
      </c>
      <c r="C3782" s="1390" t="str">
        <f>Risk_Compensation!$B$1</f>
        <v xml:space="preserve">Risikoausgleich </v>
      </c>
      <c r="D3782" s="2205" t="s">
        <v>2572</v>
      </c>
      <c r="E3782" s="1390">
        <f>Risk_Compensation!$G49</f>
        <v>32</v>
      </c>
      <c r="F3782" s="1390" t="str">
        <f>Risk_Compensation!$M$17</f>
        <v>BS</v>
      </c>
      <c r="G3782" s="1390"/>
      <c r="H3782" s="1077">
        <f>Risk_Compensation!$M49</f>
        <v>0</v>
      </c>
    </row>
    <row r="3783" spans="1:8" x14ac:dyDescent="0.2">
      <c r="A3783" s="1027"/>
      <c r="B3783" s="1083">
        <f>Risk_Compensation!A$1</f>
        <v>36</v>
      </c>
      <c r="C3783" s="1390" t="str">
        <f>Risk_Compensation!$B$1</f>
        <v xml:space="preserve">Risikoausgleich </v>
      </c>
      <c r="D3783" s="2205" t="s">
        <v>2572</v>
      </c>
      <c r="E3783" s="1390">
        <f>Risk_Compensation!$G50</f>
        <v>33</v>
      </c>
      <c r="F3783" s="1390" t="str">
        <f>Risk_Compensation!$M$17</f>
        <v>BS</v>
      </c>
      <c r="G3783" s="1390"/>
      <c r="H3783" s="1077">
        <f>Risk_Compensation!$M50</f>
        <v>0</v>
      </c>
    </row>
    <row r="3784" spans="1:8" x14ac:dyDescent="0.2">
      <c r="A3784" s="1027"/>
      <c r="B3784" s="1083">
        <f>Risk_Compensation!A$1</f>
        <v>36</v>
      </c>
      <c r="C3784" s="1390" t="str">
        <f>Risk_Compensation!$B$1</f>
        <v xml:space="preserve">Risikoausgleich </v>
      </c>
      <c r="D3784" s="2205" t="s">
        <v>2572</v>
      </c>
      <c r="E3784" s="1390">
        <f>Risk_Compensation!$G51</f>
        <v>34</v>
      </c>
      <c r="F3784" s="1390" t="str">
        <f>Risk_Compensation!$M$17</f>
        <v>BS</v>
      </c>
      <c r="G3784" s="1390"/>
      <c r="H3784" s="1077">
        <f>Risk_Compensation!$M51</f>
        <v>0</v>
      </c>
    </row>
    <row r="3785" spans="1:8" x14ac:dyDescent="0.2">
      <c r="A3785" s="1027"/>
      <c r="B3785" s="1083">
        <f>Risk_Compensation!A$1</f>
        <v>36</v>
      </c>
      <c r="C3785" s="1390" t="str">
        <f>Risk_Compensation!$B$1</f>
        <v xml:space="preserve">Risikoausgleich </v>
      </c>
      <c r="D3785" s="2205" t="s">
        <v>2572</v>
      </c>
      <c r="E3785" s="1390">
        <f>Risk_Compensation!$G52</f>
        <v>35</v>
      </c>
      <c r="F3785" s="1390" t="str">
        <f>Risk_Compensation!$M$17</f>
        <v>BS</v>
      </c>
      <c r="G3785" s="1390"/>
      <c r="H3785" s="1077">
        <f>Risk_Compensation!$M52</f>
        <v>0</v>
      </c>
    </row>
    <row r="3786" spans="1:8" x14ac:dyDescent="0.2">
      <c r="A3786" s="1027"/>
      <c r="B3786" s="1083">
        <f>Risk_Compensation!A$1</f>
        <v>36</v>
      </c>
      <c r="C3786" s="1390" t="str">
        <f>Risk_Compensation!$B$1</f>
        <v xml:space="preserve">Risikoausgleich </v>
      </c>
      <c r="D3786" s="2205" t="s">
        <v>2572</v>
      </c>
      <c r="E3786" s="1390">
        <f>Risk_Compensation!$G53</f>
        <v>36</v>
      </c>
      <c r="F3786" s="1390" t="str">
        <f>Risk_Compensation!$M$17</f>
        <v>BS</v>
      </c>
      <c r="G3786" s="1390"/>
      <c r="H3786" s="1077">
        <f>Risk_Compensation!$M53</f>
        <v>0</v>
      </c>
    </row>
    <row r="3787" spans="1:8" x14ac:dyDescent="0.2">
      <c r="A3787" s="1027"/>
      <c r="B3787" s="1083">
        <f>Risk_Compensation!A$1</f>
        <v>36</v>
      </c>
      <c r="C3787" s="1390" t="str">
        <f>Risk_Compensation!$B$1</f>
        <v xml:space="preserve">Risikoausgleich </v>
      </c>
      <c r="D3787" s="2205" t="s">
        <v>2572</v>
      </c>
      <c r="E3787" s="1390">
        <f>Risk_Compensation!$G54</f>
        <v>37</v>
      </c>
      <c r="F3787" s="1390" t="str">
        <f>Risk_Compensation!$M$17</f>
        <v>BS</v>
      </c>
      <c r="G3787" s="1390"/>
      <c r="H3787" s="1077">
        <f>Risk_Compensation!$M54</f>
        <v>0</v>
      </c>
    </row>
    <row r="3788" spans="1:8" x14ac:dyDescent="0.2">
      <c r="A3788" s="1027"/>
      <c r="B3788" s="1083">
        <f>Risk_Compensation!A$1</f>
        <v>36</v>
      </c>
      <c r="C3788" s="1390" t="str">
        <f>Risk_Compensation!$B$1</f>
        <v xml:space="preserve">Risikoausgleich </v>
      </c>
      <c r="D3788" s="2205" t="s">
        <v>2572</v>
      </c>
      <c r="E3788" s="1390">
        <f>Risk_Compensation!$G55</f>
        <v>38</v>
      </c>
      <c r="F3788" s="1390" t="str">
        <f>Risk_Compensation!$M$17</f>
        <v>BS</v>
      </c>
      <c r="G3788" s="1390"/>
      <c r="H3788" s="1077">
        <f>Risk_Compensation!$M55</f>
        <v>0</v>
      </c>
    </row>
    <row r="3789" spans="1:8" x14ac:dyDescent="0.2">
      <c r="A3789" s="1027"/>
      <c r="B3789" s="1083">
        <f>Risk_Compensation!A$1</f>
        <v>36</v>
      </c>
      <c r="C3789" s="1390" t="str">
        <f>Risk_Compensation!$B$1</f>
        <v xml:space="preserve">Risikoausgleich </v>
      </c>
      <c r="D3789" s="2205" t="s">
        <v>2572</v>
      </c>
      <c r="E3789" s="1390">
        <f>Risk_Compensation!$G56</f>
        <v>39</v>
      </c>
      <c r="F3789" s="1390" t="str">
        <f>Risk_Compensation!$M$17</f>
        <v>BS</v>
      </c>
      <c r="G3789" s="1390"/>
      <c r="H3789" s="1077">
        <f>Risk_Compensation!$M56</f>
        <v>0</v>
      </c>
    </row>
    <row r="3790" spans="1:8" x14ac:dyDescent="0.2">
      <c r="A3790" s="1027"/>
      <c r="B3790" s="1083">
        <f>Risk_Compensation!A$1</f>
        <v>36</v>
      </c>
      <c r="C3790" s="1390" t="str">
        <f>Risk_Compensation!$B$1</f>
        <v xml:space="preserve">Risikoausgleich </v>
      </c>
      <c r="D3790" s="2205" t="s">
        <v>2572</v>
      </c>
      <c r="E3790" s="1390">
        <f>Risk_Compensation!$G57</f>
        <v>40</v>
      </c>
      <c r="F3790" s="1390" t="str">
        <f>Risk_Compensation!$M$17</f>
        <v>BS</v>
      </c>
      <c r="G3790" s="1390"/>
      <c r="H3790" s="1077">
        <f>Risk_Compensation!$M57</f>
        <v>0</v>
      </c>
    </row>
    <row r="3791" spans="1:8" x14ac:dyDescent="0.2">
      <c r="A3791" s="1027"/>
      <c r="B3791" s="1083">
        <f>Risk_Compensation!A$1</f>
        <v>36</v>
      </c>
      <c r="C3791" s="1390" t="str">
        <f>Risk_Compensation!$B$1</f>
        <v xml:space="preserve">Risikoausgleich </v>
      </c>
      <c r="D3791" s="2205" t="s">
        <v>2572</v>
      </c>
      <c r="E3791" s="1390">
        <f>Risk_Compensation!$G58</f>
        <v>41</v>
      </c>
      <c r="F3791" s="1390" t="str">
        <f>Risk_Compensation!$M$17</f>
        <v>BS</v>
      </c>
      <c r="G3791" s="1390"/>
      <c r="H3791" s="1077">
        <f>Risk_Compensation!$M58</f>
        <v>0</v>
      </c>
    </row>
    <row r="3792" spans="1:8" x14ac:dyDescent="0.2">
      <c r="A3792" s="1027"/>
      <c r="B3792" s="1083">
        <f>Risk_Compensation!A$1</f>
        <v>36</v>
      </c>
      <c r="C3792" s="1390" t="str">
        <f>Risk_Compensation!$B$1</f>
        <v xml:space="preserve">Risikoausgleich </v>
      </c>
      <c r="D3792" s="2205" t="s">
        <v>2572</v>
      </c>
      <c r="E3792" s="1390">
        <f>Risk_Compensation!$G59</f>
        <v>42</v>
      </c>
      <c r="F3792" s="1390" t="str">
        <f>Risk_Compensation!$M$17</f>
        <v>BS</v>
      </c>
      <c r="G3792" s="1390"/>
      <c r="H3792" s="1077">
        <f>Risk_Compensation!$M59</f>
        <v>0</v>
      </c>
    </row>
    <row r="3793" spans="1:8" x14ac:dyDescent="0.2">
      <c r="A3793" s="1027"/>
      <c r="B3793" s="1083">
        <f>Risk_Compensation!A$1</f>
        <v>36</v>
      </c>
      <c r="C3793" s="1390" t="str">
        <f>Risk_Compensation!$B$1</f>
        <v xml:space="preserve">Risikoausgleich </v>
      </c>
      <c r="D3793" s="2205" t="s">
        <v>2572</v>
      </c>
      <c r="E3793" s="1390">
        <f>Risk_Compensation!$G60</f>
        <v>43</v>
      </c>
      <c r="F3793" s="1390" t="str">
        <f>Risk_Compensation!$M$17</f>
        <v>BS</v>
      </c>
      <c r="G3793" s="1390"/>
      <c r="H3793" s="1077">
        <f>Risk_Compensation!$M60</f>
        <v>0</v>
      </c>
    </row>
    <row r="3794" spans="1:8" x14ac:dyDescent="0.2">
      <c r="A3794" s="1027"/>
      <c r="B3794" s="1083">
        <f>Risk_Compensation!A$1</f>
        <v>36</v>
      </c>
      <c r="C3794" s="1390" t="str">
        <f>Risk_Compensation!$B$1</f>
        <v xml:space="preserve">Risikoausgleich </v>
      </c>
      <c r="D3794" s="2205" t="s">
        <v>2572</v>
      </c>
      <c r="E3794" s="1390">
        <f>Risk_Compensation!$G61</f>
        <v>44</v>
      </c>
      <c r="F3794" s="1390" t="str">
        <f>Risk_Compensation!$M$17</f>
        <v>BS</v>
      </c>
      <c r="G3794" s="1390"/>
      <c r="H3794" s="1077">
        <f>Risk_Compensation!$M61</f>
        <v>0</v>
      </c>
    </row>
    <row r="3795" spans="1:8" x14ac:dyDescent="0.2">
      <c r="A3795" s="1027"/>
      <c r="B3795" s="1083">
        <f>Risk_Compensation!A$1</f>
        <v>36</v>
      </c>
      <c r="C3795" s="1390" t="str">
        <f>Risk_Compensation!$B$1</f>
        <v xml:space="preserve">Risikoausgleich </v>
      </c>
      <c r="D3795" s="2205" t="s">
        <v>2572</v>
      </c>
      <c r="E3795" s="1390">
        <f>Risk_Compensation!$G62</f>
        <v>45</v>
      </c>
      <c r="F3795" s="1390" t="str">
        <f>Risk_Compensation!$M$17</f>
        <v>BS</v>
      </c>
      <c r="G3795" s="1390"/>
      <c r="H3795" s="1077">
        <f>Risk_Compensation!$M62</f>
        <v>0</v>
      </c>
    </row>
    <row r="3796" spans="1:8" x14ac:dyDescent="0.2">
      <c r="A3796" s="1027"/>
      <c r="B3796" s="1083">
        <f>Risk_Compensation!A$1</f>
        <v>36</v>
      </c>
      <c r="C3796" s="1390" t="str">
        <f>Risk_Compensation!$B$1</f>
        <v xml:space="preserve">Risikoausgleich </v>
      </c>
      <c r="D3796" s="2205" t="s">
        <v>2572</v>
      </c>
      <c r="E3796" s="1390">
        <f>Risk_Compensation!$G63</f>
        <v>46</v>
      </c>
      <c r="F3796" s="1390" t="str">
        <f>Risk_Compensation!$M$17</f>
        <v>BS</v>
      </c>
      <c r="G3796" s="1390"/>
      <c r="H3796" s="1077">
        <f>Risk_Compensation!$M63</f>
        <v>0</v>
      </c>
    </row>
    <row r="3797" spans="1:8" x14ac:dyDescent="0.2">
      <c r="A3797" s="1027"/>
      <c r="B3797" s="1083">
        <f>Risk_Compensation!A$1</f>
        <v>36</v>
      </c>
      <c r="C3797" s="1390" t="str">
        <f>Risk_Compensation!$B$1</f>
        <v xml:space="preserve">Risikoausgleich </v>
      </c>
      <c r="D3797" s="2205" t="s">
        <v>2572</v>
      </c>
      <c r="E3797" s="1390">
        <f>Risk_Compensation!$G64</f>
        <v>47</v>
      </c>
      <c r="F3797" s="1390" t="str">
        <f>Risk_Compensation!$M$17</f>
        <v>BS</v>
      </c>
      <c r="G3797" s="1390"/>
      <c r="H3797" s="1077">
        <f>Risk_Compensation!$M64</f>
        <v>0</v>
      </c>
    </row>
    <row r="3798" spans="1:8" x14ac:dyDescent="0.2">
      <c r="A3798" s="1027"/>
      <c r="B3798" s="1083">
        <f>Risk_Compensation!A$1</f>
        <v>36</v>
      </c>
      <c r="C3798" s="1390" t="str">
        <f>Risk_Compensation!$B$1</f>
        <v xml:space="preserve">Risikoausgleich </v>
      </c>
      <c r="D3798" s="2205" t="s">
        <v>2572</v>
      </c>
      <c r="E3798" s="1390">
        <f>Risk_Compensation!$G65</f>
        <v>48</v>
      </c>
      <c r="F3798" s="1390" t="str">
        <f>Risk_Compensation!$M$17</f>
        <v>BS</v>
      </c>
      <c r="G3798" s="1390"/>
      <c r="H3798" s="1077">
        <f>Risk_Compensation!$M65</f>
        <v>0</v>
      </c>
    </row>
    <row r="3799" spans="1:8" x14ac:dyDescent="0.2">
      <c r="A3799" s="1027"/>
      <c r="B3799" s="1083">
        <f>Risk_Compensation!A$1</f>
        <v>36</v>
      </c>
      <c r="C3799" s="1390" t="str">
        <f>Risk_Compensation!$B$1</f>
        <v xml:space="preserve">Risikoausgleich </v>
      </c>
      <c r="D3799" s="2205" t="s">
        <v>2572</v>
      </c>
      <c r="E3799" s="1390">
        <f>Risk_Compensation!$G66</f>
        <v>49</v>
      </c>
      <c r="F3799" s="1390" t="str">
        <f>Risk_Compensation!$M$17</f>
        <v>BS</v>
      </c>
      <c r="G3799" s="1390"/>
      <c r="H3799" s="1077">
        <f>Risk_Compensation!$M66</f>
        <v>0</v>
      </c>
    </row>
    <row r="3800" spans="1:8" x14ac:dyDescent="0.2">
      <c r="A3800" s="1027"/>
      <c r="B3800" s="1083">
        <f>Risk_Compensation!A$1</f>
        <v>36</v>
      </c>
      <c r="C3800" s="1390" t="str">
        <f>Risk_Compensation!$B$1</f>
        <v xml:space="preserve">Risikoausgleich </v>
      </c>
      <c r="D3800" s="2205" t="s">
        <v>2572</v>
      </c>
      <c r="E3800" s="1390">
        <f>Risk_Compensation!$G67</f>
        <v>50</v>
      </c>
      <c r="F3800" s="1390" t="str">
        <f>Risk_Compensation!$M$17</f>
        <v>BS</v>
      </c>
      <c r="G3800" s="1390"/>
      <c r="H3800" s="1077">
        <f>Risk_Compensation!$M67</f>
        <v>0</v>
      </c>
    </row>
    <row r="3801" spans="1:8" x14ac:dyDescent="0.2">
      <c r="A3801" s="1027"/>
      <c r="B3801" s="1083">
        <f>Risk_Compensation!A$1</f>
        <v>36</v>
      </c>
      <c r="C3801" s="1390" t="str">
        <f>Risk_Compensation!$B$1</f>
        <v xml:space="preserve">Risikoausgleich </v>
      </c>
      <c r="D3801" s="2205" t="s">
        <v>2572</v>
      </c>
      <c r="E3801" s="1390">
        <f>Risk_Compensation!$G68</f>
        <v>51</v>
      </c>
      <c r="F3801" s="1390" t="str">
        <f>Risk_Compensation!$M$17</f>
        <v>BS</v>
      </c>
      <c r="G3801" s="1390"/>
      <c r="H3801" s="1077">
        <f>Risk_Compensation!$M68</f>
        <v>0</v>
      </c>
    </row>
    <row r="3802" spans="1:8" x14ac:dyDescent="0.2">
      <c r="A3802" s="1027"/>
      <c r="B3802" s="1083">
        <f>Risk_Compensation!A$1</f>
        <v>36</v>
      </c>
      <c r="C3802" s="1390" t="str">
        <f>Risk_Compensation!$B$1</f>
        <v xml:space="preserve">Risikoausgleich </v>
      </c>
      <c r="D3802" s="2205" t="s">
        <v>2572</v>
      </c>
      <c r="E3802" s="1390">
        <f>Risk_Compensation!$G69</f>
        <v>52</v>
      </c>
      <c r="F3802" s="1390" t="str">
        <f>Risk_Compensation!$M$17</f>
        <v>BS</v>
      </c>
      <c r="G3802" s="1390"/>
      <c r="H3802" s="1077">
        <f>Risk_Compensation!$M69</f>
        <v>0</v>
      </c>
    </row>
    <row r="3803" spans="1:8" x14ac:dyDescent="0.2">
      <c r="A3803" s="1027"/>
      <c r="B3803" s="1083">
        <f>Risk_Compensation!A$1</f>
        <v>36</v>
      </c>
      <c r="C3803" s="1390" t="str">
        <f>Risk_Compensation!$B$1</f>
        <v xml:space="preserve">Risikoausgleich </v>
      </c>
      <c r="D3803" s="2205" t="s">
        <v>2572</v>
      </c>
      <c r="E3803" s="1390">
        <f>Risk_Compensation!$G70</f>
        <v>53</v>
      </c>
      <c r="F3803" s="1390" t="str">
        <f>Risk_Compensation!$M$17</f>
        <v>BS</v>
      </c>
      <c r="G3803" s="1390"/>
      <c r="H3803" s="1077">
        <f>Risk_Compensation!$M70</f>
        <v>0</v>
      </c>
    </row>
    <row r="3804" spans="1:8" x14ac:dyDescent="0.2">
      <c r="A3804" s="1027"/>
      <c r="B3804" s="1083">
        <f>Risk_Compensation!A$1</f>
        <v>36</v>
      </c>
      <c r="C3804" s="1390" t="str">
        <f>Risk_Compensation!$B$1</f>
        <v xml:space="preserve">Risikoausgleich </v>
      </c>
      <c r="D3804" s="2205" t="s">
        <v>2572</v>
      </c>
      <c r="E3804" s="1390">
        <f>Risk_Compensation!$G71</f>
        <v>54</v>
      </c>
      <c r="F3804" s="1390" t="str">
        <f>Risk_Compensation!$M$17</f>
        <v>BS</v>
      </c>
      <c r="G3804" s="1390"/>
      <c r="H3804" s="1077">
        <f>Risk_Compensation!$M71</f>
        <v>0</v>
      </c>
    </row>
    <row r="3805" spans="1:8" x14ac:dyDescent="0.2">
      <c r="A3805" s="1027"/>
      <c r="B3805" s="1083">
        <f>Risk_Compensation!A$1</f>
        <v>36</v>
      </c>
      <c r="C3805" s="1390" t="str">
        <f>Risk_Compensation!$B$1</f>
        <v xml:space="preserve">Risikoausgleich </v>
      </c>
      <c r="D3805" s="2205" t="s">
        <v>2572</v>
      </c>
      <c r="E3805" s="1390">
        <f>Risk_Compensation!$G72</f>
        <v>55</v>
      </c>
      <c r="F3805" s="1390" t="str">
        <f>Risk_Compensation!$M$17</f>
        <v>BS</v>
      </c>
      <c r="G3805" s="1390"/>
      <c r="H3805" s="1077">
        <f>Risk_Compensation!$M72</f>
        <v>0</v>
      </c>
    </row>
    <row r="3806" spans="1:8" x14ac:dyDescent="0.2">
      <c r="A3806" s="1027"/>
      <c r="B3806" s="1083">
        <f>Risk_Compensation!A$1</f>
        <v>36</v>
      </c>
      <c r="C3806" s="1390" t="str">
        <f>Risk_Compensation!$B$1</f>
        <v xml:space="preserve">Risikoausgleich </v>
      </c>
      <c r="D3806" s="2205" t="s">
        <v>2572</v>
      </c>
      <c r="E3806" s="1390">
        <f>Risk_Compensation!$G73</f>
        <v>56</v>
      </c>
      <c r="F3806" s="1390" t="str">
        <f>Risk_Compensation!$M$17</f>
        <v>BS</v>
      </c>
      <c r="G3806" s="1390"/>
      <c r="H3806" s="1077">
        <f>Risk_Compensation!$M73</f>
        <v>0</v>
      </c>
    </row>
    <row r="3807" spans="1:8" x14ac:dyDescent="0.2">
      <c r="A3807" s="1027"/>
      <c r="B3807" s="1083">
        <f>Risk_Compensation!A$1</f>
        <v>36</v>
      </c>
      <c r="C3807" s="1390" t="str">
        <f>Risk_Compensation!$B$1</f>
        <v xml:space="preserve">Risikoausgleich </v>
      </c>
      <c r="D3807" s="2205" t="s">
        <v>2572</v>
      </c>
      <c r="E3807" s="1390">
        <f>Risk_Compensation!$G74</f>
        <v>57</v>
      </c>
      <c r="F3807" s="1390" t="str">
        <f>Risk_Compensation!$M$17</f>
        <v>BS</v>
      </c>
      <c r="G3807" s="1390"/>
      <c r="H3807" s="1077">
        <f>Risk_Compensation!$M74</f>
        <v>0</v>
      </c>
    </row>
    <row r="3808" spans="1:8" x14ac:dyDescent="0.2">
      <c r="A3808" s="1027"/>
      <c r="B3808" s="1083">
        <f>Risk_Compensation!A$1</f>
        <v>36</v>
      </c>
      <c r="C3808" s="1390" t="str">
        <f>Risk_Compensation!$B$1</f>
        <v xml:space="preserve">Risikoausgleich </v>
      </c>
      <c r="D3808" s="2205" t="s">
        <v>2572</v>
      </c>
      <c r="E3808" s="1390">
        <f>Risk_Compensation!$G75</f>
        <v>58</v>
      </c>
      <c r="F3808" s="1390" t="str">
        <f>Risk_Compensation!$M$17</f>
        <v>BS</v>
      </c>
      <c r="G3808" s="1390"/>
      <c r="H3808" s="1077">
        <f>Risk_Compensation!$M75</f>
        <v>0</v>
      </c>
    </row>
    <row r="3809" spans="1:8" x14ac:dyDescent="0.2">
      <c r="A3809" s="1027"/>
      <c r="B3809" s="1083">
        <f>Risk_Compensation!A$1</f>
        <v>36</v>
      </c>
      <c r="C3809" s="1390" t="str">
        <f>Risk_Compensation!$B$1</f>
        <v xml:space="preserve">Risikoausgleich </v>
      </c>
      <c r="D3809" s="2205" t="s">
        <v>2572</v>
      </c>
      <c r="E3809" s="1390">
        <f>Risk_Compensation!$G76</f>
        <v>59</v>
      </c>
      <c r="F3809" s="1390" t="str">
        <f>Risk_Compensation!$M$17</f>
        <v>BS</v>
      </c>
      <c r="G3809" s="1390"/>
      <c r="H3809" s="1077">
        <f>Risk_Compensation!$M76</f>
        <v>0</v>
      </c>
    </row>
    <row r="3810" spans="1:8" x14ac:dyDescent="0.2">
      <c r="A3810" s="1027"/>
      <c r="B3810" s="1083">
        <f>Risk_Compensation!A$1</f>
        <v>36</v>
      </c>
      <c r="C3810" s="1390" t="str">
        <f>Risk_Compensation!$B$1</f>
        <v xml:space="preserve">Risikoausgleich </v>
      </c>
      <c r="D3810" s="2205" t="s">
        <v>2572</v>
      </c>
      <c r="E3810" s="1390">
        <f>Risk_Compensation!$G77</f>
        <v>60</v>
      </c>
      <c r="F3810" s="1390" t="str">
        <f>Risk_Compensation!$M$17</f>
        <v>BS</v>
      </c>
      <c r="G3810" s="1390"/>
      <c r="H3810" s="1077">
        <f>Risk_Compensation!$M77</f>
        <v>0</v>
      </c>
    </row>
    <row r="3811" spans="1:8" x14ac:dyDescent="0.2">
      <c r="A3811" s="1027"/>
      <c r="B3811" s="2174"/>
      <c r="C3811" s="1390"/>
      <c r="D3811" s="2175"/>
      <c r="E3811" s="2176"/>
      <c r="F3811" s="1390"/>
      <c r="G3811" s="1390"/>
      <c r="H3811" s="1078"/>
    </row>
    <row r="3812" spans="1:8" x14ac:dyDescent="0.2">
      <c r="A3812" s="1027"/>
      <c r="B3812" s="1083">
        <f>Risk_Compensation!A$1</f>
        <v>36</v>
      </c>
      <c r="C3812" s="1390" t="str">
        <f>Risk_Compensation!$B$1</f>
        <v xml:space="preserve">Risikoausgleich </v>
      </c>
      <c r="D3812" s="2205" t="s">
        <v>2572</v>
      </c>
      <c r="E3812" s="1390">
        <f>Risk_Compensation!$G18</f>
        <v>1</v>
      </c>
      <c r="F3812" s="1390" t="str">
        <f>Risk_Compensation!$N$17</f>
        <v>FR</v>
      </c>
      <c r="G3812" s="1390"/>
      <c r="H3812" s="1077">
        <f>Risk_Compensation!$N18</f>
        <v>0</v>
      </c>
    </row>
    <row r="3813" spans="1:8" x14ac:dyDescent="0.2">
      <c r="A3813" s="1027"/>
      <c r="B3813" s="1083">
        <f>Risk_Compensation!A$1</f>
        <v>36</v>
      </c>
      <c r="C3813" s="1390" t="str">
        <f>Risk_Compensation!$B$1</f>
        <v xml:space="preserve">Risikoausgleich </v>
      </c>
      <c r="D3813" s="2205" t="s">
        <v>2572</v>
      </c>
      <c r="E3813" s="1390">
        <f>Risk_Compensation!$G19</f>
        <v>2</v>
      </c>
      <c r="F3813" s="1390" t="str">
        <f>Risk_Compensation!$N$17</f>
        <v>FR</v>
      </c>
      <c r="G3813" s="1390"/>
      <c r="H3813" s="1077">
        <f>Risk_Compensation!$N19</f>
        <v>0</v>
      </c>
    </row>
    <row r="3814" spans="1:8" x14ac:dyDescent="0.2">
      <c r="A3814" s="1027"/>
      <c r="B3814" s="1083">
        <f>Risk_Compensation!A$1</f>
        <v>36</v>
      </c>
      <c r="C3814" s="1390" t="str">
        <f>Risk_Compensation!$B$1</f>
        <v xml:space="preserve">Risikoausgleich </v>
      </c>
      <c r="D3814" s="2205" t="s">
        <v>2572</v>
      </c>
      <c r="E3814" s="1390">
        <f>Risk_Compensation!$G20</f>
        <v>3</v>
      </c>
      <c r="F3814" s="1390" t="str">
        <f>Risk_Compensation!$N$17</f>
        <v>FR</v>
      </c>
      <c r="G3814" s="1390"/>
      <c r="H3814" s="1077">
        <f>Risk_Compensation!$N20</f>
        <v>0</v>
      </c>
    </row>
    <row r="3815" spans="1:8" x14ac:dyDescent="0.2">
      <c r="A3815" s="1027"/>
      <c r="B3815" s="1083">
        <f>Risk_Compensation!A$1</f>
        <v>36</v>
      </c>
      <c r="C3815" s="1390" t="str">
        <f>Risk_Compensation!$B$1</f>
        <v xml:space="preserve">Risikoausgleich </v>
      </c>
      <c r="D3815" s="2205" t="s">
        <v>2572</v>
      </c>
      <c r="E3815" s="1390">
        <f>Risk_Compensation!$G21</f>
        <v>4</v>
      </c>
      <c r="F3815" s="1390" t="str">
        <f>Risk_Compensation!$N$17</f>
        <v>FR</v>
      </c>
      <c r="G3815" s="1390"/>
      <c r="H3815" s="1077">
        <f>Risk_Compensation!$N21</f>
        <v>0</v>
      </c>
    </row>
    <row r="3816" spans="1:8" x14ac:dyDescent="0.2">
      <c r="A3816" s="1027"/>
      <c r="B3816" s="1083">
        <f>Risk_Compensation!A$1</f>
        <v>36</v>
      </c>
      <c r="C3816" s="1390" t="str">
        <f>Risk_Compensation!$B$1</f>
        <v xml:space="preserve">Risikoausgleich </v>
      </c>
      <c r="D3816" s="2205" t="s">
        <v>2572</v>
      </c>
      <c r="E3816" s="1390">
        <f>Risk_Compensation!$G22</f>
        <v>5</v>
      </c>
      <c r="F3816" s="1390" t="str">
        <f>Risk_Compensation!$N$17</f>
        <v>FR</v>
      </c>
      <c r="G3816" s="1390"/>
      <c r="H3816" s="1077">
        <f>Risk_Compensation!$N22</f>
        <v>0</v>
      </c>
    </row>
    <row r="3817" spans="1:8" x14ac:dyDescent="0.2">
      <c r="A3817" s="1027"/>
      <c r="B3817" s="1083">
        <f>Risk_Compensation!A$1</f>
        <v>36</v>
      </c>
      <c r="C3817" s="1390" t="str">
        <f>Risk_Compensation!$B$1</f>
        <v xml:space="preserve">Risikoausgleich </v>
      </c>
      <c r="D3817" s="2205" t="s">
        <v>2572</v>
      </c>
      <c r="E3817" s="1390">
        <f>Risk_Compensation!$G23</f>
        <v>6</v>
      </c>
      <c r="F3817" s="1390" t="str">
        <f>Risk_Compensation!$N$17</f>
        <v>FR</v>
      </c>
      <c r="G3817" s="1390"/>
      <c r="H3817" s="1077">
        <f>Risk_Compensation!$N23</f>
        <v>0</v>
      </c>
    </row>
    <row r="3818" spans="1:8" x14ac:dyDescent="0.2">
      <c r="A3818" s="1027"/>
      <c r="B3818" s="1083">
        <f>Risk_Compensation!A$1</f>
        <v>36</v>
      </c>
      <c r="C3818" s="1390" t="str">
        <f>Risk_Compensation!$B$1</f>
        <v xml:space="preserve">Risikoausgleich </v>
      </c>
      <c r="D3818" s="2205" t="s">
        <v>2572</v>
      </c>
      <c r="E3818" s="1390">
        <f>Risk_Compensation!$G24</f>
        <v>7</v>
      </c>
      <c r="F3818" s="1390" t="str">
        <f>Risk_Compensation!$N$17</f>
        <v>FR</v>
      </c>
      <c r="G3818" s="1390"/>
      <c r="H3818" s="1077">
        <f>Risk_Compensation!$N24</f>
        <v>0</v>
      </c>
    </row>
    <row r="3819" spans="1:8" x14ac:dyDescent="0.2">
      <c r="A3819" s="1027"/>
      <c r="B3819" s="1083">
        <f>Risk_Compensation!A$1</f>
        <v>36</v>
      </c>
      <c r="C3819" s="1390" t="str">
        <f>Risk_Compensation!$B$1</f>
        <v xml:space="preserve">Risikoausgleich </v>
      </c>
      <c r="D3819" s="2205" t="s">
        <v>2572</v>
      </c>
      <c r="E3819" s="1390">
        <f>Risk_Compensation!$G25</f>
        <v>8</v>
      </c>
      <c r="F3819" s="1390" t="str">
        <f>Risk_Compensation!$N$17</f>
        <v>FR</v>
      </c>
      <c r="G3819" s="1390"/>
      <c r="H3819" s="1077">
        <f>Risk_Compensation!$N25</f>
        <v>0</v>
      </c>
    </row>
    <row r="3820" spans="1:8" x14ac:dyDescent="0.2">
      <c r="A3820" s="1027"/>
      <c r="B3820" s="1083">
        <f>Risk_Compensation!A$1</f>
        <v>36</v>
      </c>
      <c r="C3820" s="1390" t="str">
        <f>Risk_Compensation!$B$1</f>
        <v xml:space="preserve">Risikoausgleich </v>
      </c>
      <c r="D3820" s="2205" t="s">
        <v>2572</v>
      </c>
      <c r="E3820" s="1390">
        <f>Risk_Compensation!$G26</f>
        <v>9</v>
      </c>
      <c r="F3820" s="1390" t="str">
        <f>Risk_Compensation!$N$17</f>
        <v>FR</v>
      </c>
      <c r="G3820" s="1390"/>
      <c r="H3820" s="1077">
        <f>Risk_Compensation!$N26</f>
        <v>0</v>
      </c>
    </row>
    <row r="3821" spans="1:8" x14ac:dyDescent="0.2">
      <c r="A3821" s="1027"/>
      <c r="B3821" s="1083">
        <f>Risk_Compensation!A$1</f>
        <v>36</v>
      </c>
      <c r="C3821" s="1390" t="str">
        <f>Risk_Compensation!$B$1</f>
        <v xml:space="preserve">Risikoausgleich </v>
      </c>
      <c r="D3821" s="2205" t="s">
        <v>2572</v>
      </c>
      <c r="E3821" s="1390">
        <f>Risk_Compensation!$G27</f>
        <v>10</v>
      </c>
      <c r="F3821" s="1390" t="str">
        <f>Risk_Compensation!$N$17</f>
        <v>FR</v>
      </c>
      <c r="G3821" s="1390"/>
      <c r="H3821" s="1077">
        <f>Risk_Compensation!$N27</f>
        <v>0</v>
      </c>
    </row>
    <row r="3822" spans="1:8" x14ac:dyDescent="0.2">
      <c r="A3822" s="1027"/>
      <c r="B3822" s="1083">
        <f>Risk_Compensation!A$1</f>
        <v>36</v>
      </c>
      <c r="C3822" s="1390" t="str">
        <f>Risk_Compensation!$B$1</f>
        <v xml:space="preserve">Risikoausgleich </v>
      </c>
      <c r="D3822" s="2205" t="s">
        <v>2572</v>
      </c>
      <c r="E3822" s="1390">
        <f>Risk_Compensation!$G28</f>
        <v>11</v>
      </c>
      <c r="F3822" s="1390" t="str">
        <f>Risk_Compensation!$N$17</f>
        <v>FR</v>
      </c>
      <c r="G3822" s="1390"/>
      <c r="H3822" s="1077">
        <f>Risk_Compensation!$N28</f>
        <v>0</v>
      </c>
    </row>
    <row r="3823" spans="1:8" x14ac:dyDescent="0.2">
      <c r="A3823" s="1027"/>
      <c r="B3823" s="1083">
        <f>Risk_Compensation!A$1</f>
        <v>36</v>
      </c>
      <c r="C3823" s="1390" t="str">
        <f>Risk_Compensation!$B$1</f>
        <v xml:space="preserve">Risikoausgleich </v>
      </c>
      <c r="D3823" s="2205" t="s">
        <v>2572</v>
      </c>
      <c r="E3823" s="1390">
        <f>Risk_Compensation!$G29</f>
        <v>12</v>
      </c>
      <c r="F3823" s="1390" t="str">
        <f>Risk_Compensation!$N$17</f>
        <v>FR</v>
      </c>
      <c r="G3823" s="1390"/>
      <c r="H3823" s="1077">
        <f>Risk_Compensation!$N29</f>
        <v>0</v>
      </c>
    </row>
    <row r="3824" spans="1:8" x14ac:dyDescent="0.2">
      <c r="A3824" s="1027"/>
      <c r="B3824" s="1083">
        <f>Risk_Compensation!A$1</f>
        <v>36</v>
      </c>
      <c r="C3824" s="1390" t="str">
        <f>Risk_Compensation!$B$1</f>
        <v xml:space="preserve">Risikoausgleich </v>
      </c>
      <c r="D3824" s="2205" t="s">
        <v>2572</v>
      </c>
      <c r="E3824" s="1390">
        <f>Risk_Compensation!$G30</f>
        <v>13</v>
      </c>
      <c r="F3824" s="1390" t="str">
        <f>Risk_Compensation!$N$17</f>
        <v>FR</v>
      </c>
      <c r="G3824" s="1390"/>
      <c r="H3824" s="1077">
        <f>Risk_Compensation!$N30</f>
        <v>0</v>
      </c>
    </row>
    <row r="3825" spans="1:8" x14ac:dyDescent="0.2">
      <c r="A3825" s="1027"/>
      <c r="B3825" s="1083">
        <f>Risk_Compensation!A$1</f>
        <v>36</v>
      </c>
      <c r="C3825" s="1390" t="str">
        <f>Risk_Compensation!$B$1</f>
        <v xml:space="preserve">Risikoausgleich </v>
      </c>
      <c r="D3825" s="2205" t="s">
        <v>2572</v>
      </c>
      <c r="E3825" s="1390">
        <f>Risk_Compensation!$G31</f>
        <v>14</v>
      </c>
      <c r="F3825" s="1390" t="str">
        <f>Risk_Compensation!$N$17</f>
        <v>FR</v>
      </c>
      <c r="G3825" s="1390"/>
      <c r="H3825" s="1077">
        <f>Risk_Compensation!$N31</f>
        <v>0</v>
      </c>
    </row>
    <row r="3826" spans="1:8" x14ac:dyDescent="0.2">
      <c r="A3826" s="1027"/>
      <c r="B3826" s="1083">
        <f>Risk_Compensation!A$1</f>
        <v>36</v>
      </c>
      <c r="C3826" s="1390" t="str">
        <f>Risk_Compensation!$B$1</f>
        <v xml:space="preserve">Risikoausgleich </v>
      </c>
      <c r="D3826" s="2205" t="s">
        <v>2572</v>
      </c>
      <c r="E3826" s="1390">
        <f>Risk_Compensation!$G32</f>
        <v>15</v>
      </c>
      <c r="F3826" s="1390" t="str">
        <f>Risk_Compensation!$N$17</f>
        <v>FR</v>
      </c>
      <c r="G3826" s="1390"/>
      <c r="H3826" s="1077">
        <f>Risk_Compensation!$N32</f>
        <v>0</v>
      </c>
    </row>
    <row r="3827" spans="1:8" x14ac:dyDescent="0.2">
      <c r="A3827" s="1027"/>
      <c r="B3827" s="1083">
        <f>Risk_Compensation!A$1</f>
        <v>36</v>
      </c>
      <c r="C3827" s="1390" t="str">
        <f>Risk_Compensation!$B$1</f>
        <v xml:space="preserve">Risikoausgleich </v>
      </c>
      <c r="D3827" s="2205" t="s">
        <v>2572</v>
      </c>
      <c r="E3827" s="1390">
        <f>Risk_Compensation!$G33</f>
        <v>16</v>
      </c>
      <c r="F3827" s="1390" t="str">
        <f>Risk_Compensation!$N$17</f>
        <v>FR</v>
      </c>
      <c r="G3827" s="1390"/>
      <c r="H3827" s="1077">
        <f>Risk_Compensation!$N33</f>
        <v>0</v>
      </c>
    </row>
    <row r="3828" spans="1:8" x14ac:dyDescent="0.2">
      <c r="A3828" s="1027"/>
      <c r="B3828" s="1083">
        <f>Risk_Compensation!A$1</f>
        <v>36</v>
      </c>
      <c r="C3828" s="1390" t="str">
        <f>Risk_Compensation!$B$1</f>
        <v xml:space="preserve">Risikoausgleich </v>
      </c>
      <c r="D3828" s="2205" t="s">
        <v>2572</v>
      </c>
      <c r="E3828" s="1390">
        <f>Risk_Compensation!$G34</f>
        <v>17</v>
      </c>
      <c r="F3828" s="1390" t="str">
        <f>Risk_Compensation!$N$17</f>
        <v>FR</v>
      </c>
      <c r="G3828" s="1390"/>
      <c r="H3828" s="1077">
        <f>Risk_Compensation!$N34</f>
        <v>0</v>
      </c>
    </row>
    <row r="3829" spans="1:8" x14ac:dyDescent="0.2">
      <c r="A3829" s="1027"/>
      <c r="B3829" s="1083">
        <f>Risk_Compensation!A$1</f>
        <v>36</v>
      </c>
      <c r="C3829" s="1390" t="str">
        <f>Risk_Compensation!$B$1</f>
        <v xml:space="preserve">Risikoausgleich </v>
      </c>
      <c r="D3829" s="2205" t="s">
        <v>2572</v>
      </c>
      <c r="E3829" s="1390">
        <f>Risk_Compensation!$G35</f>
        <v>18</v>
      </c>
      <c r="F3829" s="1390" t="str">
        <f>Risk_Compensation!$N$17</f>
        <v>FR</v>
      </c>
      <c r="G3829" s="1390"/>
      <c r="H3829" s="1077">
        <f>Risk_Compensation!$N35</f>
        <v>0</v>
      </c>
    </row>
    <row r="3830" spans="1:8" x14ac:dyDescent="0.2">
      <c r="A3830" s="1027"/>
      <c r="B3830" s="1083">
        <f>Risk_Compensation!A$1</f>
        <v>36</v>
      </c>
      <c r="C3830" s="1390" t="str">
        <f>Risk_Compensation!$B$1</f>
        <v xml:space="preserve">Risikoausgleich </v>
      </c>
      <c r="D3830" s="2205" t="s">
        <v>2572</v>
      </c>
      <c r="E3830" s="1390">
        <f>Risk_Compensation!$G36</f>
        <v>19</v>
      </c>
      <c r="F3830" s="1390" t="str">
        <f>Risk_Compensation!$N$17</f>
        <v>FR</v>
      </c>
      <c r="G3830" s="1390"/>
      <c r="H3830" s="1077">
        <f>Risk_Compensation!$N36</f>
        <v>0</v>
      </c>
    </row>
    <row r="3831" spans="1:8" x14ac:dyDescent="0.2">
      <c r="A3831" s="1027"/>
      <c r="B3831" s="1083">
        <f>Risk_Compensation!A$1</f>
        <v>36</v>
      </c>
      <c r="C3831" s="1390" t="str">
        <f>Risk_Compensation!$B$1</f>
        <v xml:space="preserve">Risikoausgleich </v>
      </c>
      <c r="D3831" s="2205" t="s">
        <v>2572</v>
      </c>
      <c r="E3831" s="1390">
        <f>Risk_Compensation!$G37</f>
        <v>20</v>
      </c>
      <c r="F3831" s="1390" t="str">
        <f>Risk_Compensation!$N$17</f>
        <v>FR</v>
      </c>
      <c r="G3831" s="1390"/>
      <c r="H3831" s="1077">
        <f>Risk_Compensation!$N37</f>
        <v>0</v>
      </c>
    </row>
    <row r="3832" spans="1:8" x14ac:dyDescent="0.2">
      <c r="A3832" s="1027"/>
      <c r="B3832" s="1083">
        <f>Risk_Compensation!A$1</f>
        <v>36</v>
      </c>
      <c r="C3832" s="1390" t="str">
        <f>Risk_Compensation!$B$1</f>
        <v xml:space="preserve">Risikoausgleich </v>
      </c>
      <c r="D3832" s="2205" t="s">
        <v>2572</v>
      </c>
      <c r="E3832" s="1390">
        <f>Risk_Compensation!$G38</f>
        <v>21</v>
      </c>
      <c r="F3832" s="1390" t="str">
        <f>Risk_Compensation!$N$17</f>
        <v>FR</v>
      </c>
      <c r="G3832" s="1390"/>
      <c r="H3832" s="1077">
        <f>Risk_Compensation!$N38</f>
        <v>0</v>
      </c>
    </row>
    <row r="3833" spans="1:8" x14ac:dyDescent="0.2">
      <c r="A3833" s="1027"/>
      <c r="B3833" s="1083">
        <f>Risk_Compensation!A$1</f>
        <v>36</v>
      </c>
      <c r="C3833" s="1390" t="str">
        <f>Risk_Compensation!$B$1</f>
        <v xml:space="preserve">Risikoausgleich </v>
      </c>
      <c r="D3833" s="2205" t="s">
        <v>2572</v>
      </c>
      <c r="E3833" s="1390">
        <f>Risk_Compensation!$G39</f>
        <v>22</v>
      </c>
      <c r="F3833" s="1390" t="str">
        <f>Risk_Compensation!$N$17</f>
        <v>FR</v>
      </c>
      <c r="G3833" s="1390"/>
      <c r="H3833" s="1077">
        <f>Risk_Compensation!$N39</f>
        <v>0</v>
      </c>
    </row>
    <row r="3834" spans="1:8" x14ac:dyDescent="0.2">
      <c r="A3834" s="1027"/>
      <c r="B3834" s="1083">
        <f>Risk_Compensation!A$1</f>
        <v>36</v>
      </c>
      <c r="C3834" s="1390" t="str">
        <f>Risk_Compensation!$B$1</f>
        <v xml:space="preserve">Risikoausgleich </v>
      </c>
      <c r="D3834" s="2205" t="s">
        <v>2572</v>
      </c>
      <c r="E3834" s="1390">
        <f>Risk_Compensation!$G40</f>
        <v>23</v>
      </c>
      <c r="F3834" s="1390" t="str">
        <f>Risk_Compensation!$N$17</f>
        <v>FR</v>
      </c>
      <c r="G3834" s="1390"/>
      <c r="H3834" s="1077">
        <f>Risk_Compensation!$N40</f>
        <v>0</v>
      </c>
    </row>
    <row r="3835" spans="1:8" x14ac:dyDescent="0.2">
      <c r="A3835" s="1027"/>
      <c r="B3835" s="1083">
        <f>Risk_Compensation!A$1</f>
        <v>36</v>
      </c>
      <c r="C3835" s="1390" t="str">
        <f>Risk_Compensation!$B$1</f>
        <v xml:space="preserve">Risikoausgleich </v>
      </c>
      <c r="D3835" s="2205" t="s">
        <v>2572</v>
      </c>
      <c r="E3835" s="1390">
        <f>Risk_Compensation!$G41</f>
        <v>24</v>
      </c>
      <c r="F3835" s="1390" t="str">
        <f>Risk_Compensation!$N$17</f>
        <v>FR</v>
      </c>
      <c r="G3835" s="1390"/>
      <c r="H3835" s="1077">
        <f>Risk_Compensation!$N41</f>
        <v>0</v>
      </c>
    </row>
    <row r="3836" spans="1:8" x14ac:dyDescent="0.2">
      <c r="A3836" s="1027"/>
      <c r="B3836" s="1083">
        <f>Risk_Compensation!A$1</f>
        <v>36</v>
      </c>
      <c r="C3836" s="1390" t="str">
        <f>Risk_Compensation!$B$1</f>
        <v xml:space="preserve">Risikoausgleich </v>
      </c>
      <c r="D3836" s="2205" t="s">
        <v>2572</v>
      </c>
      <c r="E3836" s="1390">
        <f>Risk_Compensation!$G42</f>
        <v>25</v>
      </c>
      <c r="F3836" s="1390" t="str">
        <f>Risk_Compensation!$N$17</f>
        <v>FR</v>
      </c>
      <c r="G3836" s="1390"/>
      <c r="H3836" s="1077">
        <f>Risk_Compensation!$N42</f>
        <v>0</v>
      </c>
    </row>
    <row r="3837" spans="1:8" x14ac:dyDescent="0.2">
      <c r="A3837" s="1027"/>
      <c r="B3837" s="1083">
        <f>Risk_Compensation!A$1</f>
        <v>36</v>
      </c>
      <c r="C3837" s="1390" t="str">
        <f>Risk_Compensation!$B$1</f>
        <v xml:space="preserve">Risikoausgleich </v>
      </c>
      <c r="D3837" s="2205" t="s">
        <v>2572</v>
      </c>
      <c r="E3837" s="1390">
        <f>Risk_Compensation!$G43</f>
        <v>26</v>
      </c>
      <c r="F3837" s="1390" t="str">
        <f>Risk_Compensation!$N$17</f>
        <v>FR</v>
      </c>
      <c r="G3837" s="1390"/>
      <c r="H3837" s="1077">
        <f>Risk_Compensation!$N43</f>
        <v>0</v>
      </c>
    </row>
    <row r="3838" spans="1:8" x14ac:dyDescent="0.2">
      <c r="A3838" s="1027"/>
      <c r="B3838" s="1083">
        <f>Risk_Compensation!A$1</f>
        <v>36</v>
      </c>
      <c r="C3838" s="1390" t="str">
        <f>Risk_Compensation!$B$1</f>
        <v xml:space="preserve">Risikoausgleich </v>
      </c>
      <c r="D3838" s="2205" t="s">
        <v>2572</v>
      </c>
      <c r="E3838" s="1390">
        <f>Risk_Compensation!$G44</f>
        <v>27</v>
      </c>
      <c r="F3838" s="1390" t="str">
        <f>Risk_Compensation!$N$17</f>
        <v>FR</v>
      </c>
      <c r="G3838" s="1390"/>
      <c r="H3838" s="1077">
        <f>Risk_Compensation!$N44</f>
        <v>0</v>
      </c>
    </row>
    <row r="3839" spans="1:8" x14ac:dyDescent="0.2">
      <c r="A3839" s="1027"/>
      <c r="B3839" s="1083">
        <f>Risk_Compensation!A$1</f>
        <v>36</v>
      </c>
      <c r="C3839" s="1390" t="str">
        <f>Risk_Compensation!$B$1</f>
        <v xml:space="preserve">Risikoausgleich </v>
      </c>
      <c r="D3839" s="2205" t="s">
        <v>2572</v>
      </c>
      <c r="E3839" s="1390">
        <f>Risk_Compensation!$G45</f>
        <v>28</v>
      </c>
      <c r="F3839" s="1390" t="str">
        <f>Risk_Compensation!$N$17</f>
        <v>FR</v>
      </c>
      <c r="G3839" s="1390"/>
      <c r="H3839" s="1077">
        <f>Risk_Compensation!$N45</f>
        <v>0</v>
      </c>
    </row>
    <row r="3840" spans="1:8" x14ac:dyDescent="0.2">
      <c r="A3840" s="1027"/>
      <c r="B3840" s="1083">
        <f>Risk_Compensation!A$1</f>
        <v>36</v>
      </c>
      <c r="C3840" s="1390" t="str">
        <f>Risk_Compensation!$B$1</f>
        <v xml:space="preserve">Risikoausgleich </v>
      </c>
      <c r="D3840" s="2205" t="s">
        <v>2572</v>
      </c>
      <c r="E3840" s="1390">
        <f>Risk_Compensation!$G46</f>
        <v>29</v>
      </c>
      <c r="F3840" s="1390" t="str">
        <f>Risk_Compensation!$N$17</f>
        <v>FR</v>
      </c>
      <c r="G3840" s="1390"/>
      <c r="H3840" s="1077">
        <f>Risk_Compensation!$N46</f>
        <v>0</v>
      </c>
    </row>
    <row r="3841" spans="1:8" x14ac:dyDescent="0.2">
      <c r="A3841" s="1027"/>
      <c r="B3841" s="1083">
        <f>Risk_Compensation!A$1</f>
        <v>36</v>
      </c>
      <c r="C3841" s="1390" t="str">
        <f>Risk_Compensation!$B$1</f>
        <v xml:space="preserve">Risikoausgleich </v>
      </c>
      <c r="D3841" s="2205" t="s">
        <v>2572</v>
      </c>
      <c r="E3841" s="1390">
        <f>Risk_Compensation!$G47</f>
        <v>30</v>
      </c>
      <c r="F3841" s="1390" t="str">
        <f>Risk_Compensation!$N$17</f>
        <v>FR</v>
      </c>
      <c r="G3841" s="1390"/>
      <c r="H3841" s="1077">
        <f>Risk_Compensation!$N47</f>
        <v>0</v>
      </c>
    </row>
    <row r="3842" spans="1:8" x14ac:dyDescent="0.2">
      <c r="A3842" s="1027"/>
      <c r="B3842" s="1083">
        <f>Risk_Compensation!A$1</f>
        <v>36</v>
      </c>
      <c r="C3842" s="1390" t="str">
        <f>Risk_Compensation!$B$1</f>
        <v xml:space="preserve">Risikoausgleich </v>
      </c>
      <c r="D3842" s="2205" t="s">
        <v>2572</v>
      </c>
      <c r="E3842" s="1390">
        <f>Risk_Compensation!$G48</f>
        <v>31</v>
      </c>
      <c r="F3842" s="1390" t="str">
        <f>Risk_Compensation!$N$17</f>
        <v>FR</v>
      </c>
      <c r="G3842" s="1390"/>
      <c r="H3842" s="1077">
        <f>Risk_Compensation!$N48</f>
        <v>0</v>
      </c>
    </row>
    <row r="3843" spans="1:8" x14ac:dyDescent="0.2">
      <c r="A3843" s="1027"/>
      <c r="B3843" s="1083">
        <f>Risk_Compensation!A$1</f>
        <v>36</v>
      </c>
      <c r="C3843" s="1390" t="str">
        <f>Risk_Compensation!$B$1</f>
        <v xml:space="preserve">Risikoausgleich </v>
      </c>
      <c r="D3843" s="2205" t="s">
        <v>2572</v>
      </c>
      <c r="E3843" s="1390">
        <f>Risk_Compensation!$G49</f>
        <v>32</v>
      </c>
      <c r="F3843" s="1390" t="str">
        <f>Risk_Compensation!$N$17</f>
        <v>FR</v>
      </c>
      <c r="G3843" s="1390"/>
      <c r="H3843" s="1077">
        <f>Risk_Compensation!$N49</f>
        <v>0</v>
      </c>
    </row>
    <row r="3844" spans="1:8" x14ac:dyDescent="0.2">
      <c r="A3844" s="1027"/>
      <c r="B3844" s="1083">
        <f>Risk_Compensation!A$1</f>
        <v>36</v>
      </c>
      <c r="C3844" s="1390" t="str">
        <f>Risk_Compensation!$B$1</f>
        <v xml:space="preserve">Risikoausgleich </v>
      </c>
      <c r="D3844" s="2205" t="s">
        <v>2572</v>
      </c>
      <c r="E3844" s="1390">
        <f>Risk_Compensation!$G50</f>
        <v>33</v>
      </c>
      <c r="F3844" s="1390" t="str">
        <f>Risk_Compensation!$N$17</f>
        <v>FR</v>
      </c>
      <c r="G3844" s="1390"/>
      <c r="H3844" s="1077">
        <f>Risk_Compensation!$N50</f>
        <v>0</v>
      </c>
    </row>
    <row r="3845" spans="1:8" x14ac:dyDescent="0.2">
      <c r="A3845" s="1027"/>
      <c r="B3845" s="1083">
        <f>Risk_Compensation!A$1</f>
        <v>36</v>
      </c>
      <c r="C3845" s="1390" t="str">
        <f>Risk_Compensation!$B$1</f>
        <v xml:space="preserve">Risikoausgleich </v>
      </c>
      <c r="D3845" s="2205" t="s">
        <v>2572</v>
      </c>
      <c r="E3845" s="1390">
        <f>Risk_Compensation!$G51</f>
        <v>34</v>
      </c>
      <c r="F3845" s="1390" t="str">
        <f>Risk_Compensation!$N$17</f>
        <v>FR</v>
      </c>
      <c r="G3845" s="1390"/>
      <c r="H3845" s="1077">
        <f>Risk_Compensation!$N51</f>
        <v>0</v>
      </c>
    </row>
    <row r="3846" spans="1:8" x14ac:dyDescent="0.2">
      <c r="A3846" s="1027"/>
      <c r="B3846" s="1083">
        <f>Risk_Compensation!A$1</f>
        <v>36</v>
      </c>
      <c r="C3846" s="1390" t="str">
        <f>Risk_Compensation!$B$1</f>
        <v xml:space="preserve">Risikoausgleich </v>
      </c>
      <c r="D3846" s="2205" t="s">
        <v>2572</v>
      </c>
      <c r="E3846" s="1390">
        <f>Risk_Compensation!$G52</f>
        <v>35</v>
      </c>
      <c r="F3846" s="1390" t="str">
        <f>Risk_Compensation!$N$17</f>
        <v>FR</v>
      </c>
      <c r="G3846" s="1390"/>
      <c r="H3846" s="1077">
        <f>Risk_Compensation!$N52</f>
        <v>0</v>
      </c>
    </row>
    <row r="3847" spans="1:8" x14ac:dyDescent="0.2">
      <c r="A3847" s="1027"/>
      <c r="B3847" s="1083">
        <f>Risk_Compensation!A$1</f>
        <v>36</v>
      </c>
      <c r="C3847" s="1390" t="str">
        <f>Risk_Compensation!$B$1</f>
        <v xml:space="preserve">Risikoausgleich </v>
      </c>
      <c r="D3847" s="2205" t="s">
        <v>2572</v>
      </c>
      <c r="E3847" s="1390">
        <f>Risk_Compensation!$G53</f>
        <v>36</v>
      </c>
      <c r="F3847" s="1390" t="str">
        <f>Risk_Compensation!$N$17</f>
        <v>FR</v>
      </c>
      <c r="G3847" s="1390"/>
      <c r="H3847" s="1077">
        <f>Risk_Compensation!$N53</f>
        <v>0</v>
      </c>
    </row>
    <row r="3848" spans="1:8" x14ac:dyDescent="0.2">
      <c r="A3848" s="1027"/>
      <c r="B3848" s="1083">
        <f>Risk_Compensation!A$1</f>
        <v>36</v>
      </c>
      <c r="C3848" s="1390" t="str">
        <f>Risk_Compensation!$B$1</f>
        <v xml:space="preserve">Risikoausgleich </v>
      </c>
      <c r="D3848" s="2205" t="s">
        <v>2572</v>
      </c>
      <c r="E3848" s="1390">
        <f>Risk_Compensation!$G54</f>
        <v>37</v>
      </c>
      <c r="F3848" s="1390" t="str">
        <f>Risk_Compensation!$N$17</f>
        <v>FR</v>
      </c>
      <c r="G3848" s="1390"/>
      <c r="H3848" s="1077">
        <f>Risk_Compensation!$N54</f>
        <v>0</v>
      </c>
    </row>
    <row r="3849" spans="1:8" x14ac:dyDescent="0.2">
      <c r="A3849" s="1027"/>
      <c r="B3849" s="1083">
        <f>Risk_Compensation!A$1</f>
        <v>36</v>
      </c>
      <c r="C3849" s="1390" t="str">
        <f>Risk_Compensation!$B$1</f>
        <v xml:space="preserve">Risikoausgleich </v>
      </c>
      <c r="D3849" s="2205" t="s">
        <v>2572</v>
      </c>
      <c r="E3849" s="1390">
        <f>Risk_Compensation!$G55</f>
        <v>38</v>
      </c>
      <c r="F3849" s="1390" t="str">
        <f>Risk_Compensation!$N$17</f>
        <v>FR</v>
      </c>
      <c r="G3849" s="1390"/>
      <c r="H3849" s="1077">
        <f>Risk_Compensation!$N55</f>
        <v>0</v>
      </c>
    </row>
    <row r="3850" spans="1:8" x14ac:dyDescent="0.2">
      <c r="A3850" s="1027"/>
      <c r="B3850" s="1083">
        <f>Risk_Compensation!A$1</f>
        <v>36</v>
      </c>
      <c r="C3850" s="1390" t="str">
        <f>Risk_Compensation!$B$1</f>
        <v xml:space="preserve">Risikoausgleich </v>
      </c>
      <c r="D3850" s="2205" t="s">
        <v>2572</v>
      </c>
      <c r="E3850" s="1390">
        <f>Risk_Compensation!$G56</f>
        <v>39</v>
      </c>
      <c r="F3850" s="1390" t="str">
        <f>Risk_Compensation!$N$17</f>
        <v>FR</v>
      </c>
      <c r="G3850" s="1390"/>
      <c r="H3850" s="1077">
        <f>Risk_Compensation!$N56</f>
        <v>0</v>
      </c>
    </row>
    <row r="3851" spans="1:8" x14ac:dyDescent="0.2">
      <c r="A3851" s="1027"/>
      <c r="B3851" s="1083">
        <f>Risk_Compensation!A$1</f>
        <v>36</v>
      </c>
      <c r="C3851" s="1390" t="str">
        <f>Risk_Compensation!$B$1</f>
        <v xml:space="preserve">Risikoausgleich </v>
      </c>
      <c r="D3851" s="2205" t="s">
        <v>2572</v>
      </c>
      <c r="E3851" s="1390">
        <f>Risk_Compensation!$G57</f>
        <v>40</v>
      </c>
      <c r="F3851" s="1390" t="str">
        <f>Risk_Compensation!$N$17</f>
        <v>FR</v>
      </c>
      <c r="G3851" s="1390"/>
      <c r="H3851" s="1077">
        <f>Risk_Compensation!$N57</f>
        <v>0</v>
      </c>
    </row>
    <row r="3852" spans="1:8" x14ac:dyDescent="0.2">
      <c r="A3852" s="1027"/>
      <c r="B3852" s="1083">
        <f>Risk_Compensation!A$1</f>
        <v>36</v>
      </c>
      <c r="C3852" s="1390" t="str">
        <f>Risk_Compensation!$B$1</f>
        <v xml:space="preserve">Risikoausgleich </v>
      </c>
      <c r="D3852" s="2205" t="s">
        <v>2572</v>
      </c>
      <c r="E3852" s="1390">
        <f>Risk_Compensation!$G58</f>
        <v>41</v>
      </c>
      <c r="F3852" s="1390" t="str">
        <f>Risk_Compensation!$N$17</f>
        <v>FR</v>
      </c>
      <c r="G3852" s="1390"/>
      <c r="H3852" s="1077">
        <f>Risk_Compensation!$N58</f>
        <v>0</v>
      </c>
    </row>
    <row r="3853" spans="1:8" x14ac:dyDescent="0.2">
      <c r="A3853" s="1027"/>
      <c r="B3853" s="1083">
        <f>Risk_Compensation!A$1</f>
        <v>36</v>
      </c>
      <c r="C3853" s="1390" t="str">
        <f>Risk_Compensation!$B$1</f>
        <v xml:space="preserve">Risikoausgleich </v>
      </c>
      <c r="D3853" s="2205" t="s">
        <v>2572</v>
      </c>
      <c r="E3853" s="1390">
        <f>Risk_Compensation!$G59</f>
        <v>42</v>
      </c>
      <c r="F3853" s="1390" t="str">
        <f>Risk_Compensation!$N$17</f>
        <v>FR</v>
      </c>
      <c r="G3853" s="1390"/>
      <c r="H3853" s="1077">
        <f>Risk_Compensation!$N59</f>
        <v>0</v>
      </c>
    </row>
    <row r="3854" spans="1:8" x14ac:dyDescent="0.2">
      <c r="A3854" s="1027"/>
      <c r="B3854" s="1083">
        <f>Risk_Compensation!A$1</f>
        <v>36</v>
      </c>
      <c r="C3854" s="1390" t="str">
        <f>Risk_Compensation!$B$1</f>
        <v xml:space="preserve">Risikoausgleich </v>
      </c>
      <c r="D3854" s="2205" t="s">
        <v>2572</v>
      </c>
      <c r="E3854" s="1390">
        <f>Risk_Compensation!$G60</f>
        <v>43</v>
      </c>
      <c r="F3854" s="1390" t="str">
        <f>Risk_Compensation!$N$17</f>
        <v>FR</v>
      </c>
      <c r="G3854" s="1390"/>
      <c r="H3854" s="1077">
        <f>Risk_Compensation!$N60</f>
        <v>0</v>
      </c>
    </row>
    <row r="3855" spans="1:8" x14ac:dyDescent="0.2">
      <c r="A3855" s="1027"/>
      <c r="B3855" s="1083">
        <f>Risk_Compensation!A$1</f>
        <v>36</v>
      </c>
      <c r="C3855" s="1390" t="str">
        <f>Risk_Compensation!$B$1</f>
        <v xml:space="preserve">Risikoausgleich </v>
      </c>
      <c r="D3855" s="2205" t="s">
        <v>2572</v>
      </c>
      <c r="E3855" s="1390">
        <f>Risk_Compensation!$G61</f>
        <v>44</v>
      </c>
      <c r="F3855" s="1390" t="str">
        <f>Risk_Compensation!$N$17</f>
        <v>FR</v>
      </c>
      <c r="G3855" s="1390"/>
      <c r="H3855" s="1077">
        <f>Risk_Compensation!$N61</f>
        <v>0</v>
      </c>
    </row>
    <row r="3856" spans="1:8" x14ac:dyDescent="0.2">
      <c r="A3856" s="1027"/>
      <c r="B3856" s="1083">
        <f>Risk_Compensation!A$1</f>
        <v>36</v>
      </c>
      <c r="C3856" s="1390" t="str">
        <f>Risk_Compensation!$B$1</f>
        <v xml:space="preserve">Risikoausgleich </v>
      </c>
      <c r="D3856" s="2205" t="s">
        <v>2572</v>
      </c>
      <c r="E3856" s="1390">
        <f>Risk_Compensation!$G62</f>
        <v>45</v>
      </c>
      <c r="F3856" s="1390" t="str">
        <f>Risk_Compensation!$N$17</f>
        <v>FR</v>
      </c>
      <c r="G3856" s="1390"/>
      <c r="H3856" s="1077">
        <f>Risk_Compensation!$N62</f>
        <v>0</v>
      </c>
    </row>
    <row r="3857" spans="1:8" x14ac:dyDescent="0.2">
      <c r="A3857" s="1027"/>
      <c r="B3857" s="1083">
        <f>Risk_Compensation!A$1</f>
        <v>36</v>
      </c>
      <c r="C3857" s="1390" t="str">
        <f>Risk_Compensation!$B$1</f>
        <v xml:space="preserve">Risikoausgleich </v>
      </c>
      <c r="D3857" s="2205" t="s">
        <v>2572</v>
      </c>
      <c r="E3857" s="1390">
        <f>Risk_Compensation!$G63</f>
        <v>46</v>
      </c>
      <c r="F3857" s="1390" t="str">
        <f>Risk_Compensation!$N$17</f>
        <v>FR</v>
      </c>
      <c r="G3857" s="1390"/>
      <c r="H3857" s="1077">
        <f>Risk_Compensation!$N63</f>
        <v>0</v>
      </c>
    </row>
    <row r="3858" spans="1:8" x14ac:dyDescent="0.2">
      <c r="A3858" s="1027"/>
      <c r="B3858" s="1083">
        <f>Risk_Compensation!A$1</f>
        <v>36</v>
      </c>
      <c r="C3858" s="1390" t="str">
        <f>Risk_Compensation!$B$1</f>
        <v xml:space="preserve">Risikoausgleich </v>
      </c>
      <c r="D3858" s="2205" t="s">
        <v>2572</v>
      </c>
      <c r="E3858" s="1390">
        <f>Risk_Compensation!$G64</f>
        <v>47</v>
      </c>
      <c r="F3858" s="1390" t="str">
        <f>Risk_Compensation!$N$17</f>
        <v>FR</v>
      </c>
      <c r="G3858" s="1390"/>
      <c r="H3858" s="1077">
        <f>Risk_Compensation!$N64</f>
        <v>0</v>
      </c>
    </row>
    <row r="3859" spans="1:8" x14ac:dyDescent="0.2">
      <c r="A3859" s="1027"/>
      <c r="B3859" s="1083">
        <f>Risk_Compensation!A$1</f>
        <v>36</v>
      </c>
      <c r="C3859" s="1390" t="str">
        <f>Risk_Compensation!$B$1</f>
        <v xml:space="preserve">Risikoausgleich </v>
      </c>
      <c r="D3859" s="2205" t="s">
        <v>2572</v>
      </c>
      <c r="E3859" s="1390">
        <f>Risk_Compensation!$G65</f>
        <v>48</v>
      </c>
      <c r="F3859" s="1390" t="str">
        <f>Risk_Compensation!$N$17</f>
        <v>FR</v>
      </c>
      <c r="G3859" s="1390"/>
      <c r="H3859" s="1077">
        <f>Risk_Compensation!$N65</f>
        <v>0</v>
      </c>
    </row>
    <row r="3860" spans="1:8" x14ac:dyDescent="0.2">
      <c r="A3860" s="1027"/>
      <c r="B3860" s="1083">
        <f>Risk_Compensation!A$1</f>
        <v>36</v>
      </c>
      <c r="C3860" s="1390" t="str">
        <f>Risk_Compensation!$B$1</f>
        <v xml:space="preserve">Risikoausgleich </v>
      </c>
      <c r="D3860" s="2205" t="s">
        <v>2572</v>
      </c>
      <c r="E3860" s="1390">
        <f>Risk_Compensation!$G66</f>
        <v>49</v>
      </c>
      <c r="F3860" s="1390" t="str">
        <f>Risk_Compensation!$N$17</f>
        <v>FR</v>
      </c>
      <c r="G3860" s="1390"/>
      <c r="H3860" s="1077">
        <f>Risk_Compensation!$N66</f>
        <v>0</v>
      </c>
    </row>
    <row r="3861" spans="1:8" x14ac:dyDescent="0.2">
      <c r="A3861" s="1027"/>
      <c r="B3861" s="1083">
        <f>Risk_Compensation!A$1</f>
        <v>36</v>
      </c>
      <c r="C3861" s="1390" t="str">
        <f>Risk_Compensation!$B$1</f>
        <v xml:space="preserve">Risikoausgleich </v>
      </c>
      <c r="D3861" s="2205" t="s">
        <v>2572</v>
      </c>
      <c r="E3861" s="1390">
        <f>Risk_Compensation!$G67</f>
        <v>50</v>
      </c>
      <c r="F3861" s="1390" t="str">
        <f>Risk_Compensation!$N$17</f>
        <v>FR</v>
      </c>
      <c r="G3861" s="1390"/>
      <c r="H3861" s="1077">
        <f>Risk_Compensation!$N67</f>
        <v>0</v>
      </c>
    </row>
    <row r="3862" spans="1:8" x14ac:dyDescent="0.2">
      <c r="A3862" s="1027"/>
      <c r="B3862" s="1083">
        <f>Risk_Compensation!A$1</f>
        <v>36</v>
      </c>
      <c r="C3862" s="1390" t="str">
        <f>Risk_Compensation!$B$1</f>
        <v xml:space="preserve">Risikoausgleich </v>
      </c>
      <c r="D3862" s="2205" t="s">
        <v>2572</v>
      </c>
      <c r="E3862" s="1390">
        <f>Risk_Compensation!$G68</f>
        <v>51</v>
      </c>
      <c r="F3862" s="1390" t="str">
        <f>Risk_Compensation!$N$17</f>
        <v>FR</v>
      </c>
      <c r="G3862" s="1390"/>
      <c r="H3862" s="1077">
        <f>Risk_Compensation!$N68</f>
        <v>0</v>
      </c>
    </row>
    <row r="3863" spans="1:8" x14ac:dyDescent="0.2">
      <c r="A3863" s="1027"/>
      <c r="B3863" s="1083">
        <f>Risk_Compensation!A$1</f>
        <v>36</v>
      </c>
      <c r="C3863" s="1390" t="str">
        <f>Risk_Compensation!$B$1</f>
        <v xml:space="preserve">Risikoausgleich </v>
      </c>
      <c r="D3863" s="2205" t="s">
        <v>2572</v>
      </c>
      <c r="E3863" s="1390">
        <f>Risk_Compensation!$G69</f>
        <v>52</v>
      </c>
      <c r="F3863" s="1390" t="str">
        <f>Risk_Compensation!$N$17</f>
        <v>FR</v>
      </c>
      <c r="G3863" s="1390"/>
      <c r="H3863" s="1077">
        <f>Risk_Compensation!$N69</f>
        <v>0</v>
      </c>
    </row>
    <row r="3864" spans="1:8" x14ac:dyDescent="0.2">
      <c r="A3864" s="1027"/>
      <c r="B3864" s="1083">
        <f>Risk_Compensation!A$1</f>
        <v>36</v>
      </c>
      <c r="C3864" s="1390" t="str">
        <f>Risk_Compensation!$B$1</f>
        <v xml:space="preserve">Risikoausgleich </v>
      </c>
      <c r="D3864" s="2205" t="s">
        <v>2572</v>
      </c>
      <c r="E3864" s="1390">
        <f>Risk_Compensation!$G70</f>
        <v>53</v>
      </c>
      <c r="F3864" s="1390" t="str">
        <f>Risk_Compensation!$N$17</f>
        <v>FR</v>
      </c>
      <c r="G3864" s="1390"/>
      <c r="H3864" s="1077">
        <f>Risk_Compensation!$N70</f>
        <v>0</v>
      </c>
    </row>
    <row r="3865" spans="1:8" x14ac:dyDescent="0.2">
      <c r="A3865" s="1027"/>
      <c r="B3865" s="1083">
        <f>Risk_Compensation!A$1</f>
        <v>36</v>
      </c>
      <c r="C3865" s="1390" t="str">
        <f>Risk_Compensation!$B$1</f>
        <v xml:space="preserve">Risikoausgleich </v>
      </c>
      <c r="D3865" s="2205" t="s">
        <v>2572</v>
      </c>
      <c r="E3865" s="1390">
        <f>Risk_Compensation!$G71</f>
        <v>54</v>
      </c>
      <c r="F3865" s="1390" t="str">
        <f>Risk_Compensation!$N$17</f>
        <v>FR</v>
      </c>
      <c r="G3865" s="1390"/>
      <c r="H3865" s="1077">
        <f>Risk_Compensation!$N71</f>
        <v>0</v>
      </c>
    </row>
    <row r="3866" spans="1:8" x14ac:dyDescent="0.2">
      <c r="A3866" s="1027"/>
      <c r="B3866" s="1083">
        <f>Risk_Compensation!A$1</f>
        <v>36</v>
      </c>
      <c r="C3866" s="1390" t="str">
        <f>Risk_Compensation!$B$1</f>
        <v xml:space="preserve">Risikoausgleich </v>
      </c>
      <c r="D3866" s="2205" t="s">
        <v>2572</v>
      </c>
      <c r="E3866" s="1390">
        <f>Risk_Compensation!$G72</f>
        <v>55</v>
      </c>
      <c r="F3866" s="1390" t="str">
        <f>Risk_Compensation!$N$17</f>
        <v>FR</v>
      </c>
      <c r="G3866" s="1390"/>
      <c r="H3866" s="1077">
        <f>Risk_Compensation!$N72</f>
        <v>0</v>
      </c>
    </row>
    <row r="3867" spans="1:8" x14ac:dyDescent="0.2">
      <c r="A3867" s="1027"/>
      <c r="B3867" s="1083">
        <f>Risk_Compensation!A$1</f>
        <v>36</v>
      </c>
      <c r="C3867" s="1390" t="str">
        <f>Risk_Compensation!$B$1</f>
        <v xml:space="preserve">Risikoausgleich </v>
      </c>
      <c r="D3867" s="2205" t="s">
        <v>2572</v>
      </c>
      <c r="E3867" s="1390">
        <f>Risk_Compensation!$G73</f>
        <v>56</v>
      </c>
      <c r="F3867" s="1390" t="str">
        <f>Risk_Compensation!$N$17</f>
        <v>FR</v>
      </c>
      <c r="G3867" s="1390"/>
      <c r="H3867" s="1077">
        <f>Risk_Compensation!$N73</f>
        <v>0</v>
      </c>
    </row>
    <row r="3868" spans="1:8" x14ac:dyDescent="0.2">
      <c r="A3868" s="1027"/>
      <c r="B3868" s="1083">
        <f>Risk_Compensation!A$1</f>
        <v>36</v>
      </c>
      <c r="C3868" s="1390" t="str">
        <f>Risk_Compensation!$B$1</f>
        <v xml:space="preserve">Risikoausgleich </v>
      </c>
      <c r="D3868" s="2205" t="s">
        <v>2572</v>
      </c>
      <c r="E3868" s="1390">
        <f>Risk_Compensation!$G74</f>
        <v>57</v>
      </c>
      <c r="F3868" s="1390" t="str">
        <f>Risk_Compensation!$N$17</f>
        <v>FR</v>
      </c>
      <c r="G3868" s="1390"/>
      <c r="H3868" s="1077">
        <f>Risk_Compensation!$N74</f>
        <v>0</v>
      </c>
    </row>
    <row r="3869" spans="1:8" x14ac:dyDescent="0.2">
      <c r="A3869" s="1027"/>
      <c r="B3869" s="1083">
        <f>Risk_Compensation!A$1</f>
        <v>36</v>
      </c>
      <c r="C3869" s="1390" t="str">
        <f>Risk_Compensation!$B$1</f>
        <v xml:space="preserve">Risikoausgleich </v>
      </c>
      <c r="D3869" s="2205" t="s">
        <v>2572</v>
      </c>
      <c r="E3869" s="1390">
        <f>Risk_Compensation!$G75</f>
        <v>58</v>
      </c>
      <c r="F3869" s="1390" t="str">
        <f>Risk_Compensation!$N$17</f>
        <v>FR</v>
      </c>
      <c r="G3869" s="1390"/>
      <c r="H3869" s="1077">
        <f>Risk_Compensation!$N75</f>
        <v>0</v>
      </c>
    </row>
    <row r="3870" spans="1:8" x14ac:dyDescent="0.2">
      <c r="A3870" s="1027"/>
      <c r="B3870" s="1083">
        <f>Risk_Compensation!A$1</f>
        <v>36</v>
      </c>
      <c r="C3870" s="1390" t="str">
        <f>Risk_Compensation!$B$1</f>
        <v xml:space="preserve">Risikoausgleich </v>
      </c>
      <c r="D3870" s="2205" t="s">
        <v>2572</v>
      </c>
      <c r="E3870" s="1390">
        <f>Risk_Compensation!$G76</f>
        <v>59</v>
      </c>
      <c r="F3870" s="1390" t="str">
        <f>Risk_Compensation!$N$17</f>
        <v>FR</v>
      </c>
      <c r="G3870" s="1390"/>
      <c r="H3870" s="1077">
        <f>Risk_Compensation!$N76</f>
        <v>0</v>
      </c>
    </row>
    <row r="3871" spans="1:8" x14ac:dyDescent="0.2">
      <c r="A3871" s="1027"/>
      <c r="B3871" s="1083">
        <f>Risk_Compensation!A$1</f>
        <v>36</v>
      </c>
      <c r="C3871" s="1390" t="str">
        <f>Risk_Compensation!$B$1</f>
        <v xml:space="preserve">Risikoausgleich </v>
      </c>
      <c r="D3871" s="2205" t="s">
        <v>2572</v>
      </c>
      <c r="E3871" s="1390">
        <f>Risk_Compensation!$G77</f>
        <v>60</v>
      </c>
      <c r="F3871" s="1390" t="str">
        <f>Risk_Compensation!$N$17</f>
        <v>FR</v>
      </c>
      <c r="G3871" s="1390"/>
      <c r="H3871" s="1077">
        <f>Risk_Compensation!$N77</f>
        <v>0</v>
      </c>
    </row>
    <row r="3872" spans="1:8" x14ac:dyDescent="0.2">
      <c r="A3872" s="1027"/>
      <c r="B3872" s="2174"/>
      <c r="C3872" s="1390"/>
      <c r="D3872" s="2175"/>
      <c r="E3872" s="2176"/>
      <c r="F3872" s="1390"/>
      <c r="G3872" s="1390"/>
      <c r="H3872" s="1078"/>
    </row>
    <row r="3873" spans="1:8" x14ac:dyDescent="0.2">
      <c r="A3873" s="1027"/>
      <c r="B3873" s="1083">
        <f>Risk_Compensation!A$1</f>
        <v>36</v>
      </c>
      <c r="C3873" s="1390" t="str">
        <f>Risk_Compensation!$B$1</f>
        <v xml:space="preserve">Risikoausgleich </v>
      </c>
      <c r="D3873" s="2205" t="s">
        <v>2572</v>
      </c>
      <c r="E3873" s="1390">
        <f>Risk_Compensation!$G18</f>
        <v>1</v>
      </c>
      <c r="F3873" s="1390" t="str">
        <f>Risk_Compensation!$O$17</f>
        <v>GE</v>
      </c>
      <c r="G3873" s="1390"/>
      <c r="H3873" s="1077">
        <f>Risk_Compensation!$O18</f>
        <v>0</v>
      </c>
    </row>
    <row r="3874" spans="1:8" x14ac:dyDescent="0.2">
      <c r="A3874" s="1027"/>
      <c r="B3874" s="1083">
        <f>Risk_Compensation!A$1</f>
        <v>36</v>
      </c>
      <c r="C3874" s="1390" t="str">
        <f>Risk_Compensation!$B$1</f>
        <v xml:space="preserve">Risikoausgleich </v>
      </c>
      <c r="D3874" s="2205" t="s">
        <v>2572</v>
      </c>
      <c r="E3874" s="1390">
        <f>Risk_Compensation!$G19</f>
        <v>2</v>
      </c>
      <c r="F3874" s="1390" t="str">
        <f>Risk_Compensation!$O$17</f>
        <v>GE</v>
      </c>
      <c r="G3874" s="1390"/>
      <c r="H3874" s="1077">
        <f>Risk_Compensation!$O19</f>
        <v>0</v>
      </c>
    </row>
    <row r="3875" spans="1:8" x14ac:dyDescent="0.2">
      <c r="A3875" s="1027"/>
      <c r="B3875" s="1083">
        <f>Risk_Compensation!A$1</f>
        <v>36</v>
      </c>
      <c r="C3875" s="1390" t="str">
        <f>Risk_Compensation!$B$1</f>
        <v xml:space="preserve">Risikoausgleich </v>
      </c>
      <c r="D3875" s="2205" t="s">
        <v>2572</v>
      </c>
      <c r="E3875" s="1390">
        <f>Risk_Compensation!$G20</f>
        <v>3</v>
      </c>
      <c r="F3875" s="1390" t="str">
        <f>Risk_Compensation!$O$17</f>
        <v>GE</v>
      </c>
      <c r="G3875" s="1390"/>
      <c r="H3875" s="1077">
        <f>Risk_Compensation!$O20</f>
        <v>0</v>
      </c>
    </row>
    <row r="3876" spans="1:8" x14ac:dyDescent="0.2">
      <c r="A3876" s="1027"/>
      <c r="B3876" s="1083">
        <f>Risk_Compensation!A$1</f>
        <v>36</v>
      </c>
      <c r="C3876" s="1390" t="str">
        <f>Risk_Compensation!$B$1</f>
        <v xml:space="preserve">Risikoausgleich </v>
      </c>
      <c r="D3876" s="2205" t="s">
        <v>2572</v>
      </c>
      <c r="E3876" s="1390">
        <f>Risk_Compensation!$G21</f>
        <v>4</v>
      </c>
      <c r="F3876" s="1390" t="str">
        <f>Risk_Compensation!$O$17</f>
        <v>GE</v>
      </c>
      <c r="G3876" s="1390"/>
      <c r="H3876" s="1077">
        <f>Risk_Compensation!$O21</f>
        <v>0</v>
      </c>
    </row>
    <row r="3877" spans="1:8" x14ac:dyDescent="0.2">
      <c r="A3877" s="1027"/>
      <c r="B3877" s="1083">
        <f>Risk_Compensation!A$1</f>
        <v>36</v>
      </c>
      <c r="C3877" s="1390" t="str">
        <f>Risk_Compensation!$B$1</f>
        <v xml:space="preserve">Risikoausgleich </v>
      </c>
      <c r="D3877" s="2205" t="s">
        <v>2572</v>
      </c>
      <c r="E3877" s="1390">
        <f>Risk_Compensation!$G22</f>
        <v>5</v>
      </c>
      <c r="F3877" s="1390" t="str">
        <f>Risk_Compensation!$O$17</f>
        <v>GE</v>
      </c>
      <c r="G3877" s="1390"/>
      <c r="H3877" s="1077">
        <f>Risk_Compensation!$O22</f>
        <v>0</v>
      </c>
    </row>
    <row r="3878" spans="1:8" x14ac:dyDescent="0.2">
      <c r="A3878" s="1027"/>
      <c r="B3878" s="1083">
        <f>Risk_Compensation!A$1</f>
        <v>36</v>
      </c>
      <c r="C3878" s="1390" t="str">
        <f>Risk_Compensation!$B$1</f>
        <v xml:space="preserve">Risikoausgleich </v>
      </c>
      <c r="D3878" s="2205" t="s">
        <v>2572</v>
      </c>
      <c r="E3878" s="1390">
        <f>Risk_Compensation!$G23</f>
        <v>6</v>
      </c>
      <c r="F3878" s="1390" t="str">
        <f>Risk_Compensation!$O$17</f>
        <v>GE</v>
      </c>
      <c r="G3878" s="1390"/>
      <c r="H3878" s="1077">
        <f>Risk_Compensation!$O23</f>
        <v>0</v>
      </c>
    </row>
    <row r="3879" spans="1:8" x14ac:dyDescent="0.2">
      <c r="A3879" s="1027"/>
      <c r="B3879" s="1083">
        <f>Risk_Compensation!A$1</f>
        <v>36</v>
      </c>
      <c r="C3879" s="1390" t="str">
        <f>Risk_Compensation!$B$1</f>
        <v xml:space="preserve">Risikoausgleich </v>
      </c>
      <c r="D3879" s="2205" t="s">
        <v>2572</v>
      </c>
      <c r="E3879" s="1390">
        <f>Risk_Compensation!$G24</f>
        <v>7</v>
      </c>
      <c r="F3879" s="1390" t="str">
        <f>Risk_Compensation!$O$17</f>
        <v>GE</v>
      </c>
      <c r="G3879" s="1390"/>
      <c r="H3879" s="1077">
        <f>Risk_Compensation!$O24</f>
        <v>0</v>
      </c>
    </row>
    <row r="3880" spans="1:8" x14ac:dyDescent="0.2">
      <c r="A3880" s="1027"/>
      <c r="B3880" s="1083">
        <f>Risk_Compensation!A$1</f>
        <v>36</v>
      </c>
      <c r="C3880" s="1390" t="str">
        <f>Risk_Compensation!$B$1</f>
        <v xml:space="preserve">Risikoausgleich </v>
      </c>
      <c r="D3880" s="2205" t="s">
        <v>2572</v>
      </c>
      <c r="E3880" s="1390">
        <f>Risk_Compensation!$G25</f>
        <v>8</v>
      </c>
      <c r="F3880" s="1390" t="str">
        <f>Risk_Compensation!$O$17</f>
        <v>GE</v>
      </c>
      <c r="G3880" s="1390"/>
      <c r="H3880" s="1077">
        <f>Risk_Compensation!$O25</f>
        <v>0</v>
      </c>
    </row>
    <row r="3881" spans="1:8" x14ac:dyDescent="0.2">
      <c r="A3881" s="1027"/>
      <c r="B3881" s="1083">
        <f>Risk_Compensation!A$1</f>
        <v>36</v>
      </c>
      <c r="C3881" s="1390" t="str">
        <f>Risk_Compensation!$B$1</f>
        <v xml:space="preserve">Risikoausgleich </v>
      </c>
      <c r="D3881" s="2205" t="s">
        <v>2572</v>
      </c>
      <c r="E3881" s="1390">
        <f>Risk_Compensation!$G26</f>
        <v>9</v>
      </c>
      <c r="F3881" s="1390" t="str">
        <f>Risk_Compensation!$O$17</f>
        <v>GE</v>
      </c>
      <c r="G3881" s="1390"/>
      <c r="H3881" s="1077">
        <f>Risk_Compensation!$O26</f>
        <v>0</v>
      </c>
    </row>
    <row r="3882" spans="1:8" x14ac:dyDescent="0.2">
      <c r="A3882" s="1027"/>
      <c r="B3882" s="1083">
        <f>Risk_Compensation!A$1</f>
        <v>36</v>
      </c>
      <c r="C3882" s="1390" t="str">
        <f>Risk_Compensation!$B$1</f>
        <v xml:space="preserve">Risikoausgleich </v>
      </c>
      <c r="D3882" s="2205" t="s">
        <v>2572</v>
      </c>
      <c r="E3882" s="1390">
        <f>Risk_Compensation!$G27</f>
        <v>10</v>
      </c>
      <c r="F3882" s="1390" t="str">
        <f>Risk_Compensation!$O$17</f>
        <v>GE</v>
      </c>
      <c r="G3882" s="1390"/>
      <c r="H3882" s="1077">
        <f>Risk_Compensation!$O27</f>
        <v>0</v>
      </c>
    </row>
    <row r="3883" spans="1:8" x14ac:dyDescent="0.2">
      <c r="A3883" s="1027"/>
      <c r="B3883" s="1083">
        <f>Risk_Compensation!A$1</f>
        <v>36</v>
      </c>
      <c r="C3883" s="1390" t="str">
        <f>Risk_Compensation!$B$1</f>
        <v xml:space="preserve">Risikoausgleich </v>
      </c>
      <c r="D3883" s="2205" t="s">
        <v>2572</v>
      </c>
      <c r="E3883" s="1390">
        <f>Risk_Compensation!$G28</f>
        <v>11</v>
      </c>
      <c r="F3883" s="1390" t="str">
        <f>Risk_Compensation!$O$17</f>
        <v>GE</v>
      </c>
      <c r="G3883" s="1390"/>
      <c r="H3883" s="1077">
        <f>Risk_Compensation!$O28</f>
        <v>0</v>
      </c>
    </row>
    <row r="3884" spans="1:8" x14ac:dyDescent="0.2">
      <c r="A3884" s="1027"/>
      <c r="B3884" s="1083">
        <f>Risk_Compensation!A$1</f>
        <v>36</v>
      </c>
      <c r="C3884" s="1390" t="str">
        <f>Risk_Compensation!$B$1</f>
        <v xml:space="preserve">Risikoausgleich </v>
      </c>
      <c r="D3884" s="2205" t="s">
        <v>2572</v>
      </c>
      <c r="E3884" s="1390">
        <f>Risk_Compensation!$G29</f>
        <v>12</v>
      </c>
      <c r="F3884" s="1390" t="str">
        <f>Risk_Compensation!$O$17</f>
        <v>GE</v>
      </c>
      <c r="G3884" s="1390"/>
      <c r="H3884" s="1077">
        <f>Risk_Compensation!$O29</f>
        <v>0</v>
      </c>
    </row>
    <row r="3885" spans="1:8" x14ac:dyDescent="0.2">
      <c r="A3885" s="1027"/>
      <c r="B3885" s="1083">
        <f>Risk_Compensation!A$1</f>
        <v>36</v>
      </c>
      <c r="C3885" s="1390" t="str">
        <f>Risk_Compensation!$B$1</f>
        <v xml:space="preserve">Risikoausgleich </v>
      </c>
      <c r="D3885" s="2205" t="s">
        <v>2572</v>
      </c>
      <c r="E3885" s="1390">
        <f>Risk_Compensation!$G30</f>
        <v>13</v>
      </c>
      <c r="F3885" s="1390" t="str">
        <f>Risk_Compensation!$O$17</f>
        <v>GE</v>
      </c>
      <c r="G3885" s="1390"/>
      <c r="H3885" s="1077">
        <f>Risk_Compensation!$O30</f>
        <v>0</v>
      </c>
    </row>
    <row r="3886" spans="1:8" x14ac:dyDescent="0.2">
      <c r="A3886" s="1027"/>
      <c r="B3886" s="1083">
        <f>Risk_Compensation!A$1</f>
        <v>36</v>
      </c>
      <c r="C3886" s="1390" t="str">
        <f>Risk_Compensation!$B$1</f>
        <v xml:space="preserve">Risikoausgleich </v>
      </c>
      <c r="D3886" s="2205" t="s">
        <v>2572</v>
      </c>
      <c r="E3886" s="1390">
        <f>Risk_Compensation!$G31</f>
        <v>14</v>
      </c>
      <c r="F3886" s="1390" t="str">
        <f>Risk_Compensation!$O$17</f>
        <v>GE</v>
      </c>
      <c r="G3886" s="1390"/>
      <c r="H3886" s="1077">
        <f>Risk_Compensation!$O31</f>
        <v>0</v>
      </c>
    </row>
    <row r="3887" spans="1:8" x14ac:dyDescent="0.2">
      <c r="A3887" s="1027"/>
      <c r="B3887" s="1083">
        <f>Risk_Compensation!A$1</f>
        <v>36</v>
      </c>
      <c r="C3887" s="1390" t="str">
        <f>Risk_Compensation!$B$1</f>
        <v xml:space="preserve">Risikoausgleich </v>
      </c>
      <c r="D3887" s="2205" t="s">
        <v>2572</v>
      </c>
      <c r="E3887" s="1390">
        <f>Risk_Compensation!$G32</f>
        <v>15</v>
      </c>
      <c r="F3887" s="1390" t="str">
        <f>Risk_Compensation!$O$17</f>
        <v>GE</v>
      </c>
      <c r="G3887" s="1390"/>
      <c r="H3887" s="1077">
        <f>Risk_Compensation!$O32</f>
        <v>0</v>
      </c>
    </row>
    <row r="3888" spans="1:8" x14ac:dyDescent="0.2">
      <c r="A3888" s="1027"/>
      <c r="B3888" s="1083">
        <f>Risk_Compensation!A$1</f>
        <v>36</v>
      </c>
      <c r="C3888" s="1390" t="str">
        <f>Risk_Compensation!$B$1</f>
        <v xml:space="preserve">Risikoausgleich </v>
      </c>
      <c r="D3888" s="2205" t="s">
        <v>2572</v>
      </c>
      <c r="E3888" s="1390">
        <f>Risk_Compensation!$G33</f>
        <v>16</v>
      </c>
      <c r="F3888" s="1390" t="str">
        <f>Risk_Compensation!$O$17</f>
        <v>GE</v>
      </c>
      <c r="G3888" s="1390"/>
      <c r="H3888" s="1077">
        <f>Risk_Compensation!$O33</f>
        <v>0</v>
      </c>
    </row>
    <row r="3889" spans="1:8" x14ac:dyDescent="0.2">
      <c r="A3889" s="1027"/>
      <c r="B3889" s="1083">
        <f>Risk_Compensation!A$1</f>
        <v>36</v>
      </c>
      <c r="C3889" s="1390" t="str">
        <f>Risk_Compensation!$B$1</f>
        <v xml:space="preserve">Risikoausgleich </v>
      </c>
      <c r="D3889" s="2205" t="s">
        <v>2572</v>
      </c>
      <c r="E3889" s="1390">
        <f>Risk_Compensation!$G34</f>
        <v>17</v>
      </c>
      <c r="F3889" s="1390" t="str">
        <f>Risk_Compensation!$O$17</f>
        <v>GE</v>
      </c>
      <c r="G3889" s="1390"/>
      <c r="H3889" s="1077">
        <f>Risk_Compensation!$O34</f>
        <v>0</v>
      </c>
    </row>
    <row r="3890" spans="1:8" x14ac:dyDescent="0.2">
      <c r="A3890" s="1027"/>
      <c r="B3890" s="1083">
        <f>Risk_Compensation!A$1</f>
        <v>36</v>
      </c>
      <c r="C3890" s="1390" t="str">
        <f>Risk_Compensation!$B$1</f>
        <v xml:space="preserve">Risikoausgleich </v>
      </c>
      <c r="D3890" s="2205" t="s">
        <v>2572</v>
      </c>
      <c r="E3890" s="1390">
        <f>Risk_Compensation!$G35</f>
        <v>18</v>
      </c>
      <c r="F3890" s="1390" t="str">
        <f>Risk_Compensation!$O$17</f>
        <v>GE</v>
      </c>
      <c r="G3890" s="1390"/>
      <c r="H3890" s="1077">
        <f>Risk_Compensation!$O35</f>
        <v>0</v>
      </c>
    </row>
    <row r="3891" spans="1:8" x14ac:dyDescent="0.2">
      <c r="A3891" s="1027"/>
      <c r="B3891" s="1083">
        <f>Risk_Compensation!A$1</f>
        <v>36</v>
      </c>
      <c r="C3891" s="1390" t="str">
        <f>Risk_Compensation!$B$1</f>
        <v xml:space="preserve">Risikoausgleich </v>
      </c>
      <c r="D3891" s="2205" t="s">
        <v>2572</v>
      </c>
      <c r="E3891" s="1390">
        <f>Risk_Compensation!$G36</f>
        <v>19</v>
      </c>
      <c r="F3891" s="1390" t="str">
        <f>Risk_Compensation!$O$17</f>
        <v>GE</v>
      </c>
      <c r="G3891" s="1390"/>
      <c r="H3891" s="1077">
        <f>Risk_Compensation!$O36</f>
        <v>0</v>
      </c>
    </row>
    <row r="3892" spans="1:8" x14ac:dyDescent="0.2">
      <c r="A3892" s="1027"/>
      <c r="B3892" s="1083">
        <f>Risk_Compensation!A$1</f>
        <v>36</v>
      </c>
      <c r="C3892" s="1390" t="str">
        <f>Risk_Compensation!$B$1</f>
        <v xml:space="preserve">Risikoausgleich </v>
      </c>
      <c r="D3892" s="2205" t="s">
        <v>2572</v>
      </c>
      <c r="E3892" s="1390">
        <f>Risk_Compensation!$G37</f>
        <v>20</v>
      </c>
      <c r="F3892" s="1390" t="str">
        <f>Risk_Compensation!$O$17</f>
        <v>GE</v>
      </c>
      <c r="G3892" s="1390"/>
      <c r="H3892" s="1077">
        <f>Risk_Compensation!$O37</f>
        <v>0</v>
      </c>
    </row>
    <row r="3893" spans="1:8" x14ac:dyDescent="0.2">
      <c r="A3893" s="1027"/>
      <c r="B3893" s="1083">
        <f>Risk_Compensation!A$1</f>
        <v>36</v>
      </c>
      <c r="C3893" s="1390" t="str">
        <f>Risk_Compensation!$B$1</f>
        <v xml:space="preserve">Risikoausgleich </v>
      </c>
      <c r="D3893" s="2205" t="s">
        <v>2572</v>
      </c>
      <c r="E3893" s="1390">
        <f>Risk_Compensation!$G38</f>
        <v>21</v>
      </c>
      <c r="F3893" s="1390" t="str">
        <f>Risk_Compensation!$O$17</f>
        <v>GE</v>
      </c>
      <c r="G3893" s="1390"/>
      <c r="H3893" s="1077">
        <f>Risk_Compensation!$O38</f>
        <v>0</v>
      </c>
    </row>
    <row r="3894" spans="1:8" x14ac:dyDescent="0.2">
      <c r="A3894" s="1027"/>
      <c r="B3894" s="1083">
        <f>Risk_Compensation!A$1</f>
        <v>36</v>
      </c>
      <c r="C3894" s="1390" t="str">
        <f>Risk_Compensation!$B$1</f>
        <v xml:space="preserve">Risikoausgleich </v>
      </c>
      <c r="D3894" s="2205" t="s">
        <v>2572</v>
      </c>
      <c r="E3894" s="1390">
        <f>Risk_Compensation!$G39</f>
        <v>22</v>
      </c>
      <c r="F3894" s="1390" t="str">
        <f>Risk_Compensation!$O$17</f>
        <v>GE</v>
      </c>
      <c r="G3894" s="1390"/>
      <c r="H3894" s="1077">
        <f>Risk_Compensation!$O39</f>
        <v>0</v>
      </c>
    </row>
    <row r="3895" spans="1:8" x14ac:dyDescent="0.2">
      <c r="A3895" s="1027"/>
      <c r="B3895" s="1083">
        <f>Risk_Compensation!A$1</f>
        <v>36</v>
      </c>
      <c r="C3895" s="1390" t="str">
        <f>Risk_Compensation!$B$1</f>
        <v xml:space="preserve">Risikoausgleich </v>
      </c>
      <c r="D3895" s="2205" t="s">
        <v>2572</v>
      </c>
      <c r="E3895" s="1390">
        <f>Risk_Compensation!$G40</f>
        <v>23</v>
      </c>
      <c r="F3895" s="1390" t="str">
        <f>Risk_Compensation!$O$17</f>
        <v>GE</v>
      </c>
      <c r="G3895" s="1390"/>
      <c r="H3895" s="1077">
        <f>Risk_Compensation!$O40</f>
        <v>0</v>
      </c>
    </row>
    <row r="3896" spans="1:8" x14ac:dyDescent="0.2">
      <c r="A3896" s="1027"/>
      <c r="B3896" s="1083">
        <f>Risk_Compensation!A$1</f>
        <v>36</v>
      </c>
      <c r="C3896" s="1390" t="str">
        <f>Risk_Compensation!$B$1</f>
        <v xml:space="preserve">Risikoausgleich </v>
      </c>
      <c r="D3896" s="2205" t="s">
        <v>2572</v>
      </c>
      <c r="E3896" s="1390">
        <f>Risk_Compensation!$G41</f>
        <v>24</v>
      </c>
      <c r="F3896" s="1390" t="str">
        <f>Risk_Compensation!$O$17</f>
        <v>GE</v>
      </c>
      <c r="G3896" s="1390"/>
      <c r="H3896" s="1077">
        <f>Risk_Compensation!$O41</f>
        <v>0</v>
      </c>
    </row>
    <row r="3897" spans="1:8" x14ac:dyDescent="0.2">
      <c r="A3897" s="1027"/>
      <c r="B3897" s="1083">
        <f>Risk_Compensation!A$1</f>
        <v>36</v>
      </c>
      <c r="C3897" s="1390" t="str">
        <f>Risk_Compensation!$B$1</f>
        <v xml:space="preserve">Risikoausgleich </v>
      </c>
      <c r="D3897" s="2205" t="s">
        <v>2572</v>
      </c>
      <c r="E3897" s="1390">
        <f>Risk_Compensation!$G42</f>
        <v>25</v>
      </c>
      <c r="F3897" s="1390" t="str">
        <f>Risk_Compensation!$O$17</f>
        <v>GE</v>
      </c>
      <c r="G3897" s="1390"/>
      <c r="H3897" s="1077">
        <f>Risk_Compensation!$O42</f>
        <v>0</v>
      </c>
    </row>
    <row r="3898" spans="1:8" x14ac:dyDescent="0.2">
      <c r="A3898" s="1027"/>
      <c r="B3898" s="1083">
        <f>Risk_Compensation!A$1</f>
        <v>36</v>
      </c>
      <c r="C3898" s="1390" t="str">
        <f>Risk_Compensation!$B$1</f>
        <v xml:space="preserve">Risikoausgleich </v>
      </c>
      <c r="D3898" s="2205" t="s">
        <v>2572</v>
      </c>
      <c r="E3898" s="1390">
        <f>Risk_Compensation!$G43</f>
        <v>26</v>
      </c>
      <c r="F3898" s="1390" t="str">
        <f>Risk_Compensation!$O$17</f>
        <v>GE</v>
      </c>
      <c r="G3898" s="1390"/>
      <c r="H3898" s="1077">
        <f>Risk_Compensation!$O43</f>
        <v>0</v>
      </c>
    </row>
    <row r="3899" spans="1:8" x14ac:dyDescent="0.2">
      <c r="A3899" s="1027"/>
      <c r="B3899" s="1083">
        <f>Risk_Compensation!A$1</f>
        <v>36</v>
      </c>
      <c r="C3899" s="1390" t="str">
        <f>Risk_Compensation!$B$1</f>
        <v xml:space="preserve">Risikoausgleich </v>
      </c>
      <c r="D3899" s="2205" t="s">
        <v>2572</v>
      </c>
      <c r="E3899" s="1390">
        <f>Risk_Compensation!$G44</f>
        <v>27</v>
      </c>
      <c r="F3899" s="1390" t="str">
        <f>Risk_Compensation!$O$17</f>
        <v>GE</v>
      </c>
      <c r="G3899" s="1390"/>
      <c r="H3899" s="1077">
        <f>Risk_Compensation!$O44</f>
        <v>0</v>
      </c>
    </row>
    <row r="3900" spans="1:8" x14ac:dyDescent="0.2">
      <c r="A3900" s="1027"/>
      <c r="B3900" s="1083">
        <f>Risk_Compensation!A$1</f>
        <v>36</v>
      </c>
      <c r="C3900" s="1390" t="str">
        <f>Risk_Compensation!$B$1</f>
        <v xml:space="preserve">Risikoausgleich </v>
      </c>
      <c r="D3900" s="2205" t="s">
        <v>2572</v>
      </c>
      <c r="E3900" s="1390">
        <f>Risk_Compensation!$G45</f>
        <v>28</v>
      </c>
      <c r="F3900" s="1390" t="str">
        <f>Risk_Compensation!$O$17</f>
        <v>GE</v>
      </c>
      <c r="G3900" s="1390"/>
      <c r="H3900" s="1077">
        <f>Risk_Compensation!$O45</f>
        <v>0</v>
      </c>
    </row>
    <row r="3901" spans="1:8" x14ac:dyDescent="0.2">
      <c r="A3901" s="1027"/>
      <c r="B3901" s="1083">
        <f>Risk_Compensation!A$1</f>
        <v>36</v>
      </c>
      <c r="C3901" s="1390" t="str">
        <f>Risk_Compensation!$B$1</f>
        <v xml:space="preserve">Risikoausgleich </v>
      </c>
      <c r="D3901" s="2205" t="s">
        <v>2572</v>
      </c>
      <c r="E3901" s="1390">
        <f>Risk_Compensation!$G46</f>
        <v>29</v>
      </c>
      <c r="F3901" s="1390" t="str">
        <f>Risk_Compensation!$O$17</f>
        <v>GE</v>
      </c>
      <c r="G3901" s="1390"/>
      <c r="H3901" s="1077">
        <f>Risk_Compensation!$O46</f>
        <v>0</v>
      </c>
    </row>
    <row r="3902" spans="1:8" x14ac:dyDescent="0.2">
      <c r="A3902" s="1027"/>
      <c r="B3902" s="1083">
        <f>Risk_Compensation!A$1</f>
        <v>36</v>
      </c>
      <c r="C3902" s="1390" t="str">
        <f>Risk_Compensation!$B$1</f>
        <v xml:space="preserve">Risikoausgleich </v>
      </c>
      <c r="D3902" s="2205" t="s">
        <v>2572</v>
      </c>
      <c r="E3902" s="1390">
        <f>Risk_Compensation!$G47</f>
        <v>30</v>
      </c>
      <c r="F3902" s="1390" t="str">
        <f>Risk_Compensation!$O$17</f>
        <v>GE</v>
      </c>
      <c r="G3902" s="1390"/>
      <c r="H3902" s="1077">
        <f>Risk_Compensation!$O47</f>
        <v>0</v>
      </c>
    </row>
    <row r="3903" spans="1:8" x14ac:dyDescent="0.2">
      <c r="A3903" s="1027"/>
      <c r="B3903" s="1083">
        <f>Risk_Compensation!A$1</f>
        <v>36</v>
      </c>
      <c r="C3903" s="1390" t="str">
        <f>Risk_Compensation!$B$1</f>
        <v xml:space="preserve">Risikoausgleich </v>
      </c>
      <c r="D3903" s="2205" t="s">
        <v>2572</v>
      </c>
      <c r="E3903" s="1390">
        <f>Risk_Compensation!$G48</f>
        <v>31</v>
      </c>
      <c r="F3903" s="1390" t="str">
        <f>Risk_Compensation!$O$17</f>
        <v>GE</v>
      </c>
      <c r="G3903" s="1390"/>
      <c r="H3903" s="1077">
        <f>Risk_Compensation!$O48</f>
        <v>0</v>
      </c>
    </row>
    <row r="3904" spans="1:8" x14ac:dyDescent="0.2">
      <c r="A3904" s="1027"/>
      <c r="B3904" s="1083">
        <f>Risk_Compensation!A$1</f>
        <v>36</v>
      </c>
      <c r="C3904" s="1390" t="str">
        <f>Risk_Compensation!$B$1</f>
        <v xml:space="preserve">Risikoausgleich </v>
      </c>
      <c r="D3904" s="2205" t="s">
        <v>2572</v>
      </c>
      <c r="E3904" s="1390">
        <f>Risk_Compensation!$G49</f>
        <v>32</v>
      </c>
      <c r="F3904" s="1390" t="str">
        <f>Risk_Compensation!$O$17</f>
        <v>GE</v>
      </c>
      <c r="G3904" s="1390"/>
      <c r="H3904" s="1077">
        <f>Risk_Compensation!$O49</f>
        <v>0</v>
      </c>
    </row>
    <row r="3905" spans="1:8" x14ac:dyDescent="0.2">
      <c r="A3905" s="1027"/>
      <c r="B3905" s="1083">
        <f>Risk_Compensation!A$1</f>
        <v>36</v>
      </c>
      <c r="C3905" s="1390" t="str">
        <f>Risk_Compensation!$B$1</f>
        <v xml:space="preserve">Risikoausgleich </v>
      </c>
      <c r="D3905" s="2205" t="s">
        <v>2572</v>
      </c>
      <c r="E3905" s="1390">
        <f>Risk_Compensation!$G50</f>
        <v>33</v>
      </c>
      <c r="F3905" s="1390" t="str">
        <f>Risk_Compensation!$O$17</f>
        <v>GE</v>
      </c>
      <c r="G3905" s="1390"/>
      <c r="H3905" s="1077">
        <f>Risk_Compensation!$O50</f>
        <v>0</v>
      </c>
    </row>
    <row r="3906" spans="1:8" x14ac:dyDescent="0.2">
      <c r="A3906" s="1027"/>
      <c r="B3906" s="1083">
        <f>Risk_Compensation!A$1</f>
        <v>36</v>
      </c>
      <c r="C3906" s="1390" t="str">
        <f>Risk_Compensation!$B$1</f>
        <v xml:space="preserve">Risikoausgleich </v>
      </c>
      <c r="D3906" s="2205" t="s">
        <v>2572</v>
      </c>
      <c r="E3906" s="1390">
        <f>Risk_Compensation!$G51</f>
        <v>34</v>
      </c>
      <c r="F3906" s="1390" t="str">
        <f>Risk_Compensation!$O$17</f>
        <v>GE</v>
      </c>
      <c r="G3906" s="1390"/>
      <c r="H3906" s="1077">
        <f>Risk_Compensation!$O51</f>
        <v>0</v>
      </c>
    </row>
    <row r="3907" spans="1:8" x14ac:dyDescent="0.2">
      <c r="A3907" s="1027"/>
      <c r="B3907" s="1083">
        <f>Risk_Compensation!A$1</f>
        <v>36</v>
      </c>
      <c r="C3907" s="1390" t="str">
        <f>Risk_Compensation!$B$1</f>
        <v xml:space="preserve">Risikoausgleich </v>
      </c>
      <c r="D3907" s="2205" t="s">
        <v>2572</v>
      </c>
      <c r="E3907" s="1390">
        <f>Risk_Compensation!$G52</f>
        <v>35</v>
      </c>
      <c r="F3907" s="1390" t="str">
        <f>Risk_Compensation!$O$17</f>
        <v>GE</v>
      </c>
      <c r="G3907" s="1390"/>
      <c r="H3907" s="1077">
        <f>Risk_Compensation!$O52</f>
        <v>0</v>
      </c>
    </row>
    <row r="3908" spans="1:8" x14ac:dyDescent="0.2">
      <c r="A3908" s="1027"/>
      <c r="B3908" s="1083">
        <f>Risk_Compensation!A$1</f>
        <v>36</v>
      </c>
      <c r="C3908" s="1390" t="str">
        <f>Risk_Compensation!$B$1</f>
        <v xml:space="preserve">Risikoausgleich </v>
      </c>
      <c r="D3908" s="2205" t="s">
        <v>2572</v>
      </c>
      <c r="E3908" s="1390">
        <f>Risk_Compensation!$G53</f>
        <v>36</v>
      </c>
      <c r="F3908" s="1390" t="str">
        <f>Risk_Compensation!$O$17</f>
        <v>GE</v>
      </c>
      <c r="G3908" s="1390"/>
      <c r="H3908" s="1077">
        <f>Risk_Compensation!$O53</f>
        <v>0</v>
      </c>
    </row>
    <row r="3909" spans="1:8" x14ac:dyDescent="0.2">
      <c r="A3909" s="1027"/>
      <c r="B3909" s="1083">
        <f>Risk_Compensation!A$1</f>
        <v>36</v>
      </c>
      <c r="C3909" s="1390" t="str">
        <f>Risk_Compensation!$B$1</f>
        <v xml:space="preserve">Risikoausgleich </v>
      </c>
      <c r="D3909" s="2205" t="s">
        <v>2572</v>
      </c>
      <c r="E3909" s="1390">
        <f>Risk_Compensation!$G54</f>
        <v>37</v>
      </c>
      <c r="F3909" s="1390" t="str">
        <f>Risk_Compensation!$O$17</f>
        <v>GE</v>
      </c>
      <c r="G3909" s="1390"/>
      <c r="H3909" s="1077">
        <f>Risk_Compensation!$O54</f>
        <v>0</v>
      </c>
    </row>
    <row r="3910" spans="1:8" x14ac:dyDescent="0.2">
      <c r="A3910" s="1027"/>
      <c r="B3910" s="1083">
        <f>Risk_Compensation!A$1</f>
        <v>36</v>
      </c>
      <c r="C3910" s="1390" t="str">
        <f>Risk_Compensation!$B$1</f>
        <v xml:space="preserve">Risikoausgleich </v>
      </c>
      <c r="D3910" s="2205" t="s">
        <v>2572</v>
      </c>
      <c r="E3910" s="1390">
        <f>Risk_Compensation!$G55</f>
        <v>38</v>
      </c>
      <c r="F3910" s="1390" t="str">
        <f>Risk_Compensation!$O$17</f>
        <v>GE</v>
      </c>
      <c r="G3910" s="1390"/>
      <c r="H3910" s="1077">
        <f>Risk_Compensation!$O55</f>
        <v>0</v>
      </c>
    </row>
    <row r="3911" spans="1:8" x14ac:dyDescent="0.2">
      <c r="A3911" s="1027"/>
      <c r="B3911" s="1083">
        <f>Risk_Compensation!A$1</f>
        <v>36</v>
      </c>
      <c r="C3911" s="1390" t="str">
        <f>Risk_Compensation!$B$1</f>
        <v xml:space="preserve">Risikoausgleich </v>
      </c>
      <c r="D3911" s="2205" t="s">
        <v>2572</v>
      </c>
      <c r="E3911" s="1390">
        <f>Risk_Compensation!$G56</f>
        <v>39</v>
      </c>
      <c r="F3911" s="1390" t="str">
        <f>Risk_Compensation!$O$17</f>
        <v>GE</v>
      </c>
      <c r="G3911" s="1390"/>
      <c r="H3911" s="1077">
        <f>Risk_Compensation!$O56</f>
        <v>0</v>
      </c>
    </row>
    <row r="3912" spans="1:8" x14ac:dyDescent="0.2">
      <c r="A3912" s="1027"/>
      <c r="B3912" s="1083">
        <f>Risk_Compensation!A$1</f>
        <v>36</v>
      </c>
      <c r="C3912" s="1390" t="str">
        <f>Risk_Compensation!$B$1</f>
        <v xml:space="preserve">Risikoausgleich </v>
      </c>
      <c r="D3912" s="2205" t="s">
        <v>2572</v>
      </c>
      <c r="E3912" s="1390">
        <f>Risk_Compensation!$G57</f>
        <v>40</v>
      </c>
      <c r="F3912" s="1390" t="str">
        <f>Risk_Compensation!$O$17</f>
        <v>GE</v>
      </c>
      <c r="G3912" s="1390"/>
      <c r="H3912" s="1077">
        <f>Risk_Compensation!$O57</f>
        <v>0</v>
      </c>
    </row>
    <row r="3913" spans="1:8" x14ac:dyDescent="0.2">
      <c r="A3913" s="1027"/>
      <c r="B3913" s="1083">
        <f>Risk_Compensation!A$1</f>
        <v>36</v>
      </c>
      <c r="C3913" s="1390" t="str">
        <f>Risk_Compensation!$B$1</f>
        <v xml:space="preserve">Risikoausgleich </v>
      </c>
      <c r="D3913" s="2205" t="s">
        <v>2572</v>
      </c>
      <c r="E3913" s="1390">
        <f>Risk_Compensation!$G58</f>
        <v>41</v>
      </c>
      <c r="F3913" s="1390" t="str">
        <f>Risk_Compensation!$O$17</f>
        <v>GE</v>
      </c>
      <c r="G3913" s="1390"/>
      <c r="H3913" s="1077">
        <f>Risk_Compensation!$O58</f>
        <v>0</v>
      </c>
    </row>
    <row r="3914" spans="1:8" x14ac:dyDescent="0.2">
      <c r="A3914" s="1027"/>
      <c r="B3914" s="1083">
        <f>Risk_Compensation!A$1</f>
        <v>36</v>
      </c>
      <c r="C3914" s="1390" t="str">
        <f>Risk_Compensation!$B$1</f>
        <v xml:space="preserve">Risikoausgleich </v>
      </c>
      <c r="D3914" s="2205" t="s">
        <v>2572</v>
      </c>
      <c r="E3914" s="1390">
        <f>Risk_Compensation!$G59</f>
        <v>42</v>
      </c>
      <c r="F3914" s="1390" t="str">
        <f>Risk_Compensation!$O$17</f>
        <v>GE</v>
      </c>
      <c r="G3914" s="1390"/>
      <c r="H3914" s="1077">
        <f>Risk_Compensation!$O59</f>
        <v>0</v>
      </c>
    </row>
    <row r="3915" spans="1:8" x14ac:dyDescent="0.2">
      <c r="A3915" s="1027"/>
      <c r="B3915" s="1083">
        <f>Risk_Compensation!A$1</f>
        <v>36</v>
      </c>
      <c r="C3915" s="1390" t="str">
        <f>Risk_Compensation!$B$1</f>
        <v xml:space="preserve">Risikoausgleich </v>
      </c>
      <c r="D3915" s="2205" t="s">
        <v>2572</v>
      </c>
      <c r="E3915" s="1390">
        <f>Risk_Compensation!$G60</f>
        <v>43</v>
      </c>
      <c r="F3915" s="1390" t="str">
        <f>Risk_Compensation!$O$17</f>
        <v>GE</v>
      </c>
      <c r="G3915" s="1390"/>
      <c r="H3915" s="1077">
        <f>Risk_Compensation!$O60</f>
        <v>0</v>
      </c>
    </row>
    <row r="3916" spans="1:8" x14ac:dyDescent="0.2">
      <c r="A3916" s="1027"/>
      <c r="B3916" s="1083">
        <f>Risk_Compensation!A$1</f>
        <v>36</v>
      </c>
      <c r="C3916" s="1390" t="str">
        <f>Risk_Compensation!$B$1</f>
        <v xml:space="preserve">Risikoausgleich </v>
      </c>
      <c r="D3916" s="2205" t="s">
        <v>2572</v>
      </c>
      <c r="E3916" s="1390">
        <f>Risk_Compensation!$G61</f>
        <v>44</v>
      </c>
      <c r="F3916" s="1390" t="str">
        <f>Risk_Compensation!$O$17</f>
        <v>GE</v>
      </c>
      <c r="G3916" s="1390"/>
      <c r="H3916" s="1077">
        <f>Risk_Compensation!$O61</f>
        <v>0</v>
      </c>
    </row>
    <row r="3917" spans="1:8" x14ac:dyDescent="0.2">
      <c r="A3917" s="1027"/>
      <c r="B3917" s="1083">
        <f>Risk_Compensation!A$1</f>
        <v>36</v>
      </c>
      <c r="C3917" s="1390" t="str">
        <f>Risk_Compensation!$B$1</f>
        <v xml:space="preserve">Risikoausgleich </v>
      </c>
      <c r="D3917" s="2205" t="s">
        <v>2572</v>
      </c>
      <c r="E3917" s="1390">
        <f>Risk_Compensation!$G62</f>
        <v>45</v>
      </c>
      <c r="F3917" s="1390" t="str">
        <f>Risk_Compensation!$O$17</f>
        <v>GE</v>
      </c>
      <c r="G3917" s="1390"/>
      <c r="H3917" s="1077">
        <f>Risk_Compensation!$O62</f>
        <v>0</v>
      </c>
    </row>
    <row r="3918" spans="1:8" x14ac:dyDescent="0.2">
      <c r="A3918" s="1027"/>
      <c r="B3918" s="1083">
        <f>Risk_Compensation!A$1</f>
        <v>36</v>
      </c>
      <c r="C3918" s="1390" t="str">
        <f>Risk_Compensation!$B$1</f>
        <v xml:space="preserve">Risikoausgleich </v>
      </c>
      <c r="D3918" s="2205" t="s">
        <v>2572</v>
      </c>
      <c r="E3918" s="1390">
        <f>Risk_Compensation!$G63</f>
        <v>46</v>
      </c>
      <c r="F3918" s="1390" t="str">
        <f>Risk_Compensation!$O$17</f>
        <v>GE</v>
      </c>
      <c r="G3918" s="1390"/>
      <c r="H3918" s="1077">
        <f>Risk_Compensation!$O63</f>
        <v>0</v>
      </c>
    </row>
    <row r="3919" spans="1:8" x14ac:dyDescent="0.2">
      <c r="A3919" s="1027"/>
      <c r="B3919" s="1083">
        <f>Risk_Compensation!A$1</f>
        <v>36</v>
      </c>
      <c r="C3919" s="1390" t="str">
        <f>Risk_Compensation!$B$1</f>
        <v xml:space="preserve">Risikoausgleich </v>
      </c>
      <c r="D3919" s="2205" t="s">
        <v>2572</v>
      </c>
      <c r="E3919" s="1390">
        <f>Risk_Compensation!$G64</f>
        <v>47</v>
      </c>
      <c r="F3919" s="1390" t="str">
        <f>Risk_Compensation!$O$17</f>
        <v>GE</v>
      </c>
      <c r="G3919" s="1390"/>
      <c r="H3919" s="1077">
        <f>Risk_Compensation!$O64</f>
        <v>0</v>
      </c>
    </row>
    <row r="3920" spans="1:8" x14ac:dyDescent="0.2">
      <c r="A3920" s="1027"/>
      <c r="B3920" s="1083">
        <f>Risk_Compensation!A$1</f>
        <v>36</v>
      </c>
      <c r="C3920" s="1390" t="str">
        <f>Risk_Compensation!$B$1</f>
        <v xml:space="preserve">Risikoausgleich </v>
      </c>
      <c r="D3920" s="2205" t="s">
        <v>2572</v>
      </c>
      <c r="E3920" s="1390">
        <f>Risk_Compensation!$G65</f>
        <v>48</v>
      </c>
      <c r="F3920" s="1390" t="str">
        <f>Risk_Compensation!$O$17</f>
        <v>GE</v>
      </c>
      <c r="G3920" s="1390"/>
      <c r="H3920" s="1077">
        <f>Risk_Compensation!$O65</f>
        <v>0</v>
      </c>
    </row>
    <row r="3921" spans="1:8" x14ac:dyDescent="0.2">
      <c r="A3921" s="1027"/>
      <c r="B3921" s="1083">
        <f>Risk_Compensation!A$1</f>
        <v>36</v>
      </c>
      <c r="C3921" s="1390" t="str">
        <f>Risk_Compensation!$B$1</f>
        <v xml:space="preserve">Risikoausgleich </v>
      </c>
      <c r="D3921" s="2205" t="s">
        <v>2572</v>
      </c>
      <c r="E3921" s="1390">
        <f>Risk_Compensation!$G66</f>
        <v>49</v>
      </c>
      <c r="F3921" s="1390" t="str">
        <f>Risk_Compensation!$O$17</f>
        <v>GE</v>
      </c>
      <c r="G3921" s="1390"/>
      <c r="H3921" s="1077">
        <f>Risk_Compensation!$O66</f>
        <v>0</v>
      </c>
    </row>
    <row r="3922" spans="1:8" x14ac:dyDescent="0.2">
      <c r="A3922" s="1027"/>
      <c r="B3922" s="1083">
        <f>Risk_Compensation!A$1</f>
        <v>36</v>
      </c>
      <c r="C3922" s="1390" t="str">
        <f>Risk_Compensation!$B$1</f>
        <v xml:space="preserve">Risikoausgleich </v>
      </c>
      <c r="D3922" s="2205" t="s">
        <v>2572</v>
      </c>
      <c r="E3922" s="1390">
        <f>Risk_Compensation!$G67</f>
        <v>50</v>
      </c>
      <c r="F3922" s="1390" t="str">
        <f>Risk_Compensation!$O$17</f>
        <v>GE</v>
      </c>
      <c r="G3922" s="1390"/>
      <c r="H3922" s="1077">
        <f>Risk_Compensation!$O67</f>
        <v>0</v>
      </c>
    </row>
    <row r="3923" spans="1:8" x14ac:dyDescent="0.2">
      <c r="A3923" s="1027"/>
      <c r="B3923" s="1083">
        <f>Risk_Compensation!A$1</f>
        <v>36</v>
      </c>
      <c r="C3923" s="1390" t="str">
        <f>Risk_Compensation!$B$1</f>
        <v xml:space="preserve">Risikoausgleich </v>
      </c>
      <c r="D3923" s="2205" t="s">
        <v>2572</v>
      </c>
      <c r="E3923" s="1390">
        <f>Risk_Compensation!$G68</f>
        <v>51</v>
      </c>
      <c r="F3923" s="1390" t="str">
        <f>Risk_Compensation!$O$17</f>
        <v>GE</v>
      </c>
      <c r="G3923" s="1390"/>
      <c r="H3923" s="1077">
        <f>Risk_Compensation!$O68</f>
        <v>0</v>
      </c>
    </row>
    <row r="3924" spans="1:8" x14ac:dyDescent="0.2">
      <c r="A3924" s="1027"/>
      <c r="B3924" s="1083">
        <f>Risk_Compensation!A$1</f>
        <v>36</v>
      </c>
      <c r="C3924" s="1390" t="str">
        <f>Risk_Compensation!$B$1</f>
        <v xml:space="preserve">Risikoausgleich </v>
      </c>
      <c r="D3924" s="2205" t="s">
        <v>2572</v>
      </c>
      <c r="E3924" s="1390">
        <f>Risk_Compensation!$G69</f>
        <v>52</v>
      </c>
      <c r="F3924" s="1390" t="str">
        <f>Risk_Compensation!$O$17</f>
        <v>GE</v>
      </c>
      <c r="G3924" s="1390"/>
      <c r="H3924" s="1077">
        <f>Risk_Compensation!$O69</f>
        <v>0</v>
      </c>
    </row>
    <row r="3925" spans="1:8" x14ac:dyDescent="0.2">
      <c r="A3925" s="1027"/>
      <c r="B3925" s="1083">
        <f>Risk_Compensation!A$1</f>
        <v>36</v>
      </c>
      <c r="C3925" s="1390" t="str">
        <f>Risk_Compensation!$B$1</f>
        <v xml:space="preserve">Risikoausgleich </v>
      </c>
      <c r="D3925" s="2205" t="s">
        <v>2572</v>
      </c>
      <c r="E3925" s="1390">
        <f>Risk_Compensation!$G70</f>
        <v>53</v>
      </c>
      <c r="F3925" s="1390" t="str">
        <f>Risk_Compensation!$O$17</f>
        <v>GE</v>
      </c>
      <c r="G3925" s="1390"/>
      <c r="H3925" s="1077">
        <f>Risk_Compensation!$O70</f>
        <v>0</v>
      </c>
    </row>
    <row r="3926" spans="1:8" x14ac:dyDescent="0.2">
      <c r="A3926" s="1027"/>
      <c r="B3926" s="1083">
        <f>Risk_Compensation!A$1</f>
        <v>36</v>
      </c>
      <c r="C3926" s="1390" t="str">
        <f>Risk_Compensation!$B$1</f>
        <v xml:space="preserve">Risikoausgleich </v>
      </c>
      <c r="D3926" s="2205" t="s">
        <v>2572</v>
      </c>
      <c r="E3926" s="1390">
        <f>Risk_Compensation!$G71</f>
        <v>54</v>
      </c>
      <c r="F3926" s="1390" t="str">
        <f>Risk_Compensation!$O$17</f>
        <v>GE</v>
      </c>
      <c r="G3926" s="1390"/>
      <c r="H3926" s="1077">
        <f>Risk_Compensation!$O71</f>
        <v>0</v>
      </c>
    </row>
    <row r="3927" spans="1:8" x14ac:dyDescent="0.2">
      <c r="A3927" s="1027"/>
      <c r="B3927" s="1083">
        <f>Risk_Compensation!A$1</f>
        <v>36</v>
      </c>
      <c r="C3927" s="1390" t="str">
        <f>Risk_Compensation!$B$1</f>
        <v xml:space="preserve">Risikoausgleich </v>
      </c>
      <c r="D3927" s="2205" t="s">
        <v>2572</v>
      </c>
      <c r="E3927" s="1390">
        <f>Risk_Compensation!$G72</f>
        <v>55</v>
      </c>
      <c r="F3927" s="1390" t="str">
        <f>Risk_Compensation!$O$17</f>
        <v>GE</v>
      </c>
      <c r="G3927" s="1390"/>
      <c r="H3927" s="1077">
        <f>Risk_Compensation!$O72</f>
        <v>0</v>
      </c>
    </row>
    <row r="3928" spans="1:8" x14ac:dyDescent="0.2">
      <c r="A3928" s="1027"/>
      <c r="B3928" s="1083">
        <f>Risk_Compensation!A$1</f>
        <v>36</v>
      </c>
      <c r="C3928" s="1390" t="str">
        <f>Risk_Compensation!$B$1</f>
        <v xml:space="preserve">Risikoausgleich </v>
      </c>
      <c r="D3928" s="2205" t="s">
        <v>2572</v>
      </c>
      <c r="E3928" s="1390">
        <f>Risk_Compensation!$G73</f>
        <v>56</v>
      </c>
      <c r="F3928" s="1390" t="str">
        <f>Risk_Compensation!$O$17</f>
        <v>GE</v>
      </c>
      <c r="G3928" s="1390"/>
      <c r="H3928" s="1077">
        <f>Risk_Compensation!$O73</f>
        <v>0</v>
      </c>
    </row>
    <row r="3929" spans="1:8" x14ac:dyDescent="0.2">
      <c r="A3929" s="1027"/>
      <c r="B3929" s="1083">
        <f>Risk_Compensation!A$1</f>
        <v>36</v>
      </c>
      <c r="C3929" s="1390" t="str">
        <f>Risk_Compensation!$B$1</f>
        <v xml:space="preserve">Risikoausgleich </v>
      </c>
      <c r="D3929" s="2205" t="s">
        <v>2572</v>
      </c>
      <c r="E3929" s="1390">
        <f>Risk_Compensation!$G74</f>
        <v>57</v>
      </c>
      <c r="F3929" s="1390" t="str">
        <f>Risk_Compensation!$O$17</f>
        <v>GE</v>
      </c>
      <c r="G3929" s="1390"/>
      <c r="H3929" s="1077">
        <f>Risk_Compensation!$O74</f>
        <v>0</v>
      </c>
    </row>
    <row r="3930" spans="1:8" x14ac:dyDescent="0.2">
      <c r="A3930" s="1027"/>
      <c r="B3930" s="1083">
        <f>Risk_Compensation!A$1</f>
        <v>36</v>
      </c>
      <c r="C3930" s="1390" t="str">
        <f>Risk_Compensation!$B$1</f>
        <v xml:space="preserve">Risikoausgleich </v>
      </c>
      <c r="D3930" s="2205" t="s">
        <v>2572</v>
      </c>
      <c r="E3930" s="1390">
        <f>Risk_Compensation!$G75</f>
        <v>58</v>
      </c>
      <c r="F3930" s="1390" t="str">
        <f>Risk_Compensation!$O$17</f>
        <v>GE</v>
      </c>
      <c r="G3930" s="1390"/>
      <c r="H3930" s="1077">
        <f>Risk_Compensation!$O75</f>
        <v>0</v>
      </c>
    </row>
    <row r="3931" spans="1:8" x14ac:dyDescent="0.2">
      <c r="A3931" s="1027"/>
      <c r="B3931" s="1083">
        <f>Risk_Compensation!A$1</f>
        <v>36</v>
      </c>
      <c r="C3931" s="1390" t="str">
        <f>Risk_Compensation!$B$1</f>
        <v xml:space="preserve">Risikoausgleich </v>
      </c>
      <c r="D3931" s="2205" t="s">
        <v>2572</v>
      </c>
      <c r="E3931" s="1390">
        <f>Risk_Compensation!$G76</f>
        <v>59</v>
      </c>
      <c r="F3931" s="1390" t="str">
        <f>Risk_Compensation!$O$17</f>
        <v>GE</v>
      </c>
      <c r="G3931" s="1390"/>
      <c r="H3931" s="1077">
        <f>Risk_Compensation!$O76</f>
        <v>0</v>
      </c>
    </row>
    <row r="3932" spans="1:8" x14ac:dyDescent="0.2">
      <c r="A3932" s="1027"/>
      <c r="B3932" s="1083">
        <f>Risk_Compensation!A$1</f>
        <v>36</v>
      </c>
      <c r="C3932" s="1390" t="str">
        <f>Risk_Compensation!$B$1</f>
        <v xml:space="preserve">Risikoausgleich </v>
      </c>
      <c r="D3932" s="2205" t="s">
        <v>2572</v>
      </c>
      <c r="E3932" s="1390">
        <f>Risk_Compensation!$G77</f>
        <v>60</v>
      </c>
      <c r="F3932" s="1390" t="str">
        <f>Risk_Compensation!$O$17</f>
        <v>GE</v>
      </c>
      <c r="G3932" s="1390"/>
      <c r="H3932" s="1077">
        <f>Risk_Compensation!$O77</f>
        <v>0</v>
      </c>
    </row>
    <row r="3933" spans="1:8" x14ac:dyDescent="0.2">
      <c r="A3933" s="1027"/>
      <c r="B3933" s="2174"/>
      <c r="C3933" s="1390"/>
      <c r="D3933" s="2175"/>
      <c r="E3933" s="2176"/>
      <c r="F3933" s="1390"/>
      <c r="G3933" s="1390"/>
      <c r="H3933" s="1078"/>
    </row>
    <row r="3934" spans="1:8" x14ac:dyDescent="0.2">
      <c r="A3934" s="1027"/>
      <c r="B3934" s="1083">
        <f>Risk_Compensation!A$1</f>
        <v>36</v>
      </c>
      <c r="C3934" s="1390" t="str">
        <f>Risk_Compensation!$B$1</f>
        <v xml:space="preserve">Risikoausgleich </v>
      </c>
      <c r="D3934" s="2205" t="s">
        <v>2572</v>
      </c>
      <c r="E3934" s="1390">
        <f>Risk_Compensation!$G18</f>
        <v>1</v>
      </c>
      <c r="F3934" s="1390" t="str">
        <f>Risk_Compensation!$P$17</f>
        <v>GL</v>
      </c>
      <c r="G3934" s="1390"/>
      <c r="H3934" s="1077">
        <f>Risk_Compensation!$P18</f>
        <v>0</v>
      </c>
    </row>
    <row r="3935" spans="1:8" x14ac:dyDescent="0.2">
      <c r="A3935" s="1027"/>
      <c r="B3935" s="1083">
        <f>Risk_Compensation!A$1</f>
        <v>36</v>
      </c>
      <c r="C3935" s="1390" t="str">
        <f>Risk_Compensation!$B$1</f>
        <v xml:space="preserve">Risikoausgleich </v>
      </c>
      <c r="D3935" s="2205" t="s">
        <v>2572</v>
      </c>
      <c r="E3935" s="1390">
        <f>Risk_Compensation!$G19</f>
        <v>2</v>
      </c>
      <c r="F3935" s="1390" t="str">
        <f>Risk_Compensation!$P$17</f>
        <v>GL</v>
      </c>
      <c r="G3935" s="1390"/>
      <c r="H3935" s="1077">
        <f>Risk_Compensation!$P19</f>
        <v>0</v>
      </c>
    </row>
    <row r="3936" spans="1:8" x14ac:dyDescent="0.2">
      <c r="A3936" s="1027"/>
      <c r="B3936" s="1083">
        <f>Risk_Compensation!A$1</f>
        <v>36</v>
      </c>
      <c r="C3936" s="1390" t="str">
        <f>Risk_Compensation!$B$1</f>
        <v xml:space="preserve">Risikoausgleich </v>
      </c>
      <c r="D3936" s="2205" t="s">
        <v>2572</v>
      </c>
      <c r="E3936" s="1390">
        <f>Risk_Compensation!$G20</f>
        <v>3</v>
      </c>
      <c r="F3936" s="1390" t="str">
        <f>Risk_Compensation!$P$17</f>
        <v>GL</v>
      </c>
      <c r="G3936" s="1390"/>
      <c r="H3936" s="1077">
        <f>Risk_Compensation!$P20</f>
        <v>0</v>
      </c>
    </row>
    <row r="3937" spans="1:8" x14ac:dyDescent="0.2">
      <c r="A3937" s="1027"/>
      <c r="B3937" s="1083">
        <f>Risk_Compensation!A$1</f>
        <v>36</v>
      </c>
      <c r="C3937" s="1390" t="str">
        <f>Risk_Compensation!$B$1</f>
        <v xml:space="preserve">Risikoausgleich </v>
      </c>
      <c r="D3937" s="2205" t="s">
        <v>2572</v>
      </c>
      <c r="E3937" s="1390">
        <f>Risk_Compensation!$G21</f>
        <v>4</v>
      </c>
      <c r="F3937" s="1390" t="str">
        <f>Risk_Compensation!$P$17</f>
        <v>GL</v>
      </c>
      <c r="G3937" s="1390"/>
      <c r="H3937" s="1077">
        <f>Risk_Compensation!$P21</f>
        <v>0</v>
      </c>
    </row>
    <row r="3938" spans="1:8" x14ac:dyDescent="0.2">
      <c r="A3938" s="1027"/>
      <c r="B3938" s="1083">
        <f>Risk_Compensation!A$1</f>
        <v>36</v>
      </c>
      <c r="C3938" s="1390" t="str">
        <f>Risk_Compensation!$B$1</f>
        <v xml:space="preserve">Risikoausgleich </v>
      </c>
      <c r="D3938" s="2205" t="s">
        <v>2572</v>
      </c>
      <c r="E3938" s="1390">
        <f>Risk_Compensation!$G22</f>
        <v>5</v>
      </c>
      <c r="F3938" s="1390" t="str">
        <f>Risk_Compensation!$P$17</f>
        <v>GL</v>
      </c>
      <c r="G3938" s="1390"/>
      <c r="H3938" s="1077">
        <f>Risk_Compensation!$P22</f>
        <v>0</v>
      </c>
    </row>
    <row r="3939" spans="1:8" x14ac:dyDescent="0.2">
      <c r="A3939" s="1027"/>
      <c r="B3939" s="1083">
        <f>Risk_Compensation!A$1</f>
        <v>36</v>
      </c>
      <c r="C3939" s="1390" t="str">
        <f>Risk_Compensation!$B$1</f>
        <v xml:space="preserve">Risikoausgleich </v>
      </c>
      <c r="D3939" s="2205" t="s">
        <v>2572</v>
      </c>
      <c r="E3939" s="1390">
        <f>Risk_Compensation!$G23</f>
        <v>6</v>
      </c>
      <c r="F3939" s="1390" t="str">
        <f>Risk_Compensation!$P$17</f>
        <v>GL</v>
      </c>
      <c r="G3939" s="1390"/>
      <c r="H3939" s="1077">
        <f>Risk_Compensation!$P23</f>
        <v>0</v>
      </c>
    </row>
    <row r="3940" spans="1:8" x14ac:dyDescent="0.2">
      <c r="A3940" s="1027"/>
      <c r="B3940" s="1083">
        <f>Risk_Compensation!A$1</f>
        <v>36</v>
      </c>
      <c r="C3940" s="1390" t="str">
        <f>Risk_Compensation!$B$1</f>
        <v xml:space="preserve">Risikoausgleich </v>
      </c>
      <c r="D3940" s="2205" t="s">
        <v>2572</v>
      </c>
      <c r="E3940" s="1390">
        <f>Risk_Compensation!$G24</f>
        <v>7</v>
      </c>
      <c r="F3940" s="1390" t="str">
        <f>Risk_Compensation!$P$17</f>
        <v>GL</v>
      </c>
      <c r="G3940" s="1390"/>
      <c r="H3940" s="1077">
        <f>Risk_Compensation!$P24</f>
        <v>0</v>
      </c>
    </row>
    <row r="3941" spans="1:8" x14ac:dyDescent="0.2">
      <c r="A3941" s="1027"/>
      <c r="B3941" s="1083">
        <f>Risk_Compensation!A$1</f>
        <v>36</v>
      </c>
      <c r="C3941" s="1390" t="str">
        <f>Risk_Compensation!$B$1</f>
        <v xml:space="preserve">Risikoausgleich </v>
      </c>
      <c r="D3941" s="2205" t="s">
        <v>2572</v>
      </c>
      <c r="E3941" s="1390">
        <f>Risk_Compensation!$G25</f>
        <v>8</v>
      </c>
      <c r="F3941" s="1390" t="str">
        <f>Risk_Compensation!$P$17</f>
        <v>GL</v>
      </c>
      <c r="G3941" s="1390"/>
      <c r="H3941" s="1077">
        <f>Risk_Compensation!$P25</f>
        <v>0</v>
      </c>
    </row>
    <row r="3942" spans="1:8" x14ac:dyDescent="0.2">
      <c r="A3942" s="1027"/>
      <c r="B3942" s="1083">
        <f>Risk_Compensation!A$1</f>
        <v>36</v>
      </c>
      <c r="C3942" s="1390" t="str">
        <f>Risk_Compensation!$B$1</f>
        <v xml:space="preserve">Risikoausgleich </v>
      </c>
      <c r="D3942" s="2205" t="s">
        <v>2572</v>
      </c>
      <c r="E3942" s="1390">
        <f>Risk_Compensation!$G26</f>
        <v>9</v>
      </c>
      <c r="F3942" s="1390" t="str">
        <f>Risk_Compensation!$P$17</f>
        <v>GL</v>
      </c>
      <c r="G3942" s="1390"/>
      <c r="H3942" s="1077">
        <f>Risk_Compensation!$P26</f>
        <v>0</v>
      </c>
    </row>
    <row r="3943" spans="1:8" x14ac:dyDescent="0.2">
      <c r="A3943" s="1027"/>
      <c r="B3943" s="1083">
        <f>Risk_Compensation!A$1</f>
        <v>36</v>
      </c>
      <c r="C3943" s="1390" t="str">
        <f>Risk_Compensation!$B$1</f>
        <v xml:space="preserve">Risikoausgleich </v>
      </c>
      <c r="D3943" s="2205" t="s">
        <v>2572</v>
      </c>
      <c r="E3943" s="1390">
        <f>Risk_Compensation!$G27</f>
        <v>10</v>
      </c>
      <c r="F3943" s="1390" t="str">
        <f>Risk_Compensation!$P$17</f>
        <v>GL</v>
      </c>
      <c r="G3943" s="1390"/>
      <c r="H3943" s="1077">
        <f>Risk_Compensation!$P27</f>
        <v>0</v>
      </c>
    </row>
    <row r="3944" spans="1:8" x14ac:dyDescent="0.2">
      <c r="A3944" s="1027"/>
      <c r="B3944" s="1083">
        <f>Risk_Compensation!A$1</f>
        <v>36</v>
      </c>
      <c r="C3944" s="1390" t="str">
        <f>Risk_Compensation!$B$1</f>
        <v xml:space="preserve">Risikoausgleich </v>
      </c>
      <c r="D3944" s="2205" t="s">
        <v>2572</v>
      </c>
      <c r="E3944" s="1390">
        <f>Risk_Compensation!$G28</f>
        <v>11</v>
      </c>
      <c r="F3944" s="1390" t="str">
        <f>Risk_Compensation!$P$17</f>
        <v>GL</v>
      </c>
      <c r="G3944" s="1390"/>
      <c r="H3944" s="1077">
        <f>Risk_Compensation!$P28</f>
        <v>0</v>
      </c>
    </row>
    <row r="3945" spans="1:8" x14ac:dyDescent="0.2">
      <c r="A3945" s="1027"/>
      <c r="B3945" s="1083">
        <f>Risk_Compensation!A$1</f>
        <v>36</v>
      </c>
      <c r="C3945" s="1390" t="str">
        <f>Risk_Compensation!$B$1</f>
        <v xml:space="preserve">Risikoausgleich </v>
      </c>
      <c r="D3945" s="2205" t="s">
        <v>2572</v>
      </c>
      <c r="E3945" s="1390">
        <f>Risk_Compensation!$G29</f>
        <v>12</v>
      </c>
      <c r="F3945" s="1390" t="str">
        <f>Risk_Compensation!$P$17</f>
        <v>GL</v>
      </c>
      <c r="G3945" s="1390"/>
      <c r="H3945" s="1077">
        <f>Risk_Compensation!$P29</f>
        <v>0</v>
      </c>
    </row>
    <row r="3946" spans="1:8" x14ac:dyDescent="0.2">
      <c r="A3946" s="1027"/>
      <c r="B3946" s="1083">
        <f>Risk_Compensation!A$1</f>
        <v>36</v>
      </c>
      <c r="C3946" s="1390" t="str">
        <f>Risk_Compensation!$B$1</f>
        <v xml:space="preserve">Risikoausgleich </v>
      </c>
      <c r="D3946" s="2205" t="s">
        <v>2572</v>
      </c>
      <c r="E3946" s="1390">
        <f>Risk_Compensation!$G30</f>
        <v>13</v>
      </c>
      <c r="F3946" s="1390" t="str">
        <f>Risk_Compensation!$P$17</f>
        <v>GL</v>
      </c>
      <c r="G3946" s="1390"/>
      <c r="H3946" s="1077">
        <f>Risk_Compensation!$P30</f>
        <v>0</v>
      </c>
    </row>
    <row r="3947" spans="1:8" x14ac:dyDescent="0.2">
      <c r="A3947" s="1027"/>
      <c r="B3947" s="1083">
        <f>Risk_Compensation!A$1</f>
        <v>36</v>
      </c>
      <c r="C3947" s="1390" t="str">
        <f>Risk_Compensation!$B$1</f>
        <v xml:space="preserve">Risikoausgleich </v>
      </c>
      <c r="D3947" s="2205" t="s">
        <v>2572</v>
      </c>
      <c r="E3947" s="1390">
        <f>Risk_Compensation!$G31</f>
        <v>14</v>
      </c>
      <c r="F3947" s="1390" t="str">
        <f>Risk_Compensation!$P$17</f>
        <v>GL</v>
      </c>
      <c r="G3947" s="1390"/>
      <c r="H3947" s="1077">
        <f>Risk_Compensation!$P31</f>
        <v>0</v>
      </c>
    </row>
    <row r="3948" spans="1:8" x14ac:dyDescent="0.2">
      <c r="A3948" s="1027"/>
      <c r="B3948" s="1083">
        <f>Risk_Compensation!A$1</f>
        <v>36</v>
      </c>
      <c r="C3948" s="1390" t="str">
        <f>Risk_Compensation!$B$1</f>
        <v xml:space="preserve">Risikoausgleich </v>
      </c>
      <c r="D3948" s="2205" t="s">
        <v>2572</v>
      </c>
      <c r="E3948" s="1390">
        <f>Risk_Compensation!$G32</f>
        <v>15</v>
      </c>
      <c r="F3948" s="1390" t="str">
        <f>Risk_Compensation!$P$17</f>
        <v>GL</v>
      </c>
      <c r="G3948" s="1390"/>
      <c r="H3948" s="1077">
        <f>Risk_Compensation!$P32</f>
        <v>0</v>
      </c>
    </row>
    <row r="3949" spans="1:8" x14ac:dyDescent="0.2">
      <c r="A3949" s="1027"/>
      <c r="B3949" s="1083">
        <f>Risk_Compensation!A$1</f>
        <v>36</v>
      </c>
      <c r="C3949" s="1390" t="str">
        <f>Risk_Compensation!$B$1</f>
        <v xml:space="preserve">Risikoausgleich </v>
      </c>
      <c r="D3949" s="2205" t="s">
        <v>2572</v>
      </c>
      <c r="E3949" s="1390">
        <f>Risk_Compensation!$G33</f>
        <v>16</v>
      </c>
      <c r="F3949" s="1390" t="str">
        <f>Risk_Compensation!$P$17</f>
        <v>GL</v>
      </c>
      <c r="G3949" s="1390"/>
      <c r="H3949" s="1077">
        <f>Risk_Compensation!$P33</f>
        <v>0</v>
      </c>
    </row>
    <row r="3950" spans="1:8" x14ac:dyDescent="0.2">
      <c r="A3950" s="1027"/>
      <c r="B3950" s="1083">
        <f>Risk_Compensation!A$1</f>
        <v>36</v>
      </c>
      <c r="C3950" s="1390" t="str">
        <f>Risk_Compensation!$B$1</f>
        <v xml:space="preserve">Risikoausgleich </v>
      </c>
      <c r="D3950" s="2205" t="s">
        <v>2572</v>
      </c>
      <c r="E3950" s="1390">
        <f>Risk_Compensation!$G34</f>
        <v>17</v>
      </c>
      <c r="F3950" s="1390" t="str">
        <f>Risk_Compensation!$P$17</f>
        <v>GL</v>
      </c>
      <c r="G3950" s="1390"/>
      <c r="H3950" s="1077">
        <f>Risk_Compensation!$P34</f>
        <v>0</v>
      </c>
    </row>
    <row r="3951" spans="1:8" x14ac:dyDescent="0.2">
      <c r="A3951" s="1027"/>
      <c r="B3951" s="1083">
        <f>Risk_Compensation!A$1</f>
        <v>36</v>
      </c>
      <c r="C3951" s="1390" t="str">
        <f>Risk_Compensation!$B$1</f>
        <v xml:space="preserve">Risikoausgleich </v>
      </c>
      <c r="D3951" s="2205" t="s">
        <v>2572</v>
      </c>
      <c r="E3951" s="1390">
        <f>Risk_Compensation!$G35</f>
        <v>18</v>
      </c>
      <c r="F3951" s="1390" t="str">
        <f>Risk_Compensation!$P$17</f>
        <v>GL</v>
      </c>
      <c r="G3951" s="1390"/>
      <c r="H3951" s="1077">
        <f>Risk_Compensation!$P35</f>
        <v>0</v>
      </c>
    </row>
    <row r="3952" spans="1:8" x14ac:dyDescent="0.2">
      <c r="A3952" s="1027"/>
      <c r="B3952" s="1083">
        <f>Risk_Compensation!A$1</f>
        <v>36</v>
      </c>
      <c r="C3952" s="1390" t="str">
        <f>Risk_Compensation!$B$1</f>
        <v xml:space="preserve">Risikoausgleich </v>
      </c>
      <c r="D3952" s="2205" t="s">
        <v>2572</v>
      </c>
      <c r="E3952" s="1390">
        <f>Risk_Compensation!$G36</f>
        <v>19</v>
      </c>
      <c r="F3952" s="1390" t="str">
        <f>Risk_Compensation!$P$17</f>
        <v>GL</v>
      </c>
      <c r="G3952" s="1390"/>
      <c r="H3952" s="1077">
        <f>Risk_Compensation!$P36</f>
        <v>0</v>
      </c>
    </row>
    <row r="3953" spans="1:8" x14ac:dyDescent="0.2">
      <c r="A3953" s="1027"/>
      <c r="B3953" s="1083">
        <f>Risk_Compensation!A$1</f>
        <v>36</v>
      </c>
      <c r="C3953" s="1390" t="str">
        <f>Risk_Compensation!$B$1</f>
        <v xml:space="preserve">Risikoausgleich </v>
      </c>
      <c r="D3953" s="2205" t="s">
        <v>2572</v>
      </c>
      <c r="E3953" s="1390">
        <f>Risk_Compensation!$G37</f>
        <v>20</v>
      </c>
      <c r="F3953" s="1390" t="str">
        <f>Risk_Compensation!$P$17</f>
        <v>GL</v>
      </c>
      <c r="G3953" s="1390"/>
      <c r="H3953" s="1077">
        <f>Risk_Compensation!$P37</f>
        <v>0</v>
      </c>
    </row>
    <row r="3954" spans="1:8" x14ac:dyDescent="0.2">
      <c r="A3954" s="1027"/>
      <c r="B3954" s="1083">
        <f>Risk_Compensation!A$1</f>
        <v>36</v>
      </c>
      <c r="C3954" s="1390" t="str">
        <f>Risk_Compensation!$B$1</f>
        <v xml:space="preserve">Risikoausgleich </v>
      </c>
      <c r="D3954" s="2205" t="s">
        <v>2572</v>
      </c>
      <c r="E3954" s="1390">
        <f>Risk_Compensation!$G38</f>
        <v>21</v>
      </c>
      <c r="F3954" s="1390" t="str">
        <f>Risk_Compensation!$P$17</f>
        <v>GL</v>
      </c>
      <c r="G3954" s="1390"/>
      <c r="H3954" s="1077">
        <f>Risk_Compensation!$P38</f>
        <v>0</v>
      </c>
    </row>
    <row r="3955" spans="1:8" x14ac:dyDescent="0.2">
      <c r="A3955" s="1027"/>
      <c r="B3955" s="1083">
        <f>Risk_Compensation!A$1</f>
        <v>36</v>
      </c>
      <c r="C3955" s="1390" t="str">
        <f>Risk_Compensation!$B$1</f>
        <v xml:space="preserve">Risikoausgleich </v>
      </c>
      <c r="D3955" s="2205" t="s">
        <v>2572</v>
      </c>
      <c r="E3955" s="1390">
        <f>Risk_Compensation!$G39</f>
        <v>22</v>
      </c>
      <c r="F3955" s="1390" t="str">
        <f>Risk_Compensation!$P$17</f>
        <v>GL</v>
      </c>
      <c r="G3955" s="1390"/>
      <c r="H3955" s="1077">
        <f>Risk_Compensation!$P39</f>
        <v>0</v>
      </c>
    </row>
    <row r="3956" spans="1:8" x14ac:dyDescent="0.2">
      <c r="A3956" s="1027"/>
      <c r="B3956" s="1083">
        <f>Risk_Compensation!A$1</f>
        <v>36</v>
      </c>
      <c r="C3956" s="1390" t="str">
        <f>Risk_Compensation!$B$1</f>
        <v xml:space="preserve">Risikoausgleich </v>
      </c>
      <c r="D3956" s="2205" t="s">
        <v>2572</v>
      </c>
      <c r="E3956" s="1390">
        <f>Risk_Compensation!$G40</f>
        <v>23</v>
      </c>
      <c r="F3956" s="1390" t="str">
        <f>Risk_Compensation!$P$17</f>
        <v>GL</v>
      </c>
      <c r="G3956" s="1390"/>
      <c r="H3956" s="1077">
        <f>Risk_Compensation!$P40</f>
        <v>0</v>
      </c>
    </row>
    <row r="3957" spans="1:8" x14ac:dyDescent="0.2">
      <c r="A3957" s="1027"/>
      <c r="B3957" s="1083">
        <f>Risk_Compensation!A$1</f>
        <v>36</v>
      </c>
      <c r="C3957" s="1390" t="str">
        <f>Risk_Compensation!$B$1</f>
        <v xml:space="preserve">Risikoausgleich </v>
      </c>
      <c r="D3957" s="2205" t="s">
        <v>2572</v>
      </c>
      <c r="E3957" s="1390">
        <f>Risk_Compensation!$G41</f>
        <v>24</v>
      </c>
      <c r="F3957" s="1390" t="str">
        <f>Risk_Compensation!$P$17</f>
        <v>GL</v>
      </c>
      <c r="G3957" s="1390"/>
      <c r="H3957" s="1077">
        <f>Risk_Compensation!$P41</f>
        <v>0</v>
      </c>
    </row>
    <row r="3958" spans="1:8" x14ac:dyDescent="0.2">
      <c r="A3958" s="1027"/>
      <c r="B3958" s="1083">
        <f>Risk_Compensation!A$1</f>
        <v>36</v>
      </c>
      <c r="C3958" s="1390" t="str">
        <f>Risk_Compensation!$B$1</f>
        <v xml:space="preserve">Risikoausgleich </v>
      </c>
      <c r="D3958" s="2205" t="s">
        <v>2572</v>
      </c>
      <c r="E3958" s="1390">
        <f>Risk_Compensation!$G42</f>
        <v>25</v>
      </c>
      <c r="F3958" s="1390" t="str">
        <f>Risk_Compensation!$P$17</f>
        <v>GL</v>
      </c>
      <c r="G3958" s="1390"/>
      <c r="H3958" s="1077">
        <f>Risk_Compensation!$P42</f>
        <v>0</v>
      </c>
    </row>
    <row r="3959" spans="1:8" x14ac:dyDescent="0.2">
      <c r="A3959" s="1027"/>
      <c r="B3959" s="1083">
        <f>Risk_Compensation!A$1</f>
        <v>36</v>
      </c>
      <c r="C3959" s="1390" t="str">
        <f>Risk_Compensation!$B$1</f>
        <v xml:space="preserve">Risikoausgleich </v>
      </c>
      <c r="D3959" s="2205" t="s">
        <v>2572</v>
      </c>
      <c r="E3959" s="1390">
        <f>Risk_Compensation!$G43</f>
        <v>26</v>
      </c>
      <c r="F3959" s="1390" t="str">
        <f>Risk_Compensation!$P$17</f>
        <v>GL</v>
      </c>
      <c r="G3959" s="1390"/>
      <c r="H3959" s="1077">
        <f>Risk_Compensation!$P43</f>
        <v>0</v>
      </c>
    </row>
    <row r="3960" spans="1:8" x14ac:dyDescent="0.2">
      <c r="A3960" s="1027"/>
      <c r="B3960" s="1083">
        <f>Risk_Compensation!A$1</f>
        <v>36</v>
      </c>
      <c r="C3960" s="1390" t="str">
        <f>Risk_Compensation!$B$1</f>
        <v xml:space="preserve">Risikoausgleich </v>
      </c>
      <c r="D3960" s="2205" t="s">
        <v>2572</v>
      </c>
      <c r="E3960" s="1390">
        <f>Risk_Compensation!$G44</f>
        <v>27</v>
      </c>
      <c r="F3960" s="1390" t="str">
        <f>Risk_Compensation!$P$17</f>
        <v>GL</v>
      </c>
      <c r="G3960" s="1390"/>
      <c r="H3960" s="1077">
        <f>Risk_Compensation!$P44</f>
        <v>0</v>
      </c>
    </row>
    <row r="3961" spans="1:8" x14ac:dyDescent="0.2">
      <c r="A3961" s="1027"/>
      <c r="B3961" s="1083">
        <f>Risk_Compensation!A$1</f>
        <v>36</v>
      </c>
      <c r="C3961" s="1390" t="str">
        <f>Risk_Compensation!$B$1</f>
        <v xml:space="preserve">Risikoausgleich </v>
      </c>
      <c r="D3961" s="2205" t="s">
        <v>2572</v>
      </c>
      <c r="E3961" s="1390">
        <f>Risk_Compensation!$G45</f>
        <v>28</v>
      </c>
      <c r="F3961" s="1390" t="str">
        <f>Risk_Compensation!$P$17</f>
        <v>GL</v>
      </c>
      <c r="G3961" s="1390"/>
      <c r="H3961" s="1077">
        <f>Risk_Compensation!$P45</f>
        <v>0</v>
      </c>
    </row>
    <row r="3962" spans="1:8" x14ac:dyDescent="0.2">
      <c r="A3962" s="1027"/>
      <c r="B3962" s="1083">
        <f>Risk_Compensation!A$1</f>
        <v>36</v>
      </c>
      <c r="C3962" s="1390" t="str">
        <f>Risk_Compensation!$B$1</f>
        <v xml:space="preserve">Risikoausgleich </v>
      </c>
      <c r="D3962" s="2205" t="s">
        <v>2572</v>
      </c>
      <c r="E3962" s="1390">
        <f>Risk_Compensation!$G46</f>
        <v>29</v>
      </c>
      <c r="F3962" s="1390" t="str">
        <f>Risk_Compensation!$P$17</f>
        <v>GL</v>
      </c>
      <c r="G3962" s="1390"/>
      <c r="H3962" s="1077">
        <f>Risk_Compensation!$P46</f>
        <v>0</v>
      </c>
    </row>
    <row r="3963" spans="1:8" x14ac:dyDescent="0.2">
      <c r="A3963" s="1027"/>
      <c r="B3963" s="1083">
        <f>Risk_Compensation!A$1</f>
        <v>36</v>
      </c>
      <c r="C3963" s="1390" t="str">
        <f>Risk_Compensation!$B$1</f>
        <v xml:space="preserve">Risikoausgleich </v>
      </c>
      <c r="D3963" s="2205" t="s">
        <v>2572</v>
      </c>
      <c r="E3963" s="1390">
        <f>Risk_Compensation!$G47</f>
        <v>30</v>
      </c>
      <c r="F3963" s="1390" t="str">
        <f>Risk_Compensation!$P$17</f>
        <v>GL</v>
      </c>
      <c r="G3963" s="1390"/>
      <c r="H3963" s="1077">
        <f>Risk_Compensation!$P47</f>
        <v>0</v>
      </c>
    </row>
    <row r="3964" spans="1:8" x14ac:dyDescent="0.2">
      <c r="A3964" s="1027"/>
      <c r="B3964" s="1083">
        <f>Risk_Compensation!A$1</f>
        <v>36</v>
      </c>
      <c r="C3964" s="1390" t="str">
        <f>Risk_Compensation!$B$1</f>
        <v xml:space="preserve">Risikoausgleich </v>
      </c>
      <c r="D3964" s="2205" t="s">
        <v>2572</v>
      </c>
      <c r="E3964" s="1390">
        <f>Risk_Compensation!$G48</f>
        <v>31</v>
      </c>
      <c r="F3964" s="1390" t="str">
        <f>Risk_Compensation!$P$17</f>
        <v>GL</v>
      </c>
      <c r="G3964" s="1390"/>
      <c r="H3964" s="1077">
        <f>Risk_Compensation!$P48</f>
        <v>0</v>
      </c>
    </row>
    <row r="3965" spans="1:8" x14ac:dyDescent="0.2">
      <c r="A3965" s="1027"/>
      <c r="B3965" s="1083">
        <f>Risk_Compensation!A$1</f>
        <v>36</v>
      </c>
      <c r="C3965" s="1390" t="str">
        <f>Risk_Compensation!$B$1</f>
        <v xml:space="preserve">Risikoausgleich </v>
      </c>
      <c r="D3965" s="2205" t="s">
        <v>2572</v>
      </c>
      <c r="E3965" s="1390">
        <f>Risk_Compensation!$G49</f>
        <v>32</v>
      </c>
      <c r="F3965" s="1390" t="str">
        <f>Risk_Compensation!$P$17</f>
        <v>GL</v>
      </c>
      <c r="G3965" s="1390"/>
      <c r="H3965" s="1077">
        <f>Risk_Compensation!$P49</f>
        <v>0</v>
      </c>
    </row>
    <row r="3966" spans="1:8" x14ac:dyDescent="0.2">
      <c r="A3966" s="1027"/>
      <c r="B3966" s="1083">
        <f>Risk_Compensation!A$1</f>
        <v>36</v>
      </c>
      <c r="C3966" s="1390" t="str">
        <f>Risk_Compensation!$B$1</f>
        <v xml:space="preserve">Risikoausgleich </v>
      </c>
      <c r="D3966" s="2205" t="s">
        <v>2572</v>
      </c>
      <c r="E3966" s="1390">
        <f>Risk_Compensation!$G50</f>
        <v>33</v>
      </c>
      <c r="F3966" s="1390" t="str">
        <f>Risk_Compensation!$P$17</f>
        <v>GL</v>
      </c>
      <c r="G3966" s="1390"/>
      <c r="H3966" s="1077">
        <f>Risk_Compensation!$P50</f>
        <v>0</v>
      </c>
    </row>
    <row r="3967" spans="1:8" x14ac:dyDescent="0.2">
      <c r="A3967" s="1027"/>
      <c r="B3967" s="1083">
        <f>Risk_Compensation!A$1</f>
        <v>36</v>
      </c>
      <c r="C3967" s="1390" t="str">
        <f>Risk_Compensation!$B$1</f>
        <v xml:space="preserve">Risikoausgleich </v>
      </c>
      <c r="D3967" s="2205" t="s">
        <v>2572</v>
      </c>
      <c r="E3967" s="1390">
        <f>Risk_Compensation!$G51</f>
        <v>34</v>
      </c>
      <c r="F3967" s="1390" t="str">
        <f>Risk_Compensation!$P$17</f>
        <v>GL</v>
      </c>
      <c r="G3967" s="1390"/>
      <c r="H3967" s="1077">
        <f>Risk_Compensation!$P51</f>
        <v>0</v>
      </c>
    </row>
    <row r="3968" spans="1:8" x14ac:dyDescent="0.2">
      <c r="A3968" s="1027"/>
      <c r="B3968" s="1083">
        <f>Risk_Compensation!A$1</f>
        <v>36</v>
      </c>
      <c r="C3968" s="1390" t="str">
        <f>Risk_Compensation!$B$1</f>
        <v xml:space="preserve">Risikoausgleich </v>
      </c>
      <c r="D3968" s="2205" t="s">
        <v>2572</v>
      </c>
      <c r="E3968" s="1390">
        <f>Risk_Compensation!$G52</f>
        <v>35</v>
      </c>
      <c r="F3968" s="1390" t="str">
        <f>Risk_Compensation!$P$17</f>
        <v>GL</v>
      </c>
      <c r="G3968" s="1390"/>
      <c r="H3968" s="1077">
        <f>Risk_Compensation!$P52</f>
        <v>0</v>
      </c>
    </row>
    <row r="3969" spans="1:8" x14ac:dyDescent="0.2">
      <c r="A3969" s="1027"/>
      <c r="B3969" s="1083">
        <f>Risk_Compensation!A$1</f>
        <v>36</v>
      </c>
      <c r="C3969" s="1390" t="str">
        <f>Risk_Compensation!$B$1</f>
        <v xml:space="preserve">Risikoausgleich </v>
      </c>
      <c r="D3969" s="2205" t="s">
        <v>2572</v>
      </c>
      <c r="E3969" s="1390">
        <f>Risk_Compensation!$G53</f>
        <v>36</v>
      </c>
      <c r="F3969" s="1390" t="str">
        <f>Risk_Compensation!$P$17</f>
        <v>GL</v>
      </c>
      <c r="G3969" s="1390"/>
      <c r="H3969" s="1077">
        <f>Risk_Compensation!$P53</f>
        <v>0</v>
      </c>
    </row>
    <row r="3970" spans="1:8" x14ac:dyDescent="0.2">
      <c r="A3970" s="1027"/>
      <c r="B3970" s="1083">
        <f>Risk_Compensation!A$1</f>
        <v>36</v>
      </c>
      <c r="C3970" s="1390" t="str">
        <f>Risk_Compensation!$B$1</f>
        <v xml:space="preserve">Risikoausgleich </v>
      </c>
      <c r="D3970" s="2205" t="s">
        <v>2572</v>
      </c>
      <c r="E3970" s="1390">
        <f>Risk_Compensation!$G54</f>
        <v>37</v>
      </c>
      <c r="F3970" s="1390" t="str">
        <f>Risk_Compensation!$P$17</f>
        <v>GL</v>
      </c>
      <c r="G3970" s="1390"/>
      <c r="H3970" s="1077">
        <f>Risk_Compensation!$P54</f>
        <v>0</v>
      </c>
    </row>
    <row r="3971" spans="1:8" x14ac:dyDescent="0.2">
      <c r="A3971" s="1027"/>
      <c r="B3971" s="1083">
        <f>Risk_Compensation!A$1</f>
        <v>36</v>
      </c>
      <c r="C3971" s="1390" t="str">
        <f>Risk_Compensation!$B$1</f>
        <v xml:space="preserve">Risikoausgleich </v>
      </c>
      <c r="D3971" s="2205" t="s">
        <v>2572</v>
      </c>
      <c r="E3971" s="1390">
        <f>Risk_Compensation!$G55</f>
        <v>38</v>
      </c>
      <c r="F3971" s="1390" t="str">
        <f>Risk_Compensation!$P$17</f>
        <v>GL</v>
      </c>
      <c r="G3971" s="1390"/>
      <c r="H3971" s="1077">
        <f>Risk_Compensation!$P55</f>
        <v>0</v>
      </c>
    </row>
    <row r="3972" spans="1:8" x14ac:dyDescent="0.2">
      <c r="A3972" s="1027"/>
      <c r="B3972" s="1083">
        <f>Risk_Compensation!A$1</f>
        <v>36</v>
      </c>
      <c r="C3972" s="1390" t="str">
        <f>Risk_Compensation!$B$1</f>
        <v xml:space="preserve">Risikoausgleich </v>
      </c>
      <c r="D3972" s="2205" t="s">
        <v>2572</v>
      </c>
      <c r="E3972" s="1390">
        <f>Risk_Compensation!$G56</f>
        <v>39</v>
      </c>
      <c r="F3972" s="1390" t="str">
        <f>Risk_Compensation!$P$17</f>
        <v>GL</v>
      </c>
      <c r="G3972" s="1390"/>
      <c r="H3972" s="1077">
        <f>Risk_Compensation!$P56</f>
        <v>0</v>
      </c>
    </row>
    <row r="3973" spans="1:8" x14ac:dyDescent="0.2">
      <c r="A3973" s="1027"/>
      <c r="B3973" s="1083">
        <f>Risk_Compensation!A$1</f>
        <v>36</v>
      </c>
      <c r="C3973" s="1390" t="str">
        <f>Risk_Compensation!$B$1</f>
        <v xml:space="preserve">Risikoausgleich </v>
      </c>
      <c r="D3973" s="2205" t="s">
        <v>2572</v>
      </c>
      <c r="E3973" s="1390">
        <f>Risk_Compensation!$G57</f>
        <v>40</v>
      </c>
      <c r="F3973" s="1390" t="str">
        <f>Risk_Compensation!$P$17</f>
        <v>GL</v>
      </c>
      <c r="G3973" s="1390"/>
      <c r="H3973" s="1077">
        <f>Risk_Compensation!$P57</f>
        <v>0</v>
      </c>
    </row>
    <row r="3974" spans="1:8" x14ac:dyDescent="0.2">
      <c r="A3974" s="1027"/>
      <c r="B3974" s="1083">
        <f>Risk_Compensation!A$1</f>
        <v>36</v>
      </c>
      <c r="C3974" s="1390" t="str">
        <f>Risk_Compensation!$B$1</f>
        <v xml:space="preserve">Risikoausgleich </v>
      </c>
      <c r="D3974" s="2205" t="s">
        <v>2572</v>
      </c>
      <c r="E3974" s="1390">
        <f>Risk_Compensation!$G58</f>
        <v>41</v>
      </c>
      <c r="F3974" s="1390" t="str">
        <f>Risk_Compensation!$P$17</f>
        <v>GL</v>
      </c>
      <c r="G3974" s="1390"/>
      <c r="H3974" s="1077">
        <f>Risk_Compensation!$P58</f>
        <v>0</v>
      </c>
    </row>
    <row r="3975" spans="1:8" x14ac:dyDescent="0.2">
      <c r="A3975" s="1027"/>
      <c r="B3975" s="1083">
        <f>Risk_Compensation!A$1</f>
        <v>36</v>
      </c>
      <c r="C3975" s="1390" t="str">
        <f>Risk_Compensation!$B$1</f>
        <v xml:space="preserve">Risikoausgleich </v>
      </c>
      <c r="D3975" s="2205" t="s">
        <v>2572</v>
      </c>
      <c r="E3975" s="1390">
        <f>Risk_Compensation!$G59</f>
        <v>42</v>
      </c>
      <c r="F3975" s="1390" t="str">
        <f>Risk_Compensation!$P$17</f>
        <v>GL</v>
      </c>
      <c r="G3975" s="1390"/>
      <c r="H3975" s="1077">
        <f>Risk_Compensation!$P59</f>
        <v>0</v>
      </c>
    </row>
    <row r="3976" spans="1:8" x14ac:dyDescent="0.2">
      <c r="A3976" s="1027"/>
      <c r="B3976" s="1083">
        <f>Risk_Compensation!A$1</f>
        <v>36</v>
      </c>
      <c r="C3976" s="1390" t="str">
        <f>Risk_Compensation!$B$1</f>
        <v xml:space="preserve">Risikoausgleich </v>
      </c>
      <c r="D3976" s="2205" t="s">
        <v>2572</v>
      </c>
      <c r="E3976" s="1390">
        <f>Risk_Compensation!$G60</f>
        <v>43</v>
      </c>
      <c r="F3976" s="1390" t="str">
        <f>Risk_Compensation!$P$17</f>
        <v>GL</v>
      </c>
      <c r="G3976" s="1390"/>
      <c r="H3976" s="1077">
        <f>Risk_Compensation!$P60</f>
        <v>0</v>
      </c>
    </row>
    <row r="3977" spans="1:8" x14ac:dyDescent="0.2">
      <c r="A3977" s="1027"/>
      <c r="B3977" s="1083">
        <f>Risk_Compensation!A$1</f>
        <v>36</v>
      </c>
      <c r="C3977" s="1390" t="str">
        <f>Risk_Compensation!$B$1</f>
        <v xml:space="preserve">Risikoausgleich </v>
      </c>
      <c r="D3977" s="2205" t="s">
        <v>2572</v>
      </c>
      <c r="E3977" s="1390">
        <f>Risk_Compensation!$G61</f>
        <v>44</v>
      </c>
      <c r="F3977" s="1390" t="str">
        <f>Risk_Compensation!$P$17</f>
        <v>GL</v>
      </c>
      <c r="G3977" s="1390"/>
      <c r="H3977" s="1077">
        <f>Risk_Compensation!$P61</f>
        <v>0</v>
      </c>
    </row>
    <row r="3978" spans="1:8" x14ac:dyDescent="0.2">
      <c r="A3978" s="1027"/>
      <c r="B3978" s="1083">
        <f>Risk_Compensation!A$1</f>
        <v>36</v>
      </c>
      <c r="C3978" s="1390" t="str">
        <f>Risk_Compensation!$B$1</f>
        <v xml:space="preserve">Risikoausgleich </v>
      </c>
      <c r="D3978" s="2205" t="s">
        <v>2572</v>
      </c>
      <c r="E3978" s="1390">
        <f>Risk_Compensation!$G62</f>
        <v>45</v>
      </c>
      <c r="F3978" s="1390" t="str">
        <f>Risk_Compensation!$P$17</f>
        <v>GL</v>
      </c>
      <c r="G3978" s="1390"/>
      <c r="H3978" s="1077">
        <f>Risk_Compensation!$P62</f>
        <v>0</v>
      </c>
    </row>
    <row r="3979" spans="1:8" x14ac:dyDescent="0.2">
      <c r="A3979" s="1027"/>
      <c r="B3979" s="1083">
        <f>Risk_Compensation!A$1</f>
        <v>36</v>
      </c>
      <c r="C3979" s="1390" t="str">
        <f>Risk_Compensation!$B$1</f>
        <v xml:space="preserve">Risikoausgleich </v>
      </c>
      <c r="D3979" s="2205" t="s">
        <v>2572</v>
      </c>
      <c r="E3979" s="1390">
        <f>Risk_Compensation!$G63</f>
        <v>46</v>
      </c>
      <c r="F3979" s="1390" t="str">
        <f>Risk_Compensation!$P$17</f>
        <v>GL</v>
      </c>
      <c r="G3979" s="1390"/>
      <c r="H3979" s="1077">
        <f>Risk_Compensation!$P63</f>
        <v>0</v>
      </c>
    </row>
    <row r="3980" spans="1:8" x14ac:dyDescent="0.2">
      <c r="A3980" s="1027"/>
      <c r="B3980" s="1083">
        <f>Risk_Compensation!A$1</f>
        <v>36</v>
      </c>
      <c r="C3980" s="1390" t="str">
        <f>Risk_Compensation!$B$1</f>
        <v xml:space="preserve">Risikoausgleich </v>
      </c>
      <c r="D3980" s="2205" t="s">
        <v>2572</v>
      </c>
      <c r="E3980" s="1390">
        <f>Risk_Compensation!$G64</f>
        <v>47</v>
      </c>
      <c r="F3980" s="1390" t="str">
        <f>Risk_Compensation!$P$17</f>
        <v>GL</v>
      </c>
      <c r="G3980" s="1390"/>
      <c r="H3980" s="1077">
        <f>Risk_Compensation!$P64</f>
        <v>0</v>
      </c>
    </row>
    <row r="3981" spans="1:8" x14ac:dyDescent="0.2">
      <c r="A3981" s="1027"/>
      <c r="B3981" s="1083">
        <f>Risk_Compensation!A$1</f>
        <v>36</v>
      </c>
      <c r="C3981" s="1390" t="str">
        <f>Risk_Compensation!$B$1</f>
        <v xml:space="preserve">Risikoausgleich </v>
      </c>
      <c r="D3981" s="2205" t="s">
        <v>2572</v>
      </c>
      <c r="E3981" s="1390">
        <f>Risk_Compensation!$G65</f>
        <v>48</v>
      </c>
      <c r="F3981" s="1390" t="str">
        <f>Risk_Compensation!$P$17</f>
        <v>GL</v>
      </c>
      <c r="G3981" s="1390"/>
      <c r="H3981" s="1077">
        <f>Risk_Compensation!$P65</f>
        <v>0</v>
      </c>
    </row>
    <row r="3982" spans="1:8" x14ac:dyDescent="0.2">
      <c r="A3982" s="1027"/>
      <c r="B3982" s="1083">
        <f>Risk_Compensation!A$1</f>
        <v>36</v>
      </c>
      <c r="C3982" s="1390" t="str">
        <f>Risk_Compensation!$B$1</f>
        <v xml:space="preserve">Risikoausgleich </v>
      </c>
      <c r="D3982" s="2205" t="s">
        <v>2572</v>
      </c>
      <c r="E3982" s="1390">
        <f>Risk_Compensation!$G66</f>
        <v>49</v>
      </c>
      <c r="F3982" s="1390" t="str">
        <f>Risk_Compensation!$P$17</f>
        <v>GL</v>
      </c>
      <c r="G3982" s="1390"/>
      <c r="H3982" s="1077">
        <f>Risk_Compensation!$P66</f>
        <v>0</v>
      </c>
    </row>
    <row r="3983" spans="1:8" x14ac:dyDescent="0.2">
      <c r="A3983" s="1027"/>
      <c r="B3983" s="1083">
        <f>Risk_Compensation!A$1</f>
        <v>36</v>
      </c>
      <c r="C3983" s="1390" t="str">
        <f>Risk_Compensation!$B$1</f>
        <v xml:space="preserve">Risikoausgleich </v>
      </c>
      <c r="D3983" s="2205" t="s">
        <v>2572</v>
      </c>
      <c r="E3983" s="1390">
        <f>Risk_Compensation!$G67</f>
        <v>50</v>
      </c>
      <c r="F3983" s="1390" t="str">
        <f>Risk_Compensation!$P$17</f>
        <v>GL</v>
      </c>
      <c r="G3983" s="1390"/>
      <c r="H3983" s="1077">
        <f>Risk_Compensation!$P67</f>
        <v>0</v>
      </c>
    </row>
    <row r="3984" spans="1:8" x14ac:dyDescent="0.2">
      <c r="A3984" s="1027"/>
      <c r="B3984" s="1083">
        <f>Risk_Compensation!A$1</f>
        <v>36</v>
      </c>
      <c r="C3984" s="1390" t="str">
        <f>Risk_Compensation!$B$1</f>
        <v xml:space="preserve">Risikoausgleich </v>
      </c>
      <c r="D3984" s="2205" t="s">
        <v>2572</v>
      </c>
      <c r="E3984" s="1390">
        <f>Risk_Compensation!$G68</f>
        <v>51</v>
      </c>
      <c r="F3984" s="1390" t="str">
        <f>Risk_Compensation!$P$17</f>
        <v>GL</v>
      </c>
      <c r="G3984" s="1390"/>
      <c r="H3984" s="1077">
        <f>Risk_Compensation!$P68</f>
        <v>0</v>
      </c>
    </row>
    <row r="3985" spans="1:8" x14ac:dyDescent="0.2">
      <c r="A3985" s="1027"/>
      <c r="B3985" s="1083">
        <f>Risk_Compensation!A$1</f>
        <v>36</v>
      </c>
      <c r="C3985" s="1390" t="str">
        <f>Risk_Compensation!$B$1</f>
        <v xml:space="preserve">Risikoausgleich </v>
      </c>
      <c r="D3985" s="2205" t="s">
        <v>2572</v>
      </c>
      <c r="E3985" s="1390">
        <f>Risk_Compensation!$G69</f>
        <v>52</v>
      </c>
      <c r="F3985" s="1390" t="str">
        <f>Risk_Compensation!$P$17</f>
        <v>GL</v>
      </c>
      <c r="G3985" s="1390"/>
      <c r="H3985" s="1077">
        <f>Risk_Compensation!$P69</f>
        <v>0</v>
      </c>
    </row>
    <row r="3986" spans="1:8" x14ac:dyDescent="0.2">
      <c r="A3986" s="1027"/>
      <c r="B3986" s="1083">
        <f>Risk_Compensation!A$1</f>
        <v>36</v>
      </c>
      <c r="C3986" s="1390" t="str">
        <f>Risk_Compensation!$B$1</f>
        <v xml:space="preserve">Risikoausgleich </v>
      </c>
      <c r="D3986" s="2205" t="s">
        <v>2572</v>
      </c>
      <c r="E3986" s="1390">
        <f>Risk_Compensation!$G70</f>
        <v>53</v>
      </c>
      <c r="F3986" s="1390" t="str">
        <f>Risk_Compensation!$P$17</f>
        <v>GL</v>
      </c>
      <c r="G3986" s="1390"/>
      <c r="H3986" s="1077">
        <f>Risk_Compensation!$P70</f>
        <v>0</v>
      </c>
    </row>
    <row r="3987" spans="1:8" x14ac:dyDescent="0.2">
      <c r="A3987" s="1027"/>
      <c r="B3987" s="1083">
        <f>Risk_Compensation!A$1</f>
        <v>36</v>
      </c>
      <c r="C3987" s="1390" t="str">
        <f>Risk_Compensation!$B$1</f>
        <v xml:space="preserve">Risikoausgleich </v>
      </c>
      <c r="D3987" s="2205" t="s">
        <v>2572</v>
      </c>
      <c r="E3987" s="1390">
        <f>Risk_Compensation!$G71</f>
        <v>54</v>
      </c>
      <c r="F3987" s="1390" t="str">
        <f>Risk_Compensation!$P$17</f>
        <v>GL</v>
      </c>
      <c r="G3987" s="1390"/>
      <c r="H3987" s="1077">
        <f>Risk_Compensation!$P71</f>
        <v>0</v>
      </c>
    </row>
    <row r="3988" spans="1:8" x14ac:dyDescent="0.2">
      <c r="A3988" s="1027"/>
      <c r="B3988" s="1083">
        <f>Risk_Compensation!A$1</f>
        <v>36</v>
      </c>
      <c r="C3988" s="1390" t="str">
        <f>Risk_Compensation!$B$1</f>
        <v xml:space="preserve">Risikoausgleich </v>
      </c>
      <c r="D3988" s="2205" t="s">
        <v>2572</v>
      </c>
      <c r="E3988" s="1390">
        <f>Risk_Compensation!$G72</f>
        <v>55</v>
      </c>
      <c r="F3988" s="1390" t="str">
        <f>Risk_Compensation!$P$17</f>
        <v>GL</v>
      </c>
      <c r="G3988" s="1390"/>
      <c r="H3988" s="1077">
        <f>Risk_Compensation!$P72</f>
        <v>0</v>
      </c>
    </row>
    <row r="3989" spans="1:8" x14ac:dyDescent="0.2">
      <c r="A3989" s="1027"/>
      <c r="B3989" s="1083">
        <f>Risk_Compensation!A$1</f>
        <v>36</v>
      </c>
      <c r="C3989" s="1390" t="str">
        <f>Risk_Compensation!$B$1</f>
        <v xml:space="preserve">Risikoausgleich </v>
      </c>
      <c r="D3989" s="2205" t="s">
        <v>2572</v>
      </c>
      <c r="E3989" s="1390">
        <f>Risk_Compensation!$G73</f>
        <v>56</v>
      </c>
      <c r="F3989" s="1390" t="str">
        <f>Risk_Compensation!$P$17</f>
        <v>GL</v>
      </c>
      <c r="G3989" s="1390"/>
      <c r="H3989" s="1077">
        <f>Risk_Compensation!$P73</f>
        <v>0</v>
      </c>
    </row>
    <row r="3990" spans="1:8" x14ac:dyDescent="0.2">
      <c r="A3990" s="1027"/>
      <c r="B3990" s="1083">
        <f>Risk_Compensation!A$1</f>
        <v>36</v>
      </c>
      <c r="C3990" s="1390" t="str">
        <f>Risk_Compensation!$B$1</f>
        <v xml:space="preserve">Risikoausgleich </v>
      </c>
      <c r="D3990" s="2205" t="s">
        <v>2572</v>
      </c>
      <c r="E3990" s="1390">
        <f>Risk_Compensation!$G74</f>
        <v>57</v>
      </c>
      <c r="F3990" s="1390" t="str">
        <f>Risk_Compensation!$P$17</f>
        <v>GL</v>
      </c>
      <c r="G3990" s="1390"/>
      <c r="H3990" s="1077">
        <f>Risk_Compensation!$P74</f>
        <v>0</v>
      </c>
    </row>
    <row r="3991" spans="1:8" x14ac:dyDescent="0.2">
      <c r="A3991" s="1027"/>
      <c r="B3991" s="1083">
        <f>Risk_Compensation!A$1</f>
        <v>36</v>
      </c>
      <c r="C3991" s="1390" t="str">
        <f>Risk_Compensation!$B$1</f>
        <v xml:space="preserve">Risikoausgleich </v>
      </c>
      <c r="D3991" s="2205" t="s">
        <v>2572</v>
      </c>
      <c r="E3991" s="1390">
        <f>Risk_Compensation!$G75</f>
        <v>58</v>
      </c>
      <c r="F3991" s="1390" t="str">
        <f>Risk_Compensation!$P$17</f>
        <v>GL</v>
      </c>
      <c r="G3991" s="1390"/>
      <c r="H3991" s="1077">
        <f>Risk_Compensation!$P75</f>
        <v>0</v>
      </c>
    </row>
    <row r="3992" spans="1:8" x14ac:dyDescent="0.2">
      <c r="A3992" s="1027"/>
      <c r="B3992" s="1083">
        <f>Risk_Compensation!A$1</f>
        <v>36</v>
      </c>
      <c r="C3992" s="1390" t="str">
        <f>Risk_Compensation!$B$1</f>
        <v xml:space="preserve">Risikoausgleich </v>
      </c>
      <c r="D3992" s="2205" t="s">
        <v>2572</v>
      </c>
      <c r="E3992" s="1390">
        <f>Risk_Compensation!$G76</f>
        <v>59</v>
      </c>
      <c r="F3992" s="1390" t="str">
        <f>Risk_Compensation!$P$17</f>
        <v>GL</v>
      </c>
      <c r="G3992" s="1390"/>
      <c r="H3992" s="1077">
        <f>Risk_Compensation!$P76</f>
        <v>0</v>
      </c>
    </row>
    <row r="3993" spans="1:8" x14ac:dyDescent="0.2">
      <c r="A3993" s="1027"/>
      <c r="B3993" s="1083">
        <f>Risk_Compensation!A$1</f>
        <v>36</v>
      </c>
      <c r="C3993" s="1390" t="str">
        <f>Risk_Compensation!$B$1</f>
        <v xml:space="preserve">Risikoausgleich </v>
      </c>
      <c r="D3993" s="2205" t="s">
        <v>2572</v>
      </c>
      <c r="E3993" s="1390">
        <f>Risk_Compensation!$G77</f>
        <v>60</v>
      </c>
      <c r="F3993" s="1390" t="str">
        <f>Risk_Compensation!$P$17</f>
        <v>GL</v>
      </c>
      <c r="G3993" s="1390"/>
      <c r="H3993" s="1077">
        <f>Risk_Compensation!$P77</f>
        <v>0</v>
      </c>
    </row>
    <row r="3994" spans="1:8" x14ac:dyDescent="0.2">
      <c r="A3994" s="1027"/>
      <c r="B3994" s="2174"/>
      <c r="C3994" s="1390"/>
      <c r="D3994" s="2175"/>
      <c r="E3994" s="2176"/>
      <c r="F3994" s="1390"/>
      <c r="G3994" s="1390"/>
      <c r="H3994" s="1078"/>
    </row>
    <row r="3995" spans="1:8" x14ac:dyDescent="0.2">
      <c r="A3995" s="1027"/>
      <c r="B3995" s="1083">
        <f>Risk_Compensation!A$1</f>
        <v>36</v>
      </c>
      <c r="C3995" s="1390" t="str">
        <f>Risk_Compensation!$B$1</f>
        <v xml:space="preserve">Risikoausgleich </v>
      </c>
      <c r="D3995" s="2205" t="s">
        <v>2572</v>
      </c>
      <c r="E3995" s="1390">
        <f>Risk_Compensation!$G18</f>
        <v>1</v>
      </c>
      <c r="F3995" s="1390" t="str">
        <f>Risk_Compensation!$Q$17</f>
        <v>GR</v>
      </c>
      <c r="G3995" s="1390"/>
      <c r="H3995" s="1077">
        <f>Risk_Compensation!$Q18</f>
        <v>0</v>
      </c>
    </row>
    <row r="3996" spans="1:8" x14ac:dyDescent="0.2">
      <c r="A3996" s="1027"/>
      <c r="B3996" s="1083">
        <f>Risk_Compensation!A$1</f>
        <v>36</v>
      </c>
      <c r="C3996" s="1390" t="str">
        <f>Risk_Compensation!$B$1</f>
        <v xml:space="preserve">Risikoausgleich </v>
      </c>
      <c r="D3996" s="2205" t="s">
        <v>2572</v>
      </c>
      <c r="E3996" s="1390">
        <f>Risk_Compensation!$G19</f>
        <v>2</v>
      </c>
      <c r="F3996" s="1390" t="str">
        <f>Risk_Compensation!$Q$17</f>
        <v>GR</v>
      </c>
      <c r="G3996" s="1390"/>
      <c r="H3996" s="1077">
        <f>Risk_Compensation!$Q19</f>
        <v>0</v>
      </c>
    </row>
    <row r="3997" spans="1:8" x14ac:dyDescent="0.2">
      <c r="A3997" s="1027"/>
      <c r="B3997" s="1083">
        <f>Risk_Compensation!A$1</f>
        <v>36</v>
      </c>
      <c r="C3997" s="1390" t="str">
        <f>Risk_Compensation!$B$1</f>
        <v xml:space="preserve">Risikoausgleich </v>
      </c>
      <c r="D3997" s="2205" t="s">
        <v>2572</v>
      </c>
      <c r="E3997" s="1390">
        <f>Risk_Compensation!$G20</f>
        <v>3</v>
      </c>
      <c r="F3997" s="1390" t="str">
        <f>Risk_Compensation!$Q$17</f>
        <v>GR</v>
      </c>
      <c r="G3997" s="1390"/>
      <c r="H3997" s="1077">
        <f>Risk_Compensation!$Q20</f>
        <v>0</v>
      </c>
    </row>
    <row r="3998" spans="1:8" x14ac:dyDescent="0.2">
      <c r="A3998" s="1027"/>
      <c r="B3998" s="1083">
        <f>Risk_Compensation!A$1</f>
        <v>36</v>
      </c>
      <c r="C3998" s="1390" t="str">
        <f>Risk_Compensation!$B$1</f>
        <v xml:space="preserve">Risikoausgleich </v>
      </c>
      <c r="D3998" s="2205" t="s">
        <v>2572</v>
      </c>
      <c r="E3998" s="1390">
        <f>Risk_Compensation!$G21</f>
        <v>4</v>
      </c>
      <c r="F3998" s="1390" t="str">
        <f>Risk_Compensation!$Q$17</f>
        <v>GR</v>
      </c>
      <c r="G3998" s="1390"/>
      <c r="H3998" s="1077">
        <f>Risk_Compensation!$Q21</f>
        <v>0</v>
      </c>
    </row>
    <row r="3999" spans="1:8" x14ac:dyDescent="0.2">
      <c r="A3999" s="1027"/>
      <c r="B3999" s="1083">
        <f>Risk_Compensation!A$1</f>
        <v>36</v>
      </c>
      <c r="C3999" s="1390" t="str">
        <f>Risk_Compensation!$B$1</f>
        <v xml:space="preserve">Risikoausgleich </v>
      </c>
      <c r="D3999" s="2205" t="s">
        <v>2572</v>
      </c>
      <c r="E3999" s="1390">
        <f>Risk_Compensation!$G22</f>
        <v>5</v>
      </c>
      <c r="F3999" s="1390" t="str">
        <f>Risk_Compensation!$Q$17</f>
        <v>GR</v>
      </c>
      <c r="G3999" s="1390"/>
      <c r="H3999" s="1077">
        <f>Risk_Compensation!$Q22</f>
        <v>0</v>
      </c>
    </row>
    <row r="4000" spans="1:8" x14ac:dyDescent="0.2">
      <c r="A4000" s="1027"/>
      <c r="B4000" s="1083">
        <f>Risk_Compensation!A$1</f>
        <v>36</v>
      </c>
      <c r="C4000" s="1390" t="str">
        <f>Risk_Compensation!$B$1</f>
        <v xml:space="preserve">Risikoausgleich </v>
      </c>
      <c r="D4000" s="2205" t="s">
        <v>2572</v>
      </c>
      <c r="E4000" s="1390">
        <f>Risk_Compensation!$G23</f>
        <v>6</v>
      </c>
      <c r="F4000" s="1390" t="str">
        <f>Risk_Compensation!$Q$17</f>
        <v>GR</v>
      </c>
      <c r="G4000" s="1390"/>
      <c r="H4000" s="1077">
        <f>Risk_Compensation!$Q23</f>
        <v>0</v>
      </c>
    </row>
    <row r="4001" spans="1:8" x14ac:dyDescent="0.2">
      <c r="A4001" s="1027"/>
      <c r="B4001" s="1083">
        <f>Risk_Compensation!A$1</f>
        <v>36</v>
      </c>
      <c r="C4001" s="1390" t="str">
        <f>Risk_Compensation!$B$1</f>
        <v xml:space="preserve">Risikoausgleich </v>
      </c>
      <c r="D4001" s="2205" t="s">
        <v>2572</v>
      </c>
      <c r="E4001" s="1390">
        <f>Risk_Compensation!$G24</f>
        <v>7</v>
      </c>
      <c r="F4001" s="1390" t="str">
        <f>Risk_Compensation!$Q$17</f>
        <v>GR</v>
      </c>
      <c r="G4001" s="1390"/>
      <c r="H4001" s="1077">
        <f>Risk_Compensation!$Q24</f>
        <v>0</v>
      </c>
    </row>
    <row r="4002" spans="1:8" x14ac:dyDescent="0.2">
      <c r="A4002" s="1027"/>
      <c r="B4002" s="1083">
        <f>Risk_Compensation!A$1</f>
        <v>36</v>
      </c>
      <c r="C4002" s="1390" t="str">
        <f>Risk_Compensation!$B$1</f>
        <v xml:space="preserve">Risikoausgleich </v>
      </c>
      <c r="D4002" s="2205" t="s">
        <v>2572</v>
      </c>
      <c r="E4002" s="1390">
        <f>Risk_Compensation!$G25</f>
        <v>8</v>
      </c>
      <c r="F4002" s="1390" t="str">
        <f>Risk_Compensation!$Q$17</f>
        <v>GR</v>
      </c>
      <c r="G4002" s="1390"/>
      <c r="H4002" s="1077">
        <f>Risk_Compensation!$Q25</f>
        <v>0</v>
      </c>
    </row>
    <row r="4003" spans="1:8" x14ac:dyDescent="0.2">
      <c r="A4003" s="1027"/>
      <c r="B4003" s="1083">
        <f>Risk_Compensation!A$1</f>
        <v>36</v>
      </c>
      <c r="C4003" s="1390" t="str">
        <f>Risk_Compensation!$B$1</f>
        <v xml:space="preserve">Risikoausgleich </v>
      </c>
      <c r="D4003" s="2205" t="s">
        <v>2572</v>
      </c>
      <c r="E4003" s="1390">
        <f>Risk_Compensation!$G26</f>
        <v>9</v>
      </c>
      <c r="F4003" s="1390" t="str">
        <f>Risk_Compensation!$Q$17</f>
        <v>GR</v>
      </c>
      <c r="G4003" s="1390"/>
      <c r="H4003" s="1077">
        <f>Risk_Compensation!$Q26</f>
        <v>0</v>
      </c>
    </row>
    <row r="4004" spans="1:8" x14ac:dyDescent="0.2">
      <c r="A4004" s="1027"/>
      <c r="B4004" s="1083">
        <f>Risk_Compensation!A$1</f>
        <v>36</v>
      </c>
      <c r="C4004" s="1390" t="str">
        <f>Risk_Compensation!$B$1</f>
        <v xml:space="preserve">Risikoausgleich </v>
      </c>
      <c r="D4004" s="2205" t="s">
        <v>2572</v>
      </c>
      <c r="E4004" s="1390">
        <f>Risk_Compensation!$G27</f>
        <v>10</v>
      </c>
      <c r="F4004" s="1390" t="str">
        <f>Risk_Compensation!$Q$17</f>
        <v>GR</v>
      </c>
      <c r="G4004" s="1390"/>
      <c r="H4004" s="1077">
        <f>Risk_Compensation!$Q27</f>
        <v>0</v>
      </c>
    </row>
    <row r="4005" spans="1:8" x14ac:dyDescent="0.2">
      <c r="A4005" s="1027"/>
      <c r="B4005" s="1083">
        <f>Risk_Compensation!A$1</f>
        <v>36</v>
      </c>
      <c r="C4005" s="1390" t="str">
        <f>Risk_Compensation!$B$1</f>
        <v xml:space="preserve">Risikoausgleich </v>
      </c>
      <c r="D4005" s="2205" t="s">
        <v>2572</v>
      </c>
      <c r="E4005" s="1390">
        <f>Risk_Compensation!$G28</f>
        <v>11</v>
      </c>
      <c r="F4005" s="1390" t="str">
        <f>Risk_Compensation!$Q$17</f>
        <v>GR</v>
      </c>
      <c r="G4005" s="1390"/>
      <c r="H4005" s="1077">
        <f>Risk_Compensation!$Q28</f>
        <v>0</v>
      </c>
    </row>
    <row r="4006" spans="1:8" x14ac:dyDescent="0.2">
      <c r="A4006" s="1027"/>
      <c r="B4006" s="1083">
        <f>Risk_Compensation!A$1</f>
        <v>36</v>
      </c>
      <c r="C4006" s="1390" t="str">
        <f>Risk_Compensation!$B$1</f>
        <v xml:space="preserve">Risikoausgleich </v>
      </c>
      <c r="D4006" s="2205" t="s">
        <v>2572</v>
      </c>
      <c r="E4006" s="1390">
        <f>Risk_Compensation!$G29</f>
        <v>12</v>
      </c>
      <c r="F4006" s="1390" t="str">
        <f>Risk_Compensation!$Q$17</f>
        <v>GR</v>
      </c>
      <c r="G4006" s="1390"/>
      <c r="H4006" s="1077">
        <f>Risk_Compensation!$Q29</f>
        <v>0</v>
      </c>
    </row>
    <row r="4007" spans="1:8" x14ac:dyDescent="0.2">
      <c r="A4007" s="1027"/>
      <c r="B4007" s="1083">
        <f>Risk_Compensation!A$1</f>
        <v>36</v>
      </c>
      <c r="C4007" s="1390" t="str">
        <f>Risk_Compensation!$B$1</f>
        <v xml:space="preserve">Risikoausgleich </v>
      </c>
      <c r="D4007" s="2205" t="s">
        <v>2572</v>
      </c>
      <c r="E4007" s="1390">
        <f>Risk_Compensation!$G30</f>
        <v>13</v>
      </c>
      <c r="F4007" s="1390" t="str">
        <f>Risk_Compensation!$Q$17</f>
        <v>GR</v>
      </c>
      <c r="G4007" s="1390"/>
      <c r="H4007" s="1077">
        <f>Risk_Compensation!$Q30</f>
        <v>0</v>
      </c>
    </row>
    <row r="4008" spans="1:8" x14ac:dyDescent="0.2">
      <c r="A4008" s="1027"/>
      <c r="B4008" s="1083">
        <f>Risk_Compensation!A$1</f>
        <v>36</v>
      </c>
      <c r="C4008" s="1390" t="str">
        <f>Risk_Compensation!$B$1</f>
        <v xml:space="preserve">Risikoausgleich </v>
      </c>
      <c r="D4008" s="2205" t="s">
        <v>2572</v>
      </c>
      <c r="E4008" s="1390">
        <f>Risk_Compensation!$G31</f>
        <v>14</v>
      </c>
      <c r="F4008" s="1390" t="str">
        <f>Risk_Compensation!$Q$17</f>
        <v>GR</v>
      </c>
      <c r="G4008" s="1390"/>
      <c r="H4008" s="1077">
        <f>Risk_Compensation!$Q31</f>
        <v>0</v>
      </c>
    </row>
    <row r="4009" spans="1:8" x14ac:dyDescent="0.2">
      <c r="A4009" s="1027"/>
      <c r="B4009" s="1083">
        <f>Risk_Compensation!A$1</f>
        <v>36</v>
      </c>
      <c r="C4009" s="1390" t="str">
        <f>Risk_Compensation!$B$1</f>
        <v xml:space="preserve">Risikoausgleich </v>
      </c>
      <c r="D4009" s="2205" t="s">
        <v>2572</v>
      </c>
      <c r="E4009" s="1390">
        <f>Risk_Compensation!$G32</f>
        <v>15</v>
      </c>
      <c r="F4009" s="1390" t="str">
        <f>Risk_Compensation!$Q$17</f>
        <v>GR</v>
      </c>
      <c r="G4009" s="1390"/>
      <c r="H4009" s="1077">
        <f>Risk_Compensation!$Q32</f>
        <v>0</v>
      </c>
    </row>
    <row r="4010" spans="1:8" x14ac:dyDescent="0.2">
      <c r="A4010" s="1027"/>
      <c r="B4010" s="1083">
        <f>Risk_Compensation!A$1</f>
        <v>36</v>
      </c>
      <c r="C4010" s="1390" t="str">
        <f>Risk_Compensation!$B$1</f>
        <v xml:space="preserve">Risikoausgleich </v>
      </c>
      <c r="D4010" s="2205" t="s">
        <v>2572</v>
      </c>
      <c r="E4010" s="1390">
        <f>Risk_Compensation!$G33</f>
        <v>16</v>
      </c>
      <c r="F4010" s="1390" t="str">
        <f>Risk_Compensation!$Q$17</f>
        <v>GR</v>
      </c>
      <c r="G4010" s="1390"/>
      <c r="H4010" s="1077">
        <f>Risk_Compensation!$Q33</f>
        <v>0</v>
      </c>
    </row>
    <row r="4011" spans="1:8" x14ac:dyDescent="0.2">
      <c r="A4011" s="1027"/>
      <c r="B4011" s="1083">
        <f>Risk_Compensation!A$1</f>
        <v>36</v>
      </c>
      <c r="C4011" s="1390" t="str">
        <f>Risk_Compensation!$B$1</f>
        <v xml:space="preserve">Risikoausgleich </v>
      </c>
      <c r="D4011" s="2205" t="s">
        <v>2572</v>
      </c>
      <c r="E4011" s="1390">
        <f>Risk_Compensation!$G34</f>
        <v>17</v>
      </c>
      <c r="F4011" s="1390" t="str">
        <f>Risk_Compensation!$Q$17</f>
        <v>GR</v>
      </c>
      <c r="G4011" s="1390"/>
      <c r="H4011" s="1077">
        <f>Risk_Compensation!$Q34</f>
        <v>0</v>
      </c>
    </row>
    <row r="4012" spans="1:8" x14ac:dyDescent="0.2">
      <c r="A4012" s="1027"/>
      <c r="B4012" s="1083">
        <f>Risk_Compensation!A$1</f>
        <v>36</v>
      </c>
      <c r="C4012" s="1390" t="str">
        <f>Risk_Compensation!$B$1</f>
        <v xml:space="preserve">Risikoausgleich </v>
      </c>
      <c r="D4012" s="2205" t="s">
        <v>2572</v>
      </c>
      <c r="E4012" s="1390">
        <f>Risk_Compensation!$G35</f>
        <v>18</v>
      </c>
      <c r="F4012" s="1390" t="str">
        <f>Risk_Compensation!$Q$17</f>
        <v>GR</v>
      </c>
      <c r="G4012" s="1390"/>
      <c r="H4012" s="1077">
        <f>Risk_Compensation!$Q35</f>
        <v>0</v>
      </c>
    </row>
    <row r="4013" spans="1:8" x14ac:dyDescent="0.2">
      <c r="A4013" s="1027"/>
      <c r="B4013" s="1083">
        <f>Risk_Compensation!A$1</f>
        <v>36</v>
      </c>
      <c r="C4013" s="1390" t="str">
        <f>Risk_Compensation!$B$1</f>
        <v xml:space="preserve">Risikoausgleich </v>
      </c>
      <c r="D4013" s="2205" t="s">
        <v>2572</v>
      </c>
      <c r="E4013" s="1390">
        <f>Risk_Compensation!$G36</f>
        <v>19</v>
      </c>
      <c r="F4013" s="1390" t="str">
        <f>Risk_Compensation!$Q$17</f>
        <v>GR</v>
      </c>
      <c r="G4013" s="1390"/>
      <c r="H4013" s="1077">
        <f>Risk_Compensation!$Q36</f>
        <v>0</v>
      </c>
    </row>
    <row r="4014" spans="1:8" x14ac:dyDescent="0.2">
      <c r="A4014" s="1027"/>
      <c r="B4014" s="1083">
        <f>Risk_Compensation!A$1</f>
        <v>36</v>
      </c>
      <c r="C4014" s="1390" t="str">
        <f>Risk_Compensation!$B$1</f>
        <v xml:space="preserve">Risikoausgleich </v>
      </c>
      <c r="D4014" s="2205" t="s">
        <v>2572</v>
      </c>
      <c r="E4014" s="1390">
        <f>Risk_Compensation!$G37</f>
        <v>20</v>
      </c>
      <c r="F4014" s="1390" t="str">
        <f>Risk_Compensation!$Q$17</f>
        <v>GR</v>
      </c>
      <c r="G4014" s="1390"/>
      <c r="H4014" s="1077">
        <f>Risk_Compensation!$Q37</f>
        <v>0</v>
      </c>
    </row>
    <row r="4015" spans="1:8" x14ac:dyDescent="0.2">
      <c r="A4015" s="1027"/>
      <c r="B4015" s="1083">
        <f>Risk_Compensation!A$1</f>
        <v>36</v>
      </c>
      <c r="C4015" s="1390" t="str">
        <f>Risk_Compensation!$B$1</f>
        <v xml:space="preserve">Risikoausgleich </v>
      </c>
      <c r="D4015" s="2205" t="s">
        <v>2572</v>
      </c>
      <c r="E4015" s="1390">
        <f>Risk_Compensation!$G38</f>
        <v>21</v>
      </c>
      <c r="F4015" s="1390" t="str">
        <f>Risk_Compensation!$Q$17</f>
        <v>GR</v>
      </c>
      <c r="G4015" s="1390"/>
      <c r="H4015" s="1077">
        <f>Risk_Compensation!$Q38</f>
        <v>0</v>
      </c>
    </row>
    <row r="4016" spans="1:8" x14ac:dyDescent="0.2">
      <c r="A4016" s="1027"/>
      <c r="B4016" s="1083">
        <f>Risk_Compensation!A$1</f>
        <v>36</v>
      </c>
      <c r="C4016" s="1390" t="str">
        <f>Risk_Compensation!$B$1</f>
        <v xml:space="preserve">Risikoausgleich </v>
      </c>
      <c r="D4016" s="2205" t="s">
        <v>2572</v>
      </c>
      <c r="E4016" s="1390">
        <f>Risk_Compensation!$G39</f>
        <v>22</v>
      </c>
      <c r="F4016" s="1390" t="str">
        <f>Risk_Compensation!$Q$17</f>
        <v>GR</v>
      </c>
      <c r="G4016" s="1390"/>
      <c r="H4016" s="1077">
        <f>Risk_Compensation!$Q39</f>
        <v>0</v>
      </c>
    </row>
    <row r="4017" spans="1:8" x14ac:dyDescent="0.2">
      <c r="A4017" s="1027"/>
      <c r="B4017" s="1083">
        <f>Risk_Compensation!A$1</f>
        <v>36</v>
      </c>
      <c r="C4017" s="1390" t="str">
        <f>Risk_Compensation!$B$1</f>
        <v xml:space="preserve">Risikoausgleich </v>
      </c>
      <c r="D4017" s="2205" t="s">
        <v>2572</v>
      </c>
      <c r="E4017" s="1390">
        <f>Risk_Compensation!$G40</f>
        <v>23</v>
      </c>
      <c r="F4017" s="1390" t="str">
        <f>Risk_Compensation!$Q$17</f>
        <v>GR</v>
      </c>
      <c r="G4017" s="1390"/>
      <c r="H4017" s="1077">
        <f>Risk_Compensation!$Q40</f>
        <v>0</v>
      </c>
    </row>
    <row r="4018" spans="1:8" x14ac:dyDescent="0.2">
      <c r="A4018" s="1027"/>
      <c r="B4018" s="1083">
        <f>Risk_Compensation!A$1</f>
        <v>36</v>
      </c>
      <c r="C4018" s="1390" t="str">
        <f>Risk_Compensation!$B$1</f>
        <v xml:space="preserve">Risikoausgleich </v>
      </c>
      <c r="D4018" s="2205" t="s">
        <v>2572</v>
      </c>
      <c r="E4018" s="1390">
        <f>Risk_Compensation!$G41</f>
        <v>24</v>
      </c>
      <c r="F4018" s="1390" t="str">
        <f>Risk_Compensation!$Q$17</f>
        <v>GR</v>
      </c>
      <c r="G4018" s="1390"/>
      <c r="H4018" s="1077">
        <f>Risk_Compensation!$Q41</f>
        <v>0</v>
      </c>
    </row>
    <row r="4019" spans="1:8" x14ac:dyDescent="0.2">
      <c r="A4019" s="1027"/>
      <c r="B4019" s="1083">
        <f>Risk_Compensation!A$1</f>
        <v>36</v>
      </c>
      <c r="C4019" s="1390" t="str">
        <f>Risk_Compensation!$B$1</f>
        <v xml:space="preserve">Risikoausgleich </v>
      </c>
      <c r="D4019" s="2205" t="s">
        <v>2572</v>
      </c>
      <c r="E4019" s="1390">
        <f>Risk_Compensation!$G42</f>
        <v>25</v>
      </c>
      <c r="F4019" s="1390" t="str">
        <f>Risk_Compensation!$Q$17</f>
        <v>GR</v>
      </c>
      <c r="G4019" s="1390"/>
      <c r="H4019" s="1077">
        <f>Risk_Compensation!$Q42</f>
        <v>0</v>
      </c>
    </row>
    <row r="4020" spans="1:8" x14ac:dyDescent="0.2">
      <c r="A4020" s="1027"/>
      <c r="B4020" s="1083">
        <f>Risk_Compensation!A$1</f>
        <v>36</v>
      </c>
      <c r="C4020" s="1390" t="str">
        <f>Risk_Compensation!$B$1</f>
        <v xml:space="preserve">Risikoausgleich </v>
      </c>
      <c r="D4020" s="2205" t="s">
        <v>2572</v>
      </c>
      <c r="E4020" s="1390">
        <f>Risk_Compensation!$G43</f>
        <v>26</v>
      </c>
      <c r="F4020" s="1390" t="str">
        <f>Risk_Compensation!$Q$17</f>
        <v>GR</v>
      </c>
      <c r="G4020" s="1390"/>
      <c r="H4020" s="1077">
        <f>Risk_Compensation!$Q43</f>
        <v>0</v>
      </c>
    </row>
    <row r="4021" spans="1:8" x14ac:dyDescent="0.2">
      <c r="A4021" s="1027"/>
      <c r="B4021" s="1083">
        <f>Risk_Compensation!A$1</f>
        <v>36</v>
      </c>
      <c r="C4021" s="1390" t="str">
        <f>Risk_Compensation!$B$1</f>
        <v xml:space="preserve">Risikoausgleich </v>
      </c>
      <c r="D4021" s="2205" t="s">
        <v>2572</v>
      </c>
      <c r="E4021" s="1390">
        <f>Risk_Compensation!$G44</f>
        <v>27</v>
      </c>
      <c r="F4021" s="1390" t="str">
        <f>Risk_Compensation!$Q$17</f>
        <v>GR</v>
      </c>
      <c r="G4021" s="1390"/>
      <c r="H4021" s="1077">
        <f>Risk_Compensation!$Q44</f>
        <v>0</v>
      </c>
    </row>
    <row r="4022" spans="1:8" x14ac:dyDescent="0.2">
      <c r="A4022" s="1027"/>
      <c r="B4022" s="1083">
        <f>Risk_Compensation!A$1</f>
        <v>36</v>
      </c>
      <c r="C4022" s="1390" t="str">
        <f>Risk_Compensation!$B$1</f>
        <v xml:space="preserve">Risikoausgleich </v>
      </c>
      <c r="D4022" s="2205" t="s">
        <v>2572</v>
      </c>
      <c r="E4022" s="1390">
        <f>Risk_Compensation!$G45</f>
        <v>28</v>
      </c>
      <c r="F4022" s="1390" t="str">
        <f>Risk_Compensation!$Q$17</f>
        <v>GR</v>
      </c>
      <c r="G4022" s="1390"/>
      <c r="H4022" s="1077">
        <f>Risk_Compensation!$Q45</f>
        <v>0</v>
      </c>
    </row>
    <row r="4023" spans="1:8" x14ac:dyDescent="0.2">
      <c r="A4023" s="1027"/>
      <c r="B4023" s="1083">
        <f>Risk_Compensation!A$1</f>
        <v>36</v>
      </c>
      <c r="C4023" s="1390" t="str">
        <f>Risk_Compensation!$B$1</f>
        <v xml:space="preserve">Risikoausgleich </v>
      </c>
      <c r="D4023" s="2205" t="s">
        <v>2572</v>
      </c>
      <c r="E4023" s="1390">
        <f>Risk_Compensation!$G46</f>
        <v>29</v>
      </c>
      <c r="F4023" s="1390" t="str">
        <f>Risk_Compensation!$Q$17</f>
        <v>GR</v>
      </c>
      <c r="G4023" s="1390"/>
      <c r="H4023" s="1077">
        <f>Risk_Compensation!$Q46</f>
        <v>0</v>
      </c>
    </row>
    <row r="4024" spans="1:8" x14ac:dyDescent="0.2">
      <c r="A4024" s="1027"/>
      <c r="B4024" s="1083">
        <f>Risk_Compensation!A$1</f>
        <v>36</v>
      </c>
      <c r="C4024" s="1390" t="str">
        <f>Risk_Compensation!$B$1</f>
        <v xml:space="preserve">Risikoausgleich </v>
      </c>
      <c r="D4024" s="2205" t="s">
        <v>2572</v>
      </c>
      <c r="E4024" s="1390">
        <f>Risk_Compensation!$G47</f>
        <v>30</v>
      </c>
      <c r="F4024" s="1390" t="str">
        <f>Risk_Compensation!$Q$17</f>
        <v>GR</v>
      </c>
      <c r="G4024" s="1390"/>
      <c r="H4024" s="1077">
        <f>Risk_Compensation!$Q47</f>
        <v>0</v>
      </c>
    </row>
    <row r="4025" spans="1:8" x14ac:dyDescent="0.2">
      <c r="A4025" s="1027"/>
      <c r="B4025" s="1083">
        <f>Risk_Compensation!A$1</f>
        <v>36</v>
      </c>
      <c r="C4025" s="1390" t="str">
        <f>Risk_Compensation!$B$1</f>
        <v xml:space="preserve">Risikoausgleich </v>
      </c>
      <c r="D4025" s="2205" t="s">
        <v>2572</v>
      </c>
      <c r="E4025" s="1390">
        <f>Risk_Compensation!$G48</f>
        <v>31</v>
      </c>
      <c r="F4025" s="1390" t="str">
        <f>Risk_Compensation!$Q$17</f>
        <v>GR</v>
      </c>
      <c r="G4025" s="1390"/>
      <c r="H4025" s="1077">
        <f>Risk_Compensation!$Q48</f>
        <v>0</v>
      </c>
    </row>
    <row r="4026" spans="1:8" x14ac:dyDescent="0.2">
      <c r="A4026" s="1027"/>
      <c r="B4026" s="1083">
        <f>Risk_Compensation!A$1</f>
        <v>36</v>
      </c>
      <c r="C4026" s="1390" t="str">
        <f>Risk_Compensation!$B$1</f>
        <v xml:space="preserve">Risikoausgleich </v>
      </c>
      <c r="D4026" s="2205" t="s">
        <v>2572</v>
      </c>
      <c r="E4026" s="1390">
        <f>Risk_Compensation!$G49</f>
        <v>32</v>
      </c>
      <c r="F4026" s="1390" t="str">
        <f>Risk_Compensation!$Q$17</f>
        <v>GR</v>
      </c>
      <c r="G4026" s="1390"/>
      <c r="H4026" s="1077">
        <f>Risk_Compensation!$Q49</f>
        <v>0</v>
      </c>
    </row>
    <row r="4027" spans="1:8" x14ac:dyDescent="0.2">
      <c r="A4027" s="1027"/>
      <c r="B4027" s="1083">
        <f>Risk_Compensation!A$1</f>
        <v>36</v>
      </c>
      <c r="C4027" s="1390" t="str">
        <f>Risk_Compensation!$B$1</f>
        <v xml:space="preserve">Risikoausgleich </v>
      </c>
      <c r="D4027" s="2205" t="s">
        <v>2572</v>
      </c>
      <c r="E4027" s="1390">
        <f>Risk_Compensation!$G50</f>
        <v>33</v>
      </c>
      <c r="F4027" s="1390" t="str">
        <f>Risk_Compensation!$Q$17</f>
        <v>GR</v>
      </c>
      <c r="G4027" s="1390"/>
      <c r="H4027" s="1077">
        <f>Risk_Compensation!$Q50</f>
        <v>0</v>
      </c>
    </row>
    <row r="4028" spans="1:8" x14ac:dyDescent="0.2">
      <c r="A4028" s="1027"/>
      <c r="B4028" s="1083">
        <f>Risk_Compensation!A$1</f>
        <v>36</v>
      </c>
      <c r="C4028" s="1390" t="str">
        <f>Risk_Compensation!$B$1</f>
        <v xml:space="preserve">Risikoausgleich </v>
      </c>
      <c r="D4028" s="2205" t="s">
        <v>2572</v>
      </c>
      <c r="E4028" s="1390">
        <f>Risk_Compensation!$G51</f>
        <v>34</v>
      </c>
      <c r="F4028" s="1390" t="str">
        <f>Risk_Compensation!$Q$17</f>
        <v>GR</v>
      </c>
      <c r="G4028" s="1390"/>
      <c r="H4028" s="1077">
        <f>Risk_Compensation!$Q51</f>
        <v>0</v>
      </c>
    </row>
    <row r="4029" spans="1:8" x14ac:dyDescent="0.2">
      <c r="A4029" s="1027"/>
      <c r="B4029" s="1083">
        <f>Risk_Compensation!A$1</f>
        <v>36</v>
      </c>
      <c r="C4029" s="1390" t="str">
        <f>Risk_Compensation!$B$1</f>
        <v xml:space="preserve">Risikoausgleich </v>
      </c>
      <c r="D4029" s="2205" t="s">
        <v>2572</v>
      </c>
      <c r="E4029" s="1390">
        <f>Risk_Compensation!$G52</f>
        <v>35</v>
      </c>
      <c r="F4029" s="1390" t="str">
        <f>Risk_Compensation!$Q$17</f>
        <v>GR</v>
      </c>
      <c r="G4029" s="1390"/>
      <c r="H4029" s="1077">
        <f>Risk_Compensation!$Q52</f>
        <v>0</v>
      </c>
    </row>
    <row r="4030" spans="1:8" x14ac:dyDescent="0.2">
      <c r="A4030" s="1027"/>
      <c r="B4030" s="1083">
        <f>Risk_Compensation!A$1</f>
        <v>36</v>
      </c>
      <c r="C4030" s="1390" t="str">
        <f>Risk_Compensation!$B$1</f>
        <v xml:space="preserve">Risikoausgleich </v>
      </c>
      <c r="D4030" s="2205" t="s">
        <v>2572</v>
      </c>
      <c r="E4030" s="1390">
        <f>Risk_Compensation!$G53</f>
        <v>36</v>
      </c>
      <c r="F4030" s="1390" t="str">
        <f>Risk_Compensation!$Q$17</f>
        <v>GR</v>
      </c>
      <c r="G4030" s="1390"/>
      <c r="H4030" s="1077">
        <f>Risk_Compensation!$Q53</f>
        <v>0</v>
      </c>
    </row>
    <row r="4031" spans="1:8" x14ac:dyDescent="0.2">
      <c r="A4031" s="1027"/>
      <c r="B4031" s="1083">
        <f>Risk_Compensation!A$1</f>
        <v>36</v>
      </c>
      <c r="C4031" s="1390" t="str">
        <f>Risk_Compensation!$B$1</f>
        <v xml:space="preserve">Risikoausgleich </v>
      </c>
      <c r="D4031" s="2205" t="s">
        <v>2572</v>
      </c>
      <c r="E4031" s="1390">
        <f>Risk_Compensation!$G54</f>
        <v>37</v>
      </c>
      <c r="F4031" s="1390" t="str">
        <f>Risk_Compensation!$Q$17</f>
        <v>GR</v>
      </c>
      <c r="G4031" s="1390"/>
      <c r="H4031" s="1077">
        <f>Risk_Compensation!$Q54</f>
        <v>0</v>
      </c>
    </row>
    <row r="4032" spans="1:8" x14ac:dyDescent="0.2">
      <c r="A4032" s="1027"/>
      <c r="B4032" s="1083">
        <f>Risk_Compensation!A$1</f>
        <v>36</v>
      </c>
      <c r="C4032" s="1390" t="str">
        <f>Risk_Compensation!$B$1</f>
        <v xml:space="preserve">Risikoausgleich </v>
      </c>
      <c r="D4032" s="2205" t="s">
        <v>2572</v>
      </c>
      <c r="E4032" s="1390">
        <f>Risk_Compensation!$G55</f>
        <v>38</v>
      </c>
      <c r="F4032" s="1390" t="str">
        <f>Risk_Compensation!$Q$17</f>
        <v>GR</v>
      </c>
      <c r="G4032" s="1390"/>
      <c r="H4032" s="1077">
        <f>Risk_Compensation!$Q55</f>
        <v>0</v>
      </c>
    </row>
    <row r="4033" spans="1:8" x14ac:dyDescent="0.2">
      <c r="A4033" s="1027"/>
      <c r="B4033" s="1083">
        <f>Risk_Compensation!A$1</f>
        <v>36</v>
      </c>
      <c r="C4033" s="1390" t="str">
        <f>Risk_Compensation!$B$1</f>
        <v xml:space="preserve">Risikoausgleich </v>
      </c>
      <c r="D4033" s="2205" t="s">
        <v>2572</v>
      </c>
      <c r="E4033" s="1390">
        <f>Risk_Compensation!$G56</f>
        <v>39</v>
      </c>
      <c r="F4033" s="1390" t="str">
        <f>Risk_Compensation!$Q$17</f>
        <v>GR</v>
      </c>
      <c r="G4033" s="1390"/>
      <c r="H4033" s="1077">
        <f>Risk_Compensation!$Q56</f>
        <v>0</v>
      </c>
    </row>
    <row r="4034" spans="1:8" x14ac:dyDescent="0.2">
      <c r="A4034" s="1027"/>
      <c r="B4034" s="1083">
        <f>Risk_Compensation!A$1</f>
        <v>36</v>
      </c>
      <c r="C4034" s="1390" t="str">
        <f>Risk_Compensation!$B$1</f>
        <v xml:space="preserve">Risikoausgleich </v>
      </c>
      <c r="D4034" s="2205" t="s">
        <v>2572</v>
      </c>
      <c r="E4034" s="1390">
        <f>Risk_Compensation!$G57</f>
        <v>40</v>
      </c>
      <c r="F4034" s="1390" t="str">
        <f>Risk_Compensation!$Q$17</f>
        <v>GR</v>
      </c>
      <c r="G4034" s="1390"/>
      <c r="H4034" s="1077">
        <f>Risk_Compensation!$Q57</f>
        <v>0</v>
      </c>
    </row>
    <row r="4035" spans="1:8" x14ac:dyDescent="0.2">
      <c r="A4035" s="1027"/>
      <c r="B4035" s="1083">
        <f>Risk_Compensation!A$1</f>
        <v>36</v>
      </c>
      <c r="C4035" s="1390" t="str">
        <f>Risk_Compensation!$B$1</f>
        <v xml:space="preserve">Risikoausgleich </v>
      </c>
      <c r="D4035" s="2205" t="s">
        <v>2572</v>
      </c>
      <c r="E4035" s="1390">
        <f>Risk_Compensation!$G58</f>
        <v>41</v>
      </c>
      <c r="F4035" s="1390" t="str">
        <f>Risk_Compensation!$Q$17</f>
        <v>GR</v>
      </c>
      <c r="G4035" s="1390"/>
      <c r="H4035" s="1077">
        <f>Risk_Compensation!$Q58</f>
        <v>0</v>
      </c>
    </row>
    <row r="4036" spans="1:8" x14ac:dyDescent="0.2">
      <c r="A4036" s="1027"/>
      <c r="B4036" s="1083">
        <f>Risk_Compensation!A$1</f>
        <v>36</v>
      </c>
      <c r="C4036" s="1390" t="str">
        <f>Risk_Compensation!$B$1</f>
        <v xml:space="preserve">Risikoausgleich </v>
      </c>
      <c r="D4036" s="2205" t="s">
        <v>2572</v>
      </c>
      <c r="E4036" s="1390">
        <f>Risk_Compensation!$G59</f>
        <v>42</v>
      </c>
      <c r="F4036" s="1390" t="str">
        <f>Risk_Compensation!$Q$17</f>
        <v>GR</v>
      </c>
      <c r="G4036" s="1390"/>
      <c r="H4036" s="1077">
        <f>Risk_Compensation!$Q59</f>
        <v>0</v>
      </c>
    </row>
    <row r="4037" spans="1:8" x14ac:dyDescent="0.2">
      <c r="A4037" s="1027"/>
      <c r="B4037" s="1083">
        <f>Risk_Compensation!A$1</f>
        <v>36</v>
      </c>
      <c r="C4037" s="1390" t="str">
        <f>Risk_Compensation!$B$1</f>
        <v xml:space="preserve">Risikoausgleich </v>
      </c>
      <c r="D4037" s="2205" t="s">
        <v>2572</v>
      </c>
      <c r="E4037" s="1390">
        <f>Risk_Compensation!$G60</f>
        <v>43</v>
      </c>
      <c r="F4037" s="1390" t="str">
        <f>Risk_Compensation!$Q$17</f>
        <v>GR</v>
      </c>
      <c r="G4037" s="1390"/>
      <c r="H4037" s="1077">
        <f>Risk_Compensation!$Q60</f>
        <v>0</v>
      </c>
    </row>
    <row r="4038" spans="1:8" x14ac:dyDescent="0.2">
      <c r="A4038" s="1027"/>
      <c r="B4038" s="1083">
        <f>Risk_Compensation!A$1</f>
        <v>36</v>
      </c>
      <c r="C4038" s="1390" t="str">
        <f>Risk_Compensation!$B$1</f>
        <v xml:space="preserve">Risikoausgleich </v>
      </c>
      <c r="D4038" s="2205" t="s">
        <v>2572</v>
      </c>
      <c r="E4038" s="1390">
        <f>Risk_Compensation!$G61</f>
        <v>44</v>
      </c>
      <c r="F4038" s="1390" t="str">
        <f>Risk_Compensation!$Q$17</f>
        <v>GR</v>
      </c>
      <c r="G4038" s="1390"/>
      <c r="H4038" s="1077">
        <f>Risk_Compensation!$Q61</f>
        <v>0</v>
      </c>
    </row>
    <row r="4039" spans="1:8" x14ac:dyDescent="0.2">
      <c r="A4039" s="1027"/>
      <c r="B4039" s="1083">
        <f>Risk_Compensation!A$1</f>
        <v>36</v>
      </c>
      <c r="C4039" s="1390" t="str">
        <f>Risk_Compensation!$B$1</f>
        <v xml:space="preserve">Risikoausgleich </v>
      </c>
      <c r="D4039" s="2205" t="s">
        <v>2572</v>
      </c>
      <c r="E4039" s="1390">
        <f>Risk_Compensation!$G62</f>
        <v>45</v>
      </c>
      <c r="F4039" s="1390" t="str">
        <f>Risk_Compensation!$Q$17</f>
        <v>GR</v>
      </c>
      <c r="G4039" s="1390"/>
      <c r="H4039" s="1077">
        <f>Risk_Compensation!$Q62</f>
        <v>0</v>
      </c>
    </row>
    <row r="4040" spans="1:8" x14ac:dyDescent="0.2">
      <c r="A4040" s="1027"/>
      <c r="B4040" s="1083">
        <f>Risk_Compensation!A$1</f>
        <v>36</v>
      </c>
      <c r="C4040" s="1390" t="str">
        <f>Risk_Compensation!$B$1</f>
        <v xml:space="preserve">Risikoausgleich </v>
      </c>
      <c r="D4040" s="2205" t="s">
        <v>2572</v>
      </c>
      <c r="E4040" s="1390">
        <f>Risk_Compensation!$G63</f>
        <v>46</v>
      </c>
      <c r="F4040" s="1390" t="str">
        <f>Risk_Compensation!$Q$17</f>
        <v>GR</v>
      </c>
      <c r="G4040" s="1390"/>
      <c r="H4040" s="1077">
        <f>Risk_Compensation!$Q63</f>
        <v>0</v>
      </c>
    </row>
    <row r="4041" spans="1:8" x14ac:dyDescent="0.2">
      <c r="A4041" s="1027"/>
      <c r="B4041" s="1083">
        <f>Risk_Compensation!A$1</f>
        <v>36</v>
      </c>
      <c r="C4041" s="1390" t="str">
        <f>Risk_Compensation!$B$1</f>
        <v xml:space="preserve">Risikoausgleich </v>
      </c>
      <c r="D4041" s="2205" t="s">
        <v>2572</v>
      </c>
      <c r="E4041" s="1390">
        <f>Risk_Compensation!$G64</f>
        <v>47</v>
      </c>
      <c r="F4041" s="1390" t="str">
        <f>Risk_Compensation!$Q$17</f>
        <v>GR</v>
      </c>
      <c r="G4041" s="1390"/>
      <c r="H4041" s="1077">
        <f>Risk_Compensation!$Q64</f>
        <v>0</v>
      </c>
    </row>
    <row r="4042" spans="1:8" x14ac:dyDescent="0.2">
      <c r="A4042" s="1027"/>
      <c r="B4042" s="1083">
        <f>Risk_Compensation!A$1</f>
        <v>36</v>
      </c>
      <c r="C4042" s="1390" t="str">
        <f>Risk_Compensation!$B$1</f>
        <v xml:space="preserve">Risikoausgleich </v>
      </c>
      <c r="D4042" s="2205" t="s">
        <v>2572</v>
      </c>
      <c r="E4042" s="1390">
        <f>Risk_Compensation!$G65</f>
        <v>48</v>
      </c>
      <c r="F4042" s="1390" t="str">
        <f>Risk_Compensation!$Q$17</f>
        <v>GR</v>
      </c>
      <c r="G4042" s="1390"/>
      <c r="H4042" s="1077">
        <f>Risk_Compensation!$Q65</f>
        <v>0</v>
      </c>
    </row>
    <row r="4043" spans="1:8" x14ac:dyDescent="0.2">
      <c r="A4043" s="1027"/>
      <c r="B4043" s="1083">
        <f>Risk_Compensation!A$1</f>
        <v>36</v>
      </c>
      <c r="C4043" s="1390" t="str">
        <f>Risk_Compensation!$B$1</f>
        <v xml:space="preserve">Risikoausgleich </v>
      </c>
      <c r="D4043" s="2205" t="s">
        <v>2572</v>
      </c>
      <c r="E4043" s="1390">
        <f>Risk_Compensation!$G66</f>
        <v>49</v>
      </c>
      <c r="F4043" s="1390" t="str">
        <f>Risk_Compensation!$Q$17</f>
        <v>GR</v>
      </c>
      <c r="G4043" s="1390"/>
      <c r="H4043" s="1077">
        <f>Risk_Compensation!$Q66</f>
        <v>0</v>
      </c>
    </row>
    <row r="4044" spans="1:8" x14ac:dyDescent="0.2">
      <c r="A4044" s="1027"/>
      <c r="B4044" s="1083">
        <f>Risk_Compensation!A$1</f>
        <v>36</v>
      </c>
      <c r="C4044" s="1390" t="str">
        <f>Risk_Compensation!$B$1</f>
        <v xml:space="preserve">Risikoausgleich </v>
      </c>
      <c r="D4044" s="2205" t="s">
        <v>2572</v>
      </c>
      <c r="E4044" s="1390">
        <f>Risk_Compensation!$G67</f>
        <v>50</v>
      </c>
      <c r="F4044" s="1390" t="str">
        <f>Risk_Compensation!$Q$17</f>
        <v>GR</v>
      </c>
      <c r="G4044" s="1390"/>
      <c r="H4044" s="1077">
        <f>Risk_Compensation!$Q67</f>
        <v>0</v>
      </c>
    </row>
    <row r="4045" spans="1:8" x14ac:dyDescent="0.2">
      <c r="A4045" s="1027"/>
      <c r="B4045" s="1083">
        <f>Risk_Compensation!A$1</f>
        <v>36</v>
      </c>
      <c r="C4045" s="1390" t="str">
        <f>Risk_Compensation!$B$1</f>
        <v xml:space="preserve">Risikoausgleich </v>
      </c>
      <c r="D4045" s="2205" t="s">
        <v>2572</v>
      </c>
      <c r="E4045" s="1390">
        <f>Risk_Compensation!$G68</f>
        <v>51</v>
      </c>
      <c r="F4045" s="1390" t="str">
        <f>Risk_Compensation!$Q$17</f>
        <v>GR</v>
      </c>
      <c r="G4045" s="1390"/>
      <c r="H4045" s="1077">
        <f>Risk_Compensation!$Q68</f>
        <v>0</v>
      </c>
    </row>
    <row r="4046" spans="1:8" x14ac:dyDescent="0.2">
      <c r="A4046" s="1027"/>
      <c r="B4046" s="1083">
        <f>Risk_Compensation!A$1</f>
        <v>36</v>
      </c>
      <c r="C4046" s="1390" t="str">
        <f>Risk_Compensation!$B$1</f>
        <v xml:space="preserve">Risikoausgleich </v>
      </c>
      <c r="D4046" s="2205" t="s">
        <v>2572</v>
      </c>
      <c r="E4046" s="1390">
        <f>Risk_Compensation!$G69</f>
        <v>52</v>
      </c>
      <c r="F4046" s="1390" t="str">
        <f>Risk_Compensation!$Q$17</f>
        <v>GR</v>
      </c>
      <c r="G4046" s="1390"/>
      <c r="H4046" s="1077">
        <f>Risk_Compensation!$Q69</f>
        <v>0</v>
      </c>
    </row>
    <row r="4047" spans="1:8" x14ac:dyDescent="0.2">
      <c r="A4047" s="1027"/>
      <c r="B4047" s="1083">
        <f>Risk_Compensation!A$1</f>
        <v>36</v>
      </c>
      <c r="C4047" s="1390" t="str">
        <f>Risk_Compensation!$B$1</f>
        <v xml:space="preserve">Risikoausgleich </v>
      </c>
      <c r="D4047" s="2205" t="s">
        <v>2572</v>
      </c>
      <c r="E4047" s="1390">
        <f>Risk_Compensation!$G70</f>
        <v>53</v>
      </c>
      <c r="F4047" s="1390" t="str">
        <f>Risk_Compensation!$Q$17</f>
        <v>GR</v>
      </c>
      <c r="G4047" s="1390"/>
      <c r="H4047" s="1077">
        <f>Risk_Compensation!$Q70</f>
        <v>0</v>
      </c>
    </row>
    <row r="4048" spans="1:8" x14ac:dyDescent="0.2">
      <c r="A4048" s="1027"/>
      <c r="B4048" s="1083">
        <f>Risk_Compensation!A$1</f>
        <v>36</v>
      </c>
      <c r="C4048" s="1390" t="str">
        <f>Risk_Compensation!$B$1</f>
        <v xml:space="preserve">Risikoausgleich </v>
      </c>
      <c r="D4048" s="2205" t="s">
        <v>2572</v>
      </c>
      <c r="E4048" s="1390">
        <f>Risk_Compensation!$G71</f>
        <v>54</v>
      </c>
      <c r="F4048" s="1390" t="str">
        <f>Risk_Compensation!$Q$17</f>
        <v>GR</v>
      </c>
      <c r="G4048" s="1390"/>
      <c r="H4048" s="1077">
        <f>Risk_Compensation!$Q71</f>
        <v>0</v>
      </c>
    </row>
    <row r="4049" spans="1:8" x14ac:dyDescent="0.2">
      <c r="A4049" s="1027"/>
      <c r="B4049" s="1083">
        <f>Risk_Compensation!A$1</f>
        <v>36</v>
      </c>
      <c r="C4049" s="1390" t="str">
        <f>Risk_Compensation!$B$1</f>
        <v xml:space="preserve">Risikoausgleich </v>
      </c>
      <c r="D4049" s="2205" t="s">
        <v>2572</v>
      </c>
      <c r="E4049" s="1390">
        <f>Risk_Compensation!$G72</f>
        <v>55</v>
      </c>
      <c r="F4049" s="1390" t="str">
        <f>Risk_Compensation!$Q$17</f>
        <v>GR</v>
      </c>
      <c r="G4049" s="1390"/>
      <c r="H4049" s="1077">
        <f>Risk_Compensation!$Q72</f>
        <v>0</v>
      </c>
    </row>
    <row r="4050" spans="1:8" x14ac:dyDescent="0.2">
      <c r="A4050" s="1027"/>
      <c r="B4050" s="1083">
        <f>Risk_Compensation!A$1</f>
        <v>36</v>
      </c>
      <c r="C4050" s="1390" t="str">
        <f>Risk_Compensation!$B$1</f>
        <v xml:space="preserve">Risikoausgleich </v>
      </c>
      <c r="D4050" s="2205" t="s">
        <v>2572</v>
      </c>
      <c r="E4050" s="1390">
        <f>Risk_Compensation!$G73</f>
        <v>56</v>
      </c>
      <c r="F4050" s="1390" t="str">
        <f>Risk_Compensation!$Q$17</f>
        <v>GR</v>
      </c>
      <c r="G4050" s="1390"/>
      <c r="H4050" s="1077">
        <f>Risk_Compensation!$Q73</f>
        <v>0</v>
      </c>
    </row>
    <row r="4051" spans="1:8" x14ac:dyDescent="0.2">
      <c r="A4051" s="1027"/>
      <c r="B4051" s="1083">
        <f>Risk_Compensation!A$1</f>
        <v>36</v>
      </c>
      <c r="C4051" s="1390" t="str">
        <f>Risk_Compensation!$B$1</f>
        <v xml:space="preserve">Risikoausgleich </v>
      </c>
      <c r="D4051" s="2205" t="s">
        <v>2572</v>
      </c>
      <c r="E4051" s="1390">
        <f>Risk_Compensation!$G74</f>
        <v>57</v>
      </c>
      <c r="F4051" s="1390" t="str">
        <f>Risk_Compensation!$Q$17</f>
        <v>GR</v>
      </c>
      <c r="G4051" s="1390"/>
      <c r="H4051" s="1077">
        <f>Risk_Compensation!$Q74</f>
        <v>0</v>
      </c>
    </row>
    <row r="4052" spans="1:8" x14ac:dyDescent="0.2">
      <c r="A4052" s="1027"/>
      <c r="B4052" s="1083">
        <f>Risk_Compensation!A$1</f>
        <v>36</v>
      </c>
      <c r="C4052" s="1390" t="str">
        <f>Risk_Compensation!$B$1</f>
        <v xml:space="preserve">Risikoausgleich </v>
      </c>
      <c r="D4052" s="2205" t="s">
        <v>2572</v>
      </c>
      <c r="E4052" s="1390">
        <f>Risk_Compensation!$G75</f>
        <v>58</v>
      </c>
      <c r="F4052" s="1390" t="str">
        <f>Risk_Compensation!$Q$17</f>
        <v>GR</v>
      </c>
      <c r="G4052" s="1390"/>
      <c r="H4052" s="1077">
        <f>Risk_Compensation!$Q75</f>
        <v>0</v>
      </c>
    </row>
    <row r="4053" spans="1:8" x14ac:dyDescent="0.2">
      <c r="A4053" s="1027"/>
      <c r="B4053" s="1083">
        <f>Risk_Compensation!A$1</f>
        <v>36</v>
      </c>
      <c r="C4053" s="1390" t="str">
        <f>Risk_Compensation!$B$1</f>
        <v xml:space="preserve">Risikoausgleich </v>
      </c>
      <c r="D4053" s="2205" t="s">
        <v>2572</v>
      </c>
      <c r="E4053" s="1390">
        <f>Risk_Compensation!$G76</f>
        <v>59</v>
      </c>
      <c r="F4053" s="1390" t="str">
        <f>Risk_Compensation!$Q$17</f>
        <v>GR</v>
      </c>
      <c r="G4053" s="1390"/>
      <c r="H4053" s="1077">
        <f>Risk_Compensation!$Q76</f>
        <v>0</v>
      </c>
    </row>
    <row r="4054" spans="1:8" x14ac:dyDescent="0.2">
      <c r="A4054" s="1027"/>
      <c r="B4054" s="1083">
        <f>Risk_Compensation!A$1</f>
        <v>36</v>
      </c>
      <c r="C4054" s="1390" t="str">
        <f>Risk_Compensation!$B$1</f>
        <v xml:space="preserve">Risikoausgleich </v>
      </c>
      <c r="D4054" s="2205" t="s">
        <v>2572</v>
      </c>
      <c r="E4054" s="1390">
        <f>Risk_Compensation!$G77</f>
        <v>60</v>
      </c>
      <c r="F4054" s="1390" t="str">
        <f>Risk_Compensation!$Q$17</f>
        <v>GR</v>
      </c>
      <c r="G4054" s="1390"/>
      <c r="H4054" s="1077">
        <f>Risk_Compensation!$Q77</f>
        <v>0</v>
      </c>
    </row>
    <row r="4055" spans="1:8" x14ac:dyDescent="0.2">
      <c r="A4055" s="1027"/>
      <c r="B4055" s="2174"/>
      <c r="C4055" s="1390"/>
      <c r="D4055" s="2175"/>
      <c r="E4055" s="2176"/>
      <c r="F4055" s="1390"/>
      <c r="G4055" s="1390"/>
      <c r="H4055" s="1078"/>
    </row>
    <row r="4056" spans="1:8" x14ac:dyDescent="0.2">
      <c r="A4056" s="1027"/>
      <c r="B4056" s="1083">
        <f>Risk_Compensation!A$1</f>
        <v>36</v>
      </c>
      <c r="C4056" s="1390" t="str">
        <f>Risk_Compensation!$B$1</f>
        <v xml:space="preserve">Risikoausgleich </v>
      </c>
      <c r="D4056" s="2205" t="s">
        <v>2572</v>
      </c>
      <c r="E4056" s="1390">
        <f>Risk_Compensation!$G18</f>
        <v>1</v>
      </c>
      <c r="F4056" s="1390" t="str">
        <f>Risk_Compensation!$R$17</f>
        <v>JU</v>
      </c>
      <c r="G4056" s="1390"/>
      <c r="H4056" s="1077">
        <f>Risk_Compensation!$R18</f>
        <v>0</v>
      </c>
    </row>
    <row r="4057" spans="1:8" x14ac:dyDescent="0.2">
      <c r="A4057" s="1027"/>
      <c r="B4057" s="1083">
        <f>Risk_Compensation!A$1</f>
        <v>36</v>
      </c>
      <c r="C4057" s="1390" t="str">
        <f>Risk_Compensation!$B$1</f>
        <v xml:space="preserve">Risikoausgleich </v>
      </c>
      <c r="D4057" s="2205" t="s">
        <v>2572</v>
      </c>
      <c r="E4057" s="1390">
        <f>Risk_Compensation!$G19</f>
        <v>2</v>
      </c>
      <c r="F4057" s="1390" t="str">
        <f>Risk_Compensation!$R$17</f>
        <v>JU</v>
      </c>
      <c r="G4057" s="1390"/>
      <c r="H4057" s="1077">
        <f>Risk_Compensation!$R19</f>
        <v>0</v>
      </c>
    </row>
    <row r="4058" spans="1:8" x14ac:dyDescent="0.2">
      <c r="A4058" s="1027"/>
      <c r="B4058" s="1083">
        <f>Risk_Compensation!A$1</f>
        <v>36</v>
      </c>
      <c r="C4058" s="1390" t="str">
        <f>Risk_Compensation!$B$1</f>
        <v xml:space="preserve">Risikoausgleich </v>
      </c>
      <c r="D4058" s="2205" t="s">
        <v>2572</v>
      </c>
      <c r="E4058" s="1390">
        <f>Risk_Compensation!$G20</f>
        <v>3</v>
      </c>
      <c r="F4058" s="1390" t="str">
        <f>Risk_Compensation!$R$17</f>
        <v>JU</v>
      </c>
      <c r="G4058" s="1390"/>
      <c r="H4058" s="1077">
        <f>Risk_Compensation!$R20</f>
        <v>0</v>
      </c>
    </row>
    <row r="4059" spans="1:8" x14ac:dyDescent="0.2">
      <c r="A4059" s="1027"/>
      <c r="B4059" s="1083">
        <f>Risk_Compensation!A$1</f>
        <v>36</v>
      </c>
      <c r="C4059" s="1390" t="str">
        <f>Risk_Compensation!$B$1</f>
        <v xml:space="preserve">Risikoausgleich </v>
      </c>
      <c r="D4059" s="2205" t="s">
        <v>2572</v>
      </c>
      <c r="E4059" s="1390">
        <f>Risk_Compensation!$G21</f>
        <v>4</v>
      </c>
      <c r="F4059" s="1390" t="str">
        <f>Risk_Compensation!$R$17</f>
        <v>JU</v>
      </c>
      <c r="G4059" s="1390"/>
      <c r="H4059" s="1077">
        <f>Risk_Compensation!$R21</f>
        <v>0</v>
      </c>
    </row>
    <row r="4060" spans="1:8" x14ac:dyDescent="0.2">
      <c r="A4060" s="1027"/>
      <c r="B4060" s="1083">
        <f>Risk_Compensation!A$1</f>
        <v>36</v>
      </c>
      <c r="C4060" s="1390" t="str">
        <f>Risk_Compensation!$B$1</f>
        <v xml:space="preserve">Risikoausgleich </v>
      </c>
      <c r="D4060" s="2205" t="s">
        <v>2572</v>
      </c>
      <c r="E4060" s="1390">
        <f>Risk_Compensation!$G22</f>
        <v>5</v>
      </c>
      <c r="F4060" s="1390" t="str">
        <f>Risk_Compensation!$R$17</f>
        <v>JU</v>
      </c>
      <c r="G4060" s="1390"/>
      <c r="H4060" s="1077">
        <f>Risk_Compensation!$R22</f>
        <v>0</v>
      </c>
    </row>
    <row r="4061" spans="1:8" x14ac:dyDescent="0.2">
      <c r="A4061" s="1027"/>
      <c r="B4061" s="1083">
        <f>Risk_Compensation!A$1</f>
        <v>36</v>
      </c>
      <c r="C4061" s="1390" t="str">
        <f>Risk_Compensation!$B$1</f>
        <v xml:space="preserve">Risikoausgleich </v>
      </c>
      <c r="D4061" s="2205" t="s">
        <v>2572</v>
      </c>
      <c r="E4061" s="1390">
        <f>Risk_Compensation!$G23</f>
        <v>6</v>
      </c>
      <c r="F4061" s="1390" t="str">
        <f>Risk_Compensation!$R$17</f>
        <v>JU</v>
      </c>
      <c r="G4061" s="1390"/>
      <c r="H4061" s="1077">
        <f>Risk_Compensation!$R23</f>
        <v>0</v>
      </c>
    </row>
    <row r="4062" spans="1:8" x14ac:dyDescent="0.2">
      <c r="A4062" s="1027"/>
      <c r="B4062" s="1083">
        <f>Risk_Compensation!A$1</f>
        <v>36</v>
      </c>
      <c r="C4062" s="1390" t="str">
        <f>Risk_Compensation!$B$1</f>
        <v xml:space="preserve">Risikoausgleich </v>
      </c>
      <c r="D4062" s="2205" t="s">
        <v>2572</v>
      </c>
      <c r="E4062" s="1390">
        <f>Risk_Compensation!$G24</f>
        <v>7</v>
      </c>
      <c r="F4062" s="1390" t="str">
        <f>Risk_Compensation!$R$17</f>
        <v>JU</v>
      </c>
      <c r="G4062" s="1390"/>
      <c r="H4062" s="1077">
        <f>Risk_Compensation!$R24</f>
        <v>0</v>
      </c>
    </row>
    <row r="4063" spans="1:8" x14ac:dyDescent="0.2">
      <c r="A4063" s="1027"/>
      <c r="B4063" s="1083">
        <f>Risk_Compensation!A$1</f>
        <v>36</v>
      </c>
      <c r="C4063" s="1390" t="str">
        <f>Risk_Compensation!$B$1</f>
        <v xml:space="preserve">Risikoausgleich </v>
      </c>
      <c r="D4063" s="2205" t="s">
        <v>2572</v>
      </c>
      <c r="E4063" s="1390">
        <f>Risk_Compensation!$G25</f>
        <v>8</v>
      </c>
      <c r="F4063" s="1390" t="str">
        <f>Risk_Compensation!$R$17</f>
        <v>JU</v>
      </c>
      <c r="G4063" s="1390"/>
      <c r="H4063" s="1077">
        <f>Risk_Compensation!$R25</f>
        <v>0</v>
      </c>
    </row>
    <row r="4064" spans="1:8" x14ac:dyDescent="0.2">
      <c r="A4064" s="1027"/>
      <c r="B4064" s="1083">
        <f>Risk_Compensation!A$1</f>
        <v>36</v>
      </c>
      <c r="C4064" s="1390" t="str">
        <f>Risk_Compensation!$B$1</f>
        <v xml:space="preserve">Risikoausgleich </v>
      </c>
      <c r="D4064" s="2205" t="s">
        <v>2572</v>
      </c>
      <c r="E4064" s="1390">
        <f>Risk_Compensation!$G26</f>
        <v>9</v>
      </c>
      <c r="F4064" s="1390" t="str">
        <f>Risk_Compensation!$R$17</f>
        <v>JU</v>
      </c>
      <c r="G4064" s="1390"/>
      <c r="H4064" s="1077">
        <f>Risk_Compensation!$R26</f>
        <v>0</v>
      </c>
    </row>
    <row r="4065" spans="1:8" x14ac:dyDescent="0.2">
      <c r="A4065" s="1027"/>
      <c r="B4065" s="1083">
        <f>Risk_Compensation!A$1</f>
        <v>36</v>
      </c>
      <c r="C4065" s="1390" t="str">
        <f>Risk_Compensation!$B$1</f>
        <v xml:space="preserve">Risikoausgleich </v>
      </c>
      <c r="D4065" s="2205" t="s">
        <v>2572</v>
      </c>
      <c r="E4065" s="1390">
        <f>Risk_Compensation!$G27</f>
        <v>10</v>
      </c>
      <c r="F4065" s="1390" t="str">
        <f>Risk_Compensation!$R$17</f>
        <v>JU</v>
      </c>
      <c r="G4065" s="1390"/>
      <c r="H4065" s="1077">
        <f>Risk_Compensation!$R27</f>
        <v>0</v>
      </c>
    </row>
    <row r="4066" spans="1:8" x14ac:dyDescent="0.2">
      <c r="A4066" s="1027"/>
      <c r="B4066" s="1083">
        <f>Risk_Compensation!A$1</f>
        <v>36</v>
      </c>
      <c r="C4066" s="1390" t="str">
        <f>Risk_Compensation!$B$1</f>
        <v xml:space="preserve">Risikoausgleich </v>
      </c>
      <c r="D4066" s="2205" t="s">
        <v>2572</v>
      </c>
      <c r="E4066" s="1390">
        <f>Risk_Compensation!$G28</f>
        <v>11</v>
      </c>
      <c r="F4066" s="1390" t="str">
        <f>Risk_Compensation!$R$17</f>
        <v>JU</v>
      </c>
      <c r="G4066" s="1390"/>
      <c r="H4066" s="1077">
        <f>Risk_Compensation!$R28</f>
        <v>0</v>
      </c>
    </row>
    <row r="4067" spans="1:8" x14ac:dyDescent="0.2">
      <c r="A4067" s="1027"/>
      <c r="B4067" s="1083">
        <f>Risk_Compensation!A$1</f>
        <v>36</v>
      </c>
      <c r="C4067" s="1390" t="str">
        <f>Risk_Compensation!$B$1</f>
        <v xml:space="preserve">Risikoausgleich </v>
      </c>
      <c r="D4067" s="2205" t="s">
        <v>2572</v>
      </c>
      <c r="E4067" s="1390">
        <f>Risk_Compensation!$G29</f>
        <v>12</v>
      </c>
      <c r="F4067" s="1390" t="str">
        <f>Risk_Compensation!$R$17</f>
        <v>JU</v>
      </c>
      <c r="G4067" s="1390"/>
      <c r="H4067" s="1077">
        <f>Risk_Compensation!$R29</f>
        <v>0</v>
      </c>
    </row>
    <row r="4068" spans="1:8" x14ac:dyDescent="0.2">
      <c r="A4068" s="1027"/>
      <c r="B4068" s="1083">
        <f>Risk_Compensation!A$1</f>
        <v>36</v>
      </c>
      <c r="C4068" s="1390" t="str">
        <f>Risk_Compensation!$B$1</f>
        <v xml:space="preserve">Risikoausgleich </v>
      </c>
      <c r="D4068" s="2205" t="s">
        <v>2572</v>
      </c>
      <c r="E4068" s="1390">
        <f>Risk_Compensation!$G30</f>
        <v>13</v>
      </c>
      <c r="F4068" s="1390" t="str">
        <f>Risk_Compensation!$R$17</f>
        <v>JU</v>
      </c>
      <c r="G4068" s="1390"/>
      <c r="H4068" s="1077">
        <f>Risk_Compensation!$R30</f>
        <v>0</v>
      </c>
    </row>
    <row r="4069" spans="1:8" x14ac:dyDescent="0.2">
      <c r="A4069" s="1027"/>
      <c r="B4069" s="1083">
        <f>Risk_Compensation!A$1</f>
        <v>36</v>
      </c>
      <c r="C4069" s="1390" t="str">
        <f>Risk_Compensation!$B$1</f>
        <v xml:space="preserve">Risikoausgleich </v>
      </c>
      <c r="D4069" s="2205" t="s">
        <v>2572</v>
      </c>
      <c r="E4069" s="1390">
        <f>Risk_Compensation!$G31</f>
        <v>14</v>
      </c>
      <c r="F4069" s="1390" t="str">
        <f>Risk_Compensation!$R$17</f>
        <v>JU</v>
      </c>
      <c r="G4069" s="1390"/>
      <c r="H4069" s="1077">
        <f>Risk_Compensation!$R31</f>
        <v>0</v>
      </c>
    </row>
    <row r="4070" spans="1:8" x14ac:dyDescent="0.2">
      <c r="A4070" s="1027"/>
      <c r="B4070" s="1083">
        <f>Risk_Compensation!A$1</f>
        <v>36</v>
      </c>
      <c r="C4070" s="1390" t="str">
        <f>Risk_Compensation!$B$1</f>
        <v xml:space="preserve">Risikoausgleich </v>
      </c>
      <c r="D4070" s="2205" t="s">
        <v>2572</v>
      </c>
      <c r="E4070" s="1390">
        <f>Risk_Compensation!$G32</f>
        <v>15</v>
      </c>
      <c r="F4070" s="1390" t="str">
        <f>Risk_Compensation!$R$17</f>
        <v>JU</v>
      </c>
      <c r="G4070" s="1390"/>
      <c r="H4070" s="1077">
        <f>Risk_Compensation!$R32</f>
        <v>0</v>
      </c>
    </row>
    <row r="4071" spans="1:8" x14ac:dyDescent="0.2">
      <c r="A4071" s="1027"/>
      <c r="B4071" s="1083">
        <f>Risk_Compensation!A$1</f>
        <v>36</v>
      </c>
      <c r="C4071" s="1390" t="str">
        <f>Risk_Compensation!$B$1</f>
        <v xml:space="preserve">Risikoausgleich </v>
      </c>
      <c r="D4071" s="2205" t="s">
        <v>2572</v>
      </c>
      <c r="E4071" s="1390">
        <f>Risk_Compensation!$G33</f>
        <v>16</v>
      </c>
      <c r="F4071" s="1390" t="str">
        <f>Risk_Compensation!$R$17</f>
        <v>JU</v>
      </c>
      <c r="G4071" s="1390"/>
      <c r="H4071" s="1077">
        <f>Risk_Compensation!$R33</f>
        <v>0</v>
      </c>
    </row>
    <row r="4072" spans="1:8" x14ac:dyDescent="0.2">
      <c r="A4072" s="1027"/>
      <c r="B4072" s="1083">
        <f>Risk_Compensation!A$1</f>
        <v>36</v>
      </c>
      <c r="C4072" s="1390" t="str">
        <f>Risk_Compensation!$B$1</f>
        <v xml:space="preserve">Risikoausgleich </v>
      </c>
      <c r="D4072" s="2205" t="s">
        <v>2572</v>
      </c>
      <c r="E4072" s="1390">
        <f>Risk_Compensation!$G34</f>
        <v>17</v>
      </c>
      <c r="F4072" s="1390" t="str">
        <f>Risk_Compensation!$R$17</f>
        <v>JU</v>
      </c>
      <c r="G4072" s="1390"/>
      <c r="H4072" s="1077">
        <f>Risk_Compensation!$R34</f>
        <v>0</v>
      </c>
    </row>
    <row r="4073" spans="1:8" x14ac:dyDescent="0.2">
      <c r="A4073" s="1027"/>
      <c r="B4073" s="1083">
        <f>Risk_Compensation!A$1</f>
        <v>36</v>
      </c>
      <c r="C4073" s="1390" t="str">
        <f>Risk_Compensation!$B$1</f>
        <v xml:space="preserve">Risikoausgleich </v>
      </c>
      <c r="D4073" s="2205" t="s">
        <v>2572</v>
      </c>
      <c r="E4073" s="1390">
        <f>Risk_Compensation!$G35</f>
        <v>18</v>
      </c>
      <c r="F4073" s="1390" t="str">
        <f>Risk_Compensation!$R$17</f>
        <v>JU</v>
      </c>
      <c r="G4073" s="1390"/>
      <c r="H4073" s="1077">
        <f>Risk_Compensation!$R35</f>
        <v>0</v>
      </c>
    </row>
    <row r="4074" spans="1:8" x14ac:dyDescent="0.2">
      <c r="A4074" s="1027"/>
      <c r="B4074" s="1083">
        <f>Risk_Compensation!A$1</f>
        <v>36</v>
      </c>
      <c r="C4074" s="1390" t="str">
        <f>Risk_Compensation!$B$1</f>
        <v xml:space="preserve">Risikoausgleich </v>
      </c>
      <c r="D4074" s="2205" t="s">
        <v>2572</v>
      </c>
      <c r="E4074" s="1390">
        <f>Risk_Compensation!$G36</f>
        <v>19</v>
      </c>
      <c r="F4074" s="1390" t="str">
        <f>Risk_Compensation!$R$17</f>
        <v>JU</v>
      </c>
      <c r="G4074" s="1390"/>
      <c r="H4074" s="1077">
        <f>Risk_Compensation!$R36</f>
        <v>0</v>
      </c>
    </row>
    <row r="4075" spans="1:8" x14ac:dyDescent="0.2">
      <c r="A4075" s="1027"/>
      <c r="B4075" s="1083">
        <f>Risk_Compensation!A$1</f>
        <v>36</v>
      </c>
      <c r="C4075" s="1390" t="str">
        <f>Risk_Compensation!$B$1</f>
        <v xml:space="preserve">Risikoausgleich </v>
      </c>
      <c r="D4075" s="2205" t="s">
        <v>2572</v>
      </c>
      <c r="E4075" s="1390">
        <f>Risk_Compensation!$G37</f>
        <v>20</v>
      </c>
      <c r="F4075" s="1390" t="str">
        <f>Risk_Compensation!$R$17</f>
        <v>JU</v>
      </c>
      <c r="G4075" s="1390"/>
      <c r="H4075" s="1077">
        <f>Risk_Compensation!$R37</f>
        <v>0</v>
      </c>
    </row>
    <row r="4076" spans="1:8" x14ac:dyDescent="0.2">
      <c r="A4076" s="1027"/>
      <c r="B4076" s="1083">
        <f>Risk_Compensation!A$1</f>
        <v>36</v>
      </c>
      <c r="C4076" s="1390" t="str">
        <f>Risk_Compensation!$B$1</f>
        <v xml:space="preserve">Risikoausgleich </v>
      </c>
      <c r="D4076" s="2205" t="s">
        <v>2572</v>
      </c>
      <c r="E4076" s="1390">
        <f>Risk_Compensation!$G38</f>
        <v>21</v>
      </c>
      <c r="F4076" s="1390" t="str">
        <f>Risk_Compensation!$R$17</f>
        <v>JU</v>
      </c>
      <c r="G4076" s="1390"/>
      <c r="H4076" s="1077">
        <f>Risk_Compensation!$R38</f>
        <v>0</v>
      </c>
    </row>
    <row r="4077" spans="1:8" x14ac:dyDescent="0.2">
      <c r="A4077" s="1027"/>
      <c r="B4077" s="1083">
        <f>Risk_Compensation!A$1</f>
        <v>36</v>
      </c>
      <c r="C4077" s="1390" t="str">
        <f>Risk_Compensation!$B$1</f>
        <v xml:space="preserve">Risikoausgleich </v>
      </c>
      <c r="D4077" s="2205" t="s">
        <v>2572</v>
      </c>
      <c r="E4077" s="1390">
        <f>Risk_Compensation!$G39</f>
        <v>22</v>
      </c>
      <c r="F4077" s="1390" t="str">
        <f>Risk_Compensation!$R$17</f>
        <v>JU</v>
      </c>
      <c r="G4077" s="1390"/>
      <c r="H4077" s="1077">
        <f>Risk_Compensation!$R39</f>
        <v>0</v>
      </c>
    </row>
    <row r="4078" spans="1:8" x14ac:dyDescent="0.2">
      <c r="A4078" s="1027"/>
      <c r="B4078" s="1083">
        <f>Risk_Compensation!A$1</f>
        <v>36</v>
      </c>
      <c r="C4078" s="1390" t="str">
        <f>Risk_Compensation!$B$1</f>
        <v xml:space="preserve">Risikoausgleich </v>
      </c>
      <c r="D4078" s="2205" t="s">
        <v>2572</v>
      </c>
      <c r="E4078" s="1390">
        <f>Risk_Compensation!$G40</f>
        <v>23</v>
      </c>
      <c r="F4078" s="1390" t="str">
        <f>Risk_Compensation!$R$17</f>
        <v>JU</v>
      </c>
      <c r="G4078" s="1390"/>
      <c r="H4078" s="1077">
        <f>Risk_Compensation!$R40</f>
        <v>0</v>
      </c>
    </row>
    <row r="4079" spans="1:8" x14ac:dyDescent="0.2">
      <c r="A4079" s="1027"/>
      <c r="B4079" s="1083">
        <f>Risk_Compensation!A$1</f>
        <v>36</v>
      </c>
      <c r="C4079" s="1390" t="str">
        <f>Risk_Compensation!$B$1</f>
        <v xml:space="preserve">Risikoausgleich </v>
      </c>
      <c r="D4079" s="2205" t="s">
        <v>2572</v>
      </c>
      <c r="E4079" s="1390">
        <f>Risk_Compensation!$G41</f>
        <v>24</v>
      </c>
      <c r="F4079" s="1390" t="str">
        <f>Risk_Compensation!$R$17</f>
        <v>JU</v>
      </c>
      <c r="G4079" s="1390"/>
      <c r="H4079" s="1077">
        <f>Risk_Compensation!$R41</f>
        <v>0</v>
      </c>
    </row>
    <row r="4080" spans="1:8" x14ac:dyDescent="0.2">
      <c r="A4080" s="1027"/>
      <c r="B4080" s="1083">
        <f>Risk_Compensation!A$1</f>
        <v>36</v>
      </c>
      <c r="C4080" s="1390" t="str">
        <f>Risk_Compensation!$B$1</f>
        <v xml:space="preserve">Risikoausgleich </v>
      </c>
      <c r="D4080" s="2205" t="s">
        <v>2572</v>
      </c>
      <c r="E4080" s="1390">
        <f>Risk_Compensation!$G42</f>
        <v>25</v>
      </c>
      <c r="F4080" s="1390" t="str">
        <f>Risk_Compensation!$R$17</f>
        <v>JU</v>
      </c>
      <c r="G4080" s="1390"/>
      <c r="H4080" s="1077">
        <f>Risk_Compensation!$R42</f>
        <v>0</v>
      </c>
    </row>
    <row r="4081" spans="1:8" x14ac:dyDescent="0.2">
      <c r="A4081" s="1027"/>
      <c r="B4081" s="1083">
        <f>Risk_Compensation!A$1</f>
        <v>36</v>
      </c>
      <c r="C4081" s="1390" t="str">
        <f>Risk_Compensation!$B$1</f>
        <v xml:space="preserve">Risikoausgleich </v>
      </c>
      <c r="D4081" s="2205" t="s">
        <v>2572</v>
      </c>
      <c r="E4081" s="1390">
        <f>Risk_Compensation!$G43</f>
        <v>26</v>
      </c>
      <c r="F4081" s="1390" t="str">
        <f>Risk_Compensation!$R$17</f>
        <v>JU</v>
      </c>
      <c r="G4081" s="1390"/>
      <c r="H4081" s="1077">
        <f>Risk_Compensation!$R43</f>
        <v>0</v>
      </c>
    </row>
    <row r="4082" spans="1:8" x14ac:dyDescent="0.2">
      <c r="A4082" s="1027"/>
      <c r="B4082" s="1083">
        <f>Risk_Compensation!A$1</f>
        <v>36</v>
      </c>
      <c r="C4082" s="1390" t="str">
        <f>Risk_Compensation!$B$1</f>
        <v xml:space="preserve">Risikoausgleich </v>
      </c>
      <c r="D4082" s="2205" t="s">
        <v>2572</v>
      </c>
      <c r="E4082" s="1390">
        <f>Risk_Compensation!$G44</f>
        <v>27</v>
      </c>
      <c r="F4082" s="1390" t="str">
        <f>Risk_Compensation!$R$17</f>
        <v>JU</v>
      </c>
      <c r="G4082" s="1390"/>
      <c r="H4082" s="1077">
        <f>Risk_Compensation!$R44</f>
        <v>0</v>
      </c>
    </row>
    <row r="4083" spans="1:8" x14ac:dyDescent="0.2">
      <c r="A4083" s="1027"/>
      <c r="B4083" s="1083">
        <f>Risk_Compensation!A$1</f>
        <v>36</v>
      </c>
      <c r="C4083" s="1390" t="str">
        <f>Risk_Compensation!$B$1</f>
        <v xml:space="preserve">Risikoausgleich </v>
      </c>
      <c r="D4083" s="2205" t="s">
        <v>2572</v>
      </c>
      <c r="E4083" s="1390">
        <f>Risk_Compensation!$G45</f>
        <v>28</v>
      </c>
      <c r="F4083" s="1390" t="str">
        <f>Risk_Compensation!$R$17</f>
        <v>JU</v>
      </c>
      <c r="G4083" s="1390"/>
      <c r="H4083" s="1077">
        <f>Risk_Compensation!$R45</f>
        <v>0</v>
      </c>
    </row>
    <row r="4084" spans="1:8" x14ac:dyDescent="0.2">
      <c r="A4084" s="1027"/>
      <c r="B4084" s="1083">
        <f>Risk_Compensation!A$1</f>
        <v>36</v>
      </c>
      <c r="C4084" s="1390" t="str">
        <f>Risk_Compensation!$B$1</f>
        <v xml:space="preserve">Risikoausgleich </v>
      </c>
      <c r="D4084" s="2205" t="s">
        <v>2572</v>
      </c>
      <c r="E4084" s="1390">
        <f>Risk_Compensation!$G46</f>
        <v>29</v>
      </c>
      <c r="F4084" s="1390" t="str">
        <f>Risk_Compensation!$R$17</f>
        <v>JU</v>
      </c>
      <c r="G4084" s="1390"/>
      <c r="H4084" s="1077">
        <f>Risk_Compensation!$R46</f>
        <v>0</v>
      </c>
    </row>
    <row r="4085" spans="1:8" x14ac:dyDescent="0.2">
      <c r="A4085" s="1027"/>
      <c r="B4085" s="1083">
        <f>Risk_Compensation!A$1</f>
        <v>36</v>
      </c>
      <c r="C4085" s="1390" t="str">
        <f>Risk_Compensation!$B$1</f>
        <v xml:space="preserve">Risikoausgleich </v>
      </c>
      <c r="D4085" s="2205" t="s">
        <v>2572</v>
      </c>
      <c r="E4085" s="1390">
        <f>Risk_Compensation!$G47</f>
        <v>30</v>
      </c>
      <c r="F4085" s="1390" t="str">
        <f>Risk_Compensation!$R$17</f>
        <v>JU</v>
      </c>
      <c r="G4085" s="1390"/>
      <c r="H4085" s="1077">
        <f>Risk_Compensation!$R47</f>
        <v>0</v>
      </c>
    </row>
    <row r="4086" spans="1:8" x14ac:dyDescent="0.2">
      <c r="A4086" s="1027"/>
      <c r="B4086" s="1083">
        <f>Risk_Compensation!A$1</f>
        <v>36</v>
      </c>
      <c r="C4086" s="1390" t="str">
        <f>Risk_Compensation!$B$1</f>
        <v xml:space="preserve">Risikoausgleich </v>
      </c>
      <c r="D4086" s="2205" t="s">
        <v>2572</v>
      </c>
      <c r="E4086" s="1390">
        <f>Risk_Compensation!$G48</f>
        <v>31</v>
      </c>
      <c r="F4086" s="1390" t="str">
        <f>Risk_Compensation!$R$17</f>
        <v>JU</v>
      </c>
      <c r="G4086" s="1390"/>
      <c r="H4086" s="1077">
        <f>Risk_Compensation!$R48</f>
        <v>0</v>
      </c>
    </row>
    <row r="4087" spans="1:8" x14ac:dyDescent="0.2">
      <c r="A4087" s="1027"/>
      <c r="B4087" s="1083">
        <f>Risk_Compensation!A$1</f>
        <v>36</v>
      </c>
      <c r="C4087" s="1390" t="str">
        <f>Risk_Compensation!$B$1</f>
        <v xml:space="preserve">Risikoausgleich </v>
      </c>
      <c r="D4087" s="2205" t="s">
        <v>2572</v>
      </c>
      <c r="E4087" s="1390">
        <f>Risk_Compensation!$G49</f>
        <v>32</v>
      </c>
      <c r="F4087" s="1390" t="str">
        <f>Risk_Compensation!$R$17</f>
        <v>JU</v>
      </c>
      <c r="G4087" s="1390"/>
      <c r="H4087" s="1077">
        <f>Risk_Compensation!$R49</f>
        <v>0</v>
      </c>
    </row>
    <row r="4088" spans="1:8" x14ac:dyDescent="0.2">
      <c r="A4088" s="1027"/>
      <c r="B4088" s="1083">
        <f>Risk_Compensation!A$1</f>
        <v>36</v>
      </c>
      <c r="C4088" s="1390" t="str">
        <f>Risk_Compensation!$B$1</f>
        <v xml:space="preserve">Risikoausgleich </v>
      </c>
      <c r="D4088" s="2205" t="s">
        <v>2572</v>
      </c>
      <c r="E4088" s="1390">
        <f>Risk_Compensation!$G50</f>
        <v>33</v>
      </c>
      <c r="F4088" s="1390" t="str">
        <f>Risk_Compensation!$R$17</f>
        <v>JU</v>
      </c>
      <c r="G4088" s="1390"/>
      <c r="H4088" s="1077">
        <f>Risk_Compensation!$R50</f>
        <v>0</v>
      </c>
    </row>
    <row r="4089" spans="1:8" x14ac:dyDescent="0.2">
      <c r="A4089" s="1027"/>
      <c r="B4089" s="1083">
        <f>Risk_Compensation!A$1</f>
        <v>36</v>
      </c>
      <c r="C4089" s="1390" t="str">
        <f>Risk_Compensation!$B$1</f>
        <v xml:space="preserve">Risikoausgleich </v>
      </c>
      <c r="D4089" s="2205" t="s">
        <v>2572</v>
      </c>
      <c r="E4089" s="1390">
        <f>Risk_Compensation!$G51</f>
        <v>34</v>
      </c>
      <c r="F4089" s="1390" t="str">
        <f>Risk_Compensation!$R$17</f>
        <v>JU</v>
      </c>
      <c r="G4089" s="1390"/>
      <c r="H4089" s="1077">
        <f>Risk_Compensation!$R51</f>
        <v>0</v>
      </c>
    </row>
    <row r="4090" spans="1:8" x14ac:dyDescent="0.2">
      <c r="A4090" s="1027"/>
      <c r="B4090" s="1083">
        <f>Risk_Compensation!A$1</f>
        <v>36</v>
      </c>
      <c r="C4090" s="1390" t="str">
        <f>Risk_Compensation!$B$1</f>
        <v xml:space="preserve">Risikoausgleich </v>
      </c>
      <c r="D4090" s="2205" t="s">
        <v>2572</v>
      </c>
      <c r="E4090" s="1390">
        <f>Risk_Compensation!$G52</f>
        <v>35</v>
      </c>
      <c r="F4090" s="1390" t="str">
        <f>Risk_Compensation!$R$17</f>
        <v>JU</v>
      </c>
      <c r="G4090" s="1390"/>
      <c r="H4090" s="1077">
        <f>Risk_Compensation!$R52</f>
        <v>0</v>
      </c>
    </row>
    <row r="4091" spans="1:8" x14ac:dyDescent="0.2">
      <c r="A4091" s="1027"/>
      <c r="B4091" s="1083">
        <f>Risk_Compensation!A$1</f>
        <v>36</v>
      </c>
      <c r="C4091" s="1390" t="str">
        <f>Risk_Compensation!$B$1</f>
        <v xml:space="preserve">Risikoausgleich </v>
      </c>
      <c r="D4091" s="2205" t="s">
        <v>2572</v>
      </c>
      <c r="E4091" s="1390">
        <f>Risk_Compensation!$G53</f>
        <v>36</v>
      </c>
      <c r="F4091" s="1390" t="str">
        <f>Risk_Compensation!$R$17</f>
        <v>JU</v>
      </c>
      <c r="G4091" s="1390"/>
      <c r="H4091" s="1077">
        <f>Risk_Compensation!$R53</f>
        <v>0</v>
      </c>
    </row>
    <row r="4092" spans="1:8" x14ac:dyDescent="0.2">
      <c r="A4092" s="1027"/>
      <c r="B4092" s="1083">
        <f>Risk_Compensation!A$1</f>
        <v>36</v>
      </c>
      <c r="C4092" s="1390" t="str">
        <f>Risk_Compensation!$B$1</f>
        <v xml:space="preserve">Risikoausgleich </v>
      </c>
      <c r="D4092" s="2205" t="s">
        <v>2572</v>
      </c>
      <c r="E4092" s="1390">
        <f>Risk_Compensation!$G54</f>
        <v>37</v>
      </c>
      <c r="F4092" s="1390" t="str">
        <f>Risk_Compensation!$R$17</f>
        <v>JU</v>
      </c>
      <c r="G4092" s="1390"/>
      <c r="H4092" s="1077">
        <f>Risk_Compensation!$R54</f>
        <v>0</v>
      </c>
    </row>
    <row r="4093" spans="1:8" x14ac:dyDescent="0.2">
      <c r="A4093" s="1027"/>
      <c r="B4093" s="1083">
        <f>Risk_Compensation!A$1</f>
        <v>36</v>
      </c>
      <c r="C4093" s="1390" t="str">
        <f>Risk_Compensation!$B$1</f>
        <v xml:space="preserve">Risikoausgleich </v>
      </c>
      <c r="D4093" s="2205" t="s">
        <v>2572</v>
      </c>
      <c r="E4093" s="1390">
        <f>Risk_Compensation!$G55</f>
        <v>38</v>
      </c>
      <c r="F4093" s="1390" t="str">
        <f>Risk_Compensation!$R$17</f>
        <v>JU</v>
      </c>
      <c r="G4093" s="1390"/>
      <c r="H4093" s="1077">
        <f>Risk_Compensation!$R55</f>
        <v>0</v>
      </c>
    </row>
    <row r="4094" spans="1:8" x14ac:dyDescent="0.2">
      <c r="A4094" s="1027"/>
      <c r="B4094" s="1083">
        <f>Risk_Compensation!A$1</f>
        <v>36</v>
      </c>
      <c r="C4094" s="1390" t="str">
        <f>Risk_Compensation!$B$1</f>
        <v xml:space="preserve">Risikoausgleich </v>
      </c>
      <c r="D4094" s="2205" t="s">
        <v>2572</v>
      </c>
      <c r="E4094" s="1390">
        <f>Risk_Compensation!$G56</f>
        <v>39</v>
      </c>
      <c r="F4094" s="1390" t="str">
        <f>Risk_Compensation!$R$17</f>
        <v>JU</v>
      </c>
      <c r="G4094" s="1390"/>
      <c r="H4094" s="1077">
        <f>Risk_Compensation!$R56</f>
        <v>0</v>
      </c>
    </row>
    <row r="4095" spans="1:8" x14ac:dyDescent="0.2">
      <c r="A4095" s="1027"/>
      <c r="B4095" s="1083">
        <f>Risk_Compensation!A$1</f>
        <v>36</v>
      </c>
      <c r="C4095" s="1390" t="str">
        <f>Risk_Compensation!$B$1</f>
        <v xml:space="preserve">Risikoausgleich </v>
      </c>
      <c r="D4095" s="2205" t="s">
        <v>2572</v>
      </c>
      <c r="E4095" s="1390">
        <f>Risk_Compensation!$G57</f>
        <v>40</v>
      </c>
      <c r="F4095" s="1390" t="str">
        <f>Risk_Compensation!$R$17</f>
        <v>JU</v>
      </c>
      <c r="G4095" s="1390"/>
      <c r="H4095" s="1077">
        <f>Risk_Compensation!$R57</f>
        <v>0</v>
      </c>
    </row>
    <row r="4096" spans="1:8" x14ac:dyDescent="0.2">
      <c r="A4096" s="1027"/>
      <c r="B4096" s="1083">
        <f>Risk_Compensation!A$1</f>
        <v>36</v>
      </c>
      <c r="C4096" s="1390" t="str">
        <f>Risk_Compensation!$B$1</f>
        <v xml:space="preserve">Risikoausgleich </v>
      </c>
      <c r="D4096" s="2205" t="s">
        <v>2572</v>
      </c>
      <c r="E4096" s="1390">
        <f>Risk_Compensation!$G58</f>
        <v>41</v>
      </c>
      <c r="F4096" s="1390" t="str">
        <f>Risk_Compensation!$R$17</f>
        <v>JU</v>
      </c>
      <c r="G4096" s="1390"/>
      <c r="H4096" s="1077">
        <f>Risk_Compensation!$R58</f>
        <v>0</v>
      </c>
    </row>
    <row r="4097" spans="1:8" x14ac:dyDescent="0.2">
      <c r="A4097" s="1027"/>
      <c r="B4097" s="1083">
        <f>Risk_Compensation!A$1</f>
        <v>36</v>
      </c>
      <c r="C4097" s="1390" t="str">
        <f>Risk_Compensation!$B$1</f>
        <v xml:space="preserve">Risikoausgleich </v>
      </c>
      <c r="D4097" s="2205" t="s">
        <v>2572</v>
      </c>
      <c r="E4097" s="1390">
        <f>Risk_Compensation!$G59</f>
        <v>42</v>
      </c>
      <c r="F4097" s="1390" t="str">
        <f>Risk_Compensation!$R$17</f>
        <v>JU</v>
      </c>
      <c r="G4097" s="1390"/>
      <c r="H4097" s="1077">
        <f>Risk_Compensation!$R59</f>
        <v>0</v>
      </c>
    </row>
    <row r="4098" spans="1:8" x14ac:dyDescent="0.2">
      <c r="A4098" s="1027"/>
      <c r="B4098" s="1083">
        <f>Risk_Compensation!A$1</f>
        <v>36</v>
      </c>
      <c r="C4098" s="1390" t="str">
        <f>Risk_Compensation!$B$1</f>
        <v xml:space="preserve">Risikoausgleich </v>
      </c>
      <c r="D4098" s="2205" t="s">
        <v>2572</v>
      </c>
      <c r="E4098" s="1390">
        <f>Risk_Compensation!$G60</f>
        <v>43</v>
      </c>
      <c r="F4098" s="1390" t="str">
        <f>Risk_Compensation!$R$17</f>
        <v>JU</v>
      </c>
      <c r="G4098" s="1390"/>
      <c r="H4098" s="1077">
        <f>Risk_Compensation!$R60</f>
        <v>0</v>
      </c>
    </row>
    <row r="4099" spans="1:8" x14ac:dyDescent="0.2">
      <c r="A4099" s="1027"/>
      <c r="B4099" s="1083">
        <f>Risk_Compensation!A$1</f>
        <v>36</v>
      </c>
      <c r="C4099" s="1390" t="str">
        <f>Risk_Compensation!$B$1</f>
        <v xml:space="preserve">Risikoausgleich </v>
      </c>
      <c r="D4099" s="2205" t="s">
        <v>2572</v>
      </c>
      <c r="E4099" s="1390">
        <f>Risk_Compensation!$G61</f>
        <v>44</v>
      </c>
      <c r="F4099" s="1390" t="str">
        <f>Risk_Compensation!$R$17</f>
        <v>JU</v>
      </c>
      <c r="G4099" s="1390"/>
      <c r="H4099" s="1077">
        <f>Risk_Compensation!$R61</f>
        <v>0</v>
      </c>
    </row>
    <row r="4100" spans="1:8" x14ac:dyDescent="0.2">
      <c r="A4100" s="1027"/>
      <c r="B4100" s="1083">
        <f>Risk_Compensation!A$1</f>
        <v>36</v>
      </c>
      <c r="C4100" s="1390" t="str">
        <f>Risk_Compensation!$B$1</f>
        <v xml:space="preserve">Risikoausgleich </v>
      </c>
      <c r="D4100" s="2205" t="s">
        <v>2572</v>
      </c>
      <c r="E4100" s="1390">
        <f>Risk_Compensation!$G62</f>
        <v>45</v>
      </c>
      <c r="F4100" s="1390" t="str">
        <f>Risk_Compensation!$R$17</f>
        <v>JU</v>
      </c>
      <c r="G4100" s="1390"/>
      <c r="H4100" s="1077">
        <f>Risk_Compensation!$R62</f>
        <v>0</v>
      </c>
    </row>
    <row r="4101" spans="1:8" x14ac:dyDescent="0.2">
      <c r="A4101" s="1027"/>
      <c r="B4101" s="1083">
        <f>Risk_Compensation!A$1</f>
        <v>36</v>
      </c>
      <c r="C4101" s="1390" t="str">
        <f>Risk_Compensation!$B$1</f>
        <v xml:space="preserve">Risikoausgleich </v>
      </c>
      <c r="D4101" s="2205" t="s">
        <v>2572</v>
      </c>
      <c r="E4101" s="1390">
        <f>Risk_Compensation!$G63</f>
        <v>46</v>
      </c>
      <c r="F4101" s="1390" t="str">
        <f>Risk_Compensation!$R$17</f>
        <v>JU</v>
      </c>
      <c r="G4101" s="1390"/>
      <c r="H4101" s="1077">
        <f>Risk_Compensation!$R63</f>
        <v>0</v>
      </c>
    </row>
    <row r="4102" spans="1:8" x14ac:dyDescent="0.2">
      <c r="A4102" s="1027"/>
      <c r="B4102" s="1083">
        <f>Risk_Compensation!A$1</f>
        <v>36</v>
      </c>
      <c r="C4102" s="1390" t="str">
        <f>Risk_Compensation!$B$1</f>
        <v xml:space="preserve">Risikoausgleich </v>
      </c>
      <c r="D4102" s="2205" t="s">
        <v>2572</v>
      </c>
      <c r="E4102" s="1390">
        <f>Risk_Compensation!$G64</f>
        <v>47</v>
      </c>
      <c r="F4102" s="1390" t="str">
        <f>Risk_Compensation!$R$17</f>
        <v>JU</v>
      </c>
      <c r="G4102" s="1390"/>
      <c r="H4102" s="1077">
        <f>Risk_Compensation!$R64</f>
        <v>0</v>
      </c>
    </row>
    <row r="4103" spans="1:8" x14ac:dyDescent="0.2">
      <c r="A4103" s="1027"/>
      <c r="B4103" s="1083">
        <f>Risk_Compensation!A$1</f>
        <v>36</v>
      </c>
      <c r="C4103" s="1390" t="str">
        <f>Risk_Compensation!$B$1</f>
        <v xml:space="preserve">Risikoausgleich </v>
      </c>
      <c r="D4103" s="2205" t="s">
        <v>2572</v>
      </c>
      <c r="E4103" s="1390">
        <f>Risk_Compensation!$G65</f>
        <v>48</v>
      </c>
      <c r="F4103" s="1390" t="str">
        <f>Risk_Compensation!$R$17</f>
        <v>JU</v>
      </c>
      <c r="G4103" s="1390"/>
      <c r="H4103" s="1077">
        <f>Risk_Compensation!$R65</f>
        <v>0</v>
      </c>
    </row>
    <row r="4104" spans="1:8" x14ac:dyDescent="0.2">
      <c r="A4104" s="1027"/>
      <c r="B4104" s="1083">
        <f>Risk_Compensation!A$1</f>
        <v>36</v>
      </c>
      <c r="C4104" s="1390" t="str">
        <f>Risk_Compensation!$B$1</f>
        <v xml:space="preserve">Risikoausgleich </v>
      </c>
      <c r="D4104" s="2205" t="s">
        <v>2572</v>
      </c>
      <c r="E4104" s="1390">
        <f>Risk_Compensation!$G66</f>
        <v>49</v>
      </c>
      <c r="F4104" s="1390" t="str">
        <f>Risk_Compensation!$R$17</f>
        <v>JU</v>
      </c>
      <c r="G4104" s="1390"/>
      <c r="H4104" s="1077">
        <f>Risk_Compensation!$R66</f>
        <v>0</v>
      </c>
    </row>
    <row r="4105" spans="1:8" x14ac:dyDescent="0.2">
      <c r="A4105" s="1027"/>
      <c r="B4105" s="1083">
        <f>Risk_Compensation!A$1</f>
        <v>36</v>
      </c>
      <c r="C4105" s="1390" t="str">
        <f>Risk_Compensation!$B$1</f>
        <v xml:space="preserve">Risikoausgleich </v>
      </c>
      <c r="D4105" s="2205" t="s">
        <v>2572</v>
      </c>
      <c r="E4105" s="1390">
        <f>Risk_Compensation!$G67</f>
        <v>50</v>
      </c>
      <c r="F4105" s="1390" t="str">
        <f>Risk_Compensation!$R$17</f>
        <v>JU</v>
      </c>
      <c r="G4105" s="1390"/>
      <c r="H4105" s="1077">
        <f>Risk_Compensation!$R67</f>
        <v>0</v>
      </c>
    </row>
    <row r="4106" spans="1:8" x14ac:dyDescent="0.2">
      <c r="A4106" s="1027"/>
      <c r="B4106" s="1083">
        <f>Risk_Compensation!A$1</f>
        <v>36</v>
      </c>
      <c r="C4106" s="1390" t="str">
        <f>Risk_Compensation!$B$1</f>
        <v xml:space="preserve">Risikoausgleich </v>
      </c>
      <c r="D4106" s="2205" t="s">
        <v>2572</v>
      </c>
      <c r="E4106" s="1390">
        <f>Risk_Compensation!$G68</f>
        <v>51</v>
      </c>
      <c r="F4106" s="1390" t="str">
        <f>Risk_Compensation!$R$17</f>
        <v>JU</v>
      </c>
      <c r="G4106" s="1390"/>
      <c r="H4106" s="1077">
        <f>Risk_Compensation!$R68</f>
        <v>0</v>
      </c>
    </row>
    <row r="4107" spans="1:8" x14ac:dyDescent="0.2">
      <c r="A4107" s="1027"/>
      <c r="B4107" s="1083">
        <f>Risk_Compensation!A$1</f>
        <v>36</v>
      </c>
      <c r="C4107" s="1390" t="str">
        <f>Risk_Compensation!$B$1</f>
        <v xml:space="preserve">Risikoausgleich </v>
      </c>
      <c r="D4107" s="2205" t="s">
        <v>2572</v>
      </c>
      <c r="E4107" s="1390">
        <f>Risk_Compensation!$G69</f>
        <v>52</v>
      </c>
      <c r="F4107" s="1390" t="str">
        <f>Risk_Compensation!$R$17</f>
        <v>JU</v>
      </c>
      <c r="G4107" s="1390"/>
      <c r="H4107" s="1077">
        <f>Risk_Compensation!$R69</f>
        <v>0</v>
      </c>
    </row>
    <row r="4108" spans="1:8" x14ac:dyDescent="0.2">
      <c r="A4108" s="1027"/>
      <c r="B4108" s="1083">
        <f>Risk_Compensation!A$1</f>
        <v>36</v>
      </c>
      <c r="C4108" s="1390" t="str">
        <f>Risk_Compensation!$B$1</f>
        <v xml:space="preserve">Risikoausgleich </v>
      </c>
      <c r="D4108" s="2205" t="s">
        <v>2572</v>
      </c>
      <c r="E4108" s="1390">
        <f>Risk_Compensation!$G70</f>
        <v>53</v>
      </c>
      <c r="F4108" s="1390" t="str">
        <f>Risk_Compensation!$R$17</f>
        <v>JU</v>
      </c>
      <c r="G4108" s="1390"/>
      <c r="H4108" s="1077">
        <f>Risk_Compensation!$R70</f>
        <v>0</v>
      </c>
    </row>
    <row r="4109" spans="1:8" x14ac:dyDescent="0.2">
      <c r="A4109" s="1027"/>
      <c r="B4109" s="1083">
        <f>Risk_Compensation!A$1</f>
        <v>36</v>
      </c>
      <c r="C4109" s="1390" t="str">
        <f>Risk_Compensation!$B$1</f>
        <v xml:space="preserve">Risikoausgleich </v>
      </c>
      <c r="D4109" s="2205" t="s">
        <v>2572</v>
      </c>
      <c r="E4109" s="1390">
        <f>Risk_Compensation!$G71</f>
        <v>54</v>
      </c>
      <c r="F4109" s="1390" t="str">
        <f>Risk_Compensation!$R$17</f>
        <v>JU</v>
      </c>
      <c r="G4109" s="1390"/>
      <c r="H4109" s="1077">
        <f>Risk_Compensation!$R71</f>
        <v>0</v>
      </c>
    </row>
    <row r="4110" spans="1:8" x14ac:dyDescent="0.2">
      <c r="A4110" s="1027"/>
      <c r="B4110" s="1083">
        <f>Risk_Compensation!A$1</f>
        <v>36</v>
      </c>
      <c r="C4110" s="1390" t="str">
        <f>Risk_Compensation!$B$1</f>
        <v xml:space="preserve">Risikoausgleich </v>
      </c>
      <c r="D4110" s="2205" t="s">
        <v>2572</v>
      </c>
      <c r="E4110" s="1390">
        <f>Risk_Compensation!$G72</f>
        <v>55</v>
      </c>
      <c r="F4110" s="1390" t="str">
        <f>Risk_Compensation!$R$17</f>
        <v>JU</v>
      </c>
      <c r="G4110" s="1390"/>
      <c r="H4110" s="1077">
        <f>Risk_Compensation!$R72</f>
        <v>0</v>
      </c>
    </row>
    <row r="4111" spans="1:8" x14ac:dyDescent="0.2">
      <c r="A4111" s="1027"/>
      <c r="B4111" s="1083">
        <f>Risk_Compensation!A$1</f>
        <v>36</v>
      </c>
      <c r="C4111" s="1390" t="str">
        <f>Risk_Compensation!$B$1</f>
        <v xml:space="preserve">Risikoausgleich </v>
      </c>
      <c r="D4111" s="2205" t="s">
        <v>2572</v>
      </c>
      <c r="E4111" s="1390">
        <f>Risk_Compensation!$G73</f>
        <v>56</v>
      </c>
      <c r="F4111" s="1390" t="str">
        <f>Risk_Compensation!$R$17</f>
        <v>JU</v>
      </c>
      <c r="G4111" s="1390"/>
      <c r="H4111" s="1077">
        <f>Risk_Compensation!$R73</f>
        <v>0</v>
      </c>
    </row>
    <row r="4112" spans="1:8" x14ac:dyDescent="0.2">
      <c r="A4112" s="1027"/>
      <c r="B4112" s="1083">
        <f>Risk_Compensation!A$1</f>
        <v>36</v>
      </c>
      <c r="C4112" s="1390" t="str">
        <f>Risk_Compensation!$B$1</f>
        <v xml:space="preserve">Risikoausgleich </v>
      </c>
      <c r="D4112" s="2205" t="s">
        <v>2572</v>
      </c>
      <c r="E4112" s="1390">
        <f>Risk_Compensation!$G74</f>
        <v>57</v>
      </c>
      <c r="F4112" s="1390" t="str">
        <f>Risk_Compensation!$R$17</f>
        <v>JU</v>
      </c>
      <c r="G4112" s="1390"/>
      <c r="H4112" s="1077">
        <f>Risk_Compensation!$R74</f>
        <v>0</v>
      </c>
    </row>
    <row r="4113" spans="1:8" x14ac:dyDescent="0.2">
      <c r="A4113" s="1027"/>
      <c r="B4113" s="1083">
        <f>Risk_Compensation!A$1</f>
        <v>36</v>
      </c>
      <c r="C4113" s="1390" t="str">
        <f>Risk_Compensation!$B$1</f>
        <v xml:space="preserve">Risikoausgleich </v>
      </c>
      <c r="D4113" s="2205" t="s">
        <v>2572</v>
      </c>
      <c r="E4113" s="1390">
        <f>Risk_Compensation!$G75</f>
        <v>58</v>
      </c>
      <c r="F4113" s="1390" t="str">
        <f>Risk_Compensation!$R$17</f>
        <v>JU</v>
      </c>
      <c r="G4113" s="1390"/>
      <c r="H4113" s="1077">
        <f>Risk_Compensation!$R75</f>
        <v>0</v>
      </c>
    </row>
    <row r="4114" spans="1:8" x14ac:dyDescent="0.2">
      <c r="A4114" s="1027"/>
      <c r="B4114" s="1083">
        <f>Risk_Compensation!A$1</f>
        <v>36</v>
      </c>
      <c r="C4114" s="1390" t="str">
        <f>Risk_Compensation!$B$1</f>
        <v xml:space="preserve">Risikoausgleich </v>
      </c>
      <c r="D4114" s="2205" t="s">
        <v>2572</v>
      </c>
      <c r="E4114" s="1390">
        <f>Risk_Compensation!$G76</f>
        <v>59</v>
      </c>
      <c r="F4114" s="1390" t="str">
        <f>Risk_Compensation!$R$17</f>
        <v>JU</v>
      </c>
      <c r="G4114" s="1390"/>
      <c r="H4114" s="1077">
        <f>Risk_Compensation!$R76</f>
        <v>0</v>
      </c>
    </row>
    <row r="4115" spans="1:8" x14ac:dyDescent="0.2">
      <c r="A4115" s="1027"/>
      <c r="B4115" s="1083">
        <f>Risk_Compensation!A$1</f>
        <v>36</v>
      </c>
      <c r="C4115" s="1390" t="str">
        <f>Risk_Compensation!$B$1</f>
        <v xml:space="preserve">Risikoausgleich </v>
      </c>
      <c r="D4115" s="2205" t="s">
        <v>2572</v>
      </c>
      <c r="E4115" s="1390">
        <f>Risk_Compensation!$G77</f>
        <v>60</v>
      </c>
      <c r="F4115" s="1390" t="str">
        <f>Risk_Compensation!$R$17</f>
        <v>JU</v>
      </c>
      <c r="G4115" s="1390"/>
      <c r="H4115" s="1077">
        <f>Risk_Compensation!$R77</f>
        <v>0</v>
      </c>
    </row>
    <row r="4116" spans="1:8" x14ac:dyDescent="0.2">
      <c r="A4116" s="1027"/>
      <c r="B4116" s="2174"/>
      <c r="C4116" s="1390"/>
      <c r="D4116" s="2175"/>
      <c r="E4116" s="2176"/>
      <c r="F4116" s="1390"/>
      <c r="G4116" s="1390"/>
      <c r="H4116" s="1078"/>
    </row>
    <row r="4117" spans="1:8" x14ac:dyDescent="0.2">
      <c r="A4117" s="1027"/>
      <c r="B4117" s="1083">
        <f>Risk_Compensation!A$1</f>
        <v>36</v>
      </c>
      <c r="C4117" s="1390" t="str">
        <f>Risk_Compensation!$B$1</f>
        <v xml:space="preserve">Risikoausgleich </v>
      </c>
      <c r="D4117" s="2205" t="s">
        <v>2572</v>
      </c>
      <c r="E4117" s="1390">
        <f>Risk_Compensation!$G18</f>
        <v>1</v>
      </c>
      <c r="F4117" s="1390" t="str">
        <f>Risk_Compensation!$S$17</f>
        <v>LU</v>
      </c>
      <c r="G4117" s="1390"/>
      <c r="H4117" s="1077">
        <f>Risk_Compensation!$S18</f>
        <v>0</v>
      </c>
    </row>
    <row r="4118" spans="1:8" x14ac:dyDescent="0.2">
      <c r="A4118" s="1027"/>
      <c r="B4118" s="1083">
        <f>Risk_Compensation!A$1</f>
        <v>36</v>
      </c>
      <c r="C4118" s="1390" t="str">
        <f>Risk_Compensation!$B$1</f>
        <v xml:space="preserve">Risikoausgleich </v>
      </c>
      <c r="D4118" s="2205" t="s">
        <v>2572</v>
      </c>
      <c r="E4118" s="1390">
        <f>Risk_Compensation!$G19</f>
        <v>2</v>
      </c>
      <c r="F4118" s="1390" t="str">
        <f>Risk_Compensation!$S$17</f>
        <v>LU</v>
      </c>
      <c r="G4118" s="1390"/>
      <c r="H4118" s="1077">
        <f>Risk_Compensation!$S19</f>
        <v>0</v>
      </c>
    </row>
    <row r="4119" spans="1:8" x14ac:dyDescent="0.2">
      <c r="A4119" s="1027"/>
      <c r="B4119" s="1083">
        <f>Risk_Compensation!A$1</f>
        <v>36</v>
      </c>
      <c r="C4119" s="1390" t="str">
        <f>Risk_Compensation!$B$1</f>
        <v xml:space="preserve">Risikoausgleich </v>
      </c>
      <c r="D4119" s="2205" t="s">
        <v>2572</v>
      </c>
      <c r="E4119" s="1390">
        <f>Risk_Compensation!$G20</f>
        <v>3</v>
      </c>
      <c r="F4119" s="1390" t="str">
        <f>Risk_Compensation!$S$17</f>
        <v>LU</v>
      </c>
      <c r="G4119" s="1390"/>
      <c r="H4119" s="1077">
        <f>Risk_Compensation!$S20</f>
        <v>0</v>
      </c>
    </row>
    <row r="4120" spans="1:8" x14ac:dyDescent="0.2">
      <c r="A4120" s="1027"/>
      <c r="B4120" s="1083">
        <f>Risk_Compensation!A$1</f>
        <v>36</v>
      </c>
      <c r="C4120" s="1390" t="str">
        <f>Risk_Compensation!$B$1</f>
        <v xml:space="preserve">Risikoausgleich </v>
      </c>
      <c r="D4120" s="2205" t="s">
        <v>2572</v>
      </c>
      <c r="E4120" s="1390">
        <f>Risk_Compensation!$G21</f>
        <v>4</v>
      </c>
      <c r="F4120" s="1390" t="str">
        <f>Risk_Compensation!$S$17</f>
        <v>LU</v>
      </c>
      <c r="G4120" s="1390"/>
      <c r="H4120" s="1077">
        <f>Risk_Compensation!$S21</f>
        <v>0</v>
      </c>
    </row>
    <row r="4121" spans="1:8" x14ac:dyDescent="0.2">
      <c r="A4121" s="1027"/>
      <c r="B4121" s="1083">
        <f>Risk_Compensation!A$1</f>
        <v>36</v>
      </c>
      <c r="C4121" s="1390" t="str">
        <f>Risk_Compensation!$B$1</f>
        <v xml:space="preserve">Risikoausgleich </v>
      </c>
      <c r="D4121" s="2205" t="s">
        <v>2572</v>
      </c>
      <c r="E4121" s="1390">
        <f>Risk_Compensation!$G22</f>
        <v>5</v>
      </c>
      <c r="F4121" s="1390" t="str">
        <f>Risk_Compensation!$S$17</f>
        <v>LU</v>
      </c>
      <c r="G4121" s="1390"/>
      <c r="H4121" s="1077">
        <f>Risk_Compensation!$S22</f>
        <v>0</v>
      </c>
    </row>
    <row r="4122" spans="1:8" x14ac:dyDescent="0.2">
      <c r="A4122" s="1027"/>
      <c r="B4122" s="1083">
        <f>Risk_Compensation!A$1</f>
        <v>36</v>
      </c>
      <c r="C4122" s="1390" t="str">
        <f>Risk_Compensation!$B$1</f>
        <v xml:space="preserve">Risikoausgleich </v>
      </c>
      <c r="D4122" s="2205" t="s">
        <v>2572</v>
      </c>
      <c r="E4122" s="1390">
        <f>Risk_Compensation!$G23</f>
        <v>6</v>
      </c>
      <c r="F4122" s="1390" t="str">
        <f>Risk_Compensation!$S$17</f>
        <v>LU</v>
      </c>
      <c r="G4122" s="1390"/>
      <c r="H4122" s="1077">
        <f>Risk_Compensation!$S23</f>
        <v>0</v>
      </c>
    </row>
    <row r="4123" spans="1:8" x14ac:dyDescent="0.2">
      <c r="A4123" s="1027"/>
      <c r="B4123" s="1083">
        <f>Risk_Compensation!A$1</f>
        <v>36</v>
      </c>
      <c r="C4123" s="1390" t="str">
        <f>Risk_Compensation!$B$1</f>
        <v xml:space="preserve">Risikoausgleich </v>
      </c>
      <c r="D4123" s="2205" t="s">
        <v>2572</v>
      </c>
      <c r="E4123" s="1390">
        <f>Risk_Compensation!$G24</f>
        <v>7</v>
      </c>
      <c r="F4123" s="1390" t="str">
        <f>Risk_Compensation!$S$17</f>
        <v>LU</v>
      </c>
      <c r="G4123" s="1390"/>
      <c r="H4123" s="1077">
        <f>Risk_Compensation!$S24</f>
        <v>0</v>
      </c>
    </row>
    <row r="4124" spans="1:8" x14ac:dyDescent="0.2">
      <c r="A4124" s="1027"/>
      <c r="B4124" s="1083">
        <f>Risk_Compensation!A$1</f>
        <v>36</v>
      </c>
      <c r="C4124" s="1390" t="str">
        <f>Risk_Compensation!$B$1</f>
        <v xml:space="preserve">Risikoausgleich </v>
      </c>
      <c r="D4124" s="2205" t="s">
        <v>2572</v>
      </c>
      <c r="E4124" s="1390">
        <f>Risk_Compensation!$G25</f>
        <v>8</v>
      </c>
      <c r="F4124" s="1390" t="str">
        <f>Risk_Compensation!$S$17</f>
        <v>LU</v>
      </c>
      <c r="G4124" s="1390"/>
      <c r="H4124" s="1077">
        <f>Risk_Compensation!$S25</f>
        <v>0</v>
      </c>
    </row>
    <row r="4125" spans="1:8" x14ac:dyDescent="0.2">
      <c r="A4125" s="1027"/>
      <c r="B4125" s="1083">
        <f>Risk_Compensation!A$1</f>
        <v>36</v>
      </c>
      <c r="C4125" s="1390" t="str">
        <f>Risk_Compensation!$B$1</f>
        <v xml:space="preserve">Risikoausgleich </v>
      </c>
      <c r="D4125" s="2205" t="s">
        <v>2572</v>
      </c>
      <c r="E4125" s="1390">
        <f>Risk_Compensation!$G26</f>
        <v>9</v>
      </c>
      <c r="F4125" s="1390" t="str">
        <f>Risk_Compensation!$S$17</f>
        <v>LU</v>
      </c>
      <c r="G4125" s="1390"/>
      <c r="H4125" s="1077">
        <f>Risk_Compensation!$S26</f>
        <v>0</v>
      </c>
    </row>
    <row r="4126" spans="1:8" x14ac:dyDescent="0.2">
      <c r="A4126" s="1027"/>
      <c r="B4126" s="1083">
        <f>Risk_Compensation!A$1</f>
        <v>36</v>
      </c>
      <c r="C4126" s="1390" t="str">
        <f>Risk_Compensation!$B$1</f>
        <v xml:space="preserve">Risikoausgleich </v>
      </c>
      <c r="D4126" s="2205" t="s">
        <v>2572</v>
      </c>
      <c r="E4126" s="1390">
        <f>Risk_Compensation!$G27</f>
        <v>10</v>
      </c>
      <c r="F4126" s="1390" t="str">
        <f>Risk_Compensation!$S$17</f>
        <v>LU</v>
      </c>
      <c r="G4126" s="1390"/>
      <c r="H4126" s="1077">
        <f>Risk_Compensation!$S27</f>
        <v>0</v>
      </c>
    </row>
    <row r="4127" spans="1:8" x14ac:dyDescent="0.2">
      <c r="A4127" s="1027"/>
      <c r="B4127" s="1083">
        <f>Risk_Compensation!A$1</f>
        <v>36</v>
      </c>
      <c r="C4127" s="1390" t="str">
        <f>Risk_Compensation!$B$1</f>
        <v xml:space="preserve">Risikoausgleich </v>
      </c>
      <c r="D4127" s="2205" t="s">
        <v>2572</v>
      </c>
      <c r="E4127" s="1390">
        <f>Risk_Compensation!$G28</f>
        <v>11</v>
      </c>
      <c r="F4127" s="1390" t="str">
        <f>Risk_Compensation!$S$17</f>
        <v>LU</v>
      </c>
      <c r="G4127" s="1390"/>
      <c r="H4127" s="1077">
        <f>Risk_Compensation!$S28</f>
        <v>0</v>
      </c>
    </row>
    <row r="4128" spans="1:8" x14ac:dyDescent="0.2">
      <c r="A4128" s="1027"/>
      <c r="B4128" s="1083">
        <f>Risk_Compensation!A$1</f>
        <v>36</v>
      </c>
      <c r="C4128" s="1390" t="str">
        <f>Risk_Compensation!$B$1</f>
        <v xml:space="preserve">Risikoausgleich </v>
      </c>
      <c r="D4128" s="2205" t="s">
        <v>2572</v>
      </c>
      <c r="E4128" s="1390">
        <f>Risk_Compensation!$G29</f>
        <v>12</v>
      </c>
      <c r="F4128" s="1390" t="str">
        <f>Risk_Compensation!$S$17</f>
        <v>LU</v>
      </c>
      <c r="G4128" s="1390"/>
      <c r="H4128" s="1077">
        <f>Risk_Compensation!$S29</f>
        <v>0</v>
      </c>
    </row>
    <row r="4129" spans="1:8" x14ac:dyDescent="0.2">
      <c r="A4129" s="1027"/>
      <c r="B4129" s="1083">
        <f>Risk_Compensation!A$1</f>
        <v>36</v>
      </c>
      <c r="C4129" s="1390" t="str">
        <f>Risk_Compensation!$B$1</f>
        <v xml:space="preserve">Risikoausgleich </v>
      </c>
      <c r="D4129" s="2205" t="s">
        <v>2572</v>
      </c>
      <c r="E4129" s="1390">
        <f>Risk_Compensation!$G30</f>
        <v>13</v>
      </c>
      <c r="F4129" s="1390" t="str">
        <f>Risk_Compensation!$S$17</f>
        <v>LU</v>
      </c>
      <c r="G4129" s="1390"/>
      <c r="H4129" s="1077">
        <f>Risk_Compensation!$S30</f>
        <v>0</v>
      </c>
    </row>
    <row r="4130" spans="1:8" x14ac:dyDescent="0.2">
      <c r="A4130" s="1027"/>
      <c r="B4130" s="1083">
        <f>Risk_Compensation!A$1</f>
        <v>36</v>
      </c>
      <c r="C4130" s="1390" t="str">
        <f>Risk_Compensation!$B$1</f>
        <v xml:space="preserve">Risikoausgleich </v>
      </c>
      <c r="D4130" s="2205" t="s">
        <v>2572</v>
      </c>
      <c r="E4130" s="1390">
        <f>Risk_Compensation!$G31</f>
        <v>14</v>
      </c>
      <c r="F4130" s="1390" t="str">
        <f>Risk_Compensation!$S$17</f>
        <v>LU</v>
      </c>
      <c r="G4130" s="1390"/>
      <c r="H4130" s="1077">
        <f>Risk_Compensation!$S31</f>
        <v>0</v>
      </c>
    </row>
    <row r="4131" spans="1:8" x14ac:dyDescent="0.2">
      <c r="A4131" s="1027"/>
      <c r="B4131" s="1083">
        <f>Risk_Compensation!A$1</f>
        <v>36</v>
      </c>
      <c r="C4131" s="1390" t="str">
        <f>Risk_Compensation!$B$1</f>
        <v xml:space="preserve">Risikoausgleich </v>
      </c>
      <c r="D4131" s="2205" t="s">
        <v>2572</v>
      </c>
      <c r="E4131" s="1390">
        <f>Risk_Compensation!$G32</f>
        <v>15</v>
      </c>
      <c r="F4131" s="1390" t="str">
        <f>Risk_Compensation!$S$17</f>
        <v>LU</v>
      </c>
      <c r="G4131" s="1390"/>
      <c r="H4131" s="1077">
        <f>Risk_Compensation!$S32</f>
        <v>0</v>
      </c>
    </row>
    <row r="4132" spans="1:8" x14ac:dyDescent="0.2">
      <c r="A4132" s="1027"/>
      <c r="B4132" s="1083">
        <f>Risk_Compensation!A$1</f>
        <v>36</v>
      </c>
      <c r="C4132" s="1390" t="str">
        <f>Risk_Compensation!$B$1</f>
        <v xml:space="preserve">Risikoausgleich </v>
      </c>
      <c r="D4132" s="2205" t="s">
        <v>2572</v>
      </c>
      <c r="E4132" s="1390">
        <f>Risk_Compensation!$G33</f>
        <v>16</v>
      </c>
      <c r="F4132" s="1390" t="str">
        <f>Risk_Compensation!$S$17</f>
        <v>LU</v>
      </c>
      <c r="G4132" s="1390"/>
      <c r="H4132" s="1077">
        <f>Risk_Compensation!$S33</f>
        <v>0</v>
      </c>
    </row>
    <row r="4133" spans="1:8" x14ac:dyDescent="0.2">
      <c r="A4133" s="1027"/>
      <c r="B4133" s="1083">
        <f>Risk_Compensation!A$1</f>
        <v>36</v>
      </c>
      <c r="C4133" s="1390" t="str">
        <f>Risk_Compensation!$B$1</f>
        <v xml:space="preserve">Risikoausgleich </v>
      </c>
      <c r="D4133" s="2205" t="s">
        <v>2572</v>
      </c>
      <c r="E4133" s="1390">
        <f>Risk_Compensation!$G34</f>
        <v>17</v>
      </c>
      <c r="F4133" s="1390" t="str">
        <f>Risk_Compensation!$S$17</f>
        <v>LU</v>
      </c>
      <c r="G4133" s="1390"/>
      <c r="H4133" s="1077">
        <f>Risk_Compensation!$S34</f>
        <v>0</v>
      </c>
    </row>
    <row r="4134" spans="1:8" x14ac:dyDescent="0.2">
      <c r="A4134" s="1027"/>
      <c r="B4134" s="1083">
        <f>Risk_Compensation!A$1</f>
        <v>36</v>
      </c>
      <c r="C4134" s="1390" t="str">
        <f>Risk_Compensation!$B$1</f>
        <v xml:space="preserve">Risikoausgleich </v>
      </c>
      <c r="D4134" s="2205" t="s">
        <v>2572</v>
      </c>
      <c r="E4134" s="1390">
        <f>Risk_Compensation!$G35</f>
        <v>18</v>
      </c>
      <c r="F4134" s="1390" t="str">
        <f>Risk_Compensation!$S$17</f>
        <v>LU</v>
      </c>
      <c r="G4134" s="1390"/>
      <c r="H4134" s="1077">
        <f>Risk_Compensation!$S35</f>
        <v>0</v>
      </c>
    </row>
    <row r="4135" spans="1:8" x14ac:dyDescent="0.2">
      <c r="A4135" s="1027"/>
      <c r="B4135" s="1083">
        <f>Risk_Compensation!A$1</f>
        <v>36</v>
      </c>
      <c r="C4135" s="1390" t="str">
        <f>Risk_Compensation!$B$1</f>
        <v xml:space="preserve">Risikoausgleich </v>
      </c>
      <c r="D4135" s="2205" t="s">
        <v>2572</v>
      </c>
      <c r="E4135" s="1390">
        <f>Risk_Compensation!$G36</f>
        <v>19</v>
      </c>
      <c r="F4135" s="1390" t="str">
        <f>Risk_Compensation!$S$17</f>
        <v>LU</v>
      </c>
      <c r="G4135" s="1390"/>
      <c r="H4135" s="1077">
        <f>Risk_Compensation!$S36</f>
        <v>0</v>
      </c>
    </row>
    <row r="4136" spans="1:8" x14ac:dyDescent="0.2">
      <c r="A4136" s="1027"/>
      <c r="B4136" s="1083">
        <f>Risk_Compensation!A$1</f>
        <v>36</v>
      </c>
      <c r="C4136" s="1390" t="str">
        <f>Risk_Compensation!$B$1</f>
        <v xml:space="preserve">Risikoausgleich </v>
      </c>
      <c r="D4136" s="2205" t="s">
        <v>2572</v>
      </c>
      <c r="E4136" s="1390">
        <f>Risk_Compensation!$G37</f>
        <v>20</v>
      </c>
      <c r="F4136" s="1390" t="str">
        <f>Risk_Compensation!$S$17</f>
        <v>LU</v>
      </c>
      <c r="G4136" s="1390"/>
      <c r="H4136" s="1077">
        <f>Risk_Compensation!$S37</f>
        <v>0</v>
      </c>
    </row>
    <row r="4137" spans="1:8" x14ac:dyDescent="0.2">
      <c r="A4137" s="1027"/>
      <c r="B4137" s="1083">
        <f>Risk_Compensation!A$1</f>
        <v>36</v>
      </c>
      <c r="C4137" s="1390" t="str">
        <f>Risk_Compensation!$B$1</f>
        <v xml:space="preserve">Risikoausgleich </v>
      </c>
      <c r="D4137" s="2205" t="s">
        <v>2572</v>
      </c>
      <c r="E4137" s="1390">
        <f>Risk_Compensation!$G38</f>
        <v>21</v>
      </c>
      <c r="F4137" s="1390" t="str">
        <f>Risk_Compensation!$S$17</f>
        <v>LU</v>
      </c>
      <c r="G4137" s="1390"/>
      <c r="H4137" s="1077">
        <f>Risk_Compensation!$S38</f>
        <v>0</v>
      </c>
    </row>
    <row r="4138" spans="1:8" x14ac:dyDescent="0.2">
      <c r="A4138" s="1027"/>
      <c r="B4138" s="1083">
        <f>Risk_Compensation!A$1</f>
        <v>36</v>
      </c>
      <c r="C4138" s="1390" t="str">
        <f>Risk_Compensation!$B$1</f>
        <v xml:space="preserve">Risikoausgleich </v>
      </c>
      <c r="D4138" s="2205" t="s">
        <v>2572</v>
      </c>
      <c r="E4138" s="1390">
        <f>Risk_Compensation!$G39</f>
        <v>22</v>
      </c>
      <c r="F4138" s="1390" t="str">
        <f>Risk_Compensation!$S$17</f>
        <v>LU</v>
      </c>
      <c r="G4138" s="1390"/>
      <c r="H4138" s="1077">
        <f>Risk_Compensation!$S39</f>
        <v>0</v>
      </c>
    </row>
    <row r="4139" spans="1:8" x14ac:dyDescent="0.2">
      <c r="A4139" s="1027"/>
      <c r="B4139" s="1083">
        <f>Risk_Compensation!A$1</f>
        <v>36</v>
      </c>
      <c r="C4139" s="1390" t="str">
        <f>Risk_Compensation!$B$1</f>
        <v xml:space="preserve">Risikoausgleich </v>
      </c>
      <c r="D4139" s="2205" t="s">
        <v>2572</v>
      </c>
      <c r="E4139" s="1390">
        <f>Risk_Compensation!$G40</f>
        <v>23</v>
      </c>
      <c r="F4139" s="1390" t="str">
        <f>Risk_Compensation!$S$17</f>
        <v>LU</v>
      </c>
      <c r="G4139" s="1390"/>
      <c r="H4139" s="1077">
        <f>Risk_Compensation!$S40</f>
        <v>0</v>
      </c>
    </row>
    <row r="4140" spans="1:8" x14ac:dyDescent="0.2">
      <c r="A4140" s="1027"/>
      <c r="B4140" s="1083">
        <f>Risk_Compensation!A$1</f>
        <v>36</v>
      </c>
      <c r="C4140" s="1390" t="str">
        <f>Risk_Compensation!$B$1</f>
        <v xml:space="preserve">Risikoausgleich </v>
      </c>
      <c r="D4140" s="2205" t="s">
        <v>2572</v>
      </c>
      <c r="E4140" s="1390">
        <f>Risk_Compensation!$G41</f>
        <v>24</v>
      </c>
      <c r="F4140" s="1390" t="str">
        <f>Risk_Compensation!$S$17</f>
        <v>LU</v>
      </c>
      <c r="G4140" s="1390"/>
      <c r="H4140" s="1077">
        <f>Risk_Compensation!$S41</f>
        <v>0</v>
      </c>
    </row>
    <row r="4141" spans="1:8" x14ac:dyDescent="0.2">
      <c r="A4141" s="1027"/>
      <c r="B4141" s="1083">
        <f>Risk_Compensation!A$1</f>
        <v>36</v>
      </c>
      <c r="C4141" s="1390" t="str">
        <f>Risk_Compensation!$B$1</f>
        <v xml:space="preserve">Risikoausgleich </v>
      </c>
      <c r="D4141" s="2205" t="s">
        <v>2572</v>
      </c>
      <c r="E4141" s="1390">
        <f>Risk_Compensation!$G42</f>
        <v>25</v>
      </c>
      <c r="F4141" s="1390" t="str">
        <f>Risk_Compensation!$S$17</f>
        <v>LU</v>
      </c>
      <c r="G4141" s="1390"/>
      <c r="H4141" s="1077">
        <f>Risk_Compensation!$S42</f>
        <v>0</v>
      </c>
    </row>
    <row r="4142" spans="1:8" x14ac:dyDescent="0.2">
      <c r="A4142" s="1027"/>
      <c r="B4142" s="1083">
        <f>Risk_Compensation!A$1</f>
        <v>36</v>
      </c>
      <c r="C4142" s="1390" t="str">
        <f>Risk_Compensation!$B$1</f>
        <v xml:space="preserve">Risikoausgleich </v>
      </c>
      <c r="D4142" s="2205" t="s">
        <v>2572</v>
      </c>
      <c r="E4142" s="1390">
        <f>Risk_Compensation!$G43</f>
        <v>26</v>
      </c>
      <c r="F4142" s="1390" t="str">
        <f>Risk_Compensation!$S$17</f>
        <v>LU</v>
      </c>
      <c r="G4142" s="1390"/>
      <c r="H4142" s="1077">
        <f>Risk_Compensation!$S43</f>
        <v>0</v>
      </c>
    </row>
    <row r="4143" spans="1:8" x14ac:dyDescent="0.2">
      <c r="A4143" s="1027"/>
      <c r="B4143" s="1083">
        <f>Risk_Compensation!A$1</f>
        <v>36</v>
      </c>
      <c r="C4143" s="1390" t="str">
        <f>Risk_Compensation!$B$1</f>
        <v xml:space="preserve">Risikoausgleich </v>
      </c>
      <c r="D4143" s="2205" t="s">
        <v>2572</v>
      </c>
      <c r="E4143" s="1390">
        <f>Risk_Compensation!$G44</f>
        <v>27</v>
      </c>
      <c r="F4143" s="1390" t="str">
        <f>Risk_Compensation!$S$17</f>
        <v>LU</v>
      </c>
      <c r="G4143" s="1390"/>
      <c r="H4143" s="1077">
        <f>Risk_Compensation!$S44</f>
        <v>0</v>
      </c>
    </row>
    <row r="4144" spans="1:8" x14ac:dyDescent="0.2">
      <c r="A4144" s="1027"/>
      <c r="B4144" s="1083">
        <f>Risk_Compensation!A$1</f>
        <v>36</v>
      </c>
      <c r="C4144" s="1390" t="str">
        <f>Risk_Compensation!$B$1</f>
        <v xml:space="preserve">Risikoausgleich </v>
      </c>
      <c r="D4144" s="2205" t="s">
        <v>2572</v>
      </c>
      <c r="E4144" s="1390">
        <f>Risk_Compensation!$G45</f>
        <v>28</v>
      </c>
      <c r="F4144" s="1390" t="str">
        <f>Risk_Compensation!$S$17</f>
        <v>LU</v>
      </c>
      <c r="G4144" s="1390"/>
      <c r="H4144" s="1077">
        <f>Risk_Compensation!$S45</f>
        <v>0</v>
      </c>
    </row>
    <row r="4145" spans="1:8" x14ac:dyDescent="0.2">
      <c r="A4145" s="1027"/>
      <c r="B4145" s="1083">
        <f>Risk_Compensation!A$1</f>
        <v>36</v>
      </c>
      <c r="C4145" s="1390" t="str">
        <f>Risk_Compensation!$B$1</f>
        <v xml:space="preserve">Risikoausgleich </v>
      </c>
      <c r="D4145" s="2205" t="s">
        <v>2572</v>
      </c>
      <c r="E4145" s="1390">
        <f>Risk_Compensation!$G46</f>
        <v>29</v>
      </c>
      <c r="F4145" s="1390" t="str">
        <f>Risk_Compensation!$S$17</f>
        <v>LU</v>
      </c>
      <c r="G4145" s="1390"/>
      <c r="H4145" s="1077">
        <f>Risk_Compensation!$S46</f>
        <v>0</v>
      </c>
    </row>
    <row r="4146" spans="1:8" x14ac:dyDescent="0.2">
      <c r="A4146" s="1027"/>
      <c r="B4146" s="1083">
        <f>Risk_Compensation!A$1</f>
        <v>36</v>
      </c>
      <c r="C4146" s="1390" t="str">
        <f>Risk_Compensation!$B$1</f>
        <v xml:space="preserve">Risikoausgleich </v>
      </c>
      <c r="D4146" s="2205" t="s">
        <v>2572</v>
      </c>
      <c r="E4146" s="1390">
        <f>Risk_Compensation!$G47</f>
        <v>30</v>
      </c>
      <c r="F4146" s="1390" t="str">
        <f>Risk_Compensation!$S$17</f>
        <v>LU</v>
      </c>
      <c r="G4146" s="1390"/>
      <c r="H4146" s="1077">
        <f>Risk_Compensation!$S47</f>
        <v>0</v>
      </c>
    </row>
    <row r="4147" spans="1:8" x14ac:dyDescent="0.2">
      <c r="A4147" s="1027"/>
      <c r="B4147" s="1083">
        <f>Risk_Compensation!A$1</f>
        <v>36</v>
      </c>
      <c r="C4147" s="1390" t="str">
        <f>Risk_Compensation!$B$1</f>
        <v xml:space="preserve">Risikoausgleich </v>
      </c>
      <c r="D4147" s="2205" t="s">
        <v>2572</v>
      </c>
      <c r="E4147" s="1390">
        <f>Risk_Compensation!$G48</f>
        <v>31</v>
      </c>
      <c r="F4147" s="1390" t="str">
        <f>Risk_Compensation!$S$17</f>
        <v>LU</v>
      </c>
      <c r="G4147" s="1390"/>
      <c r="H4147" s="1077">
        <f>Risk_Compensation!$S48</f>
        <v>0</v>
      </c>
    </row>
    <row r="4148" spans="1:8" x14ac:dyDescent="0.2">
      <c r="A4148" s="1027"/>
      <c r="B4148" s="1083">
        <f>Risk_Compensation!A$1</f>
        <v>36</v>
      </c>
      <c r="C4148" s="1390" t="str">
        <f>Risk_Compensation!$B$1</f>
        <v xml:space="preserve">Risikoausgleich </v>
      </c>
      <c r="D4148" s="2205" t="s">
        <v>2572</v>
      </c>
      <c r="E4148" s="1390">
        <f>Risk_Compensation!$G49</f>
        <v>32</v>
      </c>
      <c r="F4148" s="1390" t="str">
        <f>Risk_Compensation!$S$17</f>
        <v>LU</v>
      </c>
      <c r="G4148" s="1390"/>
      <c r="H4148" s="1077">
        <f>Risk_Compensation!$S49</f>
        <v>0</v>
      </c>
    </row>
    <row r="4149" spans="1:8" x14ac:dyDescent="0.2">
      <c r="A4149" s="1027"/>
      <c r="B4149" s="1083">
        <f>Risk_Compensation!A$1</f>
        <v>36</v>
      </c>
      <c r="C4149" s="1390" t="str">
        <f>Risk_Compensation!$B$1</f>
        <v xml:space="preserve">Risikoausgleich </v>
      </c>
      <c r="D4149" s="2205" t="s">
        <v>2572</v>
      </c>
      <c r="E4149" s="1390">
        <f>Risk_Compensation!$G50</f>
        <v>33</v>
      </c>
      <c r="F4149" s="1390" t="str">
        <f>Risk_Compensation!$S$17</f>
        <v>LU</v>
      </c>
      <c r="G4149" s="1390"/>
      <c r="H4149" s="1077">
        <f>Risk_Compensation!$S50</f>
        <v>0</v>
      </c>
    </row>
    <row r="4150" spans="1:8" x14ac:dyDescent="0.2">
      <c r="A4150" s="1027"/>
      <c r="B4150" s="1083">
        <f>Risk_Compensation!A$1</f>
        <v>36</v>
      </c>
      <c r="C4150" s="1390" t="str">
        <f>Risk_Compensation!$B$1</f>
        <v xml:space="preserve">Risikoausgleich </v>
      </c>
      <c r="D4150" s="2205" t="s">
        <v>2572</v>
      </c>
      <c r="E4150" s="1390">
        <f>Risk_Compensation!$G51</f>
        <v>34</v>
      </c>
      <c r="F4150" s="1390" t="str">
        <f>Risk_Compensation!$S$17</f>
        <v>LU</v>
      </c>
      <c r="G4150" s="1390"/>
      <c r="H4150" s="1077">
        <f>Risk_Compensation!$S51</f>
        <v>0</v>
      </c>
    </row>
    <row r="4151" spans="1:8" x14ac:dyDescent="0.2">
      <c r="A4151" s="1027"/>
      <c r="B4151" s="1083">
        <f>Risk_Compensation!A$1</f>
        <v>36</v>
      </c>
      <c r="C4151" s="1390" t="str">
        <f>Risk_Compensation!$B$1</f>
        <v xml:space="preserve">Risikoausgleich </v>
      </c>
      <c r="D4151" s="2205" t="s">
        <v>2572</v>
      </c>
      <c r="E4151" s="1390">
        <f>Risk_Compensation!$G52</f>
        <v>35</v>
      </c>
      <c r="F4151" s="1390" t="str">
        <f>Risk_Compensation!$S$17</f>
        <v>LU</v>
      </c>
      <c r="G4151" s="1390"/>
      <c r="H4151" s="1077">
        <f>Risk_Compensation!$S52</f>
        <v>0</v>
      </c>
    </row>
    <row r="4152" spans="1:8" x14ac:dyDescent="0.2">
      <c r="A4152" s="1027"/>
      <c r="B4152" s="1083">
        <f>Risk_Compensation!A$1</f>
        <v>36</v>
      </c>
      <c r="C4152" s="1390" t="str">
        <f>Risk_Compensation!$B$1</f>
        <v xml:space="preserve">Risikoausgleich </v>
      </c>
      <c r="D4152" s="2205" t="s">
        <v>2572</v>
      </c>
      <c r="E4152" s="1390">
        <f>Risk_Compensation!$G53</f>
        <v>36</v>
      </c>
      <c r="F4152" s="1390" t="str">
        <f>Risk_Compensation!$S$17</f>
        <v>LU</v>
      </c>
      <c r="G4152" s="1390"/>
      <c r="H4152" s="1077">
        <f>Risk_Compensation!$S53</f>
        <v>0</v>
      </c>
    </row>
    <row r="4153" spans="1:8" x14ac:dyDescent="0.2">
      <c r="A4153" s="1027"/>
      <c r="B4153" s="1083">
        <f>Risk_Compensation!A$1</f>
        <v>36</v>
      </c>
      <c r="C4153" s="1390" t="str">
        <f>Risk_Compensation!$B$1</f>
        <v xml:space="preserve">Risikoausgleich </v>
      </c>
      <c r="D4153" s="2205" t="s">
        <v>2572</v>
      </c>
      <c r="E4153" s="1390">
        <f>Risk_Compensation!$G54</f>
        <v>37</v>
      </c>
      <c r="F4153" s="1390" t="str">
        <f>Risk_Compensation!$S$17</f>
        <v>LU</v>
      </c>
      <c r="G4153" s="1390"/>
      <c r="H4153" s="1077">
        <f>Risk_Compensation!$S54</f>
        <v>0</v>
      </c>
    </row>
    <row r="4154" spans="1:8" x14ac:dyDescent="0.2">
      <c r="A4154" s="1027"/>
      <c r="B4154" s="1083">
        <f>Risk_Compensation!A$1</f>
        <v>36</v>
      </c>
      <c r="C4154" s="1390" t="str">
        <f>Risk_Compensation!$B$1</f>
        <v xml:space="preserve">Risikoausgleich </v>
      </c>
      <c r="D4154" s="2205" t="s">
        <v>2572</v>
      </c>
      <c r="E4154" s="1390">
        <f>Risk_Compensation!$G55</f>
        <v>38</v>
      </c>
      <c r="F4154" s="1390" t="str">
        <f>Risk_Compensation!$S$17</f>
        <v>LU</v>
      </c>
      <c r="G4154" s="1390"/>
      <c r="H4154" s="1077">
        <f>Risk_Compensation!$S55</f>
        <v>0</v>
      </c>
    </row>
    <row r="4155" spans="1:8" x14ac:dyDescent="0.2">
      <c r="A4155" s="1027"/>
      <c r="B4155" s="1083">
        <f>Risk_Compensation!A$1</f>
        <v>36</v>
      </c>
      <c r="C4155" s="1390" t="str">
        <f>Risk_Compensation!$B$1</f>
        <v xml:space="preserve">Risikoausgleich </v>
      </c>
      <c r="D4155" s="2205" t="s">
        <v>2572</v>
      </c>
      <c r="E4155" s="1390">
        <f>Risk_Compensation!$G56</f>
        <v>39</v>
      </c>
      <c r="F4155" s="1390" t="str">
        <f>Risk_Compensation!$S$17</f>
        <v>LU</v>
      </c>
      <c r="G4155" s="1390"/>
      <c r="H4155" s="1077">
        <f>Risk_Compensation!$S56</f>
        <v>0</v>
      </c>
    </row>
    <row r="4156" spans="1:8" x14ac:dyDescent="0.2">
      <c r="A4156" s="1027"/>
      <c r="B4156" s="1083">
        <f>Risk_Compensation!A$1</f>
        <v>36</v>
      </c>
      <c r="C4156" s="1390" t="str">
        <f>Risk_Compensation!$B$1</f>
        <v xml:space="preserve">Risikoausgleich </v>
      </c>
      <c r="D4156" s="2205" t="s">
        <v>2572</v>
      </c>
      <c r="E4156" s="1390">
        <f>Risk_Compensation!$G57</f>
        <v>40</v>
      </c>
      <c r="F4156" s="1390" t="str">
        <f>Risk_Compensation!$S$17</f>
        <v>LU</v>
      </c>
      <c r="G4156" s="1390"/>
      <c r="H4156" s="1077">
        <f>Risk_Compensation!$S57</f>
        <v>0</v>
      </c>
    </row>
    <row r="4157" spans="1:8" x14ac:dyDescent="0.2">
      <c r="A4157" s="1027"/>
      <c r="B4157" s="1083">
        <f>Risk_Compensation!A$1</f>
        <v>36</v>
      </c>
      <c r="C4157" s="1390" t="str">
        <f>Risk_Compensation!$B$1</f>
        <v xml:space="preserve">Risikoausgleich </v>
      </c>
      <c r="D4157" s="2205" t="s">
        <v>2572</v>
      </c>
      <c r="E4157" s="1390">
        <f>Risk_Compensation!$G58</f>
        <v>41</v>
      </c>
      <c r="F4157" s="1390" t="str">
        <f>Risk_Compensation!$S$17</f>
        <v>LU</v>
      </c>
      <c r="G4157" s="1390"/>
      <c r="H4157" s="1077">
        <f>Risk_Compensation!$S58</f>
        <v>0</v>
      </c>
    </row>
    <row r="4158" spans="1:8" x14ac:dyDescent="0.2">
      <c r="A4158" s="1027"/>
      <c r="B4158" s="1083">
        <f>Risk_Compensation!A$1</f>
        <v>36</v>
      </c>
      <c r="C4158" s="1390" t="str">
        <f>Risk_Compensation!$B$1</f>
        <v xml:space="preserve">Risikoausgleich </v>
      </c>
      <c r="D4158" s="2205" t="s">
        <v>2572</v>
      </c>
      <c r="E4158" s="1390">
        <f>Risk_Compensation!$G59</f>
        <v>42</v>
      </c>
      <c r="F4158" s="1390" t="str">
        <f>Risk_Compensation!$S$17</f>
        <v>LU</v>
      </c>
      <c r="G4158" s="1390"/>
      <c r="H4158" s="1077">
        <f>Risk_Compensation!$S59</f>
        <v>0</v>
      </c>
    </row>
    <row r="4159" spans="1:8" x14ac:dyDescent="0.2">
      <c r="A4159" s="1027"/>
      <c r="B4159" s="1083">
        <f>Risk_Compensation!A$1</f>
        <v>36</v>
      </c>
      <c r="C4159" s="1390" t="str">
        <f>Risk_Compensation!$B$1</f>
        <v xml:space="preserve">Risikoausgleich </v>
      </c>
      <c r="D4159" s="2205" t="s">
        <v>2572</v>
      </c>
      <c r="E4159" s="1390">
        <f>Risk_Compensation!$G60</f>
        <v>43</v>
      </c>
      <c r="F4159" s="1390" t="str">
        <f>Risk_Compensation!$S$17</f>
        <v>LU</v>
      </c>
      <c r="G4159" s="1390"/>
      <c r="H4159" s="1077">
        <f>Risk_Compensation!$S60</f>
        <v>0</v>
      </c>
    </row>
    <row r="4160" spans="1:8" x14ac:dyDescent="0.2">
      <c r="A4160" s="1027"/>
      <c r="B4160" s="1083">
        <f>Risk_Compensation!A$1</f>
        <v>36</v>
      </c>
      <c r="C4160" s="1390" t="str">
        <f>Risk_Compensation!$B$1</f>
        <v xml:space="preserve">Risikoausgleich </v>
      </c>
      <c r="D4160" s="2205" t="s">
        <v>2572</v>
      </c>
      <c r="E4160" s="1390">
        <f>Risk_Compensation!$G61</f>
        <v>44</v>
      </c>
      <c r="F4160" s="1390" t="str">
        <f>Risk_Compensation!$S$17</f>
        <v>LU</v>
      </c>
      <c r="G4160" s="1390"/>
      <c r="H4160" s="1077">
        <f>Risk_Compensation!$S61</f>
        <v>0</v>
      </c>
    </row>
    <row r="4161" spans="1:8" x14ac:dyDescent="0.2">
      <c r="A4161" s="1027"/>
      <c r="B4161" s="1083">
        <f>Risk_Compensation!A$1</f>
        <v>36</v>
      </c>
      <c r="C4161" s="1390" t="str">
        <f>Risk_Compensation!$B$1</f>
        <v xml:space="preserve">Risikoausgleich </v>
      </c>
      <c r="D4161" s="2205" t="s">
        <v>2572</v>
      </c>
      <c r="E4161" s="1390">
        <f>Risk_Compensation!$G62</f>
        <v>45</v>
      </c>
      <c r="F4161" s="1390" t="str">
        <f>Risk_Compensation!$S$17</f>
        <v>LU</v>
      </c>
      <c r="G4161" s="1390"/>
      <c r="H4161" s="1077">
        <f>Risk_Compensation!$S62</f>
        <v>0</v>
      </c>
    </row>
    <row r="4162" spans="1:8" x14ac:dyDescent="0.2">
      <c r="A4162" s="1027"/>
      <c r="B4162" s="1083">
        <f>Risk_Compensation!A$1</f>
        <v>36</v>
      </c>
      <c r="C4162" s="1390" t="str">
        <f>Risk_Compensation!$B$1</f>
        <v xml:space="preserve">Risikoausgleich </v>
      </c>
      <c r="D4162" s="2205" t="s">
        <v>2572</v>
      </c>
      <c r="E4162" s="1390">
        <f>Risk_Compensation!$G63</f>
        <v>46</v>
      </c>
      <c r="F4162" s="1390" t="str">
        <f>Risk_Compensation!$S$17</f>
        <v>LU</v>
      </c>
      <c r="G4162" s="1390"/>
      <c r="H4162" s="1077">
        <f>Risk_Compensation!$S63</f>
        <v>0</v>
      </c>
    </row>
    <row r="4163" spans="1:8" x14ac:dyDescent="0.2">
      <c r="A4163" s="1027"/>
      <c r="B4163" s="1083">
        <f>Risk_Compensation!A$1</f>
        <v>36</v>
      </c>
      <c r="C4163" s="1390" t="str">
        <f>Risk_Compensation!$B$1</f>
        <v xml:space="preserve">Risikoausgleich </v>
      </c>
      <c r="D4163" s="2205" t="s">
        <v>2572</v>
      </c>
      <c r="E4163" s="1390">
        <f>Risk_Compensation!$G64</f>
        <v>47</v>
      </c>
      <c r="F4163" s="1390" t="str">
        <f>Risk_Compensation!$S$17</f>
        <v>LU</v>
      </c>
      <c r="G4163" s="1390"/>
      <c r="H4163" s="1077">
        <f>Risk_Compensation!$S64</f>
        <v>0</v>
      </c>
    </row>
    <row r="4164" spans="1:8" x14ac:dyDescent="0.2">
      <c r="A4164" s="1027"/>
      <c r="B4164" s="1083">
        <f>Risk_Compensation!A$1</f>
        <v>36</v>
      </c>
      <c r="C4164" s="1390" t="str">
        <f>Risk_Compensation!$B$1</f>
        <v xml:space="preserve">Risikoausgleich </v>
      </c>
      <c r="D4164" s="2205" t="s">
        <v>2572</v>
      </c>
      <c r="E4164" s="1390">
        <f>Risk_Compensation!$G65</f>
        <v>48</v>
      </c>
      <c r="F4164" s="1390" t="str">
        <f>Risk_Compensation!$S$17</f>
        <v>LU</v>
      </c>
      <c r="G4164" s="1390"/>
      <c r="H4164" s="1077">
        <f>Risk_Compensation!$S65</f>
        <v>0</v>
      </c>
    </row>
    <row r="4165" spans="1:8" x14ac:dyDescent="0.2">
      <c r="A4165" s="1027"/>
      <c r="B4165" s="1083">
        <f>Risk_Compensation!A$1</f>
        <v>36</v>
      </c>
      <c r="C4165" s="1390" t="str">
        <f>Risk_Compensation!$B$1</f>
        <v xml:space="preserve">Risikoausgleich </v>
      </c>
      <c r="D4165" s="2205" t="s">
        <v>2572</v>
      </c>
      <c r="E4165" s="1390">
        <f>Risk_Compensation!$G66</f>
        <v>49</v>
      </c>
      <c r="F4165" s="1390" t="str">
        <f>Risk_Compensation!$S$17</f>
        <v>LU</v>
      </c>
      <c r="G4165" s="1390"/>
      <c r="H4165" s="1077">
        <f>Risk_Compensation!$S66</f>
        <v>0</v>
      </c>
    </row>
    <row r="4166" spans="1:8" x14ac:dyDescent="0.2">
      <c r="A4166" s="1027"/>
      <c r="B4166" s="1083">
        <f>Risk_Compensation!A$1</f>
        <v>36</v>
      </c>
      <c r="C4166" s="1390" t="str">
        <f>Risk_Compensation!$B$1</f>
        <v xml:space="preserve">Risikoausgleich </v>
      </c>
      <c r="D4166" s="2205" t="s">
        <v>2572</v>
      </c>
      <c r="E4166" s="1390">
        <f>Risk_Compensation!$G67</f>
        <v>50</v>
      </c>
      <c r="F4166" s="1390" t="str">
        <f>Risk_Compensation!$S$17</f>
        <v>LU</v>
      </c>
      <c r="G4166" s="1390"/>
      <c r="H4166" s="1077">
        <f>Risk_Compensation!$S67</f>
        <v>0</v>
      </c>
    </row>
    <row r="4167" spans="1:8" x14ac:dyDescent="0.2">
      <c r="A4167" s="1027"/>
      <c r="B4167" s="1083">
        <f>Risk_Compensation!A$1</f>
        <v>36</v>
      </c>
      <c r="C4167" s="1390" t="str">
        <f>Risk_Compensation!$B$1</f>
        <v xml:space="preserve">Risikoausgleich </v>
      </c>
      <c r="D4167" s="2205" t="s">
        <v>2572</v>
      </c>
      <c r="E4167" s="1390">
        <f>Risk_Compensation!$G68</f>
        <v>51</v>
      </c>
      <c r="F4167" s="1390" t="str">
        <f>Risk_Compensation!$S$17</f>
        <v>LU</v>
      </c>
      <c r="G4167" s="1390"/>
      <c r="H4167" s="1077">
        <f>Risk_Compensation!$S68</f>
        <v>0</v>
      </c>
    </row>
    <row r="4168" spans="1:8" x14ac:dyDescent="0.2">
      <c r="A4168" s="1027"/>
      <c r="B4168" s="1083">
        <f>Risk_Compensation!A$1</f>
        <v>36</v>
      </c>
      <c r="C4168" s="1390" t="str">
        <f>Risk_Compensation!$B$1</f>
        <v xml:space="preserve">Risikoausgleich </v>
      </c>
      <c r="D4168" s="2205" t="s">
        <v>2572</v>
      </c>
      <c r="E4168" s="1390">
        <f>Risk_Compensation!$G69</f>
        <v>52</v>
      </c>
      <c r="F4168" s="1390" t="str">
        <f>Risk_Compensation!$S$17</f>
        <v>LU</v>
      </c>
      <c r="G4168" s="1390"/>
      <c r="H4168" s="1077">
        <f>Risk_Compensation!$S69</f>
        <v>0</v>
      </c>
    </row>
    <row r="4169" spans="1:8" x14ac:dyDescent="0.2">
      <c r="A4169" s="1027"/>
      <c r="B4169" s="1083">
        <f>Risk_Compensation!A$1</f>
        <v>36</v>
      </c>
      <c r="C4169" s="1390" t="str">
        <f>Risk_Compensation!$B$1</f>
        <v xml:space="preserve">Risikoausgleich </v>
      </c>
      <c r="D4169" s="2205" t="s">
        <v>2572</v>
      </c>
      <c r="E4169" s="1390">
        <f>Risk_Compensation!$G70</f>
        <v>53</v>
      </c>
      <c r="F4169" s="1390" t="str">
        <f>Risk_Compensation!$S$17</f>
        <v>LU</v>
      </c>
      <c r="G4169" s="1390"/>
      <c r="H4169" s="1077">
        <f>Risk_Compensation!$S70</f>
        <v>0</v>
      </c>
    </row>
    <row r="4170" spans="1:8" x14ac:dyDescent="0.2">
      <c r="A4170" s="1027"/>
      <c r="B4170" s="1083">
        <f>Risk_Compensation!A$1</f>
        <v>36</v>
      </c>
      <c r="C4170" s="1390" t="str">
        <f>Risk_Compensation!$B$1</f>
        <v xml:space="preserve">Risikoausgleich </v>
      </c>
      <c r="D4170" s="2205" t="s">
        <v>2572</v>
      </c>
      <c r="E4170" s="1390">
        <f>Risk_Compensation!$G71</f>
        <v>54</v>
      </c>
      <c r="F4170" s="1390" t="str">
        <f>Risk_Compensation!$S$17</f>
        <v>LU</v>
      </c>
      <c r="G4170" s="1390"/>
      <c r="H4170" s="1077">
        <f>Risk_Compensation!$S71</f>
        <v>0</v>
      </c>
    </row>
    <row r="4171" spans="1:8" x14ac:dyDescent="0.2">
      <c r="A4171" s="1027"/>
      <c r="B4171" s="1083">
        <f>Risk_Compensation!A$1</f>
        <v>36</v>
      </c>
      <c r="C4171" s="1390" t="str">
        <f>Risk_Compensation!$B$1</f>
        <v xml:space="preserve">Risikoausgleich </v>
      </c>
      <c r="D4171" s="2205" t="s">
        <v>2572</v>
      </c>
      <c r="E4171" s="1390">
        <f>Risk_Compensation!$G72</f>
        <v>55</v>
      </c>
      <c r="F4171" s="1390" t="str">
        <f>Risk_Compensation!$S$17</f>
        <v>LU</v>
      </c>
      <c r="G4171" s="1390"/>
      <c r="H4171" s="1077">
        <f>Risk_Compensation!$S72</f>
        <v>0</v>
      </c>
    </row>
    <row r="4172" spans="1:8" x14ac:dyDescent="0.2">
      <c r="A4172" s="1027"/>
      <c r="B4172" s="1083">
        <f>Risk_Compensation!A$1</f>
        <v>36</v>
      </c>
      <c r="C4172" s="1390" t="str">
        <f>Risk_Compensation!$B$1</f>
        <v xml:space="preserve">Risikoausgleich </v>
      </c>
      <c r="D4172" s="2205" t="s">
        <v>2572</v>
      </c>
      <c r="E4172" s="1390">
        <f>Risk_Compensation!$G73</f>
        <v>56</v>
      </c>
      <c r="F4172" s="1390" t="str">
        <f>Risk_Compensation!$S$17</f>
        <v>LU</v>
      </c>
      <c r="G4172" s="1390"/>
      <c r="H4172" s="1077">
        <f>Risk_Compensation!$S73</f>
        <v>0</v>
      </c>
    </row>
    <row r="4173" spans="1:8" x14ac:dyDescent="0.2">
      <c r="A4173" s="1027"/>
      <c r="B4173" s="1083">
        <f>Risk_Compensation!A$1</f>
        <v>36</v>
      </c>
      <c r="C4173" s="1390" t="str">
        <f>Risk_Compensation!$B$1</f>
        <v xml:space="preserve">Risikoausgleich </v>
      </c>
      <c r="D4173" s="2205" t="s">
        <v>2572</v>
      </c>
      <c r="E4173" s="1390">
        <f>Risk_Compensation!$G74</f>
        <v>57</v>
      </c>
      <c r="F4173" s="1390" t="str">
        <f>Risk_Compensation!$S$17</f>
        <v>LU</v>
      </c>
      <c r="G4173" s="1390"/>
      <c r="H4173" s="1077">
        <f>Risk_Compensation!$S74</f>
        <v>0</v>
      </c>
    </row>
    <row r="4174" spans="1:8" x14ac:dyDescent="0.2">
      <c r="A4174" s="1027"/>
      <c r="B4174" s="1083">
        <f>Risk_Compensation!A$1</f>
        <v>36</v>
      </c>
      <c r="C4174" s="1390" t="str">
        <f>Risk_Compensation!$B$1</f>
        <v xml:space="preserve">Risikoausgleich </v>
      </c>
      <c r="D4174" s="2205" t="s">
        <v>2572</v>
      </c>
      <c r="E4174" s="1390">
        <f>Risk_Compensation!$G75</f>
        <v>58</v>
      </c>
      <c r="F4174" s="1390" t="str">
        <f>Risk_Compensation!$S$17</f>
        <v>LU</v>
      </c>
      <c r="G4174" s="1390"/>
      <c r="H4174" s="1077">
        <f>Risk_Compensation!$S75</f>
        <v>0</v>
      </c>
    </row>
    <row r="4175" spans="1:8" x14ac:dyDescent="0.2">
      <c r="A4175" s="1027"/>
      <c r="B4175" s="1083">
        <f>Risk_Compensation!A$1</f>
        <v>36</v>
      </c>
      <c r="C4175" s="1390" t="str">
        <f>Risk_Compensation!$B$1</f>
        <v xml:space="preserve">Risikoausgleich </v>
      </c>
      <c r="D4175" s="2205" t="s">
        <v>2572</v>
      </c>
      <c r="E4175" s="1390">
        <f>Risk_Compensation!$G76</f>
        <v>59</v>
      </c>
      <c r="F4175" s="1390" t="str">
        <f>Risk_Compensation!$S$17</f>
        <v>LU</v>
      </c>
      <c r="G4175" s="1390"/>
      <c r="H4175" s="1077">
        <f>Risk_Compensation!$S76</f>
        <v>0</v>
      </c>
    </row>
    <row r="4176" spans="1:8" x14ac:dyDescent="0.2">
      <c r="A4176" s="1027"/>
      <c r="B4176" s="1083">
        <f>Risk_Compensation!A$1</f>
        <v>36</v>
      </c>
      <c r="C4176" s="1390" t="str">
        <f>Risk_Compensation!$B$1</f>
        <v xml:space="preserve">Risikoausgleich </v>
      </c>
      <c r="D4176" s="2205" t="s">
        <v>2572</v>
      </c>
      <c r="E4176" s="1390">
        <f>Risk_Compensation!$G77</f>
        <v>60</v>
      </c>
      <c r="F4176" s="1390" t="str">
        <f>Risk_Compensation!$S$17</f>
        <v>LU</v>
      </c>
      <c r="G4176" s="1390"/>
      <c r="H4176" s="1077">
        <f>Risk_Compensation!$S77</f>
        <v>0</v>
      </c>
    </row>
    <row r="4177" spans="1:8" x14ac:dyDescent="0.2">
      <c r="A4177" s="1027"/>
      <c r="B4177" s="2174"/>
      <c r="C4177" s="1390"/>
      <c r="D4177" s="2175"/>
      <c r="E4177" s="2176"/>
      <c r="F4177" s="1390"/>
      <c r="G4177" s="1390"/>
      <c r="H4177" s="1078"/>
    </row>
    <row r="4178" spans="1:8" x14ac:dyDescent="0.2">
      <c r="A4178" s="1027"/>
      <c r="B4178" s="1083">
        <f>Risk_Compensation!A$1</f>
        <v>36</v>
      </c>
      <c r="C4178" s="1390" t="str">
        <f>Risk_Compensation!$B$1</f>
        <v xml:space="preserve">Risikoausgleich </v>
      </c>
      <c r="D4178" s="2205" t="s">
        <v>2572</v>
      </c>
      <c r="E4178" s="1390">
        <f>Risk_Compensation!$G18</f>
        <v>1</v>
      </c>
      <c r="F4178" s="1390" t="str">
        <f>Risk_Compensation!$T$17</f>
        <v>NE</v>
      </c>
      <c r="G4178" s="1390"/>
      <c r="H4178" s="1077">
        <f>Risk_Compensation!$T18</f>
        <v>0</v>
      </c>
    </row>
    <row r="4179" spans="1:8" x14ac:dyDescent="0.2">
      <c r="A4179" s="1027"/>
      <c r="B4179" s="1083">
        <f>Risk_Compensation!A$1</f>
        <v>36</v>
      </c>
      <c r="C4179" s="1390" t="str">
        <f>Risk_Compensation!$B$1</f>
        <v xml:space="preserve">Risikoausgleich </v>
      </c>
      <c r="D4179" s="2205" t="s">
        <v>2572</v>
      </c>
      <c r="E4179" s="1390">
        <f>Risk_Compensation!$G19</f>
        <v>2</v>
      </c>
      <c r="F4179" s="1390" t="str">
        <f>Risk_Compensation!$T$17</f>
        <v>NE</v>
      </c>
      <c r="G4179" s="1390"/>
      <c r="H4179" s="1077">
        <f>Risk_Compensation!$T19</f>
        <v>0</v>
      </c>
    </row>
    <row r="4180" spans="1:8" x14ac:dyDescent="0.2">
      <c r="A4180" s="1027"/>
      <c r="B4180" s="1083">
        <f>Risk_Compensation!A$1</f>
        <v>36</v>
      </c>
      <c r="C4180" s="1390" t="str">
        <f>Risk_Compensation!$B$1</f>
        <v xml:space="preserve">Risikoausgleich </v>
      </c>
      <c r="D4180" s="2205" t="s">
        <v>2572</v>
      </c>
      <c r="E4180" s="1390">
        <f>Risk_Compensation!$G20</f>
        <v>3</v>
      </c>
      <c r="F4180" s="1390" t="str">
        <f>Risk_Compensation!$T$17</f>
        <v>NE</v>
      </c>
      <c r="G4180" s="1390"/>
      <c r="H4180" s="1077">
        <f>Risk_Compensation!$T20</f>
        <v>0</v>
      </c>
    </row>
    <row r="4181" spans="1:8" x14ac:dyDescent="0.2">
      <c r="A4181" s="1027"/>
      <c r="B4181" s="1083">
        <f>Risk_Compensation!A$1</f>
        <v>36</v>
      </c>
      <c r="C4181" s="1390" t="str">
        <f>Risk_Compensation!$B$1</f>
        <v xml:space="preserve">Risikoausgleich </v>
      </c>
      <c r="D4181" s="2205" t="s">
        <v>2572</v>
      </c>
      <c r="E4181" s="1390">
        <f>Risk_Compensation!$G21</f>
        <v>4</v>
      </c>
      <c r="F4181" s="1390" t="str">
        <f>Risk_Compensation!$T$17</f>
        <v>NE</v>
      </c>
      <c r="G4181" s="1390"/>
      <c r="H4181" s="1077">
        <f>Risk_Compensation!$T21</f>
        <v>0</v>
      </c>
    </row>
    <row r="4182" spans="1:8" x14ac:dyDescent="0.2">
      <c r="A4182" s="1027"/>
      <c r="B4182" s="1083">
        <f>Risk_Compensation!A$1</f>
        <v>36</v>
      </c>
      <c r="C4182" s="1390" t="str">
        <f>Risk_Compensation!$B$1</f>
        <v xml:space="preserve">Risikoausgleich </v>
      </c>
      <c r="D4182" s="2205" t="s">
        <v>2572</v>
      </c>
      <c r="E4182" s="1390">
        <f>Risk_Compensation!$G22</f>
        <v>5</v>
      </c>
      <c r="F4182" s="1390" t="str">
        <f>Risk_Compensation!$T$17</f>
        <v>NE</v>
      </c>
      <c r="G4182" s="1390"/>
      <c r="H4182" s="1077">
        <f>Risk_Compensation!$T22</f>
        <v>0</v>
      </c>
    </row>
    <row r="4183" spans="1:8" x14ac:dyDescent="0.2">
      <c r="A4183" s="1027"/>
      <c r="B4183" s="1083">
        <f>Risk_Compensation!A$1</f>
        <v>36</v>
      </c>
      <c r="C4183" s="1390" t="str">
        <f>Risk_Compensation!$B$1</f>
        <v xml:space="preserve">Risikoausgleich </v>
      </c>
      <c r="D4183" s="2205" t="s">
        <v>2572</v>
      </c>
      <c r="E4183" s="1390">
        <f>Risk_Compensation!$G23</f>
        <v>6</v>
      </c>
      <c r="F4183" s="1390" t="str">
        <f>Risk_Compensation!$T$17</f>
        <v>NE</v>
      </c>
      <c r="G4183" s="1390"/>
      <c r="H4183" s="1077">
        <f>Risk_Compensation!$T23</f>
        <v>0</v>
      </c>
    </row>
    <row r="4184" spans="1:8" x14ac:dyDescent="0.2">
      <c r="A4184" s="1027"/>
      <c r="B4184" s="1083">
        <f>Risk_Compensation!A$1</f>
        <v>36</v>
      </c>
      <c r="C4184" s="1390" t="str">
        <f>Risk_Compensation!$B$1</f>
        <v xml:space="preserve">Risikoausgleich </v>
      </c>
      <c r="D4184" s="2205" t="s">
        <v>2572</v>
      </c>
      <c r="E4184" s="1390">
        <f>Risk_Compensation!$G24</f>
        <v>7</v>
      </c>
      <c r="F4184" s="1390" t="str">
        <f>Risk_Compensation!$T$17</f>
        <v>NE</v>
      </c>
      <c r="G4184" s="1390"/>
      <c r="H4184" s="1077">
        <f>Risk_Compensation!$T24</f>
        <v>0</v>
      </c>
    </row>
    <row r="4185" spans="1:8" x14ac:dyDescent="0.2">
      <c r="A4185" s="1027"/>
      <c r="B4185" s="1083">
        <f>Risk_Compensation!A$1</f>
        <v>36</v>
      </c>
      <c r="C4185" s="1390" t="str">
        <f>Risk_Compensation!$B$1</f>
        <v xml:space="preserve">Risikoausgleich </v>
      </c>
      <c r="D4185" s="2205" t="s">
        <v>2572</v>
      </c>
      <c r="E4185" s="1390">
        <f>Risk_Compensation!$G25</f>
        <v>8</v>
      </c>
      <c r="F4185" s="1390" t="str">
        <f>Risk_Compensation!$T$17</f>
        <v>NE</v>
      </c>
      <c r="G4185" s="1390"/>
      <c r="H4185" s="1077">
        <f>Risk_Compensation!$T25</f>
        <v>0</v>
      </c>
    </row>
    <row r="4186" spans="1:8" x14ac:dyDescent="0.2">
      <c r="A4186" s="1027"/>
      <c r="B4186" s="1083">
        <f>Risk_Compensation!A$1</f>
        <v>36</v>
      </c>
      <c r="C4186" s="1390" t="str">
        <f>Risk_Compensation!$B$1</f>
        <v xml:space="preserve">Risikoausgleich </v>
      </c>
      <c r="D4186" s="2205" t="s">
        <v>2572</v>
      </c>
      <c r="E4186" s="1390">
        <f>Risk_Compensation!$G26</f>
        <v>9</v>
      </c>
      <c r="F4186" s="1390" t="str">
        <f>Risk_Compensation!$T$17</f>
        <v>NE</v>
      </c>
      <c r="G4186" s="1390"/>
      <c r="H4186" s="1077">
        <f>Risk_Compensation!$T26</f>
        <v>0</v>
      </c>
    </row>
    <row r="4187" spans="1:8" x14ac:dyDescent="0.2">
      <c r="A4187" s="1027"/>
      <c r="B4187" s="1083">
        <f>Risk_Compensation!A$1</f>
        <v>36</v>
      </c>
      <c r="C4187" s="1390" t="str">
        <f>Risk_Compensation!$B$1</f>
        <v xml:space="preserve">Risikoausgleich </v>
      </c>
      <c r="D4187" s="2205" t="s">
        <v>2572</v>
      </c>
      <c r="E4187" s="1390">
        <f>Risk_Compensation!$G27</f>
        <v>10</v>
      </c>
      <c r="F4187" s="1390" t="str">
        <f>Risk_Compensation!$T$17</f>
        <v>NE</v>
      </c>
      <c r="G4187" s="1390"/>
      <c r="H4187" s="1077">
        <f>Risk_Compensation!$T27</f>
        <v>0</v>
      </c>
    </row>
    <row r="4188" spans="1:8" x14ac:dyDescent="0.2">
      <c r="A4188" s="1027"/>
      <c r="B4188" s="1083">
        <f>Risk_Compensation!A$1</f>
        <v>36</v>
      </c>
      <c r="C4188" s="1390" t="str">
        <f>Risk_Compensation!$B$1</f>
        <v xml:space="preserve">Risikoausgleich </v>
      </c>
      <c r="D4188" s="2205" t="s">
        <v>2572</v>
      </c>
      <c r="E4188" s="1390">
        <f>Risk_Compensation!$G28</f>
        <v>11</v>
      </c>
      <c r="F4188" s="1390" t="str">
        <f>Risk_Compensation!$T$17</f>
        <v>NE</v>
      </c>
      <c r="G4188" s="1390"/>
      <c r="H4188" s="1077">
        <f>Risk_Compensation!$T28</f>
        <v>0</v>
      </c>
    </row>
    <row r="4189" spans="1:8" x14ac:dyDescent="0.2">
      <c r="A4189" s="1027"/>
      <c r="B4189" s="1083">
        <f>Risk_Compensation!A$1</f>
        <v>36</v>
      </c>
      <c r="C4189" s="1390" t="str">
        <f>Risk_Compensation!$B$1</f>
        <v xml:space="preserve">Risikoausgleich </v>
      </c>
      <c r="D4189" s="2205" t="s">
        <v>2572</v>
      </c>
      <c r="E4189" s="1390">
        <f>Risk_Compensation!$G29</f>
        <v>12</v>
      </c>
      <c r="F4189" s="1390" t="str">
        <f>Risk_Compensation!$T$17</f>
        <v>NE</v>
      </c>
      <c r="G4189" s="1390"/>
      <c r="H4189" s="1077">
        <f>Risk_Compensation!$T29</f>
        <v>0</v>
      </c>
    </row>
    <row r="4190" spans="1:8" x14ac:dyDescent="0.2">
      <c r="A4190" s="1027"/>
      <c r="B4190" s="1083">
        <f>Risk_Compensation!A$1</f>
        <v>36</v>
      </c>
      <c r="C4190" s="1390" t="str">
        <f>Risk_Compensation!$B$1</f>
        <v xml:space="preserve">Risikoausgleich </v>
      </c>
      <c r="D4190" s="2205" t="s">
        <v>2572</v>
      </c>
      <c r="E4190" s="1390">
        <f>Risk_Compensation!$G30</f>
        <v>13</v>
      </c>
      <c r="F4190" s="1390" t="str">
        <f>Risk_Compensation!$T$17</f>
        <v>NE</v>
      </c>
      <c r="G4190" s="1390"/>
      <c r="H4190" s="1077">
        <f>Risk_Compensation!$T30</f>
        <v>0</v>
      </c>
    </row>
    <row r="4191" spans="1:8" x14ac:dyDescent="0.2">
      <c r="A4191" s="1027"/>
      <c r="B4191" s="1083">
        <f>Risk_Compensation!A$1</f>
        <v>36</v>
      </c>
      <c r="C4191" s="1390" t="str">
        <f>Risk_Compensation!$B$1</f>
        <v xml:space="preserve">Risikoausgleich </v>
      </c>
      <c r="D4191" s="2205" t="s">
        <v>2572</v>
      </c>
      <c r="E4191" s="1390">
        <f>Risk_Compensation!$G31</f>
        <v>14</v>
      </c>
      <c r="F4191" s="1390" t="str">
        <f>Risk_Compensation!$T$17</f>
        <v>NE</v>
      </c>
      <c r="G4191" s="1390"/>
      <c r="H4191" s="1077">
        <f>Risk_Compensation!$T31</f>
        <v>0</v>
      </c>
    </row>
    <row r="4192" spans="1:8" x14ac:dyDescent="0.2">
      <c r="A4192" s="1027"/>
      <c r="B4192" s="1083">
        <f>Risk_Compensation!A$1</f>
        <v>36</v>
      </c>
      <c r="C4192" s="1390" t="str">
        <f>Risk_Compensation!$B$1</f>
        <v xml:space="preserve">Risikoausgleich </v>
      </c>
      <c r="D4192" s="2205" t="s">
        <v>2572</v>
      </c>
      <c r="E4192" s="1390">
        <f>Risk_Compensation!$G32</f>
        <v>15</v>
      </c>
      <c r="F4192" s="1390" t="str">
        <f>Risk_Compensation!$T$17</f>
        <v>NE</v>
      </c>
      <c r="G4192" s="1390"/>
      <c r="H4192" s="1077">
        <f>Risk_Compensation!$T32</f>
        <v>0</v>
      </c>
    </row>
    <row r="4193" spans="1:8" x14ac:dyDescent="0.2">
      <c r="A4193" s="1027"/>
      <c r="B4193" s="1083">
        <f>Risk_Compensation!A$1</f>
        <v>36</v>
      </c>
      <c r="C4193" s="1390" t="str">
        <f>Risk_Compensation!$B$1</f>
        <v xml:space="preserve">Risikoausgleich </v>
      </c>
      <c r="D4193" s="2205" t="s">
        <v>2572</v>
      </c>
      <c r="E4193" s="1390">
        <f>Risk_Compensation!$G33</f>
        <v>16</v>
      </c>
      <c r="F4193" s="1390" t="str">
        <f>Risk_Compensation!$T$17</f>
        <v>NE</v>
      </c>
      <c r="G4193" s="1390"/>
      <c r="H4193" s="1077">
        <f>Risk_Compensation!$T33</f>
        <v>0</v>
      </c>
    </row>
    <row r="4194" spans="1:8" x14ac:dyDescent="0.2">
      <c r="A4194" s="1027"/>
      <c r="B4194" s="1083">
        <f>Risk_Compensation!A$1</f>
        <v>36</v>
      </c>
      <c r="C4194" s="1390" t="str">
        <f>Risk_Compensation!$B$1</f>
        <v xml:space="preserve">Risikoausgleich </v>
      </c>
      <c r="D4194" s="2205" t="s">
        <v>2572</v>
      </c>
      <c r="E4194" s="1390">
        <f>Risk_Compensation!$G34</f>
        <v>17</v>
      </c>
      <c r="F4194" s="1390" t="str">
        <f>Risk_Compensation!$T$17</f>
        <v>NE</v>
      </c>
      <c r="G4194" s="1390"/>
      <c r="H4194" s="1077">
        <f>Risk_Compensation!$T34</f>
        <v>0</v>
      </c>
    </row>
    <row r="4195" spans="1:8" x14ac:dyDescent="0.2">
      <c r="A4195" s="1027"/>
      <c r="B4195" s="1083">
        <f>Risk_Compensation!A$1</f>
        <v>36</v>
      </c>
      <c r="C4195" s="1390" t="str">
        <f>Risk_Compensation!$B$1</f>
        <v xml:space="preserve">Risikoausgleich </v>
      </c>
      <c r="D4195" s="2205" t="s">
        <v>2572</v>
      </c>
      <c r="E4195" s="1390">
        <f>Risk_Compensation!$G35</f>
        <v>18</v>
      </c>
      <c r="F4195" s="1390" t="str">
        <f>Risk_Compensation!$T$17</f>
        <v>NE</v>
      </c>
      <c r="G4195" s="1390"/>
      <c r="H4195" s="1077">
        <f>Risk_Compensation!$T35</f>
        <v>0</v>
      </c>
    </row>
    <row r="4196" spans="1:8" x14ac:dyDescent="0.2">
      <c r="A4196" s="1027"/>
      <c r="B4196" s="1083">
        <f>Risk_Compensation!A$1</f>
        <v>36</v>
      </c>
      <c r="C4196" s="1390" t="str">
        <f>Risk_Compensation!$B$1</f>
        <v xml:space="preserve">Risikoausgleich </v>
      </c>
      <c r="D4196" s="2205" t="s">
        <v>2572</v>
      </c>
      <c r="E4196" s="1390">
        <f>Risk_Compensation!$G36</f>
        <v>19</v>
      </c>
      <c r="F4196" s="1390" t="str">
        <f>Risk_Compensation!$T$17</f>
        <v>NE</v>
      </c>
      <c r="G4196" s="1390"/>
      <c r="H4196" s="1077">
        <f>Risk_Compensation!$T36</f>
        <v>0</v>
      </c>
    </row>
    <row r="4197" spans="1:8" x14ac:dyDescent="0.2">
      <c r="A4197" s="1027"/>
      <c r="B4197" s="1083">
        <f>Risk_Compensation!A$1</f>
        <v>36</v>
      </c>
      <c r="C4197" s="1390" t="str">
        <f>Risk_Compensation!$B$1</f>
        <v xml:space="preserve">Risikoausgleich </v>
      </c>
      <c r="D4197" s="2205" t="s">
        <v>2572</v>
      </c>
      <c r="E4197" s="1390">
        <f>Risk_Compensation!$G37</f>
        <v>20</v>
      </c>
      <c r="F4197" s="1390" t="str">
        <f>Risk_Compensation!$T$17</f>
        <v>NE</v>
      </c>
      <c r="G4197" s="1390"/>
      <c r="H4197" s="1077">
        <f>Risk_Compensation!$T37</f>
        <v>0</v>
      </c>
    </row>
    <row r="4198" spans="1:8" x14ac:dyDescent="0.2">
      <c r="A4198" s="1027"/>
      <c r="B4198" s="1083">
        <f>Risk_Compensation!A$1</f>
        <v>36</v>
      </c>
      <c r="C4198" s="1390" t="str">
        <f>Risk_Compensation!$B$1</f>
        <v xml:space="preserve">Risikoausgleich </v>
      </c>
      <c r="D4198" s="2205" t="s">
        <v>2572</v>
      </c>
      <c r="E4198" s="1390">
        <f>Risk_Compensation!$G38</f>
        <v>21</v>
      </c>
      <c r="F4198" s="1390" t="str">
        <f>Risk_Compensation!$T$17</f>
        <v>NE</v>
      </c>
      <c r="G4198" s="1390"/>
      <c r="H4198" s="1077">
        <f>Risk_Compensation!$T38</f>
        <v>0</v>
      </c>
    </row>
    <row r="4199" spans="1:8" x14ac:dyDescent="0.2">
      <c r="A4199" s="1027"/>
      <c r="B4199" s="1083">
        <f>Risk_Compensation!A$1</f>
        <v>36</v>
      </c>
      <c r="C4199" s="1390" t="str">
        <f>Risk_Compensation!$B$1</f>
        <v xml:space="preserve">Risikoausgleich </v>
      </c>
      <c r="D4199" s="2205" t="s">
        <v>2572</v>
      </c>
      <c r="E4199" s="1390">
        <f>Risk_Compensation!$G39</f>
        <v>22</v>
      </c>
      <c r="F4199" s="1390" t="str">
        <f>Risk_Compensation!$T$17</f>
        <v>NE</v>
      </c>
      <c r="G4199" s="1390"/>
      <c r="H4199" s="1077">
        <f>Risk_Compensation!$T39</f>
        <v>0</v>
      </c>
    </row>
    <row r="4200" spans="1:8" x14ac:dyDescent="0.2">
      <c r="A4200" s="1027"/>
      <c r="B4200" s="1083">
        <f>Risk_Compensation!A$1</f>
        <v>36</v>
      </c>
      <c r="C4200" s="1390" t="str">
        <f>Risk_Compensation!$B$1</f>
        <v xml:space="preserve">Risikoausgleich </v>
      </c>
      <c r="D4200" s="2205" t="s">
        <v>2572</v>
      </c>
      <c r="E4200" s="1390">
        <f>Risk_Compensation!$G40</f>
        <v>23</v>
      </c>
      <c r="F4200" s="1390" t="str">
        <f>Risk_Compensation!$T$17</f>
        <v>NE</v>
      </c>
      <c r="G4200" s="1390"/>
      <c r="H4200" s="1077">
        <f>Risk_Compensation!$T40</f>
        <v>0</v>
      </c>
    </row>
    <row r="4201" spans="1:8" x14ac:dyDescent="0.2">
      <c r="A4201" s="1027"/>
      <c r="B4201" s="1083">
        <f>Risk_Compensation!A$1</f>
        <v>36</v>
      </c>
      <c r="C4201" s="1390" t="str">
        <f>Risk_Compensation!$B$1</f>
        <v xml:space="preserve">Risikoausgleich </v>
      </c>
      <c r="D4201" s="2205" t="s">
        <v>2572</v>
      </c>
      <c r="E4201" s="1390">
        <f>Risk_Compensation!$G41</f>
        <v>24</v>
      </c>
      <c r="F4201" s="1390" t="str">
        <f>Risk_Compensation!$T$17</f>
        <v>NE</v>
      </c>
      <c r="G4201" s="1390"/>
      <c r="H4201" s="1077">
        <f>Risk_Compensation!$T41</f>
        <v>0</v>
      </c>
    </row>
    <row r="4202" spans="1:8" x14ac:dyDescent="0.2">
      <c r="A4202" s="1027"/>
      <c r="B4202" s="1083">
        <f>Risk_Compensation!A$1</f>
        <v>36</v>
      </c>
      <c r="C4202" s="1390" t="str">
        <f>Risk_Compensation!$B$1</f>
        <v xml:space="preserve">Risikoausgleich </v>
      </c>
      <c r="D4202" s="2205" t="s">
        <v>2572</v>
      </c>
      <c r="E4202" s="1390">
        <f>Risk_Compensation!$G42</f>
        <v>25</v>
      </c>
      <c r="F4202" s="1390" t="str">
        <f>Risk_Compensation!$T$17</f>
        <v>NE</v>
      </c>
      <c r="G4202" s="1390"/>
      <c r="H4202" s="1077">
        <f>Risk_Compensation!$T42</f>
        <v>0</v>
      </c>
    </row>
    <row r="4203" spans="1:8" x14ac:dyDescent="0.2">
      <c r="A4203" s="1027"/>
      <c r="B4203" s="1083">
        <f>Risk_Compensation!A$1</f>
        <v>36</v>
      </c>
      <c r="C4203" s="1390" t="str">
        <f>Risk_Compensation!$B$1</f>
        <v xml:space="preserve">Risikoausgleich </v>
      </c>
      <c r="D4203" s="2205" t="s">
        <v>2572</v>
      </c>
      <c r="E4203" s="1390">
        <f>Risk_Compensation!$G43</f>
        <v>26</v>
      </c>
      <c r="F4203" s="1390" t="str">
        <f>Risk_Compensation!$T$17</f>
        <v>NE</v>
      </c>
      <c r="G4203" s="1390"/>
      <c r="H4203" s="1077">
        <f>Risk_Compensation!$T43</f>
        <v>0</v>
      </c>
    </row>
    <row r="4204" spans="1:8" x14ac:dyDescent="0.2">
      <c r="A4204" s="1027"/>
      <c r="B4204" s="1083">
        <f>Risk_Compensation!A$1</f>
        <v>36</v>
      </c>
      <c r="C4204" s="1390" t="str">
        <f>Risk_Compensation!$B$1</f>
        <v xml:space="preserve">Risikoausgleich </v>
      </c>
      <c r="D4204" s="2205" t="s">
        <v>2572</v>
      </c>
      <c r="E4204" s="1390">
        <f>Risk_Compensation!$G44</f>
        <v>27</v>
      </c>
      <c r="F4204" s="1390" t="str">
        <f>Risk_Compensation!$T$17</f>
        <v>NE</v>
      </c>
      <c r="G4204" s="1390"/>
      <c r="H4204" s="1077">
        <f>Risk_Compensation!$T44</f>
        <v>0</v>
      </c>
    </row>
    <row r="4205" spans="1:8" x14ac:dyDescent="0.2">
      <c r="A4205" s="1027"/>
      <c r="B4205" s="1083">
        <f>Risk_Compensation!A$1</f>
        <v>36</v>
      </c>
      <c r="C4205" s="1390" t="str">
        <f>Risk_Compensation!$B$1</f>
        <v xml:space="preserve">Risikoausgleich </v>
      </c>
      <c r="D4205" s="2205" t="s">
        <v>2572</v>
      </c>
      <c r="E4205" s="1390">
        <f>Risk_Compensation!$G45</f>
        <v>28</v>
      </c>
      <c r="F4205" s="1390" t="str">
        <f>Risk_Compensation!$T$17</f>
        <v>NE</v>
      </c>
      <c r="G4205" s="1390"/>
      <c r="H4205" s="1077">
        <f>Risk_Compensation!$T45</f>
        <v>0</v>
      </c>
    </row>
    <row r="4206" spans="1:8" x14ac:dyDescent="0.2">
      <c r="A4206" s="1027"/>
      <c r="B4206" s="1083">
        <f>Risk_Compensation!A$1</f>
        <v>36</v>
      </c>
      <c r="C4206" s="1390" t="str">
        <f>Risk_Compensation!$B$1</f>
        <v xml:space="preserve">Risikoausgleich </v>
      </c>
      <c r="D4206" s="2205" t="s">
        <v>2572</v>
      </c>
      <c r="E4206" s="1390">
        <f>Risk_Compensation!$G46</f>
        <v>29</v>
      </c>
      <c r="F4206" s="1390" t="str">
        <f>Risk_Compensation!$T$17</f>
        <v>NE</v>
      </c>
      <c r="G4206" s="1390"/>
      <c r="H4206" s="1077">
        <f>Risk_Compensation!$T46</f>
        <v>0</v>
      </c>
    </row>
    <row r="4207" spans="1:8" x14ac:dyDescent="0.2">
      <c r="A4207" s="1027"/>
      <c r="B4207" s="1083">
        <f>Risk_Compensation!A$1</f>
        <v>36</v>
      </c>
      <c r="C4207" s="1390" t="str">
        <f>Risk_Compensation!$B$1</f>
        <v xml:space="preserve">Risikoausgleich </v>
      </c>
      <c r="D4207" s="2205" t="s">
        <v>2572</v>
      </c>
      <c r="E4207" s="1390">
        <f>Risk_Compensation!$G47</f>
        <v>30</v>
      </c>
      <c r="F4207" s="1390" t="str">
        <f>Risk_Compensation!$T$17</f>
        <v>NE</v>
      </c>
      <c r="G4207" s="1390"/>
      <c r="H4207" s="1077">
        <f>Risk_Compensation!$T47</f>
        <v>0</v>
      </c>
    </row>
    <row r="4208" spans="1:8" x14ac:dyDescent="0.2">
      <c r="A4208" s="1027"/>
      <c r="B4208" s="1083">
        <f>Risk_Compensation!A$1</f>
        <v>36</v>
      </c>
      <c r="C4208" s="1390" t="str">
        <f>Risk_Compensation!$B$1</f>
        <v xml:space="preserve">Risikoausgleich </v>
      </c>
      <c r="D4208" s="2205" t="s">
        <v>2572</v>
      </c>
      <c r="E4208" s="1390">
        <f>Risk_Compensation!$G48</f>
        <v>31</v>
      </c>
      <c r="F4208" s="1390" t="str">
        <f>Risk_Compensation!$T$17</f>
        <v>NE</v>
      </c>
      <c r="G4208" s="1390"/>
      <c r="H4208" s="1077">
        <f>Risk_Compensation!$T48</f>
        <v>0</v>
      </c>
    </row>
    <row r="4209" spans="1:8" x14ac:dyDescent="0.2">
      <c r="A4209" s="1027"/>
      <c r="B4209" s="1083">
        <f>Risk_Compensation!A$1</f>
        <v>36</v>
      </c>
      <c r="C4209" s="1390" t="str">
        <f>Risk_Compensation!$B$1</f>
        <v xml:space="preserve">Risikoausgleich </v>
      </c>
      <c r="D4209" s="2205" t="s">
        <v>2572</v>
      </c>
      <c r="E4209" s="1390">
        <f>Risk_Compensation!$G49</f>
        <v>32</v>
      </c>
      <c r="F4209" s="1390" t="str">
        <f>Risk_Compensation!$T$17</f>
        <v>NE</v>
      </c>
      <c r="G4209" s="1390"/>
      <c r="H4209" s="1077">
        <f>Risk_Compensation!$T49</f>
        <v>0</v>
      </c>
    </row>
    <row r="4210" spans="1:8" x14ac:dyDescent="0.2">
      <c r="A4210" s="1027"/>
      <c r="B4210" s="1083">
        <f>Risk_Compensation!A$1</f>
        <v>36</v>
      </c>
      <c r="C4210" s="1390" t="str">
        <f>Risk_Compensation!$B$1</f>
        <v xml:space="preserve">Risikoausgleich </v>
      </c>
      <c r="D4210" s="2205" t="s">
        <v>2572</v>
      </c>
      <c r="E4210" s="1390">
        <f>Risk_Compensation!$G50</f>
        <v>33</v>
      </c>
      <c r="F4210" s="1390" t="str">
        <f>Risk_Compensation!$T$17</f>
        <v>NE</v>
      </c>
      <c r="G4210" s="1390"/>
      <c r="H4210" s="1077">
        <f>Risk_Compensation!$T50</f>
        <v>0</v>
      </c>
    </row>
    <row r="4211" spans="1:8" x14ac:dyDescent="0.2">
      <c r="A4211" s="1027"/>
      <c r="B4211" s="1083">
        <f>Risk_Compensation!A$1</f>
        <v>36</v>
      </c>
      <c r="C4211" s="1390" t="str">
        <f>Risk_Compensation!$B$1</f>
        <v xml:space="preserve">Risikoausgleich </v>
      </c>
      <c r="D4211" s="2205" t="s">
        <v>2572</v>
      </c>
      <c r="E4211" s="1390">
        <f>Risk_Compensation!$G51</f>
        <v>34</v>
      </c>
      <c r="F4211" s="1390" t="str">
        <f>Risk_Compensation!$T$17</f>
        <v>NE</v>
      </c>
      <c r="G4211" s="1390"/>
      <c r="H4211" s="1077">
        <f>Risk_Compensation!$T51</f>
        <v>0</v>
      </c>
    </row>
    <row r="4212" spans="1:8" x14ac:dyDescent="0.2">
      <c r="A4212" s="1027"/>
      <c r="B4212" s="1083">
        <f>Risk_Compensation!A$1</f>
        <v>36</v>
      </c>
      <c r="C4212" s="1390" t="str">
        <f>Risk_Compensation!$B$1</f>
        <v xml:space="preserve">Risikoausgleich </v>
      </c>
      <c r="D4212" s="2205" t="s">
        <v>2572</v>
      </c>
      <c r="E4212" s="1390">
        <f>Risk_Compensation!$G52</f>
        <v>35</v>
      </c>
      <c r="F4212" s="1390" t="str">
        <f>Risk_Compensation!$T$17</f>
        <v>NE</v>
      </c>
      <c r="G4212" s="1390"/>
      <c r="H4212" s="1077">
        <f>Risk_Compensation!$T52</f>
        <v>0</v>
      </c>
    </row>
    <row r="4213" spans="1:8" x14ac:dyDescent="0.2">
      <c r="A4213" s="1027"/>
      <c r="B4213" s="1083">
        <f>Risk_Compensation!A$1</f>
        <v>36</v>
      </c>
      <c r="C4213" s="1390" t="str">
        <f>Risk_Compensation!$B$1</f>
        <v xml:space="preserve">Risikoausgleich </v>
      </c>
      <c r="D4213" s="2205" t="s">
        <v>2572</v>
      </c>
      <c r="E4213" s="1390">
        <f>Risk_Compensation!$G53</f>
        <v>36</v>
      </c>
      <c r="F4213" s="1390" t="str">
        <f>Risk_Compensation!$T$17</f>
        <v>NE</v>
      </c>
      <c r="G4213" s="1390"/>
      <c r="H4213" s="1077">
        <f>Risk_Compensation!$T53</f>
        <v>0</v>
      </c>
    </row>
    <row r="4214" spans="1:8" x14ac:dyDescent="0.2">
      <c r="A4214" s="1027"/>
      <c r="B4214" s="1083">
        <f>Risk_Compensation!A$1</f>
        <v>36</v>
      </c>
      <c r="C4214" s="1390" t="str">
        <f>Risk_Compensation!$B$1</f>
        <v xml:space="preserve">Risikoausgleich </v>
      </c>
      <c r="D4214" s="2205" t="s">
        <v>2572</v>
      </c>
      <c r="E4214" s="1390">
        <f>Risk_Compensation!$G54</f>
        <v>37</v>
      </c>
      <c r="F4214" s="1390" t="str">
        <f>Risk_Compensation!$T$17</f>
        <v>NE</v>
      </c>
      <c r="G4214" s="1390"/>
      <c r="H4214" s="1077">
        <f>Risk_Compensation!$T54</f>
        <v>0</v>
      </c>
    </row>
    <row r="4215" spans="1:8" x14ac:dyDescent="0.2">
      <c r="A4215" s="1027"/>
      <c r="B4215" s="1083">
        <f>Risk_Compensation!A$1</f>
        <v>36</v>
      </c>
      <c r="C4215" s="1390" t="str">
        <f>Risk_Compensation!$B$1</f>
        <v xml:space="preserve">Risikoausgleich </v>
      </c>
      <c r="D4215" s="2205" t="s">
        <v>2572</v>
      </c>
      <c r="E4215" s="1390">
        <f>Risk_Compensation!$G55</f>
        <v>38</v>
      </c>
      <c r="F4215" s="1390" t="str">
        <f>Risk_Compensation!$T$17</f>
        <v>NE</v>
      </c>
      <c r="G4215" s="1390"/>
      <c r="H4215" s="1077">
        <f>Risk_Compensation!$T55</f>
        <v>0</v>
      </c>
    </row>
    <row r="4216" spans="1:8" x14ac:dyDescent="0.2">
      <c r="A4216" s="1027"/>
      <c r="B4216" s="1083">
        <f>Risk_Compensation!A$1</f>
        <v>36</v>
      </c>
      <c r="C4216" s="1390" t="str">
        <f>Risk_Compensation!$B$1</f>
        <v xml:space="preserve">Risikoausgleich </v>
      </c>
      <c r="D4216" s="2205" t="s">
        <v>2572</v>
      </c>
      <c r="E4216" s="1390">
        <f>Risk_Compensation!$G56</f>
        <v>39</v>
      </c>
      <c r="F4216" s="1390" t="str">
        <f>Risk_Compensation!$T$17</f>
        <v>NE</v>
      </c>
      <c r="G4216" s="1390"/>
      <c r="H4216" s="1077">
        <f>Risk_Compensation!$T56</f>
        <v>0</v>
      </c>
    </row>
    <row r="4217" spans="1:8" x14ac:dyDescent="0.2">
      <c r="A4217" s="1027"/>
      <c r="B4217" s="1083">
        <f>Risk_Compensation!A$1</f>
        <v>36</v>
      </c>
      <c r="C4217" s="1390" t="str">
        <f>Risk_Compensation!$B$1</f>
        <v xml:space="preserve">Risikoausgleich </v>
      </c>
      <c r="D4217" s="2205" t="s">
        <v>2572</v>
      </c>
      <c r="E4217" s="1390">
        <f>Risk_Compensation!$G57</f>
        <v>40</v>
      </c>
      <c r="F4217" s="1390" t="str">
        <f>Risk_Compensation!$T$17</f>
        <v>NE</v>
      </c>
      <c r="G4217" s="1390"/>
      <c r="H4217" s="1077">
        <f>Risk_Compensation!$T57</f>
        <v>0</v>
      </c>
    </row>
    <row r="4218" spans="1:8" x14ac:dyDescent="0.2">
      <c r="A4218" s="1027"/>
      <c r="B4218" s="1083">
        <f>Risk_Compensation!A$1</f>
        <v>36</v>
      </c>
      <c r="C4218" s="1390" t="str">
        <f>Risk_Compensation!$B$1</f>
        <v xml:space="preserve">Risikoausgleich </v>
      </c>
      <c r="D4218" s="2205" t="s">
        <v>2572</v>
      </c>
      <c r="E4218" s="1390">
        <f>Risk_Compensation!$G58</f>
        <v>41</v>
      </c>
      <c r="F4218" s="1390" t="str">
        <f>Risk_Compensation!$T$17</f>
        <v>NE</v>
      </c>
      <c r="G4218" s="1390"/>
      <c r="H4218" s="1077">
        <f>Risk_Compensation!$T58</f>
        <v>0</v>
      </c>
    </row>
    <row r="4219" spans="1:8" x14ac:dyDescent="0.2">
      <c r="A4219" s="1027"/>
      <c r="B4219" s="1083">
        <f>Risk_Compensation!A$1</f>
        <v>36</v>
      </c>
      <c r="C4219" s="1390" t="str">
        <f>Risk_Compensation!$B$1</f>
        <v xml:space="preserve">Risikoausgleich </v>
      </c>
      <c r="D4219" s="2205" t="s">
        <v>2572</v>
      </c>
      <c r="E4219" s="1390">
        <f>Risk_Compensation!$G59</f>
        <v>42</v>
      </c>
      <c r="F4219" s="1390" t="str">
        <f>Risk_Compensation!$T$17</f>
        <v>NE</v>
      </c>
      <c r="G4219" s="1390"/>
      <c r="H4219" s="1077">
        <f>Risk_Compensation!$T59</f>
        <v>0</v>
      </c>
    </row>
    <row r="4220" spans="1:8" x14ac:dyDescent="0.2">
      <c r="A4220" s="1027"/>
      <c r="B4220" s="1083">
        <f>Risk_Compensation!A$1</f>
        <v>36</v>
      </c>
      <c r="C4220" s="1390" t="str">
        <f>Risk_Compensation!$B$1</f>
        <v xml:space="preserve">Risikoausgleich </v>
      </c>
      <c r="D4220" s="2205" t="s">
        <v>2572</v>
      </c>
      <c r="E4220" s="1390">
        <f>Risk_Compensation!$G60</f>
        <v>43</v>
      </c>
      <c r="F4220" s="1390" t="str">
        <f>Risk_Compensation!$T$17</f>
        <v>NE</v>
      </c>
      <c r="G4220" s="1390"/>
      <c r="H4220" s="1077">
        <f>Risk_Compensation!$T60</f>
        <v>0</v>
      </c>
    </row>
    <row r="4221" spans="1:8" x14ac:dyDescent="0.2">
      <c r="A4221" s="1027"/>
      <c r="B4221" s="1083">
        <f>Risk_Compensation!A$1</f>
        <v>36</v>
      </c>
      <c r="C4221" s="1390" t="str">
        <f>Risk_Compensation!$B$1</f>
        <v xml:space="preserve">Risikoausgleich </v>
      </c>
      <c r="D4221" s="2205" t="s">
        <v>2572</v>
      </c>
      <c r="E4221" s="1390">
        <f>Risk_Compensation!$G61</f>
        <v>44</v>
      </c>
      <c r="F4221" s="1390" t="str">
        <f>Risk_Compensation!$T$17</f>
        <v>NE</v>
      </c>
      <c r="G4221" s="1390"/>
      <c r="H4221" s="1077">
        <f>Risk_Compensation!$T61</f>
        <v>0</v>
      </c>
    </row>
    <row r="4222" spans="1:8" x14ac:dyDescent="0.2">
      <c r="A4222" s="1027"/>
      <c r="B4222" s="1083">
        <f>Risk_Compensation!A$1</f>
        <v>36</v>
      </c>
      <c r="C4222" s="1390" t="str">
        <f>Risk_Compensation!$B$1</f>
        <v xml:space="preserve">Risikoausgleich </v>
      </c>
      <c r="D4222" s="2205" t="s">
        <v>2572</v>
      </c>
      <c r="E4222" s="1390">
        <f>Risk_Compensation!$G62</f>
        <v>45</v>
      </c>
      <c r="F4222" s="1390" t="str">
        <f>Risk_Compensation!$T$17</f>
        <v>NE</v>
      </c>
      <c r="G4222" s="1390"/>
      <c r="H4222" s="1077">
        <f>Risk_Compensation!$T62</f>
        <v>0</v>
      </c>
    </row>
    <row r="4223" spans="1:8" x14ac:dyDescent="0.2">
      <c r="A4223" s="1027"/>
      <c r="B4223" s="1083">
        <f>Risk_Compensation!A$1</f>
        <v>36</v>
      </c>
      <c r="C4223" s="1390" t="str">
        <f>Risk_Compensation!$B$1</f>
        <v xml:space="preserve">Risikoausgleich </v>
      </c>
      <c r="D4223" s="2205" t="s">
        <v>2572</v>
      </c>
      <c r="E4223" s="1390">
        <f>Risk_Compensation!$G63</f>
        <v>46</v>
      </c>
      <c r="F4223" s="1390" t="str">
        <f>Risk_Compensation!$T$17</f>
        <v>NE</v>
      </c>
      <c r="G4223" s="1390"/>
      <c r="H4223" s="1077">
        <f>Risk_Compensation!$T63</f>
        <v>0</v>
      </c>
    </row>
    <row r="4224" spans="1:8" x14ac:dyDescent="0.2">
      <c r="A4224" s="1027"/>
      <c r="B4224" s="1083">
        <f>Risk_Compensation!A$1</f>
        <v>36</v>
      </c>
      <c r="C4224" s="1390" t="str">
        <f>Risk_Compensation!$B$1</f>
        <v xml:space="preserve">Risikoausgleich </v>
      </c>
      <c r="D4224" s="2205" t="s">
        <v>2572</v>
      </c>
      <c r="E4224" s="1390">
        <f>Risk_Compensation!$G64</f>
        <v>47</v>
      </c>
      <c r="F4224" s="1390" t="str">
        <f>Risk_Compensation!$T$17</f>
        <v>NE</v>
      </c>
      <c r="G4224" s="1390"/>
      <c r="H4224" s="1077">
        <f>Risk_Compensation!$T64</f>
        <v>0</v>
      </c>
    </row>
    <row r="4225" spans="1:8" x14ac:dyDescent="0.2">
      <c r="A4225" s="1027"/>
      <c r="B4225" s="1083">
        <f>Risk_Compensation!A$1</f>
        <v>36</v>
      </c>
      <c r="C4225" s="1390" t="str">
        <f>Risk_Compensation!$B$1</f>
        <v xml:space="preserve">Risikoausgleich </v>
      </c>
      <c r="D4225" s="2205" t="s">
        <v>2572</v>
      </c>
      <c r="E4225" s="1390">
        <f>Risk_Compensation!$G65</f>
        <v>48</v>
      </c>
      <c r="F4225" s="1390" t="str">
        <f>Risk_Compensation!$T$17</f>
        <v>NE</v>
      </c>
      <c r="G4225" s="1390"/>
      <c r="H4225" s="1077">
        <f>Risk_Compensation!$T65</f>
        <v>0</v>
      </c>
    </row>
    <row r="4226" spans="1:8" x14ac:dyDescent="0.2">
      <c r="A4226" s="1027"/>
      <c r="B4226" s="1083">
        <f>Risk_Compensation!A$1</f>
        <v>36</v>
      </c>
      <c r="C4226" s="1390" t="str">
        <f>Risk_Compensation!$B$1</f>
        <v xml:space="preserve">Risikoausgleich </v>
      </c>
      <c r="D4226" s="2205" t="s">
        <v>2572</v>
      </c>
      <c r="E4226" s="1390">
        <f>Risk_Compensation!$G66</f>
        <v>49</v>
      </c>
      <c r="F4226" s="1390" t="str">
        <f>Risk_Compensation!$T$17</f>
        <v>NE</v>
      </c>
      <c r="G4226" s="1390"/>
      <c r="H4226" s="1077">
        <f>Risk_Compensation!$T66</f>
        <v>0</v>
      </c>
    </row>
    <row r="4227" spans="1:8" x14ac:dyDescent="0.2">
      <c r="A4227" s="1027"/>
      <c r="B4227" s="1083">
        <f>Risk_Compensation!A$1</f>
        <v>36</v>
      </c>
      <c r="C4227" s="1390" t="str">
        <f>Risk_Compensation!$B$1</f>
        <v xml:space="preserve">Risikoausgleich </v>
      </c>
      <c r="D4227" s="2205" t="s">
        <v>2572</v>
      </c>
      <c r="E4227" s="1390">
        <f>Risk_Compensation!$G67</f>
        <v>50</v>
      </c>
      <c r="F4227" s="1390" t="str">
        <f>Risk_Compensation!$T$17</f>
        <v>NE</v>
      </c>
      <c r="G4227" s="1390"/>
      <c r="H4227" s="1077">
        <f>Risk_Compensation!$T67</f>
        <v>0</v>
      </c>
    </row>
    <row r="4228" spans="1:8" x14ac:dyDescent="0.2">
      <c r="A4228" s="1027"/>
      <c r="B4228" s="1083">
        <f>Risk_Compensation!A$1</f>
        <v>36</v>
      </c>
      <c r="C4228" s="1390" t="str">
        <f>Risk_Compensation!$B$1</f>
        <v xml:space="preserve">Risikoausgleich </v>
      </c>
      <c r="D4228" s="2205" t="s">
        <v>2572</v>
      </c>
      <c r="E4228" s="1390">
        <f>Risk_Compensation!$G68</f>
        <v>51</v>
      </c>
      <c r="F4228" s="1390" t="str">
        <f>Risk_Compensation!$T$17</f>
        <v>NE</v>
      </c>
      <c r="G4228" s="1390"/>
      <c r="H4228" s="1077">
        <f>Risk_Compensation!$T68</f>
        <v>0</v>
      </c>
    </row>
    <row r="4229" spans="1:8" x14ac:dyDescent="0.2">
      <c r="A4229" s="1027"/>
      <c r="B4229" s="1083">
        <f>Risk_Compensation!A$1</f>
        <v>36</v>
      </c>
      <c r="C4229" s="1390" t="str">
        <f>Risk_Compensation!$B$1</f>
        <v xml:space="preserve">Risikoausgleich </v>
      </c>
      <c r="D4229" s="2205" t="s">
        <v>2572</v>
      </c>
      <c r="E4229" s="1390">
        <f>Risk_Compensation!$G69</f>
        <v>52</v>
      </c>
      <c r="F4229" s="1390" t="str">
        <f>Risk_Compensation!$T$17</f>
        <v>NE</v>
      </c>
      <c r="G4229" s="1390"/>
      <c r="H4229" s="1077">
        <f>Risk_Compensation!$T69</f>
        <v>0</v>
      </c>
    </row>
    <row r="4230" spans="1:8" x14ac:dyDescent="0.2">
      <c r="A4230" s="1027"/>
      <c r="B4230" s="1083">
        <f>Risk_Compensation!A$1</f>
        <v>36</v>
      </c>
      <c r="C4230" s="1390" t="str">
        <f>Risk_Compensation!$B$1</f>
        <v xml:space="preserve">Risikoausgleich </v>
      </c>
      <c r="D4230" s="2205" t="s">
        <v>2572</v>
      </c>
      <c r="E4230" s="1390">
        <f>Risk_Compensation!$G70</f>
        <v>53</v>
      </c>
      <c r="F4230" s="1390" t="str">
        <f>Risk_Compensation!$T$17</f>
        <v>NE</v>
      </c>
      <c r="G4230" s="1390"/>
      <c r="H4230" s="1077">
        <f>Risk_Compensation!$T70</f>
        <v>0</v>
      </c>
    </row>
    <row r="4231" spans="1:8" x14ac:dyDescent="0.2">
      <c r="A4231" s="1027"/>
      <c r="B4231" s="1083">
        <f>Risk_Compensation!A$1</f>
        <v>36</v>
      </c>
      <c r="C4231" s="1390" t="str">
        <f>Risk_Compensation!$B$1</f>
        <v xml:space="preserve">Risikoausgleich </v>
      </c>
      <c r="D4231" s="2205" t="s">
        <v>2572</v>
      </c>
      <c r="E4231" s="1390">
        <f>Risk_Compensation!$G71</f>
        <v>54</v>
      </c>
      <c r="F4231" s="1390" t="str">
        <f>Risk_Compensation!$T$17</f>
        <v>NE</v>
      </c>
      <c r="G4231" s="1390"/>
      <c r="H4231" s="1077">
        <f>Risk_Compensation!$T71</f>
        <v>0</v>
      </c>
    </row>
    <row r="4232" spans="1:8" x14ac:dyDescent="0.2">
      <c r="A4232" s="1027"/>
      <c r="B4232" s="1083">
        <f>Risk_Compensation!A$1</f>
        <v>36</v>
      </c>
      <c r="C4232" s="1390" t="str">
        <f>Risk_Compensation!$B$1</f>
        <v xml:space="preserve">Risikoausgleich </v>
      </c>
      <c r="D4232" s="2205" t="s">
        <v>2572</v>
      </c>
      <c r="E4232" s="1390">
        <f>Risk_Compensation!$G72</f>
        <v>55</v>
      </c>
      <c r="F4232" s="1390" t="str">
        <f>Risk_Compensation!$T$17</f>
        <v>NE</v>
      </c>
      <c r="G4232" s="1390"/>
      <c r="H4232" s="1077">
        <f>Risk_Compensation!$T72</f>
        <v>0</v>
      </c>
    </row>
    <row r="4233" spans="1:8" x14ac:dyDescent="0.2">
      <c r="A4233" s="1027"/>
      <c r="B4233" s="1083">
        <f>Risk_Compensation!A$1</f>
        <v>36</v>
      </c>
      <c r="C4233" s="1390" t="str">
        <f>Risk_Compensation!$B$1</f>
        <v xml:space="preserve">Risikoausgleich </v>
      </c>
      <c r="D4233" s="2205" t="s">
        <v>2572</v>
      </c>
      <c r="E4233" s="1390">
        <f>Risk_Compensation!$G73</f>
        <v>56</v>
      </c>
      <c r="F4233" s="1390" t="str">
        <f>Risk_Compensation!$T$17</f>
        <v>NE</v>
      </c>
      <c r="G4233" s="1390"/>
      <c r="H4233" s="1077">
        <f>Risk_Compensation!$T73</f>
        <v>0</v>
      </c>
    </row>
    <row r="4234" spans="1:8" x14ac:dyDescent="0.2">
      <c r="A4234" s="1027"/>
      <c r="B4234" s="1083">
        <f>Risk_Compensation!A$1</f>
        <v>36</v>
      </c>
      <c r="C4234" s="1390" t="str">
        <f>Risk_Compensation!$B$1</f>
        <v xml:space="preserve">Risikoausgleich </v>
      </c>
      <c r="D4234" s="2205" t="s">
        <v>2572</v>
      </c>
      <c r="E4234" s="1390">
        <f>Risk_Compensation!$G74</f>
        <v>57</v>
      </c>
      <c r="F4234" s="1390" t="str">
        <f>Risk_Compensation!$T$17</f>
        <v>NE</v>
      </c>
      <c r="G4234" s="1390"/>
      <c r="H4234" s="1077">
        <f>Risk_Compensation!$T74</f>
        <v>0</v>
      </c>
    </row>
    <row r="4235" spans="1:8" x14ac:dyDescent="0.2">
      <c r="A4235" s="1027"/>
      <c r="B4235" s="1083">
        <f>Risk_Compensation!A$1</f>
        <v>36</v>
      </c>
      <c r="C4235" s="1390" t="str">
        <f>Risk_Compensation!$B$1</f>
        <v xml:space="preserve">Risikoausgleich </v>
      </c>
      <c r="D4235" s="2205" t="s">
        <v>2572</v>
      </c>
      <c r="E4235" s="1390">
        <f>Risk_Compensation!$G75</f>
        <v>58</v>
      </c>
      <c r="F4235" s="1390" t="str">
        <f>Risk_Compensation!$T$17</f>
        <v>NE</v>
      </c>
      <c r="G4235" s="1390"/>
      <c r="H4235" s="1077">
        <f>Risk_Compensation!$T75</f>
        <v>0</v>
      </c>
    </row>
    <row r="4236" spans="1:8" x14ac:dyDescent="0.2">
      <c r="A4236" s="1027"/>
      <c r="B4236" s="1083">
        <f>Risk_Compensation!A$1</f>
        <v>36</v>
      </c>
      <c r="C4236" s="1390" t="str">
        <f>Risk_Compensation!$B$1</f>
        <v xml:space="preserve">Risikoausgleich </v>
      </c>
      <c r="D4236" s="2205" t="s">
        <v>2572</v>
      </c>
      <c r="E4236" s="1390">
        <f>Risk_Compensation!$G76</f>
        <v>59</v>
      </c>
      <c r="F4236" s="1390" t="str">
        <f>Risk_Compensation!$T$17</f>
        <v>NE</v>
      </c>
      <c r="G4236" s="1390"/>
      <c r="H4236" s="1077">
        <f>Risk_Compensation!$T76</f>
        <v>0</v>
      </c>
    </row>
    <row r="4237" spans="1:8" x14ac:dyDescent="0.2">
      <c r="A4237" s="1027"/>
      <c r="B4237" s="1083">
        <f>Risk_Compensation!A$1</f>
        <v>36</v>
      </c>
      <c r="C4237" s="1390" t="str">
        <f>Risk_Compensation!$B$1</f>
        <v xml:space="preserve">Risikoausgleich </v>
      </c>
      <c r="D4237" s="2205" t="s">
        <v>2572</v>
      </c>
      <c r="E4237" s="1390">
        <f>Risk_Compensation!$G77</f>
        <v>60</v>
      </c>
      <c r="F4237" s="1390" t="str">
        <f>Risk_Compensation!$T$17</f>
        <v>NE</v>
      </c>
      <c r="G4237" s="1390"/>
      <c r="H4237" s="1077">
        <f>Risk_Compensation!$T77</f>
        <v>0</v>
      </c>
    </row>
    <row r="4238" spans="1:8" x14ac:dyDescent="0.2">
      <c r="A4238" s="1027"/>
      <c r="B4238" s="2174"/>
      <c r="C4238" s="1390"/>
      <c r="D4238" s="2175"/>
      <c r="E4238" s="2176"/>
      <c r="F4238" s="1390"/>
      <c r="G4238" s="1390"/>
      <c r="H4238" s="1078"/>
    </row>
    <row r="4239" spans="1:8" x14ac:dyDescent="0.2">
      <c r="A4239" s="1027"/>
      <c r="B4239" s="1083">
        <f>Risk_Compensation!A$1</f>
        <v>36</v>
      </c>
      <c r="C4239" s="1390" t="str">
        <f>Risk_Compensation!$B$1</f>
        <v xml:space="preserve">Risikoausgleich </v>
      </c>
      <c r="D4239" s="2205" t="s">
        <v>2572</v>
      </c>
      <c r="E4239" s="1390">
        <f>Risk_Compensation!$G18</f>
        <v>1</v>
      </c>
      <c r="F4239" s="1390" t="str">
        <f>Risk_Compensation!$U$17</f>
        <v>NW</v>
      </c>
      <c r="G4239" s="1390"/>
      <c r="H4239" s="1077">
        <f>Risk_Compensation!$U18</f>
        <v>0</v>
      </c>
    </row>
    <row r="4240" spans="1:8" x14ac:dyDescent="0.2">
      <c r="A4240" s="1027"/>
      <c r="B4240" s="1083">
        <f>Risk_Compensation!A$1</f>
        <v>36</v>
      </c>
      <c r="C4240" s="1390" t="str">
        <f>Risk_Compensation!$B$1</f>
        <v xml:space="preserve">Risikoausgleich </v>
      </c>
      <c r="D4240" s="2205" t="s">
        <v>2572</v>
      </c>
      <c r="E4240" s="1390">
        <f>Risk_Compensation!$G19</f>
        <v>2</v>
      </c>
      <c r="F4240" s="1390" t="str">
        <f>Risk_Compensation!$U$17</f>
        <v>NW</v>
      </c>
      <c r="G4240" s="1390"/>
      <c r="H4240" s="1077">
        <f>Risk_Compensation!$U19</f>
        <v>0</v>
      </c>
    </row>
    <row r="4241" spans="1:8" x14ac:dyDescent="0.2">
      <c r="A4241" s="1027"/>
      <c r="B4241" s="1083">
        <f>Risk_Compensation!A$1</f>
        <v>36</v>
      </c>
      <c r="C4241" s="1390" t="str">
        <f>Risk_Compensation!$B$1</f>
        <v xml:space="preserve">Risikoausgleich </v>
      </c>
      <c r="D4241" s="2205" t="s">
        <v>2572</v>
      </c>
      <c r="E4241" s="1390">
        <f>Risk_Compensation!$G20</f>
        <v>3</v>
      </c>
      <c r="F4241" s="1390" t="str">
        <f>Risk_Compensation!$U$17</f>
        <v>NW</v>
      </c>
      <c r="G4241" s="1390"/>
      <c r="H4241" s="1077">
        <f>Risk_Compensation!$U20</f>
        <v>0</v>
      </c>
    </row>
    <row r="4242" spans="1:8" x14ac:dyDescent="0.2">
      <c r="A4242" s="1027"/>
      <c r="B4242" s="1083">
        <f>Risk_Compensation!A$1</f>
        <v>36</v>
      </c>
      <c r="C4242" s="1390" t="str">
        <f>Risk_Compensation!$B$1</f>
        <v xml:space="preserve">Risikoausgleich </v>
      </c>
      <c r="D4242" s="2205" t="s">
        <v>2572</v>
      </c>
      <c r="E4242" s="1390">
        <f>Risk_Compensation!$G21</f>
        <v>4</v>
      </c>
      <c r="F4242" s="1390" t="str">
        <f>Risk_Compensation!$U$17</f>
        <v>NW</v>
      </c>
      <c r="G4242" s="1390"/>
      <c r="H4242" s="1077">
        <f>Risk_Compensation!$U21</f>
        <v>0</v>
      </c>
    </row>
    <row r="4243" spans="1:8" x14ac:dyDescent="0.2">
      <c r="A4243" s="1027"/>
      <c r="B4243" s="1083">
        <f>Risk_Compensation!A$1</f>
        <v>36</v>
      </c>
      <c r="C4243" s="1390" t="str">
        <f>Risk_Compensation!$B$1</f>
        <v xml:space="preserve">Risikoausgleich </v>
      </c>
      <c r="D4243" s="2205" t="s">
        <v>2572</v>
      </c>
      <c r="E4243" s="1390">
        <f>Risk_Compensation!$G22</f>
        <v>5</v>
      </c>
      <c r="F4243" s="1390" t="str">
        <f>Risk_Compensation!$U$17</f>
        <v>NW</v>
      </c>
      <c r="G4243" s="1390"/>
      <c r="H4243" s="1077">
        <f>Risk_Compensation!$U22</f>
        <v>0</v>
      </c>
    </row>
    <row r="4244" spans="1:8" x14ac:dyDescent="0.2">
      <c r="A4244" s="1027"/>
      <c r="B4244" s="1083">
        <f>Risk_Compensation!A$1</f>
        <v>36</v>
      </c>
      <c r="C4244" s="1390" t="str">
        <f>Risk_Compensation!$B$1</f>
        <v xml:space="preserve">Risikoausgleich </v>
      </c>
      <c r="D4244" s="2205" t="s">
        <v>2572</v>
      </c>
      <c r="E4244" s="1390">
        <f>Risk_Compensation!$G23</f>
        <v>6</v>
      </c>
      <c r="F4244" s="1390" t="str">
        <f>Risk_Compensation!$U$17</f>
        <v>NW</v>
      </c>
      <c r="G4244" s="1390"/>
      <c r="H4244" s="1077">
        <f>Risk_Compensation!$U23</f>
        <v>0</v>
      </c>
    </row>
    <row r="4245" spans="1:8" x14ac:dyDescent="0.2">
      <c r="A4245" s="1027"/>
      <c r="B4245" s="1083">
        <f>Risk_Compensation!A$1</f>
        <v>36</v>
      </c>
      <c r="C4245" s="1390" t="str">
        <f>Risk_Compensation!$B$1</f>
        <v xml:space="preserve">Risikoausgleich </v>
      </c>
      <c r="D4245" s="2205" t="s">
        <v>2572</v>
      </c>
      <c r="E4245" s="1390">
        <f>Risk_Compensation!$G24</f>
        <v>7</v>
      </c>
      <c r="F4245" s="1390" t="str">
        <f>Risk_Compensation!$U$17</f>
        <v>NW</v>
      </c>
      <c r="G4245" s="1390"/>
      <c r="H4245" s="1077">
        <f>Risk_Compensation!$U24</f>
        <v>0</v>
      </c>
    </row>
    <row r="4246" spans="1:8" x14ac:dyDescent="0.2">
      <c r="A4246" s="1027"/>
      <c r="B4246" s="1083">
        <f>Risk_Compensation!A$1</f>
        <v>36</v>
      </c>
      <c r="C4246" s="1390" t="str">
        <f>Risk_Compensation!$B$1</f>
        <v xml:space="preserve">Risikoausgleich </v>
      </c>
      <c r="D4246" s="2205" t="s">
        <v>2572</v>
      </c>
      <c r="E4246" s="1390">
        <f>Risk_Compensation!$G25</f>
        <v>8</v>
      </c>
      <c r="F4246" s="1390" t="str">
        <f>Risk_Compensation!$U$17</f>
        <v>NW</v>
      </c>
      <c r="G4246" s="1390"/>
      <c r="H4246" s="1077">
        <f>Risk_Compensation!$U25</f>
        <v>0</v>
      </c>
    </row>
    <row r="4247" spans="1:8" x14ac:dyDescent="0.2">
      <c r="A4247" s="1027"/>
      <c r="B4247" s="1083">
        <f>Risk_Compensation!A$1</f>
        <v>36</v>
      </c>
      <c r="C4247" s="1390" t="str">
        <f>Risk_Compensation!$B$1</f>
        <v xml:space="preserve">Risikoausgleich </v>
      </c>
      <c r="D4247" s="2205" t="s">
        <v>2572</v>
      </c>
      <c r="E4247" s="1390">
        <f>Risk_Compensation!$G26</f>
        <v>9</v>
      </c>
      <c r="F4247" s="1390" t="str">
        <f>Risk_Compensation!$U$17</f>
        <v>NW</v>
      </c>
      <c r="G4247" s="1390"/>
      <c r="H4247" s="1077">
        <f>Risk_Compensation!$U26</f>
        <v>0</v>
      </c>
    </row>
    <row r="4248" spans="1:8" x14ac:dyDescent="0.2">
      <c r="A4248" s="1027"/>
      <c r="B4248" s="1083">
        <f>Risk_Compensation!A$1</f>
        <v>36</v>
      </c>
      <c r="C4248" s="1390" t="str">
        <f>Risk_Compensation!$B$1</f>
        <v xml:space="preserve">Risikoausgleich </v>
      </c>
      <c r="D4248" s="2205" t="s">
        <v>2572</v>
      </c>
      <c r="E4248" s="1390">
        <f>Risk_Compensation!$G27</f>
        <v>10</v>
      </c>
      <c r="F4248" s="1390" t="str">
        <f>Risk_Compensation!$U$17</f>
        <v>NW</v>
      </c>
      <c r="G4248" s="1390"/>
      <c r="H4248" s="1077">
        <f>Risk_Compensation!$U27</f>
        <v>0</v>
      </c>
    </row>
    <row r="4249" spans="1:8" x14ac:dyDescent="0.2">
      <c r="A4249" s="1027"/>
      <c r="B4249" s="1083">
        <f>Risk_Compensation!A$1</f>
        <v>36</v>
      </c>
      <c r="C4249" s="1390" t="str">
        <f>Risk_Compensation!$B$1</f>
        <v xml:space="preserve">Risikoausgleich </v>
      </c>
      <c r="D4249" s="2205" t="s">
        <v>2572</v>
      </c>
      <c r="E4249" s="1390">
        <f>Risk_Compensation!$G28</f>
        <v>11</v>
      </c>
      <c r="F4249" s="1390" t="str">
        <f>Risk_Compensation!$U$17</f>
        <v>NW</v>
      </c>
      <c r="G4249" s="1390"/>
      <c r="H4249" s="1077">
        <f>Risk_Compensation!$U28</f>
        <v>0</v>
      </c>
    </row>
    <row r="4250" spans="1:8" x14ac:dyDescent="0.2">
      <c r="A4250" s="1027"/>
      <c r="B4250" s="1083">
        <f>Risk_Compensation!A$1</f>
        <v>36</v>
      </c>
      <c r="C4250" s="1390" t="str">
        <f>Risk_Compensation!$B$1</f>
        <v xml:space="preserve">Risikoausgleich </v>
      </c>
      <c r="D4250" s="2205" t="s">
        <v>2572</v>
      </c>
      <c r="E4250" s="1390">
        <f>Risk_Compensation!$G29</f>
        <v>12</v>
      </c>
      <c r="F4250" s="1390" t="str">
        <f>Risk_Compensation!$U$17</f>
        <v>NW</v>
      </c>
      <c r="G4250" s="1390"/>
      <c r="H4250" s="1077">
        <f>Risk_Compensation!$U29</f>
        <v>0</v>
      </c>
    </row>
    <row r="4251" spans="1:8" x14ac:dyDescent="0.2">
      <c r="A4251" s="1027"/>
      <c r="B4251" s="1083">
        <f>Risk_Compensation!A$1</f>
        <v>36</v>
      </c>
      <c r="C4251" s="1390" t="str">
        <f>Risk_Compensation!$B$1</f>
        <v xml:space="preserve">Risikoausgleich </v>
      </c>
      <c r="D4251" s="2205" t="s">
        <v>2572</v>
      </c>
      <c r="E4251" s="1390">
        <f>Risk_Compensation!$G30</f>
        <v>13</v>
      </c>
      <c r="F4251" s="1390" t="str">
        <f>Risk_Compensation!$U$17</f>
        <v>NW</v>
      </c>
      <c r="G4251" s="1390"/>
      <c r="H4251" s="1077">
        <f>Risk_Compensation!$U30</f>
        <v>0</v>
      </c>
    </row>
    <row r="4252" spans="1:8" x14ac:dyDescent="0.2">
      <c r="A4252" s="1027"/>
      <c r="B4252" s="1083">
        <f>Risk_Compensation!A$1</f>
        <v>36</v>
      </c>
      <c r="C4252" s="1390" t="str">
        <f>Risk_Compensation!$B$1</f>
        <v xml:space="preserve">Risikoausgleich </v>
      </c>
      <c r="D4252" s="2205" t="s">
        <v>2572</v>
      </c>
      <c r="E4252" s="1390">
        <f>Risk_Compensation!$G31</f>
        <v>14</v>
      </c>
      <c r="F4252" s="1390" t="str">
        <f>Risk_Compensation!$U$17</f>
        <v>NW</v>
      </c>
      <c r="G4252" s="1390"/>
      <c r="H4252" s="1077">
        <f>Risk_Compensation!$U31</f>
        <v>0</v>
      </c>
    </row>
    <row r="4253" spans="1:8" x14ac:dyDescent="0.2">
      <c r="A4253" s="1027"/>
      <c r="B4253" s="1083">
        <f>Risk_Compensation!A$1</f>
        <v>36</v>
      </c>
      <c r="C4253" s="1390" t="str">
        <f>Risk_Compensation!$B$1</f>
        <v xml:space="preserve">Risikoausgleich </v>
      </c>
      <c r="D4253" s="2205" t="s">
        <v>2572</v>
      </c>
      <c r="E4253" s="1390">
        <f>Risk_Compensation!$G32</f>
        <v>15</v>
      </c>
      <c r="F4253" s="1390" t="str">
        <f>Risk_Compensation!$U$17</f>
        <v>NW</v>
      </c>
      <c r="G4253" s="1390"/>
      <c r="H4253" s="1077">
        <f>Risk_Compensation!$U32</f>
        <v>0</v>
      </c>
    </row>
    <row r="4254" spans="1:8" x14ac:dyDescent="0.2">
      <c r="A4254" s="1027"/>
      <c r="B4254" s="1083">
        <f>Risk_Compensation!A$1</f>
        <v>36</v>
      </c>
      <c r="C4254" s="1390" t="str">
        <f>Risk_Compensation!$B$1</f>
        <v xml:space="preserve">Risikoausgleich </v>
      </c>
      <c r="D4254" s="2205" t="s">
        <v>2572</v>
      </c>
      <c r="E4254" s="1390">
        <f>Risk_Compensation!$G33</f>
        <v>16</v>
      </c>
      <c r="F4254" s="1390" t="str">
        <f>Risk_Compensation!$U$17</f>
        <v>NW</v>
      </c>
      <c r="G4254" s="1390"/>
      <c r="H4254" s="1077">
        <f>Risk_Compensation!$U33</f>
        <v>0</v>
      </c>
    </row>
    <row r="4255" spans="1:8" x14ac:dyDescent="0.2">
      <c r="A4255" s="1027"/>
      <c r="B4255" s="1083">
        <f>Risk_Compensation!A$1</f>
        <v>36</v>
      </c>
      <c r="C4255" s="1390" t="str">
        <f>Risk_Compensation!$B$1</f>
        <v xml:space="preserve">Risikoausgleich </v>
      </c>
      <c r="D4255" s="2205" t="s">
        <v>2572</v>
      </c>
      <c r="E4255" s="1390">
        <f>Risk_Compensation!$G34</f>
        <v>17</v>
      </c>
      <c r="F4255" s="1390" t="str">
        <f>Risk_Compensation!$U$17</f>
        <v>NW</v>
      </c>
      <c r="G4255" s="1390"/>
      <c r="H4255" s="1077">
        <f>Risk_Compensation!$U34</f>
        <v>0</v>
      </c>
    </row>
    <row r="4256" spans="1:8" x14ac:dyDescent="0.2">
      <c r="A4256" s="1027"/>
      <c r="B4256" s="1083">
        <f>Risk_Compensation!A$1</f>
        <v>36</v>
      </c>
      <c r="C4256" s="1390" t="str">
        <f>Risk_Compensation!$B$1</f>
        <v xml:space="preserve">Risikoausgleich </v>
      </c>
      <c r="D4256" s="2205" t="s">
        <v>2572</v>
      </c>
      <c r="E4256" s="1390">
        <f>Risk_Compensation!$G35</f>
        <v>18</v>
      </c>
      <c r="F4256" s="1390" t="str">
        <f>Risk_Compensation!$U$17</f>
        <v>NW</v>
      </c>
      <c r="G4256" s="1390"/>
      <c r="H4256" s="1077">
        <f>Risk_Compensation!$U35</f>
        <v>0</v>
      </c>
    </row>
    <row r="4257" spans="1:8" x14ac:dyDescent="0.2">
      <c r="A4257" s="1027"/>
      <c r="B4257" s="1083">
        <f>Risk_Compensation!A$1</f>
        <v>36</v>
      </c>
      <c r="C4257" s="1390" t="str">
        <f>Risk_Compensation!$B$1</f>
        <v xml:space="preserve">Risikoausgleich </v>
      </c>
      <c r="D4257" s="2205" t="s">
        <v>2572</v>
      </c>
      <c r="E4257" s="1390">
        <f>Risk_Compensation!$G36</f>
        <v>19</v>
      </c>
      <c r="F4257" s="1390" t="str">
        <f>Risk_Compensation!$U$17</f>
        <v>NW</v>
      </c>
      <c r="G4257" s="1390"/>
      <c r="H4257" s="1077">
        <f>Risk_Compensation!$U36</f>
        <v>0</v>
      </c>
    </row>
    <row r="4258" spans="1:8" x14ac:dyDescent="0.2">
      <c r="A4258" s="1027"/>
      <c r="B4258" s="1083">
        <f>Risk_Compensation!A$1</f>
        <v>36</v>
      </c>
      <c r="C4258" s="1390" t="str">
        <f>Risk_Compensation!$B$1</f>
        <v xml:space="preserve">Risikoausgleich </v>
      </c>
      <c r="D4258" s="2205" t="s">
        <v>2572</v>
      </c>
      <c r="E4258" s="1390">
        <f>Risk_Compensation!$G37</f>
        <v>20</v>
      </c>
      <c r="F4258" s="1390" t="str">
        <f>Risk_Compensation!$U$17</f>
        <v>NW</v>
      </c>
      <c r="G4258" s="1390"/>
      <c r="H4258" s="1077">
        <f>Risk_Compensation!$U37</f>
        <v>0</v>
      </c>
    </row>
    <row r="4259" spans="1:8" x14ac:dyDescent="0.2">
      <c r="A4259" s="1027"/>
      <c r="B4259" s="1083">
        <f>Risk_Compensation!A$1</f>
        <v>36</v>
      </c>
      <c r="C4259" s="1390" t="str">
        <f>Risk_Compensation!$B$1</f>
        <v xml:space="preserve">Risikoausgleich </v>
      </c>
      <c r="D4259" s="2205" t="s">
        <v>2572</v>
      </c>
      <c r="E4259" s="1390">
        <f>Risk_Compensation!$G38</f>
        <v>21</v>
      </c>
      <c r="F4259" s="1390" t="str">
        <f>Risk_Compensation!$U$17</f>
        <v>NW</v>
      </c>
      <c r="G4259" s="1390"/>
      <c r="H4259" s="1077">
        <f>Risk_Compensation!$U38</f>
        <v>0</v>
      </c>
    </row>
    <row r="4260" spans="1:8" x14ac:dyDescent="0.2">
      <c r="A4260" s="1027"/>
      <c r="B4260" s="1083">
        <f>Risk_Compensation!A$1</f>
        <v>36</v>
      </c>
      <c r="C4260" s="1390" t="str">
        <f>Risk_Compensation!$B$1</f>
        <v xml:space="preserve">Risikoausgleich </v>
      </c>
      <c r="D4260" s="2205" t="s">
        <v>2572</v>
      </c>
      <c r="E4260" s="1390">
        <f>Risk_Compensation!$G39</f>
        <v>22</v>
      </c>
      <c r="F4260" s="1390" t="str">
        <f>Risk_Compensation!$U$17</f>
        <v>NW</v>
      </c>
      <c r="G4260" s="1390"/>
      <c r="H4260" s="1077">
        <f>Risk_Compensation!$U39</f>
        <v>0</v>
      </c>
    </row>
    <row r="4261" spans="1:8" x14ac:dyDescent="0.2">
      <c r="A4261" s="1027"/>
      <c r="B4261" s="1083">
        <f>Risk_Compensation!A$1</f>
        <v>36</v>
      </c>
      <c r="C4261" s="1390" t="str">
        <f>Risk_Compensation!$B$1</f>
        <v xml:space="preserve">Risikoausgleich </v>
      </c>
      <c r="D4261" s="2205" t="s">
        <v>2572</v>
      </c>
      <c r="E4261" s="1390">
        <f>Risk_Compensation!$G40</f>
        <v>23</v>
      </c>
      <c r="F4261" s="1390" t="str">
        <f>Risk_Compensation!$U$17</f>
        <v>NW</v>
      </c>
      <c r="G4261" s="1390"/>
      <c r="H4261" s="1077">
        <f>Risk_Compensation!$U40</f>
        <v>0</v>
      </c>
    </row>
    <row r="4262" spans="1:8" x14ac:dyDescent="0.2">
      <c r="A4262" s="1027"/>
      <c r="B4262" s="1083">
        <f>Risk_Compensation!A$1</f>
        <v>36</v>
      </c>
      <c r="C4262" s="1390" t="str">
        <f>Risk_Compensation!$B$1</f>
        <v xml:space="preserve">Risikoausgleich </v>
      </c>
      <c r="D4262" s="2205" t="s">
        <v>2572</v>
      </c>
      <c r="E4262" s="1390">
        <f>Risk_Compensation!$G41</f>
        <v>24</v>
      </c>
      <c r="F4262" s="1390" t="str">
        <f>Risk_Compensation!$U$17</f>
        <v>NW</v>
      </c>
      <c r="G4262" s="1390"/>
      <c r="H4262" s="1077">
        <f>Risk_Compensation!$U41</f>
        <v>0</v>
      </c>
    </row>
    <row r="4263" spans="1:8" x14ac:dyDescent="0.2">
      <c r="A4263" s="1027"/>
      <c r="B4263" s="1083">
        <f>Risk_Compensation!A$1</f>
        <v>36</v>
      </c>
      <c r="C4263" s="1390" t="str">
        <f>Risk_Compensation!$B$1</f>
        <v xml:space="preserve">Risikoausgleich </v>
      </c>
      <c r="D4263" s="2205" t="s">
        <v>2572</v>
      </c>
      <c r="E4263" s="1390">
        <f>Risk_Compensation!$G42</f>
        <v>25</v>
      </c>
      <c r="F4263" s="1390" t="str">
        <f>Risk_Compensation!$U$17</f>
        <v>NW</v>
      </c>
      <c r="G4263" s="1390"/>
      <c r="H4263" s="1077">
        <f>Risk_Compensation!$U42</f>
        <v>0</v>
      </c>
    </row>
    <row r="4264" spans="1:8" x14ac:dyDescent="0.2">
      <c r="A4264" s="1027"/>
      <c r="B4264" s="1083">
        <f>Risk_Compensation!A$1</f>
        <v>36</v>
      </c>
      <c r="C4264" s="1390" t="str">
        <f>Risk_Compensation!$B$1</f>
        <v xml:space="preserve">Risikoausgleich </v>
      </c>
      <c r="D4264" s="2205" t="s">
        <v>2572</v>
      </c>
      <c r="E4264" s="1390">
        <f>Risk_Compensation!$G43</f>
        <v>26</v>
      </c>
      <c r="F4264" s="1390" t="str">
        <f>Risk_Compensation!$U$17</f>
        <v>NW</v>
      </c>
      <c r="G4264" s="1390"/>
      <c r="H4264" s="1077">
        <f>Risk_Compensation!$U43</f>
        <v>0</v>
      </c>
    </row>
    <row r="4265" spans="1:8" x14ac:dyDescent="0.2">
      <c r="A4265" s="1027"/>
      <c r="B4265" s="1083">
        <f>Risk_Compensation!A$1</f>
        <v>36</v>
      </c>
      <c r="C4265" s="1390" t="str">
        <f>Risk_Compensation!$B$1</f>
        <v xml:space="preserve">Risikoausgleich </v>
      </c>
      <c r="D4265" s="2205" t="s">
        <v>2572</v>
      </c>
      <c r="E4265" s="1390">
        <f>Risk_Compensation!$G44</f>
        <v>27</v>
      </c>
      <c r="F4265" s="1390" t="str">
        <f>Risk_Compensation!$U$17</f>
        <v>NW</v>
      </c>
      <c r="G4265" s="1390"/>
      <c r="H4265" s="1077">
        <f>Risk_Compensation!$U44</f>
        <v>0</v>
      </c>
    </row>
    <row r="4266" spans="1:8" x14ac:dyDescent="0.2">
      <c r="A4266" s="1027"/>
      <c r="B4266" s="1083">
        <f>Risk_Compensation!A$1</f>
        <v>36</v>
      </c>
      <c r="C4266" s="1390" t="str">
        <f>Risk_Compensation!$B$1</f>
        <v xml:space="preserve">Risikoausgleich </v>
      </c>
      <c r="D4266" s="2205" t="s">
        <v>2572</v>
      </c>
      <c r="E4266" s="1390">
        <f>Risk_Compensation!$G45</f>
        <v>28</v>
      </c>
      <c r="F4266" s="1390" t="str">
        <f>Risk_Compensation!$U$17</f>
        <v>NW</v>
      </c>
      <c r="G4266" s="1390"/>
      <c r="H4266" s="1077">
        <f>Risk_Compensation!$U45</f>
        <v>0</v>
      </c>
    </row>
    <row r="4267" spans="1:8" x14ac:dyDescent="0.2">
      <c r="A4267" s="1027"/>
      <c r="B4267" s="1083">
        <f>Risk_Compensation!A$1</f>
        <v>36</v>
      </c>
      <c r="C4267" s="1390" t="str">
        <f>Risk_Compensation!$B$1</f>
        <v xml:space="preserve">Risikoausgleich </v>
      </c>
      <c r="D4267" s="2205" t="s">
        <v>2572</v>
      </c>
      <c r="E4267" s="1390">
        <f>Risk_Compensation!$G46</f>
        <v>29</v>
      </c>
      <c r="F4267" s="1390" t="str">
        <f>Risk_Compensation!$U$17</f>
        <v>NW</v>
      </c>
      <c r="G4267" s="1390"/>
      <c r="H4267" s="1077">
        <f>Risk_Compensation!$U46</f>
        <v>0</v>
      </c>
    </row>
    <row r="4268" spans="1:8" x14ac:dyDescent="0.2">
      <c r="A4268" s="1027"/>
      <c r="B4268" s="1083">
        <f>Risk_Compensation!A$1</f>
        <v>36</v>
      </c>
      <c r="C4268" s="1390" t="str">
        <f>Risk_Compensation!$B$1</f>
        <v xml:space="preserve">Risikoausgleich </v>
      </c>
      <c r="D4268" s="2205" t="s">
        <v>2572</v>
      </c>
      <c r="E4268" s="1390">
        <f>Risk_Compensation!$G47</f>
        <v>30</v>
      </c>
      <c r="F4268" s="1390" t="str">
        <f>Risk_Compensation!$U$17</f>
        <v>NW</v>
      </c>
      <c r="G4268" s="1390"/>
      <c r="H4268" s="1077">
        <f>Risk_Compensation!$U47</f>
        <v>0</v>
      </c>
    </row>
    <row r="4269" spans="1:8" x14ac:dyDescent="0.2">
      <c r="A4269" s="1027"/>
      <c r="B4269" s="1083">
        <f>Risk_Compensation!A$1</f>
        <v>36</v>
      </c>
      <c r="C4269" s="1390" t="str">
        <f>Risk_Compensation!$B$1</f>
        <v xml:space="preserve">Risikoausgleich </v>
      </c>
      <c r="D4269" s="2205" t="s">
        <v>2572</v>
      </c>
      <c r="E4269" s="1390">
        <f>Risk_Compensation!$G48</f>
        <v>31</v>
      </c>
      <c r="F4269" s="1390" t="str">
        <f>Risk_Compensation!$U$17</f>
        <v>NW</v>
      </c>
      <c r="G4269" s="1390"/>
      <c r="H4269" s="1077">
        <f>Risk_Compensation!$U48</f>
        <v>0</v>
      </c>
    </row>
    <row r="4270" spans="1:8" x14ac:dyDescent="0.2">
      <c r="A4270" s="1027"/>
      <c r="B4270" s="1083">
        <f>Risk_Compensation!A$1</f>
        <v>36</v>
      </c>
      <c r="C4270" s="1390" t="str">
        <f>Risk_Compensation!$B$1</f>
        <v xml:space="preserve">Risikoausgleich </v>
      </c>
      <c r="D4270" s="2205" t="s">
        <v>2572</v>
      </c>
      <c r="E4270" s="1390">
        <f>Risk_Compensation!$G49</f>
        <v>32</v>
      </c>
      <c r="F4270" s="1390" t="str">
        <f>Risk_Compensation!$U$17</f>
        <v>NW</v>
      </c>
      <c r="G4270" s="1390"/>
      <c r="H4270" s="1077">
        <f>Risk_Compensation!$U49</f>
        <v>0</v>
      </c>
    </row>
    <row r="4271" spans="1:8" x14ac:dyDescent="0.2">
      <c r="A4271" s="1027"/>
      <c r="B4271" s="1083">
        <f>Risk_Compensation!A$1</f>
        <v>36</v>
      </c>
      <c r="C4271" s="1390" t="str">
        <f>Risk_Compensation!$B$1</f>
        <v xml:space="preserve">Risikoausgleich </v>
      </c>
      <c r="D4271" s="2205" t="s">
        <v>2572</v>
      </c>
      <c r="E4271" s="1390">
        <f>Risk_Compensation!$G50</f>
        <v>33</v>
      </c>
      <c r="F4271" s="1390" t="str">
        <f>Risk_Compensation!$U$17</f>
        <v>NW</v>
      </c>
      <c r="G4271" s="1390"/>
      <c r="H4271" s="1077">
        <f>Risk_Compensation!$U50</f>
        <v>0</v>
      </c>
    </row>
    <row r="4272" spans="1:8" x14ac:dyDescent="0.2">
      <c r="A4272" s="1027"/>
      <c r="B4272" s="1083">
        <f>Risk_Compensation!A$1</f>
        <v>36</v>
      </c>
      <c r="C4272" s="1390" t="str">
        <f>Risk_Compensation!$B$1</f>
        <v xml:space="preserve">Risikoausgleich </v>
      </c>
      <c r="D4272" s="2205" t="s">
        <v>2572</v>
      </c>
      <c r="E4272" s="1390">
        <f>Risk_Compensation!$G51</f>
        <v>34</v>
      </c>
      <c r="F4272" s="1390" t="str">
        <f>Risk_Compensation!$U$17</f>
        <v>NW</v>
      </c>
      <c r="G4272" s="1390"/>
      <c r="H4272" s="1077">
        <f>Risk_Compensation!$U51</f>
        <v>0</v>
      </c>
    </row>
    <row r="4273" spans="1:8" x14ac:dyDescent="0.2">
      <c r="A4273" s="1027"/>
      <c r="B4273" s="1083">
        <f>Risk_Compensation!A$1</f>
        <v>36</v>
      </c>
      <c r="C4273" s="1390" t="str">
        <f>Risk_Compensation!$B$1</f>
        <v xml:space="preserve">Risikoausgleich </v>
      </c>
      <c r="D4273" s="2205" t="s">
        <v>2572</v>
      </c>
      <c r="E4273" s="1390">
        <f>Risk_Compensation!$G52</f>
        <v>35</v>
      </c>
      <c r="F4273" s="1390" t="str">
        <f>Risk_Compensation!$U$17</f>
        <v>NW</v>
      </c>
      <c r="G4273" s="1390"/>
      <c r="H4273" s="1077">
        <f>Risk_Compensation!$U52</f>
        <v>0</v>
      </c>
    </row>
    <row r="4274" spans="1:8" x14ac:dyDescent="0.2">
      <c r="A4274" s="1027"/>
      <c r="B4274" s="1083">
        <f>Risk_Compensation!A$1</f>
        <v>36</v>
      </c>
      <c r="C4274" s="1390" t="str">
        <f>Risk_Compensation!$B$1</f>
        <v xml:space="preserve">Risikoausgleich </v>
      </c>
      <c r="D4274" s="2205" t="s">
        <v>2572</v>
      </c>
      <c r="E4274" s="1390">
        <f>Risk_Compensation!$G53</f>
        <v>36</v>
      </c>
      <c r="F4274" s="1390" t="str">
        <f>Risk_Compensation!$U$17</f>
        <v>NW</v>
      </c>
      <c r="G4274" s="1390"/>
      <c r="H4274" s="1077">
        <f>Risk_Compensation!$U53</f>
        <v>0</v>
      </c>
    </row>
    <row r="4275" spans="1:8" x14ac:dyDescent="0.2">
      <c r="A4275" s="1027"/>
      <c r="B4275" s="1083">
        <f>Risk_Compensation!A$1</f>
        <v>36</v>
      </c>
      <c r="C4275" s="1390" t="str">
        <f>Risk_Compensation!$B$1</f>
        <v xml:space="preserve">Risikoausgleich </v>
      </c>
      <c r="D4275" s="2205" t="s">
        <v>2572</v>
      </c>
      <c r="E4275" s="1390">
        <f>Risk_Compensation!$G54</f>
        <v>37</v>
      </c>
      <c r="F4275" s="1390" t="str">
        <f>Risk_Compensation!$U$17</f>
        <v>NW</v>
      </c>
      <c r="G4275" s="1390"/>
      <c r="H4275" s="1077">
        <f>Risk_Compensation!$U54</f>
        <v>0</v>
      </c>
    </row>
    <row r="4276" spans="1:8" x14ac:dyDescent="0.2">
      <c r="A4276" s="1027"/>
      <c r="B4276" s="1083">
        <f>Risk_Compensation!A$1</f>
        <v>36</v>
      </c>
      <c r="C4276" s="1390" t="str">
        <f>Risk_Compensation!$B$1</f>
        <v xml:space="preserve">Risikoausgleich </v>
      </c>
      <c r="D4276" s="2205" t="s">
        <v>2572</v>
      </c>
      <c r="E4276" s="1390">
        <f>Risk_Compensation!$G55</f>
        <v>38</v>
      </c>
      <c r="F4276" s="1390" t="str">
        <f>Risk_Compensation!$U$17</f>
        <v>NW</v>
      </c>
      <c r="G4276" s="1390"/>
      <c r="H4276" s="1077">
        <f>Risk_Compensation!$U55</f>
        <v>0</v>
      </c>
    </row>
    <row r="4277" spans="1:8" x14ac:dyDescent="0.2">
      <c r="A4277" s="1027"/>
      <c r="B4277" s="1083">
        <f>Risk_Compensation!A$1</f>
        <v>36</v>
      </c>
      <c r="C4277" s="1390" t="str">
        <f>Risk_Compensation!$B$1</f>
        <v xml:space="preserve">Risikoausgleich </v>
      </c>
      <c r="D4277" s="2205" t="s">
        <v>2572</v>
      </c>
      <c r="E4277" s="1390">
        <f>Risk_Compensation!$G56</f>
        <v>39</v>
      </c>
      <c r="F4277" s="1390" t="str">
        <f>Risk_Compensation!$U$17</f>
        <v>NW</v>
      </c>
      <c r="G4277" s="1390"/>
      <c r="H4277" s="1077">
        <f>Risk_Compensation!$U56</f>
        <v>0</v>
      </c>
    </row>
    <row r="4278" spans="1:8" x14ac:dyDescent="0.2">
      <c r="A4278" s="1027"/>
      <c r="B4278" s="1083">
        <f>Risk_Compensation!A$1</f>
        <v>36</v>
      </c>
      <c r="C4278" s="1390" t="str">
        <f>Risk_Compensation!$B$1</f>
        <v xml:space="preserve">Risikoausgleich </v>
      </c>
      <c r="D4278" s="2205" t="s">
        <v>2572</v>
      </c>
      <c r="E4278" s="1390">
        <f>Risk_Compensation!$G57</f>
        <v>40</v>
      </c>
      <c r="F4278" s="1390" t="str">
        <f>Risk_Compensation!$U$17</f>
        <v>NW</v>
      </c>
      <c r="G4278" s="1390"/>
      <c r="H4278" s="1077">
        <f>Risk_Compensation!$U57</f>
        <v>0</v>
      </c>
    </row>
    <row r="4279" spans="1:8" x14ac:dyDescent="0.2">
      <c r="A4279" s="1027"/>
      <c r="B4279" s="1083">
        <f>Risk_Compensation!A$1</f>
        <v>36</v>
      </c>
      <c r="C4279" s="1390" t="str">
        <f>Risk_Compensation!$B$1</f>
        <v xml:space="preserve">Risikoausgleich </v>
      </c>
      <c r="D4279" s="2205" t="s">
        <v>2572</v>
      </c>
      <c r="E4279" s="1390">
        <f>Risk_Compensation!$G58</f>
        <v>41</v>
      </c>
      <c r="F4279" s="1390" t="str">
        <f>Risk_Compensation!$U$17</f>
        <v>NW</v>
      </c>
      <c r="G4279" s="1390"/>
      <c r="H4279" s="1077">
        <f>Risk_Compensation!$U58</f>
        <v>0</v>
      </c>
    </row>
    <row r="4280" spans="1:8" x14ac:dyDescent="0.2">
      <c r="A4280" s="1027"/>
      <c r="B4280" s="1083">
        <f>Risk_Compensation!A$1</f>
        <v>36</v>
      </c>
      <c r="C4280" s="1390" t="str">
        <f>Risk_Compensation!$B$1</f>
        <v xml:space="preserve">Risikoausgleich </v>
      </c>
      <c r="D4280" s="2205" t="s">
        <v>2572</v>
      </c>
      <c r="E4280" s="1390">
        <f>Risk_Compensation!$G59</f>
        <v>42</v>
      </c>
      <c r="F4280" s="1390" t="str">
        <f>Risk_Compensation!$U$17</f>
        <v>NW</v>
      </c>
      <c r="G4280" s="1390"/>
      <c r="H4280" s="1077">
        <f>Risk_Compensation!$U59</f>
        <v>0</v>
      </c>
    </row>
    <row r="4281" spans="1:8" x14ac:dyDescent="0.2">
      <c r="A4281" s="1027"/>
      <c r="B4281" s="1083">
        <f>Risk_Compensation!A$1</f>
        <v>36</v>
      </c>
      <c r="C4281" s="1390" t="str">
        <f>Risk_Compensation!$B$1</f>
        <v xml:space="preserve">Risikoausgleich </v>
      </c>
      <c r="D4281" s="2205" t="s">
        <v>2572</v>
      </c>
      <c r="E4281" s="1390">
        <f>Risk_Compensation!$G60</f>
        <v>43</v>
      </c>
      <c r="F4281" s="1390" t="str">
        <f>Risk_Compensation!$U$17</f>
        <v>NW</v>
      </c>
      <c r="G4281" s="1390"/>
      <c r="H4281" s="1077">
        <f>Risk_Compensation!$U60</f>
        <v>0</v>
      </c>
    </row>
    <row r="4282" spans="1:8" x14ac:dyDescent="0.2">
      <c r="A4282" s="1027"/>
      <c r="B4282" s="1083">
        <f>Risk_Compensation!A$1</f>
        <v>36</v>
      </c>
      <c r="C4282" s="1390" t="str">
        <f>Risk_Compensation!$B$1</f>
        <v xml:space="preserve">Risikoausgleich </v>
      </c>
      <c r="D4282" s="2205" t="s">
        <v>2572</v>
      </c>
      <c r="E4282" s="1390">
        <f>Risk_Compensation!$G61</f>
        <v>44</v>
      </c>
      <c r="F4282" s="1390" t="str">
        <f>Risk_Compensation!$U$17</f>
        <v>NW</v>
      </c>
      <c r="G4282" s="1390"/>
      <c r="H4282" s="1077">
        <f>Risk_Compensation!$U61</f>
        <v>0</v>
      </c>
    </row>
    <row r="4283" spans="1:8" x14ac:dyDescent="0.2">
      <c r="A4283" s="1027"/>
      <c r="B4283" s="1083">
        <f>Risk_Compensation!A$1</f>
        <v>36</v>
      </c>
      <c r="C4283" s="1390" t="str">
        <f>Risk_Compensation!$B$1</f>
        <v xml:space="preserve">Risikoausgleich </v>
      </c>
      <c r="D4283" s="2205" t="s">
        <v>2572</v>
      </c>
      <c r="E4283" s="1390">
        <f>Risk_Compensation!$G62</f>
        <v>45</v>
      </c>
      <c r="F4283" s="1390" t="str">
        <f>Risk_Compensation!$U$17</f>
        <v>NW</v>
      </c>
      <c r="G4283" s="1390"/>
      <c r="H4283" s="1077">
        <f>Risk_Compensation!$U62</f>
        <v>0</v>
      </c>
    </row>
    <row r="4284" spans="1:8" x14ac:dyDescent="0.2">
      <c r="A4284" s="1027"/>
      <c r="B4284" s="1083">
        <f>Risk_Compensation!A$1</f>
        <v>36</v>
      </c>
      <c r="C4284" s="1390" t="str">
        <f>Risk_Compensation!$B$1</f>
        <v xml:space="preserve">Risikoausgleich </v>
      </c>
      <c r="D4284" s="2205" t="s">
        <v>2572</v>
      </c>
      <c r="E4284" s="1390">
        <f>Risk_Compensation!$G63</f>
        <v>46</v>
      </c>
      <c r="F4284" s="1390" t="str">
        <f>Risk_Compensation!$U$17</f>
        <v>NW</v>
      </c>
      <c r="G4284" s="1390"/>
      <c r="H4284" s="1077">
        <f>Risk_Compensation!$U63</f>
        <v>0</v>
      </c>
    </row>
    <row r="4285" spans="1:8" x14ac:dyDescent="0.2">
      <c r="A4285" s="1027"/>
      <c r="B4285" s="1083">
        <f>Risk_Compensation!A$1</f>
        <v>36</v>
      </c>
      <c r="C4285" s="1390" t="str">
        <f>Risk_Compensation!$B$1</f>
        <v xml:space="preserve">Risikoausgleich </v>
      </c>
      <c r="D4285" s="2205" t="s">
        <v>2572</v>
      </c>
      <c r="E4285" s="1390">
        <f>Risk_Compensation!$G64</f>
        <v>47</v>
      </c>
      <c r="F4285" s="1390" t="str">
        <f>Risk_Compensation!$U$17</f>
        <v>NW</v>
      </c>
      <c r="G4285" s="1390"/>
      <c r="H4285" s="1077">
        <f>Risk_Compensation!$U64</f>
        <v>0</v>
      </c>
    </row>
    <row r="4286" spans="1:8" x14ac:dyDescent="0.2">
      <c r="A4286" s="1027"/>
      <c r="B4286" s="1083">
        <f>Risk_Compensation!A$1</f>
        <v>36</v>
      </c>
      <c r="C4286" s="1390" t="str">
        <f>Risk_Compensation!$B$1</f>
        <v xml:space="preserve">Risikoausgleich </v>
      </c>
      <c r="D4286" s="2205" t="s">
        <v>2572</v>
      </c>
      <c r="E4286" s="1390">
        <f>Risk_Compensation!$G65</f>
        <v>48</v>
      </c>
      <c r="F4286" s="1390" t="str">
        <f>Risk_Compensation!$U$17</f>
        <v>NW</v>
      </c>
      <c r="G4286" s="1390"/>
      <c r="H4286" s="1077">
        <f>Risk_Compensation!$U65</f>
        <v>0</v>
      </c>
    </row>
    <row r="4287" spans="1:8" x14ac:dyDescent="0.2">
      <c r="A4287" s="1027"/>
      <c r="B4287" s="1083">
        <f>Risk_Compensation!A$1</f>
        <v>36</v>
      </c>
      <c r="C4287" s="1390" t="str">
        <f>Risk_Compensation!$B$1</f>
        <v xml:space="preserve">Risikoausgleich </v>
      </c>
      <c r="D4287" s="2205" t="s">
        <v>2572</v>
      </c>
      <c r="E4287" s="1390">
        <f>Risk_Compensation!$G66</f>
        <v>49</v>
      </c>
      <c r="F4287" s="1390" t="str">
        <f>Risk_Compensation!$U$17</f>
        <v>NW</v>
      </c>
      <c r="G4287" s="1390"/>
      <c r="H4287" s="1077">
        <f>Risk_Compensation!$U66</f>
        <v>0</v>
      </c>
    </row>
    <row r="4288" spans="1:8" x14ac:dyDescent="0.2">
      <c r="A4288" s="1027"/>
      <c r="B4288" s="1083">
        <f>Risk_Compensation!A$1</f>
        <v>36</v>
      </c>
      <c r="C4288" s="1390" t="str">
        <f>Risk_Compensation!$B$1</f>
        <v xml:space="preserve">Risikoausgleich </v>
      </c>
      <c r="D4288" s="2205" t="s">
        <v>2572</v>
      </c>
      <c r="E4288" s="1390">
        <f>Risk_Compensation!$G67</f>
        <v>50</v>
      </c>
      <c r="F4288" s="1390" t="str">
        <f>Risk_Compensation!$U$17</f>
        <v>NW</v>
      </c>
      <c r="G4288" s="1390"/>
      <c r="H4288" s="1077">
        <f>Risk_Compensation!$U67</f>
        <v>0</v>
      </c>
    </row>
    <row r="4289" spans="1:8" x14ac:dyDescent="0.2">
      <c r="A4289" s="1027"/>
      <c r="B4289" s="1083">
        <f>Risk_Compensation!A$1</f>
        <v>36</v>
      </c>
      <c r="C4289" s="1390" t="str">
        <f>Risk_Compensation!$B$1</f>
        <v xml:space="preserve">Risikoausgleich </v>
      </c>
      <c r="D4289" s="2205" t="s">
        <v>2572</v>
      </c>
      <c r="E4289" s="1390">
        <f>Risk_Compensation!$G68</f>
        <v>51</v>
      </c>
      <c r="F4289" s="1390" t="str">
        <f>Risk_Compensation!$U$17</f>
        <v>NW</v>
      </c>
      <c r="G4289" s="1390"/>
      <c r="H4289" s="1077">
        <f>Risk_Compensation!$U68</f>
        <v>0</v>
      </c>
    </row>
    <row r="4290" spans="1:8" x14ac:dyDescent="0.2">
      <c r="A4290" s="1027"/>
      <c r="B4290" s="1083">
        <f>Risk_Compensation!A$1</f>
        <v>36</v>
      </c>
      <c r="C4290" s="1390" t="str">
        <f>Risk_Compensation!$B$1</f>
        <v xml:space="preserve">Risikoausgleich </v>
      </c>
      <c r="D4290" s="2205" t="s">
        <v>2572</v>
      </c>
      <c r="E4290" s="1390">
        <f>Risk_Compensation!$G69</f>
        <v>52</v>
      </c>
      <c r="F4290" s="1390" t="str">
        <f>Risk_Compensation!$U$17</f>
        <v>NW</v>
      </c>
      <c r="G4290" s="1390"/>
      <c r="H4290" s="1077">
        <f>Risk_Compensation!$U69</f>
        <v>0</v>
      </c>
    </row>
    <row r="4291" spans="1:8" x14ac:dyDescent="0.2">
      <c r="A4291" s="1027"/>
      <c r="B4291" s="1083">
        <f>Risk_Compensation!A$1</f>
        <v>36</v>
      </c>
      <c r="C4291" s="1390" t="str">
        <f>Risk_Compensation!$B$1</f>
        <v xml:space="preserve">Risikoausgleich </v>
      </c>
      <c r="D4291" s="2205" t="s">
        <v>2572</v>
      </c>
      <c r="E4291" s="1390">
        <f>Risk_Compensation!$G70</f>
        <v>53</v>
      </c>
      <c r="F4291" s="1390" t="str">
        <f>Risk_Compensation!$U$17</f>
        <v>NW</v>
      </c>
      <c r="G4291" s="1390"/>
      <c r="H4291" s="1077">
        <f>Risk_Compensation!$U70</f>
        <v>0</v>
      </c>
    </row>
    <row r="4292" spans="1:8" x14ac:dyDescent="0.2">
      <c r="A4292" s="1027"/>
      <c r="B4292" s="1083">
        <f>Risk_Compensation!A$1</f>
        <v>36</v>
      </c>
      <c r="C4292" s="1390" t="str">
        <f>Risk_Compensation!$B$1</f>
        <v xml:space="preserve">Risikoausgleich </v>
      </c>
      <c r="D4292" s="2205" t="s">
        <v>2572</v>
      </c>
      <c r="E4292" s="1390">
        <f>Risk_Compensation!$G71</f>
        <v>54</v>
      </c>
      <c r="F4292" s="1390" t="str">
        <f>Risk_Compensation!$U$17</f>
        <v>NW</v>
      </c>
      <c r="G4292" s="1390"/>
      <c r="H4292" s="1077">
        <f>Risk_Compensation!$U71</f>
        <v>0</v>
      </c>
    </row>
    <row r="4293" spans="1:8" x14ac:dyDescent="0.2">
      <c r="A4293" s="1027"/>
      <c r="B4293" s="1083">
        <f>Risk_Compensation!A$1</f>
        <v>36</v>
      </c>
      <c r="C4293" s="1390" t="str">
        <f>Risk_Compensation!$B$1</f>
        <v xml:space="preserve">Risikoausgleich </v>
      </c>
      <c r="D4293" s="2205" t="s">
        <v>2572</v>
      </c>
      <c r="E4293" s="1390">
        <f>Risk_Compensation!$G72</f>
        <v>55</v>
      </c>
      <c r="F4293" s="1390" t="str">
        <f>Risk_Compensation!$U$17</f>
        <v>NW</v>
      </c>
      <c r="G4293" s="1390"/>
      <c r="H4293" s="1077">
        <f>Risk_Compensation!$U72</f>
        <v>0</v>
      </c>
    </row>
    <row r="4294" spans="1:8" x14ac:dyDescent="0.2">
      <c r="A4294" s="1027"/>
      <c r="B4294" s="1083">
        <f>Risk_Compensation!A$1</f>
        <v>36</v>
      </c>
      <c r="C4294" s="1390" t="str">
        <f>Risk_Compensation!$B$1</f>
        <v xml:space="preserve">Risikoausgleich </v>
      </c>
      <c r="D4294" s="2205" t="s">
        <v>2572</v>
      </c>
      <c r="E4294" s="1390">
        <f>Risk_Compensation!$G73</f>
        <v>56</v>
      </c>
      <c r="F4294" s="1390" t="str">
        <f>Risk_Compensation!$U$17</f>
        <v>NW</v>
      </c>
      <c r="G4294" s="1390"/>
      <c r="H4294" s="1077">
        <f>Risk_Compensation!$U73</f>
        <v>0</v>
      </c>
    </row>
    <row r="4295" spans="1:8" x14ac:dyDescent="0.2">
      <c r="A4295" s="1027"/>
      <c r="B4295" s="1083">
        <f>Risk_Compensation!A$1</f>
        <v>36</v>
      </c>
      <c r="C4295" s="1390" t="str">
        <f>Risk_Compensation!$B$1</f>
        <v xml:space="preserve">Risikoausgleich </v>
      </c>
      <c r="D4295" s="2205" t="s">
        <v>2572</v>
      </c>
      <c r="E4295" s="1390">
        <f>Risk_Compensation!$G74</f>
        <v>57</v>
      </c>
      <c r="F4295" s="1390" t="str">
        <f>Risk_Compensation!$U$17</f>
        <v>NW</v>
      </c>
      <c r="G4295" s="1390"/>
      <c r="H4295" s="1077">
        <f>Risk_Compensation!$U74</f>
        <v>0</v>
      </c>
    </row>
    <row r="4296" spans="1:8" x14ac:dyDescent="0.2">
      <c r="A4296" s="1027"/>
      <c r="B4296" s="1083">
        <f>Risk_Compensation!A$1</f>
        <v>36</v>
      </c>
      <c r="C4296" s="1390" t="str">
        <f>Risk_Compensation!$B$1</f>
        <v xml:space="preserve">Risikoausgleich </v>
      </c>
      <c r="D4296" s="2205" t="s">
        <v>2572</v>
      </c>
      <c r="E4296" s="1390">
        <f>Risk_Compensation!$G75</f>
        <v>58</v>
      </c>
      <c r="F4296" s="1390" t="str">
        <f>Risk_Compensation!$U$17</f>
        <v>NW</v>
      </c>
      <c r="G4296" s="1390"/>
      <c r="H4296" s="1077">
        <f>Risk_Compensation!$U75</f>
        <v>0</v>
      </c>
    </row>
    <row r="4297" spans="1:8" x14ac:dyDescent="0.2">
      <c r="A4297" s="1027"/>
      <c r="B4297" s="1083">
        <f>Risk_Compensation!A$1</f>
        <v>36</v>
      </c>
      <c r="C4297" s="1390" t="str">
        <f>Risk_Compensation!$B$1</f>
        <v xml:space="preserve">Risikoausgleich </v>
      </c>
      <c r="D4297" s="2205" t="s">
        <v>2572</v>
      </c>
      <c r="E4297" s="1390">
        <f>Risk_Compensation!$G76</f>
        <v>59</v>
      </c>
      <c r="F4297" s="1390" t="str">
        <f>Risk_Compensation!$U$17</f>
        <v>NW</v>
      </c>
      <c r="G4297" s="1390"/>
      <c r="H4297" s="1077">
        <f>Risk_Compensation!$U76</f>
        <v>0</v>
      </c>
    </row>
    <row r="4298" spans="1:8" x14ac:dyDescent="0.2">
      <c r="A4298" s="1027"/>
      <c r="B4298" s="1083">
        <f>Risk_Compensation!A$1</f>
        <v>36</v>
      </c>
      <c r="C4298" s="1390" t="str">
        <f>Risk_Compensation!$B$1</f>
        <v xml:space="preserve">Risikoausgleich </v>
      </c>
      <c r="D4298" s="2205" t="s">
        <v>2572</v>
      </c>
      <c r="E4298" s="1390">
        <f>Risk_Compensation!$G77</f>
        <v>60</v>
      </c>
      <c r="F4298" s="1390" t="str">
        <f>Risk_Compensation!$U$17</f>
        <v>NW</v>
      </c>
      <c r="G4298" s="1390"/>
      <c r="H4298" s="1077">
        <f>Risk_Compensation!$U77</f>
        <v>0</v>
      </c>
    </row>
    <row r="4299" spans="1:8" x14ac:dyDescent="0.2">
      <c r="A4299" s="1027"/>
      <c r="B4299" s="2174"/>
      <c r="C4299" s="1390"/>
      <c r="D4299" s="2175"/>
      <c r="E4299" s="2176"/>
      <c r="F4299" s="1390"/>
      <c r="G4299" s="1390"/>
      <c r="H4299" s="1078"/>
    </row>
    <row r="4300" spans="1:8" x14ac:dyDescent="0.2">
      <c r="A4300" s="1027"/>
      <c r="B4300" s="1083">
        <f>Risk_Compensation!A$1</f>
        <v>36</v>
      </c>
      <c r="C4300" s="1390" t="str">
        <f>Risk_Compensation!$B$1</f>
        <v xml:space="preserve">Risikoausgleich </v>
      </c>
      <c r="D4300" s="2205" t="s">
        <v>2572</v>
      </c>
      <c r="E4300" s="1390">
        <f>Risk_Compensation!$G18</f>
        <v>1</v>
      </c>
      <c r="F4300" s="1390" t="str">
        <f>Risk_Compensation!$V$17</f>
        <v>OW</v>
      </c>
      <c r="G4300" s="1390"/>
      <c r="H4300" s="1077">
        <f>Risk_Compensation!$V18</f>
        <v>0</v>
      </c>
    </row>
    <row r="4301" spans="1:8" x14ac:dyDescent="0.2">
      <c r="A4301" s="1027"/>
      <c r="B4301" s="1083">
        <f>Risk_Compensation!A$1</f>
        <v>36</v>
      </c>
      <c r="C4301" s="1390" t="str">
        <f>Risk_Compensation!$B$1</f>
        <v xml:space="preserve">Risikoausgleich </v>
      </c>
      <c r="D4301" s="2205" t="s">
        <v>2572</v>
      </c>
      <c r="E4301" s="1390">
        <f>Risk_Compensation!$G19</f>
        <v>2</v>
      </c>
      <c r="F4301" s="1390" t="str">
        <f>Risk_Compensation!$V$17</f>
        <v>OW</v>
      </c>
      <c r="G4301" s="1390"/>
      <c r="H4301" s="1077">
        <f>Risk_Compensation!$V19</f>
        <v>0</v>
      </c>
    </row>
    <row r="4302" spans="1:8" x14ac:dyDescent="0.2">
      <c r="A4302" s="1027"/>
      <c r="B4302" s="1083">
        <f>Risk_Compensation!A$1</f>
        <v>36</v>
      </c>
      <c r="C4302" s="1390" t="str">
        <f>Risk_Compensation!$B$1</f>
        <v xml:space="preserve">Risikoausgleich </v>
      </c>
      <c r="D4302" s="2205" t="s">
        <v>2572</v>
      </c>
      <c r="E4302" s="1390">
        <f>Risk_Compensation!$G20</f>
        <v>3</v>
      </c>
      <c r="F4302" s="1390" t="str">
        <f>Risk_Compensation!$V$17</f>
        <v>OW</v>
      </c>
      <c r="G4302" s="1390"/>
      <c r="H4302" s="1077">
        <f>Risk_Compensation!$V20</f>
        <v>0</v>
      </c>
    </row>
    <row r="4303" spans="1:8" x14ac:dyDescent="0.2">
      <c r="A4303" s="1027"/>
      <c r="B4303" s="1083">
        <f>Risk_Compensation!A$1</f>
        <v>36</v>
      </c>
      <c r="C4303" s="1390" t="str">
        <f>Risk_Compensation!$B$1</f>
        <v xml:space="preserve">Risikoausgleich </v>
      </c>
      <c r="D4303" s="2205" t="s">
        <v>2572</v>
      </c>
      <c r="E4303" s="1390">
        <f>Risk_Compensation!$G21</f>
        <v>4</v>
      </c>
      <c r="F4303" s="1390" t="str">
        <f>Risk_Compensation!$V$17</f>
        <v>OW</v>
      </c>
      <c r="G4303" s="1390"/>
      <c r="H4303" s="1077">
        <f>Risk_Compensation!$V21</f>
        <v>0</v>
      </c>
    </row>
    <row r="4304" spans="1:8" x14ac:dyDescent="0.2">
      <c r="A4304" s="1027"/>
      <c r="B4304" s="1083">
        <f>Risk_Compensation!A$1</f>
        <v>36</v>
      </c>
      <c r="C4304" s="1390" t="str">
        <f>Risk_Compensation!$B$1</f>
        <v xml:space="preserve">Risikoausgleich </v>
      </c>
      <c r="D4304" s="2205" t="s">
        <v>2572</v>
      </c>
      <c r="E4304" s="1390">
        <f>Risk_Compensation!$G22</f>
        <v>5</v>
      </c>
      <c r="F4304" s="1390" t="str">
        <f>Risk_Compensation!$V$17</f>
        <v>OW</v>
      </c>
      <c r="G4304" s="1390"/>
      <c r="H4304" s="1077">
        <f>Risk_Compensation!$V22</f>
        <v>0</v>
      </c>
    </row>
    <row r="4305" spans="1:8" x14ac:dyDescent="0.2">
      <c r="A4305" s="1027"/>
      <c r="B4305" s="1083">
        <f>Risk_Compensation!A$1</f>
        <v>36</v>
      </c>
      <c r="C4305" s="1390" t="str">
        <f>Risk_Compensation!$B$1</f>
        <v xml:space="preserve">Risikoausgleich </v>
      </c>
      <c r="D4305" s="2205" t="s">
        <v>2572</v>
      </c>
      <c r="E4305" s="1390">
        <f>Risk_Compensation!$G23</f>
        <v>6</v>
      </c>
      <c r="F4305" s="1390" t="str">
        <f>Risk_Compensation!$V$17</f>
        <v>OW</v>
      </c>
      <c r="G4305" s="1390"/>
      <c r="H4305" s="1077">
        <f>Risk_Compensation!$V23</f>
        <v>0</v>
      </c>
    </row>
    <row r="4306" spans="1:8" x14ac:dyDescent="0.2">
      <c r="A4306" s="1027"/>
      <c r="B4306" s="1083">
        <f>Risk_Compensation!A$1</f>
        <v>36</v>
      </c>
      <c r="C4306" s="1390" t="str">
        <f>Risk_Compensation!$B$1</f>
        <v xml:space="preserve">Risikoausgleich </v>
      </c>
      <c r="D4306" s="2205" t="s">
        <v>2572</v>
      </c>
      <c r="E4306" s="1390">
        <f>Risk_Compensation!$G24</f>
        <v>7</v>
      </c>
      <c r="F4306" s="1390" t="str">
        <f>Risk_Compensation!$V$17</f>
        <v>OW</v>
      </c>
      <c r="G4306" s="1390"/>
      <c r="H4306" s="1077">
        <f>Risk_Compensation!$V24</f>
        <v>0</v>
      </c>
    </row>
    <row r="4307" spans="1:8" x14ac:dyDescent="0.2">
      <c r="A4307" s="1027"/>
      <c r="B4307" s="1083">
        <f>Risk_Compensation!A$1</f>
        <v>36</v>
      </c>
      <c r="C4307" s="1390" t="str">
        <f>Risk_Compensation!$B$1</f>
        <v xml:space="preserve">Risikoausgleich </v>
      </c>
      <c r="D4307" s="2205" t="s">
        <v>2572</v>
      </c>
      <c r="E4307" s="1390">
        <f>Risk_Compensation!$G25</f>
        <v>8</v>
      </c>
      <c r="F4307" s="1390" t="str">
        <f>Risk_Compensation!$V$17</f>
        <v>OW</v>
      </c>
      <c r="G4307" s="1390"/>
      <c r="H4307" s="1077">
        <f>Risk_Compensation!$V25</f>
        <v>0</v>
      </c>
    </row>
    <row r="4308" spans="1:8" x14ac:dyDescent="0.2">
      <c r="A4308" s="1027"/>
      <c r="B4308" s="1083">
        <f>Risk_Compensation!A$1</f>
        <v>36</v>
      </c>
      <c r="C4308" s="1390" t="str">
        <f>Risk_Compensation!$B$1</f>
        <v xml:space="preserve">Risikoausgleich </v>
      </c>
      <c r="D4308" s="2205" t="s">
        <v>2572</v>
      </c>
      <c r="E4308" s="1390">
        <f>Risk_Compensation!$G26</f>
        <v>9</v>
      </c>
      <c r="F4308" s="1390" t="str">
        <f>Risk_Compensation!$V$17</f>
        <v>OW</v>
      </c>
      <c r="G4308" s="1390"/>
      <c r="H4308" s="1077">
        <f>Risk_Compensation!$V26</f>
        <v>0</v>
      </c>
    </row>
    <row r="4309" spans="1:8" x14ac:dyDescent="0.2">
      <c r="A4309" s="1027"/>
      <c r="B4309" s="1083">
        <f>Risk_Compensation!A$1</f>
        <v>36</v>
      </c>
      <c r="C4309" s="1390" t="str">
        <f>Risk_Compensation!$B$1</f>
        <v xml:space="preserve">Risikoausgleich </v>
      </c>
      <c r="D4309" s="2205" t="s">
        <v>2572</v>
      </c>
      <c r="E4309" s="1390">
        <f>Risk_Compensation!$G27</f>
        <v>10</v>
      </c>
      <c r="F4309" s="1390" t="str">
        <f>Risk_Compensation!$V$17</f>
        <v>OW</v>
      </c>
      <c r="G4309" s="1390"/>
      <c r="H4309" s="1077">
        <f>Risk_Compensation!$V27</f>
        <v>0</v>
      </c>
    </row>
    <row r="4310" spans="1:8" x14ac:dyDescent="0.2">
      <c r="A4310" s="1027"/>
      <c r="B4310" s="1083">
        <f>Risk_Compensation!A$1</f>
        <v>36</v>
      </c>
      <c r="C4310" s="1390" t="str">
        <f>Risk_Compensation!$B$1</f>
        <v xml:space="preserve">Risikoausgleich </v>
      </c>
      <c r="D4310" s="2205" t="s">
        <v>2572</v>
      </c>
      <c r="E4310" s="1390">
        <f>Risk_Compensation!$G28</f>
        <v>11</v>
      </c>
      <c r="F4310" s="1390" t="str">
        <f>Risk_Compensation!$V$17</f>
        <v>OW</v>
      </c>
      <c r="G4310" s="1390"/>
      <c r="H4310" s="1077">
        <f>Risk_Compensation!$V28</f>
        <v>0</v>
      </c>
    </row>
    <row r="4311" spans="1:8" x14ac:dyDescent="0.2">
      <c r="A4311" s="1027"/>
      <c r="B4311" s="1083">
        <f>Risk_Compensation!A$1</f>
        <v>36</v>
      </c>
      <c r="C4311" s="1390" t="str">
        <f>Risk_Compensation!$B$1</f>
        <v xml:space="preserve">Risikoausgleich </v>
      </c>
      <c r="D4311" s="2205" t="s">
        <v>2572</v>
      </c>
      <c r="E4311" s="1390">
        <f>Risk_Compensation!$G29</f>
        <v>12</v>
      </c>
      <c r="F4311" s="1390" t="str">
        <f>Risk_Compensation!$V$17</f>
        <v>OW</v>
      </c>
      <c r="G4311" s="1390"/>
      <c r="H4311" s="1077">
        <f>Risk_Compensation!$V29</f>
        <v>0</v>
      </c>
    </row>
    <row r="4312" spans="1:8" x14ac:dyDescent="0.2">
      <c r="A4312" s="1027"/>
      <c r="B4312" s="1083">
        <f>Risk_Compensation!A$1</f>
        <v>36</v>
      </c>
      <c r="C4312" s="1390" t="str">
        <f>Risk_Compensation!$B$1</f>
        <v xml:space="preserve">Risikoausgleich </v>
      </c>
      <c r="D4312" s="2205" t="s">
        <v>2572</v>
      </c>
      <c r="E4312" s="1390">
        <f>Risk_Compensation!$G30</f>
        <v>13</v>
      </c>
      <c r="F4312" s="1390" t="str">
        <f>Risk_Compensation!$V$17</f>
        <v>OW</v>
      </c>
      <c r="G4312" s="1390"/>
      <c r="H4312" s="1077">
        <f>Risk_Compensation!$V30</f>
        <v>0</v>
      </c>
    </row>
    <row r="4313" spans="1:8" x14ac:dyDescent="0.2">
      <c r="A4313" s="1027"/>
      <c r="B4313" s="1083">
        <f>Risk_Compensation!A$1</f>
        <v>36</v>
      </c>
      <c r="C4313" s="1390" t="str">
        <f>Risk_Compensation!$B$1</f>
        <v xml:space="preserve">Risikoausgleich </v>
      </c>
      <c r="D4313" s="2205" t="s">
        <v>2572</v>
      </c>
      <c r="E4313" s="1390">
        <f>Risk_Compensation!$G31</f>
        <v>14</v>
      </c>
      <c r="F4313" s="1390" t="str">
        <f>Risk_Compensation!$V$17</f>
        <v>OW</v>
      </c>
      <c r="G4313" s="1390"/>
      <c r="H4313" s="1077">
        <f>Risk_Compensation!$V31</f>
        <v>0</v>
      </c>
    </row>
    <row r="4314" spans="1:8" x14ac:dyDescent="0.2">
      <c r="A4314" s="1027"/>
      <c r="B4314" s="1083">
        <f>Risk_Compensation!A$1</f>
        <v>36</v>
      </c>
      <c r="C4314" s="1390" t="str">
        <f>Risk_Compensation!$B$1</f>
        <v xml:space="preserve">Risikoausgleich </v>
      </c>
      <c r="D4314" s="2205" t="s">
        <v>2572</v>
      </c>
      <c r="E4314" s="1390">
        <f>Risk_Compensation!$G32</f>
        <v>15</v>
      </c>
      <c r="F4314" s="1390" t="str">
        <f>Risk_Compensation!$V$17</f>
        <v>OW</v>
      </c>
      <c r="G4314" s="1390"/>
      <c r="H4314" s="1077">
        <f>Risk_Compensation!$V32</f>
        <v>0</v>
      </c>
    </row>
    <row r="4315" spans="1:8" x14ac:dyDescent="0.2">
      <c r="A4315" s="1027"/>
      <c r="B4315" s="1083">
        <f>Risk_Compensation!A$1</f>
        <v>36</v>
      </c>
      <c r="C4315" s="1390" t="str">
        <f>Risk_Compensation!$B$1</f>
        <v xml:space="preserve">Risikoausgleich </v>
      </c>
      <c r="D4315" s="2205" t="s">
        <v>2572</v>
      </c>
      <c r="E4315" s="1390">
        <f>Risk_Compensation!$G33</f>
        <v>16</v>
      </c>
      <c r="F4315" s="1390" t="str">
        <f>Risk_Compensation!$V$17</f>
        <v>OW</v>
      </c>
      <c r="G4315" s="1390"/>
      <c r="H4315" s="1077">
        <f>Risk_Compensation!$V33</f>
        <v>0</v>
      </c>
    </row>
    <row r="4316" spans="1:8" x14ac:dyDescent="0.2">
      <c r="A4316" s="1027"/>
      <c r="B4316" s="1083">
        <f>Risk_Compensation!A$1</f>
        <v>36</v>
      </c>
      <c r="C4316" s="1390" t="str">
        <f>Risk_Compensation!$B$1</f>
        <v xml:space="preserve">Risikoausgleich </v>
      </c>
      <c r="D4316" s="2205" t="s">
        <v>2572</v>
      </c>
      <c r="E4316" s="1390">
        <f>Risk_Compensation!$G34</f>
        <v>17</v>
      </c>
      <c r="F4316" s="1390" t="str">
        <f>Risk_Compensation!$V$17</f>
        <v>OW</v>
      </c>
      <c r="G4316" s="1390"/>
      <c r="H4316" s="1077">
        <f>Risk_Compensation!$V34</f>
        <v>0</v>
      </c>
    </row>
    <row r="4317" spans="1:8" x14ac:dyDescent="0.2">
      <c r="A4317" s="1027"/>
      <c r="B4317" s="1083">
        <f>Risk_Compensation!A$1</f>
        <v>36</v>
      </c>
      <c r="C4317" s="1390" t="str">
        <f>Risk_Compensation!$B$1</f>
        <v xml:space="preserve">Risikoausgleich </v>
      </c>
      <c r="D4317" s="2205" t="s">
        <v>2572</v>
      </c>
      <c r="E4317" s="1390">
        <f>Risk_Compensation!$G35</f>
        <v>18</v>
      </c>
      <c r="F4317" s="1390" t="str">
        <f>Risk_Compensation!$V$17</f>
        <v>OW</v>
      </c>
      <c r="G4317" s="1390"/>
      <c r="H4317" s="1077">
        <f>Risk_Compensation!$V35</f>
        <v>0</v>
      </c>
    </row>
    <row r="4318" spans="1:8" x14ac:dyDescent="0.2">
      <c r="A4318" s="1027"/>
      <c r="B4318" s="1083">
        <f>Risk_Compensation!A$1</f>
        <v>36</v>
      </c>
      <c r="C4318" s="1390" t="str">
        <f>Risk_Compensation!$B$1</f>
        <v xml:space="preserve">Risikoausgleich </v>
      </c>
      <c r="D4318" s="2205" t="s">
        <v>2572</v>
      </c>
      <c r="E4318" s="1390">
        <f>Risk_Compensation!$G36</f>
        <v>19</v>
      </c>
      <c r="F4318" s="1390" t="str">
        <f>Risk_Compensation!$V$17</f>
        <v>OW</v>
      </c>
      <c r="G4318" s="1390"/>
      <c r="H4318" s="1077">
        <f>Risk_Compensation!$V36</f>
        <v>0</v>
      </c>
    </row>
    <row r="4319" spans="1:8" x14ac:dyDescent="0.2">
      <c r="A4319" s="1027"/>
      <c r="B4319" s="1083">
        <f>Risk_Compensation!A$1</f>
        <v>36</v>
      </c>
      <c r="C4319" s="1390" t="str">
        <f>Risk_Compensation!$B$1</f>
        <v xml:space="preserve">Risikoausgleich </v>
      </c>
      <c r="D4319" s="2205" t="s">
        <v>2572</v>
      </c>
      <c r="E4319" s="1390">
        <f>Risk_Compensation!$G37</f>
        <v>20</v>
      </c>
      <c r="F4319" s="1390" t="str">
        <f>Risk_Compensation!$V$17</f>
        <v>OW</v>
      </c>
      <c r="G4319" s="1390"/>
      <c r="H4319" s="1077">
        <f>Risk_Compensation!$V37</f>
        <v>0</v>
      </c>
    </row>
    <row r="4320" spans="1:8" x14ac:dyDescent="0.2">
      <c r="A4320" s="1027"/>
      <c r="B4320" s="1083">
        <f>Risk_Compensation!A$1</f>
        <v>36</v>
      </c>
      <c r="C4320" s="1390" t="str">
        <f>Risk_Compensation!$B$1</f>
        <v xml:space="preserve">Risikoausgleich </v>
      </c>
      <c r="D4320" s="2205" t="s">
        <v>2572</v>
      </c>
      <c r="E4320" s="1390">
        <f>Risk_Compensation!$G38</f>
        <v>21</v>
      </c>
      <c r="F4320" s="1390" t="str">
        <f>Risk_Compensation!$V$17</f>
        <v>OW</v>
      </c>
      <c r="G4320" s="1390"/>
      <c r="H4320" s="1077">
        <f>Risk_Compensation!$V38</f>
        <v>0</v>
      </c>
    </row>
    <row r="4321" spans="1:8" x14ac:dyDescent="0.2">
      <c r="A4321" s="1027"/>
      <c r="B4321" s="1083">
        <f>Risk_Compensation!A$1</f>
        <v>36</v>
      </c>
      <c r="C4321" s="1390" t="str">
        <f>Risk_Compensation!$B$1</f>
        <v xml:space="preserve">Risikoausgleich </v>
      </c>
      <c r="D4321" s="2205" t="s">
        <v>2572</v>
      </c>
      <c r="E4321" s="1390">
        <f>Risk_Compensation!$G39</f>
        <v>22</v>
      </c>
      <c r="F4321" s="1390" t="str">
        <f>Risk_Compensation!$V$17</f>
        <v>OW</v>
      </c>
      <c r="G4321" s="1390"/>
      <c r="H4321" s="1077">
        <f>Risk_Compensation!$V39</f>
        <v>0</v>
      </c>
    </row>
    <row r="4322" spans="1:8" x14ac:dyDescent="0.2">
      <c r="A4322" s="1027"/>
      <c r="B4322" s="1083">
        <f>Risk_Compensation!A$1</f>
        <v>36</v>
      </c>
      <c r="C4322" s="1390" t="str">
        <f>Risk_Compensation!$B$1</f>
        <v xml:space="preserve">Risikoausgleich </v>
      </c>
      <c r="D4322" s="2205" t="s">
        <v>2572</v>
      </c>
      <c r="E4322" s="1390">
        <f>Risk_Compensation!$G40</f>
        <v>23</v>
      </c>
      <c r="F4322" s="1390" t="str">
        <f>Risk_Compensation!$V$17</f>
        <v>OW</v>
      </c>
      <c r="G4322" s="1390"/>
      <c r="H4322" s="1077">
        <f>Risk_Compensation!$V40</f>
        <v>0</v>
      </c>
    </row>
    <row r="4323" spans="1:8" x14ac:dyDescent="0.2">
      <c r="A4323" s="1027"/>
      <c r="B4323" s="1083">
        <f>Risk_Compensation!A$1</f>
        <v>36</v>
      </c>
      <c r="C4323" s="1390" t="str">
        <f>Risk_Compensation!$B$1</f>
        <v xml:space="preserve">Risikoausgleich </v>
      </c>
      <c r="D4323" s="2205" t="s">
        <v>2572</v>
      </c>
      <c r="E4323" s="1390">
        <f>Risk_Compensation!$G41</f>
        <v>24</v>
      </c>
      <c r="F4323" s="1390" t="str">
        <f>Risk_Compensation!$V$17</f>
        <v>OW</v>
      </c>
      <c r="G4323" s="1390"/>
      <c r="H4323" s="1077">
        <f>Risk_Compensation!$V41</f>
        <v>0</v>
      </c>
    </row>
    <row r="4324" spans="1:8" x14ac:dyDescent="0.2">
      <c r="A4324" s="1027"/>
      <c r="B4324" s="1083">
        <f>Risk_Compensation!A$1</f>
        <v>36</v>
      </c>
      <c r="C4324" s="1390" t="str">
        <f>Risk_Compensation!$B$1</f>
        <v xml:space="preserve">Risikoausgleich </v>
      </c>
      <c r="D4324" s="2205" t="s">
        <v>2572</v>
      </c>
      <c r="E4324" s="1390">
        <f>Risk_Compensation!$G42</f>
        <v>25</v>
      </c>
      <c r="F4324" s="1390" t="str">
        <f>Risk_Compensation!$V$17</f>
        <v>OW</v>
      </c>
      <c r="G4324" s="1390"/>
      <c r="H4324" s="1077">
        <f>Risk_Compensation!$V42</f>
        <v>0</v>
      </c>
    </row>
    <row r="4325" spans="1:8" x14ac:dyDescent="0.2">
      <c r="A4325" s="1027"/>
      <c r="B4325" s="1083">
        <f>Risk_Compensation!A$1</f>
        <v>36</v>
      </c>
      <c r="C4325" s="1390" t="str">
        <f>Risk_Compensation!$B$1</f>
        <v xml:space="preserve">Risikoausgleich </v>
      </c>
      <c r="D4325" s="2205" t="s">
        <v>2572</v>
      </c>
      <c r="E4325" s="1390">
        <f>Risk_Compensation!$G43</f>
        <v>26</v>
      </c>
      <c r="F4325" s="1390" t="str">
        <f>Risk_Compensation!$V$17</f>
        <v>OW</v>
      </c>
      <c r="G4325" s="1390"/>
      <c r="H4325" s="1077">
        <f>Risk_Compensation!$V43</f>
        <v>0</v>
      </c>
    </row>
    <row r="4326" spans="1:8" x14ac:dyDescent="0.2">
      <c r="A4326" s="1027"/>
      <c r="B4326" s="1083">
        <f>Risk_Compensation!A$1</f>
        <v>36</v>
      </c>
      <c r="C4326" s="1390" t="str">
        <f>Risk_Compensation!$B$1</f>
        <v xml:space="preserve">Risikoausgleich </v>
      </c>
      <c r="D4326" s="2205" t="s">
        <v>2572</v>
      </c>
      <c r="E4326" s="1390">
        <f>Risk_Compensation!$G44</f>
        <v>27</v>
      </c>
      <c r="F4326" s="1390" t="str">
        <f>Risk_Compensation!$V$17</f>
        <v>OW</v>
      </c>
      <c r="G4326" s="1390"/>
      <c r="H4326" s="1077">
        <f>Risk_Compensation!$V44</f>
        <v>0</v>
      </c>
    </row>
    <row r="4327" spans="1:8" x14ac:dyDescent="0.2">
      <c r="A4327" s="1027"/>
      <c r="B4327" s="1083">
        <f>Risk_Compensation!A$1</f>
        <v>36</v>
      </c>
      <c r="C4327" s="1390" t="str">
        <f>Risk_Compensation!$B$1</f>
        <v xml:space="preserve">Risikoausgleich </v>
      </c>
      <c r="D4327" s="2205" t="s">
        <v>2572</v>
      </c>
      <c r="E4327" s="1390">
        <f>Risk_Compensation!$G45</f>
        <v>28</v>
      </c>
      <c r="F4327" s="1390" t="str">
        <f>Risk_Compensation!$V$17</f>
        <v>OW</v>
      </c>
      <c r="G4327" s="1390"/>
      <c r="H4327" s="1077">
        <f>Risk_Compensation!$V45</f>
        <v>0</v>
      </c>
    </row>
    <row r="4328" spans="1:8" x14ac:dyDescent="0.2">
      <c r="A4328" s="1027"/>
      <c r="B4328" s="1083">
        <f>Risk_Compensation!A$1</f>
        <v>36</v>
      </c>
      <c r="C4328" s="1390" t="str">
        <f>Risk_Compensation!$B$1</f>
        <v xml:space="preserve">Risikoausgleich </v>
      </c>
      <c r="D4328" s="2205" t="s">
        <v>2572</v>
      </c>
      <c r="E4328" s="1390">
        <f>Risk_Compensation!$G46</f>
        <v>29</v>
      </c>
      <c r="F4328" s="1390" t="str">
        <f>Risk_Compensation!$V$17</f>
        <v>OW</v>
      </c>
      <c r="G4328" s="1390"/>
      <c r="H4328" s="1077">
        <f>Risk_Compensation!$V46</f>
        <v>0</v>
      </c>
    </row>
    <row r="4329" spans="1:8" x14ac:dyDescent="0.2">
      <c r="A4329" s="1027"/>
      <c r="B4329" s="1083">
        <f>Risk_Compensation!A$1</f>
        <v>36</v>
      </c>
      <c r="C4329" s="1390" t="str">
        <f>Risk_Compensation!$B$1</f>
        <v xml:space="preserve">Risikoausgleich </v>
      </c>
      <c r="D4329" s="2205" t="s">
        <v>2572</v>
      </c>
      <c r="E4329" s="1390">
        <f>Risk_Compensation!$G47</f>
        <v>30</v>
      </c>
      <c r="F4329" s="1390" t="str">
        <f>Risk_Compensation!$V$17</f>
        <v>OW</v>
      </c>
      <c r="G4329" s="1390"/>
      <c r="H4329" s="1077">
        <f>Risk_Compensation!$V47</f>
        <v>0</v>
      </c>
    </row>
    <row r="4330" spans="1:8" x14ac:dyDescent="0.2">
      <c r="A4330" s="1027"/>
      <c r="B4330" s="1083">
        <f>Risk_Compensation!A$1</f>
        <v>36</v>
      </c>
      <c r="C4330" s="1390" t="str">
        <f>Risk_Compensation!$B$1</f>
        <v xml:space="preserve">Risikoausgleich </v>
      </c>
      <c r="D4330" s="2205" t="s">
        <v>2572</v>
      </c>
      <c r="E4330" s="1390">
        <f>Risk_Compensation!$G48</f>
        <v>31</v>
      </c>
      <c r="F4330" s="1390" t="str">
        <f>Risk_Compensation!$V$17</f>
        <v>OW</v>
      </c>
      <c r="G4330" s="1390"/>
      <c r="H4330" s="1077">
        <f>Risk_Compensation!$V48</f>
        <v>0</v>
      </c>
    </row>
    <row r="4331" spans="1:8" x14ac:dyDescent="0.2">
      <c r="A4331" s="1027"/>
      <c r="B4331" s="1083">
        <f>Risk_Compensation!A$1</f>
        <v>36</v>
      </c>
      <c r="C4331" s="1390" t="str">
        <f>Risk_Compensation!$B$1</f>
        <v xml:space="preserve">Risikoausgleich </v>
      </c>
      <c r="D4331" s="2205" t="s">
        <v>2572</v>
      </c>
      <c r="E4331" s="1390">
        <f>Risk_Compensation!$G49</f>
        <v>32</v>
      </c>
      <c r="F4331" s="1390" t="str">
        <f>Risk_Compensation!$V$17</f>
        <v>OW</v>
      </c>
      <c r="G4331" s="1390"/>
      <c r="H4331" s="1077">
        <f>Risk_Compensation!$V49</f>
        <v>0</v>
      </c>
    </row>
    <row r="4332" spans="1:8" x14ac:dyDescent="0.2">
      <c r="A4332" s="1027"/>
      <c r="B4332" s="1083">
        <f>Risk_Compensation!A$1</f>
        <v>36</v>
      </c>
      <c r="C4332" s="1390" t="str">
        <f>Risk_Compensation!$B$1</f>
        <v xml:space="preserve">Risikoausgleich </v>
      </c>
      <c r="D4332" s="2205" t="s">
        <v>2572</v>
      </c>
      <c r="E4332" s="1390">
        <f>Risk_Compensation!$G50</f>
        <v>33</v>
      </c>
      <c r="F4332" s="1390" t="str">
        <f>Risk_Compensation!$V$17</f>
        <v>OW</v>
      </c>
      <c r="G4332" s="1390"/>
      <c r="H4332" s="1077">
        <f>Risk_Compensation!$V50</f>
        <v>0</v>
      </c>
    </row>
    <row r="4333" spans="1:8" x14ac:dyDescent="0.2">
      <c r="A4333" s="1027"/>
      <c r="B4333" s="1083">
        <f>Risk_Compensation!A$1</f>
        <v>36</v>
      </c>
      <c r="C4333" s="1390" t="str">
        <f>Risk_Compensation!$B$1</f>
        <v xml:space="preserve">Risikoausgleich </v>
      </c>
      <c r="D4333" s="2205" t="s">
        <v>2572</v>
      </c>
      <c r="E4333" s="1390">
        <f>Risk_Compensation!$G51</f>
        <v>34</v>
      </c>
      <c r="F4333" s="1390" t="str">
        <f>Risk_Compensation!$V$17</f>
        <v>OW</v>
      </c>
      <c r="G4333" s="1390"/>
      <c r="H4333" s="1077">
        <f>Risk_Compensation!$V51</f>
        <v>0</v>
      </c>
    </row>
    <row r="4334" spans="1:8" x14ac:dyDescent="0.2">
      <c r="A4334" s="1027"/>
      <c r="B4334" s="1083">
        <f>Risk_Compensation!A$1</f>
        <v>36</v>
      </c>
      <c r="C4334" s="1390" t="str">
        <f>Risk_Compensation!$B$1</f>
        <v xml:space="preserve">Risikoausgleich </v>
      </c>
      <c r="D4334" s="2205" t="s">
        <v>2572</v>
      </c>
      <c r="E4334" s="1390">
        <f>Risk_Compensation!$G52</f>
        <v>35</v>
      </c>
      <c r="F4334" s="1390" t="str">
        <f>Risk_Compensation!$V$17</f>
        <v>OW</v>
      </c>
      <c r="G4334" s="1390"/>
      <c r="H4334" s="1077">
        <f>Risk_Compensation!$V52</f>
        <v>0</v>
      </c>
    </row>
    <row r="4335" spans="1:8" x14ac:dyDescent="0.2">
      <c r="A4335" s="1027"/>
      <c r="B4335" s="1083">
        <f>Risk_Compensation!A$1</f>
        <v>36</v>
      </c>
      <c r="C4335" s="1390" t="str">
        <f>Risk_Compensation!$B$1</f>
        <v xml:space="preserve">Risikoausgleich </v>
      </c>
      <c r="D4335" s="2205" t="s">
        <v>2572</v>
      </c>
      <c r="E4335" s="1390">
        <f>Risk_Compensation!$G53</f>
        <v>36</v>
      </c>
      <c r="F4335" s="1390" t="str">
        <f>Risk_Compensation!$V$17</f>
        <v>OW</v>
      </c>
      <c r="G4335" s="1390"/>
      <c r="H4335" s="1077">
        <f>Risk_Compensation!$V53</f>
        <v>0</v>
      </c>
    </row>
    <row r="4336" spans="1:8" x14ac:dyDescent="0.2">
      <c r="A4336" s="1027"/>
      <c r="B4336" s="1083">
        <f>Risk_Compensation!A$1</f>
        <v>36</v>
      </c>
      <c r="C4336" s="1390" t="str">
        <f>Risk_Compensation!$B$1</f>
        <v xml:space="preserve">Risikoausgleich </v>
      </c>
      <c r="D4336" s="2205" t="s">
        <v>2572</v>
      </c>
      <c r="E4336" s="1390">
        <f>Risk_Compensation!$G54</f>
        <v>37</v>
      </c>
      <c r="F4336" s="1390" t="str">
        <f>Risk_Compensation!$V$17</f>
        <v>OW</v>
      </c>
      <c r="G4336" s="1390"/>
      <c r="H4336" s="1077">
        <f>Risk_Compensation!$V54</f>
        <v>0</v>
      </c>
    </row>
    <row r="4337" spans="1:8" x14ac:dyDescent="0.2">
      <c r="A4337" s="1027"/>
      <c r="B4337" s="1083">
        <f>Risk_Compensation!A$1</f>
        <v>36</v>
      </c>
      <c r="C4337" s="1390" t="str">
        <f>Risk_Compensation!$B$1</f>
        <v xml:space="preserve">Risikoausgleich </v>
      </c>
      <c r="D4337" s="2205" t="s">
        <v>2572</v>
      </c>
      <c r="E4337" s="1390">
        <f>Risk_Compensation!$G55</f>
        <v>38</v>
      </c>
      <c r="F4337" s="1390" t="str">
        <f>Risk_Compensation!$V$17</f>
        <v>OW</v>
      </c>
      <c r="G4337" s="1390"/>
      <c r="H4337" s="1077">
        <f>Risk_Compensation!$V55</f>
        <v>0</v>
      </c>
    </row>
    <row r="4338" spans="1:8" x14ac:dyDescent="0.2">
      <c r="A4338" s="1027"/>
      <c r="B4338" s="1083">
        <f>Risk_Compensation!A$1</f>
        <v>36</v>
      </c>
      <c r="C4338" s="1390" t="str">
        <f>Risk_Compensation!$B$1</f>
        <v xml:space="preserve">Risikoausgleich </v>
      </c>
      <c r="D4338" s="2205" t="s">
        <v>2572</v>
      </c>
      <c r="E4338" s="1390">
        <f>Risk_Compensation!$G56</f>
        <v>39</v>
      </c>
      <c r="F4338" s="1390" t="str">
        <f>Risk_Compensation!$V$17</f>
        <v>OW</v>
      </c>
      <c r="G4338" s="1390"/>
      <c r="H4338" s="1077">
        <f>Risk_Compensation!$V56</f>
        <v>0</v>
      </c>
    </row>
    <row r="4339" spans="1:8" x14ac:dyDescent="0.2">
      <c r="A4339" s="1027"/>
      <c r="B4339" s="1083">
        <f>Risk_Compensation!A$1</f>
        <v>36</v>
      </c>
      <c r="C4339" s="1390" t="str">
        <f>Risk_Compensation!$B$1</f>
        <v xml:space="preserve">Risikoausgleich </v>
      </c>
      <c r="D4339" s="2205" t="s">
        <v>2572</v>
      </c>
      <c r="E4339" s="1390">
        <f>Risk_Compensation!$G57</f>
        <v>40</v>
      </c>
      <c r="F4339" s="1390" t="str">
        <f>Risk_Compensation!$V$17</f>
        <v>OW</v>
      </c>
      <c r="G4339" s="1390"/>
      <c r="H4339" s="1077">
        <f>Risk_Compensation!$V57</f>
        <v>0</v>
      </c>
    </row>
    <row r="4340" spans="1:8" x14ac:dyDescent="0.2">
      <c r="A4340" s="1027"/>
      <c r="B4340" s="1083">
        <f>Risk_Compensation!A$1</f>
        <v>36</v>
      </c>
      <c r="C4340" s="1390" t="str">
        <f>Risk_Compensation!$B$1</f>
        <v xml:space="preserve">Risikoausgleich </v>
      </c>
      <c r="D4340" s="2205" t="s">
        <v>2572</v>
      </c>
      <c r="E4340" s="1390">
        <f>Risk_Compensation!$G58</f>
        <v>41</v>
      </c>
      <c r="F4340" s="1390" t="str">
        <f>Risk_Compensation!$V$17</f>
        <v>OW</v>
      </c>
      <c r="G4340" s="1390"/>
      <c r="H4340" s="1077">
        <f>Risk_Compensation!$V58</f>
        <v>0</v>
      </c>
    </row>
    <row r="4341" spans="1:8" x14ac:dyDescent="0.2">
      <c r="A4341" s="1027"/>
      <c r="B4341" s="1083">
        <f>Risk_Compensation!A$1</f>
        <v>36</v>
      </c>
      <c r="C4341" s="1390" t="str">
        <f>Risk_Compensation!$B$1</f>
        <v xml:space="preserve">Risikoausgleich </v>
      </c>
      <c r="D4341" s="2205" t="s">
        <v>2572</v>
      </c>
      <c r="E4341" s="1390">
        <f>Risk_Compensation!$G59</f>
        <v>42</v>
      </c>
      <c r="F4341" s="1390" t="str">
        <f>Risk_Compensation!$V$17</f>
        <v>OW</v>
      </c>
      <c r="G4341" s="1390"/>
      <c r="H4341" s="1077">
        <f>Risk_Compensation!$V59</f>
        <v>0</v>
      </c>
    </row>
    <row r="4342" spans="1:8" x14ac:dyDescent="0.2">
      <c r="A4342" s="1027"/>
      <c r="B4342" s="1083">
        <f>Risk_Compensation!A$1</f>
        <v>36</v>
      </c>
      <c r="C4342" s="1390" t="str">
        <f>Risk_Compensation!$B$1</f>
        <v xml:space="preserve">Risikoausgleich </v>
      </c>
      <c r="D4342" s="2205" t="s">
        <v>2572</v>
      </c>
      <c r="E4342" s="1390">
        <f>Risk_Compensation!$G60</f>
        <v>43</v>
      </c>
      <c r="F4342" s="1390" t="str">
        <f>Risk_Compensation!$V$17</f>
        <v>OW</v>
      </c>
      <c r="G4342" s="1390"/>
      <c r="H4342" s="1077">
        <f>Risk_Compensation!$V60</f>
        <v>0</v>
      </c>
    </row>
    <row r="4343" spans="1:8" x14ac:dyDescent="0.2">
      <c r="A4343" s="1027"/>
      <c r="B4343" s="1083">
        <f>Risk_Compensation!A$1</f>
        <v>36</v>
      </c>
      <c r="C4343" s="1390" t="str">
        <f>Risk_Compensation!$B$1</f>
        <v xml:space="preserve">Risikoausgleich </v>
      </c>
      <c r="D4343" s="2205" t="s">
        <v>2572</v>
      </c>
      <c r="E4343" s="1390">
        <f>Risk_Compensation!$G61</f>
        <v>44</v>
      </c>
      <c r="F4343" s="1390" t="str">
        <f>Risk_Compensation!$V$17</f>
        <v>OW</v>
      </c>
      <c r="G4343" s="1390"/>
      <c r="H4343" s="1077">
        <f>Risk_Compensation!$V61</f>
        <v>0</v>
      </c>
    </row>
    <row r="4344" spans="1:8" x14ac:dyDescent="0.2">
      <c r="A4344" s="1027"/>
      <c r="B4344" s="1083">
        <f>Risk_Compensation!A$1</f>
        <v>36</v>
      </c>
      <c r="C4344" s="1390" t="str">
        <f>Risk_Compensation!$B$1</f>
        <v xml:space="preserve">Risikoausgleich </v>
      </c>
      <c r="D4344" s="2205" t="s">
        <v>2572</v>
      </c>
      <c r="E4344" s="1390">
        <f>Risk_Compensation!$G62</f>
        <v>45</v>
      </c>
      <c r="F4344" s="1390" t="str">
        <f>Risk_Compensation!$V$17</f>
        <v>OW</v>
      </c>
      <c r="G4344" s="1390"/>
      <c r="H4344" s="1077">
        <f>Risk_Compensation!$V62</f>
        <v>0</v>
      </c>
    </row>
    <row r="4345" spans="1:8" x14ac:dyDescent="0.2">
      <c r="A4345" s="1027"/>
      <c r="B4345" s="1083">
        <f>Risk_Compensation!A$1</f>
        <v>36</v>
      </c>
      <c r="C4345" s="1390" t="str">
        <f>Risk_Compensation!$B$1</f>
        <v xml:space="preserve">Risikoausgleich </v>
      </c>
      <c r="D4345" s="2205" t="s">
        <v>2572</v>
      </c>
      <c r="E4345" s="1390">
        <f>Risk_Compensation!$G63</f>
        <v>46</v>
      </c>
      <c r="F4345" s="1390" t="str">
        <f>Risk_Compensation!$V$17</f>
        <v>OW</v>
      </c>
      <c r="G4345" s="1390"/>
      <c r="H4345" s="1077">
        <f>Risk_Compensation!$V63</f>
        <v>0</v>
      </c>
    </row>
    <row r="4346" spans="1:8" x14ac:dyDescent="0.2">
      <c r="A4346" s="1027"/>
      <c r="B4346" s="1083">
        <f>Risk_Compensation!A$1</f>
        <v>36</v>
      </c>
      <c r="C4346" s="1390" t="str">
        <f>Risk_Compensation!$B$1</f>
        <v xml:space="preserve">Risikoausgleich </v>
      </c>
      <c r="D4346" s="2205" t="s">
        <v>2572</v>
      </c>
      <c r="E4346" s="1390">
        <f>Risk_Compensation!$G64</f>
        <v>47</v>
      </c>
      <c r="F4346" s="1390" t="str">
        <f>Risk_Compensation!$V$17</f>
        <v>OW</v>
      </c>
      <c r="G4346" s="1390"/>
      <c r="H4346" s="1077">
        <f>Risk_Compensation!$V64</f>
        <v>0</v>
      </c>
    </row>
    <row r="4347" spans="1:8" x14ac:dyDescent="0.2">
      <c r="A4347" s="1027"/>
      <c r="B4347" s="1083">
        <f>Risk_Compensation!A$1</f>
        <v>36</v>
      </c>
      <c r="C4347" s="1390" t="str">
        <f>Risk_Compensation!$B$1</f>
        <v xml:space="preserve">Risikoausgleich </v>
      </c>
      <c r="D4347" s="2205" t="s">
        <v>2572</v>
      </c>
      <c r="E4347" s="1390">
        <f>Risk_Compensation!$G65</f>
        <v>48</v>
      </c>
      <c r="F4347" s="1390" t="str">
        <f>Risk_Compensation!$V$17</f>
        <v>OW</v>
      </c>
      <c r="G4347" s="1390"/>
      <c r="H4347" s="1077">
        <f>Risk_Compensation!$V65</f>
        <v>0</v>
      </c>
    </row>
    <row r="4348" spans="1:8" x14ac:dyDescent="0.2">
      <c r="A4348" s="1027"/>
      <c r="B4348" s="1083">
        <f>Risk_Compensation!A$1</f>
        <v>36</v>
      </c>
      <c r="C4348" s="1390" t="str">
        <f>Risk_Compensation!$B$1</f>
        <v xml:space="preserve">Risikoausgleich </v>
      </c>
      <c r="D4348" s="2205" t="s">
        <v>2572</v>
      </c>
      <c r="E4348" s="1390">
        <f>Risk_Compensation!$G66</f>
        <v>49</v>
      </c>
      <c r="F4348" s="1390" t="str">
        <f>Risk_Compensation!$V$17</f>
        <v>OW</v>
      </c>
      <c r="G4348" s="1390"/>
      <c r="H4348" s="1077">
        <f>Risk_Compensation!$V66</f>
        <v>0</v>
      </c>
    </row>
    <row r="4349" spans="1:8" x14ac:dyDescent="0.2">
      <c r="A4349" s="1027"/>
      <c r="B4349" s="1083">
        <f>Risk_Compensation!A$1</f>
        <v>36</v>
      </c>
      <c r="C4349" s="1390" t="str">
        <f>Risk_Compensation!$B$1</f>
        <v xml:space="preserve">Risikoausgleich </v>
      </c>
      <c r="D4349" s="2205" t="s">
        <v>2572</v>
      </c>
      <c r="E4349" s="1390">
        <f>Risk_Compensation!$G67</f>
        <v>50</v>
      </c>
      <c r="F4349" s="1390" t="str">
        <f>Risk_Compensation!$V$17</f>
        <v>OW</v>
      </c>
      <c r="G4349" s="1390"/>
      <c r="H4349" s="1077">
        <f>Risk_Compensation!$V67</f>
        <v>0</v>
      </c>
    </row>
    <row r="4350" spans="1:8" x14ac:dyDescent="0.2">
      <c r="A4350" s="1027"/>
      <c r="B4350" s="1083">
        <f>Risk_Compensation!A$1</f>
        <v>36</v>
      </c>
      <c r="C4350" s="1390" t="str">
        <f>Risk_Compensation!$B$1</f>
        <v xml:space="preserve">Risikoausgleich </v>
      </c>
      <c r="D4350" s="2205" t="s">
        <v>2572</v>
      </c>
      <c r="E4350" s="1390">
        <f>Risk_Compensation!$G68</f>
        <v>51</v>
      </c>
      <c r="F4350" s="1390" t="str">
        <f>Risk_Compensation!$V$17</f>
        <v>OW</v>
      </c>
      <c r="G4350" s="1390"/>
      <c r="H4350" s="1077">
        <f>Risk_Compensation!$V68</f>
        <v>0</v>
      </c>
    </row>
    <row r="4351" spans="1:8" x14ac:dyDescent="0.2">
      <c r="A4351" s="1027"/>
      <c r="B4351" s="1083">
        <f>Risk_Compensation!A$1</f>
        <v>36</v>
      </c>
      <c r="C4351" s="1390" t="str">
        <f>Risk_Compensation!$B$1</f>
        <v xml:space="preserve">Risikoausgleich </v>
      </c>
      <c r="D4351" s="2205" t="s">
        <v>2572</v>
      </c>
      <c r="E4351" s="1390">
        <f>Risk_Compensation!$G69</f>
        <v>52</v>
      </c>
      <c r="F4351" s="1390" t="str">
        <f>Risk_Compensation!$V$17</f>
        <v>OW</v>
      </c>
      <c r="G4351" s="1390"/>
      <c r="H4351" s="1077">
        <f>Risk_Compensation!$V69</f>
        <v>0</v>
      </c>
    </row>
    <row r="4352" spans="1:8" x14ac:dyDescent="0.2">
      <c r="A4352" s="1027"/>
      <c r="B4352" s="1083">
        <f>Risk_Compensation!A$1</f>
        <v>36</v>
      </c>
      <c r="C4352" s="1390" t="str">
        <f>Risk_Compensation!$B$1</f>
        <v xml:space="preserve">Risikoausgleich </v>
      </c>
      <c r="D4352" s="2205" t="s">
        <v>2572</v>
      </c>
      <c r="E4352" s="1390">
        <f>Risk_Compensation!$G70</f>
        <v>53</v>
      </c>
      <c r="F4352" s="1390" t="str">
        <f>Risk_Compensation!$V$17</f>
        <v>OW</v>
      </c>
      <c r="G4352" s="1390"/>
      <c r="H4352" s="1077">
        <f>Risk_Compensation!$V70</f>
        <v>0</v>
      </c>
    </row>
    <row r="4353" spans="1:8" x14ac:dyDescent="0.2">
      <c r="A4353" s="1027"/>
      <c r="B4353" s="1083">
        <f>Risk_Compensation!A$1</f>
        <v>36</v>
      </c>
      <c r="C4353" s="1390" t="str">
        <f>Risk_Compensation!$B$1</f>
        <v xml:space="preserve">Risikoausgleich </v>
      </c>
      <c r="D4353" s="2205" t="s">
        <v>2572</v>
      </c>
      <c r="E4353" s="1390">
        <f>Risk_Compensation!$G71</f>
        <v>54</v>
      </c>
      <c r="F4353" s="1390" t="str">
        <f>Risk_Compensation!$V$17</f>
        <v>OW</v>
      </c>
      <c r="G4353" s="1390"/>
      <c r="H4353" s="1077">
        <f>Risk_Compensation!$V71</f>
        <v>0</v>
      </c>
    </row>
    <row r="4354" spans="1:8" x14ac:dyDescent="0.2">
      <c r="A4354" s="1027"/>
      <c r="B4354" s="1083">
        <f>Risk_Compensation!A$1</f>
        <v>36</v>
      </c>
      <c r="C4354" s="1390" t="str">
        <f>Risk_Compensation!$B$1</f>
        <v xml:space="preserve">Risikoausgleich </v>
      </c>
      <c r="D4354" s="2205" t="s">
        <v>2572</v>
      </c>
      <c r="E4354" s="1390">
        <f>Risk_Compensation!$G72</f>
        <v>55</v>
      </c>
      <c r="F4354" s="1390" t="str">
        <f>Risk_Compensation!$V$17</f>
        <v>OW</v>
      </c>
      <c r="G4354" s="1390"/>
      <c r="H4354" s="1077">
        <f>Risk_Compensation!$V72</f>
        <v>0</v>
      </c>
    </row>
    <row r="4355" spans="1:8" x14ac:dyDescent="0.2">
      <c r="A4355" s="1027"/>
      <c r="B4355" s="1083">
        <f>Risk_Compensation!A$1</f>
        <v>36</v>
      </c>
      <c r="C4355" s="1390" t="str">
        <f>Risk_Compensation!$B$1</f>
        <v xml:space="preserve">Risikoausgleich </v>
      </c>
      <c r="D4355" s="2205" t="s">
        <v>2572</v>
      </c>
      <c r="E4355" s="1390">
        <f>Risk_Compensation!$G73</f>
        <v>56</v>
      </c>
      <c r="F4355" s="1390" t="str">
        <f>Risk_Compensation!$V$17</f>
        <v>OW</v>
      </c>
      <c r="G4355" s="1390"/>
      <c r="H4355" s="1077">
        <f>Risk_Compensation!$V73</f>
        <v>0</v>
      </c>
    </row>
    <row r="4356" spans="1:8" x14ac:dyDescent="0.2">
      <c r="A4356" s="1027"/>
      <c r="B4356" s="1083">
        <f>Risk_Compensation!A$1</f>
        <v>36</v>
      </c>
      <c r="C4356" s="1390" t="str">
        <f>Risk_Compensation!$B$1</f>
        <v xml:space="preserve">Risikoausgleich </v>
      </c>
      <c r="D4356" s="2205" t="s">
        <v>2572</v>
      </c>
      <c r="E4356" s="1390">
        <f>Risk_Compensation!$G74</f>
        <v>57</v>
      </c>
      <c r="F4356" s="1390" t="str">
        <f>Risk_Compensation!$V$17</f>
        <v>OW</v>
      </c>
      <c r="G4356" s="1390"/>
      <c r="H4356" s="1077">
        <f>Risk_Compensation!$V74</f>
        <v>0</v>
      </c>
    </row>
    <row r="4357" spans="1:8" x14ac:dyDescent="0.2">
      <c r="A4357" s="1027"/>
      <c r="B4357" s="1083">
        <f>Risk_Compensation!A$1</f>
        <v>36</v>
      </c>
      <c r="C4357" s="1390" t="str">
        <f>Risk_Compensation!$B$1</f>
        <v xml:space="preserve">Risikoausgleich </v>
      </c>
      <c r="D4357" s="2205" t="s">
        <v>2572</v>
      </c>
      <c r="E4357" s="1390">
        <f>Risk_Compensation!$G75</f>
        <v>58</v>
      </c>
      <c r="F4357" s="1390" t="str">
        <f>Risk_Compensation!$V$17</f>
        <v>OW</v>
      </c>
      <c r="G4357" s="1390"/>
      <c r="H4357" s="1077">
        <f>Risk_Compensation!$V75</f>
        <v>0</v>
      </c>
    </row>
    <row r="4358" spans="1:8" x14ac:dyDescent="0.2">
      <c r="A4358" s="1027"/>
      <c r="B4358" s="1083">
        <f>Risk_Compensation!A$1</f>
        <v>36</v>
      </c>
      <c r="C4358" s="1390" t="str">
        <f>Risk_Compensation!$B$1</f>
        <v xml:space="preserve">Risikoausgleich </v>
      </c>
      <c r="D4358" s="2205" t="s">
        <v>2572</v>
      </c>
      <c r="E4358" s="1390">
        <f>Risk_Compensation!$G76</f>
        <v>59</v>
      </c>
      <c r="F4358" s="1390" t="str">
        <f>Risk_Compensation!$V$17</f>
        <v>OW</v>
      </c>
      <c r="G4358" s="1390"/>
      <c r="H4358" s="1077">
        <f>Risk_Compensation!$V76</f>
        <v>0</v>
      </c>
    </row>
    <row r="4359" spans="1:8" x14ac:dyDescent="0.2">
      <c r="A4359" s="1027"/>
      <c r="B4359" s="1083">
        <f>Risk_Compensation!A$1</f>
        <v>36</v>
      </c>
      <c r="C4359" s="1390" t="str">
        <f>Risk_Compensation!$B$1</f>
        <v xml:space="preserve">Risikoausgleich </v>
      </c>
      <c r="D4359" s="2205" t="s">
        <v>2572</v>
      </c>
      <c r="E4359" s="1390">
        <f>Risk_Compensation!$G77</f>
        <v>60</v>
      </c>
      <c r="F4359" s="1390" t="str">
        <f>Risk_Compensation!$V$17</f>
        <v>OW</v>
      </c>
      <c r="G4359" s="1390"/>
      <c r="H4359" s="1077">
        <f>Risk_Compensation!$V77</f>
        <v>0</v>
      </c>
    </row>
    <row r="4360" spans="1:8" x14ac:dyDescent="0.2">
      <c r="A4360" s="1027"/>
      <c r="B4360" s="2174"/>
      <c r="C4360" s="1390"/>
      <c r="D4360" s="2175"/>
      <c r="E4360" s="2176"/>
      <c r="F4360" s="1390"/>
      <c r="G4360" s="1390"/>
      <c r="H4360" s="1078"/>
    </row>
    <row r="4361" spans="1:8" x14ac:dyDescent="0.2">
      <c r="A4361" s="1027"/>
      <c r="B4361" s="1083">
        <f>Risk_Compensation!A$1</f>
        <v>36</v>
      </c>
      <c r="C4361" s="1390" t="str">
        <f>Risk_Compensation!$B$1</f>
        <v xml:space="preserve">Risikoausgleich </v>
      </c>
      <c r="D4361" s="2205" t="s">
        <v>2572</v>
      </c>
      <c r="E4361" s="1390">
        <f>Risk_Compensation!$G18</f>
        <v>1</v>
      </c>
      <c r="F4361" s="1390" t="str">
        <f>Risk_Compensation!$W$17</f>
        <v>SG</v>
      </c>
      <c r="G4361" s="1390"/>
      <c r="H4361" s="1077">
        <f>Risk_Compensation!$W18</f>
        <v>0</v>
      </c>
    </row>
    <row r="4362" spans="1:8" x14ac:dyDescent="0.2">
      <c r="A4362" s="1027"/>
      <c r="B4362" s="1083">
        <f>Risk_Compensation!A$1</f>
        <v>36</v>
      </c>
      <c r="C4362" s="1390" t="str">
        <f>Risk_Compensation!$B$1</f>
        <v xml:space="preserve">Risikoausgleich </v>
      </c>
      <c r="D4362" s="2205" t="s">
        <v>2572</v>
      </c>
      <c r="E4362" s="1390">
        <f>Risk_Compensation!$G19</f>
        <v>2</v>
      </c>
      <c r="F4362" s="1390" t="str">
        <f>Risk_Compensation!$W$17</f>
        <v>SG</v>
      </c>
      <c r="G4362" s="1390"/>
      <c r="H4362" s="1077">
        <f>Risk_Compensation!$W19</f>
        <v>0</v>
      </c>
    </row>
    <row r="4363" spans="1:8" x14ac:dyDescent="0.2">
      <c r="A4363" s="1027"/>
      <c r="B4363" s="1083">
        <f>Risk_Compensation!A$1</f>
        <v>36</v>
      </c>
      <c r="C4363" s="1390" t="str">
        <f>Risk_Compensation!$B$1</f>
        <v xml:space="preserve">Risikoausgleich </v>
      </c>
      <c r="D4363" s="2205" t="s">
        <v>2572</v>
      </c>
      <c r="E4363" s="1390">
        <f>Risk_Compensation!$G20</f>
        <v>3</v>
      </c>
      <c r="F4363" s="1390" t="str">
        <f>Risk_Compensation!$W$17</f>
        <v>SG</v>
      </c>
      <c r="G4363" s="1390"/>
      <c r="H4363" s="1077">
        <f>Risk_Compensation!$W20</f>
        <v>0</v>
      </c>
    </row>
    <row r="4364" spans="1:8" x14ac:dyDescent="0.2">
      <c r="A4364" s="1027"/>
      <c r="B4364" s="1083">
        <f>Risk_Compensation!A$1</f>
        <v>36</v>
      </c>
      <c r="C4364" s="1390" t="str">
        <f>Risk_Compensation!$B$1</f>
        <v xml:space="preserve">Risikoausgleich </v>
      </c>
      <c r="D4364" s="2205" t="s">
        <v>2572</v>
      </c>
      <c r="E4364" s="1390">
        <f>Risk_Compensation!$G21</f>
        <v>4</v>
      </c>
      <c r="F4364" s="1390" t="str">
        <f>Risk_Compensation!$W$17</f>
        <v>SG</v>
      </c>
      <c r="G4364" s="1390"/>
      <c r="H4364" s="1077">
        <f>Risk_Compensation!$W21</f>
        <v>0</v>
      </c>
    </row>
    <row r="4365" spans="1:8" x14ac:dyDescent="0.2">
      <c r="A4365" s="1027"/>
      <c r="B4365" s="1083">
        <f>Risk_Compensation!A$1</f>
        <v>36</v>
      </c>
      <c r="C4365" s="1390" t="str">
        <f>Risk_Compensation!$B$1</f>
        <v xml:space="preserve">Risikoausgleich </v>
      </c>
      <c r="D4365" s="2205" t="s">
        <v>2572</v>
      </c>
      <c r="E4365" s="1390">
        <f>Risk_Compensation!$G22</f>
        <v>5</v>
      </c>
      <c r="F4365" s="1390" t="str">
        <f>Risk_Compensation!$W$17</f>
        <v>SG</v>
      </c>
      <c r="G4365" s="1390"/>
      <c r="H4365" s="1077">
        <f>Risk_Compensation!$W22</f>
        <v>0</v>
      </c>
    </row>
    <row r="4366" spans="1:8" x14ac:dyDescent="0.2">
      <c r="A4366" s="1027"/>
      <c r="B4366" s="1083">
        <f>Risk_Compensation!A$1</f>
        <v>36</v>
      </c>
      <c r="C4366" s="1390" t="str">
        <f>Risk_Compensation!$B$1</f>
        <v xml:space="preserve">Risikoausgleich </v>
      </c>
      <c r="D4366" s="2205" t="s">
        <v>2572</v>
      </c>
      <c r="E4366" s="1390">
        <f>Risk_Compensation!$G23</f>
        <v>6</v>
      </c>
      <c r="F4366" s="1390" t="str">
        <f>Risk_Compensation!$W$17</f>
        <v>SG</v>
      </c>
      <c r="G4366" s="1390"/>
      <c r="H4366" s="1077">
        <f>Risk_Compensation!$W23</f>
        <v>0</v>
      </c>
    </row>
    <row r="4367" spans="1:8" x14ac:dyDescent="0.2">
      <c r="A4367" s="1027"/>
      <c r="B4367" s="1083">
        <f>Risk_Compensation!A$1</f>
        <v>36</v>
      </c>
      <c r="C4367" s="1390" t="str">
        <f>Risk_Compensation!$B$1</f>
        <v xml:space="preserve">Risikoausgleich </v>
      </c>
      <c r="D4367" s="2205" t="s">
        <v>2572</v>
      </c>
      <c r="E4367" s="1390">
        <f>Risk_Compensation!$G24</f>
        <v>7</v>
      </c>
      <c r="F4367" s="1390" t="str">
        <f>Risk_Compensation!$W$17</f>
        <v>SG</v>
      </c>
      <c r="G4367" s="1390"/>
      <c r="H4367" s="1077">
        <f>Risk_Compensation!$W24</f>
        <v>0</v>
      </c>
    </row>
    <row r="4368" spans="1:8" x14ac:dyDescent="0.2">
      <c r="A4368" s="1027"/>
      <c r="B4368" s="1083">
        <f>Risk_Compensation!A$1</f>
        <v>36</v>
      </c>
      <c r="C4368" s="1390" t="str">
        <f>Risk_Compensation!$B$1</f>
        <v xml:space="preserve">Risikoausgleich </v>
      </c>
      <c r="D4368" s="2205" t="s">
        <v>2572</v>
      </c>
      <c r="E4368" s="1390">
        <f>Risk_Compensation!$G25</f>
        <v>8</v>
      </c>
      <c r="F4368" s="1390" t="str">
        <f>Risk_Compensation!$W$17</f>
        <v>SG</v>
      </c>
      <c r="G4368" s="1390"/>
      <c r="H4368" s="1077">
        <f>Risk_Compensation!$W25</f>
        <v>0</v>
      </c>
    </row>
    <row r="4369" spans="1:8" x14ac:dyDescent="0.2">
      <c r="A4369" s="1027"/>
      <c r="B4369" s="1083">
        <f>Risk_Compensation!A$1</f>
        <v>36</v>
      </c>
      <c r="C4369" s="1390" t="str">
        <f>Risk_Compensation!$B$1</f>
        <v xml:space="preserve">Risikoausgleich </v>
      </c>
      <c r="D4369" s="2205" t="s">
        <v>2572</v>
      </c>
      <c r="E4369" s="1390">
        <f>Risk_Compensation!$G26</f>
        <v>9</v>
      </c>
      <c r="F4369" s="1390" t="str">
        <f>Risk_Compensation!$W$17</f>
        <v>SG</v>
      </c>
      <c r="G4369" s="1390"/>
      <c r="H4369" s="1077">
        <f>Risk_Compensation!$W26</f>
        <v>0</v>
      </c>
    </row>
    <row r="4370" spans="1:8" x14ac:dyDescent="0.2">
      <c r="A4370" s="1027"/>
      <c r="B4370" s="1083">
        <f>Risk_Compensation!A$1</f>
        <v>36</v>
      </c>
      <c r="C4370" s="1390" t="str">
        <f>Risk_Compensation!$B$1</f>
        <v xml:space="preserve">Risikoausgleich </v>
      </c>
      <c r="D4370" s="2205" t="s">
        <v>2572</v>
      </c>
      <c r="E4370" s="1390">
        <f>Risk_Compensation!$G27</f>
        <v>10</v>
      </c>
      <c r="F4370" s="1390" t="str">
        <f>Risk_Compensation!$W$17</f>
        <v>SG</v>
      </c>
      <c r="G4370" s="1390"/>
      <c r="H4370" s="1077">
        <f>Risk_Compensation!$W27</f>
        <v>0</v>
      </c>
    </row>
    <row r="4371" spans="1:8" x14ac:dyDescent="0.2">
      <c r="A4371" s="1027"/>
      <c r="B4371" s="1083">
        <f>Risk_Compensation!A$1</f>
        <v>36</v>
      </c>
      <c r="C4371" s="1390" t="str">
        <f>Risk_Compensation!$B$1</f>
        <v xml:space="preserve">Risikoausgleich </v>
      </c>
      <c r="D4371" s="2205" t="s">
        <v>2572</v>
      </c>
      <c r="E4371" s="1390">
        <f>Risk_Compensation!$G28</f>
        <v>11</v>
      </c>
      <c r="F4371" s="1390" t="str">
        <f>Risk_Compensation!$W$17</f>
        <v>SG</v>
      </c>
      <c r="G4371" s="1390"/>
      <c r="H4371" s="1077">
        <f>Risk_Compensation!$W28</f>
        <v>0</v>
      </c>
    </row>
    <row r="4372" spans="1:8" x14ac:dyDescent="0.2">
      <c r="A4372" s="1027"/>
      <c r="B4372" s="1083">
        <f>Risk_Compensation!A$1</f>
        <v>36</v>
      </c>
      <c r="C4372" s="1390" t="str">
        <f>Risk_Compensation!$B$1</f>
        <v xml:space="preserve">Risikoausgleich </v>
      </c>
      <c r="D4372" s="2205" t="s">
        <v>2572</v>
      </c>
      <c r="E4372" s="1390">
        <f>Risk_Compensation!$G29</f>
        <v>12</v>
      </c>
      <c r="F4372" s="1390" t="str">
        <f>Risk_Compensation!$W$17</f>
        <v>SG</v>
      </c>
      <c r="G4372" s="1390"/>
      <c r="H4372" s="1077">
        <f>Risk_Compensation!$W29</f>
        <v>0</v>
      </c>
    </row>
    <row r="4373" spans="1:8" x14ac:dyDescent="0.2">
      <c r="A4373" s="1027"/>
      <c r="B4373" s="1083">
        <f>Risk_Compensation!A$1</f>
        <v>36</v>
      </c>
      <c r="C4373" s="1390" t="str">
        <f>Risk_Compensation!$B$1</f>
        <v xml:space="preserve">Risikoausgleich </v>
      </c>
      <c r="D4373" s="2205" t="s">
        <v>2572</v>
      </c>
      <c r="E4373" s="1390">
        <f>Risk_Compensation!$G30</f>
        <v>13</v>
      </c>
      <c r="F4373" s="1390" t="str">
        <f>Risk_Compensation!$W$17</f>
        <v>SG</v>
      </c>
      <c r="G4373" s="1390"/>
      <c r="H4373" s="1077">
        <f>Risk_Compensation!$W30</f>
        <v>0</v>
      </c>
    </row>
    <row r="4374" spans="1:8" x14ac:dyDescent="0.2">
      <c r="A4374" s="1027"/>
      <c r="B4374" s="1083">
        <f>Risk_Compensation!A$1</f>
        <v>36</v>
      </c>
      <c r="C4374" s="1390" t="str">
        <f>Risk_Compensation!$B$1</f>
        <v xml:space="preserve">Risikoausgleich </v>
      </c>
      <c r="D4374" s="2205" t="s">
        <v>2572</v>
      </c>
      <c r="E4374" s="1390">
        <f>Risk_Compensation!$G31</f>
        <v>14</v>
      </c>
      <c r="F4374" s="1390" t="str">
        <f>Risk_Compensation!$W$17</f>
        <v>SG</v>
      </c>
      <c r="G4374" s="1390"/>
      <c r="H4374" s="1077">
        <f>Risk_Compensation!$W31</f>
        <v>0</v>
      </c>
    </row>
    <row r="4375" spans="1:8" x14ac:dyDescent="0.2">
      <c r="A4375" s="1027"/>
      <c r="B4375" s="1083">
        <f>Risk_Compensation!A$1</f>
        <v>36</v>
      </c>
      <c r="C4375" s="1390" t="str">
        <f>Risk_Compensation!$B$1</f>
        <v xml:space="preserve">Risikoausgleich </v>
      </c>
      <c r="D4375" s="2205" t="s">
        <v>2572</v>
      </c>
      <c r="E4375" s="1390">
        <f>Risk_Compensation!$G32</f>
        <v>15</v>
      </c>
      <c r="F4375" s="1390" t="str">
        <f>Risk_Compensation!$W$17</f>
        <v>SG</v>
      </c>
      <c r="G4375" s="1390"/>
      <c r="H4375" s="1077">
        <f>Risk_Compensation!$W32</f>
        <v>0</v>
      </c>
    </row>
    <row r="4376" spans="1:8" x14ac:dyDescent="0.2">
      <c r="A4376" s="1027"/>
      <c r="B4376" s="1083">
        <f>Risk_Compensation!A$1</f>
        <v>36</v>
      </c>
      <c r="C4376" s="1390" t="str">
        <f>Risk_Compensation!$B$1</f>
        <v xml:space="preserve">Risikoausgleich </v>
      </c>
      <c r="D4376" s="2205" t="s">
        <v>2572</v>
      </c>
      <c r="E4376" s="1390">
        <f>Risk_Compensation!$G33</f>
        <v>16</v>
      </c>
      <c r="F4376" s="1390" t="str">
        <f>Risk_Compensation!$W$17</f>
        <v>SG</v>
      </c>
      <c r="G4376" s="1390"/>
      <c r="H4376" s="1077">
        <f>Risk_Compensation!$W33</f>
        <v>0</v>
      </c>
    </row>
    <row r="4377" spans="1:8" x14ac:dyDescent="0.2">
      <c r="A4377" s="1027"/>
      <c r="B4377" s="1083">
        <f>Risk_Compensation!A$1</f>
        <v>36</v>
      </c>
      <c r="C4377" s="1390" t="str">
        <f>Risk_Compensation!$B$1</f>
        <v xml:space="preserve">Risikoausgleich </v>
      </c>
      <c r="D4377" s="2205" t="s">
        <v>2572</v>
      </c>
      <c r="E4377" s="1390">
        <f>Risk_Compensation!$G34</f>
        <v>17</v>
      </c>
      <c r="F4377" s="1390" t="str">
        <f>Risk_Compensation!$W$17</f>
        <v>SG</v>
      </c>
      <c r="G4377" s="1390"/>
      <c r="H4377" s="1077">
        <f>Risk_Compensation!$W34</f>
        <v>0</v>
      </c>
    </row>
    <row r="4378" spans="1:8" x14ac:dyDescent="0.2">
      <c r="A4378" s="1027"/>
      <c r="B4378" s="1083">
        <f>Risk_Compensation!A$1</f>
        <v>36</v>
      </c>
      <c r="C4378" s="1390" t="str">
        <f>Risk_Compensation!$B$1</f>
        <v xml:space="preserve">Risikoausgleich </v>
      </c>
      <c r="D4378" s="2205" t="s">
        <v>2572</v>
      </c>
      <c r="E4378" s="1390">
        <f>Risk_Compensation!$G35</f>
        <v>18</v>
      </c>
      <c r="F4378" s="1390" t="str">
        <f>Risk_Compensation!$W$17</f>
        <v>SG</v>
      </c>
      <c r="G4378" s="1390"/>
      <c r="H4378" s="1077">
        <f>Risk_Compensation!$W35</f>
        <v>0</v>
      </c>
    </row>
    <row r="4379" spans="1:8" x14ac:dyDescent="0.2">
      <c r="A4379" s="1027"/>
      <c r="B4379" s="1083">
        <f>Risk_Compensation!A$1</f>
        <v>36</v>
      </c>
      <c r="C4379" s="1390" t="str">
        <f>Risk_Compensation!$B$1</f>
        <v xml:space="preserve">Risikoausgleich </v>
      </c>
      <c r="D4379" s="2205" t="s">
        <v>2572</v>
      </c>
      <c r="E4379" s="1390">
        <f>Risk_Compensation!$G36</f>
        <v>19</v>
      </c>
      <c r="F4379" s="1390" t="str">
        <f>Risk_Compensation!$W$17</f>
        <v>SG</v>
      </c>
      <c r="G4379" s="1390"/>
      <c r="H4379" s="1077">
        <f>Risk_Compensation!$W36</f>
        <v>0</v>
      </c>
    </row>
    <row r="4380" spans="1:8" x14ac:dyDescent="0.2">
      <c r="A4380" s="1027"/>
      <c r="B4380" s="1083">
        <f>Risk_Compensation!A$1</f>
        <v>36</v>
      </c>
      <c r="C4380" s="1390" t="str">
        <f>Risk_Compensation!$B$1</f>
        <v xml:space="preserve">Risikoausgleich </v>
      </c>
      <c r="D4380" s="2205" t="s">
        <v>2572</v>
      </c>
      <c r="E4380" s="1390">
        <f>Risk_Compensation!$G37</f>
        <v>20</v>
      </c>
      <c r="F4380" s="1390" t="str">
        <f>Risk_Compensation!$W$17</f>
        <v>SG</v>
      </c>
      <c r="G4380" s="1390"/>
      <c r="H4380" s="1077">
        <f>Risk_Compensation!$W37</f>
        <v>0</v>
      </c>
    </row>
    <row r="4381" spans="1:8" x14ac:dyDescent="0.2">
      <c r="A4381" s="1027"/>
      <c r="B4381" s="1083">
        <f>Risk_Compensation!A$1</f>
        <v>36</v>
      </c>
      <c r="C4381" s="1390" t="str">
        <f>Risk_Compensation!$B$1</f>
        <v xml:space="preserve">Risikoausgleich </v>
      </c>
      <c r="D4381" s="2205" t="s">
        <v>2572</v>
      </c>
      <c r="E4381" s="1390">
        <f>Risk_Compensation!$G38</f>
        <v>21</v>
      </c>
      <c r="F4381" s="1390" t="str">
        <f>Risk_Compensation!$W$17</f>
        <v>SG</v>
      </c>
      <c r="G4381" s="1390"/>
      <c r="H4381" s="1077">
        <f>Risk_Compensation!$W38</f>
        <v>0</v>
      </c>
    </row>
    <row r="4382" spans="1:8" x14ac:dyDescent="0.2">
      <c r="A4382" s="1027"/>
      <c r="B4382" s="1083">
        <f>Risk_Compensation!A$1</f>
        <v>36</v>
      </c>
      <c r="C4382" s="1390" t="str">
        <f>Risk_Compensation!$B$1</f>
        <v xml:space="preserve">Risikoausgleich </v>
      </c>
      <c r="D4382" s="2205" t="s">
        <v>2572</v>
      </c>
      <c r="E4382" s="1390">
        <f>Risk_Compensation!$G39</f>
        <v>22</v>
      </c>
      <c r="F4382" s="1390" t="str">
        <f>Risk_Compensation!$W$17</f>
        <v>SG</v>
      </c>
      <c r="G4382" s="1390"/>
      <c r="H4382" s="1077">
        <f>Risk_Compensation!$W39</f>
        <v>0</v>
      </c>
    </row>
    <row r="4383" spans="1:8" x14ac:dyDescent="0.2">
      <c r="A4383" s="1027"/>
      <c r="B4383" s="1083">
        <f>Risk_Compensation!A$1</f>
        <v>36</v>
      </c>
      <c r="C4383" s="1390" t="str">
        <f>Risk_Compensation!$B$1</f>
        <v xml:space="preserve">Risikoausgleich </v>
      </c>
      <c r="D4383" s="2205" t="s">
        <v>2572</v>
      </c>
      <c r="E4383" s="1390">
        <f>Risk_Compensation!$G40</f>
        <v>23</v>
      </c>
      <c r="F4383" s="1390" t="str">
        <f>Risk_Compensation!$W$17</f>
        <v>SG</v>
      </c>
      <c r="G4383" s="1390"/>
      <c r="H4383" s="1077">
        <f>Risk_Compensation!$W40</f>
        <v>0</v>
      </c>
    </row>
    <row r="4384" spans="1:8" x14ac:dyDescent="0.2">
      <c r="A4384" s="1027"/>
      <c r="B4384" s="1083">
        <f>Risk_Compensation!A$1</f>
        <v>36</v>
      </c>
      <c r="C4384" s="1390" t="str">
        <f>Risk_Compensation!$B$1</f>
        <v xml:space="preserve">Risikoausgleich </v>
      </c>
      <c r="D4384" s="2205" t="s">
        <v>2572</v>
      </c>
      <c r="E4384" s="1390">
        <f>Risk_Compensation!$G41</f>
        <v>24</v>
      </c>
      <c r="F4384" s="1390" t="str">
        <f>Risk_Compensation!$W$17</f>
        <v>SG</v>
      </c>
      <c r="G4384" s="1390"/>
      <c r="H4384" s="1077">
        <f>Risk_Compensation!$W41</f>
        <v>0</v>
      </c>
    </row>
    <row r="4385" spans="1:8" x14ac:dyDescent="0.2">
      <c r="A4385" s="1027"/>
      <c r="B4385" s="1083">
        <f>Risk_Compensation!A$1</f>
        <v>36</v>
      </c>
      <c r="C4385" s="1390" t="str">
        <f>Risk_Compensation!$B$1</f>
        <v xml:space="preserve">Risikoausgleich </v>
      </c>
      <c r="D4385" s="2205" t="s">
        <v>2572</v>
      </c>
      <c r="E4385" s="1390">
        <f>Risk_Compensation!$G42</f>
        <v>25</v>
      </c>
      <c r="F4385" s="1390" t="str">
        <f>Risk_Compensation!$W$17</f>
        <v>SG</v>
      </c>
      <c r="G4385" s="1390"/>
      <c r="H4385" s="1077">
        <f>Risk_Compensation!$W42</f>
        <v>0</v>
      </c>
    </row>
    <row r="4386" spans="1:8" x14ac:dyDescent="0.2">
      <c r="A4386" s="1027"/>
      <c r="B4386" s="1083">
        <f>Risk_Compensation!A$1</f>
        <v>36</v>
      </c>
      <c r="C4386" s="1390" t="str">
        <f>Risk_Compensation!$B$1</f>
        <v xml:space="preserve">Risikoausgleich </v>
      </c>
      <c r="D4386" s="2205" t="s">
        <v>2572</v>
      </c>
      <c r="E4386" s="1390">
        <f>Risk_Compensation!$G43</f>
        <v>26</v>
      </c>
      <c r="F4386" s="1390" t="str">
        <f>Risk_Compensation!$W$17</f>
        <v>SG</v>
      </c>
      <c r="G4386" s="1390"/>
      <c r="H4386" s="1077">
        <f>Risk_Compensation!$W43</f>
        <v>0</v>
      </c>
    </row>
    <row r="4387" spans="1:8" x14ac:dyDescent="0.2">
      <c r="A4387" s="1027"/>
      <c r="B4387" s="1083">
        <f>Risk_Compensation!A$1</f>
        <v>36</v>
      </c>
      <c r="C4387" s="1390" t="str">
        <f>Risk_Compensation!$B$1</f>
        <v xml:space="preserve">Risikoausgleich </v>
      </c>
      <c r="D4387" s="2205" t="s">
        <v>2572</v>
      </c>
      <c r="E4387" s="1390">
        <f>Risk_Compensation!$G44</f>
        <v>27</v>
      </c>
      <c r="F4387" s="1390" t="str">
        <f>Risk_Compensation!$W$17</f>
        <v>SG</v>
      </c>
      <c r="G4387" s="1390"/>
      <c r="H4387" s="1077">
        <f>Risk_Compensation!$W44</f>
        <v>0</v>
      </c>
    </row>
    <row r="4388" spans="1:8" x14ac:dyDescent="0.2">
      <c r="A4388" s="1027"/>
      <c r="B4388" s="1083">
        <f>Risk_Compensation!A$1</f>
        <v>36</v>
      </c>
      <c r="C4388" s="1390" t="str">
        <f>Risk_Compensation!$B$1</f>
        <v xml:space="preserve">Risikoausgleich </v>
      </c>
      <c r="D4388" s="2205" t="s">
        <v>2572</v>
      </c>
      <c r="E4388" s="1390">
        <f>Risk_Compensation!$G45</f>
        <v>28</v>
      </c>
      <c r="F4388" s="1390" t="str">
        <f>Risk_Compensation!$W$17</f>
        <v>SG</v>
      </c>
      <c r="G4388" s="1390"/>
      <c r="H4388" s="1077">
        <f>Risk_Compensation!$W45</f>
        <v>0</v>
      </c>
    </row>
    <row r="4389" spans="1:8" x14ac:dyDescent="0.2">
      <c r="A4389" s="1027"/>
      <c r="B4389" s="1083">
        <f>Risk_Compensation!A$1</f>
        <v>36</v>
      </c>
      <c r="C4389" s="1390" t="str">
        <f>Risk_Compensation!$B$1</f>
        <v xml:space="preserve">Risikoausgleich </v>
      </c>
      <c r="D4389" s="2205" t="s">
        <v>2572</v>
      </c>
      <c r="E4389" s="1390">
        <f>Risk_Compensation!$G46</f>
        <v>29</v>
      </c>
      <c r="F4389" s="1390" t="str">
        <f>Risk_Compensation!$W$17</f>
        <v>SG</v>
      </c>
      <c r="G4389" s="1390"/>
      <c r="H4389" s="1077">
        <f>Risk_Compensation!$W46</f>
        <v>0</v>
      </c>
    </row>
    <row r="4390" spans="1:8" x14ac:dyDescent="0.2">
      <c r="A4390" s="1027"/>
      <c r="B4390" s="1083">
        <f>Risk_Compensation!A$1</f>
        <v>36</v>
      </c>
      <c r="C4390" s="1390" t="str">
        <f>Risk_Compensation!$B$1</f>
        <v xml:space="preserve">Risikoausgleich </v>
      </c>
      <c r="D4390" s="2205" t="s">
        <v>2572</v>
      </c>
      <c r="E4390" s="1390">
        <f>Risk_Compensation!$G47</f>
        <v>30</v>
      </c>
      <c r="F4390" s="1390" t="str">
        <f>Risk_Compensation!$W$17</f>
        <v>SG</v>
      </c>
      <c r="G4390" s="1390"/>
      <c r="H4390" s="1077">
        <f>Risk_Compensation!$W47</f>
        <v>0</v>
      </c>
    </row>
    <row r="4391" spans="1:8" x14ac:dyDescent="0.2">
      <c r="A4391" s="1027"/>
      <c r="B4391" s="1083">
        <f>Risk_Compensation!A$1</f>
        <v>36</v>
      </c>
      <c r="C4391" s="1390" t="str">
        <f>Risk_Compensation!$B$1</f>
        <v xml:space="preserve">Risikoausgleich </v>
      </c>
      <c r="D4391" s="2205" t="s">
        <v>2572</v>
      </c>
      <c r="E4391" s="1390">
        <f>Risk_Compensation!$G48</f>
        <v>31</v>
      </c>
      <c r="F4391" s="1390" t="str">
        <f>Risk_Compensation!$W$17</f>
        <v>SG</v>
      </c>
      <c r="G4391" s="1390"/>
      <c r="H4391" s="1077">
        <f>Risk_Compensation!$W48</f>
        <v>0</v>
      </c>
    </row>
    <row r="4392" spans="1:8" x14ac:dyDescent="0.2">
      <c r="A4392" s="1027"/>
      <c r="B4392" s="1083">
        <f>Risk_Compensation!A$1</f>
        <v>36</v>
      </c>
      <c r="C4392" s="1390" t="str">
        <f>Risk_Compensation!$B$1</f>
        <v xml:space="preserve">Risikoausgleich </v>
      </c>
      <c r="D4392" s="2205" t="s">
        <v>2572</v>
      </c>
      <c r="E4392" s="1390">
        <f>Risk_Compensation!$G49</f>
        <v>32</v>
      </c>
      <c r="F4392" s="1390" t="str">
        <f>Risk_Compensation!$W$17</f>
        <v>SG</v>
      </c>
      <c r="G4392" s="1390"/>
      <c r="H4392" s="1077">
        <f>Risk_Compensation!$W49</f>
        <v>0</v>
      </c>
    </row>
    <row r="4393" spans="1:8" x14ac:dyDescent="0.2">
      <c r="A4393" s="1027"/>
      <c r="B4393" s="1083">
        <f>Risk_Compensation!A$1</f>
        <v>36</v>
      </c>
      <c r="C4393" s="1390" t="str">
        <f>Risk_Compensation!$B$1</f>
        <v xml:space="preserve">Risikoausgleich </v>
      </c>
      <c r="D4393" s="2205" t="s">
        <v>2572</v>
      </c>
      <c r="E4393" s="1390">
        <f>Risk_Compensation!$G50</f>
        <v>33</v>
      </c>
      <c r="F4393" s="1390" t="str">
        <f>Risk_Compensation!$W$17</f>
        <v>SG</v>
      </c>
      <c r="G4393" s="1390"/>
      <c r="H4393" s="1077">
        <f>Risk_Compensation!$W50</f>
        <v>0</v>
      </c>
    </row>
    <row r="4394" spans="1:8" x14ac:dyDescent="0.2">
      <c r="A4394" s="1027"/>
      <c r="B4394" s="1083">
        <f>Risk_Compensation!A$1</f>
        <v>36</v>
      </c>
      <c r="C4394" s="1390" t="str">
        <f>Risk_Compensation!$B$1</f>
        <v xml:space="preserve">Risikoausgleich </v>
      </c>
      <c r="D4394" s="2205" t="s">
        <v>2572</v>
      </c>
      <c r="E4394" s="1390">
        <f>Risk_Compensation!$G51</f>
        <v>34</v>
      </c>
      <c r="F4394" s="1390" t="str">
        <f>Risk_Compensation!$W$17</f>
        <v>SG</v>
      </c>
      <c r="G4394" s="1390"/>
      <c r="H4394" s="1077">
        <f>Risk_Compensation!$W51</f>
        <v>0</v>
      </c>
    </row>
    <row r="4395" spans="1:8" x14ac:dyDescent="0.2">
      <c r="A4395" s="1027"/>
      <c r="B4395" s="1083">
        <f>Risk_Compensation!A$1</f>
        <v>36</v>
      </c>
      <c r="C4395" s="1390" t="str">
        <f>Risk_Compensation!$B$1</f>
        <v xml:space="preserve">Risikoausgleich </v>
      </c>
      <c r="D4395" s="2205" t="s">
        <v>2572</v>
      </c>
      <c r="E4395" s="1390">
        <f>Risk_Compensation!$G52</f>
        <v>35</v>
      </c>
      <c r="F4395" s="1390" t="str">
        <f>Risk_Compensation!$W$17</f>
        <v>SG</v>
      </c>
      <c r="G4395" s="1390"/>
      <c r="H4395" s="1077">
        <f>Risk_Compensation!$W52</f>
        <v>0</v>
      </c>
    </row>
    <row r="4396" spans="1:8" x14ac:dyDescent="0.2">
      <c r="A4396" s="1027"/>
      <c r="B4396" s="1083">
        <f>Risk_Compensation!A$1</f>
        <v>36</v>
      </c>
      <c r="C4396" s="1390" t="str">
        <f>Risk_Compensation!$B$1</f>
        <v xml:space="preserve">Risikoausgleich </v>
      </c>
      <c r="D4396" s="2205" t="s">
        <v>2572</v>
      </c>
      <c r="E4396" s="1390">
        <f>Risk_Compensation!$G53</f>
        <v>36</v>
      </c>
      <c r="F4396" s="1390" t="str">
        <f>Risk_Compensation!$W$17</f>
        <v>SG</v>
      </c>
      <c r="G4396" s="1390"/>
      <c r="H4396" s="1077">
        <f>Risk_Compensation!$W53</f>
        <v>0</v>
      </c>
    </row>
    <row r="4397" spans="1:8" x14ac:dyDescent="0.2">
      <c r="A4397" s="1027"/>
      <c r="B4397" s="1083">
        <f>Risk_Compensation!A$1</f>
        <v>36</v>
      </c>
      <c r="C4397" s="1390" t="str">
        <f>Risk_Compensation!$B$1</f>
        <v xml:space="preserve">Risikoausgleich </v>
      </c>
      <c r="D4397" s="2205" t="s">
        <v>2572</v>
      </c>
      <c r="E4397" s="1390">
        <f>Risk_Compensation!$G54</f>
        <v>37</v>
      </c>
      <c r="F4397" s="1390" t="str">
        <f>Risk_Compensation!$W$17</f>
        <v>SG</v>
      </c>
      <c r="G4397" s="1390"/>
      <c r="H4397" s="1077">
        <f>Risk_Compensation!$W54</f>
        <v>0</v>
      </c>
    </row>
    <row r="4398" spans="1:8" x14ac:dyDescent="0.2">
      <c r="A4398" s="1027"/>
      <c r="B4398" s="1083">
        <f>Risk_Compensation!A$1</f>
        <v>36</v>
      </c>
      <c r="C4398" s="1390" t="str">
        <f>Risk_Compensation!$B$1</f>
        <v xml:space="preserve">Risikoausgleich </v>
      </c>
      <c r="D4398" s="2205" t="s">
        <v>2572</v>
      </c>
      <c r="E4398" s="1390">
        <f>Risk_Compensation!$G55</f>
        <v>38</v>
      </c>
      <c r="F4398" s="1390" t="str">
        <f>Risk_Compensation!$W$17</f>
        <v>SG</v>
      </c>
      <c r="G4398" s="1390"/>
      <c r="H4398" s="1077">
        <f>Risk_Compensation!$W55</f>
        <v>0</v>
      </c>
    </row>
    <row r="4399" spans="1:8" x14ac:dyDescent="0.2">
      <c r="A4399" s="1027"/>
      <c r="B4399" s="1083">
        <f>Risk_Compensation!A$1</f>
        <v>36</v>
      </c>
      <c r="C4399" s="1390" t="str">
        <f>Risk_Compensation!$B$1</f>
        <v xml:space="preserve">Risikoausgleich </v>
      </c>
      <c r="D4399" s="2205" t="s">
        <v>2572</v>
      </c>
      <c r="E4399" s="1390">
        <f>Risk_Compensation!$G56</f>
        <v>39</v>
      </c>
      <c r="F4399" s="1390" t="str">
        <f>Risk_Compensation!$W$17</f>
        <v>SG</v>
      </c>
      <c r="G4399" s="1390"/>
      <c r="H4399" s="1077">
        <f>Risk_Compensation!$W56</f>
        <v>0</v>
      </c>
    </row>
    <row r="4400" spans="1:8" x14ac:dyDescent="0.2">
      <c r="A4400" s="1027"/>
      <c r="B4400" s="1083">
        <f>Risk_Compensation!A$1</f>
        <v>36</v>
      </c>
      <c r="C4400" s="1390" t="str">
        <f>Risk_Compensation!$B$1</f>
        <v xml:space="preserve">Risikoausgleich </v>
      </c>
      <c r="D4400" s="2205" t="s">
        <v>2572</v>
      </c>
      <c r="E4400" s="1390">
        <f>Risk_Compensation!$G57</f>
        <v>40</v>
      </c>
      <c r="F4400" s="1390" t="str">
        <f>Risk_Compensation!$W$17</f>
        <v>SG</v>
      </c>
      <c r="G4400" s="1390"/>
      <c r="H4400" s="1077">
        <f>Risk_Compensation!$W57</f>
        <v>0</v>
      </c>
    </row>
    <row r="4401" spans="1:8" x14ac:dyDescent="0.2">
      <c r="A4401" s="1027"/>
      <c r="B4401" s="1083">
        <f>Risk_Compensation!A$1</f>
        <v>36</v>
      </c>
      <c r="C4401" s="1390" t="str">
        <f>Risk_Compensation!$B$1</f>
        <v xml:space="preserve">Risikoausgleich </v>
      </c>
      <c r="D4401" s="2205" t="s">
        <v>2572</v>
      </c>
      <c r="E4401" s="1390">
        <f>Risk_Compensation!$G58</f>
        <v>41</v>
      </c>
      <c r="F4401" s="1390" t="str">
        <f>Risk_Compensation!$W$17</f>
        <v>SG</v>
      </c>
      <c r="G4401" s="1390"/>
      <c r="H4401" s="1077">
        <f>Risk_Compensation!$W58</f>
        <v>0</v>
      </c>
    </row>
    <row r="4402" spans="1:8" x14ac:dyDescent="0.2">
      <c r="A4402" s="1027"/>
      <c r="B4402" s="1083">
        <f>Risk_Compensation!A$1</f>
        <v>36</v>
      </c>
      <c r="C4402" s="1390" t="str">
        <f>Risk_Compensation!$B$1</f>
        <v xml:space="preserve">Risikoausgleich </v>
      </c>
      <c r="D4402" s="2205" t="s">
        <v>2572</v>
      </c>
      <c r="E4402" s="1390">
        <f>Risk_Compensation!$G59</f>
        <v>42</v>
      </c>
      <c r="F4402" s="1390" t="str">
        <f>Risk_Compensation!$W$17</f>
        <v>SG</v>
      </c>
      <c r="G4402" s="1390"/>
      <c r="H4402" s="1077">
        <f>Risk_Compensation!$W59</f>
        <v>0</v>
      </c>
    </row>
    <row r="4403" spans="1:8" x14ac:dyDescent="0.2">
      <c r="A4403" s="1027"/>
      <c r="B4403" s="1083">
        <f>Risk_Compensation!A$1</f>
        <v>36</v>
      </c>
      <c r="C4403" s="1390" t="str">
        <f>Risk_Compensation!$B$1</f>
        <v xml:space="preserve">Risikoausgleich </v>
      </c>
      <c r="D4403" s="2205" t="s">
        <v>2572</v>
      </c>
      <c r="E4403" s="1390">
        <f>Risk_Compensation!$G60</f>
        <v>43</v>
      </c>
      <c r="F4403" s="1390" t="str">
        <f>Risk_Compensation!$W$17</f>
        <v>SG</v>
      </c>
      <c r="G4403" s="1390"/>
      <c r="H4403" s="1077">
        <f>Risk_Compensation!$W60</f>
        <v>0</v>
      </c>
    </row>
    <row r="4404" spans="1:8" x14ac:dyDescent="0.2">
      <c r="A4404" s="1027"/>
      <c r="B4404" s="1083">
        <f>Risk_Compensation!A$1</f>
        <v>36</v>
      </c>
      <c r="C4404" s="1390" t="str">
        <f>Risk_Compensation!$B$1</f>
        <v xml:space="preserve">Risikoausgleich </v>
      </c>
      <c r="D4404" s="2205" t="s">
        <v>2572</v>
      </c>
      <c r="E4404" s="1390">
        <f>Risk_Compensation!$G61</f>
        <v>44</v>
      </c>
      <c r="F4404" s="1390" t="str">
        <f>Risk_Compensation!$W$17</f>
        <v>SG</v>
      </c>
      <c r="G4404" s="1390"/>
      <c r="H4404" s="1077">
        <f>Risk_Compensation!$W61</f>
        <v>0</v>
      </c>
    </row>
    <row r="4405" spans="1:8" x14ac:dyDescent="0.2">
      <c r="A4405" s="1027"/>
      <c r="B4405" s="1083">
        <f>Risk_Compensation!A$1</f>
        <v>36</v>
      </c>
      <c r="C4405" s="1390" t="str">
        <f>Risk_Compensation!$B$1</f>
        <v xml:space="preserve">Risikoausgleich </v>
      </c>
      <c r="D4405" s="2205" t="s">
        <v>2572</v>
      </c>
      <c r="E4405" s="1390">
        <f>Risk_Compensation!$G62</f>
        <v>45</v>
      </c>
      <c r="F4405" s="1390" t="str">
        <f>Risk_Compensation!$W$17</f>
        <v>SG</v>
      </c>
      <c r="G4405" s="1390"/>
      <c r="H4405" s="1077">
        <f>Risk_Compensation!$W62</f>
        <v>0</v>
      </c>
    </row>
    <row r="4406" spans="1:8" x14ac:dyDescent="0.2">
      <c r="A4406" s="1027"/>
      <c r="B4406" s="1083">
        <f>Risk_Compensation!A$1</f>
        <v>36</v>
      </c>
      <c r="C4406" s="1390" t="str">
        <f>Risk_Compensation!$B$1</f>
        <v xml:space="preserve">Risikoausgleich </v>
      </c>
      <c r="D4406" s="2205" t="s">
        <v>2572</v>
      </c>
      <c r="E4406" s="1390">
        <f>Risk_Compensation!$G63</f>
        <v>46</v>
      </c>
      <c r="F4406" s="1390" t="str">
        <f>Risk_Compensation!$W$17</f>
        <v>SG</v>
      </c>
      <c r="G4406" s="1390"/>
      <c r="H4406" s="1077">
        <f>Risk_Compensation!$W63</f>
        <v>0</v>
      </c>
    </row>
    <row r="4407" spans="1:8" x14ac:dyDescent="0.2">
      <c r="A4407" s="1027"/>
      <c r="B4407" s="1083">
        <f>Risk_Compensation!A$1</f>
        <v>36</v>
      </c>
      <c r="C4407" s="1390" t="str">
        <f>Risk_Compensation!$B$1</f>
        <v xml:space="preserve">Risikoausgleich </v>
      </c>
      <c r="D4407" s="2205" t="s">
        <v>2572</v>
      </c>
      <c r="E4407" s="1390">
        <f>Risk_Compensation!$G64</f>
        <v>47</v>
      </c>
      <c r="F4407" s="1390" t="str">
        <f>Risk_Compensation!$W$17</f>
        <v>SG</v>
      </c>
      <c r="G4407" s="1390"/>
      <c r="H4407" s="1077">
        <f>Risk_Compensation!$W64</f>
        <v>0</v>
      </c>
    </row>
    <row r="4408" spans="1:8" x14ac:dyDescent="0.2">
      <c r="A4408" s="1027"/>
      <c r="B4408" s="1083">
        <f>Risk_Compensation!A$1</f>
        <v>36</v>
      </c>
      <c r="C4408" s="1390" t="str">
        <f>Risk_Compensation!$B$1</f>
        <v xml:space="preserve">Risikoausgleich </v>
      </c>
      <c r="D4408" s="2205" t="s">
        <v>2572</v>
      </c>
      <c r="E4408" s="1390">
        <f>Risk_Compensation!$G65</f>
        <v>48</v>
      </c>
      <c r="F4408" s="1390" t="str">
        <f>Risk_Compensation!$W$17</f>
        <v>SG</v>
      </c>
      <c r="G4408" s="1390"/>
      <c r="H4408" s="1077">
        <f>Risk_Compensation!$W65</f>
        <v>0</v>
      </c>
    </row>
    <row r="4409" spans="1:8" x14ac:dyDescent="0.2">
      <c r="A4409" s="1027"/>
      <c r="B4409" s="1083">
        <f>Risk_Compensation!A$1</f>
        <v>36</v>
      </c>
      <c r="C4409" s="1390" t="str">
        <f>Risk_Compensation!$B$1</f>
        <v xml:space="preserve">Risikoausgleich </v>
      </c>
      <c r="D4409" s="2205" t="s">
        <v>2572</v>
      </c>
      <c r="E4409" s="1390">
        <f>Risk_Compensation!$G66</f>
        <v>49</v>
      </c>
      <c r="F4409" s="1390" t="str">
        <f>Risk_Compensation!$W$17</f>
        <v>SG</v>
      </c>
      <c r="G4409" s="1390"/>
      <c r="H4409" s="1077">
        <f>Risk_Compensation!$W66</f>
        <v>0</v>
      </c>
    </row>
    <row r="4410" spans="1:8" x14ac:dyDescent="0.2">
      <c r="A4410" s="1027"/>
      <c r="B4410" s="1083">
        <f>Risk_Compensation!A$1</f>
        <v>36</v>
      </c>
      <c r="C4410" s="1390" t="str">
        <f>Risk_Compensation!$B$1</f>
        <v xml:space="preserve">Risikoausgleich </v>
      </c>
      <c r="D4410" s="2205" t="s">
        <v>2572</v>
      </c>
      <c r="E4410" s="1390">
        <f>Risk_Compensation!$G67</f>
        <v>50</v>
      </c>
      <c r="F4410" s="1390" t="str">
        <f>Risk_Compensation!$W$17</f>
        <v>SG</v>
      </c>
      <c r="G4410" s="1390"/>
      <c r="H4410" s="1077">
        <f>Risk_Compensation!$W67</f>
        <v>0</v>
      </c>
    </row>
    <row r="4411" spans="1:8" x14ac:dyDescent="0.2">
      <c r="A4411" s="1027"/>
      <c r="B4411" s="1083">
        <f>Risk_Compensation!A$1</f>
        <v>36</v>
      </c>
      <c r="C4411" s="1390" t="str">
        <f>Risk_Compensation!$B$1</f>
        <v xml:space="preserve">Risikoausgleich </v>
      </c>
      <c r="D4411" s="2205" t="s">
        <v>2572</v>
      </c>
      <c r="E4411" s="1390">
        <f>Risk_Compensation!$G68</f>
        <v>51</v>
      </c>
      <c r="F4411" s="1390" t="str">
        <f>Risk_Compensation!$W$17</f>
        <v>SG</v>
      </c>
      <c r="G4411" s="1390"/>
      <c r="H4411" s="1077">
        <f>Risk_Compensation!$W68</f>
        <v>0</v>
      </c>
    </row>
    <row r="4412" spans="1:8" x14ac:dyDescent="0.2">
      <c r="A4412" s="1027"/>
      <c r="B4412" s="1083">
        <f>Risk_Compensation!A$1</f>
        <v>36</v>
      </c>
      <c r="C4412" s="1390" t="str">
        <f>Risk_Compensation!$B$1</f>
        <v xml:space="preserve">Risikoausgleich </v>
      </c>
      <c r="D4412" s="2205" t="s">
        <v>2572</v>
      </c>
      <c r="E4412" s="1390">
        <f>Risk_Compensation!$G69</f>
        <v>52</v>
      </c>
      <c r="F4412" s="1390" t="str">
        <f>Risk_Compensation!$W$17</f>
        <v>SG</v>
      </c>
      <c r="G4412" s="1390"/>
      <c r="H4412" s="1077">
        <f>Risk_Compensation!$W69</f>
        <v>0</v>
      </c>
    </row>
    <row r="4413" spans="1:8" x14ac:dyDescent="0.2">
      <c r="A4413" s="1027"/>
      <c r="B4413" s="1083">
        <f>Risk_Compensation!A$1</f>
        <v>36</v>
      </c>
      <c r="C4413" s="1390" t="str">
        <f>Risk_Compensation!$B$1</f>
        <v xml:space="preserve">Risikoausgleich </v>
      </c>
      <c r="D4413" s="2205" t="s">
        <v>2572</v>
      </c>
      <c r="E4413" s="1390">
        <f>Risk_Compensation!$G70</f>
        <v>53</v>
      </c>
      <c r="F4413" s="1390" t="str">
        <f>Risk_Compensation!$W$17</f>
        <v>SG</v>
      </c>
      <c r="G4413" s="1390"/>
      <c r="H4413" s="1077">
        <f>Risk_Compensation!$W70</f>
        <v>0</v>
      </c>
    </row>
    <row r="4414" spans="1:8" x14ac:dyDescent="0.2">
      <c r="A4414" s="1027"/>
      <c r="B4414" s="1083">
        <f>Risk_Compensation!A$1</f>
        <v>36</v>
      </c>
      <c r="C4414" s="1390" t="str">
        <f>Risk_Compensation!$B$1</f>
        <v xml:space="preserve">Risikoausgleich </v>
      </c>
      <c r="D4414" s="2205" t="s">
        <v>2572</v>
      </c>
      <c r="E4414" s="1390">
        <f>Risk_Compensation!$G71</f>
        <v>54</v>
      </c>
      <c r="F4414" s="1390" t="str">
        <f>Risk_Compensation!$W$17</f>
        <v>SG</v>
      </c>
      <c r="G4414" s="1390"/>
      <c r="H4414" s="1077">
        <f>Risk_Compensation!$W71</f>
        <v>0</v>
      </c>
    </row>
    <row r="4415" spans="1:8" x14ac:dyDescent="0.2">
      <c r="A4415" s="1027"/>
      <c r="B4415" s="1083">
        <f>Risk_Compensation!A$1</f>
        <v>36</v>
      </c>
      <c r="C4415" s="1390" t="str">
        <f>Risk_Compensation!$B$1</f>
        <v xml:space="preserve">Risikoausgleich </v>
      </c>
      <c r="D4415" s="2205" t="s">
        <v>2572</v>
      </c>
      <c r="E4415" s="1390">
        <f>Risk_Compensation!$G72</f>
        <v>55</v>
      </c>
      <c r="F4415" s="1390" t="str">
        <f>Risk_Compensation!$W$17</f>
        <v>SG</v>
      </c>
      <c r="G4415" s="1390"/>
      <c r="H4415" s="1077">
        <f>Risk_Compensation!$W72</f>
        <v>0</v>
      </c>
    </row>
    <row r="4416" spans="1:8" x14ac:dyDescent="0.2">
      <c r="A4416" s="1027"/>
      <c r="B4416" s="1083">
        <f>Risk_Compensation!A$1</f>
        <v>36</v>
      </c>
      <c r="C4416" s="1390" t="str">
        <f>Risk_Compensation!$B$1</f>
        <v xml:space="preserve">Risikoausgleich </v>
      </c>
      <c r="D4416" s="2205" t="s">
        <v>2572</v>
      </c>
      <c r="E4416" s="1390">
        <f>Risk_Compensation!$G73</f>
        <v>56</v>
      </c>
      <c r="F4416" s="1390" t="str">
        <f>Risk_Compensation!$W$17</f>
        <v>SG</v>
      </c>
      <c r="G4416" s="1390"/>
      <c r="H4416" s="1077">
        <f>Risk_Compensation!$W73</f>
        <v>0</v>
      </c>
    </row>
    <row r="4417" spans="1:8" x14ac:dyDescent="0.2">
      <c r="A4417" s="1027"/>
      <c r="B4417" s="1083">
        <f>Risk_Compensation!A$1</f>
        <v>36</v>
      </c>
      <c r="C4417" s="1390" t="str">
        <f>Risk_Compensation!$B$1</f>
        <v xml:space="preserve">Risikoausgleich </v>
      </c>
      <c r="D4417" s="2205" t="s">
        <v>2572</v>
      </c>
      <c r="E4417" s="1390">
        <f>Risk_Compensation!$G74</f>
        <v>57</v>
      </c>
      <c r="F4417" s="1390" t="str">
        <f>Risk_Compensation!$W$17</f>
        <v>SG</v>
      </c>
      <c r="G4417" s="1390"/>
      <c r="H4417" s="1077">
        <f>Risk_Compensation!$W74</f>
        <v>0</v>
      </c>
    </row>
    <row r="4418" spans="1:8" x14ac:dyDescent="0.2">
      <c r="A4418" s="1027"/>
      <c r="B4418" s="1083">
        <f>Risk_Compensation!A$1</f>
        <v>36</v>
      </c>
      <c r="C4418" s="1390" t="str">
        <f>Risk_Compensation!$B$1</f>
        <v xml:space="preserve">Risikoausgleich </v>
      </c>
      <c r="D4418" s="2205" t="s">
        <v>2572</v>
      </c>
      <c r="E4418" s="1390">
        <f>Risk_Compensation!$G75</f>
        <v>58</v>
      </c>
      <c r="F4418" s="1390" t="str">
        <f>Risk_Compensation!$W$17</f>
        <v>SG</v>
      </c>
      <c r="G4418" s="1390"/>
      <c r="H4418" s="1077">
        <f>Risk_Compensation!$W75</f>
        <v>0</v>
      </c>
    </row>
    <row r="4419" spans="1:8" x14ac:dyDescent="0.2">
      <c r="A4419" s="1027"/>
      <c r="B4419" s="1083">
        <f>Risk_Compensation!A$1</f>
        <v>36</v>
      </c>
      <c r="C4419" s="1390" t="str">
        <f>Risk_Compensation!$B$1</f>
        <v xml:space="preserve">Risikoausgleich </v>
      </c>
      <c r="D4419" s="2205" t="s">
        <v>2572</v>
      </c>
      <c r="E4419" s="1390">
        <f>Risk_Compensation!$G76</f>
        <v>59</v>
      </c>
      <c r="F4419" s="1390" t="str">
        <f>Risk_Compensation!$W$17</f>
        <v>SG</v>
      </c>
      <c r="G4419" s="1390"/>
      <c r="H4419" s="1077">
        <f>Risk_Compensation!$W76</f>
        <v>0</v>
      </c>
    </row>
    <row r="4420" spans="1:8" x14ac:dyDescent="0.2">
      <c r="A4420" s="1027"/>
      <c r="B4420" s="1083">
        <f>Risk_Compensation!A$1</f>
        <v>36</v>
      </c>
      <c r="C4420" s="1390" t="str">
        <f>Risk_Compensation!$B$1</f>
        <v xml:space="preserve">Risikoausgleich </v>
      </c>
      <c r="D4420" s="2205" t="s">
        <v>2572</v>
      </c>
      <c r="E4420" s="1390">
        <f>Risk_Compensation!$G77</f>
        <v>60</v>
      </c>
      <c r="F4420" s="1390" t="str">
        <f>Risk_Compensation!$W$17</f>
        <v>SG</v>
      </c>
      <c r="G4420" s="1390"/>
      <c r="H4420" s="1077">
        <f>Risk_Compensation!$W77</f>
        <v>0</v>
      </c>
    </row>
    <row r="4421" spans="1:8" x14ac:dyDescent="0.2">
      <c r="A4421" s="1027"/>
      <c r="B4421" s="2174"/>
      <c r="C4421" s="1390"/>
      <c r="D4421" s="2175"/>
      <c r="E4421" s="2176"/>
      <c r="F4421" s="1390"/>
      <c r="G4421" s="1390"/>
      <c r="H4421" s="1078"/>
    </row>
    <row r="4422" spans="1:8" x14ac:dyDescent="0.2">
      <c r="A4422" s="1027"/>
      <c r="B4422" s="1083">
        <f>Risk_Compensation!A$1</f>
        <v>36</v>
      </c>
      <c r="C4422" s="1390" t="str">
        <f>Risk_Compensation!$B$1</f>
        <v xml:space="preserve">Risikoausgleich </v>
      </c>
      <c r="D4422" s="2205" t="s">
        <v>2572</v>
      </c>
      <c r="E4422" s="1390">
        <f>Risk_Compensation!$G18</f>
        <v>1</v>
      </c>
      <c r="F4422" s="1390" t="str">
        <f>Risk_Compensation!$X$17</f>
        <v>SH</v>
      </c>
      <c r="G4422" s="1390"/>
      <c r="H4422" s="1077">
        <f>Risk_Compensation!$X18</f>
        <v>0</v>
      </c>
    </row>
    <row r="4423" spans="1:8" x14ac:dyDescent="0.2">
      <c r="A4423" s="1027"/>
      <c r="B4423" s="1083">
        <f>Risk_Compensation!A$1</f>
        <v>36</v>
      </c>
      <c r="C4423" s="1390" t="str">
        <f>Risk_Compensation!$B$1</f>
        <v xml:space="preserve">Risikoausgleich </v>
      </c>
      <c r="D4423" s="2205" t="s">
        <v>2572</v>
      </c>
      <c r="E4423" s="1390">
        <f>Risk_Compensation!$G19</f>
        <v>2</v>
      </c>
      <c r="F4423" s="1390" t="str">
        <f>Risk_Compensation!$X$17</f>
        <v>SH</v>
      </c>
      <c r="G4423" s="1390"/>
      <c r="H4423" s="1077">
        <f>Risk_Compensation!$X19</f>
        <v>0</v>
      </c>
    </row>
    <row r="4424" spans="1:8" x14ac:dyDescent="0.2">
      <c r="A4424" s="1027"/>
      <c r="B4424" s="1083">
        <f>Risk_Compensation!A$1</f>
        <v>36</v>
      </c>
      <c r="C4424" s="1390" t="str">
        <f>Risk_Compensation!$B$1</f>
        <v xml:space="preserve">Risikoausgleich </v>
      </c>
      <c r="D4424" s="2205" t="s">
        <v>2572</v>
      </c>
      <c r="E4424" s="1390">
        <f>Risk_Compensation!$G20</f>
        <v>3</v>
      </c>
      <c r="F4424" s="1390" t="str">
        <f>Risk_Compensation!$X$17</f>
        <v>SH</v>
      </c>
      <c r="G4424" s="1390"/>
      <c r="H4424" s="1077">
        <f>Risk_Compensation!$X20</f>
        <v>0</v>
      </c>
    </row>
    <row r="4425" spans="1:8" x14ac:dyDescent="0.2">
      <c r="A4425" s="1027"/>
      <c r="B4425" s="1083">
        <f>Risk_Compensation!A$1</f>
        <v>36</v>
      </c>
      <c r="C4425" s="1390" t="str">
        <f>Risk_Compensation!$B$1</f>
        <v xml:space="preserve">Risikoausgleich </v>
      </c>
      <c r="D4425" s="2205" t="s">
        <v>2572</v>
      </c>
      <c r="E4425" s="1390">
        <f>Risk_Compensation!$G21</f>
        <v>4</v>
      </c>
      <c r="F4425" s="1390" t="str">
        <f>Risk_Compensation!$X$17</f>
        <v>SH</v>
      </c>
      <c r="G4425" s="1390"/>
      <c r="H4425" s="1077">
        <f>Risk_Compensation!$X21</f>
        <v>0</v>
      </c>
    </row>
    <row r="4426" spans="1:8" x14ac:dyDescent="0.2">
      <c r="A4426" s="1027"/>
      <c r="B4426" s="1083">
        <f>Risk_Compensation!A$1</f>
        <v>36</v>
      </c>
      <c r="C4426" s="1390" t="str">
        <f>Risk_Compensation!$B$1</f>
        <v xml:space="preserve">Risikoausgleich </v>
      </c>
      <c r="D4426" s="2205" t="s">
        <v>2572</v>
      </c>
      <c r="E4426" s="1390">
        <f>Risk_Compensation!$G22</f>
        <v>5</v>
      </c>
      <c r="F4426" s="1390" t="str">
        <f>Risk_Compensation!$X$17</f>
        <v>SH</v>
      </c>
      <c r="G4426" s="1390"/>
      <c r="H4426" s="1077">
        <f>Risk_Compensation!$X22</f>
        <v>0</v>
      </c>
    </row>
    <row r="4427" spans="1:8" x14ac:dyDescent="0.2">
      <c r="A4427" s="1027"/>
      <c r="B4427" s="1083">
        <f>Risk_Compensation!A$1</f>
        <v>36</v>
      </c>
      <c r="C4427" s="1390" t="str">
        <f>Risk_Compensation!$B$1</f>
        <v xml:space="preserve">Risikoausgleich </v>
      </c>
      <c r="D4427" s="2205" t="s">
        <v>2572</v>
      </c>
      <c r="E4427" s="1390">
        <f>Risk_Compensation!$G23</f>
        <v>6</v>
      </c>
      <c r="F4427" s="1390" t="str">
        <f>Risk_Compensation!$X$17</f>
        <v>SH</v>
      </c>
      <c r="G4427" s="1390"/>
      <c r="H4427" s="1077">
        <f>Risk_Compensation!$X23</f>
        <v>0</v>
      </c>
    </row>
    <row r="4428" spans="1:8" x14ac:dyDescent="0.2">
      <c r="A4428" s="1027"/>
      <c r="B4428" s="1083">
        <f>Risk_Compensation!A$1</f>
        <v>36</v>
      </c>
      <c r="C4428" s="1390" t="str">
        <f>Risk_Compensation!$B$1</f>
        <v xml:space="preserve">Risikoausgleich </v>
      </c>
      <c r="D4428" s="2205" t="s">
        <v>2572</v>
      </c>
      <c r="E4428" s="1390">
        <f>Risk_Compensation!$G24</f>
        <v>7</v>
      </c>
      <c r="F4428" s="1390" t="str">
        <f>Risk_Compensation!$X$17</f>
        <v>SH</v>
      </c>
      <c r="G4428" s="1390"/>
      <c r="H4428" s="1077">
        <f>Risk_Compensation!$X24</f>
        <v>0</v>
      </c>
    </row>
    <row r="4429" spans="1:8" x14ac:dyDescent="0.2">
      <c r="A4429" s="1027"/>
      <c r="B4429" s="1083">
        <f>Risk_Compensation!A$1</f>
        <v>36</v>
      </c>
      <c r="C4429" s="1390" t="str">
        <f>Risk_Compensation!$B$1</f>
        <v xml:space="preserve">Risikoausgleich </v>
      </c>
      <c r="D4429" s="2205" t="s">
        <v>2572</v>
      </c>
      <c r="E4429" s="1390">
        <f>Risk_Compensation!$G25</f>
        <v>8</v>
      </c>
      <c r="F4429" s="1390" t="str">
        <f>Risk_Compensation!$X$17</f>
        <v>SH</v>
      </c>
      <c r="G4429" s="1390"/>
      <c r="H4429" s="1077">
        <f>Risk_Compensation!$X25</f>
        <v>0</v>
      </c>
    </row>
    <row r="4430" spans="1:8" x14ac:dyDescent="0.2">
      <c r="A4430" s="1027"/>
      <c r="B4430" s="1083">
        <f>Risk_Compensation!A$1</f>
        <v>36</v>
      </c>
      <c r="C4430" s="1390" t="str">
        <f>Risk_Compensation!$B$1</f>
        <v xml:space="preserve">Risikoausgleich </v>
      </c>
      <c r="D4430" s="2205" t="s">
        <v>2572</v>
      </c>
      <c r="E4430" s="1390">
        <f>Risk_Compensation!$G26</f>
        <v>9</v>
      </c>
      <c r="F4430" s="1390" t="str">
        <f>Risk_Compensation!$X$17</f>
        <v>SH</v>
      </c>
      <c r="G4430" s="1390"/>
      <c r="H4430" s="1077">
        <f>Risk_Compensation!$X26</f>
        <v>0</v>
      </c>
    </row>
    <row r="4431" spans="1:8" x14ac:dyDescent="0.2">
      <c r="A4431" s="1027"/>
      <c r="B4431" s="1083">
        <f>Risk_Compensation!A$1</f>
        <v>36</v>
      </c>
      <c r="C4431" s="1390" t="str">
        <f>Risk_Compensation!$B$1</f>
        <v xml:space="preserve">Risikoausgleich </v>
      </c>
      <c r="D4431" s="2205" t="s">
        <v>2572</v>
      </c>
      <c r="E4431" s="1390">
        <f>Risk_Compensation!$G27</f>
        <v>10</v>
      </c>
      <c r="F4431" s="1390" t="str">
        <f>Risk_Compensation!$X$17</f>
        <v>SH</v>
      </c>
      <c r="G4431" s="1390"/>
      <c r="H4431" s="1077">
        <f>Risk_Compensation!$X27</f>
        <v>0</v>
      </c>
    </row>
    <row r="4432" spans="1:8" x14ac:dyDescent="0.2">
      <c r="A4432" s="1027"/>
      <c r="B4432" s="1083">
        <f>Risk_Compensation!A$1</f>
        <v>36</v>
      </c>
      <c r="C4432" s="1390" t="str">
        <f>Risk_Compensation!$B$1</f>
        <v xml:space="preserve">Risikoausgleich </v>
      </c>
      <c r="D4432" s="2205" t="s">
        <v>2572</v>
      </c>
      <c r="E4432" s="1390">
        <f>Risk_Compensation!$G28</f>
        <v>11</v>
      </c>
      <c r="F4432" s="1390" t="str">
        <f>Risk_Compensation!$X$17</f>
        <v>SH</v>
      </c>
      <c r="G4432" s="1390"/>
      <c r="H4432" s="1077">
        <f>Risk_Compensation!$X28</f>
        <v>0</v>
      </c>
    </row>
    <row r="4433" spans="1:8" x14ac:dyDescent="0.2">
      <c r="A4433" s="1027"/>
      <c r="B4433" s="1083">
        <f>Risk_Compensation!A$1</f>
        <v>36</v>
      </c>
      <c r="C4433" s="1390" t="str">
        <f>Risk_Compensation!$B$1</f>
        <v xml:space="preserve">Risikoausgleich </v>
      </c>
      <c r="D4433" s="2205" t="s">
        <v>2572</v>
      </c>
      <c r="E4433" s="1390">
        <f>Risk_Compensation!$G29</f>
        <v>12</v>
      </c>
      <c r="F4433" s="1390" t="str">
        <f>Risk_Compensation!$X$17</f>
        <v>SH</v>
      </c>
      <c r="G4433" s="1390"/>
      <c r="H4433" s="1077">
        <f>Risk_Compensation!$X29</f>
        <v>0</v>
      </c>
    </row>
    <row r="4434" spans="1:8" x14ac:dyDescent="0.2">
      <c r="A4434" s="1027"/>
      <c r="B4434" s="1083">
        <f>Risk_Compensation!A$1</f>
        <v>36</v>
      </c>
      <c r="C4434" s="1390" t="str">
        <f>Risk_Compensation!$B$1</f>
        <v xml:space="preserve">Risikoausgleich </v>
      </c>
      <c r="D4434" s="2205" t="s">
        <v>2572</v>
      </c>
      <c r="E4434" s="1390">
        <f>Risk_Compensation!$G30</f>
        <v>13</v>
      </c>
      <c r="F4434" s="1390" t="str">
        <f>Risk_Compensation!$X$17</f>
        <v>SH</v>
      </c>
      <c r="G4434" s="1390"/>
      <c r="H4434" s="1077">
        <f>Risk_Compensation!$X30</f>
        <v>0</v>
      </c>
    </row>
    <row r="4435" spans="1:8" x14ac:dyDescent="0.2">
      <c r="A4435" s="1027"/>
      <c r="B4435" s="1083">
        <f>Risk_Compensation!A$1</f>
        <v>36</v>
      </c>
      <c r="C4435" s="1390" t="str">
        <f>Risk_Compensation!$B$1</f>
        <v xml:space="preserve">Risikoausgleich </v>
      </c>
      <c r="D4435" s="2205" t="s">
        <v>2572</v>
      </c>
      <c r="E4435" s="1390">
        <f>Risk_Compensation!$G31</f>
        <v>14</v>
      </c>
      <c r="F4435" s="1390" t="str">
        <f>Risk_Compensation!$X$17</f>
        <v>SH</v>
      </c>
      <c r="G4435" s="1390"/>
      <c r="H4435" s="1077">
        <f>Risk_Compensation!$X31</f>
        <v>0</v>
      </c>
    </row>
    <row r="4436" spans="1:8" x14ac:dyDescent="0.2">
      <c r="A4436" s="1027"/>
      <c r="B4436" s="1083">
        <f>Risk_Compensation!A$1</f>
        <v>36</v>
      </c>
      <c r="C4436" s="1390" t="str">
        <f>Risk_Compensation!$B$1</f>
        <v xml:space="preserve">Risikoausgleich </v>
      </c>
      <c r="D4436" s="2205" t="s">
        <v>2572</v>
      </c>
      <c r="E4436" s="1390">
        <f>Risk_Compensation!$G32</f>
        <v>15</v>
      </c>
      <c r="F4436" s="1390" t="str">
        <f>Risk_Compensation!$X$17</f>
        <v>SH</v>
      </c>
      <c r="G4436" s="1390"/>
      <c r="H4436" s="1077">
        <f>Risk_Compensation!$X32</f>
        <v>0</v>
      </c>
    </row>
    <row r="4437" spans="1:8" x14ac:dyDescent="0.2">
      <c r="A4437" s="1027"/>
      <c r="B4437" s="1083">
        <f>Risk_Compensation!A$1</f>
        <v>36</v>
      </c>
      <c r="C4437" s="1390" t="str">
        <f>Risk_Compensation!$B$1</f>
        <v xml:space="preserve">Risikoausgleich </v>
      </c>
      <c r="D4437" s="2205" t="s">
        <v>2572</v>
      </c>
      <c r="E4437" s="1390">
        <f>Risk_Compensation!$G33</f>
        <v>16</v>
      </c>
      <c r="F4437" s="1390" t="str">
        <f>Risk_Compensation!$X$17</f>
        <v>SH</v>
      </c>
      <c r="G4437" s="1390"/>
      <c r="H4437" s="1077">
        <f>Risk_Compensation!$X33</f>
        <v>0</v>
      </c>
    </row>
    <row r="4438" spans="1:8" x14ac:dyDescent="0.2">
      <c r="A4438" s="1027"/>
      <c r="B4438" s="1083">
        <f>Risk_Compensation!A$1</f>
        <v>36</v>
      </c>
      <c r="C4438" s="1390" t="str">
        <f>Risk_Compensation!$B$1</f>
        <v xml:space="preserve">Risikoausgleich </v>
      </c>
      <c r="D4438" s="2205" t="s">
        <v>2572</v>
      </c>
      <c r="E4438" s="1390">
        <f>Risk_Compensation!$G34</f>
        <v>17</v>
      </c>
      <c r="F4438" s="1390" t="str">
        <f>Risk_Compensation!$X$17</f>
        <v>SH</v>
      </c>
      <c r="G4438" s="1390"/>
      <c r="H4438" s="1077">
        <f>Risk_Compensation!$X34</f>
        <v>0</v>
      </c>
    </row>
    <row r="4439" spans="1:8" x14ac:dyDescent="0.2">
      <c r="A4439" s="1027"/>
      <c r="B4439" s="1083">
        <f>Risk_Compensation!A$1</f>
        <v>36</v>
      </c>
      <c r="C4439" s="1390" t="str">
        <f>Risk_Compensation!$B$1</f>
        <v xml:space="preserve">Risikoausgleich </v>
      </c>
      <c r="D4439" s="2205" t="s">
        <v>2572</v>
      </c>
      <c r="E4439" s="1390">
        <f>Risk_Compensation!$G35</f>
        <v>18</v>
      </c>
      <c r="F4439" s="1390" t="str">
        <f>Risk_Compensation!$X$17</f>
        <v>SH</v>
      </c>
      <c r="G4439" s="1390"/>
      <c r="H4439" s="1077">
        <f>Risk_Compensation!$X35</f>
        <v>0</v>
      </c>
    </row>
    <row r="4440" spans="1:8" x14ac:dyDescent="0.2">
      <c r="A4440" s="1027"/>
      <c r="B4440" s="1083">
        <f>Risk_Compensation!A$1</f>
        <v>36</v>
      </c>
      <c r="C4440" s="1390" t="str">
        <f>Risk_Compensation!$B$1</f>
        <v xml:space="preserve">Risikoausgleich </v>
      </c>
      <c r="D4440" s="2205" t="s">
        <v>2572</v>
      </c>
      <c r="E4440" s="1390">
        <f>Risk_Compensation!$G36</f>
        <v>19</v>
      </c>
      <c r="F4440" s="1390" t="str">
        <f>Risk_Compensation!$X$17</f>
        <v>SH</v>
      </c>
      <c r="G4440" s="1390"/>
      <c r="H4440" s="1077">
        <f>Risk_Compensation!$X36</f>
        <v>0</v>
      </c>
    </row>
    <row r="4441" spans="1:8" x14ac:dyDescent="0.2">
      <c r="A4441" s="1027"/>
      <c r="B4441" s="1083">
        <f>Risk_Compensation!A$1</f>
        <v>36</v>
      </c>
      <c r="C4441" s="1390" t="str">
        <f>Risk_Compensation!$B$1</f>
        <v xml:space="preserve">Risikoausgleich </v>
      </c>
      <c r="D4441" s="2205" t="s">
        <v>2572</v>
      </c>
      <c r="E4441" s="1390">
        <f>Risk_Compensation!$G37</f>
        <v>20</v>
      </c>
      <c r="F4441" s="1390" t="str">
        <f>Risk_Compensation!$X$17</f>
        <v>SH</v>
      </c>
      <c r="G4441" s="1390"/>
      <c r="H4441" s="1077">
        <f>Risk_Compensation!$X37</f>
        <v>0</v>
      </c>
    </row>
    <row r="4442" spans="1:8" x14ac:dyDescent="0.2">
      <c r="A4442" s="1027"/>
      <c r="B4442" s="1083">
        <f>Risk_Compensation!A$1</f>
        <v>36</v>
      </c>
      <c r="C4442" s="1390" t="str">
        <f>Risk_Compensation!$B$1</f>
        <v xml:space="preserve">Risikoausgleich </v>
      </c>
      <c r="D4442" s="2205" t="s">
        <v>2572</v>
      </c>
      <c r="E4442" s="1390">
        <f>Risk_Compensation!$G38</f>
        <v>21</v>
      </c>
      <c r="F4442" s="1390" t="str">
        <f>Risk_Compensation!$X$17</f>
        <v>SH</v>
      </c>
      <c r="G4442" s="1390"/>
      <c r="H4442" s="1077">
        <f>Risk_Compensation!$X38</f>
        <v>0</v>
      </c>
    </row>
    <row r="4443" spans="1:8" x14ac:dyDescent="0.2">
      <c r="A4443" s="1027"/>
      <c r="B4443" s="1083">
        <f>Risk_Compensation!A$1</f>
        <v>36</v>
      </c>
      <c r="C4443" s="1390" t="str">
        <f>Risk_Compensation!$B$1</f>
        <v xml:space="preserve">Risikoausgleich </v>
      </c>
      <c r="D4443" s="2205" t="s">
        <v>2572</v>
      </c>
      <c r="E4443" s="1390">
        <f>Risk_Compensation!$G39</f>
        <v>22</v>
      </c>
      <c r="F4443" s="1390" t="str">
        <f>Risk_Compensation!$X$17</f>
        <v>SH</v>
      </c>
      <c r="G4443" s="1390"/>
      <c r="H4443" s="1077">
        <f>Risk_Compensation!$X39</f>
        <v>0</v>
      </c>
    </row>
    <row r="4444" spans="1:8" x14ac:dyDescent="0.2">
      <c r="A4444" s="1027"/>
      <c r="B4444" s="1083">
        <f>Risk_Compensation!A$1</f>
        <v>36</v>
      </c>
      <c r="C4444" s="1390" t="str">
        <f>Risk_Compensation!$B$1</f>
        <v xml:space="preserve">Risikoausgleich </v>
      </c>
      <c r="D4444" s="2205" t="s">
        <v>2572</v>
      </c>
      <c r="E4444" s="1390">
        <f>Risk_Compensation!$G40</f>
        <v>23</v>
      </c>
      <c r="F4444" s="1390" t="str">
        <f>Risk_Compensation!$X$17</f>
        <v>SH</v>
      </c>
      <c r="G4444" s="1390"/>
      <c r="H4444" s="1077">
        <f>Risk_Compensation!$X40</f>
        <v>0</v>
      </c>
    </row>
    <row r="4445" spans="1:8" x14ac:dyDescent="0.2">
      <c r="A4445" s="1027"/>
      <c r="B4445" s="1083">
        <f>Risk_Compensation!A$1</f>
        <v>36</v>
      </c>
      <c r="C4445" s="1390" t="str">
        <f>Risk_Compensation!$B$1</f>
        <v xml:space="preserve">Risikoausgleich </v>
      </c>
      <c r="D4445" s="2205" t="s">
        <v>2572</v>
      </c>
      <c r="E4445" s="1390">
        <f>Risk_Compensation!$G41</f>
        <v>24</v>
      </c>
      <c r="F4445" s="1390" t="str">
        <f>Risk_Compensation!$X$17</f>
        <v>SH</v>
      </c>
      <c r="G4445" s="1390"/>
      <c r="H4445" s="1077">
        <f>Risk_Compensation!$X41</f>
        <v>0</v>
      </c>
    </row>
    <row r="4446" spans="1:8" x14ac:dyDescent="0.2">
      <c r="A4446" s="1027"/>
      <c r="B4446" s="1083">
        <f>Risk_Compensation!A$1</f>
        <v>36</v>
      </c>
      <c r="C4446" s="1390" t="str">
        <f>Risk_Compensation!$B$1</f>
        <v xml:space="preserve">Risikoausgleich </v>
      </c>
      <c r="D4446" s="2205" t="s">
        <v>2572</v>
      </c>
      <c r="E4446" s="1390">
        <f>Risk_Compensation!$G42</f>
        <v>25</v>
      </c>
      <c r="F4446" s="1390" t="str">
        <f>Risk_Compensation!$X$17</f>
        <v>SH</v>
      </c>
      <c r="G4446" s="1390"/>
      <c r="H4446" s="1077">
        <f>Risk_Compensation!$X42</f>
        <v>0</v>
      </c>
    </row>
    <row r="4447" spans="1:8" x14ac:dyDescent="0.2">
      <c r="A4447" s="1027"/>
      <c r="B4447" s="1083">
        <f>Risk_Compensation!A$1</f>
        <v>36</v>
      </c>
      <c r="C4447" s="1390" t="str">
        <f>Risk_Compensation!$B$1</f>
        <v xml:space="preserve">Risikoausgleich </v>
      </c>
      <c r="D4447" s="2205" t="s">
        <v>2572</v>
      </c>
      <c r="E4447" s="1390">
        <f>Risk_Compensation!$G43</f>
        <v>26</v>
      </c>
      <c r="F4447" s="1390" t="str">
        <f>Risk_Compensation!$X$17</f>
        <v>SH</v>
      </c>
      <c r="G4447" s="1390"/>
      <c r="H4447" s="1077">
        <f>Risk_Compensation!$X43</f>
        <v>0</v>
      </c>
    </row>
    <row r="4448" spans="1:8" x14ac:dyDescent="0.2">
      <c r="A4448" s="1027"/>
      <c r="B4448" s="1083">
        <f>Risk_Compensation!A$1</f>
        <v>36</v>
      </c>
      <c r="C4448" s="1390" t="str">
        <f>Risk_Compensation!$B$1</f>
        <v xml:space="preserve">Risikoausgleich </v>
      </c>
      <c r="D4448" s="2205" t="s">
        <v>2572</v>
      </c>
      <c r="E4448" s="1390">
        <f>Risk_Compensation!$G44</f>
        <v>27</v>
      </c>
      <c r="F4448" s="1390" t="str">
        <f>Risk_Compensation!$X$17</f>
        <v>SH</v>
      </c>
      <c r="G4448" s="1390"/>
      <c r="H4448" s="1077">
        <f>Risk_Compensation!$X44</f>
        <v>0</v>
      </c>
    </row>
    <row r="4449" spans="1:8" x14ac:dyDescent="0.2">
      <c r="A4449" s="1027"/>
      <c r="B4449" s="1083">
        <f>Risk_Compensation!A$1</f>
        <v>36</v>
      </c>
      <c r="C4449" s="1390" t="str">
        <f>Risk_Compensation!$B$1</f>
        <v xml:space="preserve">Risikoausgleich </v>
      </c>
      <c r="D4449" s="2205" t="s">
        <v>2572</v>
      </c>
      <c r="E4449" s="1390">
        <f>Risk_Compensation!$G45</f>
        <v>28</v>
      </c>
      <c r="F4449" s="1390" t="str">
        <f>Risk_Compensation!$X$17</f>
        <v>SH</v>
      </c>
      <c r="G4449" s="1390"/>
      <c r="H4449" s="1077">
        <f>Risk_Compensation!$X45</f>
        <v>0</v>
      </c>
    </row>
    <row r="4450" spans="1:8" x14ac:dyDescent="0.2">
      <c r="A4450" s="1027"/>
      <c r="B4450" s="1083">
        <f>Risk_Compensation!A$1</f>
        <v>36</v>
      </c>
      <c r="C4450" s="1390" t="str">
        <f>Risk_Compensation!$B$1</f>
        <v xml:space="preserve">Risikoausgleich </v>
      </c>
      <c r="D4450" s="2205" t="s">
        <v>2572</v>
      </c>
      <c r="E4450" s="1390">
        <f>Risk_Compensation!$G46</f>
        <v>29</v>
      </c>
      <c r="F4450" s="1390" t="str">
        <f>Risk_Compensation!$X$17</f>
        <v>SH</v>
      </c>
      <c r="G4450" s="1390"/>
      <c r="H4450" s="1077">
        <f>Risk_Compensation!$X46</f>
        <v>0</v>
      </c>
    </row>
    <row r="4451" spans="1:8" x14ac:dyDescent="0.2">
      <c r="A4451" s="1027"/>
      <c r="B4451" s="1083">
        <f>Risk_Compensation!A$1</f>
        <v>36</v>
      </c>
      <c r="C4451" s="1390" t="str">
        <f>Risk_Compensation!$B$1</f>
        <v xml:space="preserve">Risikoausgleich </v>
      </c>
      <c r="D4451" s="2205" t="s">
        <v>2572</v>
      </c>
      <c r="E4451" s="1390">
        <f>Risk_Compensation!$G47</f>
        <v>30</v>
      </c>
      <c r="F4451" s="1390" t="str">
        <f>Risk_Compensation!$X$17</f>
        <v>SH</v>
      </c>
      <c r="G4451" s="1390"/>
      <c r="H4451" s="1077">
        <f>Risk_Compensation!$X47</f>
        <v>0</v>
      </c>
    </row>
    <row r="4452" spans="1:8" x14ac:dyDescent="0.2">
      <c r="A4452" s="1027"/>
      <c r="B4452" s="1083">
        <f>Risk_Compensation!A$1</f>
        <v>36</v>
      </c>
      <c r="C4452" s="1390" t="str">
        <f>Risk_Compensation!$B$1</f>
        <v xml:space="preserve">Risikoausgleich </v>
      </c>
      <c r="D4452" s="2205" t="s">
        <v>2572</v>
      </c>
      <c r="E4452" s="1390">
        <f>Risk_Compensation!$G48</f>
        <v>31</v>
      </c>
      <c r="F4452" s="1390" t="str">
        <f>Risk_Compensation!$X$17</f>
        <v>SH</v>
      </c>
      <c r="G4452" s="1390"/>
      <c r="H4452" s="1077">
        <f>Risk_Compensation!$X48</f>
        <v>0</v>
      </c>
    </row>
    <row r="4453" spans="1:8" x14ac:dyDescent="0.2">
      <c r="A4453" s="1027"/>
      <c r="B4453" s="1083">
        <f>Risk_Compensation!A$1</f>
        <v>36</v>
      </c>
      <c r="C4453" s="1390" t="str">
        <f>Risk_Compensation!$B$1</f>
        <v xml:space="preserve">Risikoausgleich </v>
      </c>
      <c r="D4453" s="2205" t="s">
        <v>2572</v>
      </c>
      <c r="E4453" s="1390">
        <f>Risk_Compensation!$G49</f>
        <v>32</v>
      </c>
      <c r="F4453" s="1390" t="str">
        <f>Risk_Compensation!$X$17</f>
        <v>SH</v>
      </c>
      <c r="G4453" s="1390"/>
      <c r="H4453" s="1077">
        <f>Risk_Compensation!$X49</f>
        <v>0</v>
      </c>
    </row>
    <row r="4454" spans="1:8" x14ac:dyDescent="0.2">
      <c r="A4454" s="1027"/>
      <c r="B4454" s="1083">
        <f>Risk_Compensation!A$1</f>
        <v>36</v>
      </c>
      <c r="C4454" s="1390" t="str">
        <f>Risk_Compensation!$B$1</f>
        <v xml:space="preserve">Risikoausgleich </v>
      </c>
      <c r="D4454" s="2205" t="s">
        <v>2572</v>
      </c>
      <c r="E4454" s="1390">
        <f>Risk_Compensation!$G50</f>
        <v>33</v>
      </c>
      <c r="F4454" s="1390" t="str">
        <f>Risk_Compensation!$X$17</f>
        <v>SH</v>
      </c>
      <c r="G4454" s="1390"/>
      <c r="H4454" s="1077">
        <f>Risk_Compensation!$X50</f>
        <v>0</v>
      </c>
    </row>
    <row r="4455" spans="1:8" x14ac:dyDescent="0.2">
      <c r="A4455" s="1027"/>
      <c r="B4455" s="1083">
        <f>Risk_Compensation!A$1</f>
        <v>36</v>
      </c>
      <c r="C4455" s="1390" t="str">
        <f>Risk_Compensation!$B$1</f>
        <v xml:space="preserve">Risikoausgleich </v>
      </c>
      <c r="D4455" s="2205" t="s">
        <v>2572</v>
      </c>
      <c r="E4455" s="1390">
        <f>Risk_Compensation!$G51</f>
        <v>34</v>
      </c>
      <c r="F4455" s="1390" t="str">
        <f>Risk_Compensation!$X$17</f>
        <v>SH</v>
      </c>
      <c r="G4455" s="1390"/>
      <c r="H4455" s="1077">
        <f>Risk_Compensation!$X51</f>
        <v>0</v>
      </c>
    </row>
    <row r="4456" spans="1:8" x14ac:dyDescent="0.2">
      <c r="A4456" s="1027"/>
      <c r="B4456" s="1083">
        <f>Risk_Compensation!A$1</f>
        <v>36</v>
      </c>
      <c r="C4456" s="1390" t="str">
        <f>Risk_Compensation!$B$1</f>
        <v xml:space="preserve">Risikoausgleich </v>
      </c>
      <c r="D4456" s="2205" t="s">
        <v>2572</v>
      </c>
      <c r="E4456" s="1390">
        <f>Risk_Compensation!$G52</f>
        <v>35</v>
      </c>
      <c r="F4456" s="1390" t="str">
        <f>Risk_Compensation!$X$17</f>
        <v>SH</v>
      </c>
      <c r="G4456" s="1390"/>
      <c r="H4456" s="1077">
        <f>Risk_Compensation!$X52</f>
        <v>0</v>
      </c>
    </row>
    <row r="4457" spans="1:8" x14ac:dyDescent="0.2">
      <c r="A4457" s="1027"/>
      <c r="B4457" s="1083">
        <f>Risk_Compensation!A$1</f>
        <v>36</v>
      </c>
      <c r="C4457" s="1390" t="str">
        <f>Risk_Compensation!$B$1</f>
        <v xml:space="preserve">Risikoausgleich </v>
      </c>
      <c r="D4457" s="2205" t="s">
        <v>2572</v>
      </c>
      <c r="E4457" s="1390">
        <f>Risk_Compensation!$G53</f>
        <v>36</v>
      </c>
      <c r="F4457" s="1390" t="str">
        <f>Risk_Compensation!$X$17</f>
        <v>SH</v>
      </c>
      <c r="G4457" s="1390"/>
      <c r="H4457" s="1077">
        <f>Risk_Compensation!$X53</f>
        <v>0</v>
      </c>
    </row>
    <row r="4458" spans="1:8" x14ac:dyDescent="0.2">
      <c r="A4458" s="1027"/>
      <c r="B4458" s="1083">
        <f>Risk_Compensation!A$1</f>
        <v>36</v>
      </c>
      <c r="C4458" s="1390" t="str">
        <f>Risk_Compensation!$B$1</f>
        <v xml:space="preserve">Risikoausgleich </v>
      </c>
      <c r="D4458" s="2205" t="s">
        <v>2572</v>
      </c>
      <c r="E4458" s="1390">
        <f>Risk_Compensation!$G54</f>
        <v>37</v>
      </c>
      <c r="F4458" s="1390" t="str">
        <f>Risk_Compensation!$X$17</f>
        <v>SH</v>
      </c>
      <c r="G4458" s="1390"/>
      <c r="H4458" s="1077">
        <f>Risk_Compensation!$X54</f>
        <v>0</v>
      </c>
    </row>
    <row r="4459" spans="1:8" x14ac:dyDescent="0.2">
      <c r="A4459" s="1027"/>
      <c r="B4459" s="1083">
        <f>Risk_Compensation!A$1</f>
        <v>36</v>
      </c>
      <c r="C4459" s="1390" t="str">
        <f>Risk_Compensation!$B$1</f>
        <v xml:space="preserve">Risikoausgleich </v>
      </c>
      <c r="D4459" s="2205" t="s">
        <v>2572</v>
      </c>
      <c r="E4459" s="1390">
        <f>Risk_Compensation!$G55</f>
        <v>38</v>
      </c>
      <c r="F4459" s="1390" t="str">
        <f>Risk_Compensation!$X$17</f>
        <v>SH</v>
      </c>
      <c r="G4459" s="1390"/>
      <c r="H4459" s="1077">
        <f>Risk_Compensation!$X55</f>
        <v>0</v>
      </c>
    </row>
    <row r="4460" spans="1:8" x14ac:dyDescent="0.2">
      <c r="A4460" s="1027"/>
      <c r="B4460" s="1083">
        <f>Risk_Compensation!A$1</f>
        <v>36</v>
      </c>
      <c r="C4460" s="1390" t="str">
        <f>Risk_Compensation!$B$1</f>
        <v xml:space="preserve">Risikoausgleich </v>
      </c>
      <c r="D4460" s="2205" t="s">
        <v>2572</v>
      </c>
      <c r="E4460" s="1390">
        <f>Risk_Compensation!$G56</f>
        <v>39</v>
      </c>
      <c r="F4460" s="1390" t="str">
        <f>Risk_Compensation!$X$17</f>
        <v>SH</v>
      </c>
      <c r="G4460" s="1390"/>
      <c r="H4460" s="1077">
        <f>Risk_Compensation!$X56</f>
        <v>0</v>
      </c>
    </row>
    <row r="4461" spans="1:8" x14ac:dyDescent="0.2">
      <c r="A4461" s="1027"/>
      <c r="B4461" s="1083">
        <f>Risk_Compensation!A$1</f>
        <v>36</v>
      </c>
      <c r="C4461" s="1390" t="str">
        <f>Risk_Compensation!$B$1</f>
        <v xml:space="preserve">Risikoausgleich </v>
      </c>
      <c r="D4461" s="2205" t="s">
        <v>2572</v>
      </c>
      <c r="E4461" s="1390">
        <f>Risk_Compensation!$G57</f>
        <v>40</v>
      </c>
      <c r="F4461" s="1390" t="str">
        <f>Risk_Compensation!$X$17</f>
        <v>SH</v>
      </c>
      <c r="G4461" s="1390"/>
      <c r="H4461" s="1077">
        <f>Risk_Compensation!$X57</f>
        <v>0</v>
      </c>
    </row>
    <row r="4462" spans="1:8" x14ac:dyDescent="0.2">
      <c r="A4462" s="1027"/>
      <c r="B4462" s="1083">
        <f>Risk_Compensation!A$1</f>
        <v>36</v>
      </c>
      <c r="C4462" s="1390" t="str">
        <f>Risk_Compensation!$B$1</f>
        <v xml:space="preserve">Risikoausgleich </v>
      </c>
      <c r="D4462" s="2205" t="s">
        <v>2572</v>
      </c>
      <c r="E4462" s="1390">
        <f>Risk_Compensation!$G58</f>
        <v>41</v>
      </c>
      <c r="F4462" s="1390" t="str">
        <f>Risk_Compensation!$X$17</f>
        <v>SH</v>
      </c>
      <c r="G4462" s="1390"/>
      <c r="H4462" s="1077">
        <f>Risk_Compensation!$X58</f>
        <v>0</v>
      </c>
    </row>
    <row r="4463" spans="1:8" x14ac:dyDescent="0.2">
      <c r="A4463" s="1027"/>
      <c r="B4463" s="1083">
        <f>Risk_Compensation!A$1</f>
        <v>36</v>
      </c>
      <c r="C4463" s="1390" t="str">
        <f>Risk_Compensation!$B$1</f>
        <v xml:space="preserve">Risikoausgleich </v>
      </c>
      <c r="D4463" s="2205" t="s">
        <v>2572</v>
      </c>
      <c r="E4463" s="1390">
        <f>Risk_Compensation!$G59</f>
        <v>42</v>
      </c>
      <c r="F4463" s="1390" t="str">
        <f>Risk_Compensation!$X$17</f>
        <v>SH</v>
      </c>
      <c r="G4463" s="1390"/>
      <c r="H4463" s="1077">
        <f>Risk_Compensation!$X59</f>
        <v>0</v>
      </c>
    </row>
    <row r="4464" spans="1:8" x14ac:dyDescent="0.2">
      <c r="A4464" s="1027"/>
      <c r="B4464" s="1083">
        <f>Risk_Compensation!A$1</f>
        <v>36</v>
      </c>
      <c r="C4464" s="1390" t="str">
        <f>Risk_Compensation!$B$1</f>
        <v xml:space="preserve">Risikoausgleich </v>
      </c>
      <c r="D4464" s="2205" t="s">
        <v>2572</v>
      </c>
      <c r="E4464" s="1390">
        <f>Risk_Compensation!$G60</f>
        <v>43</v>
      </c>
      <c r="F4464" s="1390" t="str">
        <f>Risk_Compensation!$X$17</f>
        <v>SH</v>
      </c>
      <c r="G4464" s="1390"/>
      <c r="H4464" s="1077">
        <f>Risk_Compensation!$X60</f>
        <v>0</v>
      </c>
    </row>
    <row r="4465" spans="1:8" x14ac:dyDescent="0.2">
      <c r="A4465" s="1027"/>
      <c r="B4465" s="1083">
        <f>Risk_Compensation!A$1</f>
        <v>36</v>
      </c>
      <c r="C4465" s="1390" t="str">
        <f>Risk_Compensation!$B$1</f>
        <v xml:space="preserve">Risikoausgleich </v>
      </c>
      <c r="D4465" s="2205" t="s">
        <v>2572</v>
      </c>
      <c r="E4465" s="1390">
        <f>Risk_Compensation!$G61</f>
        <v>44</v>
      </c>
      <c r="F4465" s="1390" t="str">
        <f>Risk_Compensation!$X$17</f>
        <v>SH</v>
      </c>
      <c r="G4465" s="1390"/>
      <c r="H4465" s="1077">
        <f>Risk_Compensation!$X61</f>
        <v>0</v>
      </c>
    </row>
    <row r="4466" spans="1:8" x14ac:dyDescent="0.2">
      <c r="A4466" s="1027"/>
      <c r="B4466" s="1083">
        <f>Risk_Compensation!A$1</f>
        <v>36</v>
      </c>
      <c r="C4466" s="1390" t="str">
        <f>Risk_Compensation!$B$1</f>
        <v xml:space="preserve">Risikoausgleich </v>
      </c>
      <c r="D4466" s="2205" t="s">
        <v>2572</v>
      </c>
      <c r="E4466" s="1390">
        <f>Risk_Compensation!$G62</f>
        <v>45</v>
      </c>
      <c r="F4466" s="1390" t="str">
        <f>Risk_Compensation!$X$17</f>
        <v>SH</v>
      </c>
      <c r="G4466" s="1390"/>
      <c r="H4466" s="1077">
        <f>Risk_Compensation!$X62</f>
        <v>0</v>
      </c>
    </row>
    <row r="4467" spans="1:8" x14ac:dyDescent="0.2">
      <c r="A4467" s="1027"/>
      <c r="B4467" s="1083">
        <f>Risk_Compensation!A$1</f>
        <v>36</v>
      </c>
      <c r="C4467" s="1390" t="str">
        <f>Risk_Compensation!$B$1</f>
        <v xml:space="preserve">Risikoausgleich </v>
      </c>
      <c r="D4467" s="2205" t="s">
        <v>2572</v>
      </c>
      <c r="E4467" s="1390">
        <f>Risk_Compensation!$G63</f>
        <v>46</v>
      </c>
      <c r="F4467" s="1390" t="str">
        <f>Risk_Compensation!$X$17</f>
        <v>SH</v>
      </c>
      <c r="G4467" s="1390"/>
      <c r="H4467" s="1077">
        <f>Risk_Compensation!$X63</f>
        <v>0</v>
      </c>
    </row>
    <row r="4468" spans="1:8" x14ac:dyDescent="0.2">
      <c r="A4468" s="1027"/>
      <c r="B4468" s="1083">
        <f>Risk_Compensation!A$1</f>
        <v>36</v>
      </c>
      <c r="C4468" s="1390" t="str">
        <f>Risk_Compensation!$B$1</f>
        <v xml:space="preserve">Risikoausgleich </v>
      </c>
      <c r="D4468" s="2205" t="s">
        <v>2572</v>
      </c>
      <c r="E4468" s="1390">
        <f>Risk_Compensation!$G64</f>
        <v>47</v>
      </c>
      <c r="F4468" s="1390" t="str">
        <f>Risk_Compensation!$X$17</f>
        <v>SH</v>
      </c>
      <c r="G4468" s="1390"/>
      <c r="H4468" s="1077">
        <f>Risk_Compensation!$X64</f>
        <v>0</v>
      </c>
    </row>
    <row r="4469" spans="1:8" x14ac:dyDescent="0.2">
      <c r="A4469" s="1027"/>
      <c r="B4469" s="1083">
        <f>Risk_Compensation!A$1</f>
        <v>36</v>
      </c>
      <c r="C4469" s="1390" t="str">
        <f>Risk_Compensation!$B$1</f>
        <v xml:space="preserve">Risikoausgleich </v>
      </c>
      <c r="D4469" s="2205" t="s">
        <v>2572</v>
      </c>
      <c r="E4469" s="1390">
        <f>Risk_Compensation!$G65</f>
        <v>48</v>
      </c>
      <c r="F4469" s="1390" t="str">
        <f>Risk_Compensation!$X$17</f>
        <v>SH</v>
      </c>
      <c r="G4469" s="1390"/>
      <c r="H4469" s="1077">
        <f>Risk_Compensation!$X65</f>
        <v>0</v>
      </c>
    </row>
    <row r="4470" spans="1:8" x14ac:dyDescent="0.2">
      <c r="A4470" s="1027"/>
      <c r="B4470" s="1083">
        <f>Risk_Compensation!A$1</f>
        <v>36</v>
      </c>
      <c r="C4470" s="1390" t="str">
        <f>Risk_Compensation!$B$1</f>
        <v xml:space="preserve">Risikoausgleich </v>
      </c>
      <c r="D4470" s="2205" t="s">
        <v>2572</v>
      </c>
      <c r="E4470" s="1390">
        <f>Risk_Compensation!$G66</f>
        <v>49</v>
      </c>
      <c r="F4470" s="1390" t="str">
        <f>Risk_Compensation!$X$17</f>
        <v>SH</v>
      </c>
      <c r="G4470" s="1390"/>
      <c r="H4470" s="1077">
        <f>Risk_Compensation!$X66</f>
        <v>0</v>
      </c>
    </row>
    <row r="4471" spans="1:8" x14ac:dyDescent="0.2">
      <c r="A4471" s="1027"/>
      <c r="B4471" s="1083">
        <f>Risk_Compensation!A$1</f>
        <v>36</v>
      </c>
      <c r="C4471" s="1390" t="str">
        <f>Risk_Compensation!$B$1</f>
        <v xml:space="preserve">Risikoausgleich </v>
      </c>
      <c r="D4471" s="2205" t="s">
        <v>2572</v>
      </c>
      <c r="E4471" s="1390">
        <f>Risk_Compensation!$G67</f>
        <v>50</v>
      </c>
      <c r="F4471" s="1390" t="str">
        <f>Risk_Compensation!$X$17</f>
        <v>SH</v>
      </c>
      <c r="G4471" s="1390"/>
      <c r="H4471" s="1077">
        <f>Risk_Compensation!$X67</f>
        <v>0</v>
      </c>
    </row>
    <row r="4472" spans="1:8" x14ac:dyDescent="0.2">
      <c r="A4472" s="1027"/>
      <c r="B4472" s="1083">
        <f>Risk_Compensation!A$1</f>
        <v>36</v>
      </c>
      <c r="C4472" s="1390" t="str">
        <f>Risk_Compensation!$B$1</f>
        <v xml:space="preserve">Risikoausgleich </v>
      </c>
      <c r="D4472" s="2205" t="s">
        <v>2572</v>
      </c>
      <c r="E4472" s="1390">
        <f>Risk_Compensation!$G68</f>
        <v>51</v>
      </c>
      <c r="F4472" s="1390" t="str">
        <f>Risk_Compensation!$X$17</f>
        <v>SH</v>
      </c>
      <c r="G4472" s="1390"/>
      <c r="H4472" s="1077">
        <f>Risk_Compensation!$X68</f>
        <v>0</v>
      </c>
    </row>
    <row r="4473" spans="1:8" x14ac:dyDescent="0.2">
      <c r="A4473" s="1027"/>
      <c r="B4473" s="1083">
        <f>Risk_Compensation!A$1</f>
        <v>36</v>
      </c>
      <c r="C4473" s="1390" t="str">
        <f>Risk_Compensation!$B$1</f>
        <v xml:space="preserve">Risikoausgleich </v>
      </c>
      <c r="D4473" s="2205" t="s">
        <v>2572</v>
      </c>
      <c r="E4473" s="1390">
        <f>Risk_Compensation!$G69</f>
        <v>52</v>
      </c>
      <c r="F4473" s="1390" t="str">
        <f>Risk_Compensation!$X$17</f>
        <v>SH</v>
      </c>
      <c r="G4473" s="1390"/>
      <c r="H4473" s="1077">
        <f>Risk_Compensation!$X69</f>
        <v>0</v>
      </c>
    </row>
    <row r="4474" spans="1:8" x14ac:dyDescent="0.2">
      <c r="A4474" s="1027"/>
      <c r="B4474" s="1083">
        <f>Risk_Compensation!A$1</f>
        <v>36</v>
      </c>
      <c r="C4474" s="1390" t="str">
        <f>Risk_Compensation!$B$1</f>
        <v xml:space="preserve">Risikoausgleich </v>
      </c>
      <c r="D4474" s="2205" t="s">
        <v>2572</v>
      </c>
      <c r="E4474" s="1390">
        <f>Risk_Compensation!$G70</f>
        <v>53</v>
      </c>
      <c r="F4474" s="1390" t="str">
        <f>Risk_Compensation!$X$17</f>
        <v>SH</v>
      </c>
      <c r="G4474" s="1390"/>
      <c r="H4474" s="1077">
        <f>Risk_Compensation!$X70</f>
        <v>0</v>
      </c>
    </row>
    <row r="4475" spans="1:8" x14ac:dyDescent="0.2">
      <c r="A4475" s="1027"/>
      <c r="B4475" s="1083">
        <f>Risk_Compensation!A$1</f>
        <v>36</v>
      </c>
      <c r="C4475" s="1390" t="str">
        <f>Risk_Compensation!$B$1</f>
        <v xml:space="preserve">Risikoausgleich </v>
      </c>
      <c r="D4475" s="2205" t="s">
        <v>2572</v>
      </c>
      <c r="E4475" s="1390">
        <f>Risk_Compensation!$G71</f>
        <v>54</v>
      </c>
      <c r="F4475" s="1390" t="str">
        <f>Risk_Compensation!$X$17</f>
        <v>SH</v>
      </c>
      <c r="G4475" s="1390"/>
      <c r="H4475" s="1077">
        <f>Risk_Compensation!$X71</f>
        <v>0</v>
      </c>
    </row>
    <row r="4476" spans="1:8" x14ac:dyDescent="0.2">
      <c r="A4476" s="1027"/>
      <c r="B4476" s="1083">
        <f>Risk_Compensation!A$1</f>
        <v>36</v>
      </c>
      <c r="C4476" s="1390" t="str">
        <f>Risk_Compensation!$B$1</f>
        <v xml:space="preserve">Risikoausgleich </v>
      </c>
      <c r="D4476" s="2205" t="s">
        <v>2572</v>
      </c>
      <c r="E4476" s="1390">
        <f>Risk_Compensation!$G72</f>
        <v>55</v>
      </c>
      <c r="F4476" s="1390" t="str">
        <f>Risk_Compensation!$X$17</f>
        <v>SH</v>
      </c>
      <c r="G4476" s="1390"/>
      <c r="H4476" s="1077">
        <f>Risk_Compensation!$X72</f>
        <v>0</v>
      </c>
    </row>
    <row r="4477" spans="1:8" x14ac:dyDescent="0.2">
      <c r="A4477" s="1027"/>
      <c r="B4477" s="1083">
        <f>Risk_Compensation!A$1</f>
        <v>36</v>
      </c>
      <c r="C4477" s="1390" t="str">
        <f>Risk_Compensation!$B$1</f>
        <v xml:space="preserve">Risikoausgleich </v>
      </c>
      <c r="D4477" s="2205" t="s">
        <v>2572</v>
      </c>
      <c r="E4477" s="1390">
        <f>Risk_Compensation!$G73</f>
        <v>56</v>
      </c>
      <c r="F4477" s="1390" t="str">
        <f>Risk_Compensation!$X$17</f>
        <v>SH</v>
      </c>
      <c r="G4477" s="1390"/>
      <c r="H4477" s="1077">
        <f>Risk_Compensation!$X73</f>
        <v>0</v>
      </c>
    </row>
    <row r="4478" spans="1:8" x14ac:dyDescent="0.2">
      <c r="A4478" s="1027"/>
      <c r="B4478" s="1083">
        <f>Risk_Compensation!A$1</f>
        <v>36</v>
      </c>
      <c r="C4478" s="1390" t="str">
        <f>Risk_Compensation!$B$1</f>
        <v xml:space="preserve">Risikoausgleich </v>
      </c>
      <c r="D4478" s="2205" t="s">
        <v>2572</v>
      </c>
      <c r="E4478" s="1390">
        <f>Risk_Compensation!$G74</f>
        <v>57</v>
      </c>
      <c r="F4478" s="1390" t="str">
        <f>Risk_Compensation!$X$17</f>
        <v>SH</v>
      </c>
      <c r="G4478" s="1390"/>
      <c r="H4478" s="1077">
        <f>Risk_Compensation!$X74</f>
        <v>0</v>
      </c>
    </row>
    <row r="4479" spans="1:8" x14ac:dyDescent="0.2">
      <c r="A4479" s="1027"/>
      <c r="B4479" s="1083">
        <f>Risk_Compensation!A$1</f>
        <v>36</v>
      </c>
      <c r="C4479" s="1390" t="str">
        <f>Risk_Compensation!$B$1</f>
        <v xml:space="preserve">Risikoausgleich </v>
      </c>
      <c r="D4479" s="2205" t="s">
        <v>2572</v>
      </c>
      <c r="E4479" s="1390">
        <f>Risk_Compensation!$G75</f>
        <v>58</v>
      </c>
      <c r="F4479" s="1390" t="str">
        <f>Risk_Compensation!$X$17</f>
        <v>SH</v>
      </c>
      <c r="G4479" s="1390"/>
      <c r="H4479" s="1077">
        <f>Risk_Compensation!$X75</f>
        <v>0</v>
      </c>
    </row>
    <row r="4480" spans="1:8" x14ac:dyDescent="0.2">
      <c r="A4480" s="1027"/>
      <c r="B4480" s="1083">
        <f>Risk_Compensation!A$1</f>
        <v>36</v>
      </c>
      <c r="C4480" s="1390" t="str">
        <f>Risk_Compensation!$B$1</f>
        <v xml:space="preserve">Risikoausgleich </v>
      </c>
      <c r="D4480" s="2205" t="s">
        <v>2572</v>
      </c>
      <c r="E4480" s="1390">
        <f>Risk_Compensation!$G76</f>
        <v>59</v>
      </c>
      <c r="F4480" s="1390" t="str">
        <f>Risk_Compensation!$X$17</f>
        <v>SH</v>
      </c>
      <c r="G4480" s="1390"/>
      <c r="H4480" s="1077">
        <f>Risk_Compensation!$X76</f>
        <v>0</v>
      </c>
    </row>
    <row r="4481" spans="1:8" x14ac:dyDescent="0.2">
      <c r="A4481" s="1027"/>
      <c r="B4481" s="1083">
        <f>Risk_Compensation!A$1</f>
        <v>36</v>
      </c>
      <c r="C4481" s="1390" t="str">
        <f>Risk_Compensation!$B$1</f>
        <v xml:space="preserve">Risikoausgleich </v>
      </c>
      <c r="D4481" s="2205" t="s">
        <v>2572</v>
      </c>
      <c r="E4481" s="1390">
        <f>Risk_Compensation!$G77</f>
        <v>60</v>
      </c>
      <c r="F4481" s="1390" t="str">
        <f>Risk_Compensation!$X$17</f>
        <v>SH</v>
      </c>
      <c r="G4481" s="1390"/>
      <c r="H4481" s="1077">
        <f>Risk_Compensation!$X77</f>
        <v>0</v>
      </c>
    </row>
    <row r="4482" spans="1:8" x14ac:dyDescent="0.2">
      <c r="A4482" s="1027"/>
      <c r="B4482" s="2174"/>
      <c r="C4482" s="1390"/>
      <c r="D4482" s="2175"/>
      <c r="E4482" s="2176"/>
      <c r="F4482" s="1390"/>
      <c r="G4482" s="1390"/>
      <c r="H4482" s="1078"/>
    </row>
    <row r="4483" spans="1:8" x14ac:dyDescent="0.2">
      <c r="A4483" s="1027"/>
      <c r="B4483" s="1083">
        <f>Risk_Compensation!A$1</f>
        <v>36</v>
      </c>
      <c r="C4483" s="1390" t="str">
        <f>Risk_Compensation!$B$1</f>
        <v xml:space="preserve">Risikoausgleich </v>
      </c>
      <c r="D4483" s="2205" t="s">
        <v>2572</v>
      </c>
      <c r="E4483" s="1390">
        <f>Risk_Compensation!$G18</f>
        <v>1</v>
      </c>
      <c r="F4483" s="1390" t="str">
        <f>Risk_Compensation!$Y$17</f>
        <v>SO</v>
      </c>
      <c r="G4483" s="1390"/>
      <c r="H4483" s="1077">
        <f>Risk_Compensation!$Y18</f>
        <v>0</v>
      </c>
    </row>
    <row r="4484" spans="1:8" x14ac:dyDescent="0.2">
      <c r="A4484" s="1027"/>
      <c r="B4484" s="1083">
        <f>Risk_Compensation!A$1</f>
        <v>36</v>
      </c>
      <c r="C4484" s="1390" t="str">
        <f>Risk_Compensation!$B$1</f>
        <v xml:space="preserve">Risikoausgleich </v>
      </c>
      <c r="D4484" s="2205" t="s">
        <v>2572</v>
      </c>
      <c r="E4484" s="1390">
        <f>Risk_Compensation!$G19</f>
        <v>2</v>
      </c>
      <c r="F4484" s="1390" t="str">
        <f>Risk_Compensation!$Y$17</f>
        <v>SO</v>
      </c>
      <c r="G4484" s="1390"/>
      <c r="H4484" s="1077">
        <f>Risk_Compensation!$Y19</f>
        <v>0</v>
      </c>
    </row>
    <row r="4485" spans="1:8" x14ac:dyDescent="0.2">
      <c r="A4485" s="1027"/>
      <c r="B4485" s="1083">
        <f>Risk_Compensation!A$1</f>
        <v>36</v>
      </c>
      <c r="C4485" s="1390" t="str">
        <f>Risk_Compensation!$B$1</f>
        <v xml:space="preserve">Risikoausgleich </v>
      </c>
      <c r="D4485" s="2205" t="s">
        <v>2572</v>
      </c>
      <c r="E4485" s="1390">
        <f>Risk_Compensation!$G20</f>
        <v>3</v>
      </c>
      <c r="F4485" s="1390" t="str">
        <f>Risk_Compensation!$Y$17</f>
        <v>SO</v>
      </c>
      <c r="G4485" s="1390"/>
      <c r="H4485" s="1077">
        <f>Risk_Compensation!$Y20</f>
        <v>0</v>
      </c>
    </row>
    <row r="4486" spans="1:8" x14ac:dyDescent="0.2">
      <c r="A4486" s="1027"/>
      <c r="B4486" s="1083">
        <f>Risk_Compensation!A$1</f>
        <v>36</v>
      </c>
      <c r="C4486" s="1390" t="str">
        <f>Risk_Compensation!$B$1</f>
        <v xml:space="preserve">Risikoausgleich </v>
      </c>
      <c r="D4486" s="2205" t="s">
        <v>2572</v>
      </c>
      <c r="E4486" s="1390">
        <f>Risk_Compensation!$G21</f>
        <v>4</v>
      </c>
      <c r="F4486" s="1390" t="str">
        <f>Risk_Compensation!$Y$17</f>
        <v>SO</v>
      </c>
      <c r="G4486" s="1390"/>
      <c r="H4486" s="1077">
        <f>Risk_Compensation!$Y21</f>
        <v>0</v>
      </c>
    </row>
    <row r="4487" spans="1:8" x14ac:dyDescent="0.2">
      <c r="A4487" s="1027"/>
      <c r="B4487" s="1083">
        <f>Risk_Compensation!A$1</f>
        <v>36</v>
      </c>
      <c r="C4487" s="1390" t="str">
        <f>Risk_Compensation!$B$1</f>
        <v xml:space="preserve">Risikoausgleich </v>
      </c>
      <c r="D4487" s="2205" t="s">
        <v>2572</v>
      </c>
      <c r="E4487" s="1390">
        <f>Risk_Compensation!$G22</f>
        <v>5</v>
      </c>
      <c r="F4487" s="1390" t="str">
        <f>Risk_Compensation!$Y$17</f>
        <v>SO</v>
      </c>
      <c r="G4487" s="1390"/>
      <c r="H4487" s="1077">
        <f>Risk_Compensation!$Y22</f>
        <v>0</v>
      </c>
    </row>
    <row r="4488" spans="1:8" x14ac:dyDescent="0.2">
      <c r="A4488" s="1027"/>
      <c r="B4488" s="1083">
        <f>Risk_Compensation!A$1</f>
        <v>36</v>
      </c>
      <c r="C4488" s="1390" t="str">
        <f>Risk_Compensation!$B$1</f>
        <v xml:space="preserve">Risikoausgleich </v>
      </c>
      <c r="D4488" s="2205" t="s">
        <v>2572</v>
      </c>
      <c r="E4488" s="1390">
        <f>Risk_Compensation!$G23</f>
        <v>6</v>
      </c>
      <c r="F4488" s="1390" t="str">
        <f>Risk_Compensation!$Y$17</f>
        <v>SO</v>
      </c>
      <c r="G4488" s="1390"/>
      <c r="H4488" s="1077">
        <f>Risk_Compensation!$Y23</f>
        <v>0</v>
      </c>
    </row>
    <row r="4489" spans="1:8" x14ac:dyDescent="0.2">
      <c r="A4489" s="1027"/>
      <c r="B4489" s="1083">
        <f>Risk_Compensation!A$1</f>
        <v>36</v>
      </c>
      <c r="C4489" s="1390" t="str">
        <f>Risk_Compensation!$B$1</f>
        <v xml:space="preserve">Risikoausgleich </v>
      </c>
      <c r="D4489" s="2205" t="s">
        <v>2572</v>
      </c>
      <c r="E4489" s="1390">
        <f>Risk_Compensation!$G24</f>
        <v>7</v>
      </c>
      <c r="F4489" s="1390" t="str">
        <f>Risk_Compensation!$Y$17</f>
        <v>SO</v>
      </c>
      <c r="G4489" s="1390"/>
      <c r="H4489" s="1077">
        <f>Risk_Compensation!$Y24</f>
        <v>0</v>
      </c>
    </row>
    <row r="4490" spans="1:8" x14ac:dyDescent="0.2">
      <c r="A4490" s="1027"/>
      <c r="B4490" s="1083">
        <f>Risk_Compensation!A$1</f>
        <v>36</v>
      </c>
      <c r="C4490" s="1390" t="str">
        <f>Risk_Compensation!$B$1</f>
        <v xml:space="preserve">Risikoausgleich </v>
      </c>
      <c r="D4490" s="2205" t="s">
        <v>2572</v>
      </c>
      <c r="E4490" s="1390">
        <f>Risk_Compensation!$G25</f>
        <v>8</v>
      </c>
      <c r="F4490" s="1390" t="str">
        <f>Risk_Compensation!$Y$17</f>
        <v>SO</v>
      </c>
      <c r="G4490" s="1390"/>
      <c r="H4490" s="1077">
        <f>Risk_Compensation!$Y25</f>
        <v>0</v>
      </c>
    </row>
    <row r="4491" spans="1:8" x14ac:dyDescent="0.2">
      <c r="A4491" s="1027"/>
      <c r="B4491" s="1083">
        <f>Risk_Compensation!A$1</f>
        <v>36</v>
      </c>
      <c r="C4491" s="1390" t="str">
        <f>Risk_Compensation!$B$1</f>
        <v xml:space="preserve">Risikoausgleich </v>
      </c>
      <c r="D4491" s="2205" t="s">
        <v>2572</v>
      </c>
      <c r="E4491" s="1390">
        <f>Risk_Compensation!$G26</f>
        <v>9</v>
      </c>
      <c r="F4491" s="1390" t="str">
        <f>Risk_Compensation!$Y$17</f>
        <v>SO</v>
      </c>
      <c r="G4491" s="1390"/>
      <c r="H4491" s="1077">
        <f>Risk_Compensation!$Y26</f>
        <v>0</v>
      </c>
    </row>
    <row r="4492" spans="1:8" x14ac:dyDescent="0.2">
      <c r="A4492" s="1027"/>
      <c r="B4492" s="1083">
        <f>Risk_Compensation!A$1</f>
        <v>36</v>
      </c>
      <c r="C4492" s="1390" t="str">
        <f>Risk_Compensation!$B$1</f>
        <v xml:space="preserve">Risikoausgleich </v>
      </c>
      <c r="D4492" s="2205" t="s">
        <v>2572</v>
      </c>
      <c r="E4492" s="1390">
        <f>Risk_Compensation!$G27</f>
        <v>10</v>
      </c>
      <c r="F4492" s="1390" t="str">
        <f>Risk_Compensation!$Y$17</f>
        <v>SO</v>
      </c>
      <c r="G4492" s="1390"/>
      <c r="H4492" s="1077">
        <f>Risk_Compensation!$Y27</f>
        <v>0</v>
      </c>
    </row>
    <row r="4493" spans="1:8" x14ac:dyDescent="0.2">
      <c r="A4493" s="1027"/>
      <c r="B4493" s="1083">
        <f>Risk_Compensation!A$1</f>
        <v>36</v>
      </c>
      <c r="C4493" s="1390" t="str">
        <f>Risk_Compensation!$B$1</f>
        <v xml:space="preserve">Risikoausgleich </v>
      </c>
      <c r="D4493" s="2205" t="s">
        <v>2572</v>
      </c>
      <c r="E4493" s="1390">
        <f>Risk_Compensation!$G28</f>
        <v>11</v>
      </c>
      <c r="F4493" s="1390" t="str">
        <f>Risk_Compensation!$Y$17</f>
        <v>SO</v>
      </c>
      <c r="G4493" s="1390"/>
      <c r="H4493" s="1077">
        <f>Risk_Compensation!$Y28</f>
        <v>0</v>
      </c>
    </row>
    <row r="4494" spans="1:8" x14ac:dyDescent="0.2">
      <c r="A4494" s="1027"/>
      <c r="B4494" s="1083">
        <f>Risk_Compensation!A$1</f>
        <v>36</v>
      </c>
      <c r="C4494" s="1390" t="str">
        <f>Risk_Compensation!$B$1</f>
        <v xml:space="preserve">Risikoausgleich </v>
      </c>
      <c r="D4494" s="2205" t="s">
        <v>2572</v>
      </c>
      <c r="E4494" s="1390">
        <f>Risk_Compensation!$G29</f>
        <v>12</v>
      </c>
      <c r="F4494" s="1390" t="str">
        <f>Risk_Compensation!$Y$17</f>
        <v>SO</v>
      </c>
      <c r="G4494" s="1390"/>
      <c r="H4494" s="1077">
        <f>Risk_Compensation!$Y29</f>
        <v>0</v>
      </c>
    </row>
    <row r="4495" spans="1:8" x14ac:dyDescent="0.2">
      <c r="A4495" s="1027"/>
      <c r="B4495" s="1083">
        <f>Risk_Compensation!A$1</f>
        <v>36</v>
      </c>
      <c r="C4495" s="1390" t="str">
        <f>Risk_Compensation!$B$1</f>
        <v xml:space="preserve">Risikoausgleich </v>
      </c>
      <c r="D4495" s="2205" t="s">
        <v>2572</v>
      </c>
      <c r="E4495" s="1390">
        <f>Risk_Compensation!$G30</f>
        <v>13</v>
      </c>
      <c r="F4495" s="1390" t="str">
        <f>Risk_Compensation!$Y$17</f>
        <v>SO</v>
      </c>
      <c r="G4495" s="1390"/>
      <c r="H4495" s="1077">
        <f>Risk_Compensation!$Y30</f>
        <v>0</v>
      </c>
    </row>
    <row r="4496" spans="1:8" x14ac:dyDescent="0.2">
      <c r="A4496" s="1027"/>
      <c r="B4496" s="1083">
        <f>Risk_Compensation!A$1</f>
        <v>36</v>
      </c>
      <c r="C4496" s="1390" t="str">
        <f>Risk_Compensation!$B$1</f>
        <v xml:space="preserve">Risikoausgleich </v>
      </c>
      <c r="D4496" s="2205" t="s">
        <v>2572</v>
      </c>
      <c r="E4496" s="1390">
        <f>Risk_Compensation!$G31</f>
        <v>14</v>
      </c>
      <c r="F4496" s="1390" t="str">
        <f>Risk_Compensation!$Y$17</f>
        <v>SO</v>
      </c>
      <c r="G4496" s="1390"/>
      <c r="H4496" s="1077">
        <f>Risk_Compensation!$Y31</f>
        <v>0</v>
      </c>
    </row>
    <row r="4497" spans="1:8" x14ac:dyDescent="0.2">
      <c r="A4497" s="1027"/>
      <c r="B4497" s="1083">
        <f>Risk_Compensation!A$1</f>
        <v>36</v>
      </c>
      <c r="C4497" s="1390" t="str">
        <f>Risk_Compensation!$B$1</f>
        <v xml:space="preserve">Risikoausgleich </v>
      </c>
      <c r="D4497" s="2205" t="s">
        <v>2572</v>
      </c>
      <c r="E4497" s="1390">
        <f>Risk_Compensation!$G32</f>
        <v>15</v>
      </c>
      <c r="F4497" s="1390" t="str">
        <f>Risk_Compensation!$Y$17</f>
        <v>SO</v>
      </c>
      <c r="G4497" s="1390"/>
      <c r="H4497" s="1077">
        <f>Risk_Compensation!$Y32</f>
        <v>0</v>
      </c>
    </row>
    <row r="4498" spans="1:8" x14ac:dyDescent="0.2">
      <c r="A4498" s="1027"/>
      <c r="B4498" s="1083">
        <f>Risk_Compensation!A$1</f>
        <v>36</v>
      </c>
      <c r="C4498" s="1390" t="str">
        <f>Risk_Compensation!$B$1</f>
        <v xml:space="preserve">Risikoausgleich </v>
      </c>
      <c r="D4498" s="2205" t="s">
        <v>2572</v>
      </c>
      <c r="E4498" s="1390">
        <f>Risk_Compensation!$G33</f>
        <v>16</v>
      </c>
      <c r="F4498" s="1390" t="str">
        <f>Risk_Compensation!$Y$17</f>
        <v>SO</v>
      </c>
      <c r="G4498" s="1390"/>
      <c r="H4498" s="1077">
        <f>Risk_Compensation!$Y33</f>
        <v>0</v>
      </c>
    </row>
    <row r="4499" spans="1:8" x14ac:dyDescent="0.2">
      <c r="A4499" s="1027"/>
      <c r="B4499" s="1083">
        <f>Risk_Compensation!A$1</f>
        <v>36</v>
      </c>
      <c r="C4499" s="1390" t="str">
        <f>Risk_Compensation!$B$1</f>
        <v xml:space="preserve">Risikoausgleich </v>
      </c>
      <c r="D4499" s="2205" t="s">
        <v>2572</v>
      </c>
      <c r="E4499" s="1390">
        <f>Risk_Compensation!$G34</f>
        <v>17</v>
      </c>
      <c r="F4499" s="1390" t="str">
        <f>Risk_Compensation!$Y$17</f>
        <v>SO</v>
      </c>
      <c r="G4499" s="1390"/>
      <c r="H4499" s="1077">
        <f>Risk_Compensation!$Y34</f>
        <v>0</v>
      </c>
    </row>
    <row r="4500" spans="1:8" x14ac:dyDescent="0.2">
      <c r="A4500" s="1027"/>
      <c r="B4500" s="1083">
        <f>Risk_Compensation!A$1</f>
        <v>36</v>
      </c>
      <c r="C4500" s="1390" t="str">
        <f>Risk_Compensation!$B$1</f>
        <v xml:space="preserve">Risikoausgleich </v>
      </c>
      <c r="D4500" s="2205" t="s">
        <v>2572</v>
      </c>
      <c r="E4500" s="1390">
        <f>Risk_Compensation!$G35</f>
        <v>18</v>
      </c>
      <c r="F4500" s="1390" t="str">
        <f>Risk_Compensation!$Y$17</f>
        <v>SO</v>
      </c>
      <c r="G4500" s="1390"/>
      <c r="H4500" s="1077">
        <f>Risk_Compensation!$Y35</f>
        <v>0</v>
      </c>
    </row>
    <row r="4501" spans="1:8" x14ac:dyDescent="0.2">
      <c r="A4501" s="1027"/>
      <c r="B4501" s="1083">
        <f>Risk_Compensation!A$1</f>
        <v>36</v>
      </c>
      <c r="C4501" s="1390" t="str">
        <f>Risk_Compensation!$B$1</f>
        <v xml:space="preserve">Risikoausgleich </v>
      </c>
      <c r="D4501" s="2205" t="s">
        <v>2572</v>
      </c>
      <c r="E4501" s="1390">
        <f>Risk_Compensation!$G36</f>
        <v>19</v>
      </c>
      <c r="F4501" s="1390" t="str">
        <f>Risk_Compensation!$Y$17</f>
        <v>SO</v>
      </c>
      <c r="G4501" s="1390"/>
      <c r="H4501" s="1077">
        <f>Risk_Compensation!$Y36</f>
        <v>0</v>
      </c>
    </row>
    <row r="4502" spans="1:8" x14ac:dyDescent="0.2">
      <c r="A4502" s="1027"/>
      <c r="B4502" s="1083">
        <f>Risk_Compensation!A$1</f>
        <v>36</v>
      </c>
      <c r="C4502" s="1390" t="str">
        <f>Risk_Compensation!$B$1</f>
        <v xml:space="preserve">Risikoausgleich </v>
      </c>
      <c r="D4502" s="2205" t="s">
        <v>2572</v>
      </c>
      <c r="E4502" s="1390">
        <f>Risk_Compensation!$G37</f>
        <v>20</v>
      </c>
      <c r="F4502" s="1390" t="str">
        <f>Risk_Compensation!$Y$17</f>
        <v>SO</v>
      </c>
      <c r="G4502" s="1390"/>
      <c r="H4502" s="1077">
        <f>Risk_Compensation!$Y37</f>
        <v>0</v>
      </c>
    </row>
    <row r="4503" spans="1:8" x14ac:dyDescent="0.2">
      <c r="A4503" s="1027"/>
      <c r="B4503" s="1083">
        <f>Risk_Compensation!A$1</f>
        <v>36</v>
      </c>
      <c r="C4503" s="1390" t="str">
        <f>Risk_Compensation!$B$1</f>
        <v xml:space="preserve">Risikoausgleich </v>
      </c>
      <c r="D4503" s="2205" t="s">
        <v>2572</v>
      </c>
      <c r="E4503" s="1390">
        <f>Risk_Compensation!$G38</f>
        <v>21</v>
      </c>
      <c r="F4503" s="1390" t="str">
        <f>Risk_Compensation!$Y$17</f>
        <v>SO</v>
      </c>
      <c r="G4503" s="1390"/>
      <c r="H4503" s="1077">
        <f>Risk_Compensation!$Y38</f>
        <v>0</v>
      </c>
    </row>
    <row r="4504" spans="1:8" x14ac:dyDescent="0.2">
      <c r="A4504" s="1027"/>
      <c r="B4504" s="1083">
        <f>Risk_Compensation!A$1</f>
        <v>36</v>
      </c>
      <c r="C4504" s="1390" t="str">
        <f>Risk_Compensation!$B$1</f>
        <v xml:space="preserve">Risikoausgleich </v>
      </c>
      <c r="D4504" s="2205" t="s">
        <v>2572</v>
      </c>
      <c r="E4504" s="1390">
        <f>Risk_Compensation!$G39</f>
        <v>22</v>
      </c>
      <c r="F4504" s="1390" t="str">
        <f>Risk_Compensation!$Y$17</f>
        <v>SO</v>
      </c>
      <c r="G4504" s="1390"/>
      <c r="H4504" s="1077">
        <f>Risk_Compensation!$Y39</f>
        <v>0</v>
      </c>
    </row>
    <row r="4505" spans="1:8" x14ac:dyDescent="0.2">
      <c r="A4505" s="1027"/>
      <c r="B4505" s="1083">
        <f>Risk_Compensation!A$1</f>
        <v>36</v>
      </c>
      <c r="C4505" s="1390" t="str">
        <f>Risk_Compensation!$B$1</f>
        <v xml:space="preserve">Risikoausgleich </v>
      </c>
      <c r="D4505" s="2205" t="s">
        <v>2572</v>
      </c>
      <c r="E4505" s="1390">
        <f>Risk_Compensation!$G40</f>
        <v>23</v>
      </c>
      <c r="F4505" s="1390" t="str">
        <f>Risk_Compensation!$Y$17</f>
        <v>SO</v>
      </c>
      <c r="G4505" s="1390"/>
      <c r="H4505" s="1077">
        <f>Risk_Compensation!$Y40</f>
        <v>0</v>
      </c>
    </row>
    <row r="4506" spans="1:8" x14ac:dyDescent="0.2">
      <c r="A4506" s="1027"/>
      <c r="B4506" s="1083">
        <f>Risk_Compensation!A$1</f>
        <v>36</v>
      </c>
      <c r="C4506" s="1390" t="str">
        <f>Risk_Compensation!$B$1</f>
        <v xml:space="preserve">Risikoausgleich </v>
      </c>
      <c r="D4506" s="2205" t="s">
        <v>2572</v>
      </c>
      <c r="E4506" s="1390">
        <f>Risk_Compensation!$G41</f>
        <v>24</v>
      </c>
      <c r="F4506" s="1390" t="str">
        <f>Risk_Compensation!$Y$17</f>
        <v>SO</v>
      </c>
      <c r="G4506" s="1390"/>
      <c r="H4506" s="1077">
        <f>Risk_Compensation!$Y41</f>
        <v>0</v>
      </c>
    </row>
    <row r="4507" spans="1:8" x14ac:dyDescent="0.2">
      <c r="A4507" s="1027"/>
      <c r="B4507" s="1083">
        <f>Risk_Compensation!A$1</f>
        <v>36</v>
      </c>
      <c r="C4507" s="1390" t="str">
        <f>Risk_Compensation!$B$1</f>
        <v xml:space="preserve">Risikoausgleich </v>
      </c>
      <c r="D4507" s="2205" t="s">
        <v>2572</v>
      </c>
      <c r="E4507" s="1390">
        <f>Risk_Compensation!$G42</f>
        <v>25</v>
      </c>
      <c r="F4507" s="1390" t="str">
        <f>Risk_Compensation!$Y$17</f>
        <v>SO</v>
      </c>
      <c r="G4507" s="1390"/>
      <c r="H4507" s="1077">
        <f>Risk_Compensation!$Y42</f>
        <v>0</v>
      </c>
    </row>
    <row r="4508" spans="1:8" x14ac:dyDescent="0.2">
      <c r="A4508" s="1027"/>
      <c r="B4508" s="1083">
        <f>Risk_Compensation!A$1</f>
        <v>36</v>
      </c>
      <c r="C4508" s="1390" t="str">
        <f>Risk_Compensation!$B$1</f>
        <v xml:space="preserve">Risikoausgleich </v>
      </c>
      <c r="D4508" s="2205" t="s">
        <v>2572</v>
      </c>
      <c r="E4508" s="1390">
        <f>Risk_Compensation!$G43</f>
        <v>26</v>
      </c>
      <c r="F4508" s="1390" t="str">
        <f>Risk_Compensation!$Y$17</f>
        <v>SO</v>
      </c>
      <c r="G4508" s="1390"/>
      <c r="H4508" s="1077">
        <f>Risk_Compensation!$Y43</f>
        <v>0</v>
      </c>
    </row>
    <row r="4509" spans="1:8" x14ac:dyDescent="0.2">
      <c r="A4509" s="1027"/>
      <c r="B4509" s="1083">
        <f>Risk_Compensation!A$1</f>
        <v>36</v>
      </c>
      <c r="C4509" s="1390" t="str">
        <f>Risk_Compensation!$B$1</f>
        <v xml:space="preserve">Risikoausgleich </v>
      </c>
      <c r="D4509" s="2205" t="s">
        <v>2572</v>
      </c>
      <c r="E4509" s="1390">
        <f>Risk_Compensation!$G44</f>
        <v>27</v>
      </c>
      <c r="F4509" s="1390" t="str">
        <f>Risk_Compensation!$Y$17</f>
        <v>SO</v>
      </c>
      <c r="G4509" s="1390"/>
      <c r="H4509" s="1077">
        <f>Risk_Compensation!$Y44</f>
        <v>0</v>
      </c>
    </row>
    <row r="4510" spans="1:8" x14ac:dyDescent="0.2">
      <c r="A4510" s="1027"/>
      <c r="B4510" s="1083">
        <f>Risk_Compensation!A$1</f>
        <v>36</v>
      </c>
      <c r="C4510" s="1390" t="str">
        <f>Risk_Compensation!$B$1</f>
        <v xml:space="preserve">Risikoausgleich </v>
      </c>
      <c r="D4510" s="2205" t="s">
        <v>2572</v>
      </c>
      <c r="E4510" s="1390">
        <f>Risk_Compensation!$G45</f>
        <v>28</v>
      </c>
      <c r="F4510" s="1390" t="str">
        <f>Risk_Compensation!$Y$17</f>
        <v>SO</v>
      </c>
      <c r="G4510" s="1390"/>
      <c r="H4510" s="1077">
        <f>Risk_Compensation!$Y45</f>
        <v>0</v>
      </c>
    </row>
    <row r="4511" spans="1:8" x14ac:dyDescent="0.2">
      <c r="A4511" s="1027"/>
      <c r="B4511" s="1083">
        <f>Risk_Compensation!A$1</f>
        <v>36</v>
      </c>
      <c r="C4511" s="1390" t="str">
        <f>Risk_Compensation!$B$1</f>
        <v xml:space="preserve">Risikoausgleich </v>
      </c>
      <c r="D4511" s="2205" t="s">
        <v>2572</v>
      </c>
      <c r="E4511" s="1390">
        <f>Risk_Compensation!$G46</f>
        <v>29</v>
      </c>
      <c r="F4511" s="1390" t="str">
        <f>Risk_Compensation!$Y$17</f>
        <v>SO</v>
      </c>
      <c r="G4511" s="1390"/>
      <c r="H4511" s="1077">
        <f>Risk_Compensation!$Y46</f>
        <v>0</v>
      </c>
    </row>
    <row r="4512" spans="1:8" x14ac:dyDescent="0.2">
      <c r="A4512" s="1027"/>
      <c r="B4512" s="1083">
        <f>Risk_Compensation!A$1</f>
        <v>36</v>
      </c>
      <c r="C4512" s="1390" t="str">
        <f>Risk_Compensation!$B$1</f>
        <v xml:space="preserve">Risikoausgleich </v>
      </c>
      <c r="D4512" s="2205" t="s">
        <v>2572</v>
      </c>
      <c r="E4512" s="1390">
        <f>Risk_Compensation!$G47</f>
        <v>30</v>
      </c>
      <c r="F4512" s="1390" t="str">
        <f>Risk_Compensation!$Y$17</f>
        <v>SO</v>
      </c>
      <c r="G4512" s="1390"/>
      <c r="H4512" s="1077">
        <f>Risk_Compensation!$Y47</f>
        <v>0</v>
      </c>
    </row>
    <row r="4513" spans="1:8" x14ac:dyDescent="0.2">
      <c r="A4513" s="1027"/>
      <c r="B4513" s="1083">
        <f>Risk_Compensation!A$1</f>
        <v>36</v>
      </c>
      <c r="C4513" s="1390" t="str">
        <f>Risk_Compensation!$B$1</f>
        <v xml:space="preserve">Risikoausgleich </v>
      </c>
      <c r="D4513" s="2205" t="s">
        <v>2572</v>
      </c>
      <c r="E4513" s="1390">
        <f>Risk_Compensation!$G48</f>
        <v>31</v>
      </c>
      <c r="F4513" s="1390" t="str">
        <f>Risk_Compensation!$Y$17</f>
        <v>SO</v>
      </c>
      <c r="G4513" s="1390"/>
      <c r="H4513" s="1077">
        <f>Risk_Compensation!$Y48</f>
        <v>0</v>
      </c>
    </row>
    <row r="4514" spans="1:8" x14ac:dyDescent="0.2">
      <c r="A4514" s="1027"/>
      <c r="B4514" s="1083">
        <f>Risk_Compensation!A$1</f>
        <v>36</v>
      </c>
      <c r="C4514" s="1390" t="str">
        <f>Risk_Compensation!$B$1</f>
        <v xml:space="preserve">Risikoausgleich </v>
      </c>
      <c r="D4514" s="2205" t="s">
        <v>2572</v>
      </c>
      <c r="E4514" s="1390">
        <f>Risk_Compensation!$G49</f>
        <v>32</v>
      </c>
      <c r="F4514" s="1390" t="str">
        <f>Risk_Compensation!$Y$17</f>
        <v>SO</v>
      </c>
      <c r="G4514" s="1390"/>
      <c r="H4514" s="1077">
        <f>Risk_Compensation!$Y49</f>
        <v>0</v>
      </c>
    </row>
    <row r="4515" spans="1:8" x14ac:dyDescent="0.2">
      <c r="A4515" s="1027"/>
      <c r="B4515" s="1083">
        <f>Risk_Compensation!A$1</f>
        <v>36</v>
      </c>
      <c r="C4515" s="1390" t="str">
        <f>Risk_Compensation!$B$1</f>
        <v xml:space="preserve">Risikoausgleich </v>
      </c>
      <c r="D4515" s="2205" t="s">
        <v>2572</v>
      </c>
      <c r="E4515" s="1390">
        <f>Risk_Compensation!$G50</f>
        <v>33</v>
      </c>
      <c r="F4515" s="1390" t="str">
        <f>Risk_Compensation!$Y$17</f>
        <v>SO</v>
      </c>
      <c r="G4515" s="1390"/>
      <c r="H4515" s="1077">
        <f>Risk_Compensation!$Y50</f>
        <v>0</v>
      </c>
    </row>
    <row r="4516" spans="1:8" x14ac:dyDescent="0.2">
      <c r="A4516" s="1027"/>
      <c r="B4516" s="1083">
        <f>Risk_Compensation!A$1</f>
        <v>36</v>
      </c>
      <c r="C4516" s="1390" t="str">
        <f>Risk_Compensation!$B$1</f>
        <v xml:space="preserve">Risikoausgleich </v>
      </c>
      <c r="D4516" s="2205" t="s">
        <v>2572</v>
      </c>
      <c r="E4516" s="1390">
        <f>Risk_Compensation!$G51</f>
        <v>34</v>
      </c>
      <c r="F4516" s="1390" t="str">
        <f>Risk_Compensation!$Y$17</f>
        <v>SO</v>
      </c>
      <c r="G4516" s="1390"/>
      <c r="H4516" s="1077">
        <f>Risk_Compensation!$Y51</f>
        <v>0</v>
      </c>
    </row>
    <row r="4517" spans="1:8" x14ac:dyDescent="0.2">
      <c r="A4517" s="1027"/>
      <c r="B4517" s="1083">
        <f>Risk_Compensation!A$1</f>
        <v>36</v>
      </c>
      <c r="C4517" s="1390" t="str">
        <f>Risk_Compensation!$B$1</f>
        <v xml:space="preserve">Risikoausgleich </v>
      </c>
      <c r="D4517" s="2205" t="s">
        <v>2572</v>
      </c>
      <c r="E4517" s="1390">
        <f>Risk_Compensation!$G52</f>
        <v>35</v>
      </c>
      <c r="F4517" s="1390" t="str">
        <f>Risk_Compensation!$Y$17</f>
        <v>SO</v>
      </c>
      <c r="G4517" s="1390"/>
      <c r="H4517" s="1077">
        <f>Risk_Compensation!$Y52</f>
        <v>0</v>
      </c>
    </row>
    <row r="4518" spans="1:8" x14ac:dyDescent="0.2">
      <c r="A4518" s="1027"/>
      <c r="B4518" s="1083">
        <f>Risk_Compensation!A$1</f>
        <v>36</v>
      </c>
      <c r="C4518" s="1390" t="str">
        <f>Risk_Compensation!$B$1</f>
        <v xml:space="preserve">Risikoausgleich </v>
      </c>
      <c r="D4518" s="2205" t="s">
        <v>2572</v>
      </c>
      <c r="E4518" s="1390">
        <f>Risk_Compensation!$G53</f>
        <v>36</v>
      </c>
      <c r="F4518" s="1390" t="str">
        <f>Risk_Compensation!$Y$17</f>
        <v>SO</v>
      </c>
      <c r="G4518" s="1390"/>
      <c r="H4518" s="1077">
        <f>Risk_Compensation!$Y53</f>
        <v>0</v>
      </c>
    </row>
    <row r="4519" spans="1:8" x14ac:dyDescent="0.2">
      <c r="A4519" s="1027"/>
      <c r="B4519" s="1083">
        <f>Risk_Compensation!A$1</f>
        <v>36</v>
      </c>
      <c r="C4519" s="1390" t="str">
        <f>Risk_Compensation!$B$1</f>
        <v xml:space="preserve">Risikoausgleich </v>
      </c>
      <c r="D4519" s="2205" t="s">
        <v>2572</v>
      </c>
      <c r="E4519" s="1390">
        <f>Risk_Compensation!$G54</f>
        <v>37</v>
      </c>
      <c r="F4519" s="1390" t="str">
        <f>Risk_Compensation!$Y$17</f>
        <v>SO</v>
      </c>
      <c r="G4519" s="1390"/>
      <c r="H4519" s="1077">
        <f>Risk_Compensation!$Y54</f>
        <v>0</v>
      </c>
    </row>
    <row r="4520" spans="1:8" x14ac:dyDescent="0.2">
      <c r="A4520" s="1027"/>
      <c r="B4520" s="1083">
        <f>Risk_Compensation!A$1</f>
        <v>36</v>
      </c>
      <c r="C4520" s="1390" t="str">
        <f>Risk_Compensation!$B$1</f>
        <v xml:space="preserve">Risikoausgleich </v>
      </c>
      <c r="D4520" s="2205" t="s">
        <v>2572</v>
      </c>
      <c r="E4520" s="1390">
        <f>Risk_Compensation!$G55</f>
        <v>38</v>
      </c>
      <c r="F4520" s="1390" t="str">
        <f>Risk_Compensation!$Y$17</f>
        <v>SO</v>
      </c>
      <c r="G4520" s="1390"/>
      <c r="H4520" s="1077">
        <f>Risk_Compensation!$Y55</f>
        <v>0</v>
      </c>
    </row>
    <row r="4521" spans="1:8" x14ac:dyDescent="0.2">
      <c r="A4521" s="1027"/>
      <c r="B4521" s="1083">
        <f>Risk_Compensation!A$1</f>
        <v>36</v>
      </c>
      <c r="C4521" s="1390" t="str">
        <f>Risk_Compensation!$B$1</f>
        <v xml:space="preserve">Risikoausgleich </v>
      </c>
      <c r="D4521" s="2205" t="s">
        <v>2572</v>
      </c>
      <c r="E4521" s="1390">
        <f>Risk_Compensation!$G56</f>
        <v>39</v>
      </c>
      <c r="F4521" s="1390" t="str">
        <f>Risk_Compensation!$Y$17</f>
        <v>SO</v>
      </c>
      <c r="G4521" s="1390"/>
      <c r="H4521" s="1077">
        <f>Risk_Compensation!$Y56</f>
        <v>0</v>
      </c>
    </row>
    <row r="4522" spans="1:8" x14ac:dyDescent="0.2">
      <c r="A4522" s="1027"/>
      <c r="B4522" s="1083">
        <f>Risk_Compensation!A$1</f>
        <v>36</v>
      </c>
      <c r="C4522" s="1390" t="str">
        <f>Risk_Compensation!$B$1</f>
        <v xml:space="preserve">Risikoausgleich </v>
      </c>
      <c r="D4522" s="2205" t="s">
        <v>2572</v>
      </c>
      <c r="E4522" s="1390">
        <f>Risk_Compensation!$G57</f>
        <v>40</v>
      </c>
      <c r="F4522" s="1390" t="str">
        <f>Risk_Compensation!$Y$17</f>
        <v>SO</v>
      </c>
      <c r="G4522" s="1390"/>
      <c r="H4522" s="1077">
        <f>Risk_Compensation!$Y57</f>
        <v>0</v>
      </c>
    </row>
    <row r="4523" spans="1:8" x14ac:dyDescent="0.2">
      <c r="A4523" s="1027"/>
      <c r="B4523" s="1083">
        <f>Risk_Compensation!A$1</f>
        <v>36</v>
      </c>
      <c r="C4523" s="1390" t="str">
        <f>Risk_Compensation!$B$1</f>
        <v xml:space="preserve">Risikoausgleich </v>
      </c>
      <c r="D4523" s="2205" t="s">
        <v>2572</v>
      </c>
      <c r="E4523" s="1390">
        <f>Risk_Compensation!$G58</f>
        <v>41</v>
      </c>
      <c r="F4523" s="1390" t="str">
        <f>Risk_Compensation!$Y$17</f>
        <v>SO</v>
      </c>
      <c r="G4523" s="1390"/>
      <c r="H4523" s="1077">
        <f>Risk_Compensation!$Y58</f>
        <v>0</v>
      </c>
    </row>
    <row r="4524" spans="1:8" x14ac:dyDescent="0.2">
      <c r="A4524" s="1027"/>
      <c r="B4524" s="1083">
        <f>Risk_Compensation!A$1</f>
        <v>36</v>
      </c>
      <c r="C4524" s="1390" t="str">
        <f>Risk_Compensation!$B$1</f>
        <v xml:space="preserve">Risikoausgleich </v>
      </c>
      <c r="D4524" s="2205" t="s">
        <v>2572</v>
      </c>
      <c r="E4524" s="1390">
        <f>Risk_Compensation!$G59</f>
        <v>42</v>
      </c>
      <c r="F4524" s="1390" t="str">
        <f>Risk_Compensation!$Y$17</f>
        <v>SO</v>
      </c>
      <c r="G4524" s="1390"/>
      <c r="H4524" s="1077">
        <f>Risk_Compensation!$Y59</f>
        <v>0</v>
      </c>
    </row>
    <row r="4525" spans="1:8" x14ac:dyDescent="0.2">
      <c r="A4525" s="1027"/>
      <c r="B4525" s="1083">
        <f>Risk_Compensation!A$1</f>
        <v>36</v>
      </c>
      <c r="C4525" s="1390" t="str">
        <f>Risk_Compensation!$B$1</f>
        <v xml:space="preserve">Risikoausgleich </v>
      </c>
      <c r="D4525" s="2205" t="s">
        <v>2572</v>
      </c>
      <c r="E4525" s="1390">
        <f>Risk_Compensation!$G60</f>
        <v>43</v>
      </c>
      <c r="F4525" s="1390" t="str">
        <f>Risk_Compensation!$Y$17</f>
        <v>SO</v>
      </c>
      <c r="G4525" s="1390"/>
      <c r="H4525" s="1077">
        <f>Risk_Compensation!$Y60</f>
        <v>0</v>
      </c>
    </row>
    <row r="4526" spans="1:8" x14ac:dyDescent="0.2">
      <c r="A4526" s="1027"/>
      <c r="B4526" s="1083">
        <f>Risk_Compensation!A$1</f>
        <v>36</v>
      </c>
      <c r="C4526" s="1390" t="str">
        <f>Risk_Compensation!$B$1</f>
        <v xml:space="preserve">Risikoausgleich </v>
      </c>
      <c r="D4526" s="2205" t="s">
        <v>2572</v>
      </c>
      <c r="E4526" s="1390">
        <f>Risk_Compensation!$G61</f>
        <v>44</v>
      </c>
      <c r="F4526" s="1390" t="str">
        <f>Risk_Compensation!$Y$17</f>
        <v>SO</v>
      </c>
      <c r="G4526" s="1390"/>
      <c r="H4526" s="1077">
        <f>Risk_Compensation!$Y61</f>
        <v>0</v>
      </c>
    </row>
    <row r="4527" spans="1:8" x14ac:dyDescent="0.2">
      <c r="A4527" s="1027"/>
      <c r="B4527" s="1083">
        <f>Risk_Compensation!A$1</f>
        <v>36</v>
      </c>
      <c r="C4527" s="1390" t="str">
        <f>Risk_Compensation!$B$1</f>
        <v xml:space="preserve">Risikoausgleich </v>
      </c>
      <c r="D4527" s="2205" t="s">
        <v>2572</v>
      </c>
      <c r="E4527" s="1390">
        <f>Risk_Compensation!$G62</f>
        <v>45</v>
      </c>
      <c r="F4527" s="1390" t="str">
        <f>Risk_Compensation!$Y$17</f>
        <v>SO</v>
      </c>
      <c r="G4527" s="1390"/>
      <c r="H4527" s="1077">
        <f>Risk_Compensation!$Y62</f>
        <v>0</v>
      </c>
    </row>
    <row r="4528" spans="1:8" x14ac:dyDescent="0.2">
      <c r="A4528" s="1027"/>
      <c r="B4528" s="1083">
        <f>Risk_Compensation!A$1</f>
        <v>36</v>
      </c>
      <c r="C4528" s="1390" t="str">
        <f>Risk_Compensation!$B$1</f>
        <v xml:space="preserve">Risikoausgleich </v>
      </c>
      <c r="D4528" s="2205" t="s">
        <v>2572</v>
      </c>
      <c r="E4528" s="1390">
        <f>Risk_Compensation!$G63</f>
        <v>46</v>
      </c>
      <c r="F4528" s="1390" t="str">
        <f>Risk_Compensation!$Y$17</f>
        <v>SO</v>
      </c>
      <c r="G4528" s="1390"/>
      <c r="H4528" s="1077">
        <f>Risk_Compensation!$Y63</f>
        <v>0</v>
      </c>
    </row>
    <row r="4529" spans="1:8" x14ac:dyDescent="0.2">
      <c r="A4529" s="1027"/>
      <c r="B4529" s="1083">
        <f>Risk_Compensation!A$1</f>
        <v>36</v>
      </c>
      <c r="C4529" s="1390" t="str">
        <f>Risk_Compensation!$B$1</f>
        <v xml:space="preserve">Risikoausgleich </v>
      </c>
      <c r="D4529" s="2205" t="s">
        <v>2572</v>
      </c>
      <c r="E4529" s="1390">
        <f>Risk_Compensation!$G64</f>
        <v>47</v>
      </c>
      <c r="F4529" s="1390" t="str">
        <f>Risk_Compensation!$Y$17</f>
        <v>SO</v>
      </c>
      <c r="G4529" s="1390"/>
      <c r="H4529" s="1077">
        <f>Risk_Compensation!$Y64</f>
        <v>0</v>
      </c>
    </row>
    <row r="4530" spans="1:8" x14ac:dyDescent="0.2">
      <c r="A4530" s="1027"/>
      <c r="B4530" s="1083">
        <f>Risk_Compensation!A$1</f>
        <v>36</v>
      </c>
      <c r="C4530" s="1390" t="str">
        <f>Risk_Compensation!$B$1</f>
        <v xml:space="preserve">Risikoausgleich </v>
      </c>
      <c r="D4530" s="2205" t="s">
        <v>2572</v>
      </c>
      <c r="E4530" s="1390">
        <f>Risk_Compensation!$G65</f>
        <v>48</v>
      </c>
      <c r="F4530" s="1390" t="str">
        <f>Risk_Compensation!$Y$17</f>
        <v>SO</v>
      </c>
      <c r="G4530" s="1390"/>
      <c r="H4530" s="1077">
        <f>Risk_Compensation!$Y65</f>
        <v>0</v>
      </c>
    </row>
    <row r="4531" spans="1:8" x14ac:dyDescent="0.2">
      <c r="A4531" s="1027"/>
      <c r="B4531" s="1083">
        <f>Risk_Compensation!A$1</f>
        <v>36</v>
      </c>
      <c r="C4531" s="1390" t="str">
        <f>Risk_Compensation!$B$1</f>
        <v xml:space="preserve">Risikoausgleich </v>
      </c>
      <c r="D4531" s="2205" t="s">
        <v>2572</v>
      </c>
      <c r="E4531" s="1390">
        <f>Risk_Compensation!$G66</f>
        <v>49</v>
      </c>
      <c r="F4531" s="1390" t="str">
        <f>Risk_Compensation!$Y$17</f>
        <v>SO</v>
      </c>
      <c r="G4531" s="1390"/>
      <c r="H4531" s="1077">
        <f>Risk_Compensation!$Y66</f>
        <v>0</v>
      </c>
    </row>
    <row r="4532" spans="1:8" x14ac:dyDescent="0.2">
      <c r="A4532" s="1027"/>
      <c r="B4532" s="1083">
        <f>Risk_Compensation!A$1</f>
        <v>36</v>
      </c>
      <c r="C4532" s="1390" t="str">
        <f>Risk_Compensation!$B$1</f>
        <v xml:space="preserve">Risikoausgleich </v>
      </c>
      <c r="D4532" s="2205" t="s">
        <v>2572</v>
      </c>
      <c r="E4532" s="1390">
        <f>Risk_Compensation!$G67</f>
        <v>50</v>
      </c>
      <c r="F4532" s="1390" t="str">
        <f>Risk_Compensation!$Y$17</f>
        <v>SO</v>
      </c>
      <c r="G4532" s="1390"/>
      <c r="H4532" s="1077">
        <f>Risk_Compensation!$Y67</f>
        <v>0</v>
      </c>
    </row>
    <row r="4533" spans="1:8" x14ac:dyDescent="0.2">
      <c r="A4533" s="1027"/>
      <c r="B4533" s="1083">
        <f>Risk_Compensation!A$1</f>
        <v>36</v>
      </c>
      <c r="C4533" s="1390" t="str">
        <f>Risk_Compensation!$B$1</f>
        <v xml:space="preserve">Risikoausgleich </v>
      </c>
      <c r="D4533" s="2205" t="s">
        <v>2572</v>
      </c>
      <c r="E4533" s="1390">
        <f>Risk_Compensation!$G68</f>
        <v>51</v>
      </c>
      <c r="F4533" s="1390" t="str">
        <f>Risk_Compensation!$Y$17</f>
        <v>SO</v>
      </c>
      <c r="G4533" s="1390"/>
      <c r="H4533" s="1077">
        <f>Risk_Compensation!$Y68</f>
        <v>0</v>
      </c>
    </row>
    <row r="4534" spans="1:8" x14ac:dyDescent="0.2">
      <c r="A4534" s="1027"/>
      <c r="B4534" s="1083">
        <f>Risk_Compensation!A$1</f>
        <v>36</v>
      </c>
      <c r="C4534" s="1390" t="str">
        <f>Risk_Compensation!$B$1</f>
        <v xml:space="preserve">Risikoausgleich </v>
      </c>
      <c r="D4534" s="2205" t="s">
        <v>2572</v>
      </c>
      <c r="E4534" s="1390">
        <f>Risk_Compensation!$G69</f>
        <v>52</v>
      </c>
      <c r="F4534" s="1390" t="str">
        <f>Risk_Compensation!$Y$17</f>
        <v>SO</v>
      </c>
      <c r="G4534" s="1390"/>
      <c r="H4534" s="1077">
        <f>Risk_Compensation!$Y69</f>
        <v>0</v>
      </c>
    </row>
    <row r="4535" spans="1:8" x14ac:dyDescent="0.2">
      <c r="A4535" s="1027"/>
      <c r="B4535" s="1083">
        <f>Risk_Compensation!A$1</f>
        <v>36</v>
      </c>
      <c r="C4535" s="1390" t="str">
        <f>Risk_Compensation!$B$1</f>
        <v xml:space="preserve">Risikoausgleich </v>
      </c>
      <c r="D4535" s="2205" t="s">
        <v>2572</v>
      </c>
      <c r="E4535" s="1390">
        <f>Risk_Compensation!$G70</f>
        <v>53</v>
      </c>
      <c r="F4535" s="1390" t="str">
        <f>Risk_Compensation!$Y$17</f>
        <v>SO</v>
      </c>
      <c r="G4535" s="1390"/>
      <c r="H4535" s="1077">
        <f>Risk_Compensation!$Y70</f>
        <v>0</v>
      </c>
    </row>
    <row r="4536" spans="1:8" x14ac:dyDescent="0.2">
      <c r="A4536" s="1027"/>
      <c r="B4536" s="1083">
        <f>Risk_Compensation!A$1</f>
        <v>36</v>
      </c>
      <c r="C4536" s="1390" t="str">
        <f>Risk_Compensation!$B$1</f>
        <v xml:space="preserve">Risikoausgleich </v>
      </c>
      <c r="D4536" s="2205" t="s">
        <v>2572</v>
      </c>
      <c r="E4536" s="1390">
        <f>Risk_Compensation!$G71</f>
        <v>54</v>
      </c>
      <c r="F4536" s="1390" t="str">
        <f>Risk_Compensation!$Y$17</f>
        <v>SO</v>
      </c>
      <c r="G4536" s="1390"/>
      <c r="H4536" s="1077">
        <f>Risk_Compensation!$Y71</f>
        <v>0</v>
      </c>
    </row>
    <row r="4537" spans="1:8" x14ac:dyDescent="0.2">
      <c r="A4537" s="1027"/>
      <c r="B4537" s="1083">
        <f>Risk_Compensation!A$1</f>
        <v>36</v>
      </c>
      <c r="C4537" s="1390" t="str">
        <f>Risk_Compensation!$B$1</f>
        <v xml:space="preserve">Risikoausgleich </v>
      </c>
      <c r="D4537" s="2205" t="s">
        <v>2572</v>
      </c>
      <c r="E4537" s="1390">
        <f>Risk_Compensation!$G72</f>
        <v>55</v>
      </c>
      <c r="F4537" s="1390" t="str">
        <f>Risk_Compensation!$Y$17</f>
        <v>SO</v>
      </c>
      <c r="G4537" s="1390"/>
      <c r="H4537" s="1077">
        <f>Risk_Compensation!$Y72</f>
        <v>0</v>
      </c>
    </row>
    <row r="4538" spans="1:8" x14ac:dyDescent="0.2">
      <c r="A4538" s="1027"/>
      <c r="B4538" s="1083">
        <f>Risk_Compensation!A$1</f>
        <v>36</v>
      </c>
      <c r="C4538" s="1390" t="str">
        <f>Risk_Compensation!$B$1</f>
        <v xml:space="preserve">Risikoausgleich </v>
      </c>
      <c r="D4538" s="2205" t="s">
        <v>2572</v>
      </c>
      <c r="E4538" s="1390">
        <f>Risk_Compensation!$G73</f>
        <v>56</v>
      </c>
      <c r="F4538" s="1390" t="str">
        <f>Risk_Compensation!$Y$17</f>
        <v>SO</v>
      </c>
      <c r="G4538" s="1390"/>
      <c r="H4538" s="1077">
        <f>Risk_Compensation!$Y73</f>
        <v>0</v>
      </c>
    </row>
    <row r="4539" spans="1:8" x14ac:dyDescent="0.2">
      <c r="A4539" s="1027"/>
      <c r="B4539" s="1083">
        <f>Risk_Compensation!A$1</f>
        <v>36</v>
      </c>
      <c r="C4539" s="1390" t="str">
        <f>Risk_Compensation!$B$1</f>
        <v xml:space="preserve">Risikoausgleich </v>
      </c>
      <c r="D4539" s="2205" t="s">
        <v>2572</v>
      </c>
      <c r="E4539" s="1390">
        <f>Risk_Compensation!$G74</f>
        <v>57</v>
      </c>
      <c r="F4539" s="1390" t="str">
        <f>Risk_Compensation!$Y$17</f>
        <v>SO</v>
      </c>
      <c r="G4539" s="1390"/>
      <c r="H4539" s="1077">
        <f>Risk_Compensation!$Y74</f>
        <v>0</v>
      </c>
    </row>
    <row r="4540" spans="1:8" x14ac:dyDescent="0.2">
      <c r="A4540" s="1027"/>
      <c r="B4540" s="1083">
        <f>Risk_Compensation!A$1</f>
        <v>36</v>
      </c>
      <c r="C4540" s="1390" t="str">
        <f>Risk_Compensation!$B$1</f>
        <v xml:space="preserve">Risikoausgleich </v>
      </c>
      <c r="D4540" s="2205" t="s">
        <v>2572</v>
      </c>
      <c r="E4540" s="1390">
        <f>Risk_Compensation!$G75</f>
        <v>58</v>
      </c>
      <c r="F4540" s="1390" t="str">
        <f>Risk_Compensation!$Y$17</f>
        <v>SO</v>
      </c>
      <c r="G4540" s="1390"/>
      <c r="H4540" s="1077">
        <f>Risk_Compensation!$Y75</f>
        <v>0</v>
      </c>
    </row>
    <row r="4541" spans="1:8" x14ac:dyDescent="0.2">
      <c r="A4541" s="1027"/>
      <c r="B4541" s="1083">
        <f>Risk_Compensation!A$1</f>
        <v>36</v>
      </c>
      <c r="C4541" s="1390" t="str">
        <f>Risk_Compensation!$B$1</f>
        <v xml:space="preserve">Risikoausgleich </v>
      </c>
      <c r="D4541" s="2205" t="s">
        <v>2572</v>
      </c>
      <c r="E4541" s="1390">
        <f>Risk_Compensation!$G76</f>
        <v>59</v>
      </c>
      <c r="F4541" s="1390" t="str">
        <f>Risk_Compensation!$Y$17</f>
        <v>SO</v>
      </c>
      <c r="G4541" s="1390"/>
      <c r="H4541" s="1077">
        <f>Risk_Compensation!$Y76</f>
        <v>0</v>
      </c>
    </row>
    <row r="4542" spans="1:8" x14ac:dyDescent="0.2">
      <c r="A4542" s="1027"/>
      <c r="B4542" s="1083">
        <f>Risk_Compensation!A$1</f>
        <v>36</v>
      </c>
      <c r="C4542" s="1390" t="str">
        <f>Risk_Compensation!$B$1</f>
        <v xml:space="preserve">Risikoausgleich </v>
      </c>
      <c r="D4542" s="2205" t="s">
        <v>2572</v>
      </c>
      <c r="E4542" s="1390">
        <f>Risk_Compensation!$G77</f>
        <v>60</v>
      </c>
      <c r="F4542" s="1390" t="str">
        <f>Risk_Compensation!$Y$17</f>
        <v>SO</v>
      </c>
      <c r="G4542" s="1390"/>
      <c r="H4542" s="1077">
        <f>Risk_Compensation!$Y77</f>
        <v>0</v>
      </c>
    </row>
    <row r="4543" spans="1:8" x14ac:dyDescent="0.2">
      <c r="A4543" s="1027"/>
      <c r="B4543" s="2174"/>
      <c r="C4543" s="1390"/>
      <c r="D4543" s="2175"/>
      <c r="E4543" s="2176"/>
      <c r="F4543" s="1390"/>
      <c r="G4543" s="1390"/>
      <c r="H4543" s="1078"/>
    </row>
    <row r="4544" spans="1:8" x14ac:dyDescent="0.2">
      <c r="A4544" s="1027"/>
      <c r="B4544" s="1083">
        <f>Risk_Compensation!A$1</f>
        <v>36</v>
      </c>
      <c r="C4544" s="1390" t="str">
        <f>Risk_Compensation!$B$1</f>
        <v xml:space="preserve">Risikoausgleich </v>
      </c>
      <c r="D4544" s="2205" t="s">
        <v>2572</v>
      </c>
      <c r="E4544" s="1390">
        <f>Risk_Compensation!$G18</f>
        <v>1</v>
      </c>
      <c r="F4544" s="1390" t="str">
        <f>Risk_Compensation!$Z$17</f>
        <v>SZ</v>
      </c>
      <c r="G4544" s="1390"/>
      <c r="H4544" s="1077">
        <f>Risk_Compensation!$Z18</f>
        <v>0</v>
      </c>
    </row>
    <row r="4545" spans="1:8" x14ac:dyDescent="0.2">
      <c r="A4545" s="1027"/>
      <c r="B4545" s="1083">
        <f>Risk_Compensation!A$1</f>
        <v>36</v>
      </c>
      <c r="C4545" s="1390" t="str">
        <f>Risk_Compensation!$B$1</f>
        <v xml:space="preserve">Risikoausgleich </v>
      </c>
      <c r="D4545" s="2205" t="s">
        <v>2572</v>
      </c>
      <c r="E4545" s="1390">
        <f>Risk_Compensation!$G19</f>
        <v>2</v>
      </c>
      <c r="F4545" s="1390" t="str">
        <f>Risk_Compensation!$Z$17</f>
        <v>SZ</v>
      </c>
      <c r="G4545" s="1390"/>
      <c r="H4545" s="1077">
        <f>Risk_Compensation!$Z19</f>
        <v>0</v>
      </c>
    </row>
    <row r="4546" spans="1:8" x14ac:dyDescent="0.2">
      <c r="A4546" s="1027"/>
      <c r="B4546" s="1083">
        <f>Risk_Compensation!A$1</f>
        <v>36</v>
      </c>
      <c r="C4546" s="1390" t="str">
        <f>Risk_Compensation!$B$1</f>
        <v xml:space="preserve">Risikoausgleich </v>
      </c>
      <c r="D4546" s="2205" t="s">
        <v>2572</v>
      </c>
      <c r="E4546" s="1390">
        <f>Risk_Compensation!$G20</f>
        <v>3</v>
      </c>
      <c r="F4546" s="1390" t="str">
        <f>Risk_Compensation!$Z$17</f>
        <v>SZ</v>
      </c>
      <c r="G4546" s="1390"/>
      <c r="H4546" s="1077">
        <f>Risk_Compensation!$Z20</f>
        <v>0</v>
      </c>
    </row>
    <row r="4547" spans="1:8" x14ac:dyDescent="0.2">
      <c r="A4547" s="1027"/>
      <c r="B4547" s="1083">
        <f>Risk_Compensation!A$1</f>
        <v>36</v>
      </c>
      <c r="C4547" s="1390" t="str">
        <f>Risk_Compensation!$B$1</f>
        <v xml:space="preserve">Risikoausgleich </v>
      </c>
      <c r="D4547" s="2205" t="s">
        <v>2572</v>
      </c>
      <c r="E4547" s="1390">
        <f>Risk_Compensation!$G21</f>
        <v>4</v>
      </c>
      <c r="F4547" s="1390" t="str">
        <f>Risk_Compensation!$Z$17</f>
        <v>SZ</v>
      </c>
      <c r="G4547" s="1390"/>
      <c r="H4547" s="1077">
        <f>Risk_Compensation!$Z21</f>
        <v>0</v>
      </c>
    </row>
    <row r="4548" spans="1:8" x14ac:dyDescent="0.2">
      <c r="A4548" s="1027"/>
      <c r="B4548" s="1083">
        <f>Risk_Compensation!A$1</f>
        <v>36</v>
      </c>
      <c r="C4548" s="1390" t="str">
        <f>Risk_Compensation!$B$1</f>
        <v xml:space="preserve">Risikoausgleich </v>
      </c>
      <c r="D4548" s="2205" t="s">
        <v>2572</v>
      </c>
      <c r="E4548" s="1390">
        <f>Risk_Compensation!$G22</f>
        <v>5</v>
      </c>
      <c r="F4548" s="1390" t="str">
        <f>Risk_Compensation!$Z$17</f>
        <v>SZ</v>
      </c>
      <c r="G4548" s="1390"/>
      <c r="H4548" s="1077">
        <f>Risk_Compensation!$Z22</f>
        <v>0</v>
      </c>
    </row>
    <row r="4549" spans="1:8" x14ac:dyDescent="0.2">
      <c r="A4549" s="1027"/>
      <c r="B4549" s="1083">
        <f>Risk_Compensation!A$1</f>
        <v>36</v>
      </c>
      <c r="C4549" s="1390" t="str">
        <f>Risk_Compensation!$B$1</f>
        <v xml:space="preserve">Risikoausgleich </v>
      </c>
      <c r="D4549" s="2205" t="s">
        <v>2572</v>
      </c>
      <c r="E4549" s="1390">
        <f>Risk_Compensation!$G23</f>
        <v>6</v>
      </c>
      <c r="F4549" s="1390" t="str">
        <f>Risk_Compensation!$Z$17</f>
        <v>SZ</v>
      </c>
      <c r="G4549" s="1390"/>
      <c r="H4549" s="1077">
        <f>Risk_Compensation!$Z23</f>
        <v>0</v>
      </c>
    </row>
    <row r="4550" spans="1:8" x14ac:dyDescent="0.2">
      <c r="A4550" s="1027"/>
      <c r="B4550" s="1083">
        <f>Risk_Compensation!A$1</f>
        <v>36</v>
      </c>
      <c r="C4550" s="1390" t="str">
        <f>Risk_Compensation!$B$1</f>
        <v xml:space="preserve">Risikoausgleich </v>
      </c>
      <c r="D4550" s="2205" t="s">
        <v>2572</v>
      </c>
      <c r="E4550" s="1390">
        <f>Risk_Compensation!$G24</f>
        <v>7</v>
      </c>
      <c r="F4550" s="1390" t="str">
        <f>Risk_Compensation!$Z$17</f>
        <v>SZ</v>
      </c>
      <c r="G4550" s="1390"/>
      <c r="H4550" s="1077">
        <f>Risk_Compensation!$Z24</f>
        <v>0</v>
      </c>
    </row>
    <row r="4551" spans="1:8" x14ac:dyDescent="0.2">
      <c r="A4551" s="1027"/>
      <c r="B4551" s="1083">
        <f>Risk_Compensation!A$1</f>
        <v>36</v>
      </c>
      <c r="C4551" s="1390" t="str">
        <f>Risk_Compensation!$B$1</f>
        <v xml:space="preserve">Risikoausgleich </v>
      </c>
      <c r="D4551" s="2205" t="s">
        <v>2572</v>
      </c>
      <c r="E4551" s="1390">
        <f>Risk_Compensation!$G25</f>
        <v>8</v>
      </c>
      <c r="F4551" s="1390" t="str">
        <f>Risk_Compensation!$Z$17</f>
        <v>SZ</v>
      </c>
      <c r="G4551" s="1390"/>
      <c r="H4551" s="1077">
        <f>Risk_Compensation!$Z25</f>
        <v>0</v>
      </c>
    </row>
    <row r="4552" spans="1:8" x14ac:dyDescent="0.2">
      <c r="A4552" s="1027"/>
      <c r="B4552" s="1083">
        <f>Risk_Compensation!A$1</f>
        <v>36</v>
      </c>
      <c r="C4552" s="1390" t="str">
        <f>Risk_Compensation!$B$1</f>
        <v xml:space="preserve">Risikoausgleich </v>
      </c>
      <c r="D4552" s="2205" t="s">
        <v>2572</v>
      </c>
      <c r="E4552" s="1390">
        <f>Risk_Compensation!$G26</f>
        <v>9</v>
      </c>
      <c r="F4552" s="1390" t="str">
        <f>Risk_Compensation!$Z$17</f>
        <v>SZ</v>
      </c>
      <c r="G4552" s="1390"/>
      <c r="H4552" s="1077">
        <f>Risk_Compensation!$Z26</f>
        <v>0</v>
      </c>
    </row>
    <row r="4553" spans="1:8" x14ac:dyDescent="0.2">
      <c r="A4553" s="1027"/>
      <c r="B4553" s="1083">
        <f>Risk_Compensation!A$1</f>
        <v>36</v>
      </c>
      <c r="C4553" s="1390" t="str">
        <f>Risk_Compensation!$B$1</f>
        <v xml:space="preserve">Risikoausgleich </v>
      </c>
      <c r="D4553" s="2205" t="s">
        <v>2572</v>
      </c>
      <c r="E4553" s="1390">
        <f>Risk_Compensation!$G27</f>
        <v>10</v>
      </c>
      <c r="F4553" s="1390" t="str">
        <f>Risk_Compensation!$Z$17</f>
        <v>SZ</v>
      </c>
      <c r="G4553" s="1390"/>
      <c r="H4553" s="1077">
        <f>Risk_Compensation!$Z27</f>
        <v>0</v>
      </c>
    </row>
    <row r="4554" spans="1:8" x14ac:dyDescent="0.2">
      <c r="A4554" s="1027"/>
      <c r="B4554" s="1083">
        <f>Risk_Compensation!A$1</f>
        <v>36</v>
      </c>
      <c r="C4554" s="1390" t="str">
        <f>Risk_Compensation!$B$1</f>
        <v xml:space="preserve">Risikoausgleich </v>
      </c>
      <c r="D4554" s="2205" t="s">
        <v>2572</v>
      </c>
      <c r="E4554" s="1390">
        <f>Risk_Compensation!$G28</f>
        <v>11</v>
      </c>
      <c r="F4554" s="1390" t="str">
        <f>Risk_Compensation!$Z$17</f>
        <v>SZ</v>
      </c>
      <c r="G4554" s="1390"/>
      <c r="H4554" s="1077">
        <f>Risk_Compensation!$Z28</f>
        <v>0</v>
      </c>
    </row>
    <row r="4555" spans="1:8" x14ac:dyDescent="0.2">
      <c r="A4555" s="1027"/>
      <c r="B4555" s="1083">
        <f>Risk_Compensation!A$1</f>
        <v>36</v>
      </c>
      <c r="C4555" s="1390" t="str">
        <f>Risk_Compensation!$B$1</f>
        <v xml:space="preserve">Risikoausgleich </v>
      </c>
      <c r="D4555" s="2205" t="s">
        <v>2572</v>
      </c>
      <c r="E4555" s="1390">
        <f>Risk_Compensation!$G29</f>
        <v>12</v>
      </c>
      <c r="F4555" s="1390" t="str">
        <f>Risk_Compensation!$Z$17</f>
        <v>SZ</v>
      </c>
      <c r="G4555" s="1390"/>
      <c r="H4555" s="1077">
        <f>Risk_Compensation!$Z29</f>
        <v>0</v>
      </c>
    </row>
    <row r="4556" spans="1:8" x14ac:dyDescent="0.2">
      <c r="A4556" s="1027"/>
      <c r="B4556" s="1083">
        <f>Risk_Compensation!A$1</f>
        <v>36</v>
      </c>
      <c r="C4556" s="1390" t="str">
        <f>Risk_Compensation!$B$1</f>
        <v xml:space="preserve">Risikoausgleich </v>
      </c>
      <c r="D4556" s="2205" t="s">
        <v>2572</v>
      </c>
      <c r="E4556" s="1390">
        <f>Risk_Compensation!$G30</f>
        <v>13</v>
      </c>
      <c r="F4556" s="1390" t="str">
        <f>Risk_Compensation!$Z$17</f>
        <v>SZ</v>
      </c>
      <c r="G4556" s="1390"/>
      <c r="H4556" s="1077">
        <f>Risk_Compensation!$Z30</f>
        <v>0</v>
      </c>
    </row>
    <row r="4557" spans="1:8" x14ac:dyDescent="0.2">
      <c r="A4557" s="1027"/>
      <c r="B4557" s="1083">
        <f>Risk_Compensation!A$1</f>
        <v>36</v>
      </c>
      <c r="C4557" s="1390" t="str">
        <f>Risk_Compensation!$B$1</f>
        <v xml:space="preserve">Risikoausgleich </v>
      </c>
      <c r="D4557" s="2205" t="s">
        <v>2572</v>
      </c>
      <c r="E4557" s="1390">
        <f>Risk_Compensation!$G31</f>
        <v>14</v>
      </c>
      <c r="F4557" s="1390" t="str">
        <f>Risk_Compensation!$Z$17</f>
        <v>SZ</v>
      </c>
      <c r="G4557" s="1390"/>
      <c r="H4557" s="1077">
        <f>Risk_Compensation!$Z31</f>
        <v>0</v>
      </c>
    </row>
    <row r="4558" spans="1:8" x14ac:dyDescent="0.2">
      <c r="A4558" s="1027"/>
      <c r="B4558" s="1083">
        <f>Risk_Compensation!A$1</f>
        <v>36</v>
      </c>
      <c r="C4558" s="1390" t="str">
        <f>Risk_Compensation!$B$1</f>
        <v xml:space="preserve">Risikoausgleich </v>
      </c>
      <c r="D4558" s="2205" t="s">
        <v>2572</v>
      </c>
      <c r="E4558" s="1390">
        <f>Risk_Compensation!$G32</f>
        <v>15</v>
      </c>
      <c r="F4558" s="1390" t="str">
        <f>Risk_Compensation!$Z$17</f>
        <v>SZ</v>
      </c>
      <c r="G4558" s="1390"/>
      <c r="H4558" s="1077">
        <f>Risk_Compensation!$Z32</f>
        <v>0</v>
      </c>
    </row>
    <row r="4559" spans="1:8" x14ac:dyDescent="0.2">
      <c r="A4559" s="1027"/>
      <c r="B4559" s="1083">
        <f>Risk_Compensation!A$1</f>
        <v>36</v>
      </c>
      <c r="C4559" s="1390" t="str">
        <f>Risk_Compensation!$B$1</f>
        <v xml:space="preserve">Risikoausgleich </v>
      </c>
      <c r="D4559" s="2205" t="s">
        <v>2572</v>
      </c>
      <c r="E4559" s="1390">
        <f>Risk_Compensation!$G33</f>
        <v>16</v>
      </c>
      <c r="F4559" s="1390" t="str">
        <f>Risk_Compensation!$Z$17</f>
        <v>SZ</v>
      </c>
      <c r="G4559" s="1390"/>
      <c r="H4559" s="1077">
        <f>Risk_Compensation!$Z33</f>
        <v>0</v>
      </c>
    </row>
    <row r="4560" spans="1:8" x14ac:dyDescent="0.2">
      <c r="A4560" s="1027"/>
      <c r="B4560" s="1083">
        <f>Risk_Compensation!A$1</f>
        <v>36</v>
      </c>
      <c r="C4560" s="1390" t="str">
        <f>Risk_Compensation!$B$1</f>
        <v xml:space="preserve">Risikoausgleich </v>
      </c>
      <c r="D4560" s="2205" t="s">
        <v>2572</v>
      </c>
      <c r="E4560" s="1390">
        <f>Risk_Compensation!$G34</f>
        <v>17</v>
      </c>
      <c r="F4560" s="1390" t="str">
        <f>Risk_Compensation!$Z$17</f>
        <v>SZ</v>
      </c>
      <c r="G4560" s="1390"/>
      <c r="H4560" s="1077">
        <f>Risk_Compensation!$Z34</f>
        <v>0</v>
      </c>
    </row>
    <row r="4561" spans="1:8" x14ac:dyDescent="0.2">
      <c r="A4561" s="1027"/>
      <c r="B4561" s="1083">
        <f>Risk_Compensation!A$1</f>
        <v>36</v>
      </c>
      <c r="C4561" s="1390" t="str">
        <f>Risk_Compensation!$B$1</f>
        <v xml:space="preserve">Risikoausgleich </v>
      </c>
      <c r="D4561" s="2205" t="s">
        <v>2572</v>
      </c>
      <c r="E4561" s="1390">
        <f>Risk_Compensation!$G35</f>
        <v>18</v>
      </c>
      <c r="F4561" s="1390" t="str">
        <f>Risk_Compensation!$Z$17</f>
        <v>SZ</v>
      </c>
      <c r="G4561" s="1390"/>
      <c r="H4561" s="1077">
        <f>Risk_Compensation!$Z35</f>
        <v>0</v>
      </c>
    </row>
    <row r="4562" spans="1:8" x14ac:dyDescent="0.2">
      <c r="A4562" s="1027"/>
      <c r="B4562" s="1083">
        <f>Risk_Compensation!A$1</f>
        <v>36</v>
      </c>
      <c r="C4562" s="1390" t="str">
        <f>Risk_Compensation!$B$1</f>
        <v xml:space="preserve">Risikoausgleich </v>
      </c>
      <c r="D4562" s="2205" t="s">
        <v>2572</v>
      </c>
      <c r="E4562" s="1390">
        <f>Risk_Compensation!$G36</f>
        <v>19</v>
      </c>
      <c r="F4562" s="1390" t="str">
        <f>Risk_Compensation!$Z$17</f>
        <v>SZ</v>
      </c>
      <c r="G4562" s="1390"/>
      <c r="H4562" s="1077">
        <f>Risk_Compensation!$Z36</f>
        <v>0</v>
      </c>
    </row>
    <row r="4563" spans="1:8" x14ac:dyDescent="0.2">
      <c r="A4563" s="1027"/>
      <c r="B4563" s="1083">
        <f>Risk_Compensation!A$1</f>
        <v>36</v>
      </c>
      <c r="C4563" s="1390" t="str">
        <f>Risk_Compensation!$B$1</f>
        <v xml:space="preserve">Risikoausgleich </v>
      </c>
      <c r="D4563" s="2205" t="s">
        <v>2572</v>
      </c>
      <c r="E4563" s="1390">
        <f>Risk_Compensation!$G37</f>
        <v>20</v>
      </c>
      <c r="F4563" s="1390" t="str">
        <f>Risk_Compensation!$Z$17</f>
        <v>SZ</v>
      </c>
      <c r="G4563" s="1390"/>
      <c r="H4563" s="1077">
        <f>Risk_Compensation!$Z37</f>
        <v>0</v>
      </c>
    </row>
    <row r="4564" spans="1:8" x14ac:dyDescent="0.2">
      <c r="A4564" s="1027"/>
      <c r="B4564" s="1083">
        <f>Risk_Compensation!A$1</f>
        <v>36</v>
      </c>
      <c r="C4564" s="1390" t="str">
        <f>Risk_Compensation!$B$1</f>
        <v xml:space="preserve">Risikoausgleich </v>
      </c>
      <c r="D4564" s="2205" t="s">
        <v>2572</v>
      </c>
      <c r="E4564" s="1390">
        <f>Risk_Compensation!$G38</f>
        <v>21</v>
      </c>
      <c r="F4564" s="1390" t="str">
        <f>Risk_Compensation!$Z$17</f>
        <v>SZ</v>
      </c>
      <c r="G4564" s="1390"/>
      <c r="H4564" s="1077">
        <f>Risk_Compensation!$Z38</f>
        <v>0</v>
      </c>
    </row>
    <row r="4565" spans="1:8" x14ac:dyDescent="0.2">
      <c r="A4565" s="1027"/>
      <c r="B4565" s="1083">
        <f>Risk_Compensation!A$1</f>
        <v>36</v>
      </c>
      <c r="C4565" s="1390" t="str">
        <f>Risk_Compensation!$B$1</f>
        <v xml:space="preserve">Risikoausgleich </v>
      </c>
      <c r="D4565" s="2205" t="s">
        <v>2572</v>
      </c>
      <c r="E4565" s="1390">
        <f>Risk_Compensation!$G39</f>
        <v>22</v>
      </c>
      <c r="F4565" s="1390" t="str">
        <f>Risk_Compensation!$Z$17</f>
        <v>SZ</v>
      </c>
      <c r="G4565" s="1390"/>
      <c r="H4565" s="1077">
        <f>Risk_Compensation!$Z39</f>
        <v>0</v>
      </c>
    </row>
    <row r="4566" spans="1:8" x14ac:dyDescent="0.2">
      <c r="A4566" s="1027"/>
      <c r="B4566" s="1083">
        <f>Risk_Compensation!A$1</f>
        <v>36</v>
      </c>
      <c r="C4566" s="1390" t="str">
        <f>Risk_Compensation!$B$1</f>
        <v xml:space="preserve">Risikoausgleich </v>
      </c>
      <c r="D4566" s="2205" t="s">
        <v>2572</v>
      </c>
      <c r="E4566" s="1390">
        <f>Risk_Compensation!$G40</f>
        <v>23</v>
      </c>
      <c r="F4566" s="1390" t="str">
        <f>Risk_Compensation!$Z$17</f>
        <v>SZ</v>
      </c>
      <c r="G4566" s="1390"/>
      <c r="H4566" s="1077">
        <f>Risk_Compensation!$Z40</f>
        <v>0</v>
      </c>
    </row>
    <row r="4567" spans="1:8" x14ac:dyDescent="0.2">
      <c r="A4567" s="1027"/>
      <c r="B4567" s="1083">
        <f>Risk_Compensation!A$1</f>
        <v>36</v>
      </c>
      <c r="C4567" s="1390" t="str">
        <f>Risk_Compensation!$B$1</f>
        <v xml:space="preserve">Risikoausgleich </v>
      </c>
      <c r="D4567" s="2205" t="s">
        <v>2572</v>
      </c>
      <c r="E4567" s="1390">
        <f>Risk_Compensation!$G41</f>
        <v>24</v>
      </c>
      <c r="F4567" s="1390" t="str">
        <f>Risk_Compensation!$Z$17</f>
        <v>SZ</v>
      </c>
      <c r="G4567" s="1390"/>
      <c r="H4567" s="1077">
        <f>Risk_Compensation!$Z41</f>
        <v>0</v>
      </c>
    </row>
    <row r="4568" spans="1:8" x14ac:dyDescent="0.2">
      <c r="A4568" s="1027"/>
      <c r="B4568" s="1083">
        <f>Risk_Compensation!A$1</f>
        <v>36</v>
      </c>
      <c r="C4568" s="1390" t="str">
        <f>Risk_Compensation!$B$1</f>
        <v xml:space="preserve">Risikoausgleich </v>
      </c>
      <c r="D4568" s="2205" t="s">
        <v>2572</v>
      </c>
      <c r="E4568" s="1390">
        <f>Risk_Compensation!$G42</f>
        <v>25</v>
      </c>
      <c r="F4568" s="1390" t="str">
        <f>Risk_Compensation!$Z$17</f>
        <v>SZ</v>
      </c>
      <c r="G4568" s="1390"/>
      <c r="H4568" s="1077">
        <f>Risk_Compensation!$Z42</f>
        <v>0</v>
      </c>
    </row>
    <row r="4569" spans="1:8" x14ac:dyDescent="0.2">
      <c r="A4569" s="1027"/>
      <c r="B4569" s="1083">
        <f>Risk_Compensation!A$1</f>
        <v>36</v>
      </c>
      <c r="C4569" s="1390" t="str">
        <f>Risk_Compensation!$B$1</f>
        <v xml:space="preserve">Risikoausgleich </v>
      </c>
      <c r="D4569" s="2205" t="s">
        <v>2572</v>
      </c>
      <c r="E4569" s="1390">
        <f>Risk_Compensation!$G43</f>
        <v>26</v>
      </c>
      <c r="F4569" s="1390" t="str">
        <f>Risk_Compensation!$Z$17</f>
        <v>SZ</v>
      </c>
      <c r="G4569" s="1390"/>
      <c r="H4569" s="1077">
        <f>Risk_Compensation!$Z43</f>
        <v>0</v>
      </c>
    </row>
    <row r="4570" spans="1:8" x14ac:dyDescent="0.2">
      <c r="A4570" s="1027"/>
      <c r="B4570" s="1083">
        <f>Risk_Compensation!A$1</f>
        <v>36</v>
      </c>
      <c r="C4570" s="1390" t="str">
        <f>Risk_Compensation!$B$1</f>
        <v xml:space="preserve">Risikoausgleich </v>
      </c>
      <c r="D4570" s="2205" t="s">
        <v>2572</v>
      </c>
      <c r="E4570" s="1390">
        <f>Risk_Compensation!$G44</f>
        <v>27</v>
      </c>
      <c r="F4570" s="1390" t="str">
        <f>Risk_Compensation!$Z$17</f>
        <v>SZ</v>
      </c>
      <c r="G4570" s="1390"/>
      <c r="H4570" s="1077">
        <f>Risk_Compensation!$Z44</f>
        <v>0</v>
      </c>
    </row>
    <row r="4571" spans="1:8" x14ac:dyDescent="0.2">
      <c r="A4571" s="1027"/>
      <c r="B4571" s="1083">
        <f>Risk_Compensation!A$1</f>
        <v>36</v>
      </c>
      <c r="C4571" s="1390" t="str">
        <f>Risk_Compensation!$B$1</f>
        <v xml:space="preserve">Risikoausgleich </v>
      </c>
      <c r="D4571" s="2205" t="s">
        <v>2572</v>
      </c>
      <c r="E4571" s="1390">
        <f>Risk_Compensation!$G45</f>
        <v>28</v>
      </c>
      <c r="F4571" s="1390" t="str">
        <f>Risk_Compensation!$Z$17</f>
        <v>SZ</v>
      </c>
      <c r="G4571" s="1390"/>
      <c r="H4571" s="1077">
        <f>Risk_Compensation!$Z45</f>
        <v>0</v>
      </c>
    </row>
    <row r="4572" spans="1:8" x14ac:dyDescent="0.2">
      <c r="A4572" s="1027"/>
      <c r="B4572" s="1083">
        <f>Risk_Compensation!A$1</f>
        <v>36</v>
      </c>
      <c r="C4572" s="1390" t="str">
        <f>Risk_Compensation!$B$1</f>
        <v xml:space="preserve">Risikoausgleich </v>
      </c>
      <c r="D4572" s="2205" t="s">
        <v>2572</v>
      </c>
      <c r="E4572" s="1390">
        <f>Risk_Compensation!$G46</f>
        <v>29</v>
      </c>
      <c r="F4572" s="1390" t="str">
        <f>Risk_Compensation!$Z$17</f>
        <v>SZ</v>
      </c>
      <c r="G4572" s="1390"/>
      <c r="H4572" s="1077">
        <f>Risk_Compensation!$Z46</f>
        <v>0</v>
      </c>
    </row>
    <row r="4573" spans="1:8" x14ac:dyDescent="0.2">
      <c r="A4573" s="1027"/>
      <c r="B4573" s="1083">
        <f>Risk_Compensation!A$1</f>
        <v>36</v>
      </c>
      <c r="C4573" s="1390" t="str">
        <f>Risk_Compensation!$B$1</f>
        <v xml:space="preserve">Risikoausgleich </v>
      </c>
      <c r="D4573" s="2205" t="s">
        <v>2572</v>
      </c>
      <c r="E4573" s="1390">
        <f>Risk_Compensation!$G47</f>
        <v>30</v>
      </c>
      <c r="F4573" s="1390" t="str">
        <f>Risk_Compensation!$Z$17</f>
        <v>SZ</v>
      </c>
      <c r="G4573" s="1390"/>
      <c r="H4573" s="1077">
        <f>Risk_Compensation!$Z47</f>
        <v>0</v>
      </c>
    </row>
    <row r="4574" spans="1:8" x14ac:dyDescent="0.2">
      <c r="A4574" s="1027"/>
      <c r="B4574" s="1083">
        <f>Risk_Compensation!A$1</f>
        <v>36</v>
      </c>
      <c r="C4574" s="1390" t="str">
        <f>Risk_Compensation!$B$1</f>
        <v xml:space="preserve">Risikoausgleich </v>
      </c>
      <c r="D4574" s="2205" t="s">
        <v>2572</v>
      </c>
      <c r="E4574" s="1390">
        <f>Risk_Compensation!$G48</f>
        <v>31</v>
      </c>
      <c r="F4574" s="1390" t="str">
        <f>Risk_Compensation!$Z$17</f>
        <v>SZ</v>
      </c>
      <c r="G4574" s="1390"/>
      <c r="H4574" s="1077">
        <f>Risk_Compensation!$Z48</f>
        <v>0</v>
      </c>
    </row>
    <row r="4575" spans="1:8" x14ac:dyDescent="0.2">
      <c r="A4575" s="1027"/>
      <c r="B4575" s="1083">
        <f>Risk_Compensation!A$1</f>
        <v>36</v>
      </c>
      <c r="C4575" s="1390" t="str">
        <f>Risk_Compensation!$B$1</f>
        <v xml:space="preserve">Risikoausgleich </v>
      </c>
      <c r="D4575" s="2205" t="s">
        <v>2572</v>
      </c>
      <c r="E4575" s="1390">
        <f>Risk_Compensation!$G49</f>
        <v>32</v>
      </c>
      <c r="F4575" s="1390" t="str">
        <f>Risk_Compensation!$Z$17</f>
        <v>SZ</v>
      </c>
      <c r="G4575" s="1390"/>
      <c r="H4575" s="1077">
        <f>Risk_Compensation!$Z49</f>
        <v>0</v>
      </c>
    </row>
    <row r="4576" spans="1:8" x14ac:dyDescent="0.2">
      <c r="A4576" s="1027"/>
      <c r="B4576" s="1083">
        <f>Risk_Compensation!A$1</f>
        <v>36</v>
      </c>
      <c r="C4576" s="1390" t="str">
        <f>Risk_Compensation!$B$1</f>
        <v xml:space="preserve">Risikoausgleich </v>
      </c>
      <c r="D4576" s="2205" t="s">
        <v>2572</v>
      </c>
      <c r="E4576" s="1390">
        <f>Risk_Compensation!$G50</f>
        <v>33</v>
      </c>
      <c r="F4576" s="1390" t="str">
        <f>Risk_Compensation!$Z$17</f>
        <v>SZ</v>
      </c>
      <c r="G4576" s="1390"/>
      <c r="H4576" s="1077">
        <f>Risk_Compensation!$Z50</f>
        <v>0</v>
      </c>
    </row>
    <row r="4577" spans="1:8" x14ac:dyDescent="0.2">
      <c r="A4577" s="1027"/>
      <c r="B4577" s="1083">
        <f>Risk_Compensation!A$1</f>
        <v>36</v>
      </c>
      <c r="C4577" s="1390" t="str">
        <f>Risk_Compensation!$B$1</f>
        <v xml:space="preserve">Risikoausgleich </v>
      </c>
      <c r="D4577" s="2205" t="s">
        <v>2572</v>
      </c>
      <c r="E4577" s="1390">
        <f>Risk_Compensation!$G51</f>
        <v>34</v>
      </c>
      <c r="F4577" s="1390" t="str">
        <f>Risk_Compensation!$Z$17</f>
        <v>SZ</v>
      </c>
      <c r="G4577" s="1390"/>
      <c r="H4577" s="1077">
        <f>Risk_Compensation!$Z51</f>
        <v>0</v>
      </c>
    </row>
    <row r="4578" spans="1:8" x14ac:dyDescent="0.2">
      <c r="A4578" s="1027"/>
      <c r="B4578" s="1083">
        <f>Risk_Compensation!A$1</f>
        <v>36</v>
      </c>
      <c r="C4578" s="1390" t="str">
        <f>Risk_Compensation!$B$1</f>
        <v xml:space="preserve">Risikoausgleich </v>
      </c>
      <c r="D4578" s="2205" t="s">
        <v>2572</v>
      </c>
      <c r="E4578" s="1390">
        <f>Risk_Compensation!$G52</f>
        <v>35</v>
      </c>
      <c r="F4578" s="1390" t="str">
        <f>Risk_Compensation!$Z$17</f>
        <v>SZ</v>
      </c>
      <c r="G4578" s="1390"/>
      <c r="H4578" s="1077">
        <f>Risk_Compensation!$Z52</f>
        <v>0</v>
      </c>
    </row>
    <row r="4579" spans="1:8" x14ac:dyDescent="0.2">
      <c r="A4579" s="1027"/>
      <c r="B4579" s="1083">
        <f>Risk_Compensation!A$1</f>
        <v>36</v>
      </c>
      <c r="C4579" s="1390" t="str">
        <f>Risk_Compensation!$B$1</f>
        <v xml:space="preserve">Risikoausgleich </v>
      </c>
      <c r="D4579" s="2205" t="s">
        <v>2572</v>
      </c>
      <c r="E4579" s="1390">
        <f>Risk_Compensation!$G53</f>
        <v>36</v>
      </c>
      <c r="F4579" s="1390" t="str">
        <f>Risk_Compensation!$Z$17</f>
        <v>SZ</v>
      </c>
      <c r="G4579" s="1390"/>
      <c r="H4579" s="1077">
        <f>Risk_Compensation!$Z53</f>
        <v>0</v>
      </c>
    </row>
    <row r="4580" spans="1:8" x14ac:dyDescent="0.2">
      <c r="A4580" s="1027"/>
      <c r="B4580" s="1083">
        <f>Risk_Compensation!A$1</f>
        <v>36</v>
      </c>
      <c r="C4580" s="1390" t="str">
        <f>Risk_Compensation!$B$1</f>
        <v xml:space="preserve">Risikoausgleich </v>
      </c>
      <c r="D4580" s="2205" t="s">
        <v>2572</v>
      </c>
      <c r="E4580" s="1390">
        <f>Risk_Compensation!$G54</f>
        <v>37</v>
      </c>
      <c r="F4580" s="1390" t="str">
        <f>Risk_Compensation!$Z$17</f>
        <v>SZ</v>
      </c>
      <c r="G4580" s="1390"/>
      <c r="H4580" s="1077">
        <f>Risk_Compensation!$Z54</f>
        <v>0</v>
      </c>
    </row>
    <row r="4581" spans="1:8" x14ac:dyDescent="0.2">
      <c r="A4581" s="1027"/>
      <c r="B4581" s="1083">
        <f>Risk_Compensation!A$1</f>
        <v>36</v>
      </c>
      <c r="C4581" s="1390" t="str">
        <f>Risk_Compensation!$B$1</f>
        <v xml:space="preserve">Risikoausgleich </v>
      </c>
      <c r="D4581" s="2205" t="s">
        <v>2572</v>
      </c>
      <c r="E4581" s="1390">
        <f>Risk_Compensation!$G55</f>
        <v>38</v>
      </c>
      <c r="F4581" s="1390" t="str">
        <f>Risk_Compensation!$Z$17</f>
        <v>SZ</v>
      </c>
      <c r="G4581" s="1390"/>
      <c r="H4581" s="1077">
        <f>Risk_Compensation!$Z55</f>
        <v>0</v>
      </c>
    </row>
    <row r="4582" spans="1:8" x14ac:dyDescent="0.2">
      <c r="A4582" s="1027"/>
      <c r="B4582" s="1083">
        <f>Risk_Compensation!A$1</f>
        <v>36</v>
      </c>
      <c r="C4582" s="1390" t="str">
        <f>Risk_Compensation!$B$1</f>
        <v xml:space="preserve">Risikoausgleich </v>
      </c>
      <c r="D4582" s="2205" t="s">
        <v>2572</v>
      </c>
      <c r="E4582" s="1390">
        <f>Risk_Compensation!$G56</f>
        <v>39</v>
      </c>
      <c r="F4582" s="1390" t="str">
        <f>Risk_Compensation!$Z$17</f>
        <v>SZ</v>
      </c>
      <c r="G4582" s="1390"/>
      <c r="H4582" s="1077">
        <f>Risk_Compensation!$Z56</f>
        <v>0</v>
      </c>
    </row>
    <row r="4583" spans="1:8" x14ac:dyDescent="0.2">
      <c r="A4583" s="1027"/>
      <c r="B4583" s="1083">
        <f>Risk_Compensation!A$1</f>
        <v>36</v>
      </c>
      <c r="C4583" s="1390" t="str">
        <f>Risk_Compensation!$B$1</f>
        <v xml:space="preserve">Risikoausgleich </v>
      </c>
      <c r="D4583" s="2205" t="s">
        <v>2572</v>
      </c>
      <c r="E4583" s="1390">
        <f>Risk_Compensation!$G57</f>
        <v>40</v>
      </c>
      <c r="F4583" s="1390" t="str">
        <f>Risk_Compensation!$Z$17</f>
        <v>SZ</v>
      </c>
      <c r="G4583" s="1390"/>
      <c r="H4583" s="1077">
        <f>Risk_Compensation!$Z57</f>
        <v>0</v>
      </c>
    </row>
    <row r="4584" spans="1:8" x14ac:dyDescent="0.2">
      <c r="A4584" s="1027"/>
      <c r="B4584" s="1083">
        <f>Risk_Compensation!A$1</f>
        <v>36</v>
      </c>
      <c r="C4584" s="1390" t="str">
        <f>Risk_Compensation!$B$1</f>
        <v xml:space="preserve">Risikoausgleich </v>
      </c>
      <c r="D4584" s="2205" t="s">
        <v>2572</v>
      </c>
      <c r="E4584" s="1390">
        <f>Risk_Compensation!$G58</f>
        <v>41</v>
      </c>
      <c r="F4584" s="1390" t="str">
        <f>Risk_Compensation!$Z$17</f>
        <v>SZ</v>
      </c>
      <c r="G4584" s="1390"/>
      <c r="H4584" s="1077">
        <f>Risk_Compensation!$Z58</f>
        <v>0</v>
      </c>
    </row>
    <row r="4585" spans="1:8" x14ac:dyDescent="0.2">
      <c r="A4585" s="1027"/>
      <c r="B4585" s="1083">
        <f>Risk_Compensation!A$1</f>
        <v>36</v>
      </c>
      <c r="C4585" s="1390" t="str">
        <f>Risk_Compensation!$B$1</f>
        <v xml:space="preserve">Risikoausgleich </v>
      </c>
      <c r="D4585" s="2205" t="s">
        <v>2572</v>
      </c>
      <c r="E4585" s="1390">
        <f>Risk_Compensation!$G59</f>
        <v>42</v>
      </c>
      <c r="F4585" s="1390" t="str">
        <f>Risk_Compensation!$Z$17</f>
        <v>SZ</v>
      </c>
      <c r="G4585" s="1390"/>
      <c r="H4585" s="1077">
        <f>Risk_Compensation!$Z59</f>
        <v>0</v>
      </c>
    </row>
    <row r="4586" spans="1:8" x14ac:dyDescent="0.2">
      <c r="A4586" s="1027"/>
      <c r="B4586" s="1083">
        <f>Risk_Compensation!A$1</f>
        <v>36</v>
      </c>
      <c r="C4586" s="1390" t="str">
        <f>Risk_Compensation!$B$1</f>
        <v xml:space="preserve">Risikoausgleich </v>
      </c>
      <c r="D4586" s="2205" t="s">
        <v>2572</v>
      </c>
      <c r="E4586" s="1390">
        <f>Risk_Compensation!$G60</f>
        <v>43</v>
      </c>
      <c r="F4586" s="1390" t="str">
        <f>Risk_Compensation!$Z$17</f>
        <v>SZ</v>
      </c>
      <c r="G4586" s="1390"/>
      <c r="H4586" s="1077">
        <f>Risk_Compensation!$Z60</f>
        <v>0</v>
      </c>
    </row>
    <row r="4587" spans="1:8" x14ac:dyDescent="0.2">
      <c r="A4587" s="1027"/>
      <c r="B4587" s="1083">
        <f>Risk_Compensation!A$1</f>
        <v>36</v>
      </c>
      <c r="C4587" s="1390" t="str">
        <f>Risk_Compensation!$B$1</f>
        <v xml:space="preserve">Risikoausgleich </v>
      </c>
      <c r="D4587" s="2205" t="s">
        <v>2572</v>
      </c>
      <c r="E4587" s="1390">
        <f>Risk_Compensation!$G61</f>
        <v>44</v>
      </c>
      <c r="F4587" s="1390" t="str">
        <f>Risk_Compensation!$Z$17</f>
        <v>SZ</v>
      </c>
      <c r="G4587" s="1390"/>
      <c r="H4587" s="1077">
        <f>Risk_Compensation!$Z61</f>
        <v>0</v>
      </c>
    </row>
    <row r="4588" spans="1:8" x14ac:dyDescent="0.2">
      <c r="A4588" s="1027"/>
      <c r="B4588" s="1083">
        <f>Risk_Compensation!A$1</f>
        <v>36</v>
      </c>
      <c r="C4588" s="1390" t="str">
        <f>Risk_Compensation!$B$1</f>
        <v xml:space="preserve">Risikoausgleich </v>
      </c>
      <c r="D4588" s="2205" t="s">
        <v>2572</v>
      </c>
      <c r="E4588" s="1390">
        <f>Risk_Compensation!$G62</f>
        <v>45</v>
      </c>
      <c r="F4588" s="1390" t="str">
        <f>Risk_Compensation!$Z$17</f>
        <v>SZ</v>
      </c>
      <c r="G4588" s="1390"/>
      <c r="H4588" s="1077">
        <f>Risk_Compensation!$Z62</f>
        <v>0</v>
      </c>
    </row>
    <row r="4589" spans="1:8" x14ac:dyDescent="0.2">
      <c r="A4589" s="1027"/>
      <c r="B4589" s="1083">
        <f>Risk_Compensation!A$1</f>
        <v>36</v>
      </c>
      <c r="C4589" s="1390" t="str">
        <f>Risk_Compensation!$B$1</f>
        <v xml:space="preserve">Risikoausgleich </v>
      </c>
      <c r="D4589" s="2205" t="s">
        <v>2572</v>
      </c>
      <c r="E4589" s="1390">
        <f>Risk_Compensation!$G63</f>
        <v>46</v>
      </c>
      <c r="F4589" s="1390" t="str">
        <f>Risk_Compensation!$Z$17</f>
        <v>SZ</v>
      </c>
      <c r="G4589" s="1390"/>
      <c r="H4589" s="1077">
        <f>Risk_Compensation!$Z63</f>
        <v>0</v>
      </c>
    </row>
    <row r="4590" spans="1:8" x14ac:dyDescent="0.2">
      <c r="A4590" s="1027"/>
      <c r="B4590" s="1083">
        <f>Risk_Compensation!A$1</f>
        <v>36</v>
      </c>
      <c r="C4590" s="1390" t="str">
        <f>Risk_Compensation!$B$1</f>
        <v xml:space="preserve">Risikoausgleich </v>
      </c>
      <c r="D4590" s="2205" t="s">
        <v>2572</v>
      </c>
      <c r="E4590" s="1390">
        <f>Risk_Compensation!$G64</f>
        <v>47</v>
      </c>
      <c r="F4590" s="1390" t="str">
        <f>Risk_Compensation!$Z$17</f>
        <v>SZ</v>
      </c>
      <c r="G4590" s="1390"/>
      <c r="H4590" s="1077">
        <f>Risk_Compensation!$Z64</f>
        <v>0</v>
      </c>
    </row>
    <row r="4591" spans="1:8" x14ac:dyDescent="0.2">
      <c r="A4591" s="1027"/>
      <c r="B4591" s="1083">
        <f>Risk_Compensation!A$1</f>
        <v>36</v>
      </c>
      <c r="C4591" s="1390" t="str">
        <f>Risk_Compensation!$B$1</f>
        <v xml:space="preserve">Risikoausgleich </v>
      </c>
      <c r="D4591" s="2205" t="s">
        <v>2572</v>
      </c>
      <c r="E4591" s="1390">
        <f>Risk_Compensation!$G65</f>
        <v>48</v>
      </c>
      <c r="F4591" s="1390" t="str">
        <f>Risk_Compensation!$Z$17</f>
        <v>SZ</v>
      </c>
      <c r="G4591" s="1390"/>
      <c r="H4591" s="1077">
        <f>Risk_Compensation!$Z65</f>
        <v>0</v>
      </c>
    </row>
    <row r="4592" spans="1:8" x14ac:dyDescent="0.2">
      <c r="A4592" s="1027"/>
      <c r="B4592" s="1083">
        <f>Risk_Compensation!A$1</f>
        <v>36</v>
      </c>
      <c r="C4592" s="1390" t="str">
        <f>Risk_Compensation!$B$1</f>
        <v xml:space="preserve">Risikoausgleich </v>
      </c>
      <c r="D4592" s="2205" t="s">
        <v>2572</v>
      </c>
      <c r="E4592" s="1390">
        <f>Risk_Compensation!$G66</f>
        <v>49</v>
      </c>
      <c r="F4592" s="1390" t="str">
        <f>Risk_Compensation!$Z$17</f>
        <v>SZ</v>
      </c>
      <c r="G4592" s="1390"/>
      <c r="H4592" s="1077">
        <f>Risk_Compensation!$Z66</f>
        <v>0</v>
      </c>
    </row>
    <row r="4593" spans="1:8" x14ac:dyDescent="0.2">
      <c r="A4593" s="1027"/>
      <c r="B4593" s="1083">
        <f>Risk_Compensation!A$1</f>
        <v>36</v>
      </c>
      <c r="C4593" s="1390" t="str">
        <f>Risk_Compensation!$B$1</f>
        <v xml:space="preserve">Risikoausgleich </v>
      </c>
      <c r="D4593" s="2205" t="s">
        <v>2572</v>
      </c>
      <c r="E4593" s="1390">
        <f>Risk_Compensation!$G67</f>
        <v>50</v>
      </c>
      <c r="F4593" s="1390" t="str">
        <f>Risk_Compensation!$Z$17</f>
        <v>SZ</v>
      </c>
      <c r="G4593" s="1390"/>
      <c r="H4593" s="1077">
        <f>Risk_Compensation!$Z67</f>
        <v>0</v>
      </c>
    </row>
    <row r="4594" spans="1:8" x14ac:dyDescent="0.2">
      <c r="A4594" s="1027"/>
      <c r="B4594" s="1083">
        <f>Risk_Compensation!A$1</f>
        <v>36</v>
      </c>
      <c r="C4594" s="1390" t="str">
        <f>Risk_Compensation!$B$1</f>
        <v xml:space="preserve">Risikoausgleich </v>
      </c>
      <c r="D4594" s="2205" t="s">
        <v>2572</v>
      </c>
      <c r="E4594" s="1390">
        <f>Risk_Compensation!$G68</f>
        <v>51</v>
      </c>
      <c r="F4594" s="1390" t="str">
        <f>Risk_Compensation!$Z$17</f>
        <v>SZ</v>
      </c>
      <c r="G4594" s="1390"/>
      <c r="H4594" s="1077">
        <f>Risk_Compensation!$Z68</f>
        <v>0</v>
      </c>
    </row>
    <row r="4595" spans="1:8" x14ac:dyDescent="0.2">
      <c r="A4595" s="1027"/>
      <c r="B4595" s="1083">
        <f>Risk_Compensation!A$1</f>
        <v>36</v>
      </c>
      <c r="C4595" s="1390" t="str">
        <f>Risk_Compensation!$B$1</f>
        <v xml:space="preserve">Risikoausgleich </v>
      </c>
      <c r="D4595" s="2205" t="s">
        <v>2572</v>
      </c>
      <c r="E4595" s="1390">
        <f>Risk_Compensation!$G69</f>
        <v>52</v>
      </c>
      <c r="F4595" s="1390" t="str">
        <f>Risk_Compensation!$Z$17</f>
        <v>SZ</v>
      </c>
      <c r="G4595" s="1390"/>
      <c r="H4595" s="1077">
        <f>Risk_Compensation!$Z69</f>
        <v>0</v>
      </c>
    </row>
    <row r="4596" spans="1:8" x14ac:dyDescent="0.2">
      <c r="A4596" s="1027"/>
      <c r="B4596" s="1083">
        <f>Risk_Compensation!A$1</f>
        <v>36</v>
      </c>
      <c r="C4596" s="1390" t="str">
        <f>Risk_Compensation!$B$1</f>
        <v xml:space="preserve">Risikoausgleich </v>
      </c>
      <c r="D4596" s="2205" t="s">
        <v>2572</v>
      </c>
      <c r="E4596" s="1390">
        <f>Risk_Compensation!$G70</f>
        <v>53</v>
      </c>
      <c r="F4596" s="1390" t="str">
        <f>Risk_Compensation!$Z$17</f>
        <v>SZ</v>
      </c>
      <c r="G4596" s="1390"/>
      <c r="H4596" s="1077">
        <f>Risk_Compensation!$Z70</f>
        <v>0</v>
      </c>
    </row>
    <row r="4597" spans="1:8" x14ac:dyDescent="0.2">
      <c r="A4597" s="1027"/>
      <c r="B4597" s="1083">
        <f>Risk_Compensation!A$1</f>
        <v>36</v>
      </c>
      <c r="C4597" s="1390" t="str">
        <f>Risk_Compensation!$B$1</f>
        <v xml:space="preserve">Risikoausgleich </v>
      </c>
      <c r="D4597" s="2205" t="s">
        <v>2572</v>
      </c>
      <c r="E4597" s="1390">
        <f>Risk_Compensation!$G71</f>
        <v>54</v>
      </c>
      <c r="F4597" s="1390" t="str">
        <f>Risk_Compensation!$Z$17</f>
        <v>SZ</v>
      </c>
      <c r="G4597" s="1390"/>
      <c r="H4597" s="1077">
        <f>Risk_Compensation!$Z71</f>
        <v>0</v>
      </c>
    </row>
    <row r="4598" spans="1:8" x14ac:dyDescent="0.2">
      <c r="A4598" s="1027"/>
      <c r="B4598" s="1083">
        <f>Risk_Compensation!A$1</f>
        <v>36</v>
      </c>
      <c r="C4598" s="1390" t="str">
        <f>Risk_Compensation!$B$1</f>
        <v xml:space="preserve">Risikoausgleich </v>
      </c>
      <c r="D4598" s="2205" t="s">
        <v>2572</v>
      </c>
      <c r="E4598" s="1390">
        <f>Risk_Compensation!$G72</f>
        <v>55</v>
      </c>
      <c r="F4598" s="1390" t="str">
        <f>Risk_Compensation!$Z$17</f>
        <v>SZ</v>
      </c>
      <c r="G4598" s="1390"/>
      <c r="H4598" s="1077">
        <f>Risk_Compensation!$Z72</f>
        <v>0</v>
      </c>
    </row>
    <row r="4599" spans="1:8" x14ac:dyDescent="0.2">
      <c r="A4599" s="1027"/>
      <c r="B4599" s="1083">
        <f>Risk_Compensation!A$1</f>
        <v>36</v>
      </c>
      <c r="C4599" s="1390" t="str">
        <f>Risk_Compensation!$B$1</f>
        <v xml:space="preserve">Risikoausgleich </v>
      </c>
      <c r="D4599" s="2205" t="s">
        <v>2572</v>
      </c>
      <c r="E4599" s="1390">
        <f>Risk_Compensation!$G73</f>
        <v>56</v>
      </c>
      <c r="F4599" s="1390" t="str">
        <f>Risk_Compensation!$Z$17</f>
        <v>SZ</v>
      </c>
      <c r="G4599" s="1390"/>
      <c r="H4599" s="1077">
        <f>Risk_Compensation!$Z73</f>
        <v>0</v>
      </c>
    </row>
    <row r="4600" spans="1:8" x14ac:dyDescent="0.2">
      <c r="A4600" s="1027"/>
      <c r="B4600" s="1083">
        <f>Risk_Compensation!A$1</f>
        <v>36</v>
      </c>
      <c r="C4600" s="1390" t="str">
        <f>Risk_Compensation!$B$1</f>
        <v xml:space="preserve">Risikoausgleich </v>
      </c>
      <c r="D4600" s="2205" t="s">
        <v>2572</v>
      </c>
      <c r="E4600" s="1390">
        <f>Risk_Compensation!$G74</f>
        <v>57</v>
      </c>
      <c r="F4600" s="1390" t="str">
        <f>Risk_Compensation!$Z$17</f>
        <v>SZ</v>
      </c>
      <c r="G4600" s="1390"/>
      <c r="H4600" s="1077">
        <f>Risk_Compensation!$Z74</f>
        <v>0</v>
      </c>
    </row>
    <row r="4601" spans="1:8" x14ac:dyDescent="0.2">
      <c r="A4601" s="1027"/>
      <c r="B4601" s="1083">
        <f>Risk_Compensation!A$1</f>
        <v>36</v>
      </c>
      <c r="C4601" s="1390" t="str">
        <f>Risk_Compensation!$B$1</f>
        <v xml:space="preserve">Risikoausgleich </v>
      </c>
      <c r="D4601" s="2205" t="s">
        <v>2572</v>
      </c>
      <c r="E4601" s="1390">
        <f>Risk_Compensation!$G75</f>
        <v>58</v>
      </c>
      <c r="F4601" s="1390" t="str">
        <f>Risk_Compensation!$Z$17</f>
        <v>SZ</v>
      </c>
      <c r="G4601" s="1390"/>
      <c r="H4601" s="1077">
        <f>Risk_Compensation!$Z75</f>
        <v>0</v>
      </c>
    </row>
    <row r="4602" spans="1:8" x14ac:dyDescent="0.2">
      <c r="A4602" s="1027"/>
      <c r="B4602" s="1083">
        <f>Risk_Compensation!A$1</f>
        <v>36</v>
      </c>
      <c r="C4602" s="1390" t="str">
        <f>Risk_Compensation!$B$1</f>
        <v xml:space="preserve">Risikoausgleich </v>
      </c>
      <c r="D4602" s="2205" t="s">
        <v>2572</v>
      </c>
      <c r="E4602" s="1390">
        <f>Risk_Compensation!$G76</f>
        <v>59</v>
      </c>
      <c r="F4602" s="1390" t="str">
        <f>Risk_Compensation!$Z$17</f>
        <v>SZ</v>
      </c>
      <c r="G4602" s="1390"/>
      <c r="H4602" s="1077">
        <f>Risk_Compensation!$Z76</f>
        <v>0</v>
      </c>
    </row>
    <row r="4603" spans="1:8" x14ac:dyDescent="0.2">
      <c r="A4603" s="1027"/>
      <c r="B4603" s="1083">
        <f>Risk_Compensation!A$1</f>
        <v>36</v>
      </c>
      <c r="C4603" s="1390" t="str">
        <f>Risk_Compensation!$B$1</f>
        <v xml:space="preserve">Risikoausgleich </v>
      </c>
      <c r="D4603" s="2205" t="s">
        <v>2572</v>
      </c>
      <c r="E4603" s="1390">
        <f>Risk_Compensation!$G77</f>
        <v>60</v>
      </c>
      <c r="F4603" s="1390" t="str">
        <f>Risk_Compensation!$Z$17</f>
        <v>SZ</v>
      </c>
      <c r="G4603" s="1390"/>
      <c r="H4603" s="1077">
        <f>Risk_Compensation!$Z77</f>
        <v>0</v>
      </c>
    </row>
    <row r="4604" spans="1:8" x14ac:dyDescent="0.2">
      <c r="A4604" s="1027"/>
      <c r="B4604" s="2174"/>
      <c r="C4604" s="1390"/>
      <c r="D4604" s="2175"/>
      <c r="E4604" s="2176"/>
      <c r="F4604" s="1390"/>
      <c r="G4604" s="1390"/>
      <c r="H4604" s="1078"/>
    </row>
    <row r="4605" spans="1:8" x14ac:dyDescent="0.2">
      <c r="A4605" s="1027"/>
      <c r="B4605" s="1083">
        <f>Risk_Compensation!A$1</f>
        <v>36</v>
      </c>
      <c r="C4605" s="1390" t="str">
        <f>Risk_Compensation!$B$1</f>
        <v xml:space="preserve">Risikoausgleich </v>
      </c>
      <c r="D4605" s="2205" t="s">
        <v>2572</v>
      </c>
      <c r="E4605" s="1390">
        <f>Risk_Compensation!$G18</f>
        <v>1</v>
      </c>
      <c r="F4605" s="1390" t="str">
        <f>Risk_Compensation!$AA$17</f>
        <v>TG</v>
      </c>
      <c r="G4605" s="1390"/>
      <c r="H4605" s="1077">
        <f>Risk_Compensation!$AA18</f>
        <v>0</v>
      </c>
    </row>
    <row r="4606" spans="1:8" x14ac:dyDescent="0.2">
      <c r="A4606" s="1027"/>
      <c r="B4606" s="1083">
        <f>Risk_Compensation!A$1</f>
        <v>36</v>
      </c>
      <c r="C4606" s="1390" t="str">
        <f>Risk_Compensation!$B$1</f>
        <v xml:space="preserve">Risikoausgleich </v>
      </c>
      <c r="D4606" s="2205" t="s">
        <v>2572</v>
      </c>
      <c r="E4606" s="1390">
        <f>Risk_Compensation!$G19</f>
        <v>2</v>
      </c>
      <c r="F4606" s="1390" t="str">
        <f>Risk_Compensation!$AA$17</f>
        <v>TG</v>
      </c>
      <c r="G4606" s="1390"/>
      <c r="H4606" s="1077">
        <f>Risk_Compensation!$AA19</f>
        <v>0</v>
      </c>
    </row>
    <row r="4607" spans="1:8" x14ac:dyDescent="0.2">
      <c r="A4607" s="1027"/>
      <c r="B4607" s="1083">
        <f>Risk_Compensation!A$1</f>
        <v>36</v>
      </c>
      <c r="C4607" s="1390" t="str">
        <f>Risk_Compensation!$B$1</f>
        <v xml:space="preserve">Risikoausgleich </v>
      </c>
      <c r="D4607" s="2205" t="s">
        <v>2572</v>
      </c>
      <c r="E4607" s="1390">
        <f>Risk_Compensation!$G20</f>
        <v>3</v>
      </c>
      <c r="F4607" s="1390" t="str">
        <f>Risk_Compensation!$AA$17</f>
        <v>TG</v>
      </c>
      <c r="G4607" s="1390"/>
      <c r="H4607" s="1077">
        <f>Risk_Compensation!$AA20</f>
        <v>0</v>
      </c>
    </row>
    <row r="4608" spans="1:8" x14ac:dyDescent="0.2">
      <c r="A4608" s="1027"/>
      <c r="B4608" s="1083">
        <f>Risk_Compensation!A$1</f>
        <v>36</v>
      </c>
      <c r="C4608" s="1390" t="str">
        <f>Risk_Compensation!$B$1</f>
        <v xml:space="preserve">Risikoausgleich </v>
      </c>
      <c r="D4608" s="2205" t="s">
        <v>2572</v>
      </c>
      <c r="E4608" s="1390">
        <f>Risk_Compensation!$G21</f>
        <v>4</v>
      </c>
      <c r="F4608" s="1390" t="str">
        <f>Risk_Compensation!$AA$17</f>
        <v>TG</v>
      </c>
      <c r="G4608" s="1390"/>
      <c r="H4608" s="1077">
        <f>Risk_Compensation!$AA21</f>
        <v>0</v>
      </c>
    </row>
    <row r="4609" spans="1:8" x14ac:dyDescent="0.2">
      <c r="A4609" s="1027"/>
      <c r="B4609" s="1083">
        <f>Risk_Compensation!A$1</f>
        <v>36</v>
      </c>
      <c r="C4609" s="1390" t="str">
        <f>Risk_Compensation!$B$1</f>
        <v xml:space="preserve">Risikoausgleich </v>
      </c>
      <c r="D4609" s="2205" t="s">
        <v>2572</v>
      </c>
      <c r="E4609" s="1390">
        <f>Risk_Compensation!$G22</f>
        <v>5</v>
      </c>
      <c r="F4609" s="1390" t="str">
        <f>Risk_Compensation!$AA$17</f>
        <v>TG</v>
      </c>
      <c r="G4609" s="1390"/>
      <c r="H4609" s="1077">
        <f>Risk_Compensation!$AA22</f>
        <v>0</v>
      </c>
    </row>
    <row r="4610" spans="1:8" x14ac:dyDescent="0.2">
      <c r="A4610" s="1027"/>
      <c r="B4610" s="1083">
        <f>Risk_Compensation!A$1</f>
        <v>36</v>
      </c>
      <c r="C4610" s="1390" t="str">
        <f>Risk_Compensation!$B$1</f>
        <v xml:space="preserve">Risikoausgleich </v>
      </c>
      <c r="D4610" s="2205" t="s">
        <v>2572</v>
      </c>
      <c r="E4610" s="1390">
        <f>Risk_Compensation!$G23</f>
        <v>6</v>
      </c>
      <c r="F4610" s="1390" t="str">
        <f>Risk_Compensation!$AA$17</f>
        <v>TG</v>
      </c>
      <c r="G4610" s="1390"/>
      <c r="H4610" s="1077">
        <f>Risk_Compensation!$AA23</f>
        <v>0</v>
      </c>
    </row>
    <row r="4611" spans="1:8" x14ac:dyDescent="0.2">
      <c r="A4611" s="1027"/>
      <c r="B4611" s="1083">
        <f>Risk_Compensation!A$1</f>
        <v>36</v>
      </c>
      <c r="C4611" s="1390" t="str">
        <f>Risk_Compensation!$B$1</f>
        <v xml:space="preserve">Risikoausgleich </v>
      </c>
      <c r="D4611" s="2205" t="s">
        <v>2572</v>
      </c>
      <c r="E4611" s="1390">
        <f>Risk_Compensation!$G24</f>
        <v>7</v>
      </c>
      <c r="F4611" s="1390" t="str">
        <f>Risk_Compensation!$AA$17</f>
        <v>TG</v>
      </c>
      <c r="G4611" s="1390"/>
      <c r="H4611" s="1077">
        <f>Risk_Compensation!$AA24</f>
        <v>0</v>
      </c>
    </row>
    <row r="4612" spans="1:8" x14ac:dyDescent="0.2">
      <c r="A4612" s="1027"/>
      <c r="B4612" s="1083">
        <f>Risk_Compensation!A$1</f>
        <v>36</v>
      </c>
      <c r="C4612" s="1390" t="str">
        <f>Risk_Compensation!$B$1</f>
        <v xml:space="preserve">Risikoausgleich </v>
      </c>
      <c r="D4612" s="2205" t="s">
        <v>2572</v>
      </c>
      <c r="E4612" s="1390">
        <f>Risk_Compensation!$G25</f>
        <v>8</v>
      </c>
      <c r="F4612" s="1390" t="str">
        <f>Risk_Compensation!$AA$17</f>
        <v>TG</v>
      </c>
      <c r="G4612" s="1390"/>
      <c r="H4612" s="1077">
        <f>Risk_Compensation!$AA25</f>
        <v>0</v>
      </c>
    </row>
    <row r="4613" spans="1:8" x14ac:dyDescent="0.2">
      <c r="A4613" s="1027"/>
      <c r="B4613" s="1083">
        <f>Risk_Compensation!A$1</f>
        <v>36</v>
      </c>
      <c r="C4613" s="1390" t="str">
        <f>Risk_Compensation!$B$1</f>
        <v xml:space="preserve">Risikoausgleich </v>
      </c>
      <c r="D4613" s="2205" t="s">
        <v>2572</v>
      </c>
      <c r="E4613" s="1390">
        <f>Risk_Compensation!$G26</f>
        <v>9</v>
      </c>
      <c r="F4613" s="1390" t="str">
        <f>Risk_Compensation!$AA$17</f>
        <v>TG</v>
      </c>
      <c r="G4613" s="1390"/>
      <c r="H4613" s="1077">
        <f>Risk_Compensation!$AA26</f>
        <v>0</v>
      </c>
    </row>
    <row r="4614" spans="1:8" x14ac:dyDescent="0.2">
      <c r="A4614" s="1027"/>
      <c r="B4614" s="1083">
        <f>Risk_Compensation!A$1</f>
        <v>36</v>
      </c>
      <c r="C4614" s="1390" t="str">
        <f>Risk_Compensation!$B$1</f>
        <v xml:space="preserve">Risikoausgleich </v>
      </c>
      <c r="D4614" s="2205" t="s">
        <v>2572</v>
      </c>
      <c r="E4614" s="1390">
        <f>Risk_Compensation!$G27</f>
        <v>10</v>
      </c>
      <c r="F4614" s="1390" t="str">
        <f>Risk_Compensation!$AA$17</f>
        <v>TG</v>
      </c>
      <c r="G4614" s="1390"/>
      <c r="H4614" s="1077">
        <f>Risk_Compensation!$AA27</f>
        <v>0</v>
      </c>
    </row>
    <row r="4615" spans="1:8" x14ac:dyDescent="0.2">
      <c r="A4615" s="1027"/>
      <c r="B4615" s="1083">
        <f>Risk_Compensation!A$1</f>
        <v>36</v>
      </c>
      <c r="C4615" s="1390" t="str">
        <f>Risk_Compensation!$B$1</f>
        <v xml:space="preserve">Risikoausgleich </v>
      </c>
      <c r="D4615" s="2205" t="s">
        <v>2572</v>
      </c>
      <c r="E4615" s="1390">
        <f>Risk_Compensation!$G28</f>
        <v>11</v>
      </c>
      <c r="F4615" s="1390" t="str">
        <f>Risk_Compensation!$AA$17</f>
        <v>TG</v>
      </c>
      <c r="G4615" s="1390"/>
      <c r="H4615" s="1077">
        <f>Risk_Compensation!$AA28</f>
        <v>0</v>
      </c>
    </row>
    <row r="4616" spans="1:8" x14ac:dyDescent="0.2">
      <c r="A4616" s="1027"/>
      <c r="B4616" s="1083">
        <f>Risk_Compensation!A$1</f>
        <v>36</v>
      </c>
      <c r="C4616" s="1390" t="str">
        <f>Risk_Compensation!$B$1</f>
        <v xml:space="preserve">Risikoausgleich </v>
      </c>
      <c r="D4616" s="2205" t="s">
        <v>2572</v>
      </c>
      <c r="E4616" s="1390">
        <f>Risk_Compensation!$G29</f>
        <v>12</v>
      </c>
      <c r="F4616" s="1390" t="str">
        <f>Risk_Compensation!$AA$17</f>
        <v>TG</v>
      </c>
      <c r="G4616" s="1390"/>
      <c r="H4616" s="1077">
        <f>Risk_Compensation!$AA29</f>
        <v>0</v>
      </c>
    </row>
    <row r="4617" spans="1:8" x14ac:dyDescent="0.2">
      <c r="A4617" s="1027"/>
      <c r="B4617" s="1083">
        <f>Risk_Compensation!A$1</f>
        <v>36</v>
      </c>
      <c r="C4617" s="1390" t="str">
        <f>Risk_Compensation!$B$1</f>
        <v xml:space="preserve">Risikoausgleich </v>
      </c>
      <c r="D4617" s="2205" t="s">
        <v>2572</v>
      </c>
      <c r="E4617" s="1390">
        <f>Risk_Compensation!$G30</f>
        <v>13</v>
      </c>
      <c r="F4617" s="1390" t="str">
        <f>Risk_Compensation!$AA$17</f>
        <v>TG</v>
      </c>
      <c r="G4617" s="1390"/>
      <c r="H4617" s="1077">
        <f>Risk_Compensation!$AA30</f>
        <v>0</v>
      </c>
    </row>
    <row r="4618" spans="1:8" x14ac:dyDescent="0.2">
      <c r="A4618" s="1027"/>
      <c r="B4618" s="1083">
        <f>Risk_Compensation!A$1</f>
        <v>36</v>
      </c>
      <c r="C4618" s="1390" t="str">
        <f>Risk_Compensation!$B$1</f>
        <v xml:space="preserve">Risikoausgleich </v>
      </c>
      <c r="D4618" s="2205" t="s">
        <v>2572</v>
      </c>
      <c r="E4618" s="1390">
        <f>Risk_Compensation!$G31</f>
        <v>14</v>
      </c>
      <c r="F4618" s="1390" t="str">
        <f>Risk_Compensation!$AA$17</f>
        <v>TG</v>
      </c>
      <c r="G4618" s="1390"/>
      <c r="H4618" s="1077">
        <f>Risk_Compensation!$AA31</f>
        <v>0</v>
      </c>
    </row>
    <row r="4619" spans="1:8" x14ac:dyDescent="0.2">
      <c r="A4619" s="1027"/>
      <c r="B4619" s="1083">
        <f>Risk_Compensation!A$1</f>
        <v>36</v>
      </c>
      <c r="C4619" s="1390" t="str">
        <f>Risk_Compensation!$B$1</f>
        <v xml:space="preserve">Risikoausgleich </v>
      </c>
      <c r="D4619" s="2205" t="s">
        <v>2572</v>
      </c>
      <c r="E4619" s="1390">
        <f>Risk_Compensation!$G32</f>
        <v>15</v>
      </c>
      <c r="F4619" s="1390" t="str">
        <f>Risk_Compensation!$AA$17</f>
        <v>TG</v>
      </c>
      <c r="G4619" s="1390"/>
      <c r="H4619" s="1077">
        <f>Risk_Compensation!$AA32</f>
        <v>0</v>
      </c>
    </row>
    <row r="4620" spans="1:8" x14ac:dyDescent="0.2">
      <c r="A4620" s="1027"/>
      <c r="B4620" s="1083">
        <f>Risk_Compensation!A$1</f>
        <v>36</v>
      </c>
      <c r="C4620" s="1390" t="str">
        <f>Risk_Compensation!$B$1</f>
        <v xml:space="preserve">Risikoausgleich </v>
      </c>
      <c r="D4620" s="2205" t="s">
        <v>2572</v>
      </c>
      <c r="E4620" s="1390">
        <f>Risk_Compensation!$G33</f>
        <v>16</v>
      </c>
      <c r="F4620" s="1390" t="str">
        <f>Risk_Compensation!$AA$17</f>
        <v>TG</v>
      </c>
      <c r="G4620" s="1390"/>
      <c r="H4620" s="1077">
        <f>Risk_Compensation!$AA33</f>
        <v>0</v>
      </c>
    </row>
    <row r="4621" spans="1:8" x14ac:dyDescent="0.2">
      <c r="A4621" s="1027"/>
      <c r="B4621" s="1083">
        <f>Risk_Compensation!A$1</f>
        <v>36</v>
      </c>
      <c r="C4621" s="1390" t="str">
        <f>Risk_Compensation!$B$1</f>
        <v xml:space="preserve">Risikoausgleich </v>
      </c>
      <c r="D4621" s="2205" t="s">
        <v>2572</v>
      </c>
      <c r="E4621" s="1390">
        <f>Risk_Compensation!$G34</f>
        <v>17</v>
      </c>
      <c r="F4621" s="1390" t="str">
        <f>Risk_Compensation!$AA$17</f>
        <v>TG</v>
      </c>
      <c r="G4621" s="1390"/>
      <c r="H4621" s="1077">
        <f>Risk_Compensation!$AA34</f>
        <v>0</v>
      </c>
    </row>
    <row r="4622" spans="1:8" x14ac:dyDescent="0.2">
      <c r="A4622" s="1027"/>
      <c r="B4622" s="1083">
        <f>Risk_Compensation!A$1</f>
        <v>36</v>
      </c>
      <c r="C4622" s="1390" t="str">
        <f>Risk_Compensation!$B$1</f>
        <v xml:space="preserve">Risikoausgleich </v>
      </c>
      <c r="D4622" s="2205" t="s">
        <v>2572</v>
      </c>
      <c r="E4622" s="1390">
        <f>Risk_Compensation!$G35</f>
        <v>18</v>
      </c>
      <c r="F4622" s="1390" t="str">
        <f>Risk_Compensation!$AA$17</f>
        <v>TG</v>
      </c>
      <c r="G4622" s="1390"/>
      <c r="H4622" s="1077">
        <f>Risk_Compensation!$AA35</f>
        <v>0</v>
      </c>
    </row>
    <row r="4623" spans="1:8" x14ac:dyDescent="0.2">
      <c r="A4623" s="1027"/>
      <c r="B4623" s="1083">
        <f>Risk_Compensation!A$1</f>
        <v>36</v>
      </c>
      <c r="C4623" s="1390" t="str">
        <f>Risk_Compensation!$B$1</f>
        <v xml:space="preserve">Risikoausgleich </v>
      </c>
      <c r="D4623" s="2205" t="s">
        <v>2572</v>
      </c>
      <c r="E4623" s="1390">
        <f>Risk_Compensation!$G36</f>
        <v>19</v>
      </c>
      <c r="F4623" s="1390" t="str">
        <f>Risk_Compensation!$AA$17</f>
        <v>TG</v>
      </c>
      <c r="G4623" s="1390"/>
      <c r="H4623" s="1077">
        <f>Risk_Compensation!$AA36</f>
        <v>0</v>
      </c>
    </row>
    <row r="4624" spans="1:8" x14ac:dyDescent="0.2">
      <c r="A4624" s="1027"/>
      <c r="B4624" s="1083">
        <f>Risk_Compensation!A$1</f>
        <v>36</v>
      </c>
      <c r="C4624" s="1390" t="str">
        <f>Risk_Compensation!$B$1</f>
        <v xml:space="preserve">Risikoausgleich </v>
      </c>
      <c r="D4624" s="2205" t="s">
        <v>2572</v>
      </c>
      <c r="E4624" s="1390">
        <f>Risk_Compensation!$G37</f>
        <v>20</v>
      </c>
      <c r="F4624" s="1390" t="str">
        <f>Risk_Compensation!$AA$17</f>
        <v>TG</v>
      </c>
      <c r="G4624" s="1390"/>
      <c r="H4624" s="1077">
        <f>Risk_Compensation!$AA37</f>
        <v>0</v>
      </c>
    </row>
    <row r="4625" spans="1:8" x14ac:dyDescent="0.2">
      <c r="A4625" s="1027"/>
      <c r="B4625" s="1083">
        <f>Risk_Compensation!A$1</f>
        <v>36</v>
      </c>
      <c r="C4625" s="1390" t="str">
        <f>Risk_Compensation!$B$1</f>
        <v xml:space="preserve">Risikoausgleich </v>
      </c>
      <c r="D4625" s="2205" t="s">
        <v>2572</v>
      </c>
      <c r="E4625" s="1390">
        <f>Risk_Compensation!$G38</f>
        <v>21</v>
      </c>
      <c r="F4625" s="1390" t="str">
        <f>Risk_Compensation!$AA$17</f>
        <v>TG</v>
      </c>
      <c r="G4625" s="1390"/>
      <c r="H4625" s="1077">
        <f>Risk_Compensation!$AA38</f>
        <v>0</v>
      </c>
    </row>
    <row r="4626" spans="1:8" x14ac:dyDescent="0.2">
      <c r="A4626" s="1027"/>
      <c r="B4626" s="1083">
        <f>Risk_Compensation!A$1</f>
        <v>36</v>
      </c>
      <c r="C4626" s="1390" t="str">
        <f>Risk_Compensation!$B$1</f>
        <v xml:space="preserve">Risikoausgleich </v>
      </c>
      <c r="D4626" s="2205" t="s">
        <v>2572</v>
      </c>
      <c r="E4626" s="1390">
        <f>Risk_Compensation!$G39</f>
        <v>22</v>
      </c>
      <c r="F4626" s="1390" t="str">
        <f>Risk_Compensation!$AA$17</f>
        <v>TG</v>
      </c>
      <c r="G4626" s="1390"/>
      <c r="H4626" s="1077">
        <f>Risk_Compensation!$AA39</f>
        <v>0</v>
      </c>
    </row>
    <row r="4627" spans="1:8" x14ac:dyDescent="0.2">
      <c r="A4627" s="1027"/>
      <c r="B4627" s="1083">
        <f>Risk_Compensation!A$1</f>
        <v>36</v>
      </c>
      <c r="C4627" s="1390" t="str">
        <f>Risk_Compensation!$B$1</f>
        <v xml:space="preserve">Risikoausgleich </v>
      </c>
      <c r="D4627" s="2205" t="s">
        <v>2572</v>
      </c>
      <c r="E4627" s="1390">
        <f>Risk_Compensation!$G40</f>
        <v>23</v>
      </c>
      <c r="F4627" s="1390" t="str">
        <f>Risk_Compensation!$AA$17</f>
        <v>TG</v>
      </c>
      <c r="G4627" s="1390"/>
      <c r="H4627" s="1077">
        <f>Risk_Compensation!$AA40</f>
        <v>0</v>
      </c>
    </row>
    <row r="4628" spans="1:8" x14ac:dyDescent="0.2">
      <c r="A4628" s="1027"/>
      <c r="B4628" s="1083">
        <f>Risk_Compensation!A$1</f>
        <v>36</v>
      </c>
      <c r="C4628" s="1390" t="str">
        <f>Risk_Compensation!$B$1</f>
        <v xml:space="preserve">Risikoausgleich </v>
      </c>
      <c r="D4628" s="2205" t="s">
        <v>2572</v>
      </c>
      <c r="E4628" s="1390">
        <f>Risk_Compensation!$G41</f>
        <v>24</v>
      </c>
      <c r="F4628" s="1390" t="str">
        <f>Risk_Compensation!$AA$17</f>
        <v>TG</v>
      </c>
      <c r="G4628" s="1390"/>
      <c r="H4628" s="1077">
        <f>Risk_Compensation!$AA41</f>
        <v>0</v>
      </c>
    </row>
    <row r="4629" spans="1:8" x14ac:dyDescent="0.2">
      <c r="A4629" s="1027"/>
      <c r="B4629" s="1083">
        <f>Risk_Compensation!A$1</f>
        <v>36</v>
      </c>
      <c r="C4629" s="1390" t="str">
        <f>Risk_Compensation!$B$1</f>
        <v xml:space="preserve">Risikoausgleich </v>
      </c>
      <c r="D4629" s="2205" t="s">
        <v>2572</v>
      </c>
      <c r="E4629" s="1390">
        <f>Risk_Compensation!$G42</f>
        <v>25</v>
      </c>
      <c r="F4629" s="1390" t="str">
        <f>Risk_Compensation!$AA$17</f>
        <v>TG</v>
      </c>
      <c r="G4629" s="1390"/>
      <c r="H4629" s="1077">
        <f>Risk_Compensation!$AA42</f>
        <v>0</v>
      </c>
    </row>
    <row r="4630" spans="1:8" x14ac:dyDescent="0.2">
      <c r="A4630" s="1027"/>
      <c r="B4630" s="1083">
        <f>Risk_Compensation!A$1</f>
        <v>36</v>
      </c>
      <c r="C4630" s="1390" t="str">
        <f>Risk_Compensation!$B$1</f>
        <v xml:space="preserve">Risikoausgleich </v>
      </c>
      <c r="D4630" s="2205" t="s">
        <v>2572</v>
      </c>
      <c r="E4630" s="1390">
        <f>Risk_Compensation!$G43</f>
        <v>26</v>
      </c>
      <c r="F4630" s="1390" t="str">
        <f>Risk_Compensation!$AA$17</f>
        <v>TG</v>
      </c>
      <c r="G4630" s="1390"/>
      <c r="H4630" s="1077">
        <f>Risk_Compensation!$AA43</f>
        <v>0</v>
      </c>
    </row>
    <row r="4631" spans="1:8" x14ac:dyDescent="0.2">
      <c r="A4631" s="1027"/>
      <c r="B4631" s="1083">
        <f>Risk_Compensation!A$1</f>
        <v>36</v>
      </c>
      <c r="C4631" s="1390" t="str">
        <f>Risk_Compensation!$B$1</f>
        <v xml:space="preserve">Risikoausgleich </v>
      </c>
      <c r="D4631" s="2205" t="s">
        <v>2572</v>
      </c>
      <c r="E4631" s="1390">
        <f>Risk_Compensation!$G44</f>
        <v>27</v>
      </c>
      <c r="F4631" s="1390" t="str">
        <f>Risk_Compensation!$AA$17</f>
        <v>TG</v>
      </c>
      <c r="G4631" s="1390"/>
      <c r="H4631" s="1077">
        <f>Risk_Compensation!$AA44</f>
        <v>0</v>
      </c>
    </row>
    <row r="4632" spans="1:8" x14ac:dyDescent="0.2">
      <c r="A4632" s="1027"/>
      <c r="B4632" s="1083">
        <f>Risk_Compensation!A$1</f>
        <v>36</v>
      </c>
      <c r="C4632" s="1390" t="str">
        <f>Risk_Compensation!$B$1</f>
        <v xml:space="preserve">Risikoausgleich </v>
      </c>
      <c r="D4632" s="2205" t="s">
        <v>2572</v>
      </c>
      <c r="E4632" s="1390">
        <f>Risk_Compensation!$G45</f>
        <v>28</v>
      </c>
      <c r="F4632" s="1390" t="str">
        <f>Risk_Compensation!$AA$17</f>
        <v>TG</v>
      </c>
      <c r="G4632" s="1390"/>
      <c r="H4632" s="1077">
        <f>Risk_Compensation!$AA45</f>
        <v>0</v>
      </c>
    </row>
    <row r="4633" spans="1:8" x14ac:dyDescent="0.2">
      <c r="A4633" s="1027"/>
      <c r="B4633" s="1083">
        <f>Risk_Compensation!A$1</f>
        <v>36</v>
      </c>
      <c r="C4633" s="1390" t="str">
        <f>Risk_Compensation!$B$1</f>
        <v xml:space="preserve">Risikoausgleich </v>
      </c>
      <c r="D4633" s="2205" t="s">
        <v>2572</v>
      </c>
      <c r="E4633" s="1390">
        <f>Risk_Compensation!$G46</f>
        <v>29</v>
      </c>
      <c r="F4633" s="1390" t="str">
        <f>Risk_Compensation!$AA$17</f>
        <v>TG</v>
      </c>
      <c r="G4633" s="1390"/>
      <c r="H4633" s="1077">
        <f>Risk_Compensation!$AA46</f>
        <v>0</v>
      </c>
    </row>
    <row r="4634" spans="1:8" x14ac:dyDescent="0.2">
      <c r="A4634" s="1027"/>
      <c r="B4634" s="1083">
        <f>Risk_Compensation!A$1</f>
        <v>36</v>
      </c>
      <c r="C4634" s="1390" t="str">
        <f>Risk_Compensation!$B$1</f>
        <v xml:space="preserve">Risikoausgleich </v>
      </c>
      <c r="D4634" s="2205" t="s">
        <v>2572</v>
      </c>
      <c r="E4634" s="1390">
        <f>Risk_Compensation!$G47</f>
        <v>30</v>
      </c>
      <c r="F4634" s="1390" t="str">
        <f>Risk_Compensation!$AA$17</f>
        <v>TG</v>
      </c>
      <c r="G4634" s="1390"/>
      <c r="H4634" s="1077">
        <f>Risk_Compensation!$AA47</f>
        <v>0</v>
      </c>
    </row>
    <row r="4635" spans="1:8" x14ac:dyDescent="0.2">
      <c r="A4635" s="1027"/>
      <c r="B4635" s="1083">
        <f>Risk_Compensation!A$1</f>
        <v>36</v>
      </c>
      <c r="C4635" s="1390" t="str">
        <f>Risk_Compensation!$B$1</f>
        <v xml:space="preserve">Risikoausgleich </v>
      </c>
      <c r="D4635" s="2205" t="s">
        <v>2572</v>
      </c>
      <c r="E4635" s="1390">
        <f>Risk_Compensation!$G48</f>
        <v>31</v>
      </c>
      <c r="F4635" s="1390" t="str">
        <f>Risk_Compensation!$AA$17</f>
        <v>TG</v>
      </c>
      <c r="G4635" s="1390"/>
      <c r="H4635" s="1077">
        <f>Risk_Compensation!$AA48</f>
        <v>0</v>
      </c>
    </row>
    <row r="4636" spans="1:8" x14ac:dyDescent="0.2">
      <c r="A4636" s="1027"/>
      <c r="B4636" s="1083">
        <f>Risk_Compensation!A$1</f>
        <v>36</v>
      </c>
      <c r="C4636" s="1390" t="str">
        <f>Risk_Compensation!$B$1</f>
        <v xml:space="preserve">Risikoausgleich </v>
      </c>
      <c r="D4636" s="2205" t="s">
        <v>2572</v>
      </c>
      <c r="E4636" s="1390">
        <f>Risk_Compensation!$G49</f>
        <v>32</v>
      </c>
      <c r="F4636" s="1390" t="str">
        <f>Risk_Compensation!$AA$17</f>
        <v>TG</v>
      </c>
      <c r="G4636" s="1390"/>
      <c r="H4636" s="1077">
        <f>Risk_Compensation!$AA49</f>
        <v>0</v>
      </c>
    </row>
    <row r="4637" spans="1:8" x14ac:dyDescent="0.2">
      <c r="A4637" s="1027"/>
      <c r="B4637" s="1083">
        <f>Risk_Compensation!A$1</f>
        <v>36</v>
      </c>
      <c r="C4637" s="1390" t="str">
        <f>Risk_Compensation!$B$1</f>
        <v xml:space="preserve">Risikoausgleich </v>
      </c>
      <c r="D4637" s="2205" t="s">
        <v>2572</v>
      </c>
      <c r="E4637" s="1390">
        <f>Risk_Compensation!$G50</f>
        <v>33</v>
      </c>
      <c r="F4637" s="1390" t="str">
        <f>Risk_Compensation!$AA$17</f>
        <v>TG</v>
      </c>
      <c r="G4637" s="1390"/>
      <c r="H4637" s="1077">
        <f>Risk_Compensation!$AA50</f>
        <v>0</v>
      </c>
    </row>
    <row r="4638" spans="1:8" x14ac:dyDescent="0.2">
      <c r="A4638" s="1027"/>
      <c r="B4638" s="1083">
        <f>Risk_Compensation!A$1</f>
        <v>36</v>
      </c>
      <c r="C4638" s="1390" t="str">
        <f>Risk_Compensation!$B$1</f>
        <v xml:space="preserve">Risikoausgleich </v>
      </c>
      <c r="D4638" s="2205" t="s">
        <v>2572</v>
      </c>
      <c r="E4638" s="1390">
        <f>Risk_Compensation!$G51</f>
        <v>34</v>
      </c>
      <c r="F4638" s="1390" t="str">
        <f>Risk_Compensation!$AA$17</f>
        <v>TG</v>
      </c>
      <c r="G4638" s="1390"/>
      <c r="H4638" s="1077">
        <f>Risk_Compensation!$AA51</f>
        <v>0</v>
      </c>
    </row>
    <row r="4639" spans="1:8" x14ac:dyDescent="0.2">
      <c r="A4639" s="1027"/>
      <c r="B4639" s="1083">
        <f>Risk_Compensation!A$1</f>
        <v>36</v>
      </c>
      <c r="C4639" s="1390" t="str">
        <f>Risk_Compensation!$B$1</f>
        <v xml:space="preserve">Risikoausgleich </v>
      </c>
      <c r="D4639" s="2205" t="s">
        <v>2572</v>
      </c>
      <c r="E4639" s="1390">
        <f>Risk_Compensation!$G52</f>
        <v>35</v>
      </c>
      <c r="F4639" s="1390" t="str">
        <f>Risk_Compensation!$AA$17</f>
        <v>TG</v>
      </c>
      <c r="G4639" s="1390"/>
      <c r="H4639" s="1077">
        <f>Risk_Compensation!$AA52</f>
        <v>0</v>
      </c>
    </row>
    <row r="4640" spans="1:8" x14ac:dyDescent="0.2">
      <c r="A4640" s="1027"/>
      <c r="B4640" s="1083">
        <f>Risk_Compensation!A$1</f>
        <v>36</v>
      </c>
      <c r="C4640" s="1390" t="str">
        <f>Risk_Compensation!$B$1</f>
        <v xml:space="preserve">Risikoausgleich </v>
      </c>
      <c r="D4640" s="2205" t="s">
        <v>2572</v>
      </c>
      <c r="E4640" s="1390">
        <f>Risk_Compensation!$G53</f>
        <v>36</v>
      </c>
      <c r="F4640" s="1390" t="str">
        <f>Risk_Compensation!$AA$17</f>
        <v>TG</v>
      </c>
      <c r="G4640" s="1390"/>
      <c r="H4640" s="1077">
        <f>Risk_Compensation!$AA53</f>
        <v>0</v>
      </c>
    </row>
    <row r="4641" spans="1:8" x14ac:dyDescent="0.2">
      <c r="A4641" s="1027"/>
      <c r="B4641" s="1083">
        <f>Risk_Compensation!A$1</f>
        <v>36</v>
      </c>
      <c r="C4641" s="1390" t="str">
        <f>Risk_Compensation!$B$1</f>
        <v xml:space="preserve">Risikoausgleich </v>
      </c>
      <c r="D4641" s="2205" t="s">
        <v>2572</v>
      </c>
      <c r="E4641" s="1390">
        <f>Risk_Compensation!$G54</f>
        <v>37</v>
      </c>
      <c r="F4641" s="1390" t="str">
        <f>Risk_Compensation!$AA$17</f>
        <v>TG</v>
      </c>
      <c r="G4641" s="1390"/>
      <c r="H4641" s="1077">
        <f>Risk_Compensation!$AA54</f>
        <v>0</v>
      </c>
    </row>
    <row r="4642" spans="1:8" x14ac:dyDescent="0.2">
      <c r="A4642" s="1027"/>
      <c r="B4642" s="1083">
        <f>Risk_Compensation!A$1</f>
        <v>36</v>
      </c>
      <c r="C4642" s="1390" t="str">
        <f>Risk_Compensation!$B$1</f>
        <v xml:space="preserve">Risikoausgleich </v>
      </c>
      <c r="D4642" s="2205" t="s">
        <v>2572</v>
      </c>
      <c r="E4642" s="1390">
        <f>Risk_Compensation!$G55</f>
        <v>38</v>
      </c>
      <c r="F4642" s="1390" t="str">
        <f>Risk_Compensation!$AA$17</f>
        <v>TG</v>
      </c>
      <c r="G4642" s="1390"/>
      <c r="H4642" s="1077">
        <f>Risk_Compensation!$AA55</f>
        <v>0</v>
      </c>
    </row>
    <row r="4643" spans="1:8" x14ac:dyDescent="0.2">
      <c r="A4643" s="1027"/>
      <c r="B4643" s="1083">
        <f>Risk_Compensation!A$1</f>
        <v>36</v>
      </c>
      <c r="C4643" s="1390" t="str">
        <f>Risk_Compensation!$B$1</f>
        <v xml:space="preserve">Risikoausgleich </v>
      </c>
      <c r="D4643" s="2205" t="s">
        <v>2572</v>
      </c>
      <c r="E4643" s="1390">
        <f>Risk_Compensation!$G56</f>
        <v>39</v>
      </c>
      <c r="F4643" s="1390" t="str">
        <f>Risk_Compensation!$AA$17</f>
        <v>TG</v>
      </c>
      <c r="G4643" s="1390"/>
      <c r="H4643" s="1077">
        <f>Risk_Compensation!$AA56</f>
        <v>0</v>
      </c>
    </row>
    <row r="4644" spans="1:8" x14ac:dyDescent="0.2">
      <c r="A4644" s="1027"/>
      <c r="B4644" s="1083">
        <f>Risk_Compensation!A$1</f>
        <v>36</v>
      </c>
      <c r="C4644" s="1390" t="str">
        <f>Risk_Compensation!$B$1</f>
        <v xml:space="preserve">Risikoausgleich </v>
      </c>
      <c r="D4644" s="2205" t="s">
        <v>2572</v>
      </c>
      <c r="E4644" s="1390">
        <f>Risk_Compensation!$G57</f>
        <v>40</v>
      </c>
      <c r="F4644" s="1390" t="str">
        <f>Risk_Compensation!$AA$17</f>
        <v>TG</v>
      </c>
      <c r="G4644" s="1390"/>
      <c r="H4644" s="1077">
        <f>Risk_Compensation!$AA57</f>
        <v>0</v>
      </c>
    </row>
    <row r="4645" spans="1:8" x14ac:dyDescent="0.2">
      <c r="A4645" s="1027"/>
      <c r="B4645" s="1083">
        <f>Risk_Compensation!A$1</f>
        <v>36</v>
      </c>
      <c r="C4645" s="1390" t="str">
        <f>Risk_Compensation!$B$1</f>
        <v xml:space="preserve">Risikoausgleich </v>
      </c>
      <c r="D4645" s="2205" t="s">
        <v>2572</v>
      </c>
      <c r="E4645" s="1390">
        <f>Risk_Compensation!$G58</f>
        <v>41</v>
      </c>
      <c r="F4645" s="1390" t="str">
        <f>Risk_Compensation!$AA$17</f>
        <v>TG</v>
      </c>
      <c r="G4645" s="1390"/>
      <c r="H4645" s="1077">
        <f>Risk_Compensation!$AA58</f>
        <v>0</v>
      </c>
    </row>
    <row r="4646" spans="1:8" x14ac:dyDescent="0.2">
      <c r="A4646" s="1027"/>
      <c r="B4646" s="1083">
        <f>Risk_Compensation!A$1</f>
        <v>36</v>
      </c>
      <c r="C4646" s="1390" t="str">
        <f>Risk_Compensation!$B$1</f>
        <v xml:space="preserve">Risikoausgleich </v>
      </c>
      <c r="D4646" s="2205" t="s">
        <v>2572</v>
      </c>
      <c r="E4646" s="1390">
        <f>Risk_Compensation!$G59</f>
        <v>42</v>
      </c>
      <c r="F4646" s="1390" t="str">
        <f>Risk_Compensation!$AA$17</f>
        <v>TG</v>
      </c>
      <c r="G4646" s="1390"/>
      <c r="H4646" s="1077">
        <f>Risk_Compensation!$AA59</f>
        <v>0</v>
      </c>
    </row>
    <row r="4647" spans="1:8" x14ac:dyDescent="0.2">
      <c r="A4647" s="1027"/>
      <c r="B4647" s="1083">
        <f>Risk_Compensation!A$1</f>
        <v>36</v>
      </c>
      <c r="C4647" s="1390" t="str">
        <f>Risk_Compensation!$B$1</f>
        <v xml:space="preserve">Risikoausgleich </v>
      </c>
      <c r="D4647" s="2205" t="s">
        <v>2572</v>
      </c>
      <c r="E4647" s="1390">
        <f>Risk_Compensation!$G60</f>
        <v>43</v>
      </c>
      <c r="F4647" s="1390" t="str">
        <f>Risk_Compensation!$AA$17</f>
        <v>TG</v>
      </c>
      <c r="G4647" s="1390"/>
      <c r="H4647" s="1077">
        <f>Risk_Compensation!$AA60</f>
        <v>0</v>
      </c>
    </row>
    <row r="4648" spans="1:8" x14ac:dyDescent="0.2">
      <c r="A4648" s="1027"/>
      <c r="B4648" s="1083">
        <f>Risk_Compensation!A$1</f>
        <v>36</v>
      </c>
      <c r="C4648" s="1390" t="str">
        <f>Risk_Compensation!$B$1</f>
        <v xml:space="preserve">Risikoausgleich </v>
      </c>
      <c r="D4648" s="2205" t="s">
        <v>2572</v>
      </c>
      <c r="E4648" s="1390">
        <f>Risk_Compensation!$G61</f>
        <v>44</v>
      </c>
      <c r="F4648" s="1390" t="str">
        <f>Risk_Compensation!$AA$17</f>
        <v>TG</v>
      </c>
      <c r="G4648" s="1390"/>
      <c r="H4648" s="1077">
        <f>Risk_Compensation!$AA61</f>
        <v>0</v>
      </c>
    </row>
    <row r="4649" spans="1:8" x14ac:dyDescent="0.2">
      <c r="A4649" s="1027"/>
      <c r="B4649" s="1083">
        <f>Risk_Compensation!A$1</f>
        <v>36</v>
      </c>
      <c r="C4649" s="1390" t="str">
        <f>Risk_Compensation!$B$1</f>
        <v xml:space="preserve">Risikoausgleich </v>
      </c>
      <c r="D4649" s="2205" t="s">
        <v>2572</v>
      </c>
      <c r="E4649" s="1390">
        <f>Risk_Compensation!$G62</f>
        <v>45</v>
      </c>
      <c r="F4649" s="1390" t="str">
        <f>Risk_Compensation!$AA$17</f>
        <v>TG</v>
      </c>
      <c r="G4649" s="1390"/>
      <c r="H4649" s="1077">
        <f>Risk_Compensation!$AA62</f>
        <v>0</v>
      </c>
    </row>
    <row r="4650" spans="1:8" x14ac:dyDescent="0.2">
      <c r="A4650" s="1027"/>
      <c r="B4650" s="1083">
        <f>Risk_Compensation!A$1</f>
        <v>36</v>
      </c>
      <c r="C4650" s="1390" t="str">
        <f>Risk_Compensation!$B$1</f>
        <v xml:space="preserve">Risikoausgleich </v>
      </c>
      <c r="D4650" s="2205" t="s">
        <v>2572</v>
      </c>
      <c r="E4650" s="1390">
        <f>Risk_Compensation!$G63</f>
        <v>46</v>
      </c>
      <c r="F4650" s="1390" t="str">
        <f>Risk_Compensation!$AA$17</f>
        <v>TG</v>
      </c>
      <c r="G4650" s="1390"/>
      <c r="H4650" s="1077">
        <f>Risk_Compensation!$AA63</f>
        <v>0</v>
      </c>
    </row>
    <row r="4651" spans="1:8" x14ac:dyDescent="0.2">
      <c r="A4651" s="1027"/>
      <c r="B4651" s="1083">
        <f>Risk_Compensation!A$1</f>
        <v>36</v>
      </c>
      <c r="C4651" s="1390" t="str">
        <f>Risk_Compensation!$B$1</f>
        <v xml:space="preserve">Risikoausgleich </v>
      </c>
      <c r="D4651" s="2205" t="s">
        <v>2572</v>
      </c>
      <c r="E4651" s="1390">
        <f>Risk_Compensation!$G64</f>
        <v>47</v>
      </c>
      <c r="F4651" s="1390" t="str">
        <f>Risk_Compensation!$AA$17</f>
        <v>TG</v>
      </c>
      <c r="G4651" s="1390"/>
      <c r="H4651" s="1077">
        <f>Risk_Compensation!$AA64</f>
        <v>0</v>
      </c>
    </row>
    <row r="4652" spans="1:8" x14ac:dyDescent="0.2">
      <c r="A4652" s="1027"/>
      <c r="B4652" s="1083">
        <f>Risk_Compensation!A$1</f>
        <v>36</v>
      </c>
      <c r="C4652" s="1390" t="str">
        <f>Risk_Compensation!$B$1</f>
        <v xml:space="preserve">Risikoausgleich </v>
      </c>
      <c r="D4652" s="2205" t="s">
        <v>2572</v>
      </c>
      <c r="E4652" s="1390">
        <f>Risk_Compensation!$G65</f>
        <v>48</v>
      </c>
      <c r="F4652" s="1390" t="str">
        <f>Risk_Compensation!$AA$17</f>
        <v>TG</v>
      </c>
      <c r="G4652" s="1390"/>
      <c r="H4652" s="1077">
        <f>Risk_Compensation!$AA65</f>
        <v>0</v>
      </c>
    </row>
    <row r="4653" spans="1:8" x14ac:dyDescent="0.2">
      <c r="A4653" s="1027"/>
      <c r="B4653" s="1083">
        <f>Risk_Compensation!A$1</f>
        <v>36</v>
      </c>
      <c r="C4653" s="1390" t="str">
        <f>Risk_Compensation!$B$1</f>
        <v xml:space="preserve">Risikoausgleich </v>
      </c>
      <c r="D4653" s="2205" t="s">
        <v>2572</v>
      </c>
      <c r="E4653" s="1390">
        <f>Risk_Compensation!$G66</f>
        <v>49</v>
      </c>
      <c r="F4653" s="1390" t="str">
        <f>Risk_Compensation!$AA$17</f>
        <v>TG</v>
      </c>
      <c r="G4653" s="1390"/>
      <c r="H4653" s="1077">
        <f>Risk_Compensation!$AA66</f>
        <v>0</v>
      </c>
    </row>
    <row r="4654" spans="1:8" x14ac:dyDescent="0.2">
      <c r="A4654" s="1027"/>
      <c r="B4654" s="1083">
        <f>Risk_Compensation!A$1</f>
        <v>36</v>
      </c>
      <c r="C4654" s="1390" t="str">
        <f>Risk_Compensation!$B$1</f>
        <v xml:space="preserve">Risikoausgleich </v>
      </c>
      <c r="D4654" s="2205" t="s">
        <v>2572</v>
      </c>
      <c r="E4654" s="1390">
        <f>Risk_Compensation!$G67</f>
        <v>50</v>
      </c>
      <c r="F4654" s="1390" t="str">
        <f>Risk_Compensation!$AA$17</f>
        <v>TG</v>
      </c>
      <c r="G4654" s="1390"/>
      <c r="H4654" s="1077">
        <f>Risk_Compensation!$AA67</f>
        <v>0</v>
      </c>
    </row>
    <row r="4655" spans="1:8" x14ac:dyDescent="0.2">
      <c r="A4655" s="1027"/>
      <c r="B4655" s="1083">
        <f>Risk_Compensation!A$1</f>
        <v>36</v>
      </c>
      <c r="C4655" s="1390" t="str">
        <f>Risk_Compensation!$B$1</f>
        <v xml:space="preserve">Risikoausgleich </v>
      </c>
      <c r="D4655" s="2205" t="s">
        <v>2572</v>
      </c>
      <c r="E4655" s="1390">
        <f>Risk_Compensation!$G68</f>
        <v>51</v>
      </c>
      <c r="F4655" s="1390" t="str">
        <f>Risk_Compensation!$AA$17</f>
        <v>TG</v>
      </c>
      <c r="G4655" s="1390"/>
      <c r="H4655" s="1077">
        <f>Risk_Compensation!$AA68</f>
        <v>0</v>
      </c>
    </row>
    <row r="4656" spans="1:8" x14ac:dyDescent="0.2">
      <c r="A4656" s="1027"/>
      <c r="B4656" s="1083">
        <f>Risk_Compensation!A$1</f>
        <v>36</v>
      </c>
      <c r="C4656" s="1390" t="str">
        <f>Risk_Compensation!$B$1</f>
        <v xml:space="preserve">Risikoausgleich </v>
      </c>
      <c r="D4656" s="2205" t="s">
        <v>2572</v>
      </c>
      <c r="E4656" s="1390">
        <f>Risk_Compensation!$G69</f>
        <v>52</v>
      </c>
      <c r="F4656" s="1390" t="str">
        <f>Risk_Compensation!$AA$17</f>
        <v>TG</v>
      </c>
      <c r="G4656" s="1390"/>
      <c r="H4656" s="1077">
        <f>Risk_Compensation!$AA69</f>
        <v>0</v>
      </c>
    </row>
    <row r="4657" spans="1:8" x14ac:dyDescent="0.2">
      <c r="A4657" s="1027"/>
      <c r="B4657" s="1083">
        <f>Risk_Compensation!A$1</f>
        <v>36</v>
      </c>
      <c r="C4657" s="1390" t="str">
        <f>Risk_Compensation!$B$1</f>
        <v xml:space="preserve">Risikoausgleich </v>
      </c>
      <c r="D4657" s="2205" t="s">
        <v>2572</v>
      </c>
      <c r="E4657" s="1390">
        <f>Risk_Compensation!$G70</f>
        <v>53</v>
      </c>
      <c r="F4657" s="1390" t="str">
        <f>Risk_Compensation!$AA$17</f>
        <v>TG</v>
      </c>
      <c r="G4657" s="1390"/>
      <c r="H4657" s="1077">
        <f>Risk_Compensation!$AA70</f>
        <v>0</v>
      </c>
    </row>
    <row r="4658" spans="1:8" x14ac:dyDescent="0.2">
      <c r="A4658" s="1027"/>
      <c r="B4658" s="1083">
        <f>Risk_Compensation!A$1</f>
        <v>36</v>
      </c>
      <c r="C4658" s="1390" t="str">
        <f>Risk_Compensation!$B$1</f>
        <v xml:space="preserve">Risikoausgleich </v>
      </c>
      <c r="D4658" s="2205" t="s">
        <v>2572</v>
      </c>
      <c r="E4658" s="1390">
        <f>Risk_Compensation!$G71</f>
        <v>54</v>
      </c>
      <c r="F4658" s="1390" t="str">
        <f>Risk_Compensation!$AA$17</f>
        <v>TG</v>
      </c>
      <c r="G4658" s="1390"/>
      <c r="H4658" s="1077">
        <f>Risk_Compensation!$AA71</f>
        <v>0</v>
      </c>
    </row>
    <row r="4659" spans="1:8" x14ac:dyDescent="0.2">
      <c r="A4659" s="1027"/>
      <c r="B4659" s="1083">
        <f>Risk_Compensation!A$1</f>
        <v>36</v>
      </c>
      <c r="C4659" s="1390" t="str">
        <f>Risk_Compensation!$B$1</f>
        <v xml:space="preserve">Risikoausgleich </v>
      </c>
      <c r="D4659" s="2205" t="s">
        <v>2572</v>
      </c>
      <c r="E4659" s="1390">
        <f>Risk_Compensation!$G72</f>
        <v>55</v>
      </c>
      <c r="F4659" s="1390" t="str">
        <f>Risk_Compensation!$AA$17</f>
        <v>TG</v>
      </c>
      <c r="G4659" s="1390"/>
      <c r="H4659" s="1077">
        <f>Risk_Compensation!$AA72</f>
        <v>0</v>
      </c>
    </row>
    <row r="4660" spans="1:8" x14ac:dyDescent="0.2">
      <c r="A4660" s="1027"/>
      <c r="B4660" s="1083">
        <f>Risk_Compensation!A$1</f>
        <v>36</v>
      </c>
      <c r="C4660" s="1390" t="str">
        <f>Risk_Compensation!$B$1</f>
        <v xml:space="preserve">Risikoausgleich </v>
      </c>
      <c r="D4660" s="2205" t="s">
        <v>2572</v>
      </c>
      <c r="E4660" s="1390">
        <f>Risk_Compensation!$G73</f>
        <v>56</v>
      </c>
      <c r="F4660" s="1390" t="str">
        <f>Risk_Compensation!$AA$17</f>
        <v>TG</v>
      </c>
      <c r="G4660" s="1390"/>
      <c r="H4660" s="1077">
        <f>Risk_Compensation!$AA73</f>
        <v>0</v>
      </c>
    </row>
    <row r="4661" spans="1:8" x14ac:dyDescent="0.2">
      <c r="A4661" s="1027"/>
      <c r="B4661" s="1083">
        <f>Risk_Compensation!A$1</f>
        <v>36</v>
      </c>
      <c r="C4661" s="1390" t="str">
        <f>Risk_Compensation!$B$1</f>
        <v xml:space="preserve">Risikoausgleich </v>
      </c>
      <c r="D4661" s="2205" t="s">
        <v>2572</v>
      </c>
      <c r="E4661" s="1390">
        <f>Risk_Compensation!$G74</f>
        <v>57</v>
      </c>
      <c r="F4661" s="1390" t="str">
        <f>Risk_Compensation!$AA$17</f>
        <v>TG</v>
      </c>
      <c r="G4661" s="1390"/>
      <c r="H4661" s="1077">
        <f>Risk_Compensation!$AA74</f>
        <v>0</v>
      </c>
    </row>
    <row r="4662" spans="1:8" x14ac:dyDescent="0.2">
      <c r="A4662" s="1027"/>
      <c r="B4662" s="1083">
        <f>Risk_Compensation!A$1</f>
        <v>36</v>
      </c>
      <c r="C4662" s="1390" t="str">
        <f>Risk_Compensation!$B$1</f>
        <v xml:space="preserve">Risikoausgleich </v>
      </c>
      <c r="D4662" s="2205" t="s">
        <v>2572</v>
      </c>
      <c r="E4662" s="1390">
        <f>Risk_Compensation!$G75</f>
        <v>58</v>
      </c>
      <c r="F4662" s="1390" t="str">
        <f>Risk_Compensation!$AA$17</f>
        <v>TG</v>
      </c>
      <c r="G4662" s="1390"/>
      <c r="H4662" s="1077">
        <f>Risk_Compensation!$AA75</f>
        <v>0</v>
      </c>
    </row>
    <row r="4663" spans="1:8" x14ac:dyDescent="0.2">
      <c r="A4663" s="1027"/>
      <c r="B4663" s="1083">
        <f>Risk_Compensation!A$1</f>
        <v>36</v>
      </c>
      <c r="C4663" s="1390" t="str">
        <f>Risk_Compensation!$B$1</f>
        <v xml:space="preserve">Risikoausgleich </v>
      </c>
      <c r="D4663" s="2205" t="s">
        <v>2572</v>
      </c>
      <c r="E4663" s="1390">
        <f>Risk_Compensation!$G76</f>
        <v>59</v>
      </c>
      <c r="F4663" s="1390" t="str">
        <f>Risk_Compensation!$AA$17</f>
        <v>TG</v>
      </c>
      <c r="G4663" s="1390"/>
      <c r="H4663" s="1077">
        <f>Risk_Compensation!$AA76</f>
        <v>0</v>
      </c>
    </row>
    <row r="4664" spans="1:8" x14ac:dyDescent="0.2">
      <c r="A4664" s="1027"/>
      <c r="B4664" s="1083">
        <f>Risk_Compensation!A$1</f>
        <v>36</v>
      </c>
      <c r="C4664" s="1390" t="str">
        <f>Risk_Compensation!$B$1</f>
        <v xml:space="preserve">Risikoausgleich </v>
      </c>
      <c r="D4664" s="2205" t="s">
        <v>2572</v>
      </c>
      <c r="E4664" s="1390">
        <f>Risk_Compensation!$G77</f>
        <v>60</v>
      </c>
      <c r="F4664" s="1390" t="str">
        <f>Risk_Compensation!$AA$17</f>
        <v>TG</v>
      </c>
      <c r="G4664" s="1390"/>
      <c r="H4664" s="1077">
        <f>Risk_Compensation!$AA77</f>
        <v>0</v>
      </c>
    </row>
    <row r="4665" spans="1:8" x14ac:dyDescent="0.2">
      <c r="A4665" s="1027"/>
      <c r="B4665" s="2174"/>
      <c r="C4665" s="1390"/>
      <c r="D4665" s="2175"/>
      <c r="E4665" s="2176"/>
      <c r="F4665" s="1390"/>
      <c r="G4665" s="1390"/>
      <c r="H4665" s="1078"/>
    </row>
    <row r="4666" spans="1:8" x14ac:dyDescent="0.2">
      <c r="A4666" s="1027"/>
      <c r="B4666" s="1083">
        <f>Risk_Compensation!A$1</f>
        <v>36</v>
      </c>
      <c r="C4666" s="1390" t="str">
        <f>Risk_Compensation!$B$1</f>
        <v xml:space="preserve">Risikoausgleich </v>
      </c>
      <c r="D4666" s="2205" t="s">
        <v>2572</v>
      </c>
      <c r="E4666" s="1390">
        <f>Risk_Compensation!$G18</f>
        <v>1</v>
      </c>
      <c r="F4666" s="1390" t="str">
        <f>Risk_Compensation!$AB$17</f>
        <v>TI</v>
      </c>
      <c r="G4666" s="1390"/>
      <c r="H4666" s="1077">
        <f>Risk_Compensation!$AB18</f>
        <v>0</v>
      </c>
    </row>
    <row r="4667" spans="1:8" x14ac:dyDescent="0.2">
      <c r="A4667" s="1027"/>
      <c r="B4667" s="1083">
        <f>Risk_Compensation!A$1</f>
        <v>36</v>
      </c>
      <c r="C4667" s="1390" t="str">
        <f>Risk_Compensation!$B$1</f>
        <v xml:space="preserve">Risikoausgleich </v>
      </c>
      <c r="D4667" s="2205" t="s">
        <v>2572</v>
      </c>
      <c r="E4667" s="1390">
        <f>Risk_Compensation!$G19</f>
        <v>2</v>
      </c>
      <c r="F4667" s="1390" t="str">
        <f>Risk_Compensation!$AB$17</f>
        <v>TI</v>
      </c>
      <c r="G4667" s="1390"/>
      <c r="H4667" s="1077">
        <f>Risk_Compensation!$AB19</f>
        <v>0</v>
      </c>
    </row>
    <row r="4668" spans="1:8" x14ac:dyDescent="0.2">
      <c r="A4668" s="1027"/>
      <c r="B4668" s="1083">
        <f>Risk_Compensation!A$1</f>
        <v>36</v>
      </c>
      <c r="C4668" s="1390" t="str">
        <f>Risk_Compensation!$B$1</f>
        <v xml:space="preserve">Risikoausgleich </v>
      </c>
      <c r="D4668" s="2205" t="s">
        <v>2572</v>
      </c>
      <c r="E4668" s="1390">
        <f>Risk_Compensation!$G20</f>
        <v>3</v>
      </c>
      <c r="F4668" s="1390" t="str">
        <f>Risk_Compensation!$AB$17</f>
        <v>TI</v>
      </c>
      <c r="G4668" s="1390"/>
      <c r="H4668" s="1077">
        <f>Risk_Compensation!$AB20</f>
        <v>0</v>
      </c>
    </row>
    <row r="4669" spans="1:8" x14ac:dyDescent="0.2">
      <c r="A4669" s="1027"/>
      <c r="B4669" s="1083">
        <f>Risk_Compensation!A$1</f>
        <v>36</v>
      </c>
      <c r="C4669" s="1390" t="str">
        <f>Risk_Compensation!$B$1</f>
        <v xml:space="preserve">Risikoausgleich </v>
      </c>
      <c r="D4669" s="2205" t="s">
        <v>2572</v>
      </c>
      <c r="E4669" s="1390">
        <f>Risk_Compensation!$G21</f>
        <v>4</v>
      </c>
      <c r="F4669" s="1390" t="str">
        <f>Risk_Compensation!$AB$17</f>
        <v>TI</v>
      </c>
      <c r="G4669" s="1390"/>
      <c r="H4669" s="1077">
        <f>Risk_Compensation!$AB21</f>
        <v>0</v>
      </c>
    </row>
    <row r="4670" spans="1:8" x14ac:dyDescent="0.2">
      <c r="A4670" s="1027"/>
      <c r="B4670" s="1083">
        <f>Risk_Compensation!A$1</f>
        <v>36</v>
      </c>
      <c r="C4670" s="1390" t="str">
        <f>Risk_Compensation!$B$1</f>
        <v xml:space="preserve">Risikoausgleich </v>
      </c>
      <c r="D4670" s="2205" t="s">
        <v>2572</v>
      </c>
      <c r="E4670" s="1390">
        <f>Risk_Compensation!$G22</f>
        <v>5</v>
      </c>
      <c r="F4670" s="1390" t="str">
        <f>Risk_Compensation!$AB$17</f>
        <v>TI</v>
      </c>
      <c r="G4670" s="1390"/>
      <c r="H4670" s="1077">
        <f>Risk_Compensation!$AB22</f>
        <v>0</v>
      </c>
    </row>
    <row r="4671" spans="1:8" x14ac:dyDescent="0.2">
      <c r="A4671" s="1027"/>
      <c r="B4671" s="1083">
        <f>Risk_Compensation!A$1</f>
        <v>36</v>
      </c>
      <c r="C4671" s="1390" t="str">
        <f>Risk_Compensation!$B$1</f>
        <v xml:space="preserve">Risikoausgleich </v>
      </c>
      <c r="D4671" s="2205" t="s">
        <v>2572</v>
      </c>
      <c r="E4671" s="1390">
        <f>Risk_Compensation!$G23</f>
        <v>6</v>
      </c>
      <c r="F4671" s="1390" t="str">
        <f>Risk_Compensation!$AB$17</f>
        <v>TI</v>
      </c>
      <c r="G4671" s="1390"/>
      <c r="H4671" s="1077">
        <f>Risk_Compensation!$AB23</f>
        <v>0</v>
      </c>
    </row>
    <row r="4672" spans="1:8" x14ac:dyDescent="0.2">
      <c r="A4672" s="1027"/>
      <c r="B4672" s="1083">
        <f>Risk_Compensation!A$1</f>
        <v>36</v>
      </c>
      <c r="C4672" s="1390" t="str">
        <f>Risk_Compensation!$B$1</f>
        <v xml:space="preserve">Risikoausgleich </v>
      </c>
      <c r="D4672" s="2205" t="s">
        <v>2572</v>
      </c>
      <c r="E4672" s="1390">
        <f>Risk_Compensation!$G24</f>
        <v>7</v>
      </c>
      <c r="F4672" s="1390" t="str">
        <f>Risk_Compensation!$AB$17</f>
        <v>TI</v>
      </c>
      <c r="G4672" s="1390"/>
      <c r="H4672" s="1077">
        <f>Risk_Compensation!$AB24</f>
        <v>0</v>
      </c>
    </row>
    <row r="4673" spans="1:8" x14ac:dyDescent="0.2">
      <c r="A4673" s="1027"/>
      <c r="B4673" s="1083">
        <f>Risk_Compensation!A$1</f>
        <v>36</v>
      </c>
      <c r="C4673" s="1390" t="str">
        <f>Risk_Compensation!$B$1</f>
        <v xml:space="preserve">Risikoausgleich </v>
      </c>
      <c r="D4673" s="2205" t="s">
        <v>2572</v>
      </c>
      <c r="E4673" s="1390">
        <f>Risk_Compensation!$G25</f>
        <v>8</v>
      </c>
      <c r="F4673" s="1390" t="str">
        <f>Risk_Compensation!$AB$17</f>
        <v>TI</v>
      </c>
      <c r="G4673" s="1390"/>
      <c r="H4673" s="1077">
        <f>Risk_Compensation!$AB25</f>
        <v>0</v>
      </c>
    </row>
    <row r="4674" spans="1:8" x14ac:dyDescent="0.2">
      <c r="A4674" s="1027"/>
      <c r="B4674" s="1083">
        <f>Risk_Compensation!A$1</f>
        <v>36</v>
      </c>
      <c r="C4674" s="1390" t="str">
        <f>Risk_Compensation!$B$1</f>
        <v xml:space="preserve">Risikoausgleich </v>
      </c>
      <c r="D4674" s="2205" t="s">
        <v>2572</v>
      </c>
      <c r="E4674" s="1390">
        <f>Risk_Compensation!$G26</f>
        <v>9</v>
      </c>
      <c r="F4674" s="1390" t="str">
        <f>Risk_Compensation!$AB$17</f>
        <v>TI</v>
      </c>
      <c r="G4674" s="1390"/>
      <c r="H4674" s="1077">
        <f>Risk_Compensation!$AB26</f>
        <v>0</v>
      </c>
    </row>
    <row r="4675" spans="1:8" x14ac:dyDescent="0.2">
      <c r="A4675" s="1027"/>
      <c r="B4675" s="1083">
        <f>Risk_Compensation!A$1</f>
        <v>36</v>
      </c>
      <c r="C4675" s="1390" t="str">
        <f>Risk_Compensation!$B$1</f>
        <v xml:space="preserve">Risikoausgleich </v>
      </c>
      <c r="D4675" s="2205" t="s">
        <v>2572</v>
      </c>
      <c r="E4675" s="1390">
        <f>Risk_Compensation!$G27</f>
        <v>10</v>
      </c>
      <c r="F4675" s="1390" t="str">
        <f>Risk_Compensation!$AB$17</f>
        <v>TI</v>
      </c>
      <c r="G4675" s="1390"/>
      <c r="H4675" s="1077">
        <f>Risk_Compensation!$AB27</f>
        <v>0</v>
      </c>
    </row>
    <row r="4676" spans="1:8" x14ac:dyDescent="0.2">
      <c r="A4676" s="1027"/>
      <c r="B4676" s="1083">
        <f>Risk_Compensation!A$1</f>
        <v>36</v>
      </c>
      <c r="C4676" s="1390" t="str">
        <f>Risk_Compensation!$B$1</f>
        <v xml:space="preserve">Risikoausgleich </v>
      </c>
      <c r="D4676" s="2205" t="s">
        <v>2572</v>
      </c>
      <c r="E4676" s="1390">
        <f>Risk_Compensation!$G28</f>
        <v>11</v>
      </c>
      <c r="F4676" s="1390" t="str">
        <f>Risk_Compensation!$AB$17</f>
        <v>TI</v>
      </c>
      <c r="G4676" s="1390"/>
      <c r="H4676" s="1077">
        <f>Risk_Compensation!$AB28</f>
        <v>0</v>
      </c>
    </row>
    <row r="4677" spans="1:8" x14ac:dyDescent="0.2">
      <c r="A4677" s="1027"/>
      <c r="B4677" s="1083">
        <f>Risk_Compensation!A$1</f>
        <v>36</v>
      </c>
      <c r="C4677" s="1390" t="str">
        <f>Risk_Compensation!$B$1</f>
        <v xml:space="preserve">Risikoausgleich </v>
      </c>
      <c r="D4677" s="2205" t="s">
        <v>2572</v>
      </c>
      <c r="E4677" s="1390">
        <f>Risk_Compensation!$G29</f>
        <v>12</v>
      </c>
      <c r="F4677" s="1390" t="str">
        <f>Risk_Compensation!$AB$17</f>
        <v>TI</v>
      </c>
      <c r="G4677" s="1390"/>
      <c r="H4677" s="1077">
        <f>Risk_Compensation!$AB29</f>
        <v>0</v>
      </c>
    </row>
    <row r="4678" spans="1:8" x14ac:dyDescent="0.2">
      <c r="A4678" s="1027"/>
      <c r="B4678" s="1083">
        <f>Risk_Compensation!A$1</f>
        <v>36</v>
      </c>
      <c r="C4678" s="1390" t="str">
        <f>Risk_Compensation!$B$1</f>
        <v xml:space="preserve">Risikoausgleich </v>
      </c>
      <c r="D4678" s="2205" t="s">
        <v>2572</v>
      </c>
      <c r="E4678" s="1390">
        <f>Risk_Compensation!$G30</f>
        <v>13</v>
      </c>
      <c r="F4678" s="1390" t="str">
        <f>Risk_Compensation!$AB$17</f>
        <v>TI</v>
      </c>
      <c r="G4678" s="1390"/>
      <c r="H4678" s="1077">
        <f>Risk_Compensation!$AB30</f>
        <v>0</v>
      </c>
    </row>
    <row r="4679" spans="1:8" x14ac:dyDescent="0.2">
      <c r="A4679" s="1027"/>
      <c r="B4679" s="1083">
        <f>Risk_Compensation!A$1</f>
        <v>36</v>
      </c>
      <c r="C4679" s="1390" t="str">
        <f>Risk_Compensation!$B$1</f>
        <v xml:space="preserve">Risikoausgleich </v>
      </c>
      <c r="D4679" s="2205" t="s">
        <v>2572</v>
      </c>
      <c r="E4679" s="1390">
        <f>Risk_Compensation!$G31</f>
        <v>14</v>
      </c>
      <c r="F4679" s="1390" t="str">
        <f>Risk_Compensation!$AB$17</f>
        <v>TI</v>
      </c>
      <c r="G4679" s="1390"/>
      <c r="H4679" s="1077">
        <f>Risk_Compensation!$AB31</f>
        <v>0</v>
      </c>
    </row>
    <row r="4680" spans="1:8" x14ac:dyDescent="0.2">
      <c r="A4680" s="1027"/>
      <c r="B4680" s="1083">
        <f>Risk_Compensation!A$1</f>
        <v>36</v>
      </c>
      <c r="C4680" s="1390" t="str">
        <f>Risk_Compensation!$B$1</f>
        <v xml:space="preserve">Risikoausgleich </v>
      </c>
      <c r="D4680" s="2205" t="s">
        <v>2572</v>
      </c>
      <c r="E4680" s="1390">
        <f>Risk_Compensation!$G32</f>
        <v>15</v>
      </c>
      <c r="F4680" s="1390" t="str">
        <f>Risk_Compensation!$AB$17</f>
        <v>TI</v>
      </c>
      <c r="G4680" s="1390"/>
      <c r="H4680" s="1077">
        <f>Risk_Compensation!$AB32</f>
        <v>0</v>
      </c>
    </row>
    <row r="4681" spans="1:8" x14ac:dyDescent="0.2">
      <c r="A4681" s="1027"/>
      <c r="B4681" s="1083">
        <f>Risk_Compensation!A$1</f>
        <v>36</v>
      </c>
      <c r="C4681" s="1390" t="str">
        <f>Risk_Compensation!$B$1</f>
        <v xml:space="preserve">Risikoausgleich </v>
      </c>
      <c r="D4681" s="2205" t="s">
        <v>2572</v>
      </c>
      <c r="E4681" s="1390">
        <f>Risk_Compensation!$G33</f>
        <v>16</v>
      </c>
      <c r="F4681" s="1390" t="str">
        <f>Risk_Compensation!$AB$17</f>
        <v>TI</v>
      </c>
      <c r="G4681" s="1390"/>
      <c r="H4681" s="1077">
        <f>Risk_Compensation!$AB33</f>
        <v>0</v>
      </c>
    </row>
    <row r="4682" spans="1:8" x14ac:dyDescent="0.2">
      <c r="A4682" s="1027"/>
      <c r="B4682" s="1083">
        <f>Risk_Compensation!A$1</f>
        <v>36</v>
      </c>
      <c r="C4682" s="1390" t="str">
        <f>Risk_Compensation!$B$1</f>
        <v xml:space="preserve">Risikoausgleich </v>
      </c>
      <c r="D4682" s="2205" t="s">
        <v>2572</v>
      </c>
      <c r="E4682" s="1390">
        <f>Risk_Compensation!$G34</f>
        <v>17</v>
      </c>
      <c r="F4682" s="1390" t="str">
        <f>Risk_Compensation!$AB$17</f>
        <v>TI</v>
      </c>
      <c r="G4682" s="1390"/>
      <c r="H4682" s="1077">
        <f>Risk_Compensation!$AB34</f>
        <v>0</v>
      </c>
    </row>
    <row r="4683" spans="1:8" x14ac:dyDescent="0.2">
      <c r="A4683" s="1027"/>
      <c r="B4683" s="1083">
        <f>Risk_Compensation!A$1</f>
        <v>36</v>
      </c>
      <c r="C4683" s="1390" t="str">
        <f>Risk_Compensation!$B$1</f>
        <v xml:space="preserve">Risikoausgleich </v>
      </c>
      <c r="D4683" s="2205" t="s">
        <v>2572</v>
      </c>
      <c r="E4683" s="1390">
        <f>Risk_Compensation!$G35</f>
        <v>18</v>
      </c>
      <c r="F4683" s="1390" t="str">
        <f>Risk_Compensation!$AB$17</f>
        <v>TI</v>
      </c>
      <c r="G4683" s="1390"/>
      <c r="H4683" s="1077">
        <f>Risk_Compensation!$AB35</f>
        <v>0</v>
      </c>
    </row>
    <row r="4684" spans="1:8" x14ac:dyDescent="0.2">
      <c r="A4684" s="1027"/>
      <c r="B4684" s="1083">
        <f>Risk_Compensation!A$1</f>
        <v>36</v>
      </c>
      <c r="C4684" s="1390" t="str">
        <f>Risk_Compensation!$B$1</f>
        <v xml:space="preserve">Risikoausgleich </v>
      </c>
      <c r="D4684" s="2205" t="s">
        <v>2572</v>
      </c>
      <c r="E4684" s="1390">
        <f>Risk_Compensation!$G36</f>
        <v>19</v>
      </c>
      <c r="F4684" s="1390" t="str">
        <f>Risk_Compensation!$AB$17</f>
        <v>TI</v>
      </c>
      <c r="G4684" s="1390"/>
      <c r="H4684" s="1077">
        <f>Risk_Compensation!$AB36</f>
        <v>0</v>
      </c>
    </row>
    <row r="4685" spans="1:8" x14ac:dyDescent="0.2">
      <c r="A4685" s="1027"/>
      <c r="B4685" s="1083">
        <f>Risk_Compensation!A$1</f>
        <v>36</v>
      </c>
      <c r="C4685" s="1390" t="str">
        <f>Risk_Compensation!$B$1</f>
        <v xml:space="preserve">Risikoausgleich </v>
      </c>
      <c r="D4685" s="2205" t="s">
        <v>2572</v>
      </c>
      <c r="E4685" s="1390">
        <f>Risk_Compensation!$G37</f>
        <v>20</v>
      </c>
      <c r="F4685" s="1390" t="str">
        <f>Risk_Compensation!$AB$17</f>
        <v>TI</v>
      </c>
      <c r="G4685" s="1390"/>
      <c r="H4685" s="1077">
        <f>Risk_Compensation!$AB37</f>
        <v>0</v>
      </c>
    </row>
    <row r="4686" spans="1:8" x14ac:dyDescent="0.2">
      <c r="A4686" s="1027"/>
      <c r="B4686" s="1083">
        <f>Risk_Compensation!A$1</f>
        <v>36</v>
      </c>
      <c r="C4686" s="1390" t="str">
        <f>Risk_Compensation!$B$1</f>
        <v xml:space="preserve">Risikoausgleich </v>
      </c>
      <c r="D4686" s="2205" t="s">
        <v>2572</v>
      </c>
      <c r="E4686" s="1390">
        <f>Risk_Compensation!$G38</f>
        <v>21</v>
      </c>
      <c r="F4686" s="1390" t="str">
        <f>Risk_Compensation!$AB$17</f>
        <v>TI</v>
      </c>
      <c r="G4686" s="1390"/>
      <c r="H4686" s="1077">
        <f>Risk_Compensation!$AB38</f>
        <v>0</v>
      </c>
    </row>
    <row r="4687" spans="1:8" x14ac:dyDescent="0.2">
      <c r="A4687" s="1027"/>
      <c r="B4687" s="1083">
        <f>Risk_Compensation!A$1</f>
        <v>36</v>
      </c>
      <c r="C4687" s="1390" t="str">
        <f>Risk_Compensation!$B$1</f>
        <v xml:space="preserve">Risikoausgleich </v>
      </c>
      <c r="D4687" s="2205" t="s">
        <v>2572</v>
      </c>
      <c r="E4687" s="1390">
        <f>Risk_Compensation!$G39</f>
        <v>22</v>
      </c>
      <c r="F4687" s="1390" t="str">
        <f>Risk_Compensation!$AB$17</f>
        <v>TI</v>
      </c>
      <c r="G4687" s="1390"/>
      <c r="H4687" s="1077">
        <f>Risk_Compensation!$AB39</f>
        <v>0</v>
      </c>
    </row>
    <row r="4688" spans="1:8" x14ac:dyDescent="0.2">
      <c r="A4688" s="1027"/>
      <c r="B4688" s="1083">
        <f>Risk_Compensation!A$1</f>
        <v>36</v>
      </c>
      <c r="C4688" s="1390" t="str">
        <f>Risk_Compensation!$B$1</f>
        <v xml:space="preserve">Risikoausgleich </v>
      </c>
      <c r="D4688" s="2205" t="s">
        <v>2572</v>
      </c>
      <c r="E4688" s="1390">
        <f>Risk_Compensation!$G40</f>
        <v>23</v>
      </c>
      <c r="F4688" s="1390" t="str">
        <f>Risk_Compensation!$AB$17</f>
        <v>TI</v>
      </c>
      <c r="G4688" s="1390"/>
      <c r="H4688" s="1077">
        <f>Risk_Compensation!$AB40</f>
        <v>0</v>
      </c>
    </row>
    <row r="4689" spans="1:8" x14ac:dyDescent="0.2">
      <c r="A4689" s="1027"/>
      <c r="B4689" s="1083">
        <f>Risk_Compensation!A$1</f>
        <v>36</v>
      </c>
      <c r="C4689" s="1390" t="str">
        <f>Risk_Compensation!$B$1</f>
        <v xml:space="preserve">Risikoausgleich </v>
      </c>
      <c r="D4689" s="2205" t="s">
        <v>2572</v>
      </c>
      <c r="E4689" s="1390">
        <f>Risk_Compensation!$G41</f>
        <v>24</v>
      </c>
      <c r="F4689" s="1390" t="str">
        <f>Risk_Compensation!$AB$17</f>
        <v>TI</v>
      </c>
      <c r="G4689" s="1390"/>
      <c r="H4689" s="1077">
        <f>Risk_Compensation!$AB41</f>
        <v>0</v>
      </c>
    </row>
    <row r="4690" spans="1:8" x14ac:dyDescent="0.2">
      <c r="A4690" s="1027"/>
      <c r="B4690" s="1083">
        <f>Risk_Compensation!A$1</f>
        <v>36</v>
      </c>
      <c r="C4690" s="1390" t="str">
        <f>Risk_Compensation!$B$1</f>
        <v xml:space="preserve">Risikoausgleich </v>
      </c>
      <c r="D4690" s="2205" t="s">
        <v>2572</v>
      </c>
      <c r="E4690" s="1390">
        <f>Risk_Compensation!$G42</f>
        <v>25</v>
      </c>
      <c r="F4690" s="1390" t="str">
        <f>Risk_Compensation!$AB$17</f>
        <v>TI</v>
      </c>
      <c r="G4690" s="1390"/>
      <c r="H4690" s="1077">
        <f>Risk_Compensation!$AB42</f>
        <v>0</v>
      </c>
    </row>
    <row r="4691" spans="1:8" x14ac:dyDescent="0.2">
      <c r="A4691" s="1027"/>
      <c r="B4691" s="1083">
        <f>Risk_Compensation!A$1</f>
        <v>36</v>
      </c>
      <c r="C4691" s="1390" t="str">
        <f>Risk_Compensation!$B$1</f>
        <v xml:space="preserve">Risikoausgleich </v>
      </c>
      <c r="D4691" s="2205" t="s">
        <v>2572</v>
      </c>
      <c r="E4691" s="1390">
        <f>Risk_Compensation!$G43</f>
        <v>26</v>
      </c>
      <c r="F4691" s="1390" t="str">
        <f>Risk_Compensation!$AB$17</f>
        <v>TI</v>
      </c>
      <c r="G4691" s="1390"/>
      <c r="H4691" s="1077">
        <f>Risk_Compensation!$AB43</f>
        <v>0</v>
      </c>
    </row>
    <row r="4692" spans="1:8" x14ac:dyDescent="0.2">
      <c r="A4692" s="1027"/>
      <c r="B4692" s="1083">
        <f>Risk_Compensation!A$1</f>
        <v>36</v>
      </c>
      <c r="C4692" s="1390" t="str">
        <f>Risk_Compensation!$B$1</f>
        <v xml:space="preserve">Risikoausgleich </v>
      </c>
      <c r="D4692" s="2205" t="s">
        <v>2572</v>
      </c>
      <c r="E4692" s="1390">
        <f>Risk_Compensation!$G44</f>
        <v>27</v>
      </c>
      <c r="F4692" s="1390" t="str">
        <f>Risk_Compensation!$AB$17</f>
        <v>TI</v>
      </c>
      <c r="G4692" s="1390"/>
      <c r="H4692" s="1077">
        <f>Risk_Compensation!$AB44</f>
        <v>0</v>
      </c>
    </row>
    <row r="4693" spans="1:8" x14ac:dyDescent="0.2">
      <c r="A4693" s="1027"/>
      <c r="B4693" s="1083">
        <f>Risk_Compensation!A$1</f>
        <v>36</v>
      </c>
      <c r="C4693" s="1390" t="str">
        <f>Risk_Compensation!$B$1</f>
        <v xml:space="preserve">Risikoausgleich </v>
      </c>
      <c r="D4693" s="2205" t="s">
        <v>2572</v>
      </c>
      <c r="E4693" s="1390">
        <f>Risk_Compensation!$G45</f>
        <v>28</v>
      </c>
      <c r="F4693" s="1390" t="str">
        <f>Risk_Compensation!$AB$17</f>
        <v>TI</v>
      </c>
      <c r="G4693" s="1390"/>
      <c r="H4693" s="1077">
        <f>Risk_Compensation!$AB45</f>
        <v>0</v>
      </c>
    </row>
    <row r="4694" spans="1:8" x14ac:dyDescent="0.2">
      <c r="A4694" s="1027"/>
      <c r="B4694" s="1083">
        <f>Risk_Compensation!A$1</f>
        <v>36</v>
      </c>
      <c r="C4694" s="1390" t="str">
        <f>Risk_Compensation!$B$1</f>
        <v xml:space="preserve">Risikoausgleich </v>
      </c>
      <c r="D4694" s="2205" t="s">
        <v>2572</v>
      </c>
      <c r="E4694" s="1390">
        <f>Risk_Compensation!$G46</f>
        <v>29</v>
      </c>
      <c r="F4694" s="1390" t="str">
        <f>Risk_Compensation!$AB$17</f>
        <v>TI</v>
      </c>
      <c r="G4694" s="1390"/>
      <c r="H4694" s="1077">
        <f>Risk_Compensation!$AB46</f>
        <v>0</v>
      </c>
    </row>
    <row r="4695" spans="1:8" x14ac:dyDescent="0.2">
      <c r="A4695" s="1027"/>
      <c r="B4695" s="1083">
        <f>Risk_Compensation!A$1</f>
        <v>36</v>
      </c>
      <c r="C4695" s="1390" t="str">
        <f>Risk_Compensation!$B$1</f>
        <v xml:space="preserve">Risikoausgleich </v>
      </c>
      <c r="D4695" s="2205" t="s">
        <v>2572</v>
      </c>
      <c r="E4695" s="1390">
        <f>Risk_Compensation!$G47</f>
        <v>30</v>
      </c>
      <c r="F4695" s="1390" t="str">
        <f>Risk_Compensation!$AB$17</f>
        <v>TI</v>
      </c>
      <c r="G4695" s="1390"/>
      <c r="H4695" s="1077">
        <f>Risk_Compensation!$AB47</f>
        <v>0</v>
      </c>
    </row>
    <row r="4696" spans="1:8" x14ac:dyDescent="0.2">
      <c r="A4696" s="1027"/>
      <c r="B4696" s="1083">
        <f>Risk_Compensation!A$1</f>
        <v>36</v>
      </c>
      <c r="C4696" s="1390" t="str">
        <f>Risk_Compensation!$B$1</f>
        <v xml:space="preserve">Risikoausgleich </v>
      </c>
      <c r="D4696" s="2205" t="s">
        <v>2572</v>
      </c>
      <c r="E4696" s="1390">
        <f>Risk_Compensation!$G48</f>
        <v>31</v>
      </c>
      <c r="F4696" s="1390" t="str">
        <f>Risk_Compensation!$AB$17</f>
        <v>TI</v>
      </c>
      <c r="G4696" s="1390"/>
      <c r="H4696" s="1077">
        <f>Risk_Compensation!$AB48</f>
        <v>0</v>
      </c>
    </row>
    <row r="4697" spans="1:8" x14ac:dyDescent="0.2">
      <c r="A4697" s="1027"/>
      <c r="B4697" s="1083">
        <f>Risk_Compensation!A$1</f>
        <v>36</v>
      </c>
      <c r="C4697" s="1390" t="str">
        <f>Risk_Compensation!$B$1</f>
        <v xml:space="preserve">Risikoausgleich </v>
      </c>
      <c r="D4697" s="2205" t="s">
        <v>2572</v>
      </c>
      <c r="E4697" s="1390">
        <f>Risk_Compensation!$G49</f>
        <v>32</v>
      </c>
      <c r="F4697" s="1390" t="str">
        <f>Risk_Compensation!$AB$17</f>
        <v>TI</v>
      </c>
      <c r="G4697" s="1390"/>
      <c r="H4697" s="1077">
        <f>Risk_Compensation!$AB49</f>
        <v>0</v>
      </c>
    </row>
    <row r="4698" spans="1:8" x14ac:dyDescent="0.2">
      <c r="A4698" s="1027"/>
      <c r="B4698" s="1083">
        <f>Risk_Compensation!A$1</f>
        <v>36</v>
      </c>
      <c r="C4698" s="1390" t="str">
        <f>Risk_Compensation!$B$1</f>
        <v xml:space="preserve">Risikoausgleich </v>
      </c>
      <c r="D4698" s="2205" t="s">
        <v>2572</v>
      </c>
      <c r="E4698" s="1390">
        <f>Risk_Compensation!$G50</f>
        <v>33</v>
      </c>
      <c r="F4698" s="1390" t="str">
        <f>Risk_Compensation!$AB$17</f>
        <v>TI</v>
      </c>
      <c r="G4698" s="1390"/>
      <c r="H4698" s="1077">
        <f>Risk_Compensation!$AB50</f>
        <v>0</v>
      </c>
    </row>
    <row r="4699" spans="1:8" x14ac:dyDescent="0.2">
      <c r="A4699" s="1027"/>
      <c r="B4699" s="1083">
        <f>Risk_Compensation!A$1</f>
        <v>36</v>
      </c>
      <c r="C4699" s="1390" t="str">
        <f>Risk_Compensation!$B$1</f>
        <v xml:space="preserve">Risikoausgleich </v>
      </c>
      <c r="D4699" s="2205" t="s">
        <v>2572</v>
      </c>
      <c r="E4699" s="1390">
        <f>Risk_Compensation!$G51</f>
        <v>34</v>
      </c>
      <c r="F4699" s="1390" t="str">
        <f>Risk_Compensation!$AB$17</f>
        <v>TI</v>
      </c>
      <c r="G4699" s="1390"/>
      <c r="H4699" s="1077">
        <f>Risk_Compensation!$AB51</f>
        <v>0</v>
      </c>
    </row>
    <row r="4700" spans="1:8" x14ac:dyDescent="0.2">
      <c r="A4700" s="1027"/>
      <c r="B4700" s="1083">
        <f>Risk_Compensation!A$1</f>
        <v>36</v>
      </c>
      <c r="C4700" s="1390" t="str">
        <f>Risk_Compensation!$B$1</f>
        <v xml:space="preserve">Risikoausgleich </v>
      </c>
      <c r="D4700" s="2205" t="s">
        <v>2572</v>
      </c>
      <c r="E4700" s="1390">
        <f>Risk_Compensation!$G52</f>
        <v>35</v>
      </c>
      <c r="F4700" s="1390" t="str">
        <f>Risk_Compensation!$AB$17</f>
        <v>TI</v>
      </c>
      <c r="G4700" s="1390"/>
      <c r="H4700" s="1077">
        <f>Risk_Compensation!$AB52</f>
        <v>0</v>
      </c>
    </row>
    <row r="4701" spans="1:8" x14ac:dyDescent="0.2">
      <c r="A4701" s="1027"/>
      <c r="B4701" s="1083">
        <f>Risk_Compensation!A$1</f>
        <v>36</v>
      </c>
      <c r="C4701" s="1390" t="str">
        <f>Risk_Compensation!$B$1</f>
        <v xml:space="preserve">Risikoausgleich </v>
      </c>
      <c r="D4701" s="2205" t="s">
        <v>2572</v>
      </c>
      <c r="E4701" s="1390">
        <f>Risk_Compensation!$G53</f>
        <v>36</v>
      </c>
      <c r="F4701" s="1390" t="str">
        <f>Risk_Compensation!$AB$17</f>
        <v>TI</v>
      </c>
      <c r="G4701" s="1390"/>
      <c r="H4701" s="1077">
        <f>Risk_Compensation!$AB53</f>
        <v>0</v>
      </c>
    </row>
    <row r="4702" spans="1:8" x14ac:dyDescent="0.2">
      <c r="A4702" s="1027"/>
      <c r="B4702" s="1083">
        <f>Risk_Compensation!A$1</f>
        <v>36</v>
      </c>
      <c r="C4702" s="1390" t="str">
        <f>Risk_Compensation!$B$1</f>
        <v xml:space="preserve">Risikoausgleich </v>
      </c>
      <c r="D4702" s="2205" t="s">
        <v>2572</v>
      </c>
      <c r="E4702" s="1390">
        <f>Risk_Compensation!$G54</f>
        <v>37</v>
      </c>
      <c r="F4702" s="1390" t="str">
        <f>Risk_Compensation!$AB$17</f>
        <v>TI</v>
      </c>
      <c r="G4702" s="1390"/>
      <c r="H4702" s="1077">
        <f>Risk_Compensation!$AB54</f>
        <v>0</v>
      </c>
    </row>
    <row r="4703" spans="1:8" x14ac:dyDescent="0.2">
      <c r="A4703" s="1027"/>
      <c r="B4703" s="1083">
        <f>Risk_Compensation!A$1</f>
        <v>36</v>
      </c>
      <c r="C4703" s="1390" t="str">
        <f>Risk_Compensation!$B$1</f>
        <v xml:space="preserve">Risikoausgleich </v>
      </c>
      <c r="D4703" s="2205" t="s">
        <v>2572</v>
      </c>
      <c r="E4703" s="1390">
        <f>Risk_Compensation!$G55</f>
        <v>38</v>
      </c>
      <c r="F4703" s="1390" t="str">
        <f>Risk_Compensation!$AB$17</f>
        <v>TI</v>
      </c>
      <c r="G4703" s="1390"/>
      <c r="H4703" s="1077">
        <f>Risk_Compensation!$AB55</f>
        <v>0</v>
      </c>
    </row>
    <row r="4704" spans="1:8" x14ac:dyDescent="0.2">
      <c r="A4704" s="1027"/>
      <c r="B4704" s="1083">
        <f>Risk_Compensation!A$1</f>
        <v>36</v>
      </c>
      <c r="C4704" s="1390" t="str">
        <f>Risk_Compensation!$B$1</f>
        <v xml:space="preserve">Risikoausgleich </v>
      </c>
      <c r="D4704" s="2205" t="s">
        <v>2572</v>
      </c>
      <c r="E4704" s="1390">
        <f>Risk_Compensation!$G56</f>
        <v>39</v>
      </c>
      <c r="F4704" s="1390" t="str">
        <f>Risk_Compensation!$AB$17</f>
        <v>TI</v>
      </c>
      <c r="G4704" s="1390"/>
      <c r="H4704" s="1077">
        <f>Risk_Compensation!$AB56</f>
        <v>0</v>
      </c>
    </row>
    <row r="4705" spans="1:8" x14ac:dyDescent="0.2">
      <c r="A4705" s="1027"/>
      <c r="B4705" s="1083">
        <f>Risk_Compensation!A$1</f>
        <v>36</v>
      </c>
      <c r="C4705" s="1390" t="str">
        <f>Risk_Compensation!$B$1</f>
        <v xml:space="preserve">Risikoausgleich </v>
      </c>
      <c r="D4705" s="2205" t="s">
        <v>2572</v>
      </c>
      <c r="E4705" s="1390">
        <f>Risk_Compensation!$G57</f>
        <v>40</v>
      </c>
      <c r="F4705" s="1390" t="str">
        <f>Risk_Compensation!$AB$17</f>
        <v>TI</v>
      </c>
      <c r="G4705" s="1390"/>
      <c r="H4705" s="1077">
        <f>Risk_Compensation!$AB57</f>
        <v>0</v>
      </c>
    </row>
    <row r="4706" spans="1:8" x14ac:dyDescent="0.2">
      <c r="A4706" s="1027"/>
      <c r="B4706" s="1083">
        <f>Risk_Compensation!A$1</f>
        <v>36</v>
      </c>
      <c r="C4706" s="1390" t="str">
        <f>Risk_Compensation!$B$1</f>
        <v xml:space="preserve">Risikoausgleich </v>
      </c>
      <c r="D4706" s="2205" t="s">
        <v>2572</v>
      </c>
      <c r="E4706" s="1390">
        <f>Risk_Compensation!$G58</f>
        <v>41</v>
      </c>
      <c r="F4706" s="1390" t="str">
        <f>Risk_Compensation!$AB$17</f>
        <v>TI</v>
      </c>
      <c r="G4706" s="1390"/>
      <c r="H4706" s="1077">
        <f>Risk_Compensation!$AB58</f>
        <v>0</v>
      </c>
    </row>
    <row r="4707" spans="1:8" x14ac:dyDescent="0.2">
      <c r="A4707" s="1027"/>
      <c r="B4707" s="1083">
        <f>Risk_Compensation!A$1</f>
        <v>36</v>
      </c>
      <c r="C4707" s="1390" t="str">
        <f>Risk_Compensation!$B$1</f>
        <v xml:space="preserve">Risikoausgleich </v>
      </c>
      <c r="D4707" s="2205" t="s">
        <v>2572</v>
      </c>
      <c r="E4707" s="1390">
        <f>Risk_Compensation!$G59</f>
        <v>42</v>
      </c>
      <c r="F4707" s="1390" t="str">
        <f>Risk_Compensation!$AB$17</f>
        <v>TI</v>
      </c>
      <c r="G4707" s="1390"/>
      <c r="H4707" s="1077">
        <f>Risk_Compensation!$AB59</f>
        <v>0</v>
      </c>
    </row>
    <row r="4708" spans="1:8" x14ac:dyDescent="0.2">
      <c r="A4708" s="1027"/>
      <c r="B4708" s="1083">
        <f>Risk_Compensation!A$1</f>
        <v>36</v>
      </c>
      <c r="C4708" s="1390" t="str">
        <f>Risk_Compensation!$B$1</f>
        <v xml:space="preserve">Risikoausgleich </v>
      </c>
      <c r="D4708" s="2205" t="s">
        <v>2572</v>
      </c>
      <c r="E4708" s="1390">
        <f>Risk_Compensation!$G60</f>
        <v>43</v>
      </c>
      <c r="F4708" s="1390" t="str">
        <f>Risk_Compensation!$AB$17</f>
        <v>TI</v>
      </c>
      <c r="G4708" s="1390"/>
      <c r="H4708" s="1077">
        <f>Risk_Compensation!$AB60</f>
        <v>0</v>
      </c>
    </row>
    <row r="4709" spans="1:8" x14ac:dyDescent="0.2">
      <c r="A4709" s="1027"/>
      <c r="B4709" s="1083">
        <f>Risk_Compensation!A$1</f>
        <v>36</v>
      </c>
      <c r="C4709" s="1390" t="str">
        <f>Risk_Compensation!$B$1</f>
        <v xml:space="preserve">Risikoausgleich </v>
      </c>
      <c r="D4709" s="2205" t="s">
        <v>2572</v>
      </c>
      <c r="E4709" s="1390">
        <f>Risk_Compensation!$G61</f>
        <v>44</v>
      </c>
      <c r="F4709" s="1390" t="str">
        <f>Risk_Compensation!$AB$17</f>
        <v>TI</v>
      </c>
      <c r="G4709" s="1390"/>
      <c r="H4709" s="1077">
        <f>Risk_Compensation!$AB61</f>
        <v>0</v>
      </c>
    </row>
    <row r="4710" spans="1:8" x14ac:dyDescent="0.2">
      <c r="A4710" s="1027"/>
      <c r="B4710" s="1083">
        <f>Risk_Compensation!A$1</f>
        <v>36</v>
      </c>
      <c r="C4710" s="1390" t="str">
        <f>Risk_Compensation!$B$1</f>
        <v xml:space="preserve">Risikoausgleich </v>
      </c>
      <c r="D4710" s="2205" t="s">
        <v>2572</v>
      </c>
      <c r="E4710" s="1390">
        <f>Risk_Compensation!$G62</f>
        <v>45</v>
      </c>
      <c r="F4710" s="1390" t="str">
        <f>Risk_Compensation!$AB$17</f>
        <v>TI</v>
      </c>
      <c r="G4710" s="1390"/>
      <c r="H4710" s="1077">
        <f>Risk_Compensation!$AB62</f>
        <v>0</v>
      </c>
    </row>
    <row r="4711" spans="1:8" x14ac:dyDescent="0.2">
      <c r="A4711" s="1027"/>
      <c r="B4711" s="1083">
        <f>Risk_Compensation!A$1</f>
        <v>36</v>
      </c>
      <c r="C4711" s="1390" t="str">
        <f>Risk_Compensation!$B$1</f>
        <v xml:space="preserve">Risikoausgleich </v>
      </c>
      <c r="D4711" s="2205" t="s">
        <v>2572</v>
      </c>
      <c r="E4711" s="1390">
        <f>Risk_Compensation!$G63</f>
        <v>46</v>
      </c>
      <c r="F4711" s="1390" t="str">
        <f>Risk_Compensation!$AB$17</f>
        <v>TI</v>
      </c>
      <c r="G4711" s="1390"/>
      <c r="H4711" s="1077">
        <f>Risk_Compensation!$AB63</f>
        <v>0</v>
      </c>
    </row>
    <row r="4712" spans="1:8" x14ac:dyDescent="0.2">
      <c r="A4712" s="1027"/>
      <c r="B4712" s="1083">
        <f>Risk_Compensation!A$1</f>
        <v>36</v>
      </c>
      <c r="C4712" s="1390" t="str">
        <f>Risk_Compensation!$B$1</f>
        <v xml:space="preserve">Risikoausgleich </v>
      </c>
      <c r="D4712" s="2205" t="s">
        <v>2572</v>
      </c>
      <c r="E4712" s="1390">
        <f>Risk_Compensation!$G64</f>
        <v>47</v>
      </c>
      <c r="F4712" s="1390" t="str">
        <f>Risk_Compensation!$AB$17</f>
        <v>TI</v>
      </c>
      <c r="G4712" s="1390"/>
      <c r="H4712" s="1077">
        <f>Risk_Compensation!$AB64</f>
        <v>0</v>
      </c>
    </row>
    <row r="4713" spans="1:8" x14ac:dyDescent="0.2">
      <c r="A4713" s="1027"/>
      <c r="B4713" s="1083">
        <f>Risk_Compensation!A$1</f>
        <v>36</v>
      </c>
      <c r="C4713" s="1390" t="str">
        <f>Risk_Compensation!$B$1</f>
        <v xml:space="preserve">Risikoausgleich </v>
      </c>
      <c r="D4713" s="2205" t="s">
        <v>2572</v>
      </c>
      <c r="E4713" s="1390">
        <f>Risk_Compensation!$G65</f>
        <v>48</v>
      </c>
      <c r="F4713" s="1390" t="str">
        <f>Risk_Compensation!$AB$17</f>
        <v>TI</v>
      </c>
      <c r="G4713" s="1390"/>
      <c r="H4713" s="1077">
        <f>Risk_Compensation!$AB65</f>
        <v>0</v>
      </c>
    </row>
    <row r="4714" spans="1:8" x14ac:dyDescent="0.2">
      <c r="A4714" s="1027"/>
      <c r="B4714" s="1083">
        <f>Risk_Compensation!A$1</f>
        <v>36</v>
      </c>
      <c r="C4714" s="1390" t="str">
        <f>Risk_Compensation!$B$1</f>
        <v xml:space="preserve">Risikoausgleich </v>
      </c>
      <c r="D4714" s="2205" t="s">
        <v>2572</v>
      </c>
      <c r="E4714" s="1390">
        <f>Risk_Compensation!$G66</f>
        <v>49</v>
      </c>
      <c r="F4714" s="1390" t="str">
        <f>Risk_Compensation!$AB$17</f>
        <v>TI</v>
      </c>
      <c r="G4714" s="1390"/>
      <c r="H4714" s="1077">
        <f>Risk_Compensation!$AB66</f>
        <v>0</v>
      </c>
    </row>
    <row r="4715" spans="1:8" x14ac:dyDescent="0.2">
      <c r="A4715" s="1027"/>
      <c r="B4715" s="1083">
        <f>Risk_Compensation!A$1</f>
        <v>36</v>
      </c>
      <c r="C4715" s="1390" t="str">
        <f>Risk_Compensation!$B$1</f>
        <v xml:space="preserve">Risikoausgleich </v>
      </c>
      <c r="D4715" s="2205" t="s">
        <v>2572</v>
      </c>
      <c r="E4715" s="1390">
        <f>Risk_Compensation!$G67</f>
        <v>50</v>
      </c>
      <c r="F4715" s="1390" t="str">
        <f>Risk_Compensation!$AB$17</f>
        <v>TI</v>
      </c>
      <c r="G4715" s="1390"/>
      <c r="H4715" s="1077">
        <f>Risk_Compensation!$AB67</f>
        <v>0</v>
      </c>
    </row>
    <row r="4716" spans="1:8" x14ac:dyDescent="0.2">
      <c r="A4716" s="1027"/>
      <c r="B4716" s="1083">
        <f>Risk_Compensation!A$1</f>
        <v>36</v>
      </c>
      <c r="C4716" s="1390" t="str">
        <f>Risk_Compensation!$B$1</f>
        <v xml:space="preserve">Risikoausgleich </v>
      </c>
      <c r="D4716" s="2205" t="s">
        <v>2572</v>
      </c>
      <c r="E4716" s="1390">
        <f>Risk_Compensation!$G68</f>
        <v>51</v>
      </c>
      <c r="F4716" s="1390" t="str">
        <f>Risk_Compensation!$AB$17</f>
        <v>TI</v>
      </c>
      <c r="G4716" s="1390"/>
      <c r="H4716" s="1077">
        <f>Risk_Compensation!$AB68</f>
        <v>0</v>
      </c>
    </row>
    <row r="4717" spans="1:8" x14ac:dyDescent="0.2">
      <c r="A4717" s="1027"/>
      <c r="B4717" s="1083">
        <f>Risk_Compensation!A$1</f>
        <v>36</v>
      </c>
      <c r="C4717" s="1390" t="str">
        <f>Risk_Compensation!$B$1</f>
        <v xml:space="preserve">Risikoausgleich </v>
      </c>
      <c r="D4717" s="2205" t="s">
        <v>2572</v>
      </c>
      <c r="E4717" s="1390">
        <f>Risk_Compensation!$G69</f>
        <v>52</v>
      </c>
      <c r="F4717" s="1390" t="str">
        <f>Risk_Compensation!$AB$17</f>
        <v>TI</v>
      </c>
      <c r="G4717" s="1390"/>
      <c r="H4717" s="1077">
        <f>Risk_Compensation!$AB69</f>
        <v>0</v>
      </c>
    </row>
    <row r="4718" spans="1:8" x14ac:dyDescent="0.2">
      <c r="A4718" s="1027"/>
      <c r="B4718" s="1083">
        <f>Risk_Compensation!A$1</f>
        <v>36</v>
      </c>
      <c r="C4718" s="1390" t="str">
        <f>Risk_Compensation!$B$1</f>
        <v xml:space="preserve">Risikoausgleich </v>
      </c>
      <c r="D4718" s="2205" t="s">
        <v>2572</v>
      </c>
      <c r="E4718" s="1390">
        <f>Risk_Compensation!$G70</f>
        <v>53</v>
      </c>
      <c r="F4718" s="1390" t="str">
        <f>Risk_Compensation!$AB$17</f>
        <v>TI</v>
      </c>
      <c r="G4718" s="1390"/>
      <c r="H4718" s="1077">
        <f>Risk_Compensation!$AB70</f>
        <v>0</v>
      </c>
    </row>
    <row r="4719" spans="1:8" x14ac:dyDescent="0.2">
      <c r="A4719" s="1027"/>
      <c r="B4719" s="1083">
        <f>Risk_Compensation!A$1</f>
        <v>36</v>
      </c>
      <c r="C4719" s="1390" t="str">
        <f>Risk_Compensation!$B$1</f>
        <v xml:space="preserve">Risikoausgleich </v>
      </c>
      <c r="D4719" s="2205" t="s">
        <v>2572</v>
      </c>
      <c r="E4719" s="1390">
        <f>Risk_Compensation!$G71</f>
        <v>54</v>
      </c>
      <c r="F4719" s="1390" t="str">
        <f>Risk_Compensation!$AB$17</f>
        <v>TI</v>
      </c>
      <c r="G4719" s="1390"/>
      <c r="H4719" s="1077">
        <f>Risk_Compensation!$AB71</f>
        <v>0</v>
      </c>
    </row>
    <row r="4720" spans="1:8" x14ac:dyDescent="0.2">
      <c r="A4720" s="1027"/>
      <c r="B4720" s="1083">
        <f>Risk_Compensation!A$1</f>
        <v>36</v>
      </c>
      <c r="C4720" s="1390" t="str">
        <f>Risk_Compensation!$B$1</f>
        <v xml:space="preserve">Risikoausgleich </v>
      </c>
      <c r="D4720" s="2205" t="s">
        <v>2572</v>
      </c>
      <c r="E4720" s="1390">
        <f>Risk_Compensation!$G72</f>
        <v>55</v>
      </c>
      <c r="F4720" s="1390" t="str">
        <f>Risk_Compensation!$AB$17</f>
        <v>TI</v>
      </c>
      <c r="G4720" s="1390"/>
      <c r="H4720" s="1077">
        <f>Risk_Compensation!$AB72</f>
        <v>0</v>
      </c>
    </row>
    <row r="4721" spans="1:8" x14ac:dyDescent="0.2">
      <c r="A4721" s="1027"/>
      <c r="B4721" s="1083">
        <f>Risk_Compensation!A$1</f>
        <v>36</v>
      </c>
      <c r="C4721" s="1390" t="str">
        <f>Risk_Compensation!$B$1</f>
        <v xml:space="preserve">Risikoausgleich </v>
      </c>
      <c r="D4721" s="2205" t="s">
        <v>2572</v>
      </c>
      <c r="E4721" s="1390">
        <f>Risk_Compensation!$G73</f>
        <v>56</v>
      </c>
      <c r="F4721" s="1390" t="str">
        <f>Risk_Compensation!$AB$17</f>
        <v>TI</v>
      </c>
      <c r="G4721" s="1390"/>
      <c r="H4721" s="1077">
        <f>Risk_Compensation!$AB73</f>
        <v>0</v>
      </c>
    </row>
    <row r="4722" spans="1:8" x14ac:dyDescent="0.2">
      <c r="A4722" s="1027"/>
      <c r="B4722" s="1083">
        <f>Risk_Compensation!A$1</f>
        <v>36</v>
      </c>
      <c r="C4722" s="1390" t="str">
        <f>Risk_Compensation!$B$1</f>
        <v xml:space="preserve">Risikoausgleich </v>
      </c>
      <c r="D4722" s="2205" t="s">
        <v>2572</v>
      </c>
      <c r="E4722" s="1390">
        <f>Risk_Compensation!$G74</f>
        <v>57</v>
      </c>
      <c r="F4722" s="1390" t="str">
        <f>Risk_Compensation!$AB$17</f>
        <v>TI</v>
      </c>
      <c r="G4722" s="1390"/>
      <c r="H4722" s="1077">
        <f>Risk_Compensation!$AB74</f>
        <v>0</v>
      </c>
    </row>
    <row r="4723" spans="1:8" x14ac:dyDescent="0.2">
      <c r="A4723" s="1027"/>
      <c r="B4723" s="1083">
        <f>Risk_Compensation!A$1</f>
        <v>36</v>
      </c>
      <c r="C4723" s="1390" t="str">
        <f>Risk_Compensation!$B$1</f>
        <v xml:space="preserve">Risikoausgleich </v>
      </c>
      <c r="D4723" s="2205" t="s">
        <v>2572</v>
      </c>
      <c r="E4723" s="1390">
        <f>Risk_Compensation!$G75</f>
        <v>58</v>
      </c>
      <c r="F4723" s="1390" t="str">
        <f>Risk_Compensation!$AB$17</f>
        <v>TI</v>
      </c>
      <c r="G4723" s="1390"/>
      <c r="H4723" s="1077">
        <f>Risk_Compensation!$AB75</f>
        <v>0</v>
      </c>
    </row>
    <row r="4724" spans="1:8" x14ac:dyDescent="0.2">
      <c r="A4724" s="1027"/>
      <c r="B4724" s="1083">
        <f>Risk_Compensation!A$1</f>
        <v>36</v>
      </c>
      <c r="C4724" s="1390" t="str">
        <f>Risk_Compensation!$B$1</f>
        <v xml:space="preserve">Risikoausgleich </v>
      </c>
      <c r="D4724" s="2205" t="s">
        <v>2572</v>
      </c>
      <c r="E4724" s="1390">
        <f>Risk_Compensation!$G76</f>
        <v>59</v>
      </c>
      <c r="F4724" s="1390" t="str">
        <f>Risk_Compensation!$AB$17</f>
        <v>TI</v>
      </c>
      <c r="G4724" s="1390"/>
      <c r="H4724" s="1077">
        <f>Risk_Compensation!$AB76</f>
        <v>0</v>
      </c>
    </row>
    <row r="4725" spans="1:8" x14ac:dyDescent="0.2">
      <c r="A4725" s="1027"/>
      <c r="B4725" s="1083">
        <f>Risk_Compensation!A$1</f>
        <v>36</v>
      </c>
      <c r="C4725" s="1390" t="str">
        <f>Risk_Compensation!$B$1</f>
        <v xml:space="preserve">Risikoausgleich </v>
      </c>
      <c r="D4725" s="2205" t="s">
        <v>2572</v>
      </c>
      <c r="E4725" s="1390">
        <f>Risk_Compensation!$G77</f>
        <v>60</v>
      </c>
      <c r="F4725" s="1390" t="str">
        <f>Risk_Compensation!$AB$17</f>
        <v>TI</v>
      </c>
      <c r="G4725" s="1390"/>
      <c r="H4725" s="1077">
        <f>Risk_Compensation!$AB77</f>
        <v>0</v>
      </c>
    </row>
    <row r="4726" spans="1:8" x14ac:dyDescent="0.2">
      <c r="A4726" s="1027"/>
      <c r="B4726" s="2174"/>
      <c r="C4726" s="1390"/>
      <c r="D4726" s="2175"/>
      <c r="E4726" s="2176"/>
      <c r="F4726" s="1390"/>
      <c r="G4726" s="1390"/>
      <c r="H4726" s="1078"/>
    </row>
    <row r="4727" spans="1:8" x14ac:dyDescent="0.2">
      <c r="A4727" s="1027"/>
      <c r="B4727" s="1083">
        <f>Risk_Compensation!A$1</f>
        <v>36</v>
      </c>
      <c r="C4727" s="1390" t="str">
        <f>Risk_Compensation!$B$1</f>
        <v xml:space="preserve">Risikoausgleich </v>
      </c>
      <c r="D4727" s="2205" t="s">
        <v>2572</v>
      </c>
      <c r="E4727" s="1390">
        <f>Risk_Compensation!$G18</f>
        <v>1</v>
      </c>
      <c r="F4727" s="1390" t="str">
        <f>Risk_Compensation!$AC$17</f>
        <v>UR</v>
      </c>
      <c r="G4727" s="1390"/>
      <c r="H4727" s="1077">
        <f>Risk_Compensation!$AC18</f>
        <v>0</v>
      </c>
    </row>
    <row r="4728" spans="1:8" x14ac:dyDescent="0.2">
      <c r="A4728" s="1027"/>
      <c r="B4728" s="1083">
        <f>Risk_Compensation!A$1</f>
        <v>36</v>
      </c>
      <c r="C4728" s="1390" t="str">
        <f>Risk_Compensation!$B$1</f>
        <v xml:space="preserve">Risikoausgleich </v>
      </c>
      <c r="D4728" s="2205" t="s">
        <v>2572</v>
      </c>
      <c r="E4728" s="1390">
        <f>Risk_Compensation!$G19</f>
        <v>2</v>
      </c>
      <c r="F4728" s="1390" t="str">
        <f>Risk_Compensation!$AC$17</f>
        <v>UR</v>
      </c>
      <c r="G4728" s="1390"/>
      <c r="H4728" s="1077">
        <f>Risk_Compensation!$AC19</f>
        <v>0</v>
      </c>
    </row>
    <row r="4729" spans="1:8" x14ac:dyDescent="0.2">
      <c r="A4729" s="1027"/>
      <c r="B4729" s="1083">
        <f>Risk_Compensation!A$1</f>
        <v>36</v>
      </c>
      <c r="C4729" s="1390" t="str">
        <f>Risk_Compensation!$B$1</f>
        <v xml:space="preserve">Risikoausgleich </v>
      </c>
      <c r="D4729" s="2205" t="s">
        <v>2572</v>
      </c>
      <c r="E4729" s="1390">
        <f>Risk_Compensation!$G20</f>
        <v>3</v>
      </c>
      <c r="F4729" s="1390" t="str">
        <f>Risk_Compensation!$AC$17</f>
        <v>UR</v>
      </c>
      <c r="G4729" s="1390"/>
      <c r="H4729" s="1077">
        <f>Risk_Compensation!$AC20</f>
        <v>0</v>
      </c>
    </row>
    <row r="4730" spans="1:8" x14ac:dyDescent="0.2">
      <c r="A4730" s="1027"/>
      <c r="B4730" s="1083">
        <f>Risk_Compensation!A$1</f>
        <v>36</v>
      </c>
      <c r="C4730" s="1390" t="str">
        <f>Risk_Compensation!$B$1</f>
        <v xml:space="preserve">Risikoausgleich </v>
      </c>
      <c r="D4730" s="2205" t="s">
        <v>2572</v>
      </c>
      <c r="E4730" s="1390">
        <f>Risk_Compensation!$G21</f>
        <v>4</v>
      </c>
      <c r="F4730" s="1390" t="str">
        <f>Risk_Compensation!$AC$17</f>
        <v>UR</v>
      </c>
      <c r="G4730" s="1390"/>
      <c r="H4730" s="1077">
        <f>Risk_Compensation!$AC21</f>
        <v>0</v>
      </c>
    </row>
    <row r="4731" spans="1:8" x14ac:dyDescent="0.2">
      <c r="A4731" s="1027"/>
      <c r="B4731" s="1083">
        <f>Risk_Compensation!A$1</f>
        <v>36</v>
      </c>
      <c r="C4731" s="1390" t="str">
        <f>Risk_Compensation!$B$1</f>
        <v xml:space="preserve">Risikoausgleich </v>
      </c>
      <c r="D4731" s="2205" t="s">
        <v>2572</v>
      </c>
      <c r="E4731" s="1390">
        <f>Risk_Compensation!$G22</f>
        <v>5</v>
      </c>
      <c r="F4731" s="1390" t="str">
        <f>Risk_Compensation!$AC$17</f>
        <v>UR</v>
      </c>
      <c r="G4731" s="1390"/>
      <c r="H4731" s="1077">
        <f>Risk_Compensation!$AC22</f>
        <v>0</v>
      </c>
    </row>
    <row r="4732" spans="1:8" x14ac:dyDescent="0.2">
      <c r="A4732" s="1027"/>
      <c r="B4732" s="1083">
        <f>Risk_Compensation!A$1</f>
        <v>36</v>
      </c>
      <c r="C4732" s="1390" t="str">
        <f>Risk_Compensation!$B$1</f>
        <v xml:space="preserve">Risikoausgleich </v>
      </c>
      <c r="D4732" s="2205" t="s">
        <v>2572</v>
      </c>
      <c r="E4732" s="1390">
        <f>Risk_Compensation!$G23</f>
        <v>6</v>
      </c>
      <c r="F4732" s="1390" t="str">
        <f>Risk_Compensation!$AC$17</f>
        <v>UR</v>
      </c>
      <c r="G4732" s="1390"/>
      <c r="H4732" s="1077">
        <f>Risk_Compensation!$AC23</f>
        <v>0</v>
      </c>
    </row>
    <row r="4733" spans="1:8" x14ac:dyDescent="0.2">
      <c r="A4733" s="1027"/>
      <c r="B4733" s="1083">
        <f>Risk_Compensation!A$1</f>
        <v>36</v>
      </c>
      <c r="C4733" s="1390" t="str">
        <f>Risk_Compensation!$B$1</f>
        <v xml:space="preserve">Risikoausgleich </v>
      </c>
      <c r="D4733" s="2205" t="s">
        <v>2572</v>
      </c>
      <c r="E4733" s="1390">
        <f>Risk_Compensation!$G24</f>
        <v>7</v>
      </c>
      <c r="F4733" s="1390" t="str">
        <f>Risk_Compensation!$AC$17</f>
        <v>UR</v>
      </c>
      <c r="G4733" s="1390"/>
      <c r="H4733" s="1077">
        <f>Risk_Compensation!$AC24</f>
        <v>0</v>
      </c>
    </row>
    <row r="4734" spans="1:8" x14ac:dyDescent="0.2">
      <c r="A4734" s="1027"/>
      <c r="B4734" s="1083">
        <f>Risk_Compensation!A$1</f>
        <v>36</v>
      </c>
      <c r="C4734" s="1390" t="str">
        <f>Risk_Compensation!$B$1</f>
        <v xml:space="preserve">Risikoausgleich </v>
      </c>
      <c r="D4734" s="2205" t="s">
        <v>2572</v>
      </c>
      <c r="E4734" s="1390">
        <f>Risk_Compensation!$G25</f>
        <v>8</v>
      </c>
      <c r="F4734" s="1390" t="str">
        <f>Risk_Compensation!$AC$17</f>
        <v>UR</v>
      </c>
      <c r="G4734" s="1390"/>
      <c r="H4734" s="1077">
        <f>Risk_Compensation!$AC25</f>
        <v>0</v>
      </c>
    </row>
    <row r="4735" spans="1:8" x14ac:dyDescent="0.2">
      <c r="A4735" s="1027"/>
      <c r="B4735" s="1083">
        <f>Risk_Compensation!A$1</f>
        <v>36</v>
      </c>
      <c r="C4735" s="1390" t="str">
        <f>Risk_Compensation!$B$1</f>
        <v xml:space="preserve">Risikoausgleich </v>
      </c>
      <c r="D4735" s="2205" t="s">
        <v>2572</v>
      </c>
      <c r="E4735" s="1390">
        <f>Risk_Compensation!$G26</f>
        <v>9</v>
      </c>
      <c r="F4735" s="1390" t="str">
        <f>Risk_Compensation!$AC$17</f>
        <v>UR</v>
      </c>
      <c r="G4735" s="1390"/>
      <c r="H4735" s="1077">
        <f>Risk_Compensation!$AC26</f>
        <v>0</v>
      </c>
    </row>
    <row r="4736" spans="1:8" x14ac:dyDescent="0.2">
      <c r="A4736" s="1027"/>
      <c r="B4736" s="1083">
        <f>Risk_Compensation!A$1</f>
        <v>36</v>
      </c>
      <c r="C4736" s="1390" t="str">
        <f>Risk_Compensation!$B$1</f>
        <v xml:space="preserve">Risikoausgleich </v>
      </c>
      <c r="D4736" s="2205" t="s">
        <v>2572</v>
      </c>
      <c r="E4736" s="1390">
        <f>Risk_Compensation!$G27</f>
        <v>10</v>
      </c>
      <c r="F4736" s="1390" t="str">
        <f>Risk_Compensation!$AC$17</f>
        <v>UR</v>
      </c>
      <c r="G4736" s="1390"/>
      <c r="H4736" s="1077">
        <f>Risk_Compensation!$AC27</f>
        <v>0</v>
      </c>
    </row>
    <row r="4737" spans="1:8" x14ac:dyDescent="0.2">
      <c r="A4737" s="1027"/>
      <c r="B4737" s="1083">
        <f>Risk_Compensation!A$1</f>
        <v>36</v>
      </c>
      <c r="C4737" s="1390" t="str">
        <f>Risk_Compensation!$B$1</f>
        <v xml:space="preserve">Risikoausgleich </v>
      </c>
      <c r="D4737" s="2205" t="s">
        <v>2572</v>
      </c>
      <c r="E4737" s="1390">
        <f>Risk_Compensation!$G28</f>
        <v>11</v>
      </c>
      <c r="F4737" s="1390" t="str">
        <f>Risk_Compensation!$AC$17</f>
        <v>UR</v>
      </c>
      <c r="G4737" s="1390"/>
      <c r="H4737" s="1077">
        <f>Risk_Compensation!$AC28</f>
        <v>0</v>
      </c>
    </row>
    <row r="4738" spans="1:8" x14ac:dyDescent="0.2">
      <c r="A4738" s="1027"/>
      <c r="B4738" s="1083">
        <f>Risk_Compensation!A$1</f>
        <v>36</v>
      </c>
      <c r="C4738" s="1390" t="str">
        <f>Risk_Compensation!$B$1</f>
        <v xml:space="preserve">Risikoausgleich </v>
      </c>
      <c r="D4738" s="2205" t="s">
        <v>2572</v>
      </c>
      <c r="E4738" s="1390">
        <f>Risk_Compensation!$G29</f>
        <v>12</v>
      </c>
      <c r="F4738" s="1390" t="str">
        <f>Risk_Compensation!$AC$17</f>
        <v>UR</v>
      </c>
      <c r="G4738" s="1390"/>
      <c r="H4738" s="1077">
        <f>Risk_Compensation!$AC29</f>
        <v>0</v>
      </c>
    </row>
    <row r="4739" spans="1:8" x14ac:dyDescent="0.2">
      <c r="A4739" s="1027"/>
      <c r="B4739" s="1083">
        <f>Risk_Compensation!A$1</f>
        <v>36</v>
      </c>
      <c r="C4739" s="1390" t="str">
        <f>Risk_Compensation!$B$1</f>
        <v xml:space="preserve">Risikoausgleich </v>
      </c>
      <c r="D4739" s="2205" t="s">
        <v>2572</v>
      </c>
      <c r="E4739" s="1390">
        <f>Risk_Compensation!$G30</f>
        <v>13</v>
      </c>
      <c r="F4739" s="1390" t="str">
        <f>Risk_Compensation!$AC$17</f>
        <v>UR</v>
      </c>
      <c r="G4739" s="1390"/>
      <c r="H4739" s="1077">
        <f>Risk_Compensation!$AC30</f>
        <v>0</v>
      </c>
    </row>
    <row r="4740" spans="1:8" x14ac:dyDescent="0.2">
      <c r="A4740" s="1027"/>
      <c r="B4740" s="1083">
        <f>Risk_Compensation!A$1</f>
        <v>36</v>
      </c>
      <c r="C4740" s="1390" t="str">
        <f>Risk_Compensation!$B$1</f>
        <v xml:space="preserve">Risikoausgleich </v>
      </c>
      <c r="D4740" s="2205" t="s">
        <v>2572</v>
      </c>
      <c r="E4740" s="1390">
        <f>Risk_Compensation!$G31</f>
        <v>14</v>
      </c>
      <c r="F4740" s="1390" t="str">
        <f>Risk_Compensation!$AC$17</f>
        <v>UR</v>
      </c>
      <c r="G4740" s="1390"/>
      <c r="H4740" s="1077">
        <f>Risk_Compensation!$AC31</f>
        <v>0</v>
      </c>
    </row>
    <row r="4741" spans="1:8" x14ac:dyDescent="0.2">
      <c r="A4741" s="1027"/>
      <c r="B4741" s="1083">
        <f>Risk_Compensation!A$1</f>
        <v>36</v>
      </c>
      <c r="C4741" s="1390" t="str">
        <f>Risk_Compensation!$B$1</f>
        <v xml:space="preserve">Risikoausgleich </v>
      </c>
      <c r="D4741" s="2205" t="s">
        <v>2572</v>
      </c>
      <c r="E4741" s="1390">
        <f>Risk_Compensation!$G32</f>
        <v>15</v>
      </c>
      <c r="F4741" s="1390" t="str">
        <f>Risk_Compensation!$AC$17</f>
        <v>UR</v>
      </c>
      <c r="G4741" s="1390"/>
      <c r="H4741" s="1077">
        <f>Risk_Compensation!$AC32</f>
        <v>0</v>
      </c>
    </row>
    <row r="4742" spans="1:8" x14ac:dyDescent="0.2">
      <c r="A4742" s="1027"/>
      <c r="B4742" s="1083">
        <f>Risk_Compensation!A$1</f>
        <v>36</v>
      </c>
      <c r="C4742" s="1390" t="str">
        <f>Risk_Compensation!$B$1</f>
        <v xml:space="preserve">Risikoausgleich </v>
      </c>
      <c r="D4742" s="2205" t="s">
        <v>2572</v>
      </c>
      <c r="E4742" s="1390">
        <f>Risk_Compensation!$G33</f>
        <v>16</v>
      </c>
      <c r="F4742" s="1390" t="str">
        <f>Risk_Compensation!$AC$17</f>
        <v>UR</v>
      </c>
      <c r="G4742" s="1390"/>
      <c r="H4742" s="1077">
        <f>Risk_Compensation!$AC33</f>
        <v>0</v>
      </c>
    </row>
    <row r="4743" spans="1:8" x14ac:dyDescent="0.2">
      <c r="A4743" s="1027"/>
      <c r="B4743" s="1083">
        <f>Risk_Compensation!A$1</f>
        <v>36</v>
      </c>
      <c r="C4743" s="1390" t="str">
        <f>Risk_Compensation!$B$1</f>
        <v xml:space="preserve">Risikoausgleich </v>
      </c>
      <c r="D4743" s="2205" t="s">
        <v>2572</v>
      </c>
      <c r="E4743" s="1390">
        <f>Risk_Compensation!$G34</f>
        <v>17</v>
      </c>
      <c r="F4743" s="1390" t="str">
        <f>Risk_Compensation!$AC$17</f>
        <v>UR</v>
      </c>
      <c r="G4743" s="1390"/>
      <c r="H4743" s="1077">
        <f>Risk_Compensation!$AC34</f>
        <v>0</v>
      </c>
    </row>
    <row r="4744" spans="1:8" x14ac:dyDescent="0.2">
      <c r="A4744" s="1027"/>
      <c r="B4744" s="1083">
        <f>Risk_Compensation!A$1</f>
        <v>36</v>
      </c>
      <c r="C4744" s="1390" t="str">
        <f>Risk_Compensation!$B$1</f>
        <v xml:space="preserve">Risikoausgleich </v>
      </c>
      <c r="D4744" s="2205" t="s">
        <v>2572</v>
      </c>
      <c r="E4744" s="1390">
        <f>Risk_Compensation!$G35</f>
        <v>18</v>
      </c>
      <c r="F4744" s="1390" t="str">
        <f>Risk_Compensation!$AC$17</f>
        <v>UR</v>
      </c>
      <c r="G4744" s="1390"/>
      <c r="H4744" s="1077">
        <f>Risk_Compensation!$AC35</f>
        <v>0</v>
      </c>
    </row>
    <row r="4745" spans="1:8" x14ac:dyDescent="0.2">
      <c r="A4745" s="1027"/>
      <c r="B4745" s="1083">
        <f>Risk_Compensation!A$1</f>
        <v>36</v>
      </c>
      <c r="C4745" s="1390" t="str">
        <f>Risk_Compensation!$B$1</f>
        <v xml:space="preserve">Risikoausgleich </v>
      </c>
      <c r="D4745" s="2205" t="s">
        <v>2572</v>
      </c>
      <c r="E4745" s="1390">
        <f>Risk_Compensation!$G36</f>
        <v>19</v>
      </c>
      <c r="F4745" s="1390" t="str">
        <f>Risk_Compensation!$AC$17</f>
        <v>UR</v>
      </c>
      <c r="G4745" s="1390"/>
      <c r="H4745" s="1077">
        <f>Risk_Compensation!$AC36</f>
        <v>0</v>
      </c>
    </row>
    <row r="4746" spans="1:8" x14ac:dyDescent="0.2">
      <c r="A4746" s="1027"/>
      <c r="B4746" s="1083">
        <f>Risk_Compensation!A$1</f>
        <v>36</v>
      </c>
      <c r="C4746" s="1390" t="str">
        <f>Risk_Compensation!$B$1</f>
        <v xml:space="preserve">Risikoausgleich </v>
      </c>
      <c r="D4746" s="2205" t="s">
        <v>2572</v>
      </c>
      <c r="E4746" s="1390">
        <f>Risk_Compensation!$G37</f>
        <v>20</v>
      </c>
      <c r="F4746" s="1390" t="str">
        <f>Risk_Compensation!$AC$17</f>
        <v>UR</v>
      </c>
      <c r="G4746" s="1390"/>
      <c r="H4746" s="1077">
        <f>Risk_Compensation!$AC37</f>
        <v>0</v>
      </c>
    </row>
    <row r="4747" spans="1:8" x14ac:dyDescent="0.2">
      <c r="A4747" s="1027"/>
      <c r="B4747" s="1083">
        <f>Risk_Compensation!A$1</f>
        <v>36</v>
      </c>
      <c r="C4747" s="1390" t="str">
        <f>Risk_Compensation!$B$1</f>
        <v xml:space="preserve">Risikoausgleich </v>
      </c>
      <c r="D4747" s="2205" t="s">
        <v>2572</v>
      </c>
      <c r="E4747" s="1390">
        <f>Risk_Compensation!$G38</f>
        <v>21</v>
      </c>
      <c r="F4747" s="1390" t="str">
        <f>Risk_Compensation!$AC$17</f>
        <v>UR</v>
      </c>
      <c r="G4747" s="1390"/>
      <c r="H4747" s="1077">
        <f>Risk_Compensation!$AC38</f>
        <v>0</v>
      </c>
    </row>
    <row r="4748" spans="1:8" x14ac:dyDescent="0.2">
      <c r="A4748" s="1027"/>
      <c r="B4748" s="1083">
        <f>Risk_Compensation!A$1</f>
        <v>36</v>
      </c>
      <c r="C4748" s="1390" t="str">
        <f>Risk_Compensation!$B$1</f>
        <v xml:space="preserve">Risikoausgleich </v>
      </c>
      <c r="D4748" s="2205" t="s">
        <v>2572</v>
      </c>
      <c r="E4748" s="1390">
        <f>Risk_Compensation!$G39</f>
        <v>22</v>
      </c>
      <c r="F4748" s="1390" t="str">
        <f>Risk_Compensation!$AC$17</f>
        <v>UR</v>
      </c>
      <c r="G4748" s="1390"/>
      <c r="H4748" s="1077">
        <f>Risk_Compensation!$AC39</f>
        <v>0</v>
      </c>
    </row>
    <row r="4749" spans="1:8" x14ac:dyDescent="0.2">
      <c r="A4749" s="1027"/>
      <c r="B4749" s="1083">
        <f>Risk_Compensation!A$1</f>
        <v>36</v>
      </c>
      <c r="C4749" s="1390" t="str">
        <f>Risk_Compensation!$B$1</f>
        <v xml:space="preserve">Risikoausgleich </v>
      </c>
      <c r="D4749" s="2205" t="s">
        <v>2572</v>
      </c>
      <c r="E4749" s="1390">
        <f>Risk_Compensation!$G40</f>
        <v>23</v>
      </c>
      <c r="F4749" s="1390" t="str">
        <f>Risk_Compensation!$AC$17</f>
        <v>UR</v>
      </c>
      <c r="G4749" s="1390"/>
      <c r="H4749" s="1077">
        <f>Risk_Compensation!$AC40</f>
        <v>0</v>
      </c>
    </row>
    <row r="4750" spans="1:8" x14ac:dyDescent="0.2">
      <c r="A4750" s="1027"/>
      <c r="B4750" s="1083">
        <f>Risk_Compensation!A$1</f>
        <v>36</v>
      </c>
      <c r="C4750" s="1390" t="str">
        <f>Risk_Compensation!$B$1</f>
        <v xml:space="preserve">Risikoausgleich </v>
      </c>
      <c r="D4750" s="2205" t="s">
        <v>2572</v>
      </c>
      <c r="E4750" s="1390">
        <f>Risk_Compensation!$G41</f>
        <v>24</v>
      </c>
      <c r="F4750" s="1390" t="str">
        <f>Risk_Compensation!$AC$17</f>
        <v>UR</v>
      </c>
      <c r="G4750" s="1390"/>
      <c r="H4750" s="1077">
        <f>Risk_Compensation!$AC41</f>
        <v>0</v>
      </c>
    </row>
    <row r="4751" spans="1:8" x14ac:dyDescent="0.2">
      <c r="A4751" s="1027"/>
      <c r="B4751" s="1083">
        <f>Risk_Compensation!A$1</f>
        <v>36</v>
      </c>
      <c r="C4751" s="1390" t="str">
        <f>Risk_Compensation!$B$1</f>
        <v xml:space="preserve">Risikoausgleich </v>
      </c>
      <c r="D4751" s="2205" t="s">
        <v>2572</v>
      </c>
      <c r="E4751" s="1390">
        <f>Risk_Compensation!$G42</f>
        <v>25</v>
      </c>
      <c r="F4751" s="1390" t="str">
        <f>Risk_Compensation!$AC$17</f>
        <v>UR</v>
      </c>
      <c r="G4751" s="1390"/>
      <c r="H4751" s="1077">
        <f>Risk_Compensation!$AC42</f>
        <v>0</v>
      </c>
    </row>
    <row r="4752" spans="1:8" x14ac:dyDescent="0.2">
      <c r="A4752" s="1027"/>
      <c r="B4752" s="1083">
        <f>Risk_Compensation!A$1</f>
        <v>36</v>
      </c>
      <c r="C4752" s="1390" t="str">
        <f>Risk_Compensation!$B$1</f>
        <v xml:space="preserve">Risikoausgleich </v>
      </c>
      <c r="D4752" s="2205" t="s">
        <v>2572</v>
      </c>
      <c r="E4752" s="1390">
        <f>Risk_Compensation!$G43</f>
        <v>26</v>
      </c>
      <c r="F4752" s="1390" t="str">
        <f>Risk_Compensation!$AC$17</f>
        <v>UR</v>
      </c>
      <c r="G4752" s="1390"/>
      <c r="H4752" s="1077">
        <f>Risk_Compensation!$AC43</f>
        <v>0</v>
      </c>
    </row>
    <row r="4753" spans="1:8" x14ac:dyDescent="0.2">
      <c r="A4753" s="1027"/>
      <c r="B4753" s="1083">
        <f>Risk_Compensation!A$1</f>
        <v>36</v>
      </c>
      <c r="C4753" s="1390" t="str">
        <f>Risk_Compensation!$B$1</f>
        <v xml:space="preserve">Risikoausgleich </v>
      </c>
      <c r="D4753" s="2205" t="s">
        <v>2572</v>
      </c>
      <c r="E4753" s="1390">
        <f>Risk_Compensation!$G44</f>
        <v>27</v>
      </c>
      <c r="F4753" s="1390" t="str">
        <f>Risk_Compensation!$AC$17</f>
        <v>UR</v>
      </c>
      <c r="G4753" s="1390"/>
      <c r="H4753" s="1077">
        <f>Risk_Compensation!$AC44</f>
        <v>0</v>
      </c>
    </row>
    <row r="4754" spans="1:8" x14ac:dyDescent="0.2">
      <c r="A4754" s="1027"/>
      <c r="B4754" s="1083">
        <f>Risk_Compensation!A$1</f>
        <v>36</v>
      </c>
      <c r="C4754" s="1390" t="str">
        <f>Risk_Compensation!$B$1</f>
        <v xml:space="preserve">Risikoausgleich </v>
      </c>
      <c r="D4754" s="2205" t="s">
        <v>2572</v>
      </c>
      <c r="E4754" s="1390">
        <f>Risk_Compensation!$G45</f>
        <v>28</v>
      </c>
      <c r="F4754" s="1390" t="str">
        <f>Risk_Compensation!$AC$17</f>
        <v>UR</v>
      </c>
      <c r="G4754" s="1390"/>
      <c r="H4754" s="1077">
        <f>Risk_Compensation!$AC45</f>
        <v>0</v>
      </c>
    </row>
    <row r="4755" spans="1:8" x14ac:dyDescent="0.2">
      <c r="A4755" s="1027"/>
      <c r="B4755" s="1083">
        <f>Risk_Compensation!A$1</f>
        <v>36</v>
      </c>
      <c r="C4755" s="1390" t="str">
        <f>Risk_Compensation!$B$1</f>
        <v xml:space="preserve">Risikoausgleich </v>
      </c>
      <c r="D4755" s="2205" t="s">
        <v>2572</v>
      </c>
      <c r="E4755" s="1390">
        <f>Risk_Compensation!$G46</f>
        <v>29</v>
      </c>
      <c r="F4755" s="1390" t="str">
        <f>Risk_Compensation!$AC$17</f>
        <v>UR</v>
      </c>
      <c r="G4755" s="1390"/>
      <c r="H4755" s="1077">
        <f>Risk_Compensation!$AC46</f>
        <v>0</v>
      </c>
    </row>
    <row r="4756" spans="1:8" x14ac:dyDescent="0.2">
      <c r="A4756" s="1027"/>
      <c r="B4756" s="1083">
        <f>Risk_Compensation!A$1</f>
        <v>36</v>
      </c>
      <c r="C4756" s="1390" t="str">
        <f>Risk_Compensation!$B$1</f>
        <v xml:space="preserve">Risikoausgleich </v>
      </c>
      <c r="D4756" s="2205" t="s">
        <v>2572</v>
      </c>
      <c r="E4756" s="1390">
        <f>Risk_Compensation!$G47</f>
        <v>30</v>
      </c>
      <c r="F4756" s="1390" t="str">
        <f>Risk_Compensation!$AC$17</f>
        <v>UR</v>
      </c>
      <c r="G4756" s="1390"/>
      <c r="H4756" s="1077">
        <f>Risk_Compensation!$AC47</f>
        <v>0</v>
      </c>
    </row>
    <row r="4757" spans="1:8" x14ac:dyDescent="0.2">
      <c r="A4757" s="1027"/>
      <c r="B4757" s="1083">
        <f>Risk_Compensation!A$1</f>
        <v>36</v>
      </c>
      <c r="C4757" s="1390" t="str">
        <f>Risk_Compensation!$B$1</f>
        <v xml:space="preserve">Risikoausgleich </v>
      </c>
      <c r="D4757" s="2205" t="s">
        <v>2572</v>
      </c>
      <c r="E4757" s="1390">
        <f>Risk_Compensation!$G48</f>
        <v>31</v>
      </c>
      <c r="F4757" s="1390" t="str">
        <f>Risk_Compensation!$AC$17</f>
        <v>UR</v>
      </c>
      <c r="G4757" s="1390"/>
      <c r="H4757" s="1077">
        <f>Risk_Compensation!$AC48</f>
        <v>0</v>
      </c>
    </row>
    <row r="4758" spans="1:8" x14ac:dyDescent="0.2">
      <c r="A4758" s="1027"/>
      <c r="B4758" s="1083">
        <f>Risk_Compensation!A$1</f>
        <v>36</v>
      </c>
      <c r="C4758" s="1390" t="str">
        <f>Risk_Compensation!$B$1</f>
        <v xml:space="preserve">Risikoausgleich </v>
      </c>
      <c r="D4758" s="2205" t="s">
        <v>2572</v>
      </c>
      <c r="E4758" s="1390">
        <f>Risk_Compensation!$G49</f>
        <v>32</v>
      </c>
      <c r="F4758" s="1390" t="str">
        <f>Risk_Compensation!$AC$17</f>
        <v>UR</v>
      </c>
      <c r="G4758" s="1390"/>
      <c r="H4758" s="1077">
        <f>Risk_Compensation!$AC49</f>
        <v>0</v>
      </c>
    </row>
    <row r="4759" spans="1:8" x14ac:dyDescent="0.2">
      <c r="A4759" s="1027"/>
      <c r="B4759" s="1083">
        <f>Risk_Compensation!A$1</f>
        <v>36</v>
      </c>
      <c r="C4759" s="1390" t="str">
        <f>Risk_Compensation!$B$1</f>
        <v xml:space="preserve">Risikoausgleich </v>
      </c>
      <c r="D4759" s="2205" t="s">
        <v>2572</v>
      </c>
      <c r="E4759" s="1390">
        <f>Risk_Compensation!$G50</f>
        <v>33</v>
      </c>
      <c r="F4759" s="1390" t="str">
        <f>Risk_Compensation!$AC$17</f>
        <v>UR</v>
      </c>
      <c r="G4759" s="1390"/>
      <c r="H4759" s="1077">
        <f>Risk_Compensation!$AC50</f>
        <v>0</v>
      </c>
    </row>
    <row r="4760" spans="1:8" x14ac:dyDescent="0.2">
      <c r="A4760" s="1027"/>
      <c r="B4760" s="1083">
        <f>Risk_Compensation!A$1</f>
        <v>36</v>
      </c>
      <c r="C4760" s="1390" t="str">
        <f>Risk_Compensation!$B$1</f>
        <v xml:space="preserve">Risikoausgleich </v>
      </c>
      <c r="D4760" s="2205" t="s">
        <v>2572</v>
      </c>
      <c r="E4760" s="1390">
        <f>Risk_Compensation!$G51</f>
        <v>34</v>
      </c>
      <c r="F4760" s="1390" t="str">
        <f>Risk_Compensation!$AC$17</f>
        <v>UR</v>
      </c>
      <c r="G4760" s="1390"/>
      <c r="H4760" s="1077">
        <f>Risk_Compensation!$AC51</f>
        <v>0</v>
      </c>
    </row>
    <row r="4761" spans="1:8" x14ac:dyDescent="0.2">
      <c r="A4761" s="1027"/>
      <c r="B4761" s="1083">
        <f>Risk_Compensation!A$1</f>
        <v>36</v>
      </c>
      <c r="C4761" s="1390" t="str">
        <f>Risk_Compensation!$B$1</f>
        <v xml:space="preserve">Risikoausgleich </v>
      </c>
      <c r="D4761" s="2205" t="s">
        <v>2572</v>
      </c>
      <c r="E4761" s="1390">
        <f>Risk_Compensation!$G52</f>
        <v>35</v>
      </c>
      <c r="F4761" s="1390" t="str">
        <f>Risk_Compensation!$AC$17</f>
        <v>UR</v>
      </c>
      <c r="G4761" s="1390"/>
      <c r="H4761" s="1077">
        <f>Risk_Compensation!$AC52</f>
        <v>0</v>
      </c>
    </row>
    <row r="4762" spans="1:8" x14ac:dyDescent="0.2">
      <c r="A4762" s="1027"/>
      <c r="B4762" s="1083">
        <f>Risk_Compensation!A$1</f>
        <v>36</v>
      </c>
      <c r="C4762" s="1390" t="str">
        <f>Risk_Compensation!$B$1</f>
        <v xml:space="preserve">Risikoausgleich </v>
      </c>
      <c r="D4762" s="2205" t="s">
        <v>2572</v>
      </c>
      <c r="E4762" s="1390">
        <f>Risk_Compensation!$G53</f>
        <v>36</v>
      </c>
      <c r="F4762" s="1390" t="str">
        <f>Risk_Compensation!$AC$17</f>
        <v>UR</v>
      </c>
      <c r="G4762" s="1390"/>
      <c r="H4762" s="1077">
        <f>Risk_Compensation!$AC53</f>
        <v>0</v>
      </c>
    </row>
    <row r="4763" spans="1:8" x14ac:dyDescent="0.2">
      <c r="A4763" s="1027"/>
      <c r="B4763" s="1083">
        <f>Risk_Compensation!A$1</f>
        <v>36</v>
      </c>
      <c r="C4763" s="1390" t="str">
        <f>Risk_Compensation!$B$1</f>
        <v xml:space="preserve">Risikoausgleich </v>
      </c>
      <c r="D4763" s="2205" t="s">
        <v>2572</v>
      </c>
      <c r="E4763" s="1390">
        <f>Risk_Compensation!$G54</f>
        <v>37</v>
      </c>
      <c r="F4763" s="1390" t="str">
        <f>Risk_Compensation!$AC$17</f>
        <v>UR</v>
      </c>
      <c r="G4763" s="1390"/>
      <c r="H4763" s="1077">
        <f>Risk_Compensation!$AC54</f>
        <v>0</v>
      </c>
    </row>
    <row r="4764" spans="1:8" x14ac:dyDescent="0.2">
      <c r="A4764" s="1027"/>
      <c r="B4764" s="1083">
        <f>Risk_Compensation!A$1</f>
        <v>36</v>
      </c>
      <c r="C4764" s="1390" t="str">
        <f>Risk_Compensation!$B$1</f>
        <v xml:space="preserve">Risikoausgleich </v>
      </c>
      <c r="D4764" s="2205" t="s">
        <v>2572</v>
      </c>
      <c r="E4764" s="1390">
        <f>Risk_Compensation!$G55</f>
        <v>38</v>
      </c>
      <c r="F4764" s="1390" t="str">
        <f>Risk_Compensation!$AC$17</f>
        <v>UR</v>
      </c>
      <c r="G4764" s="1390"/>
      <c r="H4764" s="1077">
        <f>Risk_Compensation!$AC55</f>
        <v>0</v>
      </c>
    </row>
    <row r="4765" spans="1:8" x14ac:dyDescent="0.2">
      <c r="A4765" s="1027"/>
      <c r="B4765" s="1083">
        <f>Risk_Compensation!A$1</f>
        <v>36</v>
      </c>
      <c r="C4765" s="1390" t="str">
        <f>Risk_Compensation!$B$1</f>
        <v xml:space="preserve">Risikoausgleich </v>
      </c>
      <c r="D4765" s="2205" t="s">
        <v>2572</v>
      </c>
      <c r="E4765" s="1390">
        <f>Risk_Compensation!$G56</f>
        <v>39</v>
      </c>
      <c r="F4765" s="1390" t="str">
        <f>Risk_Compensation!$AC$17</f>
        <v>UR</v>
      </c>
      <c r="G4765" s="1390"/>
      <c r="H4765" s="1077">
        <f>Risk_Compensation!$AC56</f>
        <v>0</v>
      </c>
    </row>
    <row r="4766" spans="1:8" x14ac:dyDescent="0.2">
      <c r="A4766" s="1027"/>
      <c r="B4766" s="1083">
        <f>Risk_Compensation!A$1</f>
        <v>36</v>
      </c>
      <c r="C4766" s="1390" t="str">
        <f>Risk_Compensation!$B$1</f>
        <v xml:space="preserve">Risikoausgleich </v>
      </c>
      <c r="D4766" s="2205" t="s">
        <v>2572</v>
      </c>
      <c r="E4766" s="1390">
        <f>Risk_Compensation!$G57</f>
        <v>40</v>
      </c>
      <c r="F4766" s="1390" t="str">
        <f>Risk_Compensation!$AC$17</f>
        <v>UR</v>
      </c>
      <c r="G4766" s="1390"/>
      <c r="H4766" s="1077">
        <f>Risk_Compensation!$AC57</f>
        <v>0</v>
      </c>
    </row>
    <row r="4767" spans="1:8" x14ac:dyDescent="0.2">
      <c r="A4767" s="1027"/>
      <c r="B4767" s="1083">
        <f>Risk_Compensation!A$1</f>
        <v>36</v>
      </c>
      <c r="C4767" s="1390" t="str">
        <f>Risk_Compensation!$B$1</f>
        <v xml:space="preserve">Risikoausgleich </v>
      </c>
      <c r="D4767" s="2205" t="s">
        <v>2572</v>
      </c>
      <c r="E4767" s="1390">
        <f>Risk_Compensation!$G58</f>
        <v>41</v>
      </c>
      <c r="F4767" s="1390" t="str">
        <f>Risk_Compensation!$AC$17</f>
        <v>UR</v>
      </c>
      <c r="G4767" s="1390"/>
      <c r="H4767" s="1077">
        <f>Risk_Compensation!$AC58</f>
        <v>0</v>
      </c>
    </row>
    <row r="4768" spans="1:8" x14ac:dyDescent="0.2">
      <c r="A4768" s="1027"/>
      <c r="B4768" s="1083">
        <f>Risk_Compensation!A$1</f>
        <v>36</v>
      </c>
      <c r="C4768" s="1390" t="str">
        <f>Risk_Compensation!$B$1</f>
        <v xml:space="preserve">Risikoausgleich </v>
      </c>
      <c r="D4768" s="2205" t="s">
        <v>2572</v>
      </c>
      <c r="E4768" s="1390">
        <f>Risk_Compensation!$G59</f>
        <v>42</v>
      </c>
      <c r="F4768" s="1390" t="str">
        <f>Risk_Compensation!$AC$17</f>
        <v>UR</v>
      </c>
      <c r="G4768" s="1390"/>
      <c r="H4768" s="1077">
        <f>Risk_Compensation!$AC59</f>
        <v>0</v>
      </c>
    </row>
    <row r="4769" spans="1:8" x14ac:dyDescent="0.2">
      <c r="A4769" s="1027"/>
      <c r="B4769" s="1083">
        <f>Risk_Compensation!A$1</f>
        <v>36</v>
      </c>
      <c r="C4769" s="1390" t="str">
        <f>Risk_Compensation!$B$1</f>
        <v xml:space="preserve">Risikoausgleich </v>
      </c>
      <c r="D4769" s="2205" t="s">
        <v>2572</v>
      </c>
      <c r="E4769" s="1390">
        <f>Risk_Compensation!$G60</f>
        <v>43</v>
      </c>
      <c r="F4769" s="1390" t="str">
        <f>Risk_Compensation!$AC$17</f>
        <v>UR</v>
      </c>
      <c r="G4769" s="1390"/>
      <c r="H4769" s="1077">
        <f>Risk_Compensation!$AC60</f>
        <v>0</v>
      </c>
    </row>
    <row r="4770" spans="1:8" x14ac:dyDescent="0.2">
      <c r="A4770" s="1027"/>
      <c r="B4770" s="1083">
        <f>Risk_Compensation!A$1</f>
        <v>36</v>
      </c>
      <c r="C4770" s="1390" t="str">
        <f>Risk_Compensation!$B$1</f>
        <v xml:space="preserve">Risikoausgleich </v>
      </c>
      <c r="D4770" s="2205" t="s">
        <v>2572</v>
      </c>
      <c r="E4770" s="1390">
        <f>Risk_Compensation!$G61</f>
        <v>44</v>
      </c>
      <c r="F4770" s="1390" t="str">
        <f>Risk_Compensation!$AC$17</f>
        <v>UR</v>
      </c>
      <c r="G4770" s="1390"/>
      <c r="H4770" s="1077">
        <f>Risk_Compensation!$AC61</f>
        <v>0</v>
      </c>
    </row>
    <row r="4771" spans="1:8" x14ac:dyDescent="0.2">
      <c r="A4771" s="1027"/>
      <c r="B4771" s="1083">
        <f>Risk_Compensation!A$1</f>
        <v>36</v>
      </c>
      <c r="C4771" s="1390" t="str">
        <f>Risk_Compensation!$B$1</f>
        <v xml:space="preserve">Risikoausgleich </v>
      </c>
      <c r="D4771" s="2205" t="s">
        <v>2572</v>
      </c>
      <c r="E4771" s="1390">
        <f>Risk_Compensation!$G62</f>
        <v>45</v>
      </c>
      <c r="F4771" s="1390" t="str">
        <f>Risk_Compensation!$AC$17</f>
        <v>UR</v>
      </c>
      <c r="G4771" s="1390"/>
      <c r="H4771" s="1077">
        <f>Risk_Compensation!$AC62</f>
        <v>0</v>
      </c>
    </row>
    <row r="4772" spans="1:8" x14ac:dyDescent="0.2">
      <c r="A4772" s="1027"/>
      <c r="B4772" s="1083">
        <f>Risk_Compensation!A$1</f>
        <v>36</v>
      </c>
      <c r="C4772" s="1390" t="str">
        <f>Risk_Compensation!$B$1</f>
        <v xml:space="preserve">Risikoausgleich </v>
      </c>
      <c r="D4772" s="2205" t="s">
        <v>2572</v>
      </c>
      <c r="E4772" s="1390">
        <f>Risk_Compensation!$G63</f>
        <v>46</v>
      </c>
      <c r="F4772" s="1390" t="str">
        <f>Risk_Compensation!$AC$17</f>
        <v>UR</v>
      </c>
      <c r="G4772" s="1390"/>
      <c r="H4772" s="1077">
        <f>Risk_Compensation!$AC63</f>
        <v>0</v>
      </c>
    </row>
    <row r="4773" spans="1:8" x14ac:dyDescent="0.2">
      <c r="A4773" s="1027"/>
      <c r="B4773" s="1083">
        <f>Risk_Compensation!A$1</f>
        <v>36</v>
      </c>
      <c r="C4773" s="1390" t="str">
        <f>Risk_Compensation!$B$1</f>
        <v xml:space="preserve">Risikoausgleich </v>
      </c>
      <c r="D4773" s="2205" t="s">
        <v>2572</v>
      </c>
      <c r="E4773" s="1390">
        <f>Risk_Compensation!$G64</f>
        <v>47</v>
      </c>
      <c r="F4773" s="1390" t="str">
        <f>Risk_Compensation!$AC$17</f>
        <v>UR</v>
      </c>
      <c r="G4773" s="1390"/>
      <c r="H4773" s="1077">
        <f>Risk_Compensation!$AC64</f>
        <v>0</v>
      </c>
    </row>
    <row r="4774" spans="1:8" x14ac:dyDescent="0.2">
      <c r="A4774" s="1027"/>
      <c r="B4774" s="1083">
        <f>Risk_Compensation!A$1</f>
        <v>36</v>
      </c>
      <c r="C4774" s="1390" t="str">
        <f>Risk_Compensation!$B$1</f>
        <v xml:space="preserve">Risikoausgleich </v>
      </c>
      <c r="D4774" s="2205" t="s">
        <v>2572</v>
      </c>
      <c r="E4774" s="1390">
        <f>Risk_Compensation!$G65</f>
        <v>48</v>
      </c>
      <c r="F4774" s="1390" t="str">
        <f>Risk_Compensation!$AC$17</f>
        <v>UR</v>
      </c>
      <c r="G4774" s="1390"/>
      <c r="H4774" s="1077">
        <f>Risk_Compensation!$AC65</f>
        <v>0</v>
      </c>
    </row>
    <row r="4775" spans="1:8" x14ac:dyDescent="0.2">
      <c r="A4775" s="1027"/>
      <c r="B4775" s="1083">
        <f>Risk_Compensation!A$1</f>
        <v>36</v>
      </c>
      <c r="C4775" s="1390" t="str">
        <f>Risk_Compensation!$B$1</f>
        <v xml:space="preserve">Risikoausgleich </v>
      </c>
      <c r="D4775" s="2205" t="s">
        <v>2572</v>
      </c>
      <c r="E4775" s="1390">
        <f>Risk_Compensation!$G66</f>
        <v>49</v>
      </c>
      <c r="F4775" s="1390" t="str">
        <f>Risk_Compensation!$AC$17</f>
        <v>UR</v>
      </c>
      <c r="G4775" s="1390"/>
      <c r="H4775" s="1077">
        <f>Risk_Compensation!$AC66</f>
        <v>0</v>
      </c>
    </row>
    <row r="4776" spans="1:8" x14ac:dyDescent="0.2">
      <c r="A4776" s="1027"/>
      <c r="B4776" s="1083">
        <f>Risk_Compensation!A$1</f>
        <v>36</v>
      </c>
      <c r="C4776" s="1390" t="str">
        <f>Risk_Compensation!$B$1</f>
        <v xml:space="preserve">Risikoausgleich </v>
      </c>
      <c r="D4776" s="2205" t="s">
        <v>2572</v>
      </c>
      <c r="E4776" s="1390">
        <f>Risk_Compensation!$G67</f>
        <v>50</v>
      </c>
      <c r="F4776" s="1390" t="str">
        <f>Risk_Compensation!$AC$17</f>
        <v>UR</v>
      </c>
      <c r="G4776" s="1390"/>
      <c r="H4776" s="1077">
        <f>Risk_Compensation!$AC67</f>
        <v>0</v>
      </c>
    </row>
    <row r="4777" spans="1:8" x14ac:dyDescent="0.2">
      <c r="A4777" s="1027"/>
      <c r="B4777" s="1083">
        <f>Risk_Compensation!A$1</f>
        <v>36</v>
      </c>
      <c r="C4777" s="1390" t="str">
        <f>Risk_Compensation!$B$1</f>
        <v xml:space="preserve">Risikoausgleich </v>
      </c>
      <c r="D4777" s="2205" t="s">
        <v>2572</v>
      </c>
      <c r="E4777" s="1390">
        <f>Risk_Compensation!$G68</f>
        <v>51</v>
      </c>
      <c r="F4777" s="1390" t="str">
        <f>Risk_Compensation!$AC$17</f>
        <v>UR</v>
      </c>
      <c r="G4777" s="1390"/>
      <c r="H4777" s="1077">
        <f>Risk_Compensation!$AC68</f>
        <v>0</v>
      </c>
    </row>
    <row r="4778" spans="1:8" x14ac:dyDescent="0.2">
      <c r="A4778" s="1027"/>
      <c r="B4778" s="1083">
        <f>Risk_Compensation!A$1</f>
        <v>36</v>
      </c>
      <c r="C4778" s="1390" t="str">
        <f>Risk_Compensation!$B$1</f>
        <v xml:space="preserve">Risikoausgleich </v>
      </c>
      <c r="D4778" s="2205" t="s">
        <v>2572</v>
      </c>
      <c r="E4778" s="1390">
        <f>Risk_Compensation!$G69</f>
        <v>52</v>
      </c>
      <c r="F4778" s="1390" t="str">
        <f>Risk_Compensation!$AC$17</f>
        <v>UR</v>
      </c>
      <c r="G4778" s="1390"/>
      <c r="H4778" s="1077">
        <f>Risk_Compensation!$AC69</f>
        <v>0</v>
      </c>
    </row>
    <row r="4779" spans="1:8" x14ac:dyDescent="0.2">
      <c r="A4779" s="1027"/>
      <c r="B4779" s="1083">
        <f>Risk_Compensation!A$1</f>
        <v>36</v>
      </c>
      <c r="C4779" s="1390" t="str">
        <f>Risk_Compensation!$B$1</f>
        <v xml:space="preserve">Risikoausgleich </v>
      </c>
      <c r="D4779" s="2205" t="s">
        <v>2572</v>
      </c>
      <c r="E4779" s="1390">
        <f>Risk_Compensation!$G70</f>
        <v>53</v>
      </c>
      <c r="F4779" s="1390" t="str">
        <f>Risk_Compensation!$AC$17</f>
        <v>UR</v>
      </c>
      <c r="G4779" s="1390"/>
      <c r="H4779" s="1077">
        <f>Risk_Compensation!$AC70</f>
        <v>0</v>
      </c>
    </row>
    <row r="4780" spans="1:8" x14ac:dyDescent="0.2">
      <c r="A4780" s="1027"/>
      <c r="B4780" s="1083">
        <f>Risk_Compensation!A$1</f>
        <v>36</v>
      </c>
      <c r="C4780" s="1390" t="str">
        <f>Risk_Compensation!$B$1</f>
        <v xml:space="preserve">Risikoausgleich </v>
      </c>
      <c r="D4780" s="2205" t="s">
        <v>2572</v>
      </c>
      <c r="E4780" s="1390">
        <f>Risk_Compensation!$G71</f>
        <v>54</v>
      </c>
      <c r="F4780" s="1390" t="str">
        <f>Risk_Compensation!$AC$17</f>
        <v>UR</v>
      </c>
      <c r="G4780" s="1390"/>
      <c r="H4780" s="1077">
        <f>Risk_Compensation!$AC71</f>
        <v>0</v>
      </c>
    </row>
    <row r="4781" spans="1:8" x14ac:dyDescent="0.2">
      <c r="A4781" s="1027"/>
      <c r="B4781" s="1083">
        <f>Risk_Compensation!A$1</f>
        <v>36</v>
      </c>
      <c r="C4781" s="1390" t="str">
        <f>Risk_Compensation!$B$1</f>
        <v xml:space="preserve">Risikoausgleich </v>
      </c>
      <c r="D4781" s="2205" t="s">
        <v>2572</v>
      </c>
      <c r="E4781" s="1390">
        <f>Risk_Compensation!$G72</f>
        <v>55</v>
      </c>
      <c r="F4781" s="1390" t="str">
        <f>Risk_Compensation!$AC$17</f>
        <v>UR</v>
      </c>
      <c r="G4781" s="1390"/>
      <c r="H4781" s="1077">
        <f>Risk_Compensation!$AC72</f>
        <v>0</v>
      </c>
    </row>
    <row r="4782" spans="1:8" x14ac:dyDescent="0.2">
      <c r="A4782" s="1027"/>
      <c r="B4782" s="1083">
        <f>Risk_Compensation!A$1</f>
        <v>36</v>
      </c>
      <c r="C4782" s="1390" t="str">
        <f>Risk_Compensation!$B$1</f>
        <v xml:space="preserve">Risikoausgleich </v>
      </c>
      <c r="D4782" s="2205" t="s">
        <v>2572</v>
      </c>
      <c r="E4782" s="1390">
        <f>Risk_Compensation!$G73</f>
        <v>56</v>
      </c>
      <c r="F4782" s="1390" t="str">
        <f>Risk_Compensation!$AC$17</f>
        <v>UR</v>
      </c>
      <c r="G4782" s="1390"/>
      <c r="H4782" s="1077">
        <f>Risk_Compensation!$AC73</f>
        <v>0</v>
      </c>
    </row>
    <row r="4783" spans="1:8" x14ac:dyDescent="0.2">
      <c r="A4783" s="1027"/>
      <c r="B4783" s="1083">
        <f>Risk_Compensation!A$1</f>
        <v>36</v>
      </c>
      <c r="C4783" s="1390" t="str">
        <f>Risk_Compensation!$B$1</f>
        <v xml:space="preserve">Risikoausgleich </v>
      </c>
      <c r="D4783" s="2205" t="s">
        <v>2572</v>
      </c>
      <c r="E4783" s="1390">
        <f>Risk_Compensation!$G74</f>
        <v>57</v>
      </c>
      <c r="F4783" s="1390" t="str">
        <f>Risk_Compensation!$AC$17</f>
        <v>UR</v>
      </c>
      <c r="G4783" s="1390"/>
      <c r="H4783" s="1077">
        <f>Risk_Compensation!$AC74</f>
        <v>0</v>
      </c>
    </row>
    <row r="4784" spans="1:8" x14ac:dyDescent="0.2">
      <c r="A4784" s="1027"/>
      <c r="B4784" s="1083">
        <f>Risk_Compensation!A$1</f>
        <v>36</v>
      </c>
      <c r="C4784" s="1390" t="str">
        <f>Risk_Compensation!$B$1</f>
        <v xml:space="preserve">Risikoausgleich </v>
      </c>
      <c r="D4784" s="2205" t="s">
        <v>2572</v>
      </c>
      <c r="E4784" s="1390">
        <f>Risk_Compensation!$G75</f>
        <v>58</v>
      </c>
      <c r="F4784" s="1390" t="str">
        <f>Risk_Compensation!$AC$17</f>
        <v>UR</v>
      </c>
      <c r="G4784" s="1390"/>
      <c r="H4784" s="1077">
        <f>Risk_Compensation!$AC75</f>
        <v>0</v>
      </c>
    </row>
    <row r="4785" spans="1:8" x14ac:dyDescent="0.2">
      <c r="A4785" s="1027"/>
      <c r="B4785" s="1083">
        <f>Risk_Compensation!A$1</f>
        <v>36</v>
      </c>
      <c r="C4785" s="1390" t="str">
        <f>Risk_Compensation!$B$1</f>
        <v xml:space="preserve">Risikoausgleich </v>
      </c>
      <c r="D4785" s="2205" t="s">
        <v>2572</v>
      </c>
      <c r="E4785" s="1390">
        <f>Risk_Compensation!$G76</f>
        <v>59</v>
      </c>
      <c r="F4785" s="1390" t="str">
        <f>Risk_Compensation!$AC$17</f>
        <v>UR</v>
      </c>
      <c r="G4785" s="1390"/>
      <c r="H4785" s="1077">
        <f>Risk_Compensation!$AC76</f>
        <v>0</v>
      </c>
    </row>
    <row r="4786" spans="1:8" x14ac:dyDescent="0.2">
      <c r="A4786" s="1027"/>
      <c r="B4786" s="1083">
        <f>Risk_Compensation!A$1</f>
        <v>36</v>
      </c>
      <c r="C4786" s="1390" t="str">
        <f>Risk_Compensation!$B$1</f>
        <v xml:space="preserve">Risikoausgleich </v>
      </c>
      <c r="D4786" s="2205" t="s">
        <v>2572</v>
      </c>
      <c r="E4786" s="1390">
        <f>Risk_Compensation!$G77</f>
        <v>60</v>
      </c>
      <c r="F4786" s="1390" t="str">
        <f>Risk_Compensation!$AC$17</f>
        <v>UR</v>
      </c>
      <c r="G4786" s="1390"/>
      <c r="H4786" s="1077">
        <f>Risk_Compensation!$AC77</f>
        <v>0</v>
      </c>
    </row>
    <row r="4787" spans="1:8" x14ac:dyDescent="0.2">
      <c r="A4787" s="1027"/>
      <c r="B4787" s="2174"/>
      <c r="C4787" s="1390"/>
      <c r="D4787" s="2175"/>
      <c r="E4787" s="2176"/>
      <c r="F4787" s="1390"/>
      <c r="G4787" s="1390"/>
      <c r="H4787" s="1078"/>
    </row>
    <row r="4788" spans="1:8" x14ac:dyDescent="0.2">
      <c r="A4788" s="1027"/>
      <c r="B4788" s="1083">
        <f>Risk_Compensation!A$1</f>
        <v>36</v>
      </c>
      <c r="C4788" s="1390" t="str">
        <f>Risk_Compensation!$B$1</f>
        <v xml:space="preserve">Risikoausgleich </v>
      </c>
      <c r="D4788" s="2205" t="s">
        <v>2572</v>
      </c>
      <c r="E4788" s="1390">
        <f>Risk_Compensation!$G18</f>
        <v>1</v>
      </c>
      <c r="F4788" s="1390" t="str">
        <f>Risk_Compensation!$AD$17</f>
        <v>VD</v>
      </c>
      <c r="G4788" s="1390"/>
      <c r="H4788" s="1077">
        <f>Risk_Compensation!$AD18</f>
        <v>0</v>
      </c>
    </row>
    <row r="4789" spans="1:8" x14ac:dyDescent="0.2">
      <c r="A4789" s="1027"/>
      <c r="B4789" s="1083">
        <f>Risk_Compensation!A$1</f>
        <v>36</v>
      </c>
      <c r="C4789" s="1390" t="str">
        <f>Risk_Compensation!$B$1</f>
        <v xml:space="preserve">Risikoausgleich </v>
      </c>
      <c r="D4789" s="2205" t="s">
        <v>2572</v>
      </c>
      <c r="E4789" s="1390">
        <f>Risk_Compensation!$G19</f>
        <v>2</v>
      </c>
      <c r="F4789" s="1390" t="str">
        <f>Risk_Compensation!$AD$17</f>
        <v>VD</v>
      </c>
      <c r="G4789" s="1390"/>
      <c r="H4789" s="1077">
        <f>Risk_Compensation!$AD19</f>
        <v>0</v>
      </c>
    </row>
    <row r="4790" spans="1:8" x14ac:dyDescent="0.2">
      <c r="A4790" s="1027"/>
      <c r="B4790" s="1083">
        <f>Risk_Compensation!A$1</f>
        <v>36</v>
      </c>
      <c r="C4790" s="1390" t="str">
        <f>Risk_Compensation!$B$1</f>
        <v xml:space="preserve">Risikoausgleich </v>
      </c>
      <c r="D4790" s="2205" t="s">
        <v>2572</v>
      </c>
      <c r="E4790" s="1390">
        <f>Risk_Compensation!$G20</f>
        <v>3</v>
      </c>
      <c r="F4790" s="1390" t="str">
        <f>Risk_Compensation!$AD$17</f>
        <v>VD</v>
      </c>
      <c r="G4790" s="1390"/>
      <c r="H4790" s="1077">
        <f>Risk_Compensation!$AD20</f>
        <v>0</v>
      </c>
    </row>
    <row r="4791" spans="1:8" x14ac:dyDescent="0.2">
      <c r="A4791" s="1027"/>
      <c r="B4791" s="1083">
        <f>Risk_Compensation!A$1</f>
        <v>36</v>
      </c>
      <c r="C4791" s="1390" t="str">
        <f>Risk_Compensation!$B$1</f>
        <v xml:space="preserve">Risikoausgleich </v>
      </c>
      <c r="D4791" s="2205" t="s">
        <v>2572</v>
      </c>
      <c r="E4791" s="1390">
        <f>Risk_Compensation!$G21</f>
        <v>4</v>
      </c>
      <c r="F4791" s="1390" t="str">
        <f>Risk_Compensation!$AD$17</f>
        <v>VD</v>
      </c>
      <c r="G4791" s="1390"/>
      <c r="H4791" s="1077">
        <f>Risk_Compensation!$AD21</f>
        <v>0</v>
      </c>
    </row>
    <row r="4792" spans="1:8" x14ac:dyDescent="0.2">
      <c r="A4792" s="1027"/>
      <c r="B4792" s="1083">
        <f>Risk_Compensation!A$1</f>
        <v>36</v>
      </c>
      <c r="C4792" s="1390" t="str">
        <f>Risk_Compensation!$B$1</f>
        <v xml:space="preserve">Risikoausgleich </v>
      </c>
      <c r="D4792" s="2205" t="s">
        <v>2572</v>
      </c>
      <c r="E4792" s="1390">
        <f>Risk_Compensation!$G22</f>
        <v>5</v>
      </c>
      <c r="F4792" s="1390" t="str">
        <f>Risk_Compensation!$AD$17</f>
        <v>VD</v>
      </c>
      <c r="G4792" s="1390"/>
      <c r="H4792" s="1077">
        <f>Risk_Compensation!$AD22</f>
        <v>0</v>
      </c>
    </row>
    <row r="4793" spans="1:8" x14ac:dyDescent="0.2">
      <c r="A4793" s="1027"/>
      <c r="B4793" s="1083">
        <f>Risk_Compensation!A$1</f>
        <v>36</v>
      </c>
      <c r="C4793" s="1390" t="str">
        <f>Risk_Compensation!$B$1</f>
        <v xml:space="preserve">Risikoausgleich </v>
      </c>
      <c r="D4793" s="2205" t="s">
        <v>2572</v>
      </c>
      <c r="E4793" s="1390">
        <f>Risk_Compensation!$G23</f>
        <v>6</v>
      </c>
      <c r="F4793" s="1390" t="str">
        <f>Risk_Compensation!$AD$17</f>
        <v>VD</v>
      </c>
      <c r="G4793" s="1390"/>
      <c r="H4793" s="1077">
        <f>Risk_Compensation!$AD23</f>
        <v>0</v>
      </c>
    </row>
    <row r="4794" spans="1:8" x14ac:dyDescent="0.2">
      <c r="A4794" s="1027"/>
      <c r="B4794" s="1083">
        <f>Risk_Compensation!A$1</f>
        <v>36</v>
      </c>
      <c r="C4794" s="1390" t="str">
        <f>Risk_Compensation!$B$1</f>
        <v xml:space="preserve">Risikoausgleich </v>
      </c>
      <c r="D4794" s="2205" t="s">
        <v>2572</v>
      </c>
      <c r="E4794" s="1390">
        <f>Risk_Compensation!$G24</f>
        <v>7</v>
      </c>
      <c r="F4794" s="1390" t="str">
        <f>Risk_Compensation!$AD$17</f>
        <v>VD</v>
      </c>
      <c r="G4794" s="1390"/>
      <c r="H4794" s="1077">
        <f>Risk_Compensation!$AD24</f>
        <v>0</v>
      </c>
    </row>
    <row r="4795" spans="1:8" x14ac:dyDescent="0.2">
      <c r="A4795" s="1027"/>
      <c r="B4795" s="1083">
        <f>Risk_Compensation!A$1</f>
        <v>36</v>
      </c>
      <c r="C4795" s="1390" t="str">
        <f>Risk_Compensation!$B$1</f>
        <v xml:space="preserve">Risikoausgleich </v>
      </c>
      <c r="D4795" s="2205" t="s">
        <v>2572</v>
      </c>
      <c r="E4795" s="1390">
        <f>Risk_Compensation!$G25</f>
        <v>8</v>
      </c>
      <c r="F4795" s="1390" t="str">
        <f>Risk_Compensation!$AD$17</f>
        <v>VD</v>
      </c>
      <c r="G4795" s="1390"/>
      <c r="H4795" s="1077">
        <f>Risk_Compensation!$AD25</f>
        <v>0</v>
      </c>
    </row>
    <row r="4796" spans="1:8" x14ac:dyDescent="0.2">
      <c r="A4796" s="1027"/>
      <c r="B4796" s="1083">
        <f>Risk_Compensation!A$1</f>
        <v>36</v>
      </c>
      <c r="C4796" s="1390" t="str">
        <f>Risk_Compensation!$B$1</f>
        <v xml:space="preserve">Risikoausgleich </v>
      </c>
      <c r="D4796" s="2205" t="s">
        <v>2572</v>
      </c>
      <c r="E4796" s="1390">
        <f>Risk_Compensation!$G26</f>
        <v>9</v>
      </c>
      <c r="F4796" s="1390" t="str">
        <f>Risk_Compensation!$AD$17</f>
        <v>VD</v>
      </c>
      <c r="G4796" s="1390"/>
      <c r="H4796" s="1077">
        <f>Risk_Compensation!$AD26</f>
        <v>0</v>
      </c>
    </row>
    <row r="4797" spans="1:8" x14ac:dyDescent="0.2">
      <c r="A4797" s="1027"/>
      <c r="B4797" s="1083">
        <f>Risk_Compensation!A$1</f>
        <v>36</v>
      </c>
      <c r="C4797" s="1390" t="str">
        <f>Risk_Compensation!$B$1</f>
        <v xml:space="preserve">Risikoausgleich </v>
      </c>
      <c r="D4797" s="2205" t="s">
        <v>2572</v>
      </c>
      <c r="E4797" s="1390">
        <f>Risk_Compensation!$G27</f>
        <v>10</v>
      </c>
      <c r="F4797" s="1390" t="str">
        <f>Risk_Compensation!$AD$17</f>
        <v>VD</v>
      </c>
      <c r="G4797" s="1390"/>
      <c r="H4797" s="1077">
        <f>Risk_Compensation!$AD27</f>
        <v>0</v>
      </c>
    </row>
    <row r="4798" spans="1:8" x14ac:dyDescent="0.2">
      <c r="A4798" s="1027"/>
      <c r="B4798" s="1083">
        <f>Risk_Compensation!A$1</f>
        <v>36</v>
      </c>
      <c r="C4798" s="1390" t="str">
        <f>Risk_Compensation!$B$1</f>
        <v xml:space="preserve">Risikoausgleich </v>
      </c>
      <c r="D4798" s="2205" t="s">
        <v>2572</v>
      </c>
      <c r="E4798" s="1390">
        <f>Risk_Compensation!$G28</f>
        <v>11</v>
      </c>
      <c r="F4798" s="1390" t="str">
        <f>Risk_Compensation!$AD$17</f>
        <v>VD</v>
      </c>
      <c r="G4798" s="1390"/>
      <c r="H4798" s="1077">
        <f>Risk_Compensation!$AD28</f>
        <v>0</v>
      </c>
    </row>
    <row r="4799" spans="1:8" x14ac:dyDescent="0.2">
      <c r="A4799" s="1027"/>
      <c r="B4799" s="1083">
        <f>Risk_Compensation!A$1</f>
        <v>36</v>
      </c>
      <c r="C4799" s="1390" t="str">
        <f>Risk_Compensation!$B$1</f>
        <v xml:space="preserve">Risikoausgleich </v>
      </c>
      <c r="D4799" s="2205" t="s">
        <v>2572</v>
      </c>
      <c r="E4799" s="1390">
        <f>Risk_Compensation!$G29</f>
        <v>12</v>
      </c>
      <c r="F4799" s="1390" t="str">
        <f>Risk_Compensation!$AD$17</f>
        <v>VD</v>
      </c>
      <c r="G4799" s="1390"/>
      <c r="H4799" s="1077">
        <f>Risk_Compensation!$AD29</f>
        <v>0</v>
      </c>
    </row>
    <row r="4800" spans="1:8" x14ac:dyDescent="0.2">
      <c r="A4800" s="1027"/>
      <c r="B4800" s="1083">
        <f>Risk_Compensation!A$1</f>
        <v>36</v>
      </c>
      <c r="C4800" s="1390" t="str">
        <f>Risk_Compensation!$B$1</f>
        <v xml:space="preserve">Risikoausgleich </v>
      </c>
      <c r="D4800" s="2205" t="s">
        <v>2572</v>
      </c>
      <c r="E4800" s="1390">
        <f>Risk_Compensation!$G30</f>
        <v>13</v>
      </c>
      <c r="F4800" s="1390" t="str">
        <f>Risk_Compensation!$AD$17</f>
        <v>VD</v>
      </c>
      <c r="G4800" s="1390"/>
      <c r="H4800" s="1077">
        <f>Risk_Compensation!$AD30</f>
        <v>0</v>
      </c>
    </row>
    <row r="4801" spans="1:8" x14ac:dyDescent="0.2">
      <c r="A4801" s="1027"/>
      <c r="B4801" s="1083">
        <f>Risk_Compensation!A$1</f>
        <v>36</v>
      </c>
      <c r="C4801" s="1390" t="str">
        <f>Risk_Compensation!$B$1</f>
        <v xml:space="preserve">Risikoausgleich </v>
      </c>
      <c r="D4801" s="2205" t="s">
        <v>2572</v>
      </c>
      <c r="E4801" s="1390">
        <f>Risk_Compensation!$G31</f>
        <v>14</v>
      </c>
      <c r="F4801" s="1390" t="str">
        <f>Risk_Compensation!$AD$17</f>
        <v>VD</v>
      </c>
      <c r="G4801" s="1390"/>
      <c r="H4801" s="1077">
        <f>Risk_Compensation!$AD31</f>
        <v>0</v>
      </c>
    </row>
    <row r="4802" spans="1:8" x14ac:dyDescent="0.2">
      <c r="A4802" s="1027"/>
      <c r="B4802" s="1083">
        <f>Risk_Compensation!A$1</f>
        <v>36</v>
      </c>
      <c r="C4802" s="1390" t="str">
        <f>Risk_Compensation!$B$1</f>
        <v xml:space="preserve">Risikoausgleich </v>
      </c>
      <c r="D4802" s="2205" t="s">
        <v>2572</v>
      </c>
      <c r="E4802" s="1390">
        <f>Risk_Compensation!$G32</f>
        <v>15</v>
      </c>
      <c r="F4802" s="1390" t="str">
        <f>Risk_Compensation!$AD$17</f>
        <v>VD</v>
      </c>
      <c r="G4802" s="1390"/>
      <c r="H4802" s="1077">
        <f>Risk_Compensation!$AD32</f>
        <v>0</v>
      </c>
    </row>
    <row r="4803" spans="1:8" x14ac:dyDescent="0.2">
      <c r="A4803" s="1027"/>
      <c r="B4803" s="1083">
        <f>Risk_Compensation!A$1</f>
        <v>36</v>
      </c>
      <c r="C4803" s="1390" t="str">
        <f>Risk_Compensation!$B$1</f>
        <v xml:space="preserve">Risikoausgleich </v>
      </c>
      <c r="D4803" s="2205" t="s">
        <v>2572</v>
      </c>
      <c r="E4803" s="1390">
        <f>Risk_Compensation!$G33</f>
        <v>16</v>
      </c>
      <c r="F4803" s="1390" t="str">
        <f>Risk_Compensation!$AD$17</f>
        <v>VD</v>
      </c>
      <c r="G4803" s="1390"/>
      <c r="H4803" s="1077">
        <f>Risk_Compensation!$AD33</f>
        <v>0</v>
      </c>
    </row>
    <row r="4804" spans="1:8" x14ac:dyDescent="0.2">
      <c r="A4804" s="1027"/>
      <c r="B4804" s="1083">
        <f>Risk_Compensation!A$1</f>
        <v>36</v>
      </c>
      <c r="C4804" s="1390" t="str">
        <f>Risk_Compensation!$B$1</f>
        <v xml:space="preserve">Risikoausgleich </v>
      </c>
      <c r="D4804" s="2205" t="s">
        <v>2572</v>
      </c>
      <c r="E4804" s="1390">
        <f>Risk_Compensation!$G34</f>
        <v>17</v>
      </c>
      <c r="F4804" s="1390" t="str">
        <f>Risk_Compensation!$AD$17</f>
        <v>VD</v>
      </c>
      <c r="G4804" s="1390"/>
      <c r="H4804" s="1077">
        <f>Risk_Compensation!$AD34</f>
        <v>0</v>
      </c>
    </row>
    <row r="4805" spans="1:8" x14ac:dyDescent="0.2">
      <c r="A4805" s="1027"/>
      <c r="B4805" s="1083">
        <f>Risk_Compensation!A$1</f>
        <v>36</v>
      </c>
      <c r="C4805" s="1390" t="str">
        <f>Risk_Compensation!$B$1</f>
        <v xml:space="preserve">Risikoausgleich </v>
      </c>
      <c r="D4805" s="2205" t="s">
        <v>2572</v>
      </c>
      <c r="E4805" s="1390">
        <f>Risk_Compensation!$G35</f>
        <v>18</v>
      </c>
      <c r="F4805" s="1390" t="str">
        <f>Risk_Compensation!$AD$17</f>
        <v>VD</v>
      </c>
      <c r="G4805" s="1390"/>
      <c r="H4805" s="1077">
        <f>Risk_Compensation!$AD35</f>
        <v>0</v>
      </c>
    </row>
    <row r="4806" spans="1:8" x14ac:dyDescent="0.2">
      <c r="A4806" s="1027"/>
      <c r="B4806" s="1083">
        <f>Risk_Compensation!A$1</f>
        <v>36</v>
      </c>
      <c r="C4806" s="1390" t="str">
        <f>Risk_Compensation!$B$1</f>
        <v xml:space="preserve">Risikoausgleich </v>
      </c>
      <c r="D4806" s="2205" t="s">
        <v>2572</v>
      </c>
      <c r="E4806" s="1390">
        <f>Risk_Compensation!$G36</f>
        <v>19</v>
      </c>
      <c r="F4806" s="1390" t="str">
        <f>Risk_Compensation!$AD$17</f>
        <v>VD</v>
      </c>
      <c r="G4806" s="1390"/>
      <c r="H4806" s="1077">
        <f>Risk_Compensation!$AD36</f>
        <v>0</v>
      </c>
    </row>
    <row r="4807" spans="1:8" x14ac:dyDescent="0.2">
      <c r="A4807" s="1027"/>
      <c r="B4807" s="1083">
        <f>Risk_Compensation!A$1</f>
        <v>36</v>
      </c>
      <c r="C4807" s="1390" t="str">
        <f>Risk_Compensation!$B$1</f>
        <v xml:space="preserve">Risikoausgleich </v>
      </c>
      <c r="D4807" s="2205" t="s">
        <v>2572</v>
      </c>
      <c r="E4807" s="1390">
        <f>Risk_Compensation!$G37</f>
        <v>20</v>
      </c>
      <c r="F4807" s="1390" t="str">
        <f>Risk_Compensation!$AD$17</f>
        <v>VD</v>
      </c>
      <c r="G4807" s="1390"/>
      <c r="H4807" s="1077">
        <f>Risk_Compensation!$AD37</f>
        <v>0</v>
      </c>
    </row>
    <row r="4808" spans="1:8" x14ac:dyDescent="0.2">
      <c r="A4808" s="1027"/>
      <c r="B4808" s="1083">
        <f>Risk_Compensation!A$1</f>
        <v>36</v>
      </c>
      <c r="C4808" s="1390" t="str">
        <f>Risk_Compensation!$B$1</f>
        <v xml:space="preserve">Risikoausgleich </v>
      </c>
      <c r="D4808" s="2205" t="s">
        <v>2572</v>
      </c>
      <c r="E4808" s="1390">
        <f>Risk_Compensation!$G38</f>
        <v>21</v>
      </c>
      <c r="F4808" s="1390" t="str">
        <f>Risk_Compensation!$AD$17</f>
        <v>VD</v>
      </c>
      <c r="G4808" s="1390"/>
      <c r="H4808" s="1077">
        <f>Risk_Compensation!$AD38</f>
        <v>0</v>
      </c>
    </row>
    <row r="4809" spans="1:8" x14ac:dyDescent="0.2">
      <c r="A4809" s="1027"/>
      <c r="B4809" s="1083">
        <f>Risk_Compensation!A$1</f>
        <v>36</v>
      </c>
      <c r="C4809" s="1390" t="str">
        <f>Risk_Compensation!$B$1</f>
        <v xml:space="preserve">Risikoausgleich </v>
      </c>
      <c r="D4809" s="2205" t="s">
        <v>2572</v>
      </c>
      <c r="E4809" s="1390">
        <f>Risk_Compensation!$G39</f>
        <v>22</v>
      </c>
      <c r="F4809" s="1390" t="str">
        <f>Risk_Compensation!$AD$17</f>
        <v>VD</v>
      </c>
      <c r="G4809" s="1390"/>
      <c r="H4809" s="1077">
        <f>Risk_Compensation!$AD39</f>
        <v>0</v>
      </c>
    </row>
    <row r="4810" spans="1:8" x14ac:dyDescent="0.2">
      <c r="A4810" s="1027"/>
      <c r="B4810" s="1083">
        <f>Risk_Compensation!A$1</f>
        <v>36</v>
      </c>
      <c r="C4810" s="1390" t="str">
        <f>Risk_Compensation!$B$1</f>
        <v xml:space="preserve">Risikoausgleich </v>
      </c>
      <c r="D4810" s="2205" t="s">
        <v>2572</v>
      </c>
      <c r="E4810" s="1390">
        <f>Risk_Compensation!$G40</f>
        <v>23</v>
      </c>
      <c r="F4810" s="1390" t="str">
        <f>Risk_Compensation!$AD$17</f>
        <v>VD</v>
      </c>
      <c r="G4810" s="1390"/>
      <c r="H4810" s="1077">
        <f>Risk_Compensation!$AD40</f>
        <v>0</v>
      </c>
    </row>
    <row r="4811" spans="1:8" x14ac:dyDescent="0.2">
      <c r="A4811" s="1027"/>
      <c r="B4811" s="1083">
        <f>Risk_Compensation!A$1</f>
        <v>36</v>
      </c>
      <c r="C4811" s="1390" t="str">
        <f>Risk_Compensation!$B$1</f>
        <v xml:space="preserve">Risikoausgleich </v>
      </c>
      <c r="D4811" s="2205" t="s">
        <v>2572</v>
      </c>
      <c r="E4811" s="1390">
        <f>Risk_Compensation!$G41</f>
        <v>24</v>
      </c>
      <c r="F4811" s="1390" t="str">
        <f>Risk_Compensation!$AD$17</f>
        <v>VD</v>
      </c>
      <c r="G4811" s="1390"/>
      <c r="H4811" s="1077">
        <f>Risk_Compensation!$AD41</f>
        <v>0</v>
      </c>
    </row>
    <row r="4812" spans="1:8" x14ac:dyDescent="0.2">
      <c r="A4812" s="1027"/>
      <c r="B4812" s="1083">
        <f>Risk_Compensation!A$1</f>
        <v>36</v>
      </c>
      <c r="C4812" s="1390" t="str">
        <f>Risk_Compensation!$B$1</f>
        <v xml:space="preserve">Risikoausgleich </v>
      </c>
      <c r="D4812" s="2205" t="s">
        <v>2572</v>
      </c>
      <c r="E4812" s="1390">
        <f>Risk_Compensation!$G42</f>
        <v>25</v>
      </c>
      <c r="F4812" s="1390" t="str">
        <f>Risk_Compensation!$AD$17</f>
        <v>VD</v>
      </c>
      <c r="G4812" s="1390"/>
      <c r="H4812" s="1077">
        <f>Risk_Compensation!$AD42</f>
        <v>0</v>
      </c>
    </row>
    <row r="4813" spans="1:8" x14ac:dyDescent="0.2">
      <c r="A4813" s="1027"/>
      <c r="B4813" s="1083">
        <f>Risk_Compensation!A$1</f>
        <v>36</v>
      </c>
      <c r="C4813" s="1390" t="str">
        <f>Risk_Compensation!$B$1</f>
        <v xml:space="preserve">Risikoausgleich </v>
      </c>
      <c r="D4813" s="2205" t="s">
        <v>2572</v>
      </c>
      <c r="E4813" s="1390">
        <f>Risk_Compensation!$G43</f>
        <v>26</v>
      </c>
      <c r="F4813" s="1390" t="str">
        <f>Risk_Compensation!$AD$17</f>
        <v>VD</v>
      </c>
      <c r="G4813" s="1390"/>
      <c r="H4813" s="1077">
        <f>Risk_Compensation!$AD43</f>
        <v>0</v>
      </c>
    </row>
    <row r="4814" spans="1:8" x14ac:dyDescent="0.2">
      <c r="A4814" s="1027"/>
      <c r="B4814" s="1083">
        <f>Risk_Compensation!A$1</f>
        <v>36</v>
      </c>
      <c r="C4814" s="1390" t="str">
        <f>Risk_Compensation!$B$1</f>
        <v xml:space="preserve">Risikoausgleich </v>
      </c>
      <c r="D4814" s="2205" t="s">
        <v>2572</v>
      </c>
      <c r="E4814" s="1390">
        <f>Risk_Compensation!$G44</f>
        <v>27</v>
      </c>
      <c r="F4814" s="1390" t="str">
        <f>Risk_Compensation!$AD$17</f>
        <v>VD</v>
      </c>
      <c r="G4814" s="1390"/>
      <c r="H4814" s="1077">
        <f>Risk_Compensation!$AD44</f>
        <v>0</v>
      </c>
    </row>
    <row r="4815" spans="1:8" x14ac:dyDescent="0.2">
      <c r="A4815" s="1027"/>
      <c r="B4815" s="1083">
        <f>Risk_Compensation!A$1</f>
        <v>36</v>
      </c>
      <c r="C4815" s="1390" t="str">
        <f>Risk_Compensation!$B$1</f>
        <v xml:space="preserve">Risikoausgleich </v>
      </c>
      <c r="D4815" s="2205" t="s">
        <v>2572</v>
      </c>
      <c r="E4815" s="1390">
        <f>Risk_Compensation!$G45</f>
        <v>28</v>
      </c>
      <c r="F4815" s="1390" t="str">
        <f>Risk_Compensation!$AD$17</f>
        <v>VD</v>
      </c>
      <c r="G4815" s="1390"/>
      <c r="H4815" s="1077">
        <f>Risk_Compensation!$AD45</f>
        <v>0</v>
      </c>
    </row>
    <row r="4816" spans="1:8" x14ac:dyDescent="0.2">
      <c r="A4816" s="1027"/>
      <c r="B4816" s="1083">
        <f>Risk_Compensation!A$1</f>
        <v>36</v>
      </c>
      <c r="C4816" s="1390" t="str">
        <f>Risk_Compensation!$B$1</f>
        <v xml:space="preserve">Risikoausgleich </v>
      </c>
      <c r="D4816" s="2205" t="s">
        <v>2572</v>
      </c>
      <c r="E4816" s="1390">
        <f>Risk_Compensation!$G46</f>
        <v>29</v>
      </c>
      <c r="F4816" s="1390" t="str">
        <f>Risk_Compensation!$AD$17</f>
        <v>VD</v>
      </c>
      <c r="G4816" s="1390"/>
      <c r="H4816" s="1077">
        <f>Risk_Compensation!$AD46</f>
        <v>0</v>
      </c>
    </row>
    <row r="4817" spans="1:8" x14ac:dyDescent="0.2">
      <c r="A4817" s="1027"/>
      <c r="B4817" s="1083">
        <f>Risk_Compensation!A$1</f>
        <v>36</v>
      </c>
      <c r="C4817" s="1390" t="str">
        <f>Risk_Compensation!$B$1</f>
        <v xml:space="preserve">Risikoausgleich </v>
      </c>
      <c r="D4817" s="2205" t="s">
        <v>2572</v>
      </c>
      <c r="E4817" s="1390">
        <f>Risk_Compensation!$G47</f>
        <v>30</v>
      </c>
      <c r="F4817" s="1390" t="str">
        <f>Risk_Compensation!$AD$17</f>
        <v>VD</v>
      </c>
      <c r="G4817" s="1390"/>
      <c r="H4817" s="1077">
        <f>Risk_Compensation!$AD47</f>
        <v>0</v>
      </c>
    </row>
    <row r="4818" spans="1:8" x14ac:dyDescent="0.2">
      <c r="A4818" s="1027"/>
      <c r="B4818" s="1083">
        <f>Risk_Compensation!A$1</f>
        <v>36</v>
      </c>
      <c r="C4818" s="1390" t="str">
        <f>Risk_Compensation!$B$1</f>
        <v xml:space="preserve">Risikoausgleich </v>
      </c>
      <c r="D4818" s="2205" t="s">
        <v>2572</v>
      </c>
      <c r="E4818" s="1390">
        <f>Risk_Compensation!$G48</f>
        <v>31</v>
      </c>
      <c r="F4818" s="1390" t="str">
        <f>Risk_Compensation!$AD$17</f>
        <v>VD</v>
      </c>
      <c r="G4818" s="1390"/>
      <c r="H4818" s="1077">
        <f>Risk_Compensation!$AD48</f>
        <v>0</v>
      </c>
    </row>
    <row r="4819" spans="1:8" x14ac:dyDescent="0.2">
      <c r="A4819" s="1027"/>
      <c r="B4819" s="1083">
        <f>Risk_Compensation!A$1</f>
        <v>36</v>
      </c>
      <c r="C4819" s="1390" t="str">
        <f>Risk_Compensation!$B$1</f>
        <v xml:space="preserve">Risikoausgleich </v>
      </c>
      <c r="D4819" s="2205" t="s">
        <v>2572</v>
      </c>
      <c r="E4819" s="1390">
        <f>Risk_Compensation!$G49</f>
        <v>32</v>
      </c>
      <c r="F4819" s="1390" t="str">
        <f>Risk_Compensation!$AD$17</f>
        <v>VD</v>
      </c>
      <c r="G4819" s="1390"/>
      <c r="H4819" s="1077">
        <f>Risk_Compensation!$AD49</f>
        <v>0</v>
      </c>
    </row>
    <row r="4820" spans="1:8" x14ac:dyDescent="0.2">
      <c r="A4820" s="1027"/>
      <c r="B4820" s="1083">
        <f>Risk_Compensation!A$1</f>
        <v>36</v>
      </c>
      <c r="C4820" s="1390" t="str">
        <f>Risk_Compensation!$B$1</f>
        <v xml:space="preserve">Risikoausgleich </v>
      </c>
      <c r="D4820" s="2205" t="s">
        <v>2572</v>
      </c>
      <c r="E4820" s="1390">
        <f>Risk_Compensation!$G50</f>
        <v>33</v>
      </c>
      <c r="F4820" s="1390" t="str">
        <f>Risk_Compensation!$AD$17</f>
        <v>VD</v>
      </c>
      <c r="G4820" s="1390"/>
      <c r="H4820" s="1077">
        <f>Risk_Compensation!$AD50</f>
        <v>0</v>
      </c>
    </row>
    <row r="4821" spans="1:8" x14ac:dyDescent="0.2">
      <c r="A4821" s="1027"/>
      <c r="B4821" s="1083">
        <f>Risk_Compensation!A$1</f>
        <v>36</v>
      </c>
      <c r="C4821" s="1390" t="str">
        <f>Risk_Compensation!$B$1</f>
        <v xml:space="preserve">Risikoausgleich </v>
      </c>
      <c r="D4821" s="2205" t="s">
        <v>2572</v>
      </c>
      <c r="E4821" s="1390">
        <f>Risk_Compensation!$G51</f>
        <v>34</v>
      </c>
      <c r="F4821" s="1390" t="str">
        <f>Risk_Compensation!$AD$17</f>
        <v>VD</v>
      </c>
      <c r="G4821" s="1390"/>
      <c r="H4821" s="1077">
        <f>Risk_Compensation!$AD51</f>
        <v>0</v>
      </c>
    </row>
    <row r="4822" spans="1:8" x14ac:dyDescent="0.2">
      <c r="A4822" s="1027"/>
      <c r="B4822" s="1083">
        <f>Risk_Compensation!A$1</f>
        <v>36</v>
      </c>
      <c r="C4822" s="1390" t="str">
        <f>Risk_Compensation!$B$1</f>
        <v xml:space="preserve">Risikoausgleich </v>
      </c>
      <c r="D4822" s="2205" t="s">
        <v>2572</v>
      </c>
      <c r="E4822" s="1390">
        <f>Risk_Compensation!$G52</f>
        <v>35</v>
      </c>
      <c r="F4822" s="1390" t="str">
        <f>Risk_Compensation!$AD$17</f>
        <v>VD</v>
      </c>
      <c r="G4822" s="1390"/>
      <c r="H4822" s="1077">
        <f>Risk_Compensation!$AD52</f>
        <v>0</v>
      </c>
    </row>
    <row r="4823" spans="1:8" x14ac:dyDescent="0.2">
      <c r="A4823" s="1027"/>
      <c r="B4823" s="1083">
        <f>Risk_Compensation!A$1</f>
        <v>36</v>
      </c>
      <c r="C4823" s="1390" t="str">
        <f>Risk_Compensation!$B$1</f>
        <v xml:space="preserve">Risikoausgleich </v>
      </c>
      <c r="D4823" s="2205" t="s">
        <v>2572</v>
      </c>
      <c r="E4823" s="1390">
        <f>Risk_Compensation!$G53</f>
        <v>36</v>
      </c>
      <c r="F4823" s="1390" t="str">
        <f>Risk_Compensation!$AD$17</f>
        <v>VD</v>
      </c>
      <c r="G4823" s="1390"/>
      <c r="H4823" s="1077">
        <f>Risk_Compensation!$AD53</f>
        <v>0</v>
      </c>
    </row>
    <row r="4824" spans="1:8" x14ac:dyDescent="0.2">
      <c r="A4824" s="1027"/>
      <c r="B4824" s="1083">
        <f>Risk_Compensation!A$1</f>
        <v>36</v>
      </c>
      <c r="C4824" s="1390" t="str">
        <f>Risk_Compensation!$B$1</f>
        <v xml:space="preserve">Risikoausgleich </v>
      </c>
      <c r="D4824" s="2205" t="s">
        <v>2572</v>
      </c>
      <c r="E4824" s="1390">
        <f>Risk_Compensation!$G54</f>
        <v>37</v>
      </c>
      <c r="F4824" s="1390" t="str">
        <f>Risk_Compensation!$AD$17</f>
        <v>VD</v>
      </c>
      <c r="G4824" s="1390"/>
      <c r="H4824" s="1077">
        <f>Risk_Compensation!$AD54</f>
        <v>0</v>
      </c>
    </row>
    <row r="4825" spans="1:8" x14ac:dyDescent="0.2">
      <c r="A4825" s="1027"/>
      <c r="B4825" s="1083">
        <f>Risk_Compensation!A$1</f>
        <v>36</v>
      </c>
      <c r="C4825" s="1390" t="str">
        <f>Risk_Compensation!$B$1</f>
        <v xml:space="preserve">Risikoausgleich </v>
      </c>
      <c r="D4825" s="2205" t="s">
        <v>2572</v>
      </c>
      <c r="E4825" s="1390">
        <f>Risk_Compensation!$G55</f>
        <v>38</v>
      </c>
      <c r="F4825" s="1390" t="str">
        <f>Risk_Compensation!$AD$17</f>
        <v>VD</v>
      </c>
      <c r="G4825" s="1390"/>
      <c r="H4825" s="1077">
        <f>Risk_Compensation!$AD55</f>
        <v>0</v>
      </c>
    </row>
    <row r="4826" spans="1:8" x14ac:dyDescent="0.2">
      <c r="A4826" s="1027"/>
      <c r="B4826" s="1083">
        <f>Risk_Compensation!A$1</f>
        <v>36</v>
      </c>
      <c r="C4826" s="1390" t="str">
        <f>Risk_Compensation!$B$1</f>
        <v xml:space="preserve">Risikoausgleich </v>
      </c>
      <c r="D4826" s="2205" t="s">
        <v>2572</v>
      </c>
      <c r="E4826" s="1390">
        <f>Risk_Compensation!$G56</f>
        <v>39</v>
      </c>
      <c r="F4826" s="1390" t="str">
        <f>Risk_Compensation!$AD$17</f>
        <v>VD</v>
      </c>
      <c r="G4826" s="1390"/>
      <c r="H4826" s="1077">
        <f>Risk_Compensation!$AD56</f>
        <v>0</v>
      </c>
    </row>
    <row r="4827" spans="1:8" x14ac:dyDescent="0.2">
      <c r="A4827" s="1027"/>
      <c r="B4827" s="1083">
        <f>Risk_Compensation!A$1</f>
        <v>36</v>
      </c>
      <c r="C4827" s="1390" t="str">
        <f>Risk_Compensation!$B$1</f>
        <v xml:space="preserve">Risikoausgleich </v>
      </c>
      <c r="D4827" s="2205" t="s">
        <v>2572</v>
      </c>
      <c r="E4827" s="1390">
        <f>Risk_Compensation!$G57</f>
        <v>40</v>
      </c>
      <c r="F4827" s="1390" t="str">
        <f>Risk_Compensation!$AD$17</f>
        <v>VD</v>
      </c>
      <c r="G4827" s="1390"/>
      <c r="H4827" s="1077">
        <f>Risk_Compensation!$AD57</f>
        <v>0</v>
      </c>
    </row>
    <row r="4828" spans="1:8" x14ac:dyDescent="0.2">
      <c r="A4828" s="1027"/>
      <c r="B4828" s="1083">
        <f>Risk_Compensation!A$1</f>
        <v>36</v>
      </c>
      <c r="C4828" s="1390" t="str">
        <f>Risk_Compensation!$B$1</f>
        <v xml:space="preserve">Risikoausgleich </v>
      </c>
      <c r="D4828" s="2205" t="s">
        <v>2572</v>
      </c>
      <c r="E4828" s="1390">
        <f>Risk_Compensation!$G58</f>
        <v>41</v>
      </c>
      <c r="F4828" s="1390" t="str">
        <f>Risk_Compensation!$AD$17</f>
        <v>VD</v>
      </c>
      <c r="G4828" s="1390"/>
      <c r="H4828" s="1077">
        <f>Risk_Compensation!$AD58</f>
        <v>0</v>
      </c>
    </row>
    <row r="4829" spans="1:8" x14ac:dyDescent="0.2">
      <c r="A4829" s="1027"/>
      <c r="B4829" s="1083">
        <f>Risk_Compensation!A$1</f>
        <v>36</v>
      </c>
      <c r="C4829" s="1390" t="str">
        <f>Risk_Compensation!$B$1</f>
        <v xml:space="preserve">Risikoausgleich </v>
      </c>
      <c r="D4829" s="2205" t="s">
        <v>2572</v>
      </c>
      <c r="E4829" s="1390">
        <f>Risk_Compensation!$G59</f>
        <v>42</v>
      </c>
      <c r="F4829" s="1390" t="str">
        <f>Risk_Compensation!$AD$17</f>
        <v>VD</v>
      </c>
      <c r="G4829" s="1390"/>
      <c r="H4829" s="1077">
        <f>Risk_Compensation!$AD59</f>
        <v>0</v>
      </c>
    </row>
    <row r="4830" spans="1:8" x14ac:dyDescent="0.2">
      <c r="A4830" s="1027"/>
      <c r="B4830" s="1083">
        <f>Risk_Compensation!A$1</f>
        <v>36</v>
      </c>
      <c r="C4830" s="1390" t="str">
        <f>Risk_Compensation!$B$1</f>
        <v xml:space="preserve">Risikoausgleich </v>
      </c>
      <c r="D4830" s="2205" t="s">
        <v>2572</v>
      </c>
      <c r="E4830" s="1390">
        <f>Risk_Compensation!$G60</f>
        <v>43</v>
      </c>
      <c r="F4830" s="1390" t="str">
        <f>Risk_Compensation!$AD$17</f>
        <v>VD</v>
      </c>
      <c r="G4830" s="1390"/>
      <c r="H4830" s="1077">
        <f>Risk_Compensation!$AD60</f>
        <v>0</v>
      </c>
    </row>
    <row r="4831" spans="1:8" x14ac:dyDescent="0.2">
      <c r="A4831" s="1027"/>
      <c r="B4831" s="1083">
        <f>Risk_Compensation!A$1</f>
        <v>36</v>
      </c>
      <c r="C4831" s="1390" t="str">
        <f>Risk_Compensation!$B$1</f>
        <v xml:space="preserve">Risikoausgleich </v>
      </c>
      <c r="D4831" s="2205" t="s">
        <v>2572</v>
      </c>
      <c r="E4831" s="1390">
        <f>Risk_Compensation!$G61</f>
        <v>44</v>
      </c>
      <c r="F4831" s="1390" t="str">
        <f>Risk_Compensation!$AD$17</f>
        <v>VD</v>
      </c>
      <c r="G4831" s="1390"/>
      <c r="H4831" s="1077">
        <f>Risk_Compensation!$AD61</f>
        <v>0</v>
      </c>
    </row>
    <row r="4832" spans="1:8" x14ac:dyDescent="0.2">
      <c r="A4832" s="1027"/>
      <c r="B4832" s="1083">
        <f>Risk_Compensation!A$1</f>
        <v>36</v>
      </c>
      <c r="C4832" s="1390" t="str">
        <f>Risk_Compensation!$B$1</f>
        <v xml:space="preserve">Risikoausgleich </v>
      </c>
      <c r="D4832" s="2205" t="s">
        <v>2572</v>
      </c>
      <c r="E4832" s="1390">
        <f>Risk_Compensation!$G62</f>
        <v>45</v>
      </c>
      <c r="F4832" s="1390" t="str">
        <f>Risk_Compensation!$AD$17</f>
        <v>VD</v>
      </c>
      <c r="G4832" s="1390"/>
      <c r="H4832" s="1077">
        <f>Risk_Compensation!$AD62</f>
        <v>0</v>
      </c>
    </row>
    <row r="4833" spans="1:8" x14ac:dyDescent="0.2">
      <c r="A4833" s="1027"/>
      <c r="B4833" s="1083">
        <f>Risk_Compensation!A$1</f>
        <v>36</v>
      </c>
      <c r="C4833" s="1390" t="str">
        <f>Risk_Compensation!$B$1</f>
        <v xml:space="preserve">Risikoausgleich </v>
      </c>
      <c r="D4833" s="2205" t="s">
        <v>2572</v>
      </c>
      <c r="E4833" s="1390">
        <f>Risk_Compensation!$G63</f>
        <v>46</v>
      </c>
      <c r="F4833" s="1390" t="str">
        <f>Risk_Compensation!$AD$17</f>
        <v>VD</v>
      </c>
      <c r="G4833" s="1390"/>
      <c r="H4833" s="1077">
        <f>Risk_Compensation!$AD63</f>
        <v>0</v>
      </c>
    </row>
    <row r="4834" spans="1:8" x14ac:dyDescent="0.2">
      <c r="A4834" s="1027"/>
      <c r="B4834" s="1083">
        <f>Risk_Compensation!A$1</f>
        <v>36</v>
      </c>
      <c r="C4834" s="1390" t="str">
        <f>Risk_Compensation!$B$1</f>
        <v xml:space="preserve">Risikoausgleich </v>
      </c>
      <c r="D4834" s="2205" t="s">
        <v>2572</v>
      </c>
      <c r="E4834" s="1390">
        <f>Risk_Compensation!$G64</f>
        <v>47</v>
      </c>
      <c r="F4834" s="1390" t="str">
        <f>Risk_Compensation!$AD$17</f>
        <v>VD</v>
      </c>
      <c r="G4834" s="1390"/>
      <c r="H4834" s="1077">
        <f>Risk_Compensation!$AD64</f>
        <v>0</v>
      </c>
    </row>
    <row r="4835" spans="1:8" x14ac:dyDescent="0.2">
      <c r="A4835" s="1027"/>
      <c r="B4835" s="1083">
        <f>Risk_Compensation!A$1</f>
        <v>36</v>
      </c>
      <c r="C4835" s="1390" t="str">
        <f>Risk_Compensation!$B$1</f>
        <v xml:space="preserve">Risikoausgleich </v>
      </c>
      <c r="D4835" s="2205" t="s">
        <v>2572</v>
      </c>
      <c r="E4835" s="1390">
        <f>Risk_Compensation!$G65</f>
        <v>48</v>
      </c>
      <c r="F4835" s="1390" t="str">
        <f>Risk_Compensation!$AD$17</f>
        <v>VD</v>
      </c>
      <c r="G4835" s="1390"/>
      <c r="H4835" s="1077">
        <f>Risk_Compensation!$AD65</f>
        <v>0</v>
      </c>
    </row>
    <row r="4836" spans="1:8" x14ac:dyDescent="0.2">
      <c r="A4836" s="1027"/>
      <c r="B4836" s="1083">
        <f>Risk_Compensation!A$1</f>
        <v>36</v>
      </c>
      <c r="C4836" s="1390" t="str">
        <f>Risk_Compensation!$B$1</f>
        <v xml:space="preserve">Risikoausgleich </v>
      </c>
      <c r="D4836" s="2205" t="s">
        <v>2572</v>
      </c>
      <c r="E4836" s="1390">
        <f>Risk_Compensation!$G66</f>
        <v>49</v>
      </c>
      <c r="F4836" s="1390" t="str">
        <f>Risk_Compensation!$AD$17</f>
        <v>VD</v>
      </c>
      <c r="G4836" s="1390"/>
      <c r="H4836" s="1077">
        <f>Risk_Compensation!$AD66</f>
        <v>0</v>
      </c>
    </row>
    <row r="4837" spans="1:8" x14ac:dyDescent="0.2">
      <c r="A4837" s="1027"/>
      <c r="B4837" s="1083">
        <f>Risk_Compensation!A$1</f>
        <v>36</v>
      </c>
      <c r="C4837" s="1390" t="str">
        <f>Risk_Compensation!$B$1</f>
        <v xml:space="preserve">Risikoausgleich </v>
      </c>
      <c r="D4837" s="2205" t="s">
        <v>2572</v>
      </c>
      <c r="E4837" s="1390">
        <f>Risk_Compensation!$G67</f>
        <v>50</v>
      </c>
      <c r="F4837" s="1390" t="str">
        <f>Risk_Compensation!$AD$17</f>
        <v>VD</v>
      </c>
      <c r="G4837" s="1390"/>
      <c r="H4837" s="1077">
        <f>Risk_Compensation!$AD67</f>
        <v>0</v>
      </c>
    </row>
    <row r="4838" spans="1:8" x14ac:dyDescent="0.2">
      <c r="A4838" s="1027"/>
      <c r="B4838" s="1083">
        <f>Risk_Compensation!A$1</f>
        <v>36</v>
      </c>
      <c r="C4838" s="1390" t="str">
        <f>Risk_Compensation!$B$1</f>
        <v xml:space="preserve">Risikoausgleich </v>
      </c>
      <c r="D4838" s="2205" t="s">
        <v>2572</v>
      </c>
      <c r="E4838" s="1390">
        <f>Risk_Compensation!$G68</f>
        <v>51</v>
      </c>
      <c r="F4838" s="1390" t="str">
        <f>Risk_Compensation!$AD$17</f>
        <v>VD</v>
      </c>
      <c r="G4838" s="1390"/>
      <c r="H4838" s="1077">
        <f>Risk_Compensation!$AD68</f>
        <v>0</v>
      </c>
    </row>
    <row r="4839" spans="1:8" x14ac:dyDescent="0.2">
      <c r="A4839" s="1027"/>
      <c r="B4839" s="1083">
        <f>Risk_Compensation!A$1</f>
        <v>36</v>
      </c>
      <c r="C4839" s="1390" t="str">
        <f>Risk_Compensation!$B$1</f>
        <v xml:space="preserve">Risikoausgleich </v>
      </c>
      <c r="D4839" s="2205" t="s">
        <v>2572</v>
      </c>
      <c r="E4839" s="1390">
        <f>Risk_Compensation!$G69</f>
        <v>52</v>
      </c>
      <c r="F4839" s="1390" t="str">
        <f>Risk_Compensation!$AD$17</f>
        <v>VD</v>
      </c>
      <c r="G4839" s="1390"/>
      <c r="H4839" s="1077">
        <f>Risk_Compensation!$AD69</f>
        <v>0</v>
      </c>
    </row>
    <row r="4840" spans="1:8" x14ac:dyDescent="0.2">
      <c r="A4840" s="1027"/>
      <c r="B4840" s="1083">
        <f>Risk_Compensation!A$1</f>
        <v>36</v>
      </c>
      <c r="C4840" s="1390" t="str">
        <f>Risk_Compensation!$B$1</f>
        <v xml:space="preserve">Risikoausgleich </v>
      </c>
      <c r="D4840" s="2205" t="s">
        <v>2572</v>
      </c>
      <c r="E4840" s="1390">
        <f>Risk_Compensation!$G70</f>
        <v>53</v>
      </c>
      <c r="F4840" s="1390" t="str">
        <f>Risk_Compensation!$AD$17</f>
        <v>VD</v>
      </c>
      <c r="G4840" s="1390"/>
      <c r="H4840" s="1077">
        <f>Risk_Compensation!$AD70</f>
        <v>0</v>
      </c>
    </row>
    <row r="4841" spans="1:8" x14ac:dyDescent="0.2">
      <c r="A4841" s="1027"/>
      <c r="B4841" s="1083">
        <f>Risk_Compensation!A$1</f>
        <v>36</v>
      </c>
      <c r="C4841" s="1390" t="str">
        <f>Risk_Compensation!$B$1</f>
        <v xml:space="preserve">Risikoausgleich </v>
      </c>
      <c r="D4841" s="2205" t="s">
        <v>2572</v>
      </c>
      <c r="E4841" s="1390">
        <f>Risk_Compensation!$G71</f>
        <v>54</v>
      </c>
      <c r="F4841" s="1390" t="str">
        <f>Risk_Compensation!$AD$17</f>
        <v>VD</v>
      </c>
      <c r="G4841" s="1390"/>
      <c r="H4841" s="1077">
        <f>Risk_Compensation!$AD71</f>
        <v>0</v>
      </c>
    </row>
    <row r="4842" spans="1:8" x14ac:dyDescent="0.2">
      <c r="A4842" s="1027"/>
      <c r="B4842" s="1083">
        <f>Risk_Compensation!A$1</f>
        <v>36</v>
      </c>
      <c r="C4842" s="1390" t="str">
        <f>Risk_Compensation!$B$1</f>
        <v xml:space="preserve">Risikoausgleich </v>
      </c>
      <c r="D4842" s="2205" t="s">
        <v>2572</v>
      </c>
      <c r="E4842" s="1390">
        <f>Risk_Compensation!$G72</f>
        <v>55</v>
      </c>
      <c r="F4842" s="1390" t="str">
        <f>Risk_Compensation!$AD$17</f>
        <v>VD</v>
      </c>
      <c r="G4842" s="1390"/>
      <c r="H4842" s="1077">
        <f>Risk_Compensation!$AD72</f>
        <v>0</v>
      </c>
    </row>
    <row r="4843" spans="1:8" x14ac:dyDescent="0.2">
      <c r="A4843" s="1027"/>
      <c r="B4843" s="1083">
        <f>Risk_Compensation!A$1</f>
        <v>36</v>
      </c>
      <c r="C4843" s="1390" t="str">
        <f>Risk_Compensation!$B$1</f>
        <v xml:space="preserve">Risikoausgleich </v>
      </c>
      <c r="D4843" s="2205" t="s">
        <v>2572</v>
      </c>
      <c r="E4843" s="1390">
        <f>Risk_Compensation!$G73</f>
        <v>56</v>
      </c>
      <c r="F4843" s="1390" t="str">
        <f>Risk_Compensation!$AD$17</f>
        <v>VD</v>
      </c>
      <c r="G4843" s="1390"/>
      <c r="H4843" s="1077">
        <f>Risk_Compensation!$AD73</f>
        <v>0</v>
      </c>
    </row>
    <row r="4844" spans="1:8" x14ac:dyDescent="0.2">
      <c r="A4844" s="1027"/>
      <c r="B4844" s="1083">
        <f>Risk_Compensation!A$1</f>
        <v>36</v>
      </c>
      <c r="C4844" s="1390" t="str">
        <f>Risk_Compensation!$B$1</f>
        <v xml:space="preserve">Risikoausgleich </v>
      </c>
      <c r="D4844" s="2205" t="s">
        <v>2572</v>
      </c>
      <c r="E4844" s="1390">
        <f>Risk_Compensation!$G74</f>
        <v>57</v>
      </c>
      <c r="F4844" s="1390" t="str">
        <f>Risk_Compensation!$AD$17</f>
        <v>VD</v>
      </c>
      <c r="G4844" s="1390"/>
      <c r="H4844" s="1077">
        <f>Risk_Compensation!$AD74</f>
        <v>0</v>
      </c>
    </row>
    <row r="4845" spans="1:8" x14ac:dyDescent="0.2">
      <c r="A4845" s="1027"/>
      <c r="B4845" s="1083">
        <f>Risk_Compensation!A$1</f>
        <v>36</v>
      </c>
      <c r="C4845" s="1390" t="str">
        <f>Risk_Compensation!$B$1</f>
        <v xml:space="preserve">Risikoausgleich </v>
      </c>
      <c r="D4845" s="2205" t="s">
        <v>2572</v>
      </c>
      <c r="E4845" s="1390">
        <f>Risk_Compensation!$G75</f>
        <v>58</v>
      </c>
      <c r="F4845" s="1390" t="str">
        <f>Risk_Compensation!$AD$17</f>
        <v>VD</v>
      </c>
      <c r="G4845" s="1390"/>
      <c r="H4845" s="1077">
        <f>Risk_Compensation!$AD75</f>
        <v>0</v>
      </c>
    </row>
    <row r="4846" spans="1:8" x14ac:dyDescent="0.2">
      <c r="A4846" s="1027"/>
      <c r="B4846" s="1083">
        <f>Risk_Compensation!A$1</f>
        <v>36</v>
      </c>
      <c r="C4846" s="1390" t="str">
        <f>Risk_Compensation!$B$1</f>
        <v xml:space="preserve">Risikoausgleich </v>
      </c>
      <c r="D4846" s="2205" t="s">
        <v>2572</v>
      </c>
      <c r="E4846" s="1390">
        <f>Risk_Compensation!$G76</f>
        <v>59</v>
      </c>
      <c r="F4846" s="1390" t="str">
        <f>Risk_Compensation!$AD$17</f>
        <v>VD</v>
      </c>
      <c r="G4846" s="1390"/>
      <c r="H4846" s="1077">
        <f>Risk_Compensation!$AD76</f>
        <v>0</v>
      </c>
    </row>
    <row r="4847" spans="1:8" x14ac:dyDescent="0.2">
      <c r="A4847" s="1027"/>
      <c r="B4847" s="1083">
        <f>Risk_Compensation!A$1</f>
        <v>36</v>
      </c>
      <c r="C4847" s="1390" t="str">
        <f>Risk_Compensation!$B$1</f>
        <v xml:space="preserve">Risikoausgleich </v>
      </c>
      <c r="D4847" s="2205" t="s">
        <v>2572</v>
      </c>
      <c r="E4847" s="1390">
        <f>Risk_Compensation!$G77</f>
        <v>60</v>
      </c>
      <c r="F4847" s="1390" t="str">
        <f>Risk_Compensation!$AD$17</f>
        <v>VD</v>
      </c>
      <c r="G4847" s="1390"/>
      <c r="H4847" s="1077">
        <f>Risk_Compensation!$AD77</f>
        <v>0</v>
      </c>
    </row>
    <row r="4848" spans="1:8" x14ac:dyDescent="0.2">
      <c r="A4848" s="1027"/>
      <c r="B4848" s="2174"/>
      <c r="C4848" s="1390"/>
      <c r="D4848" s="2175"/>
      <c r="E4848" s="2176"/>
      <c r="F4848" s="1390"/>
      <c r="G4848" s="1390"/>
      <c r="H4848" s="1078"/>
    </row>
    <row r="4849" spans="1:8" x14ac:dyDescent="0.2">
      <c r="A4849" s="1027"/>
      <c r="B4849" s="1083">
        <f>Risk_Compensation!A$1</f>
        <v>36</v>
      </c>
      <c r="C4849" s="1390" t="str">
        <f>Risk_Compensation!$B$1</f>
        <v xml:space="preserve">Risikoausgleich </v>
      </c>
      <c r="D4849" s="2205" t="s">
        <v>2572</v>
      </c>
      <c r="E4849" s="1390">
        <f>Risk_Compensation!$G18</f>
        <v>1</v>
      </c>
      <c r="F4849" s="1390" t="str">
        <f>Risk_Compensation!$AE$17</f>
        <v>VS</v>
      </c>
      <c r="G4849" s="1390"/>
      <c r="H4849" s="1077">
        <f>Risk_Compensation!$AE18</f>
        <v>0</v>
      </c>
    </row>
    <row r="4850" spans="1:8" x14ac:dyDescent="0.2">
      <c r="A4850" s="1027"/>
      <c r="B4850" s="1083">
        <f>Risk_Compensation!A$1</f>
        <v>36</v>
      </c>
      <c r="C4850" s="1390" t="str">
        <f>Risk_Compensation!$B$1</f>
        <v xml:space="preserve">Risikoausgleich </v>
      </c>
      <c r="D4850" s="2205" t="s">
        <v>2572</v>
      </c>
      <c r="E4850" s="1390">
        <f>Risk_Compensation!$G19</f>
        <v>2</v>
      </c>
      <c r="F4850" s="1390" t="str">
        <f>Risk_Compensation!$AE$17</f>
        <v>VS</v>
      </c>
      <c r="G4850" s="1390"/>
      <c r="H4850" s="1077">
        <f>Risk_Compensation!$AE19</f>
        <v>0</v>
      </c>
    </row>
    <row r="4851" spans="1:8" x14ac:dyDescent="0.2">
      <c r="A4851" s="1027"/>
      <c r="B4851" s="1083">
        <f>Risk_Compensation!A$1</f>
        <v>36</v>
      </c>
      <c r="C4851" s="1390" t="str">
        <f>Risk_Compensation!$B$1</f>
        <v xml:space="preserve">Risikoausgleich </v>
      </c>
      <c r="D4851" s="2205" t="s">
        <v>2572</v>
      </c>
      <c r="E4851" s="1390">
        <f>Risk_Compensation!$G20</f>
        <v>3</v>
      </c>
      <c r="F4851" s="1390" t="str">
        <f>Risk_Compensation!$AE$17</f>
        <v>VS</v>
      </c>
      <c r="G4851" s="1390"/>
      <c r="H4851" s="1077">
        <f>Risk_Compensation!$AE20</f>
        <v>0</v>
      </c>
    </row>
    <row r="4852" spans="1:8" x14ac:dyDescent="0.2">
      <c r="A4852" s="1027"/>
      <c r="B4852" s="1083">
        <f>Risk_Compensation!A$1</f>
        <v>36</v>
      </c>
      <c r="C4852" s="1390" t="str">
        <f>Risk_Compensation!$B$1</f>
        <v xml:space="preserve">Risikoausgleich </v>
      </c>
      <c r="D4852" s="2205" t="s">
        <v>2572</v>
      </c>
      <c r="E4852" s="1390">
        <f>Risk_Compensation!$G21</f>
        <v>4</v>
      </c>
      <c r="F4852" s="1390" t="str">
        <f>Risk_Compensation!$AE$17</f>
        <v>VS</v>
      </c>
      <c r="G4852" s="1390"/>
      <c r="H4852" s="1077">
        <f>Risk_Compensation!$AE21</f>
        <v>0</v>
      </c>
    </row>
    <row r="4853" spans="1:8" x14ac:dyDescent="0.2">
      <c r="A4853" s="1027"/>
      <c r="B4853" s="1083">
        <f>Risk_Compensation!A$1</f>
        <v>36</v>
      </c>
      <c r="C4853" s="1390" t="str">
        <f>Risk_Compensation!$B$1</f>
        <v xml:space="preserve">Risikoausgleich </v>
      </c>
      <c r="D4853" s="2205" t="s">
        <v>2572</v>
      </c>
      <c r="E4853" s="1390">
        <f>Risk_Compensation!$G22</f>
        <v>5</v>
      </c>
      <c r="F4853" s="1390" t="str">
        <f>Risk_Compensation!$AE$17</f>
        <v>VS</v>
      </c>
      <c r="G4853" s="1390"/>
      <c r="H4853" s="1077">
        <f>Risk_Compensation!$AE22</f>
        <v>0</v>
      </c>
    </row>
    <row r="4854" spans="1:8" x14ac:dyDescent="0.2">
      <c r="A4854" s="1027"/>
      <c r="B4854" s="1083">
        <f>Risk_Compensation!A$1</f>
        <v>36</v>
      </c>
      <c r="C4854" s="1390" t="str">
        <f>Risk_Compensation!$B$1</f>
        <v xml:space="preserve">Risikoausgleich </v>
      </c>
      <c r="D4854" s="2205" t="s">
        <v>2572</v>
      </c>
      <c r="E4854" s="1390">
        <f>Risk_Compensation!$G23</f>
        <v>6</v>
      </c>
      <c r="F4854" s="1390" t="str">
        <f>Risk_Compensation!$AE$17</f>
        <v>VS</v>
      </c>
      <c r="G4854" s="1390"/>
      <c r="H4854" s="1077">
        <f>Risk_Compensation!$AE23</f>
        <v>0</v>
      </c>
    </row>
    <row r="4855" spans="1:8" x14ac:dyDescent="0.2">
      <c r="A4855" s="1027"/>
      <c r="B4855" s="1083">
        <f>Risk_Compensation!A$1</f>
        <v>36</v>
      </c>
      <c r="C4855" s="1390" t="str">
        <f>Risk_Compensation!$B$1</f>
        <v xml:space="preserve">Risikoausgleich </v>
      </c>
      <c r="D4855" s="2205" t="s">
        <v>2572</v>
      </c>
      <c r="E4855" s="1390">
        <f>Risk_Compensation!$G24</f>
        <v>7</v>
      </c>
      <c r="F4855" s="1390" t="str">
        <f>Risk_Compensation!$AE$17</f>
        <v>VS</v>
      </c>
      <c r="G4855" s="1390"/>
      <c r="H4855" s="1077">
        <f>Risk_Compensation!$AE24</f>
        <v>0</v>
      </c>
    </row>
    <row r="4856" spans="1:8" x14ac:dyDescent="0.2">
      <c r="A4856" s="1027"/>
      <c r="B4856" s="1083">
        <f>Risk_Compensation!A$1</f>
        <v>36</v>
      </c>
      <c r="C4856" s="1390" t="str">
        <f>Risk_Compensation!$B$1</f>
        <v xml:space="preserve">Risikoausgleich </v>
      </c>
      <c r="D4856" s="2205" t="s">
        <v>2572</v>
      </c>
      <c r="E4856" s="1390">
        <f>Risk_Compensation!$G25</f>
        <v>8</v>
      </c>
      <c r="F4856" s="1390" t="str">
        <f>Risk_Compensation!$AE$17</f>
        <v>VS</v>
      </c>
      <c r="G4856" s="1390"/>
      <c r="H4856" s="1077">
        <f>Risk_Compensation!$AE25</f>
        <v>0</v>
      </c>
    </row>
    <row r="4857" spans="1:8" x14ac:dyDescent="0.2">
      <c r="A4857" s="1027"/>
      <c r="B4857" s="1083">
        <f>Risk_Compensation!A$1</f>
        <v>36</v>
      </c>
      <c r="C4857" s="1390" t="str">
        <f>Risk_Compensation!$B$1</f>
        <v xml:space="preserve">Risikoausgleich </v>
      </c>
      <c r="D4857" s="2205" t="s">
        <v>2572</v>
      </c>
      <c r="E4857" s="1390">
        <f>Risk_Compensation!$G26</f>
        <v>9</v>
      </c>
      <c r="F4857" s="1390" t="str">
        <f>Risk_Compensation!$AE$17</f>
        <v>VS</v>
      </c>
      <c r="G4857" s="1390"/>
      <c r="H4857" s="1077">
        <f>Risk_Compensation!$AE26</f>
        <v>0</v>
      </c>
    </row>
    <row r="4858" spans="1:8" x14ac:dyDescent="0.2">
      <c r="A4858" s="1027"/>
      <c r="B4858" s="1083">
        <f>Risk_Compensation!A$1</f>
        <v>36</v>
      </c>
      <c r="C4858" s="1390" t="str">
        <f>Risk_Compensation!$B$1</f>
        <v xml:space="preserve">Risikoausgleich </v>
      </c>
      <c r="D4858" s="2205" t="s">
        <v>2572</v>
      </c>
      <c r="E4858" s="1390">
        <f>Risk_Compensation!$G27</f>
        <v>10</v>
      </c>
      <c r="F4858" s="1390" t="str">
        <f>Risk_Compensation!$AE$17</f>
        <v>VS</v>
      </c>
      <c r="G4858" s="1390"/>
      <c r="H4858" s="1077">
        <f>Risk_Compensation!$AE27</f>
        <v>0</v>
      </c>
    </row>
    <row r="4859" spans="1:8" x14ac:dyDescent="0.2">
      <c r="A4859" s="1027"/>
      <c r="B4859" s="1083">
        <f>Risk_Compensation!A$1</f>
        <v>36</v>
      </c>
      <c r="C4859" s="1390" t="str">
        <f>Risk_Compensation!$B$1</f>
        <v xml:space="preserve">Risikoausgleich </v>
      </c>
      <c r="D4859" s="2205" t="s">
        <v>2572</v>
      </c>
      <c r="E4859" s="1390">
        <f>Risk_Compensation!$G28</f>
        <v>11</v>
      </c>
      <c r="F4859" s="1390" t="str">
        <f>Risk_Compensation!$AE$17</f>
        <v>VS</v>
      </c>
      <c r="G4859" s="1390"/>
      <c r="H4859" s="1077">
        <f>Risk_Compensation!$AE28</f>
        <v>0</v>
      </c>
    </row>
    <row r="4860" spans="1:8" x14ac:dyDescent="0.2">
      <c r="A4860" s="1027"/>
      <c r="B4860" s="1083">
        <f>Risk_Compensation!A$1</f>
        <v>36</v>
      </c>
      <c r="C4860" s="1390" t="str">
        <f>Risk_Compensation!$B$1</f>
        <v xml:space="preserve">Risikoausgleich </v>
      </c>
      <c r="D4860" s="2205" t="s">
        <v>2572</v>
      </c>
      <c r="E4860" s="1390">
        <f>Risk_Compensation!$G29</f>
        <v>12</v>
      </c>
      <c r="F4860" s="1390" t="str">
        <f>Risk_Compensation!$AE$17</f>
        <v>VS</v>
      </c>
      <c r="G4860" s="1390"/>
      <c r="H4860" s="1077">
        <f>Risk_Compensation!$AE29</f>
        <v>0</v>
      </c>
    </row>
    <row r="4861" spans="1:8" x14ac:dyDescent="0.2">
      <c r="A4861" s="1027"/>
      <c r="B4861" s="1083">
        <f>Risk_Compensation!A$1</f>
        <v>36</v>
      </c>
      <c r="C4861" s="1390" t="str">
        <f>Risk_Compensation!$B$1</f>
        <v xml:space="preserve">Risikoausgleich </v>
      </c>
      <c r="D4861" s="2205" t="s">
        <v>2572</v>
      </c>
      <c r="E4861" s="1390">
        <f>Risk_Compensation!$G30</f>
        <v>13</v>
      </c>
      <c r="F4861" s="1390" t="str">
        <f>Risk_Compensation!$AE$17</f>
        <v>VS</v>
      </c>
      <c r="G4861" s="1390"/>
      <c r="H4861" s="1077">
        <f>Risk_Compensation!$AE30</f>
        <v>0</v>
      </c>
    </row>
    <row r="4862" spans="1:8" x14ac:dyDescent="0.2">
      <c r="A4862" s="1027"/>
      <c r="B4862" s="1083">
        <f>Risk_Compensation!A$1</f>
        <v>36</v>
      </c>
      <c r="C4862" s="1390" t="str">
        <f>Risk_Compensation!$B$1</f>
        <v xml:space="preserve">Risikoausgleich </v>
      </c>
      <c r="D4862" s="2205" t="s">
        <v>2572</v>
      </c>
      <c r="E4862" s="1390">
        <f>Risk_Compensation!$G31</f>
        <v>14</v>
      </c>
      <c r="F4862" s="1390" t="str">
        <f>Risk_Compensation!$AE$17</f>
        <v>VS</v>
      </c>
      <c r="G4862" s="1390"/>
      <c r="H4862" s="1077">
        <f>Risk_Compensation!$AE31</f>
        <v>0</v>
      </c>
    </row>
    <row r="4863" spans="1:8" x14ac:dyDescent="0.2">
      <c r="A4863" s="1027"/>
      <c r="B4863" s="1083">
        <f>Risk_Compensation!A$1</f>
        <v>36</v>
      </c>
      <c r="C4863" s="1390" t="str">
        <f>Risk_Compensation!$B$1</f>
        <v xml:space="preserve">Risikoausgleich </v>
      </c>
      <c r="D4863" s="2205" t="s">
        <v>2572</v>
      </c>
      <c r="E4863" s="1390">
        <f>Risk_Compensation!$G32</f>
        <v>15</v>
      </c>
      <c r="F4863" s="1390" t="str">
        <f>Risk_Compensation!$AE$17</f>
        <v>VS</v>
      </c>
      <c r="G4863" s="1390"/>
      <c r="H4863" s="1077">
        <f>Risk_Compensation!$AE32</f>
        <v>0</v>
      </c>
    </row>
    <row r="4864" spans="1:8" x14ac:dyDescent="0.2">
      <c r="A4864" s="1027"/>
      <c r="B4864" s="1083">
        <f>Risk_Compensation!A$1</f>
        <v>36</v>
      </c>
      <c r="C4864" s="1390" t="str">
        <f>Risk_Compensation!$B$1</f>
        <v xml:space="preserve">Risikoausgleich </v>
      </c>
      <c r="D4864" s="2205" t="s">
        <v>2572</v>
      </c>
      <c r="E4864" s="1390">
        <f>Risk_Compensation!$G33</f>
        <v>16</v>
      </c>
      <c r="F4864" s="1390" t="str">
        <f>Risk_Compensation!$AE$17</f>
        <v>VS</v>
      </c>
      <c r="G4864" s="1390"/>
      <c r="H4864" s="1077">
        <f>Risk_Compensation!$AE33</f>
        <v>0</v>
      </c>
    </row>
    <row r="4865" spans="1:8" x14ac:dyDescent="0.2">
      <c r="A4865" s="1027"/>
      <c r="B4865" s="1083">
        <f>Risk_Compensation!A$1</f>
        <v>36</v>
      </c>
      <c r="C4865" s="1390" t="str">
        <f>Risk_Compensation!$B$1</f>
        <v xml:space="preserve">Risikoausgleich </v>
      </c>
      <c r="D4865" s="2205" t="s">
        <v>2572</v>
      </c>
      <c r="E4865" s="1390">
        <f>Risk_Compensation!$G34</f>
        <v>17</v>
      </c>
      <c r="F4865" s="1390" t="str">
        <f>Risk_Compensation!$AE$17</f>
        <v>VS</v>
      </c>
      <c r="G4865" s="1390"/>
      <c r="H4865" s="1077">
        <f>Risk_Compensation!$AE34</f>
        <v>0</v>
      </c>
    </row>
    <row r="4866" spans="1:8" x14ac:dyDescent="0.2">
      <c r="A4866" s="1027"/>
      <c r="B4866" s="1083">
        <f>Risk_Compensation!A$1</f>
        <v>36</v>
      </c>
      <c r="C4866" s="1390" t="str">
        <f>Risk_Compensation!$B$1</f>
        <v xml:space="preserve">Risikoausgleich </v>
      </c>
      <c r="D4866" s="2205" t="s">
        <v>2572</v>
      </c>
      <c r="E4866" s="1390">
        <f>Risk_Compensation!$G35</f>
        <v>18</v>
      </c>
      <c r="F4866" s="1390" t="str">
        <f>Risk_Compensation!$AE$17</f>
        <v>VS</v>
      </c>
      <c r="G4866" s="1390"/>
      <c r="H4866" s="1077">
        <f>Risk_Compensation!$AE35</f>
        <v>0</v>
      </c>
    </row>
    <row r="4867" spans="1:8" x14ac:dyDescent="0.2">
      <c r="A4867" s="1027"/>
      <c r="B4867" s="1083">
        <f>Risk_Compensation!A$1</f>
        <v>36</v>
      </c>
      <c r="C4867" s="1390" t="str">
        <f>Risk_Compensation!$B$1</f>
        <v xml:space="preserve">Risikoausgleich </v>
      </c>
      <c r="D4867" s="2205" t="s">
        <v>2572</v>
      </c>
      <c r="E4867" s="1390">
        <f>Risk_Compensation!$G36</f>
        <v>19</v>
      </c>
      <c r="F4867" s="1390" t="str">
        <f>Risk_Compensation!$AE$17</f>
        <v>VS</v>
      </c>
      <c r="G4867" s="1390"/>
      <c r="H4867" s="1077">
        <f>Risk_Compensation!$AE36</f>
        <v>0</v>
      </c>
    </row>
    <row r="4868" spans="1:8" x14ac:dyDescent="0.2">
      <c r="A4868" s="1027"/>
      <c r="B4868" s="1083">
        <f>Risk_Compensation!A$1</f>
        <v>36</v>
      </c>
      <c r="C4868" s="1390" t="str">
        <f>Risk_Compensation!$B$1</f>
        <v xml:space="preserve">Risikoausgleich </v>
      </c>
      <c r="D4868" s="2205" t="s">
        <v>2572</v>
      </c>
      <c r="E4868" s="1390">
        <f>Risk_Compensation!$G37</f>
        <v>20</v>
      </c>
      <c r="F4868" s="1390" t="str">
        <f>Risk_Compensation!$AE$17</f>
        <v>VS</v>
      </c>
      <c r="G4868" s="1390"/>
      <c r="H4868" s="1077">
        <f>Risk_Compensation!$AE37</f>
        <v>0</v>
      </c>
    </row>
    <row r="4869" spans="1:8" x14ac:dyDescent="0.2">
      <c r="A4869" s="1027"/>
      <c r="B4869" s="1083">
        <f>Risk_Compensation!A$1</f>
        <v>36</v>
      </c>
      <c r="C4869" s="1390" t="str">
        <f>Risk_Compensation!$B$1</f>
        <v xml:space="preserve">Risikoausgleich </v>
      </c>
      <c r="D4869" s="2205" t="s">
        <v>2572</v>
      </c>
      <c r="E4869" s="1390">
        <f>Risk_Compensation!$G38</f>
        <v>21</v>
      </c>
      <c r="F4869" s="1390" t="str">
        <f>Risk_Compensation!$AE$17</f>
        <v>VS</v>
      </c>
      <c r="G4869" s="1390"/>
      <c r="H4869" s="1077">
        <f>Risk_Compensation!$AE38</f>
        <v>0</v>
      </c>
    </row>
    <row r="4870" spans="1:8" x14ac:dyDescent="0.2">
      <c r="A4870" s="1027"/>
      <c r="B4870" s="1083">
        <f>Risk_Compensation!A$1</f>
        <v>36</v>
      </c>
      <c r="C4870" s="1390" t="str">
        <f>Risk_Compensation!$B$1</f>
        <v xml:space="preserve">Risikoausgleich </v>
      </c>
      <c r="D4870" s="2205" t="s">
        <v>2572</v>
      </c>
      <c r="E4870" s="1390">
        <f>Risk_Compensation!$G39</f>
        <v>22</v>
      </c>
      <c r="F4870" s="1390" t="str">
        <f>Risk_Compensation!$AE$17</f>
        <v>VS</v>
      </c>
      <c r="G4870" s="1390"/>
      <c r="H4870" s="1077">
        <f>Risk_Compensation!$AE39</f>
        <v>0</v>
      </c>
    </row>
    <row r="4871" spans="1:8" x14ac:dyDescent="0.2">
      <c r="A4871" s="1027"/>
      <c r="B4871" s="1083">
        <f>Risk_Compensation!A$1</f>
        <v>36</v>
      </c>
      <c r="C4871" s="1390" t="str">
        <f>Risk_Compensation!$B$1</f>
        <v xml:space="preserve">Risikoausgleich </v>
      </c>
      <c r="D4871" s="2205" t="s">
        <v>2572</v>
      </c>
      <c r="E4871" s="1390">
        <f>Risk_Compensation!$G40</f>
        <v>23</v>
      </c>
      <c r="F4871" s="1390" t="str">
        <f>Risk_Compensation!$AE$17</f>
        <v>VS</v>
      </c>
      <c r="G4871" s="1390"/>
      <c r="H4871" s="1077">
        <f>Risk_Compensation!$AE40</f>
        <v>0</v>
      </c>
    </row>
    <row r="4872" spans="1:8" x14ac:dyDescent="0.2">
      <c r="A4872" s="1027"/>
      <c r="B4872" s="1083">
        <f>Risk_Compensation!A$1</f>
        <v>36</v>
      </c>
      <c r="C4872" s="1390" t="str">
        <f>Risk_Compensation!$B$1</f>
        <v xml:space="preserve">Risikoausgleich </v>
      </c>
      <c r="D4872" s="2205" t="s">
        <v>2572</v>
      </c>
      <c r="E4872" s="1390">
        <f>Risk_Compensation!$G41</f>
        <v>24</v>
      </c>
      <c r="F4872" s="1390" t="str">
        <f>Risk_Compensation!$AE$17</f>
        <v>VS</v>
      </c>
      <c r="G4872" s="1390"/>
      <c r="H4872" s="1077">
        <f>Risk_Compensation!$AE41</f>
        <v>0</v>
      </c>
    </row>
    <row r="4873" spans="1:8" x14ac:dyDescent="0.2">
      <c r="A4873" s="1027"/>
      <c r="B4873" s="1083">
        <f>Risk_Compensation!A$1</f>
        <v>36</v>
      </c>
      <c r="C4873" s="1390" t="str">
        <f>Risk_Compensation!$B$1</f>
        <v xml:space="preserve">Risikoausgleich </v>
      </c>
      <c r="D4873" s="2205" t="s">
        <v>2572</v>
      </c>
      <c r="E4873" s="1390">
        <f>Risk_Compensation!$G42</f>
        <v>25</v>
      </c>
      <c r="F4873" s="1390" t="str">
        <f>Risk_Compensation!$AE$17</f>
        <v>VS</v>
      </c>
      <c r="G4873" s="1390"/>
      <c r="H4873" s="1077">
        <f>Risk_Compensation!$AE42</f>
        <v>0</v>
      </c>
    </row>
    <row r="4874" spans="1:8" x14ac:dyDescent="0.2">
      <c r="A4874" s="1027"/>
      <c r="B4874" s="1083">
        <f>Risk_Compensation!A$1</f>
        <v>36</v>
      </c>
      <c r="C4874" s="1390" t="str">
        <f>Risk_Compensation!$B$1</f>
        <v xml:space="preserve">Risikoausgleich </v>
      </c>
      <c r="D4874" s="2205" t="s">
        <v>2572</v>
      </c>
      <c r="E4874" s="1390">
        <f>Risk_Compensation!$G43</f>
        <v>26</v>
      </c>
      <c r="F4874" s="1390" t="str">
        <f>Risk_Compensation!$AE$17</f>
        <v>VS</v>
      </c>
      <c r="G4874" s="1390"/>
      <c r="H4874" s="1077">
        <f>Risk_Compensation!$AE43</f>
        <v>0</v>
      </c>
    </row>
    <row r="4875" spans="1:8" x14ac:dyDescent="0.2">
      <c r="A4875" s="1027"/>
      <c r="B4875" s="1083">
        <f>Risk_Compensation!A$1</f>
        <v>36</v>
      </c>
      <c r="C4875" s="1390" t="str">
        <f>Risk_Compensation!$B$1</f>
        <v xml:space="preserve">Risikoausgleich </v>
      </c>
      <c r="D4875" s="2205" t="s">
        <v>2572</v>
      </c>
      <c r="E4875" s="1390">
        <f>Risk_Compensation!$G44</f>
        <v>27</v>
      </c>
      <c r="F4875" s="1390" t="str">
        <f>Risk_Compensation!$AE$17</f>
        <v>VS</v>
      </c>
      <c r="G4875" s="1390"/>
      <c r="H4875" s="1077">
        <f>Risk_Compensation!$AE44</f>
        <v>0</v>
      </c>
    </row>
    <row r="4876" spans="1:8" x14ac:dyDescent="0.2">
      <c r="A4876" s="1027"/>
      <c r="B4876" s="1083">
        <f>Risk_Compensation!A$1</f>
        <v>36</v>
      </c>
      <c r="C4876" s="1390" t="str">
        <f>Risk_Compensation!$B$1</f>
        <v xml:space="preserve">Risikoausgleich </v>
      </c>
      <c r="D4876" s="2205" t="s">
        <v>2572</v>
      </c>
      <c r="E4876" s="1390">
        <f>Risk_Compensation!$G45</f>
        <v>28</v>
      </c>
      <c r="F4876" s="1390" t="str">
        <f>Risk_Compensation!$AE$17</f>
        <v>VS</v>
      </c>
      <c r="G4876" s="1390"/>
      <c r="H4876" s="1077">
        <f>Risk_Compensation!$AE45</f>
        <v>0</v>
      </c>
    </row>
    <row r="4877" spans="1:8" x14ac:dyDescent="0.2">
      <c r="A4877" s="1027"/>
      <c r="B4877" s="1083">
        <f>Risk_Compensation!A$1</f>
        <v>36</v>
      </c>
      <c r="C4877" s="1390" t="str">
        <f>Risk_Compensation!$B$1</f>
        <v xml:space="preserve">Risikoausgleich </v>
      </c>
      <c r="D4877" s="2205" t="s">
        <v>2572</v>
      </c>
      <c r="E4877" s="1390">
        <f>Risk_Compensation!$G46</f>
        <v>29</v>
      </c>
      <c r="F4877" s="1390" t="str">
        <f>Risk_Compensation!$AE$17</f>
        <v>VS</v>
      </c>
      <c r="G4877" s="1390"/>
      <c r="H4877" s="1077">
        <f>Risk_Compensation!$AE46</f>
        <v>0</v>
      </c>
    </row>
    <row r="4878" spans="1:8" x14ac:dyDescent="0.2">
      <c r="A4878" s="1027"/>
      <c r="B4878" s="1083">
        <f>Risk_Compensation!A$1</f>
        <v>36</v>
      </c>
      <c r="C4878" s="1390" t="str">
        <f>Risk_Compensation!$B$1</f>
        <v xml:space="preserve">Risikoausgleich </v>
      </c>
      <c r="D4878" s="2205" t="s">
        <v>2572</v>
      </c>
      <c r="E4878" s="1390">
        <f>Risk_Compensation!$G47</f>
        <v>30</v>
      </c>
      <c r="F4878" s="1390" t="str">
        <f>Risk_Compensation!$AE$17</f>
        <v>VS</v>
      </c>
      <c r="G4878" s="1390"/>
      <c r="H4878" s="1077">
        <f>Risk_Compensation!$AE47</f>
        <v>0</v>
      </c>
    </row>
    <row r="4879" spans="1:8" x14ac:dyDescent="0.2">
      <c r="A4879" s="1027"/>
      <c r="B4879" s="1083">
        <f>Risk_Compensation!A$1</f>
        <v>36</v>
      </c>
      <c r="C4879" s="1390" t="str">
        <f>Risk_Compensation!$B$1</f>
        <v xml:space="preserve">Risikoausgleich </v>
      </c>
      <c r="D4879" s="2205" t="s">
        <v>2572</v>
      </c>
      <c r="E4879" s="1390">
        <f>Risk_Compensation!$G48</f>
        <v>31</v>
      </c>
      <c r="F4879" s="1390" t="str">
        <f>Risk_Compensation!$AE$17</f>
        <v>VS</v>
      </c>
      <c r="G4879" s="1390"/>
      <c r="H4879" s="1077">
        <f>Risk_Compensation!$AE48</f>
        <v>0</v>
      </c>
    </row>
    <row r="4880" spans="1:8" x14ac:dyDescent="0.2">
      <c r="A4880" s="1027"/>
      <c r="B4880" s="1083">
        <f>Risk_Compensation!A$1</f>
        <v>36</v>
      </c>
      <c r="C4880" s="1390" t="str">
        <f>Risk_Compensation!$B$1</f>
        <v xml:space="preserve">Risikoausgleich </v>
      </c>
      <c r="D4880" s="2205" t="s">
        <v>2572</v>
      </c>
      <c r="E4880" s="1390">
        <f>Risk_Compensation!$G49</f>
        <v>32</v>
      </c>
      <c r="F4880" s="1390" t="str">
        <f>Risk_Compensation!$AE$17</f>
        <v>VS</v>
      </c>
      <c r="G4880" s="1390"/>
      <c r="H4880" s="1077">
        <f>Risk_Compensation!$AE49</f>
        <v>0</v>
      </c>
    </row>
    <row r="4881" spans="1:8" x14ac:dyDescent="0.2">
      <c r="A4881" s="1027"/>
      <c r="B4881" s="1083">
        <f>Risk_Compensation!A$1</f>
        <v>36</v>
      </c>
      <c r="C4881" s="1390" t="str">
        <f>Risk_Compensation!$B$1</f>
        <v xml:space="preserve">Risikoausgleich </v>
      </c>
      <c r="D4881" s="2205" t="s">
        <v>2572</v>
      </c>
      <c r="E4881" s="1390">
        <f>Risk_Compensation!$G50</f>
        <v>33</v>
      </c>
      <c r="F4881" s="1390" t="str">
        <f>Risk_Compensation!$AE$17</f>
        <v>VS</v>
      </c>
      <c r="G4881" s="1390"/>
      <c r="H4881" s="1077">
        <f>Risk_Compensation!$AE50</f>
        <v>0</v>
      </c>
    </row>
    <row r="4882" spans="1:8" x14ac:dyDescent="0.2">
      <c r="A4882" s="1027"/>
      <c r="B4882" s="1083">
        <f>Risk_Compensation!A$1</f>
        <v>36</v>
      </c>
      <c r="C4882" s="1390" t="str">
        <f>Risk_Compensation!$B$1</f>
        <v xml:space="preserve">Risikoausgleich </v>
      </c>
      <c r="D4882" s="2205" t="s">
        <v>2572</v>
      </c>
      <c r="E4882" s="1390">
        <f>Risk_Compensation!$G51</f>
        <v>34</v>
      </c>
      <c r="F4882" s="1390" t="str">
        <f>Risk_Compensation!$AE$17</f>
        <v>VS</v>
      </c>
      <c r="G4882" s="1390"/>
      <c r="H4882" s="1077">
        <f>Risk_Compensation!$AE51</f>
        <v>0</v>
      </c>
    </row>
    <row r="4883" spans="1:8" x14ac:dyDescent="0.2">
      <c r="A4883" s="1027"/>
      <c r="B4883" s="1083">
        <f>Risk_Compensation!A$1</f>
        <v>36</v>
      </c>
      <c r="C4883" s="1390" t="str">
        <f>Risk_Compensation!$B$1</f>
        <v xml:space="preserve">Risikoausgleich </v>
      </c>
      <c r="D4883" s="2205" t="s">
        <v>2572</v>
      </c>
      <c r="E4883" s="1390">
        <f>Risk_Compensation!$G52</f>
        <v>35</v>
      </c>
      <c r="F4883" s="1390" t="str">
        <f>Risk_Compensation!$AE$17</f>
        <v>VS</v>
      </c>
      <c r="G4883" s="1390"/>
      <c r="H4883" s="1077">
        <f>Risk_Compensation!$AE52</f>
        <v>0</v>
      </c>
    </row>
    <row r="4884" spans="1:8" x14ac:dyDescent="0.2">
      <c r="A4884" s="1027"/>
      <c r="B4884" s="1083">
        <f>Risk_Compensation!A$1</f>
        <v>36</v>
      </c>
      <c r="C4884" s="1390" t="str">
        <f>Risk_Compensation!$B$1</f>
        <v xml:space="preserve">Risikoausgleich </v>
      </c>
      <c r="D4884" s="2205" t="s">
        <v>2572</v>
      </c>
      <c r="E4884" s="1390">
        <f>Risk_Compensation!$G53</f>
        <v>36</v>
      </c>
      <c r="F4884" s="1390" t="str">
        <f>Risk_Compensation!$AE$17</f>
        <v>VS</v>
      </c>
      <c r="G4884" s="1390"/>
      <c r="H4884" s="1077">
        <f>Risk_Compensation!$AE53</f>
        <v>0</v>
      </c>
    </row>
    <row r="4885" spans="1:8" x14ac:dyDescent="0.2">
      <c r="A4885" s="1027"/>
      <c r="B4885" s="1083">
        <f>Risk_Compensation!A$1</f>
        <v>36</v>
      </c>
      <c r="C4885" s="1390" t="str">
        <f>Risk_Compensation!$B$1</f>
        <v xml:space="preserve">Risikoausgleich </v>
      </c>
      <c r="D4885" s="2205" t="s">
        <v>2572</v>
      </c>
      <c r="E4885" s="1390">
        <f>Risk_Compensation!$G54</f>
        <v>37</v>
      </c>
      <c r="F4885" s="1390" t="str">
        <f>Risk_Compensation!$AE$17</f>
        <v>VS</v>
      </c>
      <c r="G4885" s="1390"/>
      <c r="H4885" s="1077">
        <f>Risk_Compensation!$AE54</f>
        <v>0</v>
      </c>
    </row>
    <row r="4886" spans="1:8" x14ac:dyDescent="0.2">
      <c r="A4886" s="1027"/>
      <c r="B4886" s="1083">
        <f>Risk_Compensation!A$1</f>
        <v>36</v>
      </c>
      <c r="C4886" s="1390" t="str">
        <f>Risk_Compensation!$B$1</f>
        <v xml:space="preserve">Risikoausgleich </v>
      </c>
      <c r="D4886" s="2205" t="s">
        <v>2572</v>
      </c>
      <c r="E4886" s="1390">
        <f>Risk_Compensation!$G55</f>
        <v>38</v>
      </c>
      <c r="F4886" s="1390" t="str">
        <f>Risk_Compensation!$AE$17</f>
        <v>VS</v>
      </c>
      <c r="G4886" s="1390"/>
      <c r="H4886" s="1077">
        <f>Risk_Compensation!$AE55</f>
        <v>0</v>
      </c>
    </row>
    <row r="4887" spans="1:8" x14ac:dyDescent="0.2">
      <c r="A4887" s="1027"/>
      <c r="B4887" s="1083">
        <f>Risk_Compensation!A$1</f>
        <v>36</v>
      </c>
      <c r="C4887" s="1390" t="str">
        <f>Risk_Compensation!$B$1</f>
        <v xml:space="preserve">Risikoausgleich </v>
      </c>
      <c r="D4887" s="2205" t="s">
        <v>2572</v>
      </c>
      <c r="E4887" s="1390">
        <f>Risk_Compensation!$G56</f>
        <v>39</v>
      </c>
      <c r="F4887" s="1390" t="str">
        <f>Risk_Compensation!$AE$17</f>
        <v>VS</v>
      </c>
      <c r="G4887" s="1390"/>
      <c r="H4887" s="1077">
        <f>Risk_Compensation!$AE56</f>
        <v>0</v>
      </c>
    </row>
    <row r="4888" spans="1:8" x14ac:dyDescent="0.2">
      <c r="A4888" s="1027"/>
      <c r="B4888" s="1083">
        <f>Risk_Compensation!A$1</f>
        <v>36</v>
      </c>
      <c r="C4888" s="1390" t="str">
        <f>Risk_Compensation!$B$1</f>
        <v xml:space="preserve">Risikoausgleich </v>
      </c>
      <c r="D4888" s="2205" t="s">
        <v>2572</v>
      </c>
      <c r="E4888" s="1390">
        <f>Risk_Compensation!$G57</f>
        <v>40</v>
      </c>
      <c r="F4888" s="1390" t="str">
        <f>Risk_Compensation!$AE$17</f>
        <v>VS</v>
      </c>
      <c r="G4888" s="1390"/>
      <c r="H4888" s="1077">
        <f>Risk_Compensation!$AE57</f>
        <v>0</v>
      </c>
    </row>
    <row r="4889" spans="1:8" x14ac:dyDescent="0.2">
      <c r="A4889" s="1027"/>
      <c r="B4889" s="1083">
        <f>Risk_Compensation!A$1</f>
        <v>36</v>
      </c>
      <c r="C4889" s="1390" t="str">
        <f>Risk_Compensation!$B$1</f>
        <v xml:space="preserve">Risikoausgleich </v>
      </c>
      <c r="D4889" s="2205" t="s">
        <v>2572</v>
      </c>
      <c r="E4889" s="1390">
        <f>Risk_Compensation!$G58</f>
        <v>41</v>
      </c>
      <c r="F4889" s="1390" t="str">
        <f>Risk_Compensation!$AE$17</f>
        <v>VS</v>
      </c>
      <c r="G4889" s="1390"/>
      <c r="H4889" s="1077">
        <f>Risk_Compensation!$AE58</f>
        <v>0</v>
      </c>
    </row>
    <row r="4890" spans="1:8" x14ac:dyDescent="0.2">
      <c r="A4890" s="1027"/>
      <c r="B4890" s="1083">
        <f>Risk_Compensation!A$1</f>
        <v>36</v>
      </c>
      <c r="C4890" s="1390" t="str">
        <f>Risk_Compensation!$B$1</f>
        <v xml:space="preserve">Risikoausgleich </v>
      </c>
      <c r="D4890" s="2205" t="s">
        <v>2572</v>
      </c>
      <c r="E4890" s="1390">
        <f>Risk_Compensation!$G59</f>
        <v>42</v>
      </c>
      <c r="F4890" s="1390" t="str">
        <f>Risk_Compensation!$AE$17</f>
        <v>VS</v>
      </c>
      <c r="G4890" s="1390"/>
      <c r="H4890" s="1077">
        <f>Risk_Compensation!$AE59</f>
        <v>0</v>
      </c>
    </row>
    <row r="4891" spans="1:8" x14ac:dyDescent="0.2">
      <c r="A4891" s="1027"/>
      <c r="B4891" s="1083">
        <f>Risk_Compensation!A$1</f>
        <v>36</v>
      </c>
      <c r="C4891" s="1390" t="str">
        <f>Risk_Compensation!$B$1</f>
        <v xml:space="preserve">Risikoausgleich </v>
      </c>
      <c r="D4891" s="2205" t="s">
        <v>2572</v>
      </c>
      <c r="E4891" s="1390">
        <f>Risk_Compensation!$G60</f>
        <v>43</v>
      </c>
      <c r="F4891" s="1390" t="str">
        <f>Risk_Compensation!$AE$17</f>
        <v>VS</v>
      </c>
      <c r="G4891" s="1390"/>
      <c r="H4891" s="1077">
        <f>Risk_Compensation!$AE60</f>
        <v>0</v>
      </c>
    </row>
    <row r="4892" spans="1:8" x14ac:dyDescent="0.2">
      <c r="A4892" s="1027"/>
      <c r="B4892" s="1083">
        <f>Risk_Compensation!A$1</f>
        <v>36</v>
      </c>
      <c r="C4892" s="1390" t="str">
        <f>Risk_Compensation!$B$1</f>
        <v xml:space="preserve">Risikoausgleich </v>
      </c>
      <c r="D4892" s="2205" t="s">
        <v>2572</v>
      </c>
      <c r="E4892" s="1390">
        <f>Risk_Compensation!$G61</f>
        <v>44</v>
      </c>
      <c r="F4892" s="1390" t="str">
        <f>Risk_Compensation!$AE$17</f>
        <v>VS</v>
      </c>
      <c r="G4892" s="1390"/>
      <c r="H4892" s="1077">
        <f>Risk_Compensation!$AE61</f>
        <v>0</v>
      </c>
    </row>
    <row r="4893" spans="1:8" x14ac:dyDescent="0.2">
      <c r="A4893" s="1027"/>
      <c r="B4893" s="1083">
        <f>Risk_Compensation!A$1</f>
        <v>36</v>
      </c>
      <c r="C4893" s="1390" t="str">
        <f>Risk_Compensation!$B$1</f>
        <v xml:space="preserve">Risikoausgleich </v>
      </c>
      <c r="D4893" s="2205" t="s">
        <v>2572</v>
      </c>
      <c r="E4893" s="1390">
        <f>Risk_Compensation!$G62</f>
        <v>45</v>
      </c>
      <c r="F4893" s="1390" t="str">
        <f>Risk_Compensation!$AE$17</f>
        <v>VS</v>
      </c>
      <c r="G4893" s="1390"/>
      <c r="H4893" s="1077">
        <f>Risk_Compensation!$AE62</f>
        <v>0</v>
      </c>
    </row>
    <row r="4894" spans="1:8" x14ac:dyDescent="0.2">
      <c r="A4894" s="1027"/>
      <c r="B4894" s="1083">
        <f>Risk_Compensation!A$1</f>
        <v>36</v>
      </c>
      <c r="C4894" s="1390" t="str">
        <f>Risk_Compensation!$B$1</f>
        <v xml:space="preserve">Risikoausgleich </v>
      </c>
      <c r="D4894" s="2205" t="s">
        <v>2572</v>
      </c>
      <c r="E4894" s="1390">
        <f>Risk_Compensation!$G63</f>
        <v>46</v>
      </c>
      <c r="F4894" s="1390" t="str">
        <f>Risk_Compensation!$AE$17</f>
        <v>VS</v>
      </c>
      <c r="G4894" s="1390"/>
      <c r="H4894" s="1077">
        <f>Risk_Compensation!$AE63</f>
        <v>0</v>
      </c>
    </row>
    <row r="4895" spans="1:8" x14ac:dyDescent="0.2">
      <c r="A4895" s="1027"/>
      <c r="B4895" s="1083">
        <f>Risk_Compensation!A$1</f>
        <v>36</v>
      </c>
      <c r="C4895" s="1390" t="str">
        <f>Risk_Compensation!$B$1</f>
        <v xml:space="preserve">Risikoausgleich </v>
      </c>
      <c r="D4895" s="2205" t="s">
        <v>2572</v>
      </c>
      <c r="E4895" s="1390">
        <f>Risk_Compensation!$G64</f>
        <v>47</v>
      </c>
      <c r="F4895" s="1390" t="str">
        <f>Risk_Compensation!$AE$17</f>
        <v>VS</v>
      </c>
      <c r="G4895" s="1390"/>
      <c r="H4895" s="1077">
        <f>Risk_Compensation!$AE64</f>
        <v>0</v>
      </c>
    </row>
    <row r="4896" spans="1:8" x14ac:dyDescent="0.2">
      <c r="A4896" s="1027"/>
      <c r="B4896" s="1083">
        <f>Risk_Compensation!A$1</f>
        <v>36</v>
      </c>
      <c r="C4896" s="1390" t="str">
        <f>Risk_Compensation!$B$1</f>
        <v xml:space="preserve">Risikoausgleich </v>
      </c>
      <c r="D4896" s="2205" t="s">
        <v>2572</v>
      </c>
      <c r="E4896" s="1390">
        <f>Risk_Compensation!$G65</f>
        <v>48</v>
      </c>
      <c r="F4896" s="1390" t="str">
        <f>Risk_Compensation!$AE$17</f>
        <v>VS</v>
      </c>
      <c r="G4896" s="1390"/>
      <c r="H4896" s="1077">
        <f>Risk_Compensation!$AE65</f>
        <v>0</v>
      </c>
    </row>
    <row r="4897" spans="1:8" x14ac:dyDescent="0.2">
      <c r="A4897" s="1027"/>
      <c r="B4897" s="1083">
        <f>Risk_Compensation!A$1</f>
        <v>36</v>
      </c>
      <c r="C4897" s="1390" t="str">
        <f>Risk_Compensation!$B$1</f>
        <v xml:space="preserve">Risikoausgleich </v>
      </c>
      <c r="D4897" s="2205" t="s">
        <v>2572</v>
      </c>
      <c r="E4897" s="1390">
        <f>Risk_Compensation!$G66</f>
        <v>49</v>
      </c>
      <c r="F4897" s="1390" t="str">
        <f>Risk_Compensation!$AE$17</f>
        <v>VS</v>
      </c>
      <c r="G4897" s="1390"/>
      <c r="H4897" s="1077">
        <f>Risk_Compensation!$AE66</f>
        <v>0</v>
      </c>
    </row>
    <row r="4898" spans="1:8" x14ac:dyDescent="0.2">
      <c r="A4898" s="1027"/>
      <c r="B4898" s="1083">
        <f>Risk_Compensation!A$1</f>
        <v>36</v>
      </c>
      <c r="C4898" s="1390" t="str">
        <f>Risk_Compensation!$B$1</f>
        <v xml:space="preserve">Risikoausgleich </v>
      </c>
      <c r="D4898" s="2205" t="s">
        <v>2572</v>
      </c>
      <c r="E4898" s="1390">
        <f>Risk_Compensation!$G67</f>
        <v>50</v>
      </c>
      <c r="F4898" s="1390" t="str">
        <f>Risk_Compensation!$AE$17</f>
        <v>VS</v>
      </c>
      <c r="G4898" s="1390"/>
      <c r="H4898" s="1077">
        <f>Risk_Compensation!$AE67</f>
        <v>0</v>
      </c>
    </row>
    <row r="4899" spans="1:8" x14ac:dyDescent="0.2">
      <c r="A4899" s="1027"/>
      <c r="B4899" s="1083">
        <f>Risk_Compensation!A$1</f>
        <v>36</v>
      </c>
      <c r="C4899" s="1390" t="str">
        <f>Risk_Compensation!$B$1</f>
        <v xml:space="preserve">Risikoausgleich </v>
      </c>
      <c r="D4899" s="2205" t="s">
        <v>2572</v>
      </c>
      <c r="E4899" s="1390">
        <f>Risk_Compensation!$G68</f>
        <v>51</v>
      </c>
      <c r="F4899" s="1390" t="str">
        <f>Risk_Compensation!$AE$17</f>
        <v>VS</v>
      </c>
      <c r="G4899" s="1390"/>
      <c r="H4899" s="1077">
        <f>Risk_Compensation!$AE68</f>
        <v>0</v>
      </c>
    </row>
    <row r="4900" spans="1:8" x14ac:dyDescent="0.2">
      <c r="A4900" s="1027"/>
      <c r="B4900" s="1083">
        <f>Risk_Compensation!A$1</f>
        <v>36</v>
      </c>
      <c r="C4900" s="1390" t="str">
        <f>Risk_Compensation!$B$1</f>
        <v xml:space="preserve">Risikoausgleich </v>
      </c>
      <c r="D4900" s="2205" t="s">
        <v>2572</v>
      </c>
      <c r="E4900" s="1390">
        <f>Risk_Compensation!$G69</f>
        <v>52</v>
      </c>
      <c r="F4900" s="1390" t="str">
        <f>Risk_Compensation!$AE$17</f>
        <v>VS</v>
      </c>
      <c r="G4900" s="1390"/>
      <c r="H4900" s="1077">
        <f>Risk_Compensation!$AE69</f>
        <v>0</v>
      </c>
    </row>
    <row r="4901" spans="1:8" x14ac:dyDescent="0.2">
      <c r="A4901" s="1027"/>
      <c r="B4901" s="1083">
        <f>Risk_Compensation!A$1</f>
        <v>36</v>
      </c>
      <c r="C4901" s="1390" t="str">
        <f>Risk_Compensation!$B$1</f>
        <v xml:space="preserve">Risikoausgleich </v>
      </c>
      <c r="D4901" s="2205" t="s">
        <v>2572</v>
      </c>
      <c r="E4901" s="1390">
        <f>Risk_Compensation!$G70</f>
        <v>53</v>
      </c>
      <c r="F4901" s="1390" t="str">
        <f>Risk_Compensation!$AE$17</f>
        <v>VS</v>
      </c>
      <c r="G4901" s="1390"/>
      <c r="H4901" s="1077">
        <f>Risk_Compensation!$AE70</f>
        <v>0</v>
      </c>
    </row>
    <row r="4902" spans="1:8" x14ac:dyDescent="0.2">
      <c r="A4902" s="1027"/>
      <c r="B4902" s="1083">
        <f>Risk_Compensation!A$1</f>
        <v>36</v>
      </c>
      <c r="C4902" s="1390" t="str">
        <f>Risk_Compensation!$B$1</f>
        <v xml:space="preserve">Risikoausgleich </v>
      </c>
      <c r="D4902" s="2205" t="s">
        <v>2572</v>
      </c>
      <c r="E4902" s="1390">
        <f>Risk_Compensation!$G71</f>
        <v>54</v>
      </c>
      <c r="F4902" s="1390" t="str">
        <f>Risk_Compensation!$AE$17</f>
        <v>VS</v>
      </c>
      <c r="G4902" s="1390"/>
      <c r="H4902" s="1077">
        <f>Risk_Compensation!$AE71</f>
        <v>0</v>
      </c>
    </row>
    <row r="4903" spans="1:8" x14ac:dyDescent="0.2">
      <c r="A4903" s="1027"/>
      <c r="B4903" s="1083">
        <f>Risk_Compensation!A$1</f>
        <v>36</v>
      </c>
      <c r="C4903" s="1390" t="str">
        <f>Risk_Compensation!$B$1</f>
        <v xml:space="preserve">Risikoausgleich </v>
      </c>
      <c r="D4903" s="2205" t="s">
        <v>2572</v>
      </c>
      <c r="E4903" s="1390">
        <f>Risk_Compensation!$G72</f>
        <v>55</v>
      </c>
      <c r="F4903" s="1390" t="str">
        <f>Risk_Compensation!$AE$17</f>
        <v>VS</v>
      </c>
      <c r="G4903" s="1390"/>
      <c r="H4903" s="1077">
        <f>Risk_Compensation!$AE72</f>
        <v>0</v>
      </c>
    </row>
    <row r="4904" spans="1:8" x14ac:dyDescent="0.2">
      <c r="A4904" s="1027"/>
      <c r="B4904" s="1083">
        <f>Risk_Compensation!A$1</f>
        <v>36</v>
      </c>
      <c r="C4904" s="1390" t="str">
        <f>Risk_Compensation!$B$1</f>
        <v xml:space="preserve">Risikoausgleich </v>
      </c>
      <c r="D4904" s="2205" t="s">
        <v>2572</v>
      </c>
      <c r="E4904" s="1390">
        <f>Risk_Compensation!$G73</f>
        <v>56</v>
      </c>
      <c r="F4904" s="1390" t="str">
        <f>Risk_Compensation!$AE$17</f>
        <v>VS</v>
      </c>
      <c r="G4904" s="1390"/>
      <c r="H4904" s="1077">
        <f>Risk_Compensation!$AE73</f>
        <v>0</v>
      </c>
    </row>
    <row r="4905" spans="1:8" x14ac:dyDescent="0.2">
      <c r="A4905" s="1027"/>
      <c r="B4905" s="1083">
        <f>Risk_Compensation!A$1</f>
        <v>36</v>
      </c>
      <c r="C4905" s="1390" t="str">
        <f>Risk_Compensation!$B$1</f>
        <v xml:space="preserve">Risikoausgleich </v>
      </c>
      <c r="D4905" s="2205" t="s">
        <v>2572</v>
      </c>
      <c r="E4905" s="1390">
        <f>Risk_Compensation!$G74</f>
        <v>57</v>
      </c>
      <c r="F4905" s="1390" t="str">
        <f>Risk_Compensation!$AE$17</f>
        <v>VS</v>
      </c>
      <c r="G4905" s="1390"/>
      <c r="H4905" s="1077">
        <f>Risk_Compensation!$AE74</f>
        <v>0</v>
      </c>
    </row>
    <row r="4906" spans="1:8" x14ac:dyDescent="0.2">
      <c r="A4906" s="1027"/>
      <c r="B4906" s="1083">
        <f>Risk_Compensation!A$1</f>
        <v>36</v>
      </c>
      <c r="C4906" s="1390" t="str">
        <f>Risk_Compensation!$B$1</f>
        <v xml:space="preserve">Risikoausgleich </v>
      </c>
      <c r="D4906" s="2205" t="s">
        <v>2572</v>
      </c>
      <c r="E4906" s="1390">
        <f>Risk_Compensation!$G75</f>
        <v>58</v>
      </c>
      <c r="F4906" s="1390" t="str">
        <f>Risk_Compensation!$AE$17</f>
        <v>VS</v>
      </c>
      <c r="G4906" s="1390"/>
      <c r="H4906" s="1077">
        <f>Risk_Compensation!$AE75</f>
        <v>0</v>
      </c>
    </row>
    <row r="4907" spans="1:8" x14ac:dyDescent="0.2">
      <c r="A4907" s="1027"/>
      <c r="B4907" s="1083">
        <f>Risk_Compensation!A$1</f>
        <v>36</v>
      </c>
      <c r="C4907" s="1390" t="str">
        <f>Risk_Compensation!$B$1</f>
        <v xml:space="preserve">Risikoausgleich </v>
      </c>
      <c r="D4907" s="2205" t="s">
        <v>2572</v>
      </c>
      <c r="E4907" s="1390">
        <f>Risk_Compensation!$G76</f>
        <v>59</v>
      </c>
      <c r="F4907" s="1390" t="str">
        <f>Risk_Compensation!$AE$17</f>
        <v>VS</v>
      </c>
      <c r="G4907" s="1390"/>
      <c r="H4907" s="1077">
        <f>Risk_Compensation!$AE76</f>
        <v>0</v>
      </c>
    </row>
    <row r="4908" spans="1:8" x14ac:dyDescent="0.2">
      <c r="A4908" s="1027"/>
      <c r="B4908" s="1083">
        <f>Risk_Compensation!A$1</f>
        <v>36</v>
      </c>
      <c r="C4908" s="1390" t="str">
        <f>Risk_Compensation!$B$1</f>
        <v xml:space="preserve">Risikoausgleich </v>
      </c>
      <c r="D4908" s="2205" t="s">
        <v>2572</v>
      </c>
      <c r="E4908" s="1390">
        <f>Risk_Compensation!$G77</f>
        <v>60</v>
      </c>
      <c r="F4908" s="1390" t="str">
        <f>Risk_Compensation!$AE$17</f>
        <v>VS</v>
      </c>
      <c r="G4908" s="1390"/>
      <c r="H4908" s="1077">
        <f>Risk_Compensation!$AE77</f>
        <v>0</v>
      </c>
    </row>
    <row r="4909" spans="1:8" x14ac:dyDescent="0.2">
      <c r="A4909" s="1027"/>
      <c r="B4909" s="2174"/>
      <c r="C4909" s="1390"/>
      <c r="D4909" s="2175"/>
      <c r="E4909" s="2176"/>
      <c r="F4909" s="1390"/>
      <c r="G4909" s="1390"/>
      <c r="H4909" s="1078"/>
    </row>
    <row r="4910" spans="1:8" x14ac:dyDescent="0.2">
      <c r="A4910" s="1027"/>
      <c r="B4910" s="1083">
        <f>Risk_Compensation!A$1</f>
        <v>36</v>
      </c>
      <c r="C4910" s="1390" t="str">
        <f>Risk_Compensation!$B$1</f>
        <v xml:space="preserve">Risikoausgleich </v>
      </c>
      <c r="D4910" s="2205" t="s">
        <v>2572</v>
      </c>
      <c r="E4910" s="1390">
        <f>Risk_Compensation!$G18</f>
        <v>1</v>
      </c>
      <c r="F4910" s="1390" t="str">
        <f>Risk_Compensation!$AF$17</f>
        <v>ZG</v>
      </c>
      <c r="G4910" s="1390"/>
      <c r="H4910" s="1077">
        <f>Risk_Compensation!$AF18</f>
        <v>0</v>
      </c>
    </row>
    <row r="4911" spans="1:8" x14ac:dyDescent="0.2">
      <c r="A4911" s="1027"/>
      <c r="B4911" s="1083">
        <f>Risk_Compensation!A$1</f>
        <v>36</v>
      </c>
      <c r="C4911" s="1390" t="str">
        <f>Risk_Compensation!$B$1</f>
        <v xml:space="preserve">Risikoausgleich </v>
      </c>
      <c r="D4911" s="2205" t="s">
        <v>2572</v>
      </c>
      <c r="E4911" s="1390">
        <f>Risk_Compensation!$G19</f>
        <v>2</v>
      </c>
      <c r="F4911" s="1390" t="str">
        <f>Risk_Compensation!$AF$17</f>
        <v>ZG</v>
      </c>
      <c r="G4911" s="1390"/>
      <c r="H4911" s="1077">
        <f>Risk_Compensation!$AF19</f>
        <v>0</v>
      </c>
    </row>
    <row r="4912" spans="1:8" x14ac:dyDescent="0.2">
      <c r="A4912" s="1027"/>
      <c r="B4912" s="1083">
        <f>Risk_Compensation!A$1</f>
        <v>36</v>
      </c>
      <c r="C4912" s="1390" t="str">
        <f>Risk_Compensation!$B$1</f>
        <v xml:space="preserve">Risikoausgleich </v>
      </c>
      <c r="D4912" s="2205" t="s">
        <v>2572</v>
      </c>
      <c r="E4912" s="1390">
        <f>Risk_Compensation!$G20</f>
        <v>3</v>
      </c>
      <c r="F4912" s="1390" t="str">
        <f>Risk_Compensation!$AF$17</f>
        <v>ZG</v>
      </c>
      <c r="G4912" s="1390"/>
      <c r="H4912" s="1077">
        <f>Risk_Compensation!$AF20</f>
        <v>0</v>
      </c>
    </row>
    <row r="4913" spans="1:8" x14ac:dyDescent="0.2">
      <c r="A4913" s="1027"/>
      <c r="B4913" s="1083">
        <f>Risk_Compensation!A$1</f>
        <v>36</v>
      </c>
      <c r="C4913" s="1390" t="str">
        <f>Risk_Compensation!$B$1</f>
        <v xml:space="preserve">Risikoausgleich </v>
      </c>
      <c r="D4913" s="2205" t="s">
        <v>2572</v>
      </c>
      <c r="E4913" s="1390">
        <f>Risk_Compensation!$G21</f>
        <v>4</v>
      </c>
      <c r="F4913" s="1390" t="str">
        <f>Risk_Compensation!$AF$17</f>
        <v>ZG</v>
      </c>
      <c r="G4913" s="1390"/>
      <c r="H4913" s="1077">
        <f>Risk_Compensation!$AF21</f>
        <v>0</v>
      </c>
    </row>
    <row r="4914" spans="1:8" x14ac:dyDescent="0.2">
      <c r="A4914" s="1027"/>
      <c r="B4914" s="1083">
        <f>Risk_Compensation!A$1</f>
        <v>36</v>
      </c>
      <c r="C4914" s="1390" t="str">
        <f>Risk_Compensation!$B$1</f>
        <v xml:space="preserve">Risikoausgleich </v>
      </c>
      <c r="D4914" s="2205" t="s">
        <v>2572</v>
      </c>
      <c r="E4914" s="1390">
        <f>Risk_Compensation!$G22</f>
        <v>5</v>
      </c>
      <c r="F4914" s="1390" t="str">
        <f>Risk_Compensation!$AF$17</f>
        <v>ZG</v>
      </c>
      <c r="G4914" s="1390"/>
      <c r="H4914" s="1077">
        <f>Risk_Compensation!$AF22</f>
        <v>0</v>
      </c>
    </row>
    <row r="4915" spans="1:8" x14ac:dyDescent="0.2">
      <c r="A4915" s="1027"/>
      <c r="B4915" s="1083">
        <f>Risk_Compensation!A$1</f>
        <v>36</v>
      </c>
      <c r="C4915" s="1390" t="str">
        <f>Risk_Compensation!$B$1</f>
        <v xml:space="preserve">Risikoausgleich </v>
      </c>
      <c r="D4915" s="2205" t="s">
        <v>2572</v>
      </c>
      <c r="E4915" s="1390">
        <f>Risk_Compensation!$G23</f>
        <v>6</v>
      </c>
      <c r="F4915" s="1390" t="str">
        <f>Risk_Compensation!$AF$17</f>
        <v>ZG</v>
      </c>
      <c r="G4915" s="1390"/>
      <c r="H4915" s="1077">
        <f>Risk_Compensation!$AF23</f>
        <v>0</v>
      </c>
    </row>
    <row r="4916" spans="1:8" x14ac:dyDescent="0.2">
      <c r="A4916" s="1027"/>
      <c r="B4916" s="1083">
        <f>Risk_Compensation!A$1</f>
        <v>36</v>
      </c>
      <c r="C4916" s="1390" t="str">
        <f>Risk_Compensation!$B$1</f>
        <v xml:space="preserve">Risikoausgleich </v>
      </c>
      <c r="D4916" s="2205" t="s">
        <v>2572</v>
      </c>
      <c r="E4916" s="1390">
        <f>Risk_Compensation!$G24</f>
        <v>7</v>
      </c>
      <c r="F4916" s="1390" t="str">
        <f>Risk_Compensation!$AF$17</f>
        <v>ZG</v>
      </c>
      <c r="G4916" s="1390"/>
      <c r="H4916" s="1077">
        <f>Risk_Compensation!$AF24</f>
        <v>0</v>
      </c>
    </row>
    <row r="4917" spans="1:8" x14ac:dyDescent="0.2">
      <c r="A4917" s="1027"/>
      <c r="B4917" s="1083">
        <f>Risk_Compensation!A$1</f>
        <v>36</v>
      </c>
      <c r="C4917" s="1390" t="str">
        <f>Risk_Compensation!$B$1</f>
        <v xml:space="preserve">Risikoausgleich </v>
      </c>
      <c r="D4917" s="2205" t="s">
        <v>2572</v>
      </c>
      <c r="E4917" s="1390">
        <f>Risk_Compensation!$G25</f>
        <v>8</v>
      </c>
      <c r="F4917" s="1390" t="str">
        <f>Risk_Compensation!$AF$17</f>
        <v>ZG</v>
      </c>
      <c r="G4917" s="1390"/>
      <c r="H4917" s="1077">
        <f>Risk_Compensation!$AF25</f>
        <v>0</v>
      </c>
    </row>
    <row r="4918" spans="1:8" x14ac:dyDescent="0.2">
      <c r="A4918" s="1027"/>
      <c r="B4918" s="1083">
        <f>Risk_Compensation!A$1</f>
        <v>36</v>
      </c>
      <c r="C4918" s="1390" t="str">
        <f>Risk_Compensation!$B$1</f>
        <v xml:space="preserve">Risikoausgleich </v>
      </c>
      <c r="D4918" s="2205" t="s">
        <v>2572</v>
      </c>
      <c r="E4918" s="1390">
        <f>Risk_Compensation!$G26</f>
        <v>9</v>
      </c>
      <c r="F4918" s="1390" t="str">
        <f>Risk_Compensation!$AF$17</f>
        <v>ZG</v>
      </c>
      <c r="G4918" s="1390"/>
      <c r="H4918" s="1077">
        <f>Risk_Compensation!$AF26</f>
        <v>0</v>
      </c>
    </row>
    <row r="4919" spans="1:8" x14ac:dyDescent="0.2">
      <c r="A4919" s="1027"/>
      <c r="B4919" s="1083">
        <f>Risk_Compensation!A$1</f>
        <v>36</v>
      </c>
      <c r="C4919" s="1390" t="str">
        <f>Risk_Compensation!$B$1</f>
        <v xml:space="preserve">Risikoausgleich </v>
      </c>
      <c r="D4919" s="2205" t="s">
        <v>2572</v>
      </c>
      <c r="E4919" s="1390">
        <f>Risk_Compensation!$G27</f>
        <v>10</v>
      </c>
      <c r="F4919" s="1390" t="str">
        <f>Risk_Compensation!$AF$17</f>
        <v>ZG</v>
      </c>
      <c r="G4919" s="1390"/>
      <c r="H4919" s="1077">
        <f>Risk_Compensation!$AF27</f>
        <v>0</v>
      </c>
    </row>
    <row r="4920" spans="1:8" x14ac:dyDescent="0.2">
      <c r="A4920" s="1027"/>
      <c r="B4920" s="1083">
        <f>Risk_Compensation!A$1</f>
        <v>36</v>
      </c>
      <c r="C4920" s="1390" t="str">
        <f>Risk_Compensation!$B$1</f>
        <v xml:space="preserve">Risikoausgleich </v>
      </c>
      <c r="D4920" s="2205" t="s">
        <v>2572</v>
      </c>
      <c r="E4920" s="1390">
        <f>Risk_Compensation!$G28</f>
        <v>11</v>
      </c>
      <c r="F4920" s="1390" t="str">
        <f>Risk_Compensation!$AF$17</f>
        <v>ZG</v>
      </c>
      <c r="G4920" s="1390"/>
      <c r="H4920" s="1077">
        <f>Risk_Compensation!$AF28</f>
        <v>0</v>
      </c>
    </row>
    <row r="4921" spans="1:8" x14ac:dyDescent="0.2">
      <c r="A4921" s="1027"/>
      <c r="B4921" s="1083">
        <f>Risk_Compensation!A$1</f>
        <v>36</v>
      </c>
      <c r="C4921" s="1390" t="str">
        <f>Risk_Compensation!$B$1</f>
        <v xml:space="preserve">Risikoausgleich </v>
      </c>
      <c r="D4921" s="2205" t="s">
        <v>2572</v>
      </c>
      <c r="E4921" s="1390">
        <f>Risk_Compensation!$G29</f>
        <v>12</v>
      </c>
      <c r="F4921" s="1390" t="str">
        <f>Risk_Compensation!$AF$17</f>
        <v>ZG</v>
      </c>
      <c r="G4921" s="1390"/>
      <c r="H4921" s="1077">
        <f>Risk_Compensation!$AF29</f>
        <v>0</v>
      </c>
    </row>
    <row r="4922" spans="1:8" x14ac:dyDescent="0.2">
      <c r="A4922" s="1027"/>
      <c r="B4922" s="1083">
        <f>Risk_Compensation!A$1</f>
        <v>36</v>
      </c>
      <c r="C4922" s="1390" t="str">
        <f>Risk_Compensation!$B$1</f>
        <v xml:space="preserve">Risikoausgleich </v>
      </c>
      <c r="D4922" s="2205" t="s">
        <v>2572</v>
      </c>
      <c r="E4922" s="1390">
        <f>Risk_Compensation!$G30</f>
        <v>13</v>
      </c>
      <c r="F4922" s="1390" t="str">
        <f>Risk_Compensation!$AF$17</f>
        <v>ZG</v>
      </c>
      <c r="G4922" s="1390"/>
      <c r="H4922" s="1077">
        <f>Risk_Compensation!$AF30</f>
        <v>0</v>
      </c>
    </row>
    <row r="4923" spans="1:8" x14ac:dyDescent="0.2">
      <c r="A4923" s="1027"/>
      <c r="B4923" s="1083">
        <f>Risk_Compensation!A$1</f>
        <v>36</v>
      </c>
      <c r="C4923" s="1390" t="str">
        <f>Risk_Compensation!$B$1</f>
        <v xml:space="preserve">Risikoausgleich </v>
      </c>
      <c r="D4923" s="2205" t="s">
        <v>2572</v>
      </c>
      <c r="E4923" s="1390">
        <f>Risk_Compensation!$G31</f>
        <v>14</v>
      </c>
      <c r="F4923" s="1390" t="str">
        <f>Risk_Compensation!$AF$17</f>
        <v>ZG</v>
      </c>
      <c r="G4923" s="1390"/>
      <c r="H4923" s="1077">
        <f>Risk_Compensation!$AF31</f>
        <v>0</v>
      </c>
    </row>
    <row r="4924" spans="1:8" x14ac:dyDescent="0.2">
      <c r="A4924" s="1027"/>
      <c r="B4924" s="1083">
        <f>Risk_Compensation!A$1</f>
        <v>36</v>
      </c>
      <c r="C4924" s="1390" t="str">
        <f>Risk_Compensation!$B$1</f>
        <v xml:space="preserve">Risikoausgleich </v>
      </c>
      <c r="D4924" s="2205" t="s">
        <v>2572</v>
      </c>
      <c r="E4924" s="1390">
        <f>Risk_Compensation!$G32</f>
        <v>15</v>
      </c>
      <c r="F4924" s="1390" t="str">
        <f>Risk_Compensation!$AF$17</f>
        <v>ZG</v>
      </c>
      <c r="G4924" s="1390"/>
      <c r="H4924" s="1077">
        <f>Risk_Compensation!$AF32</f>
        <v>0</v>
      </c>
    </row>
    <row r="4925" spans="1:8" x14ac:dyDescent="0.2">
      <c r="A4925" s="1027"/>
      <c r="B4925" s="1083">
        <f>Risk_Compensation!A$1</f>
        <v>36</v>
      </c>
      <c r="C4925" s="1390" t="str">
        <f>Risk_Compensation!$B$1</f>
        <v xml:space="preserve">Risikoausgleich </v>
      </c>
      <c r="D4925" s="2205" t="s">
        <v>2572</v>
      </c>
      <c r="E4925" s="1390">
        <f>Risk_Compensation!$G33</f>
        <v>16</v>
      </c>
      <c r="F4925" s="1390" t="str">
        <f>Risk_Compensation!$AF$17</f>
        <v>ZG</v>
      </c>
      <c r="G4925" s="1390"/>
      <c r="H4925" s="1077">
        <f>Risk_Compensation!$AF33</f>
        <v>0</v>
      </c>
    </row>
    <row r="4926" spans="1:8" x14ac:dyDescent="0.2">
      <c r="A4926" s="1027"/>
      <c r="B4926" s="1083">
        <f>Risk_Compensation!A$1</f>
        <v>36</v>
      </c>
      <c r="C4926" s="1390" t="str">
        <f>Risk_Compensation!$B$1</f>
        <v xml:space="preserve">Risikoausgleich </v>
      </c>
      <c r="D4926" s="2205" t="s">
        <v>2572</v>
      </c>
      <c r="E4926" s="1390">
        <f>Risk_Compensation!$G34</f>
        <v>17</v>
      </c>
      <c r="F4926" s="1390" t="str">
        <f>Risk_Compensation!$AF$17</f>
        <v>ZG</v>
      </c>
      <c r="G4926" s="1390"/>
      <c r="H4926" s="1077">
        <f>Risk_Compensation!$AF34</f>
        <v>0</v>
      </c>
    </row>
    <row r="4927" spans="1:8" x14ac:dyDescent="0.2">
      <c r="A4927" s="1027"/>
      <c r="B4927" s="1083">
        <f>Risk_Compensation!A$1</f>
        <v>36</v>
      </c>
      <c r="C4927" s="1390" t="str">
        <f>Risk_Compensation!$B$1</f>
        <v xml:space="preserve">Risikoausgleich </v>
      </c>
      <c r="D4927" s="2205" t="s">
        <v>2572</v>
      </c>
      <c r="E4927" s="1390">
        <f>Risk_Compensation!$G35</f>
        <v>18</v>
      </c>
      <c r="F4927" s="1390" t="str">
        <f>Risk_Compensation!$AF$17</f>
        <v>ZG</v>
      </c>
      <c r="G4927" s="1390"/>
      <c r="H4927" s="1077">
        <f>Risk_Compensation!$AF35</f>
        <v>0</v>
      </c>
    </row>
    <row r="4928" spans="1:8" x14ac:dyDescent="0.2">
      <c r="A4928" s="1027"/>
      <c r="B4928" s="1083">
        <f>Risk_Compensation!A$1</f>
        <v>36</v>
      </c>
      <c r="C4928" s="1390" t="str">
        <f>Risk_Compensation!$B$1</f>
        <v xml:space="preserve">Risikoausgleich </v>
      </c>
      <c r="D4928" s="2205" t="s">
        <v>2572</v>
      </c>
      <c r="E4928" s="1390">
        <f>Risk_Compensation!$G36</f>
        <v>19</v>
      </c>
      <c r="F4928" s="1390" t="str">
        <f>Risk_Compensation!$AF$17</f>
        <v>ZG</v>
      </c>
      <c r="G4928" s="1390"/>
      <c r="H4928" s="1077">
        <f>Risk_Compensation!$AF36</f>
        <v>0</v>
      </c>
    </row>
    <row r="4929" spans="1:8" x14ac:dyDescent="0.2">
      <c r="A4929" s="1027"/>
      <c r="B4929" s="1083">
        <f>Risk_Compensation!A$1</f>
        <v>36</v>
      </c>
      <c r="C4929" s="1390" t="str">
        <f>Risk_Compensation!$B$1</f>
        <v xml:space="preserve">Risikoausgleich </v>
      </c>
      <c r="D4929" s="2205" t="s">
        <v>2572</v>
      </c>
      <c r="E4929" s="1390">
        <f>Risk_Compensation!$G37</f>
        <v>20</v>
      </c>
      <c r="F4929" s="1390" t="str">
        <f>Risk_Compensation!$AF$17</f>
        <v>ZG</v>
      </c>
      <c r="G4929" s="1390"/>
      <c r="H4929" s="1077">
        <f>Risk_Compensation!$AF37</f>
        <v>0</v>
      </c>
    </row>
    <row r="4930" spans="1:8" x14ac:dyDescent="0.2">
      <c r="A4930" s="1027"/>
      <c r="B4930" s="1083">
        <f>Risk_Compensation!A$1</f>
        <v>36</v>
      </c>
      <c r="C4930" s="1390" t="str">
        <f>Risk_Compensation!$B$1</f>
        <v xml:space="preserve">Risikoausgleich </v>
      </c>
      <c r="D4930" s="2205" t="s">
        <v>2572</v>
      </c>
      <c r="E4930" s="1390">
        <f>Risk_Compensation!$G38</f>
        <v>21</v>
      </c>
      <c r="F4930" s="1390" t="str">
        <f>Risk_Compensation!$AF$17</f>
        <v>ZG</v>
      </c>
      <c r="G4930" s="1390"/>
      <c r="H4930" s="1077">
        <f>Risk_Compensation!$AF38</f>
        <v>0</v>
      </c>
    </row>
    <row r="4931" spans="1:8" x14ac:dyDescent="0.2">
      <c r="A4931" s="1027"/>
      <c r="B4931" s="1083">
        <f>Risk_Compensation!A$1</f>
        <v>36</v>
      </c>
      <c r="C4931" s="1390" t="str">
        <f>Risk_Compensation!$B$1</f>
        <v xml:space="preserve">Risikoausgleich </v>
      </c>
      <c r="D4931" s="2205" t="s">
        <v>2572</v>
      </c>
      <c r="E4931" s="1390">
        <f>Risk_Compensation!$G39</f>
        <v>22</v>
      </c>
      <c r="F4931" s="1390" t="str">
        <f>Risk_Compensation!$AF$17</f>
        <v>ZG</v>
      </c>
      <c r="G4931" s="1390"/>
      <c r="H4931" s="1077">
        <f>Risk_Compensation!$AF39</f>
        <v>0</v>
      </c>
    </row>
    <row r="4932" spans="1:8" x14ac:dyDescent="0.2">
      <c r="A4932" s="1027"/>
      <c r="B4932" s="1083">
        <f>Risk_Compensation!A$1</f>
        <v>36</v>
      </c>
      <c r="C4932" s="1390" t="str">
        <f>Risk_Compensation!$B$1</f>
        <v xml:space="preserve">Risikoausgleich </v>
      </c>
      <c r="D4932" s="2205" t="s">
        <v>2572</v>
      </c>
      <c r="E4932" s="1390">
        <f>Risk_Compensation!$G40</f>
        <v>23</v>
      </c>
      <c r="F4932" s="1390" t="str">
        <f>Risk_Compensation!$AF$17</f>
        <v>ZG</v>
      </c>
      <c r="G4932" s="1390"/>
      <c r="H4932" s="1077">
        <f>Risk_Compensation!$AF40</f>
        <v>0</v>
      </c>
    </row>
    <row r="4933" spans="1:8" x14ac:dyDescent="0.2">
      <c r="A4933" s="1027"/>
      <c r="B4933" s="1083">
        <f>Risk_Compensation!A$1</f>
        <v>36</v>
      </c>
      <c r="C4933" s="1390" t="str">
        <f>Risk_Compensation!$B$1</f>
        <v xml:space="preserve">Risikoausgleich </v>
      </c>
      <c r="D4933" s="2205" t="s">
        <v>2572</v>
      </c>
      <c r="E4933" s="1390">
        <f>Risk_Compensation!$G41</f>
        <v>24</v>
      </c>
      <c r="F4933" s="1390" t="str">
        <f>Risk_Compensation!$AF$17</f>
        <v>ZG</v>
      </c>
      <c r="G4933" s="1390"/>
      <c r="H4933" s="1077">
        <f>Risk_Compensation!$AF41</f>
        <v>0</v>
      </c>
    </row>
    <row r="4934" spans="1:8" x14ac:dyDescent="0.2">
      <c r="A4934" s="1027"/>
      <c r="B4934" s="1083">
        <f>Risk_Compensation!A$1</f>
        <v>36</v>
      </c>
      <c r="C4934" s="1390" t="str">
        <f>Risk_Compensation!$B$1</f>
        <v xml:space="preserve">Risikoausgleich </v>
      </c>
      <c r="D4934" s="2205" t="s">
        <v>2572</v>
      </c>
      <c r="E4934" s="1390">
        <f>Risk_Compensation!$G42</f>
        <v>25</v>
      </c>
      <c r="F4934" s="1390" t="str">
        <f>Risk_Compensation!$AF$17</f>
        <v>ZG</v>
      </c>
      <c r="G4934" s="1390"/>
      <c r="H4934" s="1077">
        <f>Risk_Compensation!$AF42</f>
        <v>0</v>
      </c>
    </row>
    <row r="4935" spans="1:8" x14ac:dyDescent="0.2">
      <c r="A4935" s="1027"/>
      <c r="B4935" s="1083">
        <f>Risk_Compensation!A$1</f>
        <v>36</v>
      </c>
      <c r="C4935" s="1390" t="str">
        <f>Risk_Compensation!$B$1</f>
        <v xml:space="preserve">Risikoausgleich </v>
      </c>
      <c r="D4935" s="2205" t="s">
        <v>2572</v>
      </c>
      <c r="E4935" s="1390">
        <f>Risk_Compensation!$G43</f>
        <v>26</v>
      </c>
      <c r="F4935" s="1390" t="str">
        <f>Risk_Compensation!$AF$17</f>
        <v>ZG</v>
      </c>
      <c r="G4935" s="1390"/>
      <c r="H4935" s="1077">
        <f>Risk_Compensation!$AF43</f>
        <v>0</v>
      </c>
    </row>
    <row r="4936" spans="1:8" x14ac:dyDescent="0.2">
      <c r="A4936" s="1027"/>
      <c r="B4936" s="1083">
        <f>Risk_Compensation!A$1</f>
        <v>36</v>
      </c>
      <c r="C4936" s="1390" t="str">
        <f>Risk_Compensation!$B$1</f>
        <v xml:space="preserve">Risikoausgleich </v>
      </c>
      <c r="D4936" s="2205" t="s">
        <v>2572</v>
      </c>
      <c r="E4936" s="1390">
        <f>Risk_Compensation!$G44</f>
        <v>27</v>
      </c>
      <c r="F4936" s="1390" t="str">
        <f>Risk_Compensation!$AF$17</f>
        <v>ZG</v>
      </c>
      <c r="G4936" s="1390"/>
      <c r="H4936" s="1077">
        <f>Risk_Compensation!$AF44</f>
        <v>0</v>
      </c>
    </row>
    <row r="4937" spans="1:8" x14ac:dyDescent="0.2">
      <c r="A4937" s="1027"/>
      <c r="B4937" s="1083">
        <f>Risk_Compensation!A$1</f>
        <v>36</v>
      </c>
      <c r="C4937" s="1390" t="str">
        <f>Risk_Compensation!$B$1</f>
        <v xml:space="preserve">Risikoausgleich </v>
      </c>
      <c r="D4937" s="2205" t="s">
        <v>2572</v>
      </c>
      <c r="E4937" s="1390">
        <f>Risk_Compensation!$G45</f>
        <v>28</v>
      </c>
      <c r="F4937" s="1390" t="str">
        <f>Risk_Compensation!$AF$17</f>
        <v>ZG</v>
      </c>
      <c r="G4937" s="1390"/>
      <c r="H4937" s="1077">
        <f>Risk_Compensation!$AF45</f>
        <v>0</v>
      </c>
    </row>
    <row r="4938" spans="1:8" x14ac:dyDescent="0.2">
      <c r="A4938" s="1027"/>
      <c r="B4938" s="1083">
        <f>Risk_Compensation!A$1</f>
        <v>36</v>
      </c>
      <c r="C4938" s="1390" t="str">
        <f>Risk_Compensation!$B$1</f>
        <v xml:space="preserve">Risikoausgleich </v>
      </c>
      <c r="D4938" s="2205" t="s">
        <v>2572</v>
      </c>
      <c r="E4938" s="1390">
        <f>Risk_Compensation!$G46</f>
        <v>29</v>
      </c>
      <c r="F4938" s="1390" t="str">
        <f>Risk_Compensation!$AF$17</f>
        <v>ZG</v>
      </c>
      <c r="G4938" s="1390"/>
      <c r="H4938" s="1077">
        <f>Risk_Compensation!$AF46</f>
        <v>0</v>
      </c>
    </row>
    <row r="4939" spans="1:8" x14ac:dyDescent="0.2">
      <c r="A4939" s="1027"/>
      <c r="B4939" s="1083">
        <f>Risk_Compensation!A$1</f>
        <v>36</v>
      </c>
      <c r="C4939" s="1390" t="str">
        <f>Risk_Compensation!$B$1</f>
        <v xml:space="preserve">Risikoausgleich </v>
      </c>
      <c r="D4939" s="2205" t="s">
        <v>2572</v>
      </c>
      <c r="E4939" s="1390">
        <f>Risk_Compensation!$G47</f>
        <v>30</v>
      </c>
      <c r="F4939" s="1390" t="str">
        <f>Risk_Compensation!$AF$17</f>
        <v>ZG</v>
      </c>
      <c r="G4939" s="1390"/>
      <c r="H4939" s="1077">
        <f>Risk_Compensation!$AF47</f>
        <v>0</v>
      </c>
    </row>
    <row r="4940" spans="1:8" x14ac:dyDescent="0.2">
      <c r="A4940" s="1027"/>
      <c r="B4940" s="1083">
        <f>Risk_Compensation!A$1</f>
        <v>36</v>
      </c>
      <c r="C4940" s="1390" t="str">
        <f>Risk_Compensation!$B$1</f>
        <v xml:space="preserve">Risikoausgleich </v>
      </c>
      <c r="D4940" s="2205" t="s">
        <v>2572</v>
      </c>
      <c r="E4940" s="1390">
        <f>Risk_Compensation!$G48</f>
        <v>31</v>
      </c>
      <c r="F4940" s="1390" t="str">
        <f>Risk_Compensation!$AF$17</f>
        <v>ZG</v>
      </c>
      <c r="G4940" s="1390"/>
      <c r="H4940" s="1077">
        <f>Risk_Compensation!$AF48</f>
        <v>0</v>
      </c>
    </row>
    <row r="4941" spans="1:8" x14ac:dyDescent="0.2">
      <c r="A4941" s="1027"/>
      <c r="B4941" s="1083">
        <f>Risk_Compensation!A$1</f>
        <v>36</v>
      </c>
      <c r="C4941" s="1390" t="str">
        <f>Risk_Compensation!$B$1</f>
        <v xml:space="preserve">Risikoausgleich </v>
      </c>
      <c r="D4941" s="2205" t="s">
        <v>2572</v>
      </c>
      <c r="E4941" s="1390">
        <f>Risk_Compensation!$G49</f>
        <v>32</v>
      </c>
      <c r="F4941" s="1390" t="str">
        <f>Risk_Compensation!$AF$17</f>
        <v>ZG</v>
      </c>
      <c r="G4941" s="1390"/>
      <c r="H4941" s="1077">
        <f>Risk_Compensation!$AF49</f>
        <v>0</v>
      </c>
    </row>
    <row r="4942" spans="1:8" x14ac:dyDescent="0.2">
      <c r="A4942" s="1027"/>
      <c r="B4942" s="1083">
        <f>Risk_Compensation!A$1</f>
        <v>36</v>
      </c>
      <c r="C4942" s="1390" t="str">
        <f>Risk_Compensation!$B$1</f>
        <v xml:space="preserve">Risikoausgleich </v>
      </c>
      <c r="D4942" s="2205" t="s">
        <v>2572</v>
      </c>
      <c r="E4942" s="1390">
        <f>Risk_Compensation!$G50</f>
        <v>33</v>
      </c>
      <c r="F4942" s="1390" t="str">
        <f>Risk_Compensation!$AF$17</f>
        <v>ZG</v>
      </c>
      <c r="G4942" s="1390"/>
      <c r="H4942" s="1077">
        <f>Risk_Compensation!$AF50</f>
        <v>0</v>
      </c>
    </row>
    <row r="4943" spans="1:8" x14ac:dyDescent="0.2">
      <c r="A4943" s="1027"/>
      <c r="B4943" s="1083">
        <f>Risk_Compensation!A$1</f>
        <v>36</v>
      </c>
      <c r="C4943" s="1390" t="str">
        <f>Risk_Compensation!$B$1</f>
        <v xml:space="preserve">Risikoausgleich </v>
      </c>
      <c r="D4943" s="2205" t="s">
        <v>2572</v>
      </c>
      <c r="E4943" s="1390">
        <f>Risk_Compensation!$G51</f>
        <v>34</v>
      </c>
      <c r="F4943" s="1390" t="str">
        <f>Risk_Compensation!$AF$17</f>
        <v>ZG</v>
      </c>
      <c r="G4943" s="1390"/>
      <c r="H4943" s="1077">
        <f>Risk_Compensation!$AF51</f>
        <v>0</v>
      </c>
    </row>
    <row r="4944" spans="1:8" x14ac:dyDescent="0.2">
      <c r="A4944" s="1027"/>
      <c r="B4944" s="1083">
        <f>Risk_Compensation!A$1</f>
        <v>36</v>
      </c>
      <c r="C4944" s="1390" t="str">
        <f>Risk_Compensation!$B$1</f>
        <v xml:space="preserve">Risikoausgleich </v>
      </c>
      <c r="D4944" s="2205" t="s">
        <v>2572</v>
      </c>
      <c r="E4944" s="1390">
        <f>Risk_Compensation!$G52</f>
        <v>35</v>
      </c>
      <c r="F4944" s="1390" t="str">
        <f>Risk_Compensation!$AF$17</f>
        <v>ZG</v>
      </c>
      <c r="G4944" s="1390"/>
      <c r="H4944" s="1077">
        <f>Risk_Compensation!$AF52</f>
        <v>0</v>
      </c>
    </row>
    <row r="4945" spans="1:8" x14ac:dyDescent="0.2">
      <c r="A4945" s="1027"/>
      <c r="B4945" s="1083">
        <f>Risk_Compensation!A$1</f>
        <v>36</v>
      </c>
      <c r="C4945" s="1390" t="str">
        <f>Risk_Compensation!$B$1</f>
        <v xml:space="preserve">Risikoausgleich </v>
      </c>
      <c r="D4945" s="2205" t="s">
        <v>2572</v>
      </c>
      <c r="E4945" s="1390">
        <f>Risk_Compensation!$G53</f>
        <v>36</v>
      </c>
      <c r="F4945" s="1390" t="str">
        <f>Risk_Compensation!$AF$17</f>
        <v>ZG</v>
      </c>
      <c r="G4945" s="1390"/>
      <c r="H4945" s="1077">
        <f>Risk_Compensation!$AF53</f>
        <v>0</v>
      </c>
    </row>
    <row r="4946" spans="1:8" x14ac:dyDescent="0.2">
      <c r="A4946" s="1027"/>
      <c r="B4946" s="1083">
        <f>Risk_Compensation!A$1</f>
        <v>36</v>
      </c>
      <c r="C4946" s="1390" t="str">
        <f>Risk_Compensation!$B$1</f>
        <v xml:space="preserve">Risikoausgleich </v>
      </c>
      <c r="D4946" s="2205" t="s">
        <v>2572</v>
      </c>
      <c r="E4946" s="1390">
        <f>Risk_Compensation!$G54</f>
        <v>37</v>
      </c>
      <c r="F4946" s="1390" t="str">
        <f>Risk_Compensation!$AF$17</f>
        <v>ZG</v>
      </c>
      <c r="G4946" s="1390"/>
      <c r="H4946" s="1077">
        <f>Risk_Compensation!$AF54</f>
        <v>0</v>
      </c>
    </row>
    <row r="4947" spans="1:8" x14ac:dyDescent="0.2">
      <c r="A4947" s="1027"/>
      <c r="B4947" s="1083">
        <f>Risk_Compensation!A$1</f>
        <v>36</v>
      </c>
      <c r="C4947" s="1390" t="str">
        <f>Risk_Compensation!$B$1</f>
        <v xml:space="preserve">Risikoausgleich </v>
      </c>
      <c r="D4947" s="2205" t="s">
        <v>2572</v>
      </c>
      <c r="E4947" s="1390">
        <f>Risk_Compensation!$G55</f>
        <v>38</v>
      </c>
      <c r="F4947" s="1390" t="str">
        <f>Risk_Compensation!$AF$17</f>
        <v>ZG</v>
      </c>
      <c r="G4947" s="1390"/>
      <c r="H4947" s="1077">
        <f>Risk_Compensation!$AF55</f>
        <v>0</v>
      </c>
    </row>
    <row r="4948" spans="1:8" x14ac:dyDescent="0.2">
      <c r="A4948" s="1027"/>
      <c r="B4948" s="1083">
        <f>Risk_Compensation!A$1</f>
        <v>36</v>
      </c>
      <c r="C4948" s="1390" t="str">
        <f>Risk_Compensation!$B$1</f>
        <v xml:space="preserve">Risikoausgleich </v>
      </c>
      <c r="D4948" s="2205" t="s">
        <v>2572</v>
      </c>
      <c r="E4948" s="1390">
        <f>Risk_Compensation!$G56</f>
        <v>39</v>
      </c>
      <c r="F4948" s="1390" t="str">
        <f>Risk_Compensation!$AF$17</f>
        <v>ZG</v>
      </c>
      <c r="G4948" s="1390"/>
      <c r="H4948" s="1077">
        <f>Risk_Compensation!$AF56</f>
        <v>0</v>
      </c>
    </row>
    <row r="4949" spans="1:8" x14ac:dyDescent="0.2">
      <c r="A4949" s="1027"/>
      <c r="B4949" s="1083">
        <f>Risk_Compensation!A$1</f>
        <v>36</v>
      </c>
      <c r="C4949" s="1390" t="str">
        <f>Risk_Compensation!$B$1</f>
        <v xml:space="preserve">Risikoausgleich </v>
      </c>
      <c r="D4949" s="2205" t="s">
        <v>2572</v>
      </c>
      <c r="E4949" s="1390">
        <f>Risk_Compensation!$G57</f>
        <v>40</v>
      </c>
      <c r="F4949" s="1390" t="str">
        <f>Risk_Compensation!$AF$17</f>
        <v>ZG</v>
      </c>
      <c r="G4949" s="1390"/>
      <c r="H4949" s="1077">
        <f>Risk_Compensation!$AF57</f>
        <v>0</v>
      </c>
    </row>
    <row r="4950" spans="1:8" x14ac:dyDescent="0.2">
      <c r="A4950" s="1027"/>
      <c r="B4950" s="1083">
        <f>Risk_Compensation!A$1</f>
        <v>36</v>
      </c>
      <c r="C4950" s="1390" t="str">
        <f>Risk_Compensation!$B$1</f>
        <v xml:space="preserve">Risikoausgleich </v>
      </c>
      <c r="D4950" s="2205" t="s">
        <v>2572</v>
      </c>
      <c r="E4950" s="1390">
        <f>Risk_Compensation!$G58</f>
        <v>41</v>
      </c>
      <c r="F4950" s="1390" t="str">
        <f>Risk_Compensation!$AF$17</f>
        <v>ZG</v>
      </c>
      <c r="G4950" s="1390"/>
      <c r="H4950" s="1077">
        <f>Risk_Compensation!$AF58</f>
        <v>0</v>
      </c>
    </row>
    <row r="4951" spans="1:8" x14ac:dyDescent="0.2">
      <c r="A4951" s="1027"/>
      <c r="B4951" s="1083">
        <f>Risk_Compensation!A$1</f>
        <v>36</v>
      </c>
      <c r="C4951" s="1390" t="str">
        <f>Risk_Compensation!$B$1</f>
        <v xml:space="preserve">Risikoausgleich </v>
      </c>
      <c r="D4951" s="2205" t="s">
        <v>2572</v>
      </c>
      <c r="E4951" s="1390">
        <f>Risk_Compensation!$G59</f>
        <v>42</v>
      </c>
      <c r="F4951" s="1390" t="str">
        <f>Risk_Compensation!$AF$17</f>
        <v>ZG</v>
      </c>
      <c r="G4951" s="1390"/>
      <c r="H4951" s="1077">
        <f>Risk_Compensation!$AF59</f>
        <v>0</v>
      </c>
    </row>
    <row r="4952" spans="1:8" x14ac:dyDescent="0.2">
      <c r="A4952" s="1027"/>
      <c r="B4952" s="1083">
        <f>Risk_Compensation!A$1</f>
        <v>36</v>
      </c>
      <c r="C4952" s="1390" t="str">
        <f>Risk_Compensation!$B$1</f>
        <v xml:space="preserve">Risikoausgleich </v>
      </c>
      <c r="D4952" s="2205" t="s">
        <v>2572</v>
      </c>
      <c r="E4952" s="1390">
        <f>Risk_Compensation!$G60</f>
        <v>43</v>
      </c>
      <c r="F4952" s="1390" t="str">
        <f>Risk_Compensation!$AF$17</f>
        <v>ZG</v>
      </c>
      <c r="G4952" s="1390"/>
      <c r="H4952" s="1077">
        <f>Risk_Compensation!$AF60</f>
        <v>0</v>
      </c>
    </row>
    <row r="4953" spans="1:8" x14ac:dyDescent="0.2">
      <c r="A4953" s="1027"/>
      <c r="B4953" s="1083">
        <f>Risk_Compensation!A$1</f>
        <v>36</v>
      </c>
      <c r="C4953" s="1390" t="str">
        <f>Risk_Compensation!$B$1</f>
        <v xml:space="preserve">Risikoausgleich </v>
      </c>
      <c r="D4953" s="2205" t="s">
        <v>2572</v>
      </c>
      <c r="E4953" s="1390">
        <f>Risk_Compensation!$G61</f>
        <v>44</v>
      </c>
      <c r="F4953" s="1390" t="str">
        <f>Risk_Compensation!$AF$17</f>
        <v>ZG</v>
      </c>
      <c r="G4953" s="1390"/>
      <c r="H4953" s="1077">
        <f>Risk_Compensation!$AF61</f>
        <v>0</v>
      </c>
    </row>
    <row r="4954" spans="1:8" x14ac:dyDescent="0.2">
      <c r="A4954" s="1027"/>
      <c r="B4954" s="1083">
        <f>Risk_Compensation!A$1</f>
        <v>36</v>
      </c>
      <c r="C4954" s="1390" t="str">
        <f>Risk_Compensation!$B$1</f>
        <v xml:space="preserve">Risikoausgleich </v>
      </c>
      <c r="D4954" s="2205" t="s">
        <v>2572</v>
      </c>
      <c r="E4954" s="1390">
        <f>Risk_Compensation!$G62</f>
        <v>45</v>
      </c>
      <c r="F4954" s="1390" t="str">
        <f>Risk_Compensation!$AF$17</f>
        <v>ZG</v>
      </c>
      <c r="G4954" s="1390"/>
      <c r="H4954" s="1077">
        <f>Risk_Compensation!$AF62</f>
        <v>0</v>
      </c>
    </row>
    <row r="4955" spans="1:8" x14ac:dyDescent="0.2">
      <c r="A4955" s="1027"/>
      <c r="B4955" s="1083">
        <f>Risk_Compensation!A$1</f>
        <v>36</v>
      </c>
      <c r="C4955" s="1390" t="str">
        <f>Risk_Compensation!$B$1</f>
        <v xml:space="preserve">Risikoausgleich </v>
      </c>
      <c r="D4955" s="2205" t="s">
        <v>2572</v>
      </c>
      <c r="E4955" s="1390">
        <f>Risk_Compensation!$G63</f>
        <v>46</v>
      </c>
      <c r="F4955" s="1390" t="str">
        <f>Risk_Compensation!$AF$17</f>
        <v>ZG</v>
      </c>
      <c r="G4955" s="1390"/>
      <c r="H4955" s="1077">
        <f>Risk_Compensation!$AF63</f>
        <v>0</v>
      </c>
    </row>
    <row r="4956" spans="1:8" x14ac:dyDescent="0.2">
      <c r="A4956" s="1027"/>
      <c r="B4956" s="1083">
        <f>Risk_Compensation!A$1</f>
        <v>36</v>
      </c>
      <c r="C4956" s="1390" t="str">
        <f>Risk_Compensation!$B$1</f>
        <v xml:space="preserve">Risikoausgleich </v>
      </c>
      <c r="D4956" s="2205" t="s">
        <v>2572</v>
      </c>
      <c r="E4956" s="1390">
        <f>Risk_Compensation!$G64</f>
        <v>47</v>
      </c>
      <c r="F4956" s="1390" t="str">
        <f>Risk_Compensation!$AF$17</f>
        <v>ZG</v>
      </c>
      <c r="G4956" s="1390"/>
      <c r="H4956" s="1077">
        <f>Risk_Compensation!$AF64</f>
        <v>0</v>
      </c>
    </row>
    <row r="4957" spans="1:8" x14ac:dyDescent="0.2">
      <c r="A4957" s="1027"/>
      <c r="B4957" s="1083">
        <f>Risk_Compensation!A$1</f>
        <v>36</v>
      </c>
      <c r="C4957" s="1390" t="str">
        <f>Risk_Compensation!$B$1</f>
        <v xml:space="preserve">Risikoausgleich </v>
      </c>
      <c r="D4957" s="2205" t="s">
        <v>2572</v>
      </c>
      <c r="E4957" s="1390">
        <f>Risk_Compensation!$G65</f>
        <v>48</v>
      </c>
      <c r="F4957" s="1390" t="str">
        <f>Risk_Compensation!$AF$17</f>
        <v>ZG</v>
      </c>
      <c r="G4957" s="1390"/>
      <c r="H4957" s="1077">
        <f>Risk_Compensation!$AF65</f>
        <v>0</v>
      </c>
    </row>
    <row r="4958" spans="1:8" x14ac:dyDescent="0.2">
      <c r="A4958" s="1027"/>
      <c r="B4958" s="1083">
        <f>Risk_Compensation!A$1</f>
        <v>36</v>
      </c>
      <c r="C4958" s="1390" t="str">
        <f>Risk_Compensation!$B$1</f>
        <v xml:space="preserve">Risikoausgleich </v>
      </c>
      <c r="D4958" s="2205" t="s">
        <v>2572</v>
      </c>
      <c r="E4958" s="1390">
        <f>Risk_Compensation!$G66</f>
        <v>49</v>
      </c>
      <c r="F4958" s="1390" t="str">
        <f>Risk_Compensation!$AF$17</f>
        <v>ZG</v>
      </c>
      <c r="G4958" s="1390"/>
      <c r="H4958" s="1077">
        <f>Risk_Compensation!$AF66</f>
        <v>0</v>
      </c>
    </row>
    <row r="4959" spans="1:8" x14ac:dyDescent="0.2">
      <c r="A4959" s="1027"/>
      <c r="B4959" s="1083">
        <f>Risk_Compensation!A$1</f>
        <v>36</v>
      </c>
      <c r="C4959" s="1390" t="str">
        <f>Risk_Compensation!$B$1</f>
        <v xml:space="preserve">Risikoausgleich </v>
      </c>
      <c r="D4959" s="2205" t="s">
        <v>2572</v>
      </c>
      <c r="E4959" s="1390">
        <f>Risk_Compensation!$G67</f>
        <v>50</v>
      </c>
      <c r="F4959" s="1390" t="str">
        <f>Risk_Compensation!$AF$17</f>
        <v>ZG</v>
      </c>
      <c r="G4959" s="1390"/>
      <c r="H4959" s="1077">
        <f>Risk_Compensation!$AF67</f>
        <v>0</v>
      </c>
    </row>
    <row r="4960" spans="1:8" x14ac:dyDescent="0.2">
      <c r="A4960" s="1027"/>
      <c r="B4960" s="1083">
        <f>Risk_Compensation!A$1</f>
        <v>36</v>
      </c>
      <c r="C4960" s="1390" t="str">
        <f>Risk_Compensation!$B$1</f>
        <v xml:space="preserve">Risikoausgleich </v>
      </c>
      <c r="D4960" s="2205" t="s">
        <v>2572</v>
      </c>
      <c r="E4960" s="1390">
        <f>Risk_Compensation!$G68</f>
        <v>51</v>
      </c>
      <c r="F4960" s="1390" t="str">
        <f>Risk_Compensation!$AF$17</f>
        <v>ZG</v>
      </c>
      <c r="G4960" s="1390"/>
      <c r="H4960" s="1077">
        <f>Risk_Compensation!$AF68</f>
        <v>0</v>
      </c>
    </row>
    <row r="4961" spans="1:8" x14ac:dyDescent="0.2">
      <c r="A4961" s="1027"/>
      <c r="B4961" s="1083">
        <f>Risk_Compensation!A$1</f>
        <v>36</v>
      </c>
      <c r="C4961" s="1390" t="str">
        <f>Risk_Compensation!$B$1</f>
        <v xml:space="preserve">Risikoausgleich </v>
      </c>
      <c r="D4961" s="2205" t="s">
        <v>2572</v>
      </c>
      <c r="E4961" s="1390">
        <f>Risk_Compensation!$G69</f>
        <v>52</v>
      </c>
      <c r="F4961" s="1390" t="str">
        <f>Risk_Compensation!$AF$17</f>
        <v>ZG</v>
      </c>
      <c r="G4961" s="1390"/>
      <c r="H4961" s="1077">
        <f>Risk_Compensation!$AF69</f>
        <v>0</v>
      </c>
    </row>
    <row r="4962" spans="1:8" x14ac:dyDescent="0.2">
      <c r="A4962" s="1027"/>
      <c r="B4962" s="1083">
        <f>Risk_Compensation!A$1</f>
        <v>36</v>
      </c>
      <c r="C4962" s="1390" t="str">
        <f>Risk_Compensation!$B$1</f>
        <v xml:space="preserve">Risikoausgleich </v>
      </c>
      <c r="D4962" s="2205" t="s">
        <v>2572</v>
      </c>
      <c r="E4962" s="1390">
        <f>Risk_Compensation!$G70</f>
        <v>53</v>
      </c>
      <c r="F4962" s="1390" t="str">
        <f>Risk_Compensation!$AF$17</f>
        <v>ZG</v>
      </c>
      <c r="G4962" s="1390"/>
      <c r="H4962" s="1077">
        <f>Risk_Compensation!$AF70</f>
        <v>0</v>
      </c>
    </row>
    <row r="4963" spans="1:8" x14ac:dyDescent="0.2">
      <c r="A4963" s="1027"/>
      <c r="B4963" s="1083">
        <f>Risk_Compensation!A$1</f>
        <v>36</v>
      </c>
      <c r="C4963" s="1390" t="str">
        <f>Risk_Compensation!$B$1</f>
        <v xml:space="preserve">Risikoausgleich </v>
      </c>
      <c r="D4963" s="2205" t="s">
        <v>2572</v>
      </c>
      <c r="E4963" s="1390">
        <f>Risk_Compensation!$G71</f>
        <v>54</v>
      </c>
      <c r="F4963" s="1390" t="str">
        <f>Risk_Compensation!$AF$17</f>
        <v>ZG</v>
      </c>
      <c r="G4963" s="1390"/>
      <c r="H4963" s="1077">
        <f>Risk_Compensation!$AF71</f>
        <v>0</v>
      </c>
    </row>
    <row r="4964" spans="1:8" x14ac:dyDescent="0.2">
      <c r="A4964" s="1027"/>
      <c r="B4964" s="1083">
        <f>Risk_Compensation!A$1</f>
        <v>36</v>
      </c>
      <c r="C4964" s="1390" t="str">
        <f>Risk_Compensation!$B$1</f>
        <v xml:space="preserve">Risikoausgleich </v>
      </c>
      <c r="D4964" s="2205" t="s">
        <v>2572</v>
      </c>
      <c r="E4964" s="1390">
        <f>Risk_Compensation!$G72</f>
        <v>55</v>
      </c>
      <c r="F4964" s="1390" t="str">
        <f>Risk_Compensation!$AF$17</f>
        <v>ZG</v>
      </c>
      <c r="G4964" s="1390"/>
      <c r="H4964" s="1077">
        <f>Risk_Compensation!$AF72</f>
        <v>0</v>
      </c>
    </row>
    <row r="4965" spans="1:8" x14ac:dyDescent="0.2">
      <c r="A4965" s="1027"/>
      <c r="B4965" s="1083">
        <f>Risk_Compensation!A$1</f>
        <v>36</v>
      </c>
      <c r="C4965" s="1390" t="str">
        <f>Risk_Compensation!$B$1</f>
        <v xml:space="preserve">Risikoausgleich </v>
      </c>
      <c r="D4965" s="2205" t="s">
        <v>2572</v>
      </c>
      <c r="E4965" s="1390">
        <f>Risk_Compensation!$G73</f>
        <v>56</v>
      </c>
      <c r="F4965" s="1390" t="str">
        <f>Risk_Compensation!$AF$17</f>
        <v>ZG</v>
      </c>
      <c r="G4965" s="1390"/>
      <c r="H4965" s="1077">
        <f>Risk_Compensation!$AF73</f>
        <v>0</v>
      </c>
    </row>
    <row r="4966" spans="1:8" x14ac:dyDescent="0.2">
      <c r="A4966" s="1027"/>
      <c r="B4966" s="1083">
        <f>Risk_Compensation!A$1</f>
        <v>36</v>
      </c>
      <c r="C4966" s="1390" t="str">
        <f>Risk_Compensation!$B$1</f>
        <v xml:space="preserve">Risikoausgleich </v>
      </c>
      <c r="D4966" s="2205" t="s">
        <v>2572</v>
      </c>
      <c r="E4966" s="1390">
        <f>Risk_Compensation!$G74</f>
        <v>57</v>
      </c>
      <c r="F4966" s="1390" t="str">
        <f>Risk_Compensation!$AF$17</f>
        <v>ZG</v>
      </c>
      <c r="G4966" s="1390"/>
      <c r="H4966" s="1077">
        <f>Risk_Compensation!$AF74</f>
        <v>0</v>
      </c>
    </row>
    <row r="4967" spans="1:8" x14ac:dyDescent="0.2">
      <c r="A4967" s="1027"/>
      <c r="B4967" s="1083">
        <f>Risk_Compensation!A$1</f>
        <v>36</v>
      </c>
      <c r="C4967" s="1390" t="str">
        <f>Risk_Compensation!$B$1</f>
        <v xml:space="preserve">Risikoausgleich </v>
      </c>
      <c r="D4967" s="2205" t="s">
        <v>2572</v>
      </c>
      <c r="E4967" s="1390">
        <f>Risk_Compensation!$G75</f>
        <v>58</v>
      </c>
      <c r="F4967" s="1390" t="str">
        <f>Risk_Compensation!$AF$17</f>
        <v>ZG</v>
      </c>
      <c r="G4967" s="1390"/>
      <c r="H4967" s="1077">
        <f>Risk_Compensation!$AF75</f>
        <v>0</v>
      </c>
    </row>
    <row r="4968" spans="1:8" x14ac:dyDescent="0.2">
      <c r="A4968" s="1027"/>
      <c r="B4968" s="1083">
        <f>Risk_Compensation!A$1</f>
        <v>36</v>
      </c>
      <c r="C4968" s="1390" t="str">
        <f>Risk_Compensation!$B$1</f>
        <v xml:space="preserve">Risikoausgleich </v>
      </c>
      <c r="D4968" s="2205" t="s">
        <v>2572</v>
      </c>
      <c r="E4968" s="1390">
        <f>Risk_Compensation!$G76</f>
        <v>59</v>
      </c>
      <c r="F4968" s="1390" t="str">
        <f>Risk_Compensation!$AF$17</f>
        <v>ZG</v>
      </c>
      <c r="G4968" s="1390"/>
      <c r="H4968" s="1077">
        <f>Risk_Compensation!$AF76</f>
        <v>0</v>
      </c>
    </row>
    <row r="4969" spans="1:8" x14ac:dyDescent="0.2">
      <c r="A4969" s="1027"/>
      <c r="B4969" s="1083">
        <f>Risk_Compensation!A$1</f>
        <v>36</v>
      </c>
      <c r="C4969" s="1390" t="str">
        <f>Risk_Compensation!$B$1</f>
        <v xml:space="preserve">Risikoausgleich </v>
      </c>
      <c r="D4969" s="2205" t="s">
        <v>2572</v>
      </c>
      <c r="E4969" s="1390">
        <f>Risk_Compensation!$G77</f>
        <v>60</v>
      </c>
      <c r="F4969" s="1390" t="str">
        <f>Risk_Compensation!$AF$17</f>
        <v>ZG</v>
      </c>
      <c r="G4969" s="1390"/>
      <c r="H4969" s="1077">
        <f>Risk_Compensation!$AF77</f>
        <v>0</v>
      </c>
    </row>
    <row r="4970" spans="1:8" x14ac:dyDescent="0.2">
      <c r="A4970" s="1027"/>
      <c r="B4970" s="2174"/>
      <c r="C4970" s="1390"/>
      <c r="D4970" s="2175"/>
      <c r="E4970" s="2176"/>
      <c r="F4970" s="1390"/>
      <c r="G4970" s="1390"/>
      <c r="H4970" s="1078"/>
    </row>
    <row r="4971" spans="1:8" x14ac:dyDescent="0.2">
      <c r="A4971" s="1027"/>
      <c r="B4971" s="1083">
        <f>Risk_Compensation!A$1</f>
        <v>36</v>
      </c>
      <c r="C4971" s="1390" t="str">
        <f>Risk_Compensation!$B$1</f>
        <v xml:space="preserve">Risikoausgleich </v>
      </c>
      <c r="D4971" s="2205" t="s">
        <v>2572</v>
      </c>
      <c r="E4971" s="1390">
        <f>Risk_Compensation!$G18</f>
        <v>1</v>
      </c>
      <c r="F4971" s="1390" t="str">
        <f>Risk_Compensation!$AG$17</f>
        <v>ZH</v>
      </c>
      <c r="G4971" s="1390"/>
      <c r="H4971" s="1077">
        <f>Risk_Compensation!$AG18</f>
        <v>0</v>
      </c>
    </row>
    <row r="4972" spans="1:8" x14ac:dyDescent="0.2">
      <c r="A4972" s="1027"/>
      <c r="B4972" s="1083">
        <f>Risk_Compensation!A$1</f>
        <v>36</v>
      </c>
      <c r="C4972" s="1390" t="str">
        <f>Risk_Compensation!$B$1</f>
        <v xml:space="preserve">Risikoausgleich </v>
      </c>
      <c r="D4972" s="2205" t="s">
        <v>2572</v>
      </c>
      <c r="E4972" s="1390">
        <f>Risk_Compensation!$G19</f>
        <v>2</v>
      </c>
      <c r="F4972" s="1390" t="str">
        <f>Risk_Compensation!$AG$17</f>
        <v>ZH</v>
      </c>
      <c r="G4972" s="1390"/>
      <c r="H4972" s="1077">
        <f>Risk_Compensation!$AG19</f>
        <v>0</v>
      </c>
    </row>
    <row r="4973" spans="1:8" x14ac:dyDescent="0.2">
      <c r="A4973" s="1027"/>
      <c r="B4973" s="1083">
        <f>Risk_Compensation!A$1</f>
        <v>36</v>
      </c>
      <c r="C4973" s="1390" t="str">
        <f>Risk_Compensation!$B$1</f>
        <v xml:space="preserve">Risikoausgleich </v>
      </c>
      <c r="D4973" s="2205" t="s">
        <v>2572</v>
      </c>
      <c r="E4973" s="1390">
        <f>Risk_Compensation!$G20</f>
        <v>3</v>
      </c>
      <c r="F4973" s="1390" t="str">
        <f>Risk_Compensation!$AG$17</f>
        <v>ZH</v>
      </c>
      <c r="G4973" s="1390"/>
      <c r="H4973" s="1077">
        <f>Risk_Compensation!$AG20</f>
        <v>0</v>
      </c>
    </row>
    <row r="4974" spans="1:8" x14ac:dyDescent="0.2">
      <c r="A4974" s="1027"/>
      <c r="B4974" s="1083">
        <f>Risk_Compensation!A$1</f>
        <v>36</v>
      </c>
      <c r="C4974" s="1390" t="str">
        <f>Risk_Compensation!$B$1</f>
        <v xml:space="preserve">Risikoausgleich </v>
      </c>
      <c r="D4974" s="2205" t="s">
        <v>2572</v>
      </c>
      <c r="E4974" s="1390">
        <f>Risk_Compensation!$G21</f>
        <v>4</v>
      </c>
      <c r="F4974" s="1390" t="str">
        <f>Risk_Compensation!$AG$17</f>
        <v>ZH</v>
      </c>
      <c r="G4974" s="1390"/>
      <c r="H4974" s="1077">
        <f>Risk_Compensation!$AG21</f>
        <v>0</v>
      </c>
    </row>
    <row r="4975" spans="1:8" x14ac:dyDescent="0.2">
      <c r="A4975" s="1027"/>
      <c r="B4975" s="1083">
        <f>Risk_Compensation!A$1</f>
        <v>36</v>
      </c>
      <c r="C4975" s="1390" t="str">
        <f>Risk_Compensation!$B$1</f>
        <v xml:space="preserve">Risikoausgleich </v>
      </c>
      <c r="D4975" s="2205" t="s">
        <v>2572</v>
      </c>
      <c r="E4975" s="1390">
        <f>Risk_Compensation!$G22</f>
        <v>5</v>
      </c>
      <c r="F4975" s="1390" t="str">
        <f>Risk_Compensation!$AG$17</f>
        <v>ZH</v>
      </c>
      <c r="G4975" s="1390"/>
      <c r="H4975" s="1077">
        <f>Risk_Compensation!$AG22</f>
        <v>0</v>
      </c>
    </row>
    <row r="4976" spans="1:8" x14ac:dyDescent="0.2">
      <c r="A4976" s="1027"/>
      <c r="B4976" s="1083">
        <f>Risk_Compensation!A$1</f>
        <v>36</v>
      </c>
      <c r="C4976" s="1390" t="str">
        <f>Risk_Compensation!$B$1</f>
        <v xml:space="preserve">Risikoausgleich </v>
      </c>
      <c r="D4976" s="2205" t="s">
        <v>2572</v>
      </c>
      <c r="E4976" s="1390">
        <f>Risk_Compensation!$G23</f>
        <v>6</v>
      </c>
      <c r="F4976" s="1390" t="str">
        <f>Risk_Compensation!$AG$17</f>
        <v>ZH</v>
      </c>
      <c r="G4976" s="1390"/>
      <c r="H4976" s="1077">
        <f>Risk_Compensation!$AG23</f>
        <v>0</v>
      </c>
    </row>
    <row r="4977" spans="1:8" x14ac:dyDescent="0.2">
      <c r="A4977" s="1027"/>
      <c r="B4977" s="1083">
        <f>Risk_Compensation!A$1</f>
        <v>36</v>
      </c>
      <c r="C4977" s="1390" t="str">
        <f>Risk_Compensation!$B$1</f>
        <v xml:space="preserve">Risikoausgleich </v>
      </c>
      <c r="D4977" s="2205" t="s">
        <v>2572</v>
      </c>
      <c r="E4977" s="1390">
        <f>Risk_Compensation!$G24</f>
        <v>7</v>
      </c>
      <c r="F4977" s="1390" t="str">
        <f>Risk_Compensation!$AG$17</f>
        <v>ZH</v>
      </c>
      <c r="G4977" s="1390"/>
      <c r="H4977" s="1077">
        <f>Risk_Compensation!$AG24</f>
        <v>0</v>
      </c>
    </row>
    <row r="4978" spans="1:8" x14ac:dyDescent="0.2">
      <c r="A4978" s="1027"/>
      <c r="B4978" s="1083">
        <f>Risk_Compensation!A$1</f>
        <v>36</v>
      </c>
      <c r="C4978" s="1390" t="str">
        <f>Risk_Compensation!$B$1</f>
        <v xml:space="preserve">Risikoausgleich </v>
      </c>
      <c r="D4978" s="2205" t="s">
        <v>2572</v>
      </c>
      <c r="E4978" s="1390">
        <f>Risk_Compensation!$G25</f>
        <v>8</v>
      </c>
      <c r="F4978" s="1390" t="str">
        <f>Risk_Compensation!$AG$17</f>
        <v>ZH</v>
      </c>
      <c r="G4978" s="1390"/>
      <c r="H4978" s="1077">
        <f>Risk_Compensation!$AG25</f>
        <v>0</v>
      </c>
    </row>
    <row r="4979" spans="1:8" x14ac:dyDescent="0.2">
      <c r="A4979" s="1027"/>
      <c r="B4979" s="1083">
        <f>Risk_Compensation!A$1</f>
        <v>36</v>
      </c>
      <c r="C4979" s="1390" t="str">
        <f>Risk_Compensation!$B$1</f>
        <v xml:space="preserve">Risikoausgleich </v>
      </c>
      <c r="D4979" s="2205" t="s">
        <v>2572</v>
      </c>
      <c r="E4979" s="1390">
        <f>Risk_Compensation!$G26</f>
        <v>9</v>
      </c>
      <c r="F4979" s="1390" t="str">
        <f>Risk_Compensation!$AG$17</f>
        <v>ZH</v>
      </c>
      <c r="G4979" s="1390"/>
      <c r="H4979" s="1077">
        <f>Risk_Compensation!$AG26</f>
        <v>0</v>
      </c>
    </row>
    <row r="4980" spans="1:8" x14ac:dyDescent="0.2">
      <c r="A4980" s="1027"/>
      <c r="B4980" s="1083">
        <f>Risk_Compensation!A$1</f>
        <v>36</v>
      </c>
      <c r="C4980" s="1390" t="str">
        <f>Risk_Compensation!$B$1</f>
        <v xml:space="preserve">Risikoausgleich </v>
      </c>
      <c r="D4980" s="2205" t="s">
        <v>2572</v>
      </c>
      <c r="E4980" s="1390">
        <f>Risk_Compensation!$G27</f>
        <v>10</v>
      </c>
      <c r="F4980" s="1390" t="str">
        <f>Risk_Compensation!$AG$17</f>
        <v>ZH</v>
      </c>
      <c r="G4980" s="1390"/>
      <c r="H4980" s="1077">
        <f>Risk_Compensation!$AG27</f>
        <v>0</v>
      </c>
    </row>
    <row r="4981" spans="1:8" x14ac:dyDescent="0.2">
      <c r="A4981" s="1027"/>
      <c r="B4981" s="1083">
        <f>Risk_Compensation!A$1</f>
        <v>36</v>
      </c>
      <c r="C4981" s="1390" t="str">
        <f>Risk_Compensation!$B$1</f>
        <v xml:space="preserve">Risikoausgleich </v>
      </c>
      <c r="D4981" s="2205" t="s">
        <v>2572</v>
      </c>
      <c r="E4981" s="1390">
        <f>Risk_Compensation!$G28</f>
        <v>11</v>
      </c>
      <c r="F4981" s="1390" t="str">
        <f>Risk_Compensation!$AG$17</f>
        <v>ZH</v>
      </c>
      <c r="G4981" s="1390"/>
      <c r="H4981" s="1077">
        <f>Risk_Compensation!$AG28</f>
        <v>0</v>
      </c>
    </row>
    <row r="4982" spans="1:8" x14ac:dyDescent="0.2">
      <c r="A4982" s="1027"/>
      <c r="B4982" s="1083">
        <f>Risk_Compensation!A$1</f>
        <v>36</v>
      </c>
      <c r="C4982" s="1390" t="str">
        <f>Risk_Compensation!$B$1</f>
        <v xml:space="preserve">Risikoausgleich </v>
      </c>
      <c r="D4982" s="2205" t="s">
        <v>2572</v>
      </c>
      <c r="E4982" s="1390">
        <f>Risk_Compensation!$G29</f>
        <v>12</v>
      </c>
      <c r="F4982" s="1390" t="str">
        <f>Risk_Compensation!$AG$17</f>
        <v>ZH</v>
      </c>
      <c r="G4982" s="1390"/>
      <c r="H4982" s="1077">
        <f>Risk_Compensation!$AG29</f>
        <v>0</v>
      </c>
    </row>
    <row r="4983" spans="1:8" x14ac:dyDescent="0.2">
      <c r="A4983" s="1027"/>
      <c r="B4983" s="1083">
        <f>Risk_Compensation!A$1</f>
        <v>36</v>
      </c>
      <c r="C4983" s="1390" t="str">
        <f>Risk_Compensation!$B$1</f>
        <v xml:space="preserve">Risikoausgleich </v>
      </c>
      <c r="D4983" s="2205" t="s">
        <v>2572</v>
      </c>
      <c r="E4983" s="1390">
        <f>Risk_Compensation!$G30</f>
        <v>13</v>
      </c>
      <c r="F4983" s="1390" t="str">
        <f>Risk_Compensation!$AG$17</f>
        <v>ZH</v>
      </c>
      <c r="G4983" s="1390"/>
      <c r="H4983" s="1077">
        <f>Risk_Compensation!$AG30</f>
        <v>0</v>
      </c>
    </row>
    <row r="4984" spans="1:8" x14ac:dyDescent="0.2">
      <c r="A4984" s="1027"/>
      <c r="B4984" s="1083">
        <f>Risk_Compensation!A$1</f>
        <v>36</v>
      </c>
      <c r="C4984" s="1390" t="str">
        <f>Risk_Compensation!$B$1</f>
        <v xml:space="preserve">Risikoausgleich </v>
      </c>
      <c r="D4984" s="2205" t="s">
        <v>2572</v>
      </c>
      <c r="E4984" s="1390">
        <f>Risk_Compensation!$G31</f>
        <v>14</v>
      </c>
      <c r="F4984" s="1390" t="str">
        <f>Risk_Compensation!$AG$17</f>
        <v>ZH</v>
      </c>
      <c r="G4984" s="1390"/>
      <c r="H4984" s="1077">
        <f>Risk_Compensation!$AG31</f>
        <v>0</v>
      </c>
    </row>
    <row r="4985" spans="1:8" x14ac:dyDescent="0.2">
      <c r="A4985" s="1027"/>
      <c r="B4985" s="1083">
        <f>Risk_Compensation!A$1</f>
        <v>36</v>
      </c>
      <c r="C4985" s="1390" t="str">
        <f>Risk_Compensation!$B$1</f>
        <v xml:space="preserve">Risikoausgleich </v>
      </c>
      <c r="D4985" s="2205" t="s">
        <v>2572</v>
      </c>
      <c r="E4985" s="1390">
        <f>Risk_Compensation!$G32</f>
        <v>15</v>
      </c>
      <c r="F4985" s="1390" t="str">
        <f>Risk_Compensation!$AG$17</f>
        <v>ZH</v>
      </c>
      <c r="G4985" s="1390"/>
      <c r="H4985" s="1077">
        <f>Risk_Compensation!$AG32</f>
        <v>0</v>
      </c>
    </row>
    <row r="4986" spans="1:8" x14ac:dyDescent="0.2">
      <c r="A4986" s="1027"/>
      <c r="B4986" s="1083">
        <f>Risk_Compensation!A$1</f>
        <v>36</v>
      </c>
      <c r="C4986" s="1390" t="str">
        <f>Risk_Compensation!$B$1</f>
        <v xml:space="preserve">Risikoausgleich </v>
      </c>
      <c r="D4986" s="2205" t="s">
        <v>2572</v>
      </c>
      <c r="E4986" s="1390">
        <f>Risk_Compensation!$G33</f>
        <v>16</v>
      </c>
      <c r="F4986" s="1390" t="str">
        <f>Risk_Compensation!$AG$17</f>
        <v>ZH</v>
      </c>
      <c r="G4986" s="1390"/>
      <c r="H4986" s="1077">
        <f>Risk_Compensation!$AG33</f>
        <v>0</v>
      </c>
    </row>
    <row r="4987" spans="1:8" x14ac:dyDescent="0.2">
      <c r="A4987" s="1027"/>
      <c r="B4987" s="1083">
        <f>Risk_Compensation!A$1</f>
        <v>36</v>
      </c>
      <c r="C4987" s="1390" t="str">
        <f>Risk_Compensation!$B$1</f>
        <v xml:space="preserve">Risikoausgleich </v>
      </c>
      <c r="D4987" s="2205" t="s">
        <v>2572</v>
      </c>
      <c r="E4987" s="1390">
        <f>Risk_Compensation!$G34</f>
        <v>17</v>
      </c>
      <c r="F4987" s="1390" t="str">
        <f>Risk_Compensation!$AG$17</f>
        <v>ZH</v>
      </c>
      <c r="G4987" s="1390"/>
      <c r="H4987" s="1077">
        <f>Risk_Compensation!$AG34</f>
        <v>0</v>
      </c>
    </row>
    <row r="4988" spans="1:8" x14ac:dyDescent="0.2">
      <c r="A4988" s="1027"/>
      <c r="B4988" s="1083">
        <f>Risk_Compensation!A$1</f>
        <v>36</v>
      </c>
      <c r="C4988" s="1390" t="str">
        <f>Risk_Compensation!$B$1</f>
        <v xml:space="preserve">Risikoausgleich </v>
      </c>
      <c r="D4988" s="2205" t="s">
        <v>2572</v>
      </c>
      <c r="E4988" s="1390">
        <f>Risk_Compensation!$G35</f>
        <v>18</v>
      </c>
      <c r="F4988" s="1390" t="str">
        <f>Risk_Compensation!$AG$17</f>
        <v>ZH</v>
      </c>
      <c r="G4988" s="1390"/>
      <c r="H4988" s="1077">
        <f>Risk_Compensation!$AG35</f>
        <v>0</v>
      </c>
    </row>
    <row r="4989" spans="1:8" x14ac:dyDescent="0.2">
      <c r="A4989" s="1027"/>
      <c r="B4989" s="1083">
        <f>Risk_Compensation!A$1</f>
        <v>36</v>
      </c>
      <c r="C4989" s="1390" t="str">
        <f>Risk_Compensation!$B$1</f>
        <v xml:space="preserve">Risikoausgleich </v>
      </c>
      <c r="D4989" s="2205" t="s">
        <v>2572</v>
      </c>
      <c r="E4989" s="1390">
        <f>Risk_Compensation!$G36</f>
        <v>19</v>
      </c>
      <c r="F4989" s="1390" t="str">
        <f>Risk_Compensation!$AG$17</f>
        <v>ZH</v>
      </c>
      <c r="G4989" s="1390"/>
      <c r="H4989" s="1077">
        <f>Risk_Compensation!$AG36</f>
        <v>0</v>
      </c>
    </row>
    <row r="4990" spans="1:8" x14ac:dyDescent="0.2">
      <c r="A4990" s="1027"/>
      <c r="B4990" s="1083">
        <f>Risk_Compensation!A$1</f>
        <v>36</v>
      </c>
      <c r="C4990" s="1390" t="str">
        <f>Risk_Compensation!$B$1</f>
        <v xml:space="preserve">Risikoausgleich </v>
      </c>
      <c r="D4990" s="2205" t="s">
        <v>2572</v>
      </c>
      <c r="E4990" s="1390">
        <f>Risk_Compensation!$G37</f>
        <v>20</v>
      </c>
      <c r="F4990" s="1390" t="str">
        <f>Risk_Compensation!$AG$17</f>
        <v>ZH</v>
      </c>
      <c r="G4990" s="1390"/>
      <c r="H4990" s="1077">
        <f>Risk_Compensation!$AG37</f>
        <v>0</v>
      </c>
    </row>
    <row r="4991" spans="1:8" x14ac:dyDescent="0.2">
      <c r="A4991" s="1027"/>
      <c r="B4991" s="1083">
        <f>Risk_Compensation!A$1</f>
        <v>36</v>
      </c>
      <c r="C4991" s="1390" t="str">
        <f>Risk_Compensation!$B$1</f>
        <v xml:space="preserve">Risikoausgleich </v>
      </c>
      <c r="D4991" s="2205" t="s">
        <v>2572</v>
      </c>
      <c r="E4991" s="1390">
        <f>Risk_Compensation!$G38</f>
        <v>21</v>
      </c>
      <c r="F4991" s="1390" t="str">
        <f>Risk_Compensation!$AG$17</f>
        <v>ZH</v>
      </c>
      <c r="G4991" s="1390"/>
      <c r="H4991" s="1077">
        <f>Risk_Compensation!$AG38</f>
        <v>0</v>
      </c>
    </row>
    <row r="4992" spans="1:8" x14ac:dyDescent="0.2">
      <c r="A4992" s="1027"/>
      <c r="B4992" s="1083">
        <f>Risk_Compensation!A$1</f>
        <v>36</v>
      </c>
      <c r="C4992" s="1390" t="str">
        <f>Risk_Compensation!$B$1</f>
        <v xml:space="preserve">Risikoausgleich </v>
      </c>
      <c r="D4992" s="2205" t="s">
        <v>2572</v>
      </c>
      <c r="E4992" s="1390">
        <f>Risk_Compensation!$G39</f>
        <v>22</v>
      </c>
      <c r="F4992" s="1390" t="str">
        <f>Risk_Compensation!$AG$17</f>
        <v>ZH</v>
      </c>
      <c r="G4992" s="1390"/>
      <c r="H4992" s="1077">
        <f>Risk_Compensation!$AG39</f>
        <v>0</v>
      </c>
    </row>
    <row r="4993" spans="1:8" x14ac:dyDescent="0.2">
      <c r="A4993" s="1027"/>
      <c r="B4993" s="1083">
        <f>Risk_Compensation!A$1</f>
        <v>36</v>
      </c>
      <c r="C4993" s="1390" t="str">
        <f>Risk_Compensation!$B$1</f>
        <v xml:space="preserve">Risikoausgleich </v>
      </c>
      <c r="D4993" s="2205" t="s">
        <v>2572</v>
      </c>
      <c r="E4993" s="1390">
        <f>Risk_Compensation!$G40</f>
        <v>23</v>
      </c>
      <c r="F4993" s="1390" t="str">
        <f>Risk_Compensation!$AG$17</f>
        <v>ZH</v>
      </c>
      <c r="G4993" s="1390"/>
      <c r="H4993" s="1077">
        <f>Risk_Compensation!$AG40</f>
        <v>0</v>
      </c>
    </row>
    <row r="4994" spans="1:8" x14ac:dyDescent="0.2">
      <c r="A4994" s="1027"/>
      <c r="B4994" s="1083">
        <f>Risk_Compensation!A$1</f>
        <v>36</v>
      </c>
      <c r="C4994" s="1390" t="str">
        <f>Risk_Compensation!$B$1</f>
        <v xml:space="preserve">Risikoausgleich </v>
      </c>
      <c r="D4994" s="2205" t="s">
        <v>2572</v>
      </c>
      <c r="E4994" s="1390">
        <f>Risk_Compensation!$G41</f>
        <v>24</v>
      </c>
      <c r="F4994" s="1390" t="str">
        <f>Risk_Compensation!$AG$17</f>
        <v>ZH</v>
      </c>
      <c r="G4994" s="1390"/>
      <c r="H4994" s="1077">
        <f>Risk_Compensation!$AG41</f>
        <v>0</v>
      </c>
    </row>
    <row r="4995" spans="1:8" x14ac:dyDescent="0.2">
      <c r="A4995" s="1027"/>
      <c r="B4995" s="1083">
        <f>Risk_Compensation!A$1</f>
        <v>36</v>
      </c>
      <c r="C4995" s="1390" t="str">
        <f>Risk_Compensation!$B$1</f>
        <v xml:space="preserve">Risikoausgleich </v>
      </c>
      <c r="D4995" s="2205" t="s">
        <v>2572</v>
      </c>
      <c r="E4995" s="1390">
        <f>Risk_Compensation!$G42</f>
        <v>25</v>
      </c>
      <c r="F4995" s="1390" t="str">
        <f>Risk_Compensation!$AG$17</f>
        <v>ZH</v>
      </c>
      <c r="G4995" s="1390"/>
      <c r="H4995" s="1077">
        <f>Risk_Compensation!$AG42</f>
        <v>0</v>
      </c>
    </row>
    <row r="4996" spans="1:8" x14ac:dyDescent="0.2">
      <c r="A4996" s="1027"/>
      <c r="B4996" s="1083">
        <f>Risk_Compensation!A$1</f>
        <v>36</v>
      </c>
      <c r="C4996" s="1390" t="str">
        <f>Risk_Compensation!$B$1</f>
        <v xml:space="preserve">Risikoausgleich </v>
      </c>
      <c r="D4996" s="2205" t="s">
        <v>2572</v>
      </c>
      <c r="E4996" s="1390">
        <f>Risk_Compensation!$G43</f>
        <v>26</v>
      </c>
      <c r="F4996" s="1390" t="str">
        <f>Risk_Compensation!$AG$17</f>
        <v>ZH</v>
      </c>
      <c r="G4996" s="1390"/>
      <c r="H4996" s="1077">
        <f>Risk_Compensation!$AG43</f>
        <v>0</v>
      </c>
    </row>
    <row r="4997" spans="1:8" x14ac:dyDescent="0.2">
      <c r="A4997" s="1027"/>
      <c r="B4997" s="1083">
        <f>Risk_Compensation!A$1</f>
        <v>36</v>
      </c>
      <c r="C4997" s="1390" t="str">
        <f>Risk_Compensation!$B$1</f>
        <v xml:space="preserve">Risikoausgleich </v>
      </c>
      <c r="D4997" s="2205" t="s">
        <v>2572</v>
      </c>
      <c r="E4997" s="1390">
        <f>Risk_Compensation!$G44</f>
        <v>27</v>
      </c>
      <c r="F4997" s="1390" t="str">
        <f>Risk_Compensation!$AG$17</f>
        <v>ZH</v>
      </c>
      <c r="G4997" s="1390"/>
      <c r="H4997" s="1077">
        <f>Risk_Compensation!$AG44</f>
        <v>0</v>
      </c>
    </row>
    <row r="4998" spans="1:8" x14ac:dyDescent="0.2">
      <c r="A4998" s="1027"/>
      <c r="B4998" s="1083">
        <f>Risk_Compensation!A$1</f>
        <v>36</v>
      </c>
      <c r="C4998" s="1390" t="str">
        <f>Risk_Compensation!$B$1</f>
        <v xml:space="preserve">Risikoausgleich </v>
      </c>
      <c r="D4998" s="2205" t="s">
        <v>2572</v>
      </c>
      <c r="E4998" s="1390">
        <f>Risk_Compensation!$G45</f>
        <v>28</v>
      </c>
      <c r="F4998" s="1390" t="str">
        <f>Risk_Compensation!$AG$17</f>
        <v>ZH</v>
      </c>
      <c r="G4998" s="1390"/>
      <c r="H4998" s="1077">
        <f>Risk_Compensation!$AG45</f>
        <v>0</v>
      </c>
    </row>
    <row r="4999" spans="1:8" x14ac:dyDescent="0.2">
      <c r="A4999" s="1027"/>
      <c r="B4999" s="1083">
        <f>Risk_Compensation!A$1</f>
        <v>36</v>
      </c>
      <c r="C4999" s="1390" t="str">
        <f>Risk_Compensation!$B$1</f>
        <v xml:space="preserve">Risikoausgleich </v>
      </c>
      <c r="D4999" s="2205" t="s">
        <v>2572</v>
      </c>
      <c r="E4999" s="1390">
        <f>Risk_Compensation!$G46</f>
        <v>29</v>
      </c>
      <c r="F4999" s="1390" t="str">
        <f>Risk_Compensation!$AG$17</f>
        <v>ZH</v>
      </c>
      <c r="G4999" s="1390"/>
      <c r="H4999" s="1077">
        <f>Risk_Compensation!$AG46</f>
        <v>0</v>
      </c>
    </row>
    <row r="5000" spans="1:8" x14ac:dyDescent="0.2">
      <c r="A5000" s="1027"/>
      <c r="B5000" s="1083">
        <f>Risk_Compensation!A$1</f>
        <v>36</v>
      </c>
      <c r="C5000" s="1390" t="str">
        <f>Risk_Compensation!$B$1</f>
        <v xml:space="preserve">Risikoausgleich </v>
      </c>
      <c r="D5000" s="2205" t="s">
        <v>2572</v>
      </c>
      <c r="E5000" s="1390">
        <f>Risk_Compensation!$G47</f>
        <v>30</v>
      </c>
      <c r="F5000" s="1390" t="str">
        <f>Risk_Compensation!$AG$17</f>
        <v>ZH</v>
      </c>
      <c r="G5000" s="1390"/>
      <c r="H5000" s="1077">
        <f>Risk_Compensation!$AG47</f>
        <v>0</v>
      </c>
    </row>
    <row r="5001" spans="1:8" x14ac:dyDescent="0.2">
      <c r="A5001" s="1027"/>
      <c r="B5001" s="1083">
        <f>Risk_Compensation!A$1</f>
        <v>36</v>
      </c>
      <c r="C5001" s="1390" t="str">
        <f>Risk_Compensation!$B$1</f>
        <v xml:space="preserve">Risikoausgleich </v>
      </c>
      <c r="D5001" s="2205" t="s">
        <v>2572</v>
      </c>
      <c r="E5001" s="1390">
        <f>Risk_Compensation!$G48</f>
        <v>31</v>
      </c>
      <c r="F5001" s="1390" t="str">
        <f>Risk_Compensation!$AG$17</f>
        <v>ZH</v>
      </c>
      <c r="G5001" s="1390"/>
      <c r="H5001" s="1077">
        <f>Risk_Compensation!$AG48</f>
        <v>0</v>
      </c>
    </row>
    <row r="5002" spans="1:8" x14ac:dyDescent="0.2">
      <c r="A5002" s="1027"/>
      <c r="B5002" s="1083">
        <f>Risk_Compensation!A$1</f>
        <v>36</v>
      </c>
      <c r="C5002" s="1390" t="str">
        <f>Risk_Compensation!$B$1</f>
        <v xml:space="preserve">Risikoausgleich </v>
      </c>
      <c r="D5002" s="2205" t="s">
        <v>2572</v>
      </c>
      <c r="E5002" s="1390">
        <f>Risk_Compensation!$G49</f>
        <v>32</v>
      </c>
      <c r="F5002" s="1390" t="str">
        <f>Risk_Compensation!$AG$17</f>
        <v>ZH</v>
      </c>
      <c r="G5002" s="1390"/>
      <c r="H5002" s="1077">
        <f>Risk_Compensation!$AG49</f>
        <v>0</v>
      </c>
    </row>
    <row r="5003" spans="1:8" x14ac:dyDescent="0.2">
      <c r="A5003" s="1027"/>
      <c r="B5003" s="1083">
        <f>Risk_Compensation!A$1</f>
        <v>36</v>
      </c>
      <c r="C5003" s="1390" t="str">
        <f>Risk_Compensation!$B$1</f>
        <v xml:space="preserve">Risikoausgleich </v>
      </c>
      <c r="D5003" s="2205" t="s">
        <v>2572</v>
      </c>
      <c r="E5003" s="1390">
        <f>Risk_Compensation!$G50</f>
        <v>33</v>
      </c>
      <c r="F5003" s="1390" t="str">
        <f>Risk_Compensation!$AG$17</f>
        <v>ZH</v>
      </c>
      <c r="G5003" s="1390"/>
      <c r="H5003" s="1077">
        <f>Risk_Compensation!$AG50</f>
        <v>0</v>
      </c>
    </row>
    <row r="5004" spans="1:8" x14ac:dyDescent="0.2">
      <c r="A5004" s="1027"/>
      <c r="B5004" s="1083">
        <f>Risk_Compensation!A$1</f>
        <v>36</v>
      </c>
      <c r="C5004" s="1390" t="str">
        <f>Risk_Compensation!$B$1</f>
        <v xml:space="preserve">Risikoausgleich </v>
      </c>
      <c r="D5004" s="2205" t="s">
        <v>2572</v>
      </c>
      <c r="E5004" s="1390">
        <f>Risk_Compensation!$G51</f>
        <v>34</v>
      </c>
      <c r="F5004" s="1390" t="str">
        <f>Risk_Compensation!$AG$17</f>
        <v>ZH</v>
      </c>
      <c r="G5004" s="1390"/>
      <c r="H5004" s="1077">
        <f>Risk_Compensation!$AG51</f>
        <v>0</v>
      </c>
    </row>
    <row r="5005" spans="1:8" x14ac:dyDescent="0.2">
      <c r="A5005" s="1027"/>
      <c r="B5005" s="1083">
        <f>Risk_Compensation!A$1</f>
        <v>36</v>
      </c>
      <c r="C5005" s="1390" t="str">
        <f>Risk_Compensation!$B$1</f>
        <v xml:space="preserve">Risikoausgleich </v>
      </c>
      <c r="D5005" s="2205" t="s">
        <v>2572</v>
      </c>
      <c r="E5005" s="1390">
        <f>Risk_Compensation!$G52</f>
        <v>35</v>
      </c>
      <c r="F5005" s="1390" t="str">
        <f>Risk_Compensation!$AG$17</f>
        <v>ZH</v>
      </c>
      <c r="G5005" s="1390"/>
      <c r="H5005" s="1077">
        <f>Risk_Compensation!$AG52</f>
        <v>0</v>
      </c>
    </row>
    <row r="5006" spans="1:8" x14ac:dyDescent="0.2">
      <c r="A5006" s="1027"/>
      <c r="B5006" s="1083">
        <f>Risk_Compensation!A$1</f>
        <v>36</v>
      </c>
      <c r="C5006" s="1390" t="str">
        <f>Risk_Compensation!$B$1</f>
        <v xml:space="preserve">Risikoausgleich </v>
      </c>
      <c r="D5006" s="2205" t="s">
        <v>2572</v>
      </c>
      <c r="E5006" s="1390">
        <f>Risk_Compensation!$G53</f>
        <v>36</v>
      </c>
      <c r="F5006" s="1390" t="str">
        <f>Risk_Compensation!$AG$17</f>
        <v>ZH</v>
      </c>
      <c r="G5006" s="1390"/>
      <c r="H5006" s="1077">
        <f>Risk_Compensation!$AG53</f>
        <v>0</v>
      </c>
    </row>
    <row r="5007" spans="1:8" x14ac:dyDescent="0.2">
      <c r="A5007" s="1027"/>
      <c r="B5007" s="1083">
        <f>Risk_Compensation!A$1</f>
        <v>36</v>
      </c>
      <c r="C5007" s="1390" t="str">
        <f>Risk_Compensation!$B$1</f>
        <v xml:space="preserve">Risikoausgleich </v>
      </c>
      <c r="D5007" s="2205" t="s">
        <v>2572</v>
      </c>
      <c r="E5007" s="1390">
        <f>Risk_Compensation!$G54</f>
        <v>37</v>
      </c>
      <c r="F5007" s="1390" t="str">
        <f>Risk_Compensation!$AG$17</f>
        <v>ZH</v>
      </c>
      <c r="G5007" s="1390"/>
      <c r="H5007" s="1077">
        <f>Risk_Compensation!$AG54</f>
        <v>0</v>
      </c>
    </row>
    <row r="5008" spans="1:8" x14ac:dyDescent="0.2">
      <c r="A5008" s="1027"/>
      <c r="B5008" s="1083">
        <f>Risk_Compensation!A$1</f>
        <v>36</v>
      </c>
      <c r="C5008" s="1390" t="str">
        <f>Risk_Compensation!$B$1</f>
        <v xml:space="preserve">Risikoausgleich </v>
      </c>
      <c r="D5008" s="2205" t="s">
        <v>2572</v>
      </c>
      <c r="E5008" s="1390">
        <f>Risk_Compensation!$G55</f>
        <v>38</v>
      </c>
      <c r="F5008" s="1390" t="str">
        <f>Risk_Compensation!$AG$17</f>
        <v>ZH</v>
      </c>
      <c r="G5008" s="1390"/>
      <c r="H5008" s="1077">
        <f>Risk_Compensation!$AG55</f>
        <v>0</v>
      </c>
    </row>
    <row r="5009" spans="1:8" x14ac:dyDescent="0.2">
      <c r="A5009" s="1027"/>
      <c r="B5009" s="1083">
        <f>Risk_Compensation!A$1</f>
        <v>36</v>
      </c>
      <c r="C5009" s="1390" t="str">
        <f>Risk_Compensation!$B$1</f>
        <v xml:space="preserve">Risikoausgleich </v>
      </c>
      <c r="D5009" s="2205" t="s">
        <v>2572</v>
      </c>
      <c r="E5009" s="1390">
        <f>Risk_Compensation!$G56</f>
        <v>39</v>
      </c>
      <c r="F5009" s="1390" t="str">
        <f>Risk_Compensation!$AG$17</f>
        <v>ZH</v>
      </c>
      <c r="G5009" s="1390"/>
      <c r="H5009" s="1077">
        <f>Risk_Compensation!$AG56</f>
        <v>0</v>
      </c>
    </row>
    <row r="5010" spans="1:8" x14ac:dyDescent="0.2">
      <c r="A5010" s="1027"/>
      <c r="B5010" s="1083">
        <f>Risk_Compensation!A$1</f>
        <v>36</v>
      </c>
      <c r="C5010" s="1390" t="str">
        <f>Risk_Compensation!$B$1</f>
        <v xml:space="preserve">Risikoausgleich </v>
      </c>
      <c r="D5010" s="2205" t="s">
        <v>2572</v>
      </c>
      <c r="E5010" s="1390">
        <f>Risk_Compensation!$G57</f>
        <v>40</v>
      </c>
      <c r="F5010" s="1390" t="str">
        <f>Risk_Compensation!$AG$17</f>
        <v>ZH</v>
      </c>
      <c r="G5010" s="1390"/>
      <c r="H5010" s="1077">
        <f>Risk_Compensation!$AG57</f>
        <v>0</v>
      </c>
    </row>
    <row r="5011" spans="1:8" x14ac:dyDescent="0.2">
      <c r="A5011" s="1027"/>
      <c r="B5011" s="1083">
        <f>Risk_Compensation!A$1</f>
        <v>36</v>
      </c>
      <c r="C5011" s="1390" t="str">
        <f>Risk_Compensation!$B$1</f>
        <v xml:space="preserve">Risikoausgleich </v>
      </c>
      <c r="D5011" s="2205" t="s">
        <v>2572</v>
      </c>
      <c r="E5011" s="1390">
        <f>Risk_Compensation!$G58</f>
        <v>41</v>
      </c>
      <c r="F5011" s="1390" t="str">
        <f>Risk_Compensation!$AG$17</f>
        <v>ZH</v>
      </c>
      <c r="G5011" s="1390"/>
      <c r="H5011" s="1077">
        <f>Risk_Compensation!$AG58</f>
        <v>0</v>
      </c>
    </row>
    <row r="5012" spans="1:8" x14ac:dyDescent="0.2">
      <c r="A5012" s="1027"/>
      <c r="B5012" s="1083">
        <f>Risk_Compensation!A$1</f>
        <v>36</v>
      </c>
      <c r="C5012" s="1390" t="str">
        <f>Risk_Compensation!$B$1</f>
        <v xml:space="preserve">Risikoausgleich </v>
      </c>
      <c r="D5012" s="2205" t="s">
        <v>2572</v>
      </c>
      <c r="E5012" s="1390">
        <f>Risk_Compensation!$G59</f>
        <v>42</v>
      </c>
      <c r="F5012" s="1390" t="str">
        <f>Risk_Compensation!$AG$17</f>
        <v>ZH</v>
      </c>
      <c r="G5012" s="1390"/>
      <c r="H5012" s="1077">
        <f>Risk_Compensation!$AG59</f>
        <v>0</v>
      </c>
    </row>
    <row r="5013" spans="1:8" x14ac:dyDescent="0.2">
      <c r="A5013" s="1027"/>
      <c r="B5013" s="1083">
        <f>Risk_Compensation!A$1</f>
        <v>36</v>
      </c>
      <c r="C5013" s="1390" t="str">
        <f>Risk_Compensation!$B$1</f>
        <v xml:space="preserve">Risikoausgleich </v>
      </c>
      <c r="D5013" s="2205" t="s">
        <v>2572</v>
      </c>
      <c r="E5013" s="1390">
        <f>Risk_Compensation!$G60</f>
        <v>43</v>
      </c>
      <c r="F5013" s="1390" t="str">
        <f>Risk_Compensation!$AG$17</f>
        <v>ZH</v>
      </c>
      <c r="G5013" s="1390"/>
      <c r="H5013" s="1077">
        <f>Risk_Compensation!$AG60</f>
        <v>0</v>
      </c>
    </row>
    <row r="5014" spans="1:8" x14ac:dyDescent="0.2">
      <c r="A5014" s="1027"/>
      <c r="B5014" s="1083">
        <f>Risk_Compensation!A$1</f>
        <v>36</v>
      </c>
      <c r="C5014" s="1390" t="str">
        <f>Risk_Compensation!$B$1</f>
        <v xml:space="preserve">Risikoausgleich </v>
      </c>
      <c r="D5014" s="2205" t="s">
        <v>2572</v>
      </c>
      <c r="E5014" s="1390">
        <f>Risk_Compensation!$G61</f>
        <v>44</v>
      </c>
      <c r="F5014" s="1390" t="str">
        <f>Risk_Compensation!$AG$17</f>
        <v>ZH</v>
      </c>
      <c r="G5014" s="1390"/>
      <c r="H5014" s="1077">
        <f>Risk_Compensation!$AG61</f>
        <v>0</v>
      </c>
    </row>
    <row r="5015" spans="1:8" x14ac:dyDescent="0.2">
      <c r="A5015" s="1027"/>
      <c r="B5015" s="1083">
        <f>Risk_Compensation!A$1</f>
        <v>36</v>
      </c>
      <c r="C5015" s="1390" t="str">
        <f>Risk_Compensation!$B$1</f>
        <v xml:space="preserve">Risikoausgleich </v>
      </c>
      <c r="D5015" s="2205" t="s">
        <v>2572</v>
      </c>
      <c r="E5015" s="1390">
        <f>Risk_Compensation!$G62</f>
        <v>45</v>
      </c>
      <c r="F5015" s="1390" t="str">
        <f>Risk_Compensation!$AG$17</f>
        <v>ZH</v>
      </c>
      <c r="G5015" s="1390"/>
      <c r="H5015" s="1077">
        <f>Risk_Compensation!$AG62</f>
        <v>0</v>
      </c>
    </row>
    <row r="5016" spans="1:8" x14ac:dyDescent="0.2">
      <c r="A5016" s="1027"/>
      <c r="B5016" s="1083">
        <f>Risk_Compensation!A$1</f>
        <v>36</v>
      </c>
      <c r="C5016" s="1390" t="str">
        <f>Risk_Compensation!$B$1</f>
        <v xml:space="preserve">Risikoausgleich </v>
      </c>
      <c r="D5016" s="2205" t="s">
        <v>2572</v>
      </c>
      <c r="E5016" s="1390">
        <f>Risk_Compensation!$G63</f>
        <v>46</v>
      </c>
      <c r="F5016" s="1390" t="str">
        <f>Risk_Compensation!$AG$17</f>
        <v>ZH</v>
      </c>
      <c r="G5016" s="1390"/>
      <c r="H5016" s="1077">
        <f>Risk_Compensation!$AG63</f>
        <v>0</v>
      </c>
    </row>
    <row r="5017" spans="1:8" x14ac:dyDescent="0.2">
      <c r="A5017" s="1027"/>
      <c r="B5017" s="1083">
        <f>Risk_Compensation!A$1</f>
        <v>36</v>
      </c>
      <c r="C5017" s="1390" t="str">
        <f>Risk_Compensation!$B$1</f>
        <v xml:space="preserve">Risikoausgleich </v>
      </c>
      <c r="D5017" s="2205" t="s">
        <v>2572</v>
      </c>
      <c r="E5017" s="1390">
        <f>Risk_Compensation!$G64</f>
        <v>47</v>
      </c>
      <c r="F5017" s="1390" t="str">
        <f>Risk_Compensation!$AG$17</f>
        <v>ZH</v>
      </c>
      <c r="G5017" s="1390"/>
      <c r="H5017" s="1077">
        <f>Risk_Compensation!$AG64</f>
        <v>0</v>
      </c>
    </row>
    <row r="5018" spans="1:8" x14ac:dyDescent="0.2">
      <c r="A5018" s="1027"/>
      <c r="B5018" s="1083">
        <f>Risk_Compensation!A$1</f>
        <v>36</v>
      </c>
      <c r="C5018" s="1390" t="str">
        <f>Risk_Compensation!$B$1</f>
        <v xml:space="preserve">Risikoausgleich </v>
      </c>
      <c r="D5018" s="2205" t="s">
        <v>2572</v>
      </c>
      <c r="E5018" s="1390">
        <f>Risk_Compensation!$G65</f>
        <v>48</v>
      </c>
      <c r="F5018" s="1390" t="str">
        <f>Risk_Compensation!$AG$17</f>
        <v>ZH</v>
      </c>
      <c r="G5018" s="1390"/>
      <c r="H5018" s="1077">
        <f>Risk_Compensation!$AG65</f>
        <v>0</v>
      </c>
    </row>
    <row r="5019" spans="1:8" x14ac:dyDescent="0.2">
      <c r="A5019" s="1027"/>
      <c r="B5019" s="1083">
        <f>Risk_Compensation!A$1</f>
        <v>36</v>
      </c>
      <c r="C5019" s="1390" t="str">
        <f>Risk_Compensation!$B$1</f>
        <v xml:space="preserve">Risikoausgleich </v>
      </c>
      <c r="D5019" s="2205" t="s">
        <v>2572</v>
      </c>
      <c r="E5019" s="1390">
        <f>Risk_Compensation!$G66</f>
        <v>49</v>
      </c>
      <c r="F5019" s="1390" t="str">
        <f>Risk_Compensation!$AG$17</f>
        <v>ZH</v>
      </c>
      <c r="G5019" s="1390"/>
      <c r="H5019" s="1077">
        <f>Risk_Compensation!$AG66</f>
        <v>0</v>
      </c>
    </row>
    <row r="5020" spans="1:8" x14ac:dyDescent="0.2">
      <c r="A5020" s="1027"/>
      <c r="B5020" s="1083">
        <f>Risk_Compensation!A$1</f>
        <v>36</v>
      </c>
      <c r="C5020" s="1390" t="str">
        <f>Risk_Compensation!$B$1</f>
        <v xml:space="preserve">Risikoausgleich </v>
      </c>
      <c r="D5020" s="2205" t="s">
        <v>2572</v>
      </c>
      <c r="E5020" s="1390">
        <f>Risk_Compensation!$G67</f>
        <v>50</v>
      </c>
      <c r="F5020" s="1390" t="str">
        <f>Risk_Compensation!$AG$17</f>
        <v>ZH</v>
      </c>
      <c r="G5020" s="1390"/>
      <c r="H5020" s="1077">
        <f>Risk_Compensation!$AG67</f>
        <v>0</v>
      </c>
    </row>
    <row r="5021" spans="1:8" x14ac:dyDescent="0.2">
      <c r="A5021" s="1027"/>
      <c r="B5021" s="1083">
        <f>Risk_Compensation!A$1</f>
        <v>36</v>
      </c>
      <c r="C5021" s="1390" t="str">
        <f>Risk_Compensation!$B$1</f>
        <v xml:space="preserve">Risikoausgleich </v>
      </c>
      <c r="D5021" s="2205" t="s">
        <v>2572</v>
      </c>
      <c r="E5021" s="1390">
        <f>Risk_Compensation!$G68</f>
        <v>51</v>
      </c>
      <c r="F5021" s="1390" t="str">
        <f>Risk_Compensation!$AG$17</f>
        <v>ZH</v>
      </c>
      <c r="G5021" s="1390"/>
      <c r="H5021" s="1077">
        <f>Risk_Compensation!$AG68</f>
        <v>0</v>
      </c>
    </row>
    <row r="5022" spans="1:8" x14ac:dyDescent="0.2">
      <c r="A5022" s="1027"/>
      <c r="B5022" s="1083">
        <f>Risk_Compensation!A$1</f>
        <v>36</v>
      </c>
      <c r="C5022" s="1390" t="str">
        <f>Risk_Compensation!$B$1</f>
        <v xml:space="preserve">Risikoausgleich </v>
      </c>
      <c r="D5022" s="2205" t="s">
        <v>2572</v>
      </c>
      <c r="E5022" s="1390">
        <f>Risk_Compensation!$G69</f>
        <v>52</v>
      </c>
      <c r="F5022" s="1390" t="str">
        <f>Risk_Compensation!$AG$17</f>
        <v>ZH</v>
      </c>
      <c r="G5022" s="1390"/>
      <c r="H5022" s="1077">
        <f>Risk_Compensation!$AG69</f>
        <v>0</v>
      </c>
    </row>
    <row r="5023" spans="1:8" x14ac:dyDescent="0.2">
      <c r="A5023" s="1027"/>
      <c r="B5023" s="1083">
        <f>Risk_Compensation!A$1</f>
        <v>36</v>
      </c>
      <c r="C5023" s="1390" t="str">
        <f>Risk_Compensation!$B$1</f>
        <v xml:space="preserve">Risikoausgleich </v>
      </c>
      <c r="D5023" s="2205" t="s">
        <v>2572</v>
      </c>
      <c r="E5023" s="1390">
        <f>Risk_Compensation!$G70</f>
        <v>53</v>
      </c>
      <c r="F5023" s="1390" t="str">
        <f>Risk_Compensation!$AG$17</f>
        <v>ZH</v>
      </c>
      <c r="G5023" s="1390"/>
      <c r="H5023" s="1077">
        <f>Risk_Compensation!$AG70</f>
        <v>0</v>
      </c>
    </row>
    <row r="5024" spans="1:8" x14ac:dyDescent="0.2">
      <c r="A5024" s="1027"/>
      <c r="B5024" s="1083">
        <f>Risk_Compensation!A$1</f>
        <v>36</v>
      </c>
      <c r="C5024" s="1390" t="str">
        <f>Risk_Compensation!$B$1</f>
        <v xml:space="preserve">Risikoausgleich </v>
      </c>
      <c r="D5024" s="2205" t="s">
        <v>2572</v>
      </c>
      <c r="E5024" s="1390">
        <f>Risk_Compensation!$G71</f>
        <v>54</v>
      </c>
      <c r="F5024" s="1390" t="str">
        <f>Risk_Compensation!$AG$17</f>
        <v>ZH</v>
      </c>
      <c r="G5024" s="1390"/>
      <c r="H5024" s="1077">
        <f>Risk_Compensation!$AG71</f>
        <v>0</v>
      </c>
    </row>
    <row r="5025" spans="1:8" x14ac:dyDescent="0.2">
      <c r="A5025" s="1027"/>
      <c r="B5025" s="1083">
        <f>Risk_Compensation!A$1</f>
        <v>36</v>
      </c>
      <c r="C5025" s="1390" t="str">
        <f>Risk_Compensation!$B$1</f>
        <v xml:space="preserve">Risikoausgleich </v>
      </c>
      <c r="D5025" s="2205" t="s">
        <v>2572</v>
      </c>
      <c r="E5025" s="1390">
        <f>Risk_Compensation!$G72</f>
        <v>55</v>
      </c>
      <c r="F5025" s="1390" t="str">
        <f>Risk_Compensation!$AG$17</f>
        <v>ZH</v>
      </c>
      <c r="G5025" s="1390"/>
      <c r="H5025" s="1077">
        <f>Risk_Compensation!$AG72</f>
        <v>0</v>
      </c>
    </row>
    <row r="5026" spans="1:8" x14ac:dyDescent="0.2">
      <c r="A5026" s="1027"/>
      <c r="B5026" s="1083">
        <f>Risk_Compensation!A$1</f>
        <v>36</v>
      </c>
      <c r="C5026" s="1390" t="str">
        <f>Risk_Compensation!$B$1</f>
        <v xml:space="preserve">Risikoausgleich </v>
      </c>
      <c r="D5026" s="2205" t="s">
        <v>2572</v>
      </c>
      <c r="E5026" s="1390">
        <f>Risk_Compensation!$G73</f>
        <v>56</v>
      </c>
      <c r="F5026" s="1390" t="str">
        <f>Risk_Compensation!$AG$17</f>
        <v>ZH</v>
      </c>
      <c r="G5026" s="1390"/>
      <c r="H5026" s="1077">
        <f>Risk_Compensation!$AG73</f>
        <v>0</v>
      </c>
    </row>
    <row r="5027" spans="1:8" x14ac:dyDescent="0.2">
      <c r="A5027" s="1027"/>
      <c r="B5027" s="1083">
        <f>Risk_Compensation!A$1</f>
        <v>36</v>
      </c>
      <c r="C5027" s="1390" t="str">
        <f>Risk_Compensation!$B$1</f>
        <v xml:space="preserve">Risikoausgleich </v>
      </c>
      <c r="D5027" s="2205" t="s">
        <v>2572</v>
      </c>
      <c r="E5027" s="1390">
        <f>Risk_Compensation!$G74</f>
        <v>57</v>
      </c>
      <c r="F5027" s="1390" t="str">
        <f>Risk_Compensation!$AG$17</f>
        <v>ZH</v>
      </c>
      <c r="G5027" s="1390"/>
      <c r="H5027" s="1077">
        <f>Risk_Compensation!$AG74</f>
        <v>0</v>
      </c>
    </row>
    <row r="5028" spans="1:8" x14ac:dyDescent="0.2">
      <c r="A5028" s="1027"/>
      <c r="B5028" s="1083">
        <f>Risk_Compensation!A$1</f>
        <v>36</v>
      </c>
      <c r="C5028" s="1390" t="str">
        <f>Risk_Compensation!$B$1</f>
        <v xml:space="preserve">Risikoausgleich </v>
      </c>
      <c r="D5028" s="2205" t="s">
        <v>2572</v>
      </c>
      <c r="E5028" s="1390">
        <f>Risk_Compensation!$G75</f>
        <v>58</v>
      </c>
      <c r="F5028" s="1390" t="str">
        <f>Risk_Compensation!$AG$17</f>
        <v>ZH</v>
      </c>
      <c r="G5028" s="1390"/>
      <c r="H5028" s="1077">
        <f>Risk_Compensation!$AG75</f>
        <v>0</v>
      </c>
    </row>
    <row r="5029" spans="1:8" x14ac:dyDescent="0.2">
      <c r="A5029" s="1027"/>
      <c r="B5029" s="1083">
        <f>Risk_Compensation!A$1</f>
        <v>36</v>
      </c>
      <c r="C5029" s="1390" t="str">
        <f>Risk_Compensation!$B$1</f>
        <v xml:space="preserve">Risikoausgleich </v>
      </c>
      <c r="D5029" s="2205" t="s">
        <v>2572</v>
      </c>
      <c r="E5029" s="1390">
        <f>Risk_Compensation!$G76</f>
        <v>59</v>
      </c>
      <c r="F5029" s="1390" t="str">
        <f>Risk_Compensation!$AG$17</f>
        <v>ZH</v>
      </c>
      <c r="G5029" s="1390"/>
      <c r="H5029" s="1077">
        <f>Risk_Compensation!$AG76</f>
        <v>0</v>
      </c>
    </row>
    <row r="5030" spans="1:8" x14ac:dyDescent="0.2">
      <c r="A5030" s="1027"/>
      <c r="B5030" s="1083">
        <f>Risk_Compensation!A$1</f>
        <v>36</v>
      </c>
      <c r="C5030" s="1390" t="str">
        <f>Risk_Compensation!$B$1</f>
        <v xml:space="preserve">Risikoausgleich </v>
      </c>
      <c r="D5030" s="2205" t="s">
        <v>2572</v>
      </c>
      <c r="E5030" s="1390">
        <f>Risk_Compensation!$G77</f>
        <v>60</v>
      </c>
      <c r="F5030" s="1390" t="str">
        <f>Risk_Compensation!$AG$17</f>
        <v>ZH</v>
      </c>
      <c r="G5030" s="1390"/>
      <c r="H5030" s="1077">
        <f>Risk_Compensation!$AG77</f>
        <v>0</v>
      </c>
    </row>
    <row r="5031" spans="1:8" x14ac:dyDescent="0.2">
      <c r="A5031" s="1027"/>
      <c r="B5031" s="2174"/>
      <c r="C5031" s="1390"/>
      <c r="D5031" s="2175"/>
      <c r="E5031" s="2176"/>
      <c r="F5031" s="1390"/>
      <c r="G5031" s="1390"/>
      <c r="H5031" s="1078"/>
    </row>
    <row r="5032" spans="1:8" x14ac:dyDescent="0.2">
      <c r="A5032" s="1027"/>
      <c r="B5032" s="1083">
        <f>Risk_Compensation!A$1</f>
        <v>36</v>
      </c>
      <c r="C5032" s="1390" t="str">
        <f>Risk_Compensation!$B$1</f>
        <v xml:space="preserve">Risikoausgleich </v>
      </c>
      <c r="D5032" s="2205" t="s">
        <v>2572</v>
      </c>
      <c r="E5032" s="1390" t="str">
        <f>Risk_Compensation!$G$79</f>
        <v>Summe</v>
      </c>
      <c r="F5032" s="1390" t="str">
        <f>Risk_Compensation!H$17</f>
        <v>AG</v>
      </c>
      <c r="G5032" s="1390"/>
      <c r="H5032" s="1077">
        <f>Risk_Compensation!H$79</f>
        <v>0</v>
      </c>
    </row>
    <row r="5033" spans="1:8" x14ac:dyDescent="0.2">
      <c r="A5033" s="1027"/>
      <c r="B5033" s="1083">
        <f>Risk_Compensation!A$1</f>
        <v>36</v>
      </c>
      <c r="C5033" s="1390" t="str">
        <f>Risk_Compensation!$B$1</f>
        <v xml:space="preserve">Risikoausgleich </v>
      </c>
      <c r="D5033" s="2205" t="s">
        <v>2572</v>
      </c>
      <c r="E5033" s="1390" t="str">
        <f>Risk_Compensation!$G$79</f>
        <v>Summe</v>
      </c>
      <c r="F5033" s="1390" t="str">
        <f>Risk_Compensation!I$17</f>
        <v>AI</v>
      </c>
      <c r="G5033" s="1390"/>
      <c r="H5033" s="1077">
        <f>Risk_Compensation!I$79</f>
        <v>0</v>
      </c>
    </row>
    <row r="5034" spans="1:8" x14ac:dyDescent="0.2">
      <c r="A5034" s="1027"/>
      <c r="B5034" s="1083">
        <f>Risk_Compensation!A$1</f>
        <v>36</v>
      </c>
      <c r="C5034" s="1390" t="str">
        <f>Risk_Compensation!$B$1</f>
        <v xml:space="preserve">Risikoausgleich </v>
      </c>
      <c r="D5034" s="2205" t="s">
        <v>2572</v>
      </c>
      <c r="E5034" s="1390" t="str">
        <f>Risk_Compensation!$G$79</f>
        <v>Summe</v>
      </c>
      <c r="F5034" s="1390" t="str">
        <f>Risk_Compensation!J$17</f>
        <v>AR</v>
      </c>
      <c r="G5034" s="1390"/>
      <c r="H5034" s="1077">
        <f>Risk_Compensation!J$79</f>
        <v>0</v>
      </c>
    </row>
    <row r="5035" spans="1:8" x14ac:dyDescent="0.2">
      <c r="A5035" s="1027"/>
      <c r="B5035" s="1083">
        <f>Risk_Compensation!A$1</f>
        <v>36</v>
      </c>
      <c r="C5035" s="1390" t="str">
        <f>Risk_Compensation!$B$1</f>
        <v xml:space="preserve">Risikoausgleich </v>
      </c>
      <c r="D5035" s="2205" t="s">
        <v>2572</v>
      </c>
      <c r="E5035" s="1390" t="str">
        <f>Risk_Compensation!$G$79</f>
        <v>Summe</v>
      </c>
      <c r="F5035" s="1390" t="str">
        <f>Risk_Compensation!K$17</f>
        <v>BE</v>
      </c>
      <c r="G5035" s="1390"/>
      <c r="H5035" s="1077">
        <f>Risk_Compensation!K$79</f>
        <v>0</v>
      </c>
    </row>
    <row r="5036" spans="1:8" x14ac:dyDescent="0.2">
      <c r="A5036" s="1027"/>
      <c r="B5036" s="1083">
        <f>Risk_Compensation!A$1</f>
        <v>36</v>
      </c>
      <c r="C5036" s="1390" t="str">
        <f>Risk_Compensation!$B$1</f>
        <v xml:space="preserve">Risikoausgleich </v>
      </c>
      <c r="D5036" s="2205" t="s">
        <v>2572</v>
      </c>
      <c r="E5036" s="1390" t="str">
        <f>Risk_Compensation!$G$79</f>
        <v>Summe</v>
      </c>
      <c r="F5036" s="1390" t="str">
        <f>Risk_Compensation!L$17</f>
        <v>BL</v>
      </c>
      <c r="G5036" s="1390"/>
      <c r="H5036" s="1077">
        <f>Risk_Compensation!L$79</f>
        <v>0</v>
      </c>
    </row>
    <row r="5037" spans="1:8" x14ac:dyDescent="0.2">
      <c r="A5037" s="1027"/>
      <c r="B5037" s="1083">
        <f>Risk_Compensation!A$1</f>
        <v>36</v>
      </c>
      <c r="C5037" s="1390" t="str">
        <f>Risk_Compensation!$B$1</f>
        <v xml:space="preserve">Risikoausgleich </v>
      </c>
      <c r="D5037" s="2205" t="s">
        <v>2572</v>
      </c>
      <c r="E5037" s="1390" t="str">
        <f>Risk_Compensation!$G$79</f>
        <v>Summe</v>
      </c>
      <c r="F5037" s="1390" t="str">
        <f>Risk_Compensation!M$17</f>
        <v>BS</v>
      </c>
      <c r="G5037" s="1390"/>
      <c r="H5037" s="1077">
        <f>Risk_Compensation!M$79</f>
        <v>0</v>
      </c>
    </row>
    <row r="5038" spans="1:8" x14ac:dyDescent="0.2">
      <c r="A5038" s="1027"/>
      <c r="B5038" s="1083">
        <f>Risk_Compensation!A$1</f>
        <v>36</v>
      </c>
      <c r="C5038" s="1390" t="str">
        <f>Risk_Compensation!$B$1</f>
        <v xml:space="preserve">Risikoausgleich </v>
      </c>
      <c r="D5038" s="2205" t="s">
        <v>2572</v>
      </c>
      <c r="E5038" s="1390" t="str">
        <f>Risk_Compensation!$G$79</f>
        <v>Summe</v>
      </c>
      <c r="F5038" s="1390" t="str">
        <f>Risk_Compensation!N$17</f>
        <v>FR</v>
      </c>
      <c r="G5038" s="1390"/>
      <c r="H5038" s="1077">
        <f>Risk_Compensation!N$79</f>
        <v>0</v>
      </c>
    </row>
    <row r="5039" spans="1:8" x14ac:dyDescent="0.2">
      <c r="A5039" s="1027"/>
      <c r="B5039" s="1083">
        <f>Risk_Compensation!A$1</f>
        <v>36</v>
      </c>
      <c r="C5039" s="1390" t="str">
        <f>Risk_Compensation!$B$1</f>
        <v xml:space="preserve">Risikoausgleich </v>
      </c>
      <c r="D5039" s="2205" t="s">
        <v>2572</v>
      </c>
      <c r="E5039" s="1390" t="str">
        <f>Risk_Compensation!$G$79</f>
        <v>Summe</v>
      </c>
      <c r="F5039" s="1390" t="str">
        <f>Risk_Compensation!O$17</f>
        <v>GE</v>
      </c>
      <c r="G5039" s="1390"/>
      <c r="H5039" s="1077">
        <f>Risk_Compensation!O$79</f>
        <v>0</v>
      </c>
    </row>
    <row r="5040" spans="1:8" x14ac:dyDescent="0.2">
      <c r="A5040" s="1027"/>
      <c r="B5040" s="1083">
        <f>Risk_Compensation!A$1</f>
        <v>36</v>
      </c>
      <c r="C5040" s="1390" t="str">
        <f>Risk_Compensation!$B$1</f>
        <v xml:space="preserve">Risikoausgleich </v>
      </c>
      <c r="D5040" s="2205" t="s">
        <v>2572</v>
      </c>
      <c r="E5040" s="1390" t="str">
        <f>Risk_Compensation!$G$79</f>
        <v>Summe</v>
      </c>
      <c r="F5040" s="1390" t="str">
        <f>Risk_Compensation!P$17</f>
        <v>GL</v>
      </c>
      <c r="G5040" s="1390"/>
      <c r="H5040" s="1077">
        <f>Risk_Compensation!P$79</f>
        <v>0</v>
      </c>
    </row>
    <row r="5041" spans="1:8" x14ac:dyDescent="0.2">
      <c r="A5041" s="1027"/>
      <c r="B5041" s="1083">
        <f>Risk_Compensation!A$1</f>
        <v>36</v>
      </c>
      <c r="C5041" s="1390" t="str">
        <f>Risk_Compensation!$B$1</f>
        <v xml:space="preserve">Risikoausgleich </v>
      </c>
      <c r="D5041" s="2205" t="s">
        <v>2572</v>
      </c>
      <c r="E5041" s="1390" t="str">
        <f>Risk_Compensation!$G$79</f>
        <v>Summe</v>
      </c>
      <c r="F5041" s="1390" t="str">
        <f>Risk_Compensation!Q$17</f>
        <v>GR</v>
      </c>
      <c r="G5041" s="1390"/>
      <c r="H5041" s="1077">
        <f>Risk_Compensation!Q$79</f>
        <v>0</v>
      </c>
    </row>
    <row r="5042" spans="1:8" x14ac:dyDescent="0.2">
      <c r="A5042" s="1027"/>
      <c r="B5042" s="1083">
        <f>Risk_Compensation!A$1</f>
        <v>36</v>
      </c>
      <c r="C5042" s="1390" t="str">
        <f>Risk_Compensation!$B$1</f>
        <v xml:space="preserve">Risikoausgleich </v>
      </c>
      <c r="D5042" s="2205" t="s">
        <v>2572</v>
      </c>
      <c r="E5042" s="1390" t="str">
        <f>Risk_Compensation!$G$79</f>
        <v>Summe</v>
      </c>
      <c r="F5042" s="1390" t="str">
        <f>Risk_Compensation!R$17</f>
        <v>JU</v>
      </c>
      <c r="G5042" s="1390"/>
      <c r="H5042" s="1077">
        <f>Risk_Compensation!R$79</f>
        <v>0</v>
      </c>
    </row>
    <row r="5043" spans="1:8" x14ac:dyDescent="0.2">
      <c r="A5043" s="1027"/>
      <c r="B5043" s="1083">
        <f>Risk_Compensation!A$1</f>
        <v>36</v>
      </c>
      <c r="C5043" s="1390" t="str">
        <f>Risk_Compensation!$B$1</f>
        <v xml:space="preserve">Risikoausgleich </v>
      </c>
      <c r="D5043" s="2205" t="s">
        <v>2572</v>
      </c>
      <c r="E5043" s="1390" t="str">
        <f>Risk_Compensation!$G$79</f>
        <v>Summe</v>
      </c>
      <c r="F5043" s="1390" t="str">
        <f>Risk_Compensation!S$17</f>
        <v>LU</v>
      </c>
      <c r="G5043" s="1390"/>
      <c r="H5043" s="1077">
        <f>Risk_Compensation!S$79</f>
        <v>0</v>
      </c>
    </row>
    <row r="5044" spans="1:8" x14ac:dyDescent="0.2">
      <c r="A5044" s="1027"/>
      <c r="B5044" s="1083">
        <f>Risk_Compensation!A$1</f>
        <v>36</v>
      </c>
      <c r="C5044" s="1390" t="str">
        <f>Risk_Compensation!$B$1</f>
        <v xml:space="preserve">Risikoausgleich </v>
      </c>
      <c r="D5044" s="2205" t="s">
        <v>2572</v>
      </c>
      <c r="E5044" s="1390" t="str">
        <f>Risk_Compensation!$G$79</f>
        <v>Summe</v>
      </c>
      <c r="F5044" s="1390" t="str">
        <f>Risk_Compensation!T$17</f>
        <v>NE</v>
      </c>
      <c r="G5044" s="1390"/>
      <c r="H5044" s="1077">
        <f>Risk_Compensation!T$79</f>
        <v>0</v>
      </c>
    </row>
    <row r="5045" spans="1:8" x14ac:dyDescent="0.2">
      <c r="A5045" s="1027"/>
      <c r="B5045" s="1083">
        <f>Risk_Compensation!A$1</f>
        <v>36</v>
      </c>
      <c r="C5045" s="1390" t="str">
        <f>Risk_Compensation!$B$1</f>
        <v xml:space="preserve">Risikoausgleich </v>
      </c>
      <c r="D5045" s="2205" t="s">
        <v>2572</v>
      </c>
      <c r="E5045" s="1390" t="str">
        <f>Risk_Compensation!$G$79</f>
        <v>Summe</v>
      </c>
      <c r="F5045" s="1390" t="str">
        <f>Risk_Compensation!U$17</f>
        <v>NW</v>
      </c>
      <c r="G5045" s="1390"/>
      <c r="H5045" s="1077">
        <f>Risk_Compensation!U$79</f>
        <v>0</v>
      </c>
    </row>
    <row r="5046" spans="1:8" x14ac:dyDescent="0.2">
      <c r="A5046" s="1027"/>
      <c r="B5046" s="1083">
        <f>Risk_Compensation!A$1</f>
        <v>36</v>
      </c>
      <c r="C5046" s="1390" t="str">
        <f>Risk_Compensation!$B$1</f>
        <v xml:space="preserve">Risikoausgleich </v>
      </c>
      <c r="D5046" s="2205" t="s">
        <v>2572</v>
      </c>
      <c r="E5046" s="1390" t="str">
        <f>Risk_Compensation!$G$79</f>
        <v>Summe</v>
      </c>
      <c r="F5046" s="1390" t="str">
        <f>Risk_Compensation!V$17</f>
        <v>OW</v>
      </c>
      <c r="G5046" s="1390"/>
      <c r="H5046" s="1077">
        <f>Risk_Compensation!V$79</f>
        <v>0</v>
      </c>
    </row>
    <row r="5047" spans="1:8" x14ac:dyDescent="0.2">
      <c r="A5047" s="1027"/>
      <c r="B5047" s="1083">
        <f>Risk_Compensation!A$1</f>
        <v>36</v>
      </c>
      <c r="C5047" s="1390" t="str">
        <f>Risk_Compensation!$B$1</f>
        <v xml:space="preserve">Risikoausgleich </v>
      </c>
      <c r="D5047" s="2205" t="s">
        <v>2572</v>
      </c>
      <c r="E5047" s="1390" t="str">
        <f>Risk_Compensation!$G$79</f>
        <v>Summe</v>
      </c>
      <c r="F5047" s="1390" t="str">
        <f>Risk_Compensation!W$17</f>
        <v>SG</v>
      </c>
      <c r="G5047" s="1390"/>
      <c r="H5047" s="1077">
        <f>Risk_Compensation!W$79</f>
        <v>0</v>
      </c>
    </row>
    <row r="5048" spans="1:8" x14ac:dyDescent="0.2">
      <c r="A5048" s="1027"/>
      <c r="B5048" s="1083">
        <f>Risk_Compensation!A$1</f>
        <v>36</v>
      </c>
      <c r="C5048" s="1390" t="str">
        <f>Risk_Compensation!$B$1</f>
        <v xml:space="preserve">Risikoausgleich </v>
      </c>
      <c r="D5048" s="2205" t="s">
        <v>2572</v>
      </c>
      <c r="E5048" s="1390" t="str">
        <f>Risk_Compensation!$G$79</f>
        <v>Summe</v>
      </c>
      <c r="F5048" s="1390" t="str">
        <f>Risk_Compensation!X$17</f>
        <v>SH</v>
      </c>
      <c r="G5048" s="1390"/>
      <c r="H5048" s="1077">
        <f>Risk_Compensation!X$79</f>
        <v>0</v>
      </c>
    </row>
    <row r="5049" spans="1:8" x14ac:dyDescent="0.2">
      <c r="A5049" s="1027"/>
      <c r="B5049" s="1083">
        <f>Risk_Compensation!A$1</f>
        <v>36</v>
      </c>
      <c r="C5049" s="1390" t="str">
        <f>Risk_Compensation!$B$1</f>
        <v xml:space="preserve">Risikoausgleich </v>
      </c>
      <c r="D5049" s="2205" t="s">
        <v>2572</v>
      </c>
      <c r="E5049" s="1390" t="str">
        <f>Risk_Compensation!$G$79</f>
        <v>Summe</v>
      </c>
      <c r="F5049" s="1390" t="str">
        <f>Risk_Compensation!Y$17</f>
        <v>SO</v>
      </c>
      <c r="G5049" s="1390"/>
      <c r="H5049" s="1077">
        <f>Risk_Compensation!Y$79</f>
        <v>0</v>
      </c>
    </row>
    <row r="5050" spans="1:8" x14ac:dyDescent="0.2">
      <c r="A5050" s="1027"/>
      <c r="B5050" s="1083">
        <f>Risk_Compensation!A$1</f>
        <v>36</v>
      </c>
      <c r="C5050" s="1390" t="str">
        <f>Risk_Compensation!$B$1</f>
        <v xml:space="preserve">Risikoausgleich </v>
      </c>
      <c r="D5050" s="2205" t="s">
        <v>2572</v>
      </c>
      <c r="E5050" s="1390" t="str">
        <f>Risk_Compensation!$G$79</f>
        <v>Summe</v>
      </c>
      <c r="F5050" s="1390" t="str">
        <f>Risk_Compensation!Z$17</f>
        <v>SZ</v>
      </c>
      <c r="G5050" s="1390"/>
      <c r="H5050" s="1077">
        <f>Risk_Compensation!Z$79</f>
        <v>0</v>
      </c>
    </row>
    <row r="5051" spans="1:8" x14ac:dyDescent="0.2">
      <c r="A5051" s="1027"/>
      <c r="B5051" s="1083">
        <f>Risk_Compensation!A$1</f>
        <v>36</v>
      </c>
      <c r="C5051" s="1390" t="str">
        <f>Risk_Compensation!$B$1</f>
        <v xml:space="preserve">Risikoausgleich </v>
      </c>
      <c r="D5051" s="2205" t="s">
        <v>2572</v>
      </c>
      <c r="E5051" s="1390" t="str">
        <f>Risk_Compensation!$G$79</f>
        <v>Summe</v>
      </c>
      <c r="F5051" s="1390" t="str">
        <f>Risk_Compensation!AA$17</f>
        <v>TG</v>
      </c>
      <c r="G5051" s="1390"/>
      <c r="H5051" s="1077">
        <f>Risk_Compensation!AA$79</f>
        <v>0</v>
      </c>
    </row>
    <row r="5052" spans="1:8" x14ac:dyDescent="0.2">
      <c r="A5052" s="1027"/>
      <c r="B5052" s="1083">
        <f>Risk_Compensation!A$1</f>
        <v>36</v>
      </c>
      <c r="C5052" s="1390" t="str">
        <f>Risk_Compensation!$B$1</f>
        <v xml:space="preserve">Risikoausgleich </v>
      </c>
      <c r="D5052" s="2205" t="s">
        <v>2572</v>
      </c>
      <c r="E5052" s="1390" t="str">
        <f>Risk_Compensation!$G$79</f>
        <v>Summe</v>
      </c>
      <c r="F5052" s="1390" t="str">
        <f>Risk_Compensation!AB$17</f>
        <v>TI</v>
      </c>
      <c r="G5052" s="1390"/>
      <c r="H5052" s="1077">
        <f>Risk_Compensation!AB$79</f>
        <v>0</v>
      </c>
    </row>
    <row r="5053" spans="1:8" x14ac:dyDescent="0.2">
      <c r="A5053" s="1027"/>
      <c r="B5053" s="1083">
        <f>Risk_Compensation!A$1</f>
        <v>36</v>
      </c>
      <c r="C5053" s="1390" t="str">
        <f>Risk_Compensation!$B$1</f>
        <v xml:space="preserve">Risikoausgleich </v>
      </c>
      <c r="D5053" s="2205" t="s">
        <v>2572</v>
      </c>
      <c r="E5053" s="1390" t="str">
        <f>Risk_Compensation!$G$79</f>
        <v>Summe</v>
      </c>
      <c r="F5053" s="1390" t="str">
        <f>Risk_Compensation!AC$17</f>
        <v>UR</v>
      </c>
      <c r="G5053" s="1390"/>
      <c r="H5053" s="1077">
        <f>Risk_Compensation!AC$79</f>
        <v>0</v>
      </c>
    </row>
    <row r="5054" spans="1:8" x14ac:dyDescent="0.2">
      <c r="A5054" s="1027"/>
      <c r="B5054" s="1083">
        <f>Risk_Compensation!A$1</f>
        <v>36</v>
      </c>
      <c r="C5054" s="1390" t="str">
        <f>Risk_Compensation!$B$1</f>
        <v xml:space="preserve">Risikoausgleich </v>
      </c>
      <c r="D5054" s="2205" t="s">
        <v>2572</v>
      </c>
      <c r="E5054" s="1390" t="str">
        <f>Risk_Compensation!$G$79</f>
        <v>Summe</v>
      </c>
      <c r="F5054" s="1390" t="str">
        <f>Risk_Compensation!AD$17</f>
        <v>VD</v>
      </c>
      <c r="G5054" s="1390"/>
      <c r="H5054" s="1077">
        <f>Risk_Compensation!AD$79</f>
        <v>0</v>
      </c>
    </row>
    <row r="5055" spans="1:8" x14ac:dyDescent="0.2">
      <c r="A5055" s="1027"/>
      <c r="B5055" s="1083">
        <f>Risk_Compensation!A$1</f>
        <v>36</v>
      </c>
      <c r="C5055" s="1390" t="str">
        <f>Risk_Compensation!$B$1</f>
        <v xml:space="preserve">Risikoausgleich </v>
      </c>
      <c r="D5055" s="2205" t="s">
        <v>2572</v>
      </c>
      <c r="E5055" s="1390" t="str">
        <f>Risk_Compensation!$G$79</f>
        <v>Summe</v>
      </c>
      <c r="F5055" s="1390" t="str">
        <f>Risk_Compensation!AE$17</f>
        <v>VS</v>
      </c>
      <c r="G5055" s="1390"/>
      <c r="H5055" s="1077">
        <f>Risk_Compensation!AE$79</f>
        <v>0</v>
      </c>
    </row>
    <row r="5056" spans="1:8" x14ac:dyDescent="0.2">
      <c r="A5056" s="1027"/>
      <c r="B5056" s="1083">
        <f>Risk_Compensation!A$1</f>
        <v>36</v>
      </c>
      <c r="C5056" s="1390" t="str">
        <f>Risk_Compensation!$B$1</f>
        <v xml:space="preserve">Risikoausgleich </v>
      </c>
      <c r="D5056" s="2205" t="s">
        <v>2572</v>
      </c>
      <c r="E5056" s="1390" t="str">
        <f>Risk_Compensation!$G$79</f>
        <v>Summe</v>
      </c>
      <c r="F5056" s="1390" t="str">
        <f>Risk_Compensation!AF$17</f>
        <v>ZG</v>
      </c>
      <c r="G5056" s="1390"/>
      <c r="H5056" s="1077">
        <f>Risk_Compensation!AF$79</f>
        <v>0</v>
      </c>
    </row>
    <row r="5057" spans="1:8" x14ac:dyDescent="0.2">
      <c r="A5057" s="1027"/>
      <c r="B5057" s="1083">
        <f>Risk_Compensation!A$1</f>
        <v>36</v>
      </c>
      <c r="C5057" s="1390" t="str">
        <f>Risk_Compensation!$B$1</f>
        <v xml:space="preserve">Risikoausgleich </v>
      </c>
      <c r="D5057" s="2205" t="s">
        <v>2572</v>
      </c>
      <c r="E5057" s="1390" t="str">
        <f>Risk_Compensation!$G$79</f>
        <v>Summe</v>
      </c>
      <c r="F5057" s="1390" t="str">
        <f>Risk_Compensation!AG$17</f>
        <v>ZH</v>
      </c>
      <c r="G5057" s="1390"/>
      <c r="H5057" s="1077">
        <f>Risk_Compensation!AG$79</f>
        <v>0</v>
      </c>
    </row>
    <row r="5058" spans="1:8" x14ac:dyDescent="0.2">
      <c r="A5058" s="1027"/>
      <c r="B5058" s="2174"/>
      <c r="C5058" s="1390"/>
      <c r="D5058" s="2175"/>
      <c r="E5058" s="2176"/>
      <c r="F5058" s="1390"/>
      <c r="G5058" s="1390"/>
      <c r="H5058" s="1078"/>
    </row>
    <row r="5059" spans="1:8" x14ac:dyDescent="0.2">
      <c r="A5059" s="1027"/>
      <c r="B5059" s="1083">
        <f>Risk_Compensation!A$1</f>
        <v>36</v>
      </c>
      <c r="C5059" s="1390" t="str">
        <f>Risk_Compensation!$B$1</f>
        <v xml:space="preserve">Risikoausgleich </v>
      </c>
      <c r="D5059" s="1743" t="str">
        <f>Risk_Compensation!$AJ$14</f>
        <v>geschätzte Risikoausgleichssätze, pro Monat in CHF (ohne Entlastung junge Erwachsene)</v>
      </c>
      <c r="E5059" s="1390">
        <f>Risk_Compensation!$AJ18</f>
        <v>1</v>
      </c>
      <c r="F5059" s="1390" t="str">
        <f>Risk_Compensation!$H$17</f>
        <v>AG</v>
      </c>
      <c r="G5059" s="1390"/>
      <c r="H5059" s="1077">
        <f>Risk_Compensation!$AK18</f>
        <v>397.56548314277501</v>
      </c>
    </row>
    <row r="5060" spans="1:8" x14ac:dyDescent="0.2">
      <c r="A5060" s="1027"/>
      <c r="B5060" s="1083">
        <f>Risk_Compensation!A$1</f>
        <v>36</v>
      </c>
      <c r="C5060" s="1390" t="str">
        <f>Risk_Compensation!$B$1</f>
        <v xml:space="preserve">Risikoausgleich </v>
      </c>
      <c r="D5060" s="1743" t="str">
        <f>Risk_Compensation!$AJ$14</f>
        <v>geschätzte Risikoausgleichssätze, pro Monat in CHF (ohne Entlastung junge Erwachsene)</v>
      </c>
      <c r="E5060" s="1390">
        <f>Risk_Compensation!$AJ19</f>
        <v>2</v>
      </c>
      <c r="F5060" s="1390" t="str">
        <f>Risk_Compensation!$H$17</f>
        <v>AG</v>
      </c>
      <c r="G5060" s="1390"/>
      <c r="H5060" s="1077">
        <f>Risk_Compensation!$AK19</f>
        <v>-294.51408029097701</v>
      </c>
    </row>
    <row r="5061" spans="1:8" x14ac:dyDescent="0.2">
      <c r="A5061" s="1027"/>
      <c r="B5061" s="1083">
        <f>Risk_Compensation!A$1</f>
        <v>36</v>
      </c>
      <c r="C5061" s="1390" t="str">
        <f>Risk_Compensation!$B$1</f>
        <v xml:space="preserve">Risikoausgleich </v>
      </c>
      <c r="D5061" s="1743" t="str">
        <f>Risk_Compensation!$AJ$14</f>
        <v>geschätzte Risikoausgleichssätze, pro Monat in CHF (ohne Entlastung junge Erwachsene)</v>
      </c>
      <c r="E5061" s="1390">
        <f>Risk_Compensation!$AJ20</f>
        <v>3</v>
      </c>
      <c r="F5061" s="1390" t="str">
        <f>Risk_Compensation!$H$17</f>
        <v>AG</v>
      </c>
      <c r="G5061" s="1390"/>
      <c r="H5061" s="1077">
        <f>Risk_Compensation!$AK20</f>
        <v>509.45367663636398</v>
      </c>
    </row>
    <row r="5062" spans="1:8" x14ac:dyDescent="0.2">
      <c r="A5062" s="1027"/>
      <c r="B5062" s="1083">
        <f>Risk_Compensation!A$1</f>
        <v>36</v>
      </c>
      <c r="C5062" s="1390" t="str">
        <f>Risk_Compensation!$B$1</f>
        <v xml:space="preserve">Risikoausgleich </v>
      </c>
      <c r="D5062" s="1743" t="str">
        <f>Risk_Compensation!$AJ$14</f>
        <v>geschätzte Risikoausgleichssätze, pro Monat in CHF (ohne Entlastung junge Erwachsene)</v>
      </c>
      <c r="E5062" s="1390">
        <f>Risk_Compensation!$AJ21</f>
        <v>4</v>
      </c>
      <c r="F5062" s="1390" t="str">
        <f>Risk_Compensation!$H$17</f>
        <v>AG</v>
      </c>
      <c r="G5062" s="1390"/>
      <c r="H5062" s="1077">
        <f>Risk_Compensation!$AK21</f>
        <v>-299.36142990666201</v>
      </c>
    </row>
    <row r="5063" spans="1:8" x14ac:dyDescent="0.2">
      <c r="A5063" s="1027"/>
      <c r="B5063" s="1083">
        <f>Risk_Compensation!A$1</f>
        <v>36</v>
      </c>
      <c r="C5063" s="1390" t="str">
        <f>Risk_Compensation!$B$1</f>
        <v xml:space="preserve">Risikoausgleich </v>
      </c>
      <c r="D5063" s="1743" t="str">
        <f>Risk_Compensation!$AJ$14</f>
        <v>geschätzte Risikoausgleichssätze, pro Monat in CHF (ohne Entlastung junge Erwachsene)</v>
      </c>
      <c r="E5063" s="1390">
        <f>Risk_Compensation!$AJ22</f>
        <v>5</v>
      </c>
      <c r="F5063" s="1390" t="str">
        <f>Risk_Compensation!$H$17</f>
        <v>AG</v>
      </c>
      <c r="G5063" s="1390"/>
      <c r="H5063" s="1077">
        <f>Risk_Compensation!$AK22</f>
        <v>275.638971729128</v>
      </c>
    </row>
    <row r="5064" spans="1:8" x14ac:dyDescent="0.2">
      <c r="A5064" s="1027"/>
      <c r="B5064" s="1083">
        <f>Risk_Compensation!A$1</f>
        <v>36</v>
      </c>
      <c r="C5064" s="1390" t="str">
        <f>Risk_Compensation!$B$1</f>
        <v xml:space="preserve">Risikoausgleich </v>
      </c>
      <c r="D5064" s="1743" t="str">
        <f>Risk_Compensation!$AJ$14</f>
        <v>geschätzte Risikoausgleichssätze, pro Monat in CHF (ohne Entlastung junge Erwachsene)</v>
      </c>
      <c r="E5064" s="1390">
        <f>Risk_Compensation!$AJ23</f>
        <v>6</v>
      </c>
      <c r="F5064" s="1390" t="str">
        <f>Risk_Compensation!$H$17</f>
        <v>AG</v>
      </c>
      <c r="G5064" s="1390"/>
      <c r="H5064" s="1077">
        <f>Risk_Compensation!$AK23</f>
        <v>-298.05934865217</v>
      </c>
    </row>
    <row r="5065" spans="1:8" x14ac:dyDescent="0.2">
      <c r="A5065" s="1027"/>
      <c r="B5065" s="1083">
        <f>Risk_Compensation!A$1</f>
        <v>36</v>
      </c>
      <c r="C5065" s="1390" t="str">
        <f>Risk_Compensation!$B$1</f>
        <v xml:space="preserve">Risikoausgleich </v>
      </c>
      <c r="D5065" s="1743" t="str">
        <f>Risk_Compensation!$AJ$14</f>
        <v>geschätzte Risikoausgleichssätze, pro Monat in CHF (ohne Entlastung junge Erwachsene)</v>
      </c>
      <c r="E5065" s="1390">
        <f>Risk_Compensation!$AJ24</f>
        <v>7</v>
      </c>
      <c r="F5065" s="1390" t="str">
        <f>Risk_Compensation!$H$17</f>
        <v>AG</v>
      </c>
      <c r="G5065" s="1390"/>
      <c r="H5065" s="1077">
        <f>Risk_Compensation!$AK24</f>
        <v>309.276887377847</v>
      </c>
    </row>
    <row r="5066" spans="1:8" x14ac:dyDescent="0.2">
      <c r="A5066" s="1027"/>
      <c r="B5066" s="1083">
        <f>Risk_Compensation!A$1</f>
        <v>36</v>
      </c>
      <c r="C5066" s="1390" t="str">
        <f>Risk_Compensation!$B$1</f>
        <v xml:space="preserve">Risikoausgleich </v>
      </c>
      <c r="D5066" s="1743" t="str">
        <f>Risk_Compensation!$AJ$14</f>
        <v>geschätzte Risikoausgleichssätze, pro Monat in CHF (ohne Entlastung junge Erwachsene)</v>
      </c>
      <c r="E5066" s="1390">
        <f>Risk_Compensation!$AJ25</f>
        <v>8</v>
      </c>
      <c r="F5066" s="1390" t="str">
        <f>Risk_Compensation!$H$17</f>
        <v>AG</v>
      </c>
      <c r="G5066" s="1390"/>
      <c r="H5066" s="1077">
        <f>Risk_Compensation!$AK25</f>
        <v>-293.62590031177001</v>
      </c>
    </row>
    <row r="5067" spans="1:8" x14ac:dyDescent="0.2">
      <c r="A5067" s="1027"/>
      <c r="B5067" s="1083">
        <f>Risk_Compensation!A$1</f>
        <v>36</v>
      </c>
      <c r="C5067" s="1390" t="str">
        <f>Risk_Compensation!$B$1</f>
        <v xml:space="preserve">Risikoausgleich </v>
      </c>
      <c r="D5067" s="1743" t="str">
        <f>Risk_Compensation!$AJ$14</f>
        <v>geschätzte Risikoausgleichssätze, pro Monat in CHF (ohne Entlastung junge Erwachsene)</v>
      </c>
      <c r="E5067" s="1390">
        <f>Risk_Compensation!$AJ26</f>
        <v>9</v>
      </c>
      <c r="F5067" s="1390" t="str">
        <f>Risk_Compensation!$H$17</f>
        <v>AG</v>
      </c>
      <c r="G5067" s="1390"/>
      <c r="H5067" s="1077">
        <f>Risk_Compensation!$AK26</f>
        <v>289.96903314131799</v>
      </c>
    </row>
    <row r="5068" spans="1:8" x14ac:dyDescent="0.2">
      <c r="A5068" s="1027"/>
      <c r="B5068" s="1083">
        <f>Risk_Compensation!A$1</f>
        <v>36</v>
      </c>
      <c r="C5068" s="1390" t="str">
        <f>Risk_Compensation!$B$1</f>
        <v xml:space="preserve">Risikoausgleich </v>
      </c>
      <c r="D5068" s="1743" t="str">
        <f>Risk_Compensation!$AJ$14</f>
        <v>geschätzte Risikoausgleichssätze, pro Monat in CHF (ohne Entlastung junge Erwachsene)</v>
      </c>
      <c r="E5068" s="1390">
        <f>Risk_Compensation!$AJ27</f>
        <v>10</v>
      </c>
      <c r="F5068" s="1390" t="str">
        <f>Risk_Compensation!$H$17</f>
        <v>AG</v>
      </c>
      <c r="G5068" s="1390"/>
      <c r="H5068" s="1077">
        <f>Risk_Compensation!$AK27</f>
        <v>-292.55738089512499</v>
      </c>
    </row>
    <row r="5069" spans="1:8" x14ac:dyDescent="0.2">
      <c r="A5069" s="1027"/>
      <c r="B5069" s="1083">
        <f>Risk_Compensation!A$1</f>
        <v>36</v>
      </c>
      <c r="C5069" s="1390" t="str">
        <f>Risk_Compensation!$B$1</f>
        <v xml:space="preserve">Risikoausgleich </v>
      </c>
      <c r="D5069" s="1743" t="str">
        <f>Risk_Compensation!$AJ$14</f>
        <v>geschätzte Risikoausgleichssätze, pro Monat in CHF (ohne Entlastung junge Erwachsene)</v>
      </c>
      <c r="E5069" s="1390">
        <f>Risk_Compensation!$AJ28</f>
        <v>11</v>
      </c>
      <c r="F5069" s="1390" t="str">
        <f>Risk_Compensation!$H$17</f>
        <v>AG</v>
      </c>
      <c r="G5069" s="1390"/>
      <c r="H5069" s="1077">
        <f>Risk_Compensation!$AK28</f>
        <v>386.41364120342803</v>
      </c>
    </row>
    <row r="5070" spans="1:8" x14ac:dyDescent="0.2">
      <c r="A5070" s="1027"/>
      <c r="B5070" s="1083">
        <f>Risk_Compensation!A$1</f>
        <v>36</v>
      </c>
      <c r="C5070" s="1390" t="str">
        <f>Risk_Compensation!$B$1</f>
        <v xml:space="preserve">Risikoausgleich </v>
      </c>
      <c r="D5070" s="1743" t="str">
        <f>Risk_Compensation!$AJ$14</f>
        <v>geschätzte Risikoausgleichssätze, pro Monat in CHF (ohne Entlastung junge Erwachsene)</v>
      </c>
      <c r="E5070" s="1390">
        <f>Risk_Compensation!$AJ29</f>
        <v>12</v>
      </c>
      <c r="F5070" s="1390" t="str">
        <f>Risk_Compensation!$H$17</f>
        <v>AG</v>
      </c>
      <c r="G5070" s="1390"/>
      <c r="H5070" s="1077">
        <f>Risk_Compensation!$AK29</f>
        <v>-267.46054214937902</v>
      </c>
    </row>
    <row r="5071" spans="1:8" x14ac:dyDescent="0.2">
      <c r="A5071" s="1027"/>
      <c r="B5071" s="1083">
        <f>Risk_Compensation!A$1</f>
        <v>36</v>
      </c>
      <c r="C5071" s="1390" t="str">
        <f>Risk_Compensation!$B$1</f>
        <v xml:space="preserve">Risikoausgleich </v>
      </c>
      <c r="D5071" s="1743" t="str">
        <f>Risk_Compensation!$AJ$14</f>
        <v>geschätzte Risikoausgleichssätze, pro Monat in CHF (ohne Entlastung junge Erwachsene)</v>
      </c>
      <c r="E5071" s="1390">
        <f>Risk_Compensation!$AJ30</f>
        <v>13</v>
      </c>
      <c r="F5071" s="1390" t="str">
        <f>Risk_Compensation!$H$17</f>
        <v>AG</v>
      </c>
      <c r="G5071" s="1390"/>
      <c r="H5071" s="1077">
        <f>Risk_Compensation!$AK30</f>
        <v>179.702721181074</v>
      </c>
    </row>
    <row r="5072" spans="1:8" x14ac:dyDescent="0.2">
      <c r="A5072" s="1027"/>
      <c r="B5072" s="1083">
        <f>Risk_Compensation!A$1</f>
        <v>36</v>
      </c>
      <c r="C5072" s="1390" t="str">
        <f>Risk_Compensation!$B$1</f>
        <v xml:space="preserve">Risikoausgleich </v>
      </c>
      <c r="D5072" s="1743" t="str">
        <f>Risk_Compensation!$AJ$14</f>
        <v>geschätzte Risikoausgleichssätze, pro Monat in CHF (ohne Entlastung junge Erwachsene)</v>
      </c>
      <c r="E5072" s="1390">
        <f>Risk_Compensation!$AJ31</f>
        <v>14</v>
      </c>
      <c r="F5072" s="1390" t="str">
        <f>Risk_Compensation!$H$17</f>
        <v>AG</v>
      </c>
      <c r="G5072" s="1390"/>
      <c r="H5072" s="1077">
        <f>Risk_Compensation!$AK31</f>
        <v>-240.83198524532801</v>
      </c>
    </row>
    <row r="5073" spans="1:8" x14ac:dyDescent="0.2">
      <c r="A5073" s="1027"/>
      <c r="B5073" s="1083">
        <f>Risk_Compensation!A$1</f>
        <v>36</v>
      </c>
      <c r="C5073" s="1390" t="str">
        <f>Risk_Compensation!$B$1</f>
        <v xml:space="preserve">Risikoausgleich </v>
      </c>
      <c r="D5073" s="1743" t="str">
        <f>Risk_Compensation!$AJ$14</f>
        <v>geschätzte Risikoausgleichssätze, pro Monat in CHF (ohne Entlastung junge Erwachsene)</v>
      </c>
      <c r="E5073" s="1390">
        <f>Risk_Compensation!$AJ32</f>
        <v>15</v>
      </c>
      <c r="F5073" s="1390" t="str">
        <f>Risk_Compensation!$H$17</f>
        <v>AG</v>
      </c>
      <c r="G5073" s="1390"/>
      <c r="H5073" s="1077">
        <f>Risk_Compensation!$AK32</f>
        <v>408.75285336284998</v>
      </c>
    </row>
    <row r="5074" spans="1:8" x14ac:dyDescent="0.2">
      <c r="A5074" s="1027"/>
      <c r="B5074" s="1083">
        <f>Risk_Compensation!A$1</f>
        <v>36</v>
      </c>
      <c r="C5074" s="1390" t="str">
        <f>Risk_Compensation!$B$1</f>
        <v xml:space="preserve">Risikoausgleich </v>
      </c>
      <c r="D5074" s="1743" t="str">
        <f>Risk_Compensation!$AJ$14</f>
        <v>geschätzte Risikoausgleichssätze, pro Monat in CHF (ohne Entlastung junge Erwachsene)</v>
      </c>
      <c r="E5074" s="1390">
        <f>Risk_Compensation!$AJ33</f>
        <v>16</v>
      </c>
      <c r="F5074" s="1390" t="str">
        <f>Risk_Compensation!$H$17</f>
        <v>AG</v>
      </c>
      <c r="G5074" s="1390"/>
      <c r="H5074" s="1077">
        <f>Risk_Compensation!$AK33</f>
        <v>-199.80187193771201</v>
      </c>
    </row>
    <row r="5075" spans="1:8" x14ac:dyDescent="0.2">
      <c r="A5075" s="1027"/>
      <c r="B5075" s="1083">
        <f>Risk_Compensation!A$1</f>
        <v>36</v>
      </c>
      <c r="C5075" s="1390" t="str">
        <f>Risk_Compensation!$B$1</f>
        <v xml:space="preserve">Risikoausgleich </v>
      </c>
      <c r="D5075" s="1743" t="str">
        <f>Risk_Compensation!$AJ$14</f>
        <v>geschätzte Risikoausgleichssätze, pro Monat in CHF (ohne Entlastung junge Erwachsene)</v>
      </c>
      <c r="E5075" s="1390">
        <f>Risk_Compensation!$AJ34</f>
        <v>17</v>
      </c>
      <c r="F5075" s="1390" t="str">
        <f>Risk_Compensation!$H$17</f>
        <v>AG</v>
      </c>
      <c r="G5075" s="1390"/>
      <c r="H5075" s="1077">
        <f>Risk_Compensation!$AK34</f>
        <v>468.29360745806099</v>
      </c>
    </row>
    <row r="5076" spans="1:8" x14ac:dyDescent="0.2">
      <c r="A5076" s="1027"/>
      <c r="B5076" s="1083">
        <f>Risk_Compensation!A$1</f>
        <v>36</v>
      </c>
      <c r="C5076" s="1390" t="str">
        <f>Risk_Compensation!$B$1</f>
        <v xml:space="preserve">Risikoausgleich </v>
      </c>
      <c r="D5076" s="1743" t="str">
        <f>Risk_Compensation!$AJ$14</f>
        <v>geschätzte Risikoausgleichssätze, pro Monat in CHF (ohne Entlastung junge Erwachsene)</v>
      </c>
      <c r="E5076" s="1390">
        <f>Risk_Compensation!$AJ35</f>
        <v>18</v>
      </c>
      <c r="F5076" s="1390" t="str">
        <f>Risk_Compensation!$H$17</f>
        <v>AG</v>
      </c>
      <c r="G5076" s="1390"/>
      <c r="H5076" s="1077">
        <f>Risk_Compensation!$AK35</f>
        <v>-152.352156578972</v>
      </c>
    </row>
    <row r="5077" spans="1:8" x14ac:dyDescent="0.2">
      <c r="A5077" s="1027"/>
      <c r="B5077" s="1083">
        <f>Risk_Compensation!A$1</f>
        <v>36</v>
      </c>
      <c r="C5077" s="1390" t="str">
        <f>Risk_Compensation!$B$1</f>
        <v xml:space="preserve">Risikoausgleich </v>
      </c>
      <c r="D5077" s="1743" t="str">
        <f>Risk_Compensation!$AJ$14</f>
        <v>geschätzte Risikoausgleichssätze, pro Monat in CHF (ohne Entlastung junge Erwachsene)</v>
      </c>
      <c r="E5077" s="1390">
        <f>Risk_Compensation!$AJ36</f>
        <v>19</v>
      </c>
      <c r="F5077" s="1390" t="str">
        <f>Risk_Compensation!$H$17</f>
        <v>AG</v>
      </c>
      <c r="G5077" s="1390"/>
      <c r="H5077" s="1077">
        <f>Risk_Compensation!$AK36</f>
        <v>621.93506744923604</v>
      </c>
    </row>
    <row r="5078" spans="1:8" x14ac:dyDescent="0.2">
      <c r="A5078" s="1027"/>
      <c r="B5078" s="1083">
        <f>Risk_Compensation!A$1</f>
        <v>36</v>
      </c>
      <c r="C5078" s="1390" t="str">
        <f>Risk_Compensation!$B$1</f>
        <v xml:space="preserve">Risikoausgleich </v>
      </c>
      <c r="D5078" s="1743" t="str">
        <f>Risk_Compensation!$AJ$14</f>
        <v>geschätzte Risikoausgleichssätze, pro Monat in CHF (ohne Entlastung junge Erwachsene)</v>
      </c>
      <c r="E5078" s="1390">
        <f>Risk_Compensation!$AJ37</f>
        <v>20</v>
      </c>
      <c r="F5078" s="1390" t="str">
        <f>Risk_Compensation!$H$17</f>
        <v>AG</v>
      </c>
      <c r="G5078" s="1390"/>
      <c r="H5078" s="1077">
        <f>Risk_Compensation!$AK37</f>
        <v>-78.221399229123307</v>
      </c>
    </row>
    <row r="5079" spans="1:8" x14ac:dyDescent="0.2">
      <c r="A5079" s="1027"/>
      <c r="B5079" s="1083">
        <f>Risk_Compensation!A$1</f>
        <v>36</v>
      </c>
      <c r="C5079" s="1390" t="str">
        <f>Risk_Compensation!$B$1</f>
        <v xml:space="preserve">Risikoausgleich </v>
      </c>
      <c r="D5079" s="1743" t="str">
        <f>Risk_Compensation!$AJ$14</f>
        <v>geschätzte Risikoausgleichssätze, pro Monat in CHF (ohne Entlastung junge Erwachsene)</v>
      </c>
      <c r="E5079" s="1390">
        <f>Risk_Compensation!$AJ38</f>
        <v>21</v>
      </c>
      <c r="F5079" s="1390" t="str">
        <f>Risk_Compensation!$H$17</f>
        <v>AG</v>
      </c>
      <c r="G5079" s="1390"/>
      <c r="H5079" s="1077">
        <f>Risk_Compensation!$AK38</f>
        <v>699.74784134283198</v>
      </c>
    </row>
    <row r="5080" spans="1:8" x14ac:dyDescent="0.2">
      <c r="A5080" s="1027"/>
      <c r="B5080" s="1083">
        <f>Risk_Compensation!A$1</f>
        <v>36</v>
      </c>
      <c r="C5080" s="1390" t="str">
        <f>Risk_Compensation!$B$1</f>
        <v xml:space="preserve">Risikoausgleich </v>
      </c>
      <c r="D5080" s="1743" t="str">
        <f>Risk_Compensation!$AJ$14</f>
        <v>geschätzte Risikoausgleichssätze, pro Monat in CHF (ohne Entlastung junge Erwachsene)</v>
      </c>
      <c r="E5080" s="1390">
        <f>Risk_Compensation!$AJ39</f>
        <v>22</v>
      </c>
      <c r="F5080" s="1390" t="str">
        <f>Risk_Compensation!$H$17</f>
        <v>AG</v>
      </c>
      <c r="G5080" s="1390"/>
      <c r="H5080" s="1077">
        <f>Risk_Compensation!$AK39</f>
        <v>5.2397389848045997</v>
      </c>
    </row>
    <row r="5081" spans="1:8" x14ac:dyDescent="0.2">
      <c r="A5081" s="1027"/>
      <c r="B5081" s="1083">
        <f>Risk_Compensation!A$1</f>
        <v>36</v>
      </c>
      <c r="C5081" s="1390" t="str">
        <f>Risk_Compensation!$B$1</f>
        <v xml:space="preserve">Risikoausgleich </v>
      </c>
      <c r="D5081" s="1743" t="str">
        <f>Risk_Compensation!$AJ$14</f>
        <v>geschätzte Risikoausgleichssätze, pro Monat in CHF (ohne Entlastung junge Erwachsene)</v>
      </c>
      <c r="E5081" s="1390">
        <f>Risk_Compensation!$AJ40</f>
        <v>23</v>
      </c>
      <c r="F5081" s="1390" t="str">
        <f>Risk_Compensation!$H$17</f>
        <v>AG</v>
      </c>
      <c r="G5081" s="1390"/>
      <c r="H5081" s="1077">
        <f>Risk_Compensation!$AK40</f>
        <v>879.449808044355</v>
      </c>
    </row>
    <row r="5082" spans="1:8" x14ac:dyDescent="0.2">
      <c r="A5082" s="1027"/>
      <c r="B5082" s="1083">
        <f>Risk_Compensation!A$1</f>
        <v>36</v>
      </c>
      <c r="C5082" s="1390" t="str">
        <f>Risk_Compensation!$B$1</f>
        <v xml:space="preserve">Risikoausgleich </v>
      </c>
      <c r="D5082" s="1743" t="str">
        <f>Risk_Compensation!$AJ$14</f>
        <v>geschätzte Risikoausgleichssätze, pro Monat in CHF (ohne Entlastung junge Erwachsene)</v>
      </c>
      <c r="E5082" s="1390">
        <f>Risk_Compensation!$AJ41</f>
        <v>24</v>
      </c>
      <c r="F5082" s="1390" t="str">
        <f>Risk_Compensation!$H$17</f>
        <v>AG</v>
      </c>
      <c r="G5082" s="1390"/>
      <c r="H5082" s="1077">
        <f>Risk_Compensation!$AK41</f>
        <v>85.106404876093904</v>
      </c>
    </row>
    <row r="5083" spans="1:8" x14ac:dyDescent="0.2">
      <c r="A5083" s="1027"/>
      <c r="B5083" s="1083">
        <f>Risk_Compensation!A$1</f>
        <v>36</v>
      </c>
      <c r="C5083" s="1390" t="str">
        <f>Risk_Compensation!$B$1</f>
        <v xml:space="preserve">Risikoausgleich </v>
      </c>
      <c r="D5083" s="1743" t="str">
        <f>Risk_Compensation!$AJ$14</f>
        <v>geschätzte Risikoausgleichssätze, pro Monat in CHF (ohne Entlastung junge Erwachsene)</v>
      </c>
      <c r="E5083" s="1390">
        <f>Risk_Compensation!$AJ42</f>
        <v>25</v>
      </c>
      <c r="F5083" s="1390" t="str">
        <f>Risk_Compensation!$H$17</f>
        <v>AG</v>
      </c>
      <c r="G5083" s="1390"/>
      <c r="H5083" s="1077">
        <f>Risk_Compensation!$AK42</f>
        <v>1023.54608105527</v>
      </c>
    </row>
    <row r="5084" spans="1:8" x14ac:dyDescent="0.2">
      <c r="A5084" s="1027"/>
      <c r="B5084" s="1083">
        <f>Risk_Compensation!A$1</f>
        <v>36</v>
      </c>
      <c r="C5084" s="1390" t="str">
        <f>Risk_Compensation!$B$1</f>
        <v xml:space="preserve">Risikoausgleich </v>
      </c>
      <c r="D5084" s="1743" t="str">
        <f>Risk_Compensation!$AJ$14</f>
        <v>geschätzte Risikoausgleichssätze, pro Monat in CHF (ohne Entlastung junge Erwachsene)</v>
      </c>
      <c r="E5084" s="1390">
        <f>Risk_Compensation!$AJ43</f>
        <v>26</v>
      </c>
      <c r="F5084" s="1390" t="str">
        <f>Risk_Compensation!$H$17</f>
        <v>AG</v>
      </c>
      <c r="G5084" s="1390"/>
      <c r="H5084" s="1077">
        <f>Risk_Compensation!$AK43</f>
        <v>160.96992488999999</v>
      </c>
    </row>
    <row r="5085" spans="1:8" x14ac:dyDescent="0.2">
      <c r="A5085" s="1027"/>
      <c r="B5085" s="1083">
        <f>Risk_Compensation!A$1</f>
        <v>36</v>
      </c>
      <c r="C5085" s="1390" t="str">
        <f>Risk_Compensation!$B$1</f>
        <v xml:space="preserve">Risikoausgleich </v>
      </c>
      <c r="D5085" s="1743" t="str">
        <f>Risk_Compensation!$AJ$14</f>
        <v>geschätzte Risikoausgleichssätze, pro Monat in CHF (ohne Entlastung junge Erwachsene)</v>
      </c>
      <c r="E5085" s="1390">
        <f>Risk_Compensation!$AJ44</f>
        <v>27</v>
      </c>
      <c r="F5085" s="1390" t="str">
        <f>Risk_Compensation!$H$17</f>
        <v>AG</v>
      </c>
      <c r="G5085" s="1390"/>
      <c r="H5085" s="1077">
        <f>Risk_Compensation!$AK44</f>
        <v>1139.44210574212</v>
      </c>
    </row>
    <row r="5086" spans="1:8" x14ac:dyDescent="0.2">
      <c r="A5086" s="1027"/>
      <c r="B5086" s="1083">
        <f>Risk_Compensation!A$1</f>
        <v>36</v>
      </c>
      <c r="C5086" s="1390" t="str">
        <f>Risk_Compensation!$B$1</f>
        <v xml:space="preserve">Risikoausgleich </v>
      </c>
      <c r="D5086" s="1743" t="str">
        <f>Risk_Compensation!$AJ$14</f>
        <v>geschätzte Risikoausgleichssätze, pro Monat in CHF (ohne Entlastung junge Erwachsene)</v>
      </c>
      <c r="E5086" s="1390">
        <f>Risk_Compensation!$AJ45</f>
        <v>28</v>
      </c>
      <c r="F5086" s="1390" t="str">
        <f>Risk_Compensation!$H$17</f>
        <v>AG</v>
      </c>
      <c r="G5086" s="1390"/>
      <c r="H5086" s="1077">
        <f>Risk_Compensation!$AK45</f>
        <v>258.11818880491398</v>
      </c>
    </row>
    <row r="5087" spans="1:8" x14ac:dyDescent="0.2">
      <c r="A5087" s="1027"/>
      <c r="B5087" s="1083">
        <f>Risk_Compensation!A$1</f>
        <v>36</v>
      </c>
      <c r="C5087" s="1390" t="str">
        <f>Risk_Compensation!$B$1</f>
        <v xml:space="preserve">Risikoausgleich </v>
      </c>
      <c r="D5087" s="1743" t="str">
        <f>Risk_Compensation!$AJ$14</f>
        <v>geschätzte Risikoausgleichssätze, pro Monat in CHF (ohne Entlastung junge Erwachsene)</v>
      </c>
      <c r="E5087" s="1390">
        <f>Risk_Compensation!$AJ46</f>
        <v>29</v>
      </c>
      <c r="F5087" s="1390" t="str">
        <f>Risk_Compensation!$H$17</f>
        <v>AG</v>
      </c>
      <c r="G5087" s="1390"/>
      <c r="H5087" s="1077">
        <f>Risk_Compensation!$AK46</f>
        <v>1451.71069988103</v>
      </c>
    </row>
    <row r="5088" spans="1:8" x14ac:dyDescent="0.2">
      <c r="A5088" s="1027"/>
      <c r="B5088" s="1083">
        <f>Risk_Compensation!A$1</f>
        <v>36</v>
      </c>
      <c r="C5088" s="1390" t="str">
        <f>Risk_Compensation!$B$1</f>
        <v xml:space="preserve">Risikoausgleich </v>
      </c>
      <c r="D5088" s="1743" t="str">
        <f>Risk_Compensation!$AJ$14</f>
        <v>geschätzte Risikoausgleichssätze, pro Monat in CHF (ohne Entlastung junge Erwachsene)</v>
      </c>
      <c r="E5088" s="1390">
        <f>Risk_Compensation!$AJ47</f>
        <v>30</v>
      </c>
      <c r="F5088" s="1390" t="str">
        <f>Risk_Compensation!$H$17</f>
        <v>AG</v>
      </c>
      <c r="G5088" s="1390"/>
      <c r="H5088" s="1077">
        <f>Risk_Compensation!$AK47</f>
        <v>425.67083036842502</v>
      </c>
    </row>
    <row r="5089" spans="1:8" x14ac:dyDescent="0.2">
      <c r="A5089" s="1027"/>
      <c r="B5089" s="1083">
        <f>Risk_Compensation!A$1</f>
        <v>36</v>
      </c>
      <c r="C5089" s="1390" t="str">
        <f>Risk_Compensation!$B$1</f>
        <v xml:space="preserve">Risikoausgleich </v>
      </c>
      <c r="D5089" s="1743" t="str">
        <f>Risk_Compensation!$AJ$14</f>
        <v>geschätzte Risikoausgleichssätze, pro Monat in CHF (ohne Entlastung junge Erwachsene)</v>
      </c>
      <c r="E5089" s="1390">
        <f>Risk_Compensation!$AJ48</f>
        <v>31</v>
      </c>
      <c r="F5089" s="1390" t="str">
        <f>Risk_Compensation!$H$17</f>
        <v>AG</v>
      </c>
      <c r="G5089" s="1390"/>
      <c r="H5089" s="1077">
        <f>Risk_Compensation!$AK48</f>
        <v>371.89584053598298</v>
      </c>
    </row>
    <row r="5090" spans="1:8" x14ac:dyDescent="0.2">
      <c r="A5090" s="1027"/>
      <c r="B5090" s="1083">
        <f>Risk_Compensation!A$1</f>
        <v>36</v>
      </c>
      <c r="C5090" s="1390" t="str">
        <f>Risk_Compensation!$B$1</f>
        <v xml:space="preserve">Risikoausgleich </v>
      </c>
      <c r="D5090" s="1743" t="str">
        <f>Risk_Compensation!$AJ$14</f>
        <v>geschätzte Risikoausgleichssätze, pro Monat in CHF (ohne Entlastung junge Erwachsene)</v>
      </c>
      <c r="E5090" s="1390">
        <f>Risk_Compensation!$AJ49</f>
        <v>32</v>
      </c>
      <c r="F5090" s="1390" t="str">
        <f>Risk_Compensation!$H$17</f>
        <v>AG</v>
      </c>
      <c r="G5090" s="1390"/>
      <c r="H5090" s="1077">
        <f>Risk_Compensation!$AK49</f>
        <v>-233.232972275686</v>
      </c>
    </row>
    <row r="5091" spans="1:8" x14ac:dyDescent="0.2">
      <c r="A5091" s="1027"/>
      <c r="B5091" s="1083">
        <f>Risk_Compensation!A$1</f>
        <v>36</v>
      </c>
      <c r="C5091" s="1390" t="str">
        <f>Risk_Compensation!$B$1</f>
        <v xml:space="preserve">Risikoausgleich </v>
      </c>
      <c r="D5091" s="1743" t="str">
        <f>Risk_Compensation!$AJ$14</f>
        <v>geschätzte Risikoausgleichssätze, pro Monat in CHF (ohne Entlastung junge Erwachsene)</v>
      </c>
      <c r="E5091" s="1390">
        <f>Risk_Compensation!$AJ50</f>
        <v>33</v>
      </c>
      <c r="F5091" s="1390" t="str">
        <f>Risk_Compensation!$H$17</f>
        <v>AG</v>
      </c>
      <c r="G5091" s="1390"/>
      <c r="H5091" s="1077">
        <f>Risk_Compensation!$AK50</f>
        <v>312.50413496228299</v>
      </c>
    </row>
    <row r="5092" spans="1:8" x14ac:dyDescent="0.2">
      <c r="A5092" s="1027"/>
      <c r="B5092" s="1083">
        <f>Risk_Compensation!A$1</f>
        <v>36</v>
      </c>
      <c r="C5092" s="1390" t="str">
        <f>Risk_Compensation!$B$1</f>
        <v xml:space="preserve">Risikoausgleich </v>
      </c>
      <c r="D5092" s="1743" t="str">
        <f>Risk_Compensation!$AJ$14</f>
        <v>geschätzte Risikoausgleichssätze, pro Monat in CHF (ohne Entlastung junge Erwachsene)</v>
      </c>
      <c r="E5092" s="1390">
        <f>Risk_Compensation!$AJ51</f>
        <v>34</v>
      </c>
      <c r="F5092" s="1390" t="str">
        <f>Risk_Compensation!$H$17</f>
        <v>AG</v>
      </c>
      <c r="G5092" s="1390"/>
      <c r="H5092" s="1077">
        <f>Risk_Compensation!$AK51</f>
        <v>-171.416413047003</v>
      </c>
    </row>
    <row r="5093" spans="1:8" x14ac:dyDescent="0.2">
      <c r="A5093" s="1027"/>
      <c r="B5093" s="1083">
        <f>Risk_Compensation!A$1</f>
        <v>36</v>
      </c>
      <c r="C5093" s="1390" t="str">
        <f>Risk_Compensation!$B$1</f>
        <v xml:space="preserve">Risikoausgleich </v>
      </c>
      <c r="D5093" s="1743" t="str">
        <f>Risk_Compensation!$AJ$14</f>
        <v>geschätzte Risikoausgleichssätze, pro Monat in CHF (ohne Entlastung junge Erwachsene)</v>
      </c>
      <c r="E5093" s="1390">
        <f>Risk_Compensation!$AJ52</f>
        <v>35</v>
      </c>
      <c r="F5093" s="1390" t="str">
        <f>Risk_Compensation!$H$17</f>
        <v>AG</v>
      </c>
      <c r="G5093" s="1390"/>
      <c r="H5093" s="1077">
        <f>Risk_Compensation!$AK52</f>
        <v>303.539773460221</v>
      </c>
    </row>
    <row r="5094" spans="1:8" x14ac:dyDescent="0.2">
      <c r="A5094" s="1027"/>
      <c r="B5094" s="1083">
        <f>Risk_Compensation!A$1</f>
        <v>36</v>
      </c>
      <c r="C5094" s="1390" t="str">
        <f>Risk_Compensation!$B$1</f>
        <v xml:space="preserve">Risikoausgleich </v>
      </c>
      <c r="D5094" s="1743" t="str">
        <f>Risk_Compensation!$AJ$14</f>
        <v>geschätzte Risikoausgleichssätze, pro Monat in CHF (ohne Entlastung junge Erwachsene)</v>
      </c>
      <c r="E5094" s="1390">
        <f>Risk_Compensation!$AJ53</f>
        <v>36</v>
      </c>
      <c r="F5094" s="1390" t="str">
        <f>Risk_Compensation!$H$17</f>
        <v>AG</v>
      </c>
      <c r="G5094" s="1390"/>
      <c r="H5094" s="1077">
        <f>Risk_Compensation!$AK53</f>
        <v>-141.855100416845</v>
      </c>
    </row>
    <row r="5095" spans="1:8" x14ac:dyDescent="0.2">
      <c r="A5095" s="1027"/>
      <c r="B5095" s="1083">
        <f>Risk_Compensation!A$1</f>
        <v>36</v>
      </c>
      <c r="C5095" s="1390" t="str">
        <f>Risk_Compensation!$B$1</f>
        <v xml:space="preserve">Risikoausgleich </v>
      </c>
      <c r="D5095" s="1743" t="str">
        <f>Risk_Compensation!$AJ$14</f>
        <v>geschätzte Risikoausgleichssätze, pro Monat in CHF (ohne Entlastung junge Erwachsene)</v>
      </c>
      <c r="E5095" s="1390">
        <f>Risk_Compensation!$AJ54</f>
        <v>37</v>
      </c>
      <c r="F5095" s="1390" t="str">
        <f>Risk_Compensation!$H$17</f>
        <v>AG</v>
      </c>
      <c r="G5095" s="1390"/>
      <c r="H5095" s="1077">
        <f>Risk_Compensation!$AK54</f>
        <v>227.16652668384199</v>
      </c>
    </row>
    <row r="5096" spans="1:8" x14ac:dyDescent="0.2">
      <c r="A5096" s="1027"/>
      <c r="B5096" s="1083">
        <f>Risk_Compensation!A$1</f>
        <v>36</v>
      </c>
      <c r="C5096" s="1390" t="str">
        <f>Risk_Compensation!$B$1</f>
        <v xml:space="preserve">Risikoausgleich </v>
      </c>
      <c r="D5096" s="1743" t="str">
        <f>Risk_Compensation!$AJ$14</f>
        <v>geschätzte Risikoausgleichssätze, pro Monat in CHF (ohne Entlastung junge Erwachsene)</v>
      </c>
      <c r="E5096" s="1390">
        <f>Risk_Compensation!$AJ55</f>
        <v>38</v>
      </c>
      <c r="F5096" s="1390" t="str">
        <f>Risk_Compensation!$H$17</f>
        <v>AG</v>
      </c>
      <c r="G5096" s="1390"/>
      <c r="H5096" s="1077">
        <f>Risk_Compensation!$AK55</f>
        <v>-188.49912722191701</v>
      </c>
    </row>
    <row r="5097" spans="1:8" x14ac:dyDescent="0.2">
      <c r="A5097" s="1027"/>
      <c r="B5097" s="1083">
        <f>Risk_Compensation!A$1</f>
        <v>36</v>
      </c>
      <c r="C5097" s="1390" t="str">
        <f>Risk_Compensation!$B$1</f>
        <v xml:space="preserve">Risikoausgleich </v>
      </c>
      <c r="D5097" s="1743" t="str">
        <f>Risk_Compensation!$AJ$14</f>
        <v>geschätzte Risikoausgleichssätze, pro Monat in CHF (ohne Entlastung junge Erwachsene)</v>
      </c>
      <c r="E5097" s="1390">
        <f>Risk_Compensation!$AJ56</f>
        <v>39</v>
      </c>
      <c r="F5097" s="1390" t="str">
        <f>Risk_Compensation!$H$17</f>
        <v>AG</v>
      </c>
      <c r="G5097" s="1390"/>
      <c r="H5097" s="1077">
        <f>Risk_Compensation!$AK56</f>
        <v>215.272728891529</v>
      </c>
    </row>
    <row r="5098" spans="1:8" x14ac:dyDescent="0.2">
      <c r="A5098" s="1027"/>
      <c r="B5098" s="1083">
        <f>Risk_Compensation!A$1</f>
        <v>36</v>
      </c>
      <c r="C5098" s="1390" t="str">
        <f>Risk_Compensation!$B$1</f>
        <v xml:space="preserve">Risikoausgleich </v>
      </c>
      <c r="D5098" s="1743" t="str">
        <f>Risk_Compensation!$AJ$14</f>
        <v>geschätzte Risikoausgleichssätze, pro Monat in CHF (ohne Entlastung junge Erwachsene)</v>
      </c>
      <c r="E5098" s="1390">
        <f>Risk_Compensation!$AJ57</f>
        <v>40</v>
      </c>
      <c r="F5098" s="1390" t="str">
        <f>Risk_Compensation!$H$17</f>
        <v>AG</v>
      </c>
      <c r="G5098" s="1390"/>
      <c r="H5098" s="1077">
        <f>Risk_Compensation!$AK57</f>
        <v>-221.377508760024</v>
      </c>
    </row>
    <row r="5099" spans="1:8" x14ac:dyDescent="0.2">
      <c r="A5099" s="1027"/>
      <c r="B5099" s="1083">
        <f>Risk_Compensation!A$1</f>
        <v>36</v>
      </c>
      <c r="C5099" s="1390" t="str">
        <f>Risk_Compensation!$B$1</f>
        <v xml:space="preserve">Risikoausgleich </v>
      </c>
      <c r="D5099" s="1743" t="str">
        <f>Risk_Compensation!$AJ$14</f>
        <v>geschätzte Risikoausgleichssätze, pro Monat in CHF (ohne Entlastung junge Erwachsene)</v>
      </c>
      <c r="E5099" s="1390">
        <f>Risk_Compensation!$AJ58</f>
        <v>41</v>
      </c>
      <c r="F5099" s="1390" t="str">
        <f>Risk_Compensation!$H$17</f>
        <v>AG</v>
      </c>
      <c r="G5099" s="1390"/>
      <c r="H5099" s="1077">
        <f>Risk_Compensation!$AK58</f>
        <v>306.30372351858603</v>
      </c>
    </row>
    <row r="5100" spans="1:8" x14ac:dyDescent="0.2">
      <c r="A5100" s="1027"/>
      <c r="B5100" s="1083">
        <f>Risk_Compensation!A$1</f>
        <v>36</v>
      </c>
      <c r="C5100" s="1390" t="str">
        <f>Risk_Compensation!$B$1</f>
        <v xml:space="preserve">Risikoausgleich </v>
      </c>
      <c r="D5100" s="1743" t="str">
        <f>Risk_Compensation!$AJ$14</f>
        <v>geschätzte Risikoausgleichssätze, pro Monat in CHF (ohne Entlastung junge Erwachsene)</v>
      </c>
      <c r="E5100" s="1390">
        <f>Risk_Compensation!$AJ59</f>
        <v>42</v>
      </c>
      <c r="F5100" s="1390" t="str">
        <f>Risk_Compensation!$H$17</f>
        <v>AG</v>
      </c>
      <c r="G5100" s="1390"/>
      <c r="H5100" s="1077">
        <f>Risk_Compensation!$AK59</f>
        <v>-212.651902832101</v>
      </c>
    </row>
    <row r="5101" spans="1:8" x14ac:dyDescent="0.2">
      <c r="A5101" s="1027"/>
      <c r="B5101" s="1083">
        <f>Risk_Compensation!A$1</f>
        <v>36</v>
      </c>
      <c r="C5101" s="1390" t="str">
        <f>Risk_Compensation!$B$1</f>
        <v xml:space="preserve">Risikoausgleich </v>
      </c>
      <c r="D5101" s="1743" t="str">
        <f>Risk_Compensation!$AJ$14</f>
        <v>geschätzte Risikoausgleichssätze, pro Monat in CHF (ohne Entlastung junge Erwachsene)</v>
      </c>
      <c r="E5101" s="1390">
        <f>Risk_Compensation!$AJ60</f>
        <v>43</v>
      </c>
      <c r="F5101" s="1390" t="str">
        <f>Risk_Compensation!$H$17</f>
        <v>AG</v>
      </c>
      <c r="G5101" s="1390"/>
      <c r="H5101" s="1077">
        <f>Risk_Compensation!$AK60</f>
        <v>434.22618715646701</v>
      </c>
    </row>
    <row r="5102" spans="1:8" x14ac:dyDescent="0.2">
      <c r="A5102" s="1027"/>
      <c r="B5102" s="1083">
        <f>Risk_Compensation!A$1</f>
        <v>36</v>
      </c>
      <c r="C5102" s="1390" t="str">
        <f>Risk_Compensation!$B$1</f>
        <v xml:space="preserve">Risikoausgleich </v>
      </c>
      <c r="D5102" s="1743" t="str">
        <f>Risk_Compensation!$AJ$14</f>
        <v>geschätzte Risikoausgleichssätze, pro Monat in CHF (ohne Entlastung junge Erwachsene)</v>
      </c>
      <c r="E5102" s="1390">
        <f>Risk_Compensation!$AJ61</f>
        <v>44</v>
      </c>
      <c r="F5102" s="1390" t="str">
        <f>Risk_Compensation!$H$17</f>
        <v>AG</v>
      </c>
      <c r="G5102" s="1390"/>
      <c r="H5102" s="1077">
        <f>Risk_Compensation!$AK61</f>
        <v>-200.701326932846</v>
      </c>
    </row>
    <row r="5103" spans="1:8" x14ac:dyDescent="0.2">
      <c r="A5103" s="1027"/>
      <c r="B5103" s="1083">
        <f>Risk_Compensation!A$1</f>
        <v>36</v>
      </c>
      <c r="C5103" s="1390" t="str">
        <f>Risk_Compensation!$B$1</f>
        <v xml:space="preserve">Risikoausgleich </v>
      </c>
      <c r="D5103" s="1743" t="str">
        <f>Risk_Compensation!$AJ$14</f>
        <v>geschätzte Risikoausgleichssätze, pro Monat in CHF (ohne Entlastung junge Erwachsene)</v>
      </c>
      <c r="E5103" s="1390">
        <f>Risk_Compensation!$AJ62</f>
        <v>45</v>
      </c>
      <c r="F5103" s="1390" t="str">
        <f>Risk_Compensation!$H$17</f>
        <v>AG</v>
      </c>
      <c r="G5103" s="1390"/>
      <c r="H5103" s="1077">
        <f>Risk_Compensation!$AK62</f>
        <v>420.76002836812103</v>
      </c>
    </row>
    <row r="5104" spans="1:8" x14ac:dyDescent="0.2">
      <c r="A5104" s="1027"/>
      <c r="B5104" s="1083">
        <f>Risk_Compensation!A$1</f>
        <v>36</v>
      </c>
      <c r="C5104" s="1390" t="str">
        <f>Risk_Compensation!$B$1</f>
        <v xml:space="preserve">Risikoausgleich </v>
      </c>
      <c r="D5104" s="1743" t="str">
        <f>Risk_Compensation!$AJ$14</f>
        <v>geschätzte Risikoausgleichssätze, pro Monat in CHF (ohne Entlastung junge Erwachsene)</v>
      </c>
      <c r="E5104" s="1390">
        <f>Risk_Compensation!$AJ63</f>
        <v>46</v>
      </c>
      <c r="F5104" s="1390" t="str">
        <f>Risk_Compensation!$H$17</f>
        <v>AG</v>
      </c>
      <c r="G5104" s="1390"/>
      <c r="H5104" s="1077">
        <f>Risk_Compensation!$AK63</f>
        <v>-188.86271225042501</v>
      </c>
    </row>
    <row r="5105" spans="1:8" x14ac:dyDescent="0.2">
      <c r="A5105" s="1027"/>
      <c r="B5105" s="1083">
        <f>Risk_Compensation!A$1</f>
        <v>36</v>
      </c>
      <c r="C5105" s="1390" t="str">
        <f>Risk_Compensation!$B$1</f>
        <v xml:space="preserve">Risikoausgleich </v>
      </c>
      <c r="D5105" s="1743" t="str">
        <f>Risk_Compensation!$AJ$14</f>
        <v>geschätzte Risikoausgleichssätze, pro Monat in CHF (ohne Entlastung junge Erwachsene)</v>
      </c>
      <c r="E5105" s="1390">
        <f>Risk_Compensation!$AJ64</f>
        <v>47</v>
      </c>
      <c r="F5105" s="1390" t="str">
        <f>Risk_Compensation!$H$17</f>
        <v>AG</v>
      </c>
      <c r="G5105" s="1390"/>
      <c r="H5105" s="1077">
        <f>Risk_Compensation!$AK64</f>
        <v>396.42066278034298</v>
      </c>
    </row>
    <row r="5106" spans="1:8" x14ac:dyDescent="0.2">
      <c r="A5106" s="1027"/>
      <c r="B5106" s="1083">
        <f>Risk_Compensation!A$1</f>
        <v>36</v>
      </c>
      <c r="C5106" s="1390" t="str">
        <f>Risk_Compensation!$B$1</f>
        <v xml:space="preserve">Risikoausgleich </v>
      </c>
      <c r="D5106" s="1743" t="str">
        <f>Risk_Compensation!$AJ$14</f>
        <v>geschätzte Risikoausgleichssätze, pro Monat in CHF (ohne Entlastung junge Erwachsene)</v>
      </c>
      <c r="E5106" s="1390">
        <f>Risk_Compensation!$AJ65</f>
        <v>48</v>
      </c>
      <c r="F5106" s="1390" t="str">
        <f>Risk_Compensation!$H$17</f>
        <v>AG</v>
      </c>
      <c r="G5106" s="1390"/>
      <c r="H5106" s="1077">
        <f>Risk_Compensation!$AK65</f>
        <v>-169.567095156297</v>
      </c>
    </row>
    <row r="5107" spans="1:8" x14ac:dyDescent="0.2">
      <c r="A5107" s="1027"/>
      <c r="B5107" s="1083">
        <f>Risk_Compensation!A$1</f>
        <v>36</v>
      </c>
      <c r="C5107" s="1390" t="str">
        <f>Risk_Compensation!$B$1</f>
        <v xml:space="preserve">Risikoausgleich </v>
      </c>
      <c r="D5107" s="1743" t="str">
        <f>Risk_Compensation!$AJ$14</f>
        <v>geschätzte Risikoausgleichssätze, pro Monat in CHF (ohne Entlastung junge Erwachsene)</v>
      </c>
      <c r="E5107" s="1390">
        <f>Risk_Compensation!$AJ66</f>
        <v>49</v>
      </c>
      <c r="F5107" s="1390" t="str">
        <f>Risk_Compensation!$H$17</f>
        <v>AG</v>
      </c>
      <c r="G5107" s="1390"/>
      <c r="H5107" s="1077">
        <f>Risk_Compensation!$AK66</f>
        <v>445.54608199376099</v>
      </c>
    </row>
    <row r="5108" spans="1:8" x14ac:dyDescent="0.2">
      <c r="A5108" s="1027"/>
      <c r="B5108" s="1083">
        <f>Risk_Compensation!A$1</f>
        <v>36</v>
      </c>
      <c r="C5108" s="1390" t="str">
        <f>Risk_Compensation!$B$1</f>
        <v xml:space="preserve">Risikoausgleich </v>
      </c>
      <c r="D5108" s="1743" t="str">
        <f>Risk_Compensation!$AJ$14</f>
        <v>geschätzte Risikoausgleichssätze, pro Monat in CHF (ohne Entlastung junge Erwachsene)</v>
      </c>
      <c r="E5108" s="1390">
        <f>Risk_Compensation!$AJ67</f>
        <v>50</v>
      </c>
      <c r="F5108" s="1390" t="str">
        <f>Risk_Compensation!$H$17</f>
        <v>AG</v>
      </c>
      <c r="G5108" s="1390"/>
      <c r="H5108" s="1077">
        <f>Risk_Compensation!$AK67</f>
        <v>-101.794709017755</v>
      </c>
    </row>
    <row r="5109" spans="1:8" x14ac:dyDescent="0.2">
      <c r="A5109" s="1027"/>
      <c r="B5109" s="1083">
        <f>Risk_Compensation!A$1</f>
        <v>36</v>
      </c>
      <c r="C5109" s="1390" t="str">
        <f>Risk_Compensation!$B$1</f>
        <v xml:space="preserve">Risikoausgleich </v>
      </c>
      <c r="D5109" s="1743" t="str">
        <f>Risk_Compensation!$AJ$14</f>
        <v>geschätzte Risikoausgleichssätze, pro Monat in CHF (ohne Entlastung junge Erwachsene)</v>
      </c>
      <c r="E5109" s="1390">
        <f>Risk_Compensation!$AJ68</f>
        <v>51</v>
      </c>
      <c r="F5109" s="1390" t="str">
        <f>Risk_Compensation!$H$17</f>
        <v>AG</v>
      </c>
      <c r="G5109" s="1390"/>
      <c r="H5109" s="1077">
        <f>Risk_Compensation!$AK68</f>
        <v>642.80588748373805</v>
      </c>
    </row>
    <row r="5110" spans="1:8" x14ac:dyDescent="0.2">
      <c r="A5110" s="1027"/>
      <c r="B5110" s="1083">
        <f>Risk_Compensation!A$1</f>
        <v>36</v>
      </c>
      <c r="C5110" s="1390" t="str">
        <f>Risk_Compensation!$B$1</f>
        <v xml:space="preserve">Risikoausgleich </v>
      </c>
      <c r="D5110" s="1743" t="str">
        <f>Risk_Compensation!$AJ$14</f>
        <v>geschätzte Risikoausgleichssätze, pro Monat in CHF (ohne Entlastung junge Erwachsene)</v>
      </c>
      <c r="E5110" s="1390">
        <f>Risk_Compensation!$AJ69</f>
        <v>52</v>
      </c>
      <c r="F5110" s="1390" t="str">
        <f>Risk_Compensation!$H$17</f>
        <v>AG</v>
      </c>
      <c r="G5110" s="1390"/>
      <c r="H5110" s="1077">
        <f>Risk_Compensation!$AK69</f>
        <v>-48.934649425057998</v>
      </c>
    </row>
    <row r="5111" spans="1:8" x14ac:dyDescent="0.2">
      <c r="A5111" s="1027"/>
      <c r="B5111" s="1083">
        <f>Risk_Compensation!A$1</f>
        <v>36</v>
      </c>
      <c r="C5111" s="1390" t="str">
        <f>Risk_Compensation!$B$1</f>
        <v xml:space="preserve">Risikoausgleich </v>
      </c>
      <c r="D5111" s="1743" t="str">
        <f>Risk_Compensation!$AJ$14</f>
        <v>geschätzte Risikoausgleichssätze, pro Monat in CHF (ohne Entlastung junge Erwachsene)</v>
      </c>
      <c r="E5111" s="1390">
        <f>Risk_Compensation!$AJ70</f>
        <v>53</v>
      </c>
      <c r="F5111" s="1390" t="str">
        <f>Risk_Compensation!$H$17</f>
        <v>AG</v>
      </c>
      <c r="G5111" s="1390"/>
      <c r="H5111" s="1077">
        <f>Risk_Compensation!$AK70</f>
        <v>841.57570074048601</v>
      </c>
    </row>
    <row r="5112" spans="1:8" x14ac:dyDescent="0.2">
      <c r="A5112" s="1027"/>
      <c r="B5112" s="1083">
        <f>Risk_Compensation!A$1</f>
        <v>36</v>
      </c>
      <c r="C5112" s="1390" t="str">
        <f>Risk_Compensation!$B$1</f>
        <v xml:space="preserve">Risikoausgleich </v>
      </c>
      <c r="D5112" s="1743" t="str">
        <f>Risk_Compensation!$AJ$14</f>
        <v>geschätzte Risikoausgleichssätze, pro Monat in CHF (ohne Entlastung junge Erwachsene)</v>
      </c>
      <c r="E5112" s="1390">
        <f>Risk_Compensation!$AJ71</f>
        <v>54</v>
      </c>
      <c r="F5112" s="1390" t="str">
        <f>Risk_Compensation!$H$17</f>
        <v>AG</v>
      </c>
      <c r="G5112" s="1390"/>
      <c r="H5112" s="1077">
        <f>Risk_Compensation!$AK71</f>
        <v>15.9953327463063</v>
      </c>
    </row>
    <row r="5113" spans="1:8" x14ac:dyDescent="0.2">
      <c r="A5113" s="1027"/>
      <c r="B5113" s="1083">
        <f>Risk_Compensation!A$1</f>
        <v>36</v>
      </c>
      <c r="C5113" s="1390" t="str">
        <f>Risk_Compensation!$B$1</f>
        <v xml:space="preserve">Risikoausgleich </v>
      </c>
      <c r="D5113" s="1743" t="str">
        <f>Risk_Compensation!$AJ$14</f>
        <v>geschätzte Risikoausgleichssätze, pro Monat in CHF (ohne Entlastung junge Erwachsene)</v>
      </c>
      <c r="E5113" s="1390">
        <f>Risk_Compensation!$AJ72</f>
        <v>55</v>
      </c>
      <c r="F5113" s="1390" t="str">
        <f>Risk_Compensation!$H$17</f>
        <v>AG</v>
      </c>
      <c r="G5113" s="1390"/>
      <c r="H5113" s="1077">
        <f>Risk_Compensation!$AK72</f>
        <v>941.52874058612997</v>
      </c>
    </row>
    <row r="5114" spans="1:8" x14ac:dyDescent="0.2">
      <c r="A5114" s="1027"/>
      <c r="B5114" s="1083">
        <f>Risk_Compensation!A$1</f>
        <v>36</v>
      </c>
      <c r="C5114" s="1390" t="str">
        <f>Risk_Compensation!$B$1</f>
        <v xml:space="preserve">Risikoausgleich </v>
      </c>
      <c r="D5114" s="1743" t="str">
        <f>Risk_Compensation!$AJ$14</f>
        <v>geschätzte Risikoausgleichssätze, pro Monat in CHF (ohne Entlastung junge Erwachsene)</v>
      </c>
      <c r="E5114" s="1390">
        <f>Risk_Compensation!$AJ73</f>
        <v>56</v>
      </c>
      <c r="F5114" s="1390" t="str">
        <f>Risk_Compensation!$H$17</f>
        <v>AG</v>
      </c>
      <c r="G5114" s="1390"/>
      <c r="H5114" s="1077">
        <f>Risk_Compensation!$AK73</f>
        <v>140.43233192513799</v>
      </c>
    </row>
    <row r="5115" spans="1:8" x14ac:dyDescent="0.2">
      <c r="A5115" s="1027"/>
      <c r="B5115" s="1083">
        <f>Risk_Compensation!A$1</f>
        <v>36</v>
      </c>
      <c r="C5115" s="1390" t="str">
        <f>Risk_Compensation!$B$1</f>
        <v xml:space="preserve">Risikoausgleich </v>
      </c>
      <c r="D5115" s="1743" t="str">
        <f>Risk_Compensation!$AJ$14</f>
        <v>geschätzte Risikoausgleichssätze, pro Monat in CHF (ohne Entlastung junge Erwachsene)</v>
      </c>
      <c r="E5115" s="1390">
        <f>Risk_Compensation!$AJ74</f>
        <v>57</v>
      </c>
      <c r="F5115" s="1390" t="str">
        <f>Risk_Compensation!$H$17</f>
        <v>AG</v>
      </c>
      <c r="G5115" s="1390"/>
      <c r="H5115" s="1077">
        <f>Risk_Compensation!$AK74</f>
        <v>1197.3887312461</v>
      </c>
    </row>
    <row r="5116" spans="1:8" x14ac:dyDescent="0.2">
      <c r="A5116" s="1027"/>
      <c r="B5116" s="1083">
        <f>Risk_Compensation!A$1</f>
        <v>36</v>
      </c>
      <c r="C5116" s="1390" t="str">
        <f>Risk_Compensation!$B$1</f>
        <v xml:space="preserve">Risikoausgleich </v>
      </c>
      <c r="D5116" s="1743" t="str">
        <f>Risk_Compensation!$AJ$14</f>
        <v>geschätzte Risikoausgleichssätze, pro Monat in CHF (ohne Entlastung junge Erwachsene)</v>
      </c>
      <c r="E5116" s="1390">
        <f>Risk_Compensation!$AJ75</f>
        <v>58</v>
      </c>
      <c r="F5116" s="1390" t="str">
        <f>Risk_Compensation!$H$17</f>
        <v>AG</v>
      </c>
      <c r="G5116" s="1390"/>
      <c r="H5116" s="1077">
        <f>Risk_Compensation!$AK75</f>
        <v>258.81740791144699</v>
      </c>
    </row>
    <row r="5117" spans="1:8" x14ac:dyDescent="0.2">
      <c r="A5117" s="1027"/>
      <c r="B5117" s="1083">
        <f>Risk_Compensation!A$1</f>
        <v>36</v>
      </c>
      <c r="C5117" s="1390" t="str">
        <f>Risk_Compensation!$B$1</f>
        <v xml:space="preserve">Risikoausgleich </v>
      </c>
      <c r="D5117" s="1743" t="str">
        <f>Risk_Compensation!$AJ$14</f>
        <v>geschätzte Risikoausgleichssätze, pro Monat in CHF (ohne Entlastung junge Erwachsene)</v>
      </c>
      <c r="E5117" s="1390">
        <f>Risk_Compensation!$AJ76</f>
        <v>59</v>
      </c>
      <c r="F5117" s="1390" t="str">
        <f>Risk_Compensation!$H$17</f>
        <v>AG</v>
      </c>
      <c r="G5117" s="1390"/>
      <c r="H5117" s="1077">
        <f>Risk_Compensation!$AK76</f>
        <v>1466.56193819547</v>
      </c>
    </row>
    <row r="5118" spans="1:8" x14ac:dyDescent="0.2">
      <c r="A5118" s="1027"/>
      <c r="B5118" s="1083">
        <f>Risk_Compensation!A$1</f>
        <v>36</v>
      </c>
      <c r="C5118" s="1390" t="str">
        <f>Risk_Compensation!$B$1</f>
        <v xml:space="preserve">Risikoausgleich </v>
      </c>
      <c r="D5118" s="1743" t="str">
        <f>Risk_Compensation!$AJ$14</f>
        <v>geschätzte Risikoausgleichssätze, pro Monat in CHF (ohne Entlastung junge Erwachsene)</v>
      </c>
      <c r="E5118" s="1390">
        <f>Risk_Compensation!$AJ77</f>
        <v>60</v>
      </c>
      <c r="F5118" s="1390" t="str">
        <f>Risk_Compensation!$H$17</f>
        <v>AG</v>
      </c>
      <c r="G5118" s="1390"/>
      <c r="H5118" s="1077">
        <f>Risk_Compensation!$AK77</f>
        <v>410.66852848673102</v>
      </c>
    </row>
    <row r="5119" spans="1:8" x14ac:dyDescent="0.2">
      <c r="A5119" s="1027"/>
      <c r="B5119" s="2174"/>
      <c r="C5119" s="1390"/>
      <c r="D5119" s="2175"/>
      <c r="E5119" s="2176"/>
      <c r="F5119" s="1390"/>
      <c r="G5119" s="1390"/>
      <c r="H5119" s="1078"/>
    </row>
    <row r="5120" spans="1:8" x14ac:dyDescent="0.2">
      <c r="A5120" s="1027"/>
      <c r="B5120" s="1083">
        <f>Risk_Compensation!A$1</f>
        <v>36</v>
      </c>
      <c r="C5120" s="1390" t="str">
        <f>Risk_Compensation!$B$1</f>
        <v xml:space="preserve">Risikoausgleich </v>
      </c>
      <c r="D5120" s="1743" t="str">
        <f>Risk_Compensation!$AJ$14</f>
        <v>geschätzte Risikoausgleichssätze, pro Monat in CHF (ohne Entlastung junge Erwachsene)</v>
      </c>
      <c r="E5120" s="1390">
        <f>Risk_Compensation!$AJ18</f>
        <v>1</v>
      </c>
      <c r="F5120" s="1390" t="str">
        <f>Risk_Compensation!$I$17</f>
        <v>AI</v>
      </c>
      <c r="G5120" s="1390"/>
      <c r="H5120" s="1077">
        <f>Risk_Compensation!$AL18</f>
        <v>420.90246826249501</v>
      </c>
    </row>
    <row r="5121" spans="1:8" x14ac:dyDescent="0.2">
      <c r="A5121" s="1027"/>
      <c r="B5121" s="1083">
        <f>Risk_Compensation!A$1</f>
        <v>36</v>
      </c>
      <c r="C5121" s="1390" t="str">
        <f>Risk_Compensation!$B$1</f>
        <v xml:space="preserve">Risikoausgleich </v>
      </c>
      <c r="D5121" s="1743" t="str">
        <f>Risk_Compensation!$AJ$14</f>
        <v>geschätzte Risikoausgleichssätze, pro Monat in CHF (ohne Entlastung junge Erwachsene)</v>
      </c>
      <c r="E5121" s="1390">
        <f>Risk_Compensation!$AJ19</f>
        <v>2</v>
      </c>
      <c r="F5121" s="1390" t="str">
        <f>Risk_Compensation!$I$17</f>
        <v>AI</v>
      </c>
      <c r="G5121" s="1390"/>
      <c r="H5121" s="1077">
        <f>Risk_Compensation!$AL19</f>
        <v>-230.194469179919</v>
      </c>
    </row>
    <row r="5122" spans="1:8" x14ac:dyDescent="0.2">
      <c r="A5122" s="1027"/>
      <c r="B5122" s="1083">
        <f>Risk_Compensation!A$1</f>
        <v>36</v>
      </c>
      <c r="C5122" s="1390" t="str">
        <f>Risk_Compensation!$B$1</f>
        <v xml:space="preserve">Risikoausgleich </v>
      </c>
      <c r="D5122" s="1743" t="str">
        <f>Risk_Compensation!$AJ$14</f>
        <v>geschätzte Risikoausgleichssätze, pro Monat in CHF (ohne Entlastung junge Erwachsene)</v>
      </c>
      <c r="E5122" s="1390">
        <f>Risk_Compensation!$AJ20</f>
        <v>3</v>
      </c>
      <c r="F5122" s="1390" t="str">
        <f>Risk_Compensation!$I$17</f>
        <v>AI</v>
      </c>
      <c r="G5122" s="1390"/>
      <c r="H5122" s="1077">
        <f>Risk_Compensation!$AL20</f>
        <v>-37.7003797517077</v>
      </c>
    </row>
    <row r="5123" spans="1:8" x14ac:dyDescent="0.2">
      <c r="A5123" s="1027"/>
      <c r="B5123" s="1083">
        <f>Risk_Compensation!A$1</f>
        <v>36</v>
      </c>
      <c r="C5123" s="1390" t="str">
        <f>Risk_Compensation!$B$1</f>
        <v xml:space="preserve">Risikoausgleich </v>
      </c>
      <c r="D5123" s="1743" t="str">
        <f>Risk_Compensation!$AJ$14</f>
        <v>geschätzte Risikoausgleichssätze, pro Monat in CHF (ohne Entlastung junge Erwachsene)</v>
      </c>
      <c r="E5123" s="1390">
        <f>Risk_Compensation!$AJ21</f>
        <v>4</v>
      </c>
      <c r="F5123" s="1390" t="str">
        <f>Risk_Compensation!$I$17</f>
        <v>AI</v>
      </c>
      <c r="G5123" s="1390"/>
      <c r="H5123" s="1077">
        <f>Risk_Compensation!$AL21</f>
        <v>-235.45073776661499</v>
      </c>
    </row>
    <row r="5124" spans="1:8" x14ac:dyDescent="0.2">
      <c r="A5124" s="1027"/>
      <c r="B5124" s="1083">
        <f>Risk_Compensation!A$1</f>
        <v>36</v>
      </c>
      <c r="C5124" s="1390" t="str">
        <f>Risk_Compensation!$B$1</f>
        <v xml:space="preserve">Risikoausgleich </v>
      </c>
      <c r="D5124" s="1743" t="str">
        <f>Risk_Compensation!$AJ$14</f>
        <v>geschätzte Risikoausgleichssätze, pro Monat in CHF (ohne Entlastung junge Erwachsene)</v>
      </c>
      <c r="E5124" s="1390">
        <f>Risk_Compensation!$AJ22</f>
        <v>5</v>
      </c>
      <c r="F5124" s="1390" t="str">
        <f>Risk_Compensation!$I$17</f>
        <v>AI</v>
      </c>
      <c r="G5124" s="1390"/>
      <c r="H5124" s="1077">
        <f>Risk_Compensation!$AL22</f>
        <v>-93.733154237873293</v>
      </c>
    </row>
    <row r="5125" spans="1:8" x14ac:dyDescent="0.2">
      <c r="A5125" s="1027"/>
      <c r="B5125" s="1083">
        <f>Risk_Compensation!A$1</f>
        <v>36</v>
      </c>
      <c r="C5125" s="1390" t="str">
        <f>Risk_Compensation!$B$1</f>
        <v xml:space="preserve">Risikoausgleich </v>
      </c>
      <c r="D5125" s="1743" t="str">
        <f>Risk_Compensation!$AJ$14</f>
        <v>geschätzte Risikoausgleichssätze, pro Monat in CHF (ohne Entlastung junge Erwachsene)</v>
      </c>
      <c r="E5125" s="1390">
        <f>Risk_Compensation!$AJ23</f>
        <v>6</v>
      </c>
      <c r="F5125" s="1390" t="str">
        <f>Risk_Compensation!$I$17</f>
        <v>AI</v>
      </c>
      <c r="G5125" s="1390"/>
      <c r="H5125" s="1077">
        <f>Risk_Compensation!$AL23</f>
        <v>-246.66560644735301</v>
      </c>
    </row>
    <row r="5126" spans="1:8" x14ac:dyDescent="0.2">
      <c r="A5126" s="1027"/>
      <c r="B5126" s="1083">
        <f>Risk_Compensation!A$1</f>
        <v>36</v>
      </c>
      <c r="C5126" s="1390" t="str">
        <f>Risk_Compensation!$B$1</f>
        <v xml:space="preserve">Risikoausgleich </v>
      </c>
      <c r="D5126" s="1743" t="str">
        <f>Risk_Compensation!$AJ$14</f>
        <v>geschätzte Risikoausgleichssätze, pro Monat in CHF (ohne Entlastung junge Erwachsene)</v>
      </c>
      <c r="E5126" s="1390">
        <f>Risk_Compensation!$AJ24</f>
        <v>7</v>
      </c>
      <c r="F5126" s="1390" t="str">
        <f>Risk_Compensation!$I$17</f>
        <v>AI</v>
      </c>
      <c r="G5126" s="1390"/>
      <c r="H5126" s="1077">
        <f>Risk_Compensation!$AL24</f>
        <v>-41.6116090013535</v>
      </c>
    </row>
    <row r="5127" spans="1:8" x14ac:dyDescent="0.2">
      <c r="A5127" s="1027"/>
      <c r="B5127" s="1083">
        <f>Risk_Compensation!A$1</f>
        <v>36</v>
      </c>
      <c r="C5127" s="1390" t="str">
        <f>Risk_Compensation!$B$1</f>
        <v xml:space="preserve">Risikoausgleich </v>
      </c>
      <c r="D5127" s="1743" t="str">
        <f>Risk_Compensation!$AJ$14</f>
        <v>geschätzte Risikoausgleichssätze, pro Monat in CHF (ohne Entlastung junge Erwachsene)</v>
      </c>
      <c r="E5127" s="1390">
        <f>Risk_Compensation!$AJ25</f>
        <v>8</v>
      </c>
      <c r="F5127" s="1390" t="str">
        <f>Risk_Compensation!$I$17</f>
        <v>AI</v>
      </c>
      <c r="G5127" s="1390"/>
      <c r="H5127" s="1077">
        <f>Risk_Compensation!$AL25</f>
        <v>-230.43781237131</v>
      </c>
    </row>
    <row r="5128" spans="1:8" x14ac:dyDescent="0.2">
      <c r="A5128" s="1027"/>
      <c r="B5128" s="1083">
        <f>Risk_Compensation!A$1</f>
        <v>36</v>
      </c>
      <c r="C5128" s="1390" t="str">
        <f>Risk_Compensation!$B$1</f>
        <v xml:space="preserve">Risikoausgleich </v>
      </c>
      <c r="D5128" s="1743" t="str">
        <f>Risk_Compensation!$AJ$14</f>
        <v>geschätzte Risikoausgleichssätze, pro Monat in CHF (ohne Entlastung junge Erwachsene)</v>
      </c>
      <c r="E5128" s="1390">
        <f>Risk_Compensation!$AJ26</f>
        <v>9</v>
      </c>
      <c r="F5128" s="1390" t="str">
        <f>Risk_Compensation!$I$17</f>
        <v>AI</v>
      </c>
      <c r="G5128" s="1390"/>
      <c r="H5128" s="1077">
        <f>Risk_Compensation!$AL26</f>
        <v>538.21759148011597</v>
      </c>
    </row>
    <row r="5129" spans="1:8" x14ac:dyDescent="0.2">
      <c r="A5129" s="1027"/>
      <c r="B5129" s="1083">
        <f>Risk_Compensation!A$1</f>
        <v>36</v>
      </c>
      <c r="C5129" s="1390" t="str">
        <f>Risk_Compensation!$B$1</f>
        <v xml:space="preserve">Risikoausgleich </v>
      </c>
      <c r="D5129" s="1743" t="str">
        <f>Risk_Compensation!$AJ$14</f>
        <v>geschätzte Risikoausgleichssätze, pro Monat in CHF (ohne Entlastung junge Erwachsene)</v>
      </c>
      <c r="E5129" s="1390">
        <f>Risk_Compensation!$AJ27</f>
        <v>10</v>
      </c>
      <c r="F5129" s="1390" t="str">
        <f>Risk_Compensation!$I$17</f>
        <v>AI</v>
      </c>
      <c r="G5129" s="1390"/>
      <c r="H5129" s="1077">
        <f>Risk_Compensation!$AL27</f>
        <v>-234.95081876225299</v>
      </c>
    </row>
    <row r="5130" spans="1:8" x14ac:dyDescent="0.2">
      <c r="A5130" s="1027"/>
      <c r="B5130" s="1083">
        <f>Risk_Compensation!A$1</f>
        <v>36</v>
      </c>
      <c r="C5130" s="1390" t="str">
        <f>Risk_Compensation!$B$1</f>
        <v xml:space="preserve">Risikoausgleich </v>
      </c>
      <c r="D5130" s="1743" t="str">
        <f>Risk_Compensation!$AJ$14</f>
        <v>geschätzte Risikoausgleichssätze, pro Monat in CHF (ohne Entlastung junge Erwachsene)</v>
      </c>
      <c r="E5130" s="1390">
        <f>Risk_Compensation!$AJ28</f>
        <v>11</v>
      </c>
      <c r="F5130" s="1390" t="str">
        <f>Risk_Compensation!$I$17</f>
        <v>AI</v>
      </c>
      <c r="G5130" s="1390"/>
      <c r="H5130" s="1077">
        <f>Risk_Compensation!$AL28</f>
        <v>166.73991851536101</v>
      </c>
    </row>
    <row r="5131" spans="1:8" x14ac:dyDescent="0.2">
      <c r="A5131" s="1027"/>
      <c r="B5131" s="1083">
        <f>Risk_Compensation!A$1</f>
        <v>36</v>
      </c>
      <c r="C5131" s="1390" t="str">
        <f>Risk_Compensation!$B$1</f>
        <v xml:space="preserve">Risikoausgleich </v>
      </c>
      <c r="D5131" s="1743" t="str">
        <f>Risk_Compensation!$AJ$14</f>
        <v>geschätzte Risikoausgleichssätze, pro Monat in CHF (ohne Entlastung junge Erwachsene)</v>
      </c>
      <c r="E5131" s="1390">
        <f>Risk_Compensation!$AJ29</f>
        <v>12</v>
      </c>
      <c r="F5131" s="1390" t="str">
        <f>Risk_Compensation!$I$17</f>
        <v>AI</v>
      </c>
      <c r="G5131" s="1390"/>
      <c r="H5131" s="1077">
        <f>Risk_Compensation!$AL29</f>
        <v>-224.49651666391</v>
      </c>
    </row>
    <row r="5132" spans="1:8" x14ac:dyDescent="0.2">
      <c r="A5132" s="1027"/>
      <c r="B5132" s="1083">
        <f>Risk_Compensation!A$1</f>
        <v>36</v>
      </c>
      <c r="C5132" s="1390" t="str">
        <f>Risk_Compensation!$B$1</f>
        <v xml:space="preserve">Risikoausgleich </v>
      </c>
      <c r="D5132" s="1743" t="str">
        <f>Risk_Compensation!$AJ$14</f>
        <v>geschätzte Risikoausgleichssätze, pro Monat in CHF (ohne Entlastung junge Erwachsene)</v>
      </c>
      <c r="E5132" s="1390">
        <f>Risk_Compensation!$AJ30</f>
        <v>13</v>
      </c>
      <c r="F5132" s="1390" t="str">
        <f>Risk_Compensation!$I$17</f>
        <v>AI</v>
      </c>
      <c r="G5132" s="1390"/>
      <c r="H5132" s="1077">
        <f>Risk_Compensation!$AL30</f>
        <v>345.85898541621202</v>
      </c>
    </row>
    <row r="5133" spans="1:8" x14ac:dyDescent="0.2">
      <c r="A5133" s="1027"/>
      <c r="B5133" s="1083">
        <f>Risk_Compensation!A$1</f>
        <v>36</v>
      </c>
      <c r="C5133" s="1390" t="str">
        <f>Risk_Compensation!$B$1</f>
        <v xml:space="preserve">Risikoausgleich </v>
      </c>
      <c r="D5133" s="1743" t="str">
        <f>Risk_Compensation!$AJ$14</f>
        <v>geschätzte Risikoausgleichssätze, pro Monat in CHF (ohne Entlastung junge Erwachsene)</v>
      </c>
      <c r="E5133" s="1390">
        <f>Risk_Compensation!$AJ31</f>
        <v>14</v>
      </c>
      <c r="F5133" s="1390" t="str">
        <f>Risk_Compensation!$I$17</f>
        <v>AI</v>
      </c>
      <c r="G5133" s="1390"/>
      <c r="H5133" s="1077">
        <f>Risk_Compensation!$AL31</f>
        <v>-175.566209327704</v>
      </c>
    </row>
    <row r="5134" spans="1:8" x14ac:dyDescent="0.2">
      <c r="A5134" s="1027"/>
      <c r="B5134" s="1083">
        <f>Risk_Compensation!A$1</f>
        <v>36</v>
      </c>
      <c r="C5134" s="1390" t="str">
        <f>Risk_Compensation!$B$1</f>
        <v xml:space="preserve">Risikoausgleich </v>
      </c>
      <c r="D5134" s="1743" t="str">
        <f>Risk_Compensation!$AJ$14</f>
        <v>geschätzte Risikoausgleichssätze, pro Monat in CHF (ohne Entlastung junge Erwachsene)</v>
      </c>
      <c r="E5134" s="1390">
        <f>Risk_Compensation!$AJ32</f>
        <v>15</v>
      </c>
      <c r="F5134" s="1390" t="str">
        <f>Risk_Compensation!$I$17</f>
        <v>AI</v>
      </c>
      <c r="G5134" s="1390"/>
      <c r="H5134" s="1077">
        <f>Risk_Compensation!$AL32</f>
        <v>331.16396967680799</v>
      </c>
    </row>
    <row r="5135" spans="1:8" x14ac:dyDescent="0.2">
      <c r="A5135" s="1027"/>
      <c r="B5135" s="1083">
        <f>Risk_Compensation!A$1</f>
        <v>36</v>
      </c>
      <c r="C5135" s="1390" t="str">
        <f>Risk_Compensation!$B$1</f>
        <v xml:space="preserve">Risikoausgleich </v>
      </c>
      <c r="D5135" s="1743" t="str">
        <f>Risk_Compensation!$AJ$14</f>
        <v>geschätzte Risikoausgleichssätze, pro Monat in CHF (ohne Entlastung junge Erwachsene)</v>
      </c>
      <c r="E5135" s="1390">
        <f>Risk_Compensation!$AJ33</f>
        <v>16</v>
      </c>
      <c r="F5135" s="1390" t="str">
        <f>Risk_Compensation!$I$17</f>
        <v>AI</v>
      </c>
      <c r="G5135" s="1390"/>
      <c r="H5135" s="1077">
        <f>Risk_Compensation!$AL33</f>
        <v>-132.697051741857</v>
      </c>
    </row>
    <row r="5136" spans="1:8" x14ac:dyDescent="0.2">
      <c r="A5136" s="1027"/>
      <c r="B5136" s="1083">
        <f>Risk_Compensation!A$1</f>
        <v>36</v>
      </c>
      <c r="C5136" s="1390" t="str">
        <f>Risk_Compensation!$B$1</f>
        <v xml:space="preserve">Risikoausgleich </v>
      </c>
      <c r="D5136" s="1743" t="str">
        <f>Risk_Compensation!$AJ$14</f>
        <v>geschätzte Risikoausgleichssätze, pro Monat in CHF (ohne Entlastung junge Erwachsene)</v>
      </c>
      <c r="E5136" s="1390">
        <f>Risk_Compensation!$AJ34</f>
        <v>17</v>
      </c>
      <c r="F5136" s="1390" t="str">
        <f>Risk_Compensation!$I$17</f>
        <v>AI</v>
      </c>
      <c r="G5136" s="1390"/>
      <c r="H5136" s="1077">
        <f>Risk_Compensation!$AL34</f>
        <v>329.67492017279102</v>
      </c>
    </row>
    <row r="5137" spans="1:8" x14ac:dyDescent="0.2">
      <c r="A5137" s="1027"/>
      <c r="B5137" s="1083">
        <f>Risk_Compensation!A$1</f>
        <v>36</v>
      </c>
      <c r="C5137" s="1390" t="str">
        <f>Risk_Compensation!$B$1</f>
        <v xml:space="preserve">Risikoausgleich </v>
      </c>
      <c r="D5137" s="1743" t="str">
        <f>Risk_Compensation!$AJ$14</f>
        <v>geschätzte Risikoausgleichssätze, pro Monat in CHF (ohne Entlastung junge Erwachsene)</v>
      </c>
      <c r="E5137" s="1390">
        <f>Risk_Compensation!$AJ35</f>
        <v>18</v>
      </c>
      <c r="F5137" s="1390" t="str">
        <f>Risk_Compensation!$I$17</f>
        <v>AI</v>
      </c>
      <c r="G5137" s="1390"/>
      <c r="H5137" s="1077">
        <f>Risk_Compensation!$AL35</f>
        <v>-93.371950274107604</v>
      </c>
    </row>
    <row r="5138" spans="1:8" x14ac:dyDescent="0.2">
      <c r="A5138" s="1027"/>
      <c r="B5138" s="1083">
        <f>Risk_Compensation!A$1</f>
        <v>36</v>
      </c>
      <c r="C5138" s="1390" t="str">
        <f>Risk_Compensation!$B$1</f>
        <v xml:space="preserve">Risikoausgleich </v>
      </c>
      <c r="D5138" s="1743" t="str">
        <f>Risk_Compensation!$AJ$14</f>
        <v>geschätzte Risikoausgleichssätze, pro Monat in CHF (ohne Entlastung junge Erwachsene)</v>
      </c>
      <c r="E5138" s="1390">
        <f>Risk_Compensation!$AJ36</f>
        <v>19</v>
      </c>
      <c r="F5138" s="1390" t="str">
        <f>Risk_Compensation!$I$17</f>
        <v>AI</v>
      </c>
      <c r="G5138" s="1390"/>
      <c r="H5138" s="1077">
        <f>Risk_Compensation!$AL36</f>
        <v>753.31592961939998</v>
      </c>
    </row>
    <row r="5139" spans="1:8" x14ac:dyDescent="0.2">
      <c r="A5139" s="1027"/>
      <c r="B5139" s="1083">
        <f>Risk_Compensation!A$1</f>
        <v>36</v>
      </c>
      <c r="C5139" s="1390" t="str">
        <f>Risk_Compensation!$B$1</f>
        <v xml:space="preserve">Risikoausgleich </v>
      </c>
      <c r="D5139" s="1743" t="str">
        <f>Risk_Compensation!$AJ$14</f>
        <v>geschätzte Risikoausgleichssätze, pro Monat in CHF (ohne Entlastung junge Erwachsene)</v>
      </c>
      <c r="E5139" s="1390">
        <f>Risk_Compensation!$AJ37</f>
        <v>20</v>
      </c>
      <c r="F5139" s="1390" t="str">
        <f>Risk_Compensation!$I$17</f>
        <v>AI</v>
      </c>
      <c r="G5139" s="1390"/>
      <c r="H5139" s="1077">
        <f>Risk_Compensation!$AL37</f>
        <v>-71.5041517794523</v>
      </c>
    </row>
    <row r="5140" spans="1:8" x14ac:dyDescent="0.2">
      <c r="A5140" s="1027"/>
      <c r="B5140" s="1083">
        <f>Risk_Compensation!A$1</f>
        <v>36</v>
      </c>
      <c r="C5140" s="1390" t="str">
        <f>Risk_Compensation!$B$1</f>
        <v xml:space="preserve">Risikoausgleich </v>
      </c>
      <c r="D5140" s="1743" t="str">
        <f>Risk_Compensation!$AJ$14</f>
        <v>geschätzte Risikoausgleichssätze, pro Monat in CHF (ohne Entlastung junge Erwachsene)</v>
      </c>
      <c r="E5140" s="1390">
        <f>Risk_Compensation!$AJ38</f>
        <v>21</v>
      </c>
      <c r="F5140" s="1390" t="str">
        <f>Risk_Compensation!$I$17</f>
        <v>AI</v>
      </c>
      <c r="G5140" s="1390"/>
      <c r="H5140" s="1077">
        <f>Risk_Compensation!$AL38</f>
        <v>591.98764670769003</v>
      </c>
    </row>
    <row r="5141" spans="1:8" x14ac:dyDescent="0.2">
      <c r="A5141" s="1027"/>
      <c r="B5141" s="1083">
        <f>Risk_Compensation!A$1</f>
        <v>36</v>
      </c>
      <c r="C5141" s="1390" t="str">
        <f>Risk_Compensation!$B$1</f>
        <v xml:space="preserve">Risikoausgleich </v>
      </c>
      <c r="D5141" s="1743" t="str">
        <f>Risk_Compensation!$AJ$14</f>
        <v>geschätzte Risikoausgleichssätze, pro Monat in CHF (ohne Entlastung junge Erwachsene)</v>
      </c>
      <c r="E5141" s="1390">
        <f>Risk_Compensation!$AJ39</f>
        <v>22</v>
      </c>
      <c r="F5141" s="1390" t="str">
        <f>Risk_Compensation!$I$17</f>
        <v>AI</v>
      </c>
      <c r="G5141" s="1390"/>
      <c r="H5141" s="1077">
        <f>Risk_Compensation!$AL39</f>
        <v>40.3902453019967</v>
      </c>
    </row>
    <row r="5142" spans="1:8" x14ac:dyDescent="0.2">
      <c r="A5142" s="1027"/>
      <c r="B5142" s="1083">
        <f>Risk_Compensation!A$1</f>
        <v>36</v>
      </c>
      <c r="C5142" s="1390" t="str">
        <f>Risk_Compensation!$B$1</f>
        <v xml:space="preserve">Risikoausgleich </v>
      </c>
      <c r="D5142" s="1743" t="str">
        <f>Risk_Compensation!$AJ$14</f>
        <v>geschätzte Risikoausgleichssätze, pro Monat in CHF (ohne Entlastung junge Erwachsene)</v>
      </c>
      <c r="E5142" s="1390">
        <f>Risk_Compensation!$AJ40</f>
        <v>23</v>
      </c>
      <c r="F5142" s="1390" t="str">
        <f>Risk_Compensation!$I$17</f>
        <v>AI</v>
      </c>
      <c r="G5142" s="1390"/>
      <c r="H5142" s="1077">
        <f>Risk_Compensation!$AL40</f>
        <v>302.84198572623001</v>
      </c>
    </row>
    <row r="5143" spans="1:8" x14ac:dyDescent="0.2">
      <c r="A5143" s="1027"/>
      <c r="B5143" s="1083">
        <f>Risk_Compensation!A$1</f>
        <v>36</v>
      </c>
      <c r="C5143" s="1390" t="str">
        <f>Risk_Compensation!$B$1</f>
        <v xml:space="preserve">Risikoausgleich </v>
      </c>
      <c r="D5143" s="1743" t="str">
        <f>Risk_Compensation!$AJ$14</f>
        <v>geschätzte Risikoausgleichssätze, pro Monat in CHF (ohne Entlastung junge Erwachsene)</v>
      </c>
      <c r="E5143" s="1390">
        <f>Risk_Compensation!$AJ41</f>
        <v>24</v>
      </c>
      <c r="F5143" s="1390" t="str">
        <f>Risk_Compensation!$I$17</f>
        <v>AI</v>
      </c>
      <c r="G5143" s="1390"/>
      <c r="H5143" s="1077">
        <f>Risk_Compensation!$AL41</f>
        <v>-90.364042243472397</v>
      </c>
    </row>
    <row r="5144" spans="1:8" x14ac:dyDescent="0.2">
      <c r="A5144" s="1027"/>
      <c r="B5144" s="1083">
        <f>Risk_Compensation!A$1</f>
        <v>36</v>
      </c>
      <c r="C5144" s="1390" t="str">
        <f>Risk_Compensation!$B$1</f>
        <v xml:space="preserve">Risikoausgleich </v>
      </c>
      <c r="D5144" s="1743" t="str">
        <f>Risk_Compensation!$AJ$14</f>
        <v>geschätzte Risikoausgleichssätze, pro Monat in CHF (ohne Entlastung junge Erwachsene)</v>
      </c>
      <c r="E5144" s="1390">
        <f>Risk_Compensation!$AJ42</f>
        <v>25</v>
      </c>
      <c r="F5144" s="1390" t="str">
        <f>Risk_Compensation!$I$17</f>
        <v>AI</v>
      </c>
      <c r="G5144" s="1390"/>
      <c r="H5144" s="1077">
        <f>Risk_Compensation!$AL42</f>
        <v>1224.2229073445301</v>
      </c>
    </row>
    <row r="5145" spans="1:8" x14ac:dyDescent="0.2">
      <c r="A5145" s="1027"/>
      <c r="B5145" s="1083">
        <f>Risk_Compensation!A$1</f>
        <v>36</v>
      </c>
      <c r="C5145" s="1390" t="str">
        <f>Risk_Compensation!$B$1</f>
        <v xml:space="preserve">Risikoausgleich </v>
      </c>
      <c r="D5145" s="1743" t="str">
        <f>Risk_Compensation!$AJ$14</f>
        <v>geschätzte Risikoausgleichssätze, pro Monat in CHF (ohne Entlastung junge Erwachsene)</v>
      </c>
      <c r="E5145" s="1390">
        <f>Risk_Compensation!$AJ43</f>
        <v>26</v>
      </c>
      <c r="F5145" s="1390" t="str">
        <f>Risk_Compensation!$I$17</f>
        <v>AI</v>
      </c>
      <c r="G5145" s="1390"/>
      <c r="H5145" s="1077">
        <f>Risk_Compensation!$AL43</f>
        <v>76.466711022733506</v>
      </c>
    </row>
    <row r="5146" spans="1:8" x14ac:dyDescent="0.2">
      <c r="A5146" s="1027"/>
      <c r="B5146" s="1083">
        <f>Risk_Compensation!A$1</f>
        <v>36</v>
      </c>
      <c r="C5146" s="1390" t="str">
        <f>Risk_Compensation!$B$1</f>
        <v xml:space="preserve">Risikoausgleich </v>
      </c>
      <c r="D5146" s="1743" t="str">
        <f>Risk_Compensation!$AJ$14</f>
        <v>geschätzte Risikoausgleichssätze, pro Monat in CHF (ohne Entlastung junge Erwachsene)</v>
      </c>
      <c r="E5146" s="1390">
        <f>Risk_Compensation!$AJ44</f>
        <v>27</v>
      </c>
      <c r="F5146" s="1390" t="str">
        <f>Risk_Compensation!$I$17</f>
        <v>AI</v>
      </c>
      <c r="G5146" s="1390"/>
      <c r="H5146" s="1077">
        <f>Risk_Compensation!$AL44</f>
        <v>988.01631578844297</v>
      </c>
    </row>
    <row r="5147" spans="1:8" x14ac:dyDescent="0.2">
      <c r="A5147" s="1027"/>
      <c r="B5147" s="1083">
        <f>Risk_Compensation!A$1</f>
        <v>36</v>
      </c>
      <c r="C5147" s="1390" t="str">
        <f>Risk_Compensation!$B$1</f>
        <v xml:space="preserve">Risikoausgleich </v>
      </c>
      <c r="D5147" s="1743" t="str">
        <f>Risk_Compensation!$AJ$14</f>
        <v>geschätzte Risikoausgleichssätze, pro Monat in CHF (ohne Entlastung junge Erwachsene)</v>
      </c>
      <c r="E5147" s="1390">
        <f>Risk_Compensation!$AJ45</f>
        <v>28</v>
      </c>
      <c r="F5147" s="1390" t="str">
        <f>Risk_Compensation!$I$17</f>
        <v>AI</v>
      </c>
      <c r="G5147" s="1390"/>
      <c r="H5147" s="1077">
        <f>Risk_Compensation!$AL45</f>
        <v>127.11769697131901</v>
      </c>
    </row>
    <row r="5148" spans="1:8" x14ac:dyDescent="0.2">
      <c r="A5148" s="1027"/>
      <c r="B5148" s="1083">
        <f>Risk_Compensation!A$1</f>
        <v>36</v>
      </c>
      <c r="C5148" s="1390" t="str">
        <f>Risk_Compensation!$B$1</f>
        <v xml:space="preserve">Risikoausgleich </v>
      </c>
      <c r="D5148" s="1743" t="str">
        <f>Risk_Compensation!$AJ$14</f>
        <v>geschätzte Risikoausgleichssätze, pro Monat in CHF (ohne Entlastung junge Erwachsene)</v>
      </c>
      <c r="E5148" s="1390">
        <f>Risk_Compensation!$AJ46</f>
        <v>29</v>
      </c>
      <c r="F5148" s="1390" t="str">
        <f>Risk_Compensation!$I$17</f>
        <v>AI</v>
      </c>
      <c r="G5148" s="1390"/>
      <c r="H5148" s="1077">
        <f>Risk_Compensation!$AL46</f>
        <v>901.200466453525</v>
      </c>
    </row>
    <row r="5149" spans="1:8" x14ac:dyDescent="0.2">
      <c r="A5149" s="1027"/>
      <c r="B5149" s="1083">
        <f>Risk_Compensation!A$1</f>
        <v>36</v>
      </c>
      <c r="C5149" s="1390" t="str">
        <f>Risk_Compensation!$B$1</f>
        <v xml:space="preserve">Risikoausgleich </v>
      </c>
      <c r="D5149" s="1743" t="str">
        <f>Risk_Compensation!$AJ$14</f>
        <v>geschätzte Risikoausgleichssätze, pro Monat in CHF (ohne Entlastung junge Erwachsene)</v>
      </c>
      <c r="E5149" s="1390">
        <f>Risk_Compensation!$AJ47</f>
        <v>30</v>
      </c>
      <c r="F5149" s="1390" t="str">
        <f>Risk_Compensation!$I$17</f>
        <v>AI</v>
      </c>
      <c r="G5149" s="1390"/>
      <c r="H5149" s="1077">
        <f>Risk_Compensation!$AL47</f>
        <v>326.78875389369603</v>
      </c>
    </row>
    <row r="5150" spans="1:8" x14ac:dyDescent="0.2">
      <c r="A5150" s="1027"/>
      <c r="B5150" s="1083">
        <f>Risk_Compensation!A$1</f>
        <v>36</v>
      </c>
      <c r="C5150" s="1390" t="str">
        <f>Risk_Compensation!$B$1</f>
        <v xml:space="preserve">Risikoausgleich </v>
      </c>
      <c r="D5150" s="1743" t="str">
        <f>Risk_Compensation!$AJ$14</f>
        <v>geschätzte Risikoausgleichssätze, pro Monat in CHF (ohne Entlastung junge Erwachsene)</v>
      </c>
      <c r="E5150" s="1390">
        <f>Risk_Compensation!$AJ48</f>
        <v>31</v>
      </c>
      <c r="F5150" s="1390" t="str">
        <f>Risk_Compensation!$I$17</f>
        <v>AI</v>
      </c>
      <c r="G5150" s="1390"/>
      <c r="H5150" s="1077">
        <f>Risk_Compensation!$AL48</f>
        <v>554.610091827313</v>
      </c>
    </row>
    <row r="5151" spans="1:8" x14ac:dyDescent="0.2">
      <c r="A5151" s="1027"/>
      <c r="B5151" s="1083">
        <f>Risk_Compensation!A$1</f>
        <v>36</v>
      </c>
      <c r="C5151" s="1390" t="str">
        <f>Risk_Compensation!$B$1</f>
        <v xml:space="preserve">Risikoausgleich </v>
      </c>
      <c r="D5151" s="1743" t="str">
        <f>Risk_Compensation!$AJ$14</f>
        <v>geschätzte Risikoausgleichssätze, pro Monat in CHF (ohne Entlastung junge Erwachsene)</v>
      </c>
      <c r="E5151" s="1390">
        <f>Risk_Compensation!$AJ49</f>
        <v>32</v>
      </c>
      <c r="F5151" s="1390" t="str">
        <f>Risk_Compensation!$I$17</f>
        <v>AI</v>
      </c>
      <c r="G5151" s="1390"/>
      <c r="H5151" s="1077">
        <f>Risk_Compensation!$AL49</f>
        <v>-201.21251662914801</v>
      </c>
    </row>
    <row r="5152" spans="1:8" x14ac:dyDescent="0.2">
      <c r="A5152" s="1027"/>
      <c r="B5152" s="1083">
        <f>Risk_Compensation!A$1</f>
        <v>36</v>
      </c>
      <c r="C5152" s="1390" t="str">
        <f>Risk_Compensation!$B$1</f>
        <v xml:space="preserve">Risikoausgleich </v>
      </c>
      <c r="D5152" s="1743" t="str">
        <f>Risk_Compensation!$AJ$14</f>
        <v>geschätzte Risikoausgleichssätze, pro Monat in CHF (ohne Entlastung junge Erwachsene)</v>
      </c>
      <c r="E5152" s="1390">
        <f>Risk_Compensation!$AJ50</f>
        <v>33</v>
      </c>
      <c r="F5152" s="1390" t="str">
        <f>Risk_Compensation!$I$17</f>
        <v>AI</v>
      </c>
      <c r="G5152" s="1390"/>
      <c r="H5152" s="1077">
        <f>Risk_Compensation!$AL50</f>
        <v>572.50384033467901</v>
      </c>
    </row>
    <row r="5153" spans="1:8" x14ac:dyDescent="0.2">
      <c r="A5153" s="1027"/>
      <c r="B5153" s="1083">
        <f>Risk_Compensation!A$1</f>
        <v>36</v>
      </c>
      <c r="C5153" s="1390" t="str">
        <f>Risk_Compensation!$B$1</f>
        <v xml:space="preserve">Risikoausgleich </v>
      </c>
      <c r="D5153" s="1743" t="str">
        <f>Risk_Compensation!$AJ$14</f>
        <v>geschätzte Risikoausgleichssätze, pro Monat in CHF (ohne Entlastung junge Erwachsene)</v>
      </c>
      <c r="E5153" s="1390">
        <f>Risk_Compensation!$AJ51</f>
        <v>34</v>
      </c>
      <c r="F5153" s="1390" t="str">
        <f>Risk_Compensation!$I$17</f>
        <v>AI</v>
      </c>
      <c r="G5153" s="1390"/>
      <c r="H5153" s="1077">
        <f>Risk_Compensation!$AL51</f>
        <v>-116.746985103344</v>
      </c>
    </row>
    <row r="5154" spans="1:8" x14ac:dyDescent="0.2">
      <c r="A5154" s="1027"/>
      <c r="B5154" s="1083">
        <f>Risk_Compensation!A$1</f>
        <v>36</v>
      </c>
      <c r="C5154" s="1390" t="str">
        <f>Risk_Compensation!$B$1</f>
        <v xml:space="preserve">Risikoausgleich </v>
      </c>
      <c r="D5154" s="1743" t="str">
        <f>Risk_Compensation!$AJ$14</f>
        <v>geschätzte Risikoausgleichssätze, pro Monat in CHF (ohne Entlastung junge Erwachsene)</v>
      </c>
      <c r="E5154" s="1390">
        <f>Risk_Compensation!$AJ52</f>
        <v>35</v>
      </c>
      <c r="F5154" s="1390" t="str">
        <f>Risk_Compensation!$I$17</f>
        <v>AI</v>
      </c>
      <c r="G5154" s="1390"/>
      <c r="H5154" s="1077">
        <f>Risk_Compensation!$AL52</f>
        <v>609.34802083485101</v>
      </c>
    </row>
    <row r="5155" spans="1:8" x14ac:dyDescent="0.2">
      <c r="A5155" s="1027"/>
      <c r="B5155" s="1083">
        <f>Risk_Compensation!A$1</f>
        <v>36</v>
      </c>
      <c r="C5155" s="1390" t="str">
        <f>Risk_Compensation!$B$1</f>
        <v xml:space="preserve">Risikoausgleich </v>
      </c>
      <c r="D5155" s="1743" t="str">
        <f>Risk_Compensation!$AJ$14</f>
        <v>geschätzte Risikoausgleichssätze, pro Monat in CHF (ohne Entlastung junge Erwachsene)</v>
      </c>
      <c r="E5155" s="1390">
        <f>Risk_Compensation!$AJ53</f>
        <v>36</v>
      </c>
      <c r="F5155" s="1390" t="str">
        <f>Risk_Compensation!$I$17</f>
        <v>AI</v>
      </c>
      <c r="G5155" s="1390"/>
      <c r="H5155" s="1077">
        <f>Risk_Compensation!$AL53</f>
        <v>-109.991749086786</v>
      </c>
    </row>
    <row r="5156" spans="1:8" x14ac:dyDescent="0.2">
      <c r="A5156" s="1027"/>
      <c r="B5156" s="1083">
        <f>Risk_Compensation!A$1</f>
        <v>36</v>
      </c>
      <c r="C5156" s="1390" t="str">
        <f>Risk_Compensation!$B$1</f>
        <v xml:space="preserve">Risikoausgleich </v>
      </c>
      <c r="D5156" s="1743" t="str">
        <f>Risk_Compensation!$AJ$14</f>
        <v>geschätzte Risikoausgleichssätze, pro Monat in CHF (ohne Entlastung junge Erwachsene)</v>
      </c>
      <c r="E5156" s="1390">
        <f>Risk_Compensation!$AJ54</f>
        <v>37</v>
      </c>
      <c r="F5156" s="1390" t="str">
        <f>Risk_Compensation!$I$17</f>
        <v>AI</v>
      </c>
      <c r="G5156" s="1390"/>
      <c r="H5156" s="1077">
        <f>Risk_Compensation!$AL54</f>
        <v>856.52530635575795</v>
      </c>
    </row>
    <row r="5157" spans="1:8" x14ac:dyDescent="0.2">
      <c r="A5157" s="1027"/>
      <c r="B5157" s="1083">
        <f>Risk_Compensation!A$1</f>
        <v>36</v>
      </c>
      <c r="C5157" s="1390" t="str">
        <f>Risk_Compensation!$B$1</f>
        <v xml:space="preserve">Risikoausgleich </v>
      </c>
      <c r="D5157" s="1743" t="str">
        <f>Risk_Compensation!$AJ$14</f>
        <v>geschätzte Risikoausgleichssätze, pro Monat in CHF (ohne Entlastung junge Erwachsene)</v>
      </c>
      <c r="E5157" s="1390">
        <f>Risk_Compensation!$AJ55</f>
        <v>38</v>
      </c>
      <c r="F5157" s="1390" t="str">
        <f>Risk_Compensation!$I$17</f>
        <v>AI</v>
      </c>
      <c r="G5157" s="1390"/>
      <c r="H5157" s="1077">
        <f>Risk_Compensation!$AL55</f>
        <v>-169.54215079238301</v>
      </c>
    </row>
    <row r="5158" spans="1:8" x14ac:dyDescent="0.2">
      <c r="A5158" s="1027"/>
      <c r="B5158" s="1083">
        <f>Risk_Compensation!A$1</f>
        <v>36</v>
      </c>
      <c r="C5158" s="1390" t="str">
        <f>Risk_Compensation!$B$1</f>
        <v xml:space="preserve">Risikoausgleich </v>
      </c>
      <c r="D5158" s="1743" t="str">
        <f>Risk_Compensation!$AJ$14</f>
        <v>geschätzte Risikoausgleichssätze, pro Monat in CHF (ohne Entlastung junge Erwachsene)</v>
      </c>
      <c r="E5158" s="1390">
        <f>Risk_Compensation!$AJ56</f>
        <v>39</v>
      </c>
      <c r="F5158" s="1390" t="str">
        <f>Risk_Compensation!$I$17</f>
        <v>AI</v>
      </c>
      <c r="G5158" s="1390"/>
      <c r="H5158" s="1077">
        <f>Risk_Compensation!$AL56</f>
        <v>-3.1990360233034498</v>
      </c>
    </row>
    <row r="5159" spans="1:8" x14ac:dyDescent="0.2">
      <c r="A5159" s="1027"/>
      <c r="B5159" s="1083">
        <f>Risk_Compensation!A$1</f>
        <v>36</v>
      </c>
      <c r="C5159" s="1390" t="str">
        <f>Risk_Compensation!$B$1</f>
        <v xml:space="preserve">Risikoausgleich </v>
      </c>
      <c r="D5159" s="1743" t="str">
        <f>Risk_Compensation!$AJ$14</f>
        <v>geschätzte Risikoausgleichssätze, pro Monat in CHF (ohne Entlastung junge Erwachsene)</v>
      </c>
      <c r="E5159" s="1390">
        <f>Risk_Compensation!$AJ57</f>
        <v>40</v>
      </c>
      <c r="F5159" s="1390" t="str">
        <f>Risk_Compensation!$I$17</f>
        <v>AI</v>
      </c>
      <c r="G5159" s="1390"/>
      <c r="H5159" s="1077">
        <f>Risk_Compensation!$AL57</f>
        <v>-214.03427782963399</v>
      </c>
    </row>
    <row r="5160" spans="1:8" x14ac:dyDescent="0.2">
      <c r="A5160" s="1027"/>
      <c r="B5160" s="1083">
        <f>Risk_Compensation!A$1</f>
        <v>36</v>
      </c>
      <c r="C5160" s="1390" t="str">
        <f>Risk_Compensation!$B$1</f>
        <v xml:space="preserve">Risikoausgleich </v>
      </c>
      <c r="D5160" s="1743" t="str">
        <f>Risk_Compensation!$AJ$14</f>
        <v>geschätzte Risikoausgleichssätze, pro Monat in CHF (ohne Entlastung junge Erwachsene)</v>
      </c>
      <c r="E5160" s="1390">
        <f>Risk_Compensation!$AJ58</f>
        <v>41</v>
      </c>
      <c r="F5160" s="1390" t="str">
        <f>Risk_Compensation!$I$17</f>
        <v>AI</v>
      </c>
      <c r="G5160" s="1390"/>
      <c r="H5160" s="1077">
        <f>Risk_Compensation!$AL58</f>
        <v>297.49579379347801</v>
      </c>
    </row>
    <row r="5161" spans="1:8" x14ac:dyDescent="0.2">
      <c r="A5161" s="1027"/>
      <c r="B5161" s="1083">
        <f>Risk_Compensation!A$1</f>
        <v>36</v>
      </c>
      <c r="C5161" s="1390" t="str">
        <f>Risk_Compensation!$B$1</f>
        <v xml:space="preserve">Risikoausgleich </v>
      </c>
      <c r="D5161" s="1743" t="str">
        <f>Risk_Compensation!$AJ$14</f>
        <v>geschätzte Risikoausgleichssätze, pro Monat in CHF (ohne Entlastung junge Erwachsene)</v>
      </c>
      <c r="E5161" s="1390">
        <f>Risk_Compensation!$AJ59</f>
        <v>42</v>
      </c>
      <c r="F5161" s="1390" t="str">
        <f>Risk_Compensation!$I$17</f>
        <v>AI</v>
      </c>
      <c r="G5161" s="1390"/>
      <c r="H5161" s="1077">
        <f>Risk_Compensation!$AL59</f>
        <v>-177.46485206001799</v>
      </c>
    </row>
    <row r="5162" spans="1:8" x14ac:dyDescent="0.2">
      <c r="A5162" s="1027"/>
      <c r="B5162" s="1083">
        <f>Risk_Compensation!A$1</f>
        <v>36</v>
      </c>
      <c r="C5162" s="1390" t="str">
        <f>Risk_Compensation!$B$1</f>
        <v xml:space="preserve">Risikoausgleich </v>
      </c>
      <c r="D5162" s="1743" t="str">
        <f>Risk_Compensation!$AJ$14</f>
        <v>geschätzte Risikoausgleichssätze, pro Monat in CHF (ohne Entlastung junge Erwachsene)</v>
      </c>
      <c r="E5162" s="1390">
        <f>Risk_Compensation!$AJ60</f>
        <v>43</v>
      </c>
      <c r="F5162" s="1390" t="str">
        <f>Risk_Compensation!$I$17</f>
        <v>AI</v>
      </c>
      <c r="G5162" s="1390"/>
      <c r="H5162" s="1077">
        <f>Risk_Compensation!$AL60</f>
        <v>507.66333599645702</v>
      </c>
    </row>
    <row r="5163" spans="1:8" x14ac:dyDescent="0.2">
      <c r="A5163" s="1027"/>
      <c r="B5163" s="1083">
        <f>Risk_Compensation!A$1</f>
        <v>36</v>
      </c>
      <c r="C5163" s="1390" t="str">
        <f>Risk_Compensation!$B$1</f>
        <v xml:space="preserve">Risikoausgleich </v>
      </c>
      <c r="D5163" s="1743" t="str">
        <f>Risk_Compensation!$AJ$14</f>
        <v>geschätzte Risikoausgleichssätze, pro Monat in CHF (ohne Entlastung junge Erwachsene)</v>
      </c>
      <c r="E5163" s="1390">
        <f>Risk_Compensation!$AJ61</f>
        <v>44</v>
      </c>
      <c r="F5163" s="1390" t="str">
        <f>Risk_Compensation!$I$17</f>
        <v>AI</v>
      </c>
      <c r="G5163" s="1390"/>
      <c r="H5163" s="1077">
        <f>Risk_Compensation!$AL61</f>
        <v>-161.05179903579199</v>
      </c>
    </row>
    <row r="5164" spans="1:8" x14ac:dyDescent="0.2">
      <c r="A5164" s="1027"/>
      <c r="B5164" s="1083">
        <f>Risk_Compensation!A$1</f>
        <v>36</v>
      </c>
      <c r="C5164" s="1390" t="str">
        <f>Risk_Compensation!$B$1</f>
        <v xml:space="preserve">Risikoausgleich </v>
      </c>
      <c r="D5164" s="1743" t="str">
        <f>Risk_Compensation!$AJ$14</f>
        <v>geschätzte Risikoausgleichssätze, pro Monat in CHF (ohne Entlastung junge Erwachsene)</v>
      </c>
      <c r="E5164" s="1390">
        <f>Risk_Compensation!$AJ62</f>
        <v>45</v>
      </c>
      <c r="F5164" s="1390" t="str">
        <f>Risk_Compensation!$I$17</f>
        <v>AI</v>
      </c>
      <c r="G5164" s="1390"/>
      <c r="H5164" s="1077">
        <f>Risk_Compensation!$AL62</f>
        <v>125.159637823438</v>
      </c>
    </row>
    <row r="5165" spans="1:8" x14ac:dyDescent="0.2">
      <c r="A5165" s="1027"/>
      <c r="B5165" s="1083">
        <f>Risk_Compensation!A$1</f>
        <v>36</v>
      </c>
      <c r="C5165" s="1390" t="str">
        <f>Risk_Compensation!$B$1</f>
        <v xml:space="preserve">Risikoausgleich </v>
      </c>
      <c r="D5165" s="1743" t="str">
        <f>Risk_Compensation!$AJ$14</f>
        <v>geschätzte Risikoausgleichssätze, pro Monat in CHF (ohne Entlastung junge Erwachsene)</v>
      </c>
      <c r="E5165" s="1390">
        <f>Risk_Compensation!$AJ63</f>
        <v>46</v>
      </c>
      <c r="F5165" s="1390" t="str">
        <f>Risk_Compensation!$I$17</f>
        <v>AI</v>
      </c>
      <c r="G5165" s="1390"/>
      <c r="H5165" s="1077">
        <f>Risk_Compensation!$AL63</f>
        <v>-179.256354608344</v>
      </c>
    </row>
    <row r="5166" spans="1:8" x14ac:dyDescent="0.2">
      <c r="A5166" s="1027"/>
      <c r="B5166" s="1083">
        <f>Risk_Compensation!A$1</f>
        <v>36</v>
      </c>
      <c r="C5166" s="1390" t="str">
        <f>Risk_Compensation!$B$1</f>
        <v xml:space="preserve">Risikoausgleich </v>
      </c>
      <c r="D5166" s="1743" t="str">
        <f>Risk_Compensation!$AJ$14</f>
        <v>geschätzte Risikoausgleichssätze, pro Monat in CHF (ohne Entlastung junge Erwachsene)</v>
      </c>
      <c r="E5166" s="1390">
        <f>Risk_Compensation!$AJ64</f>
        <v>47</v>
      </c>
      <c r="F5166" s="1390" t="str">
        <f>Risk_Compensation!$I$17</f>
        <v>AI</v>
      </c>
      <c r="G5166" s="1390"/>
      <c r="H5166" s="1077">
        <f>Risk_Compensation!$AL64</f>
        <v>-57.560034936750803</v>
      </c>
    </row>
    <row r="5167" spans="1:8" x14ac:dyDescent="0.2">
      <c r="A5167" s="1027"/>
      <c r="B5167" s="1083">
        <f>Risk_Compensation!A$1</f>
        <v>36</v>
      </c>
      <c r="C5167" s="1390" t="str">
        <f>Risk_Compensation!$B$1</f>
        <v xml:space="preserve">Risikoausgleich </v>
      </c>
      <c r="D5167" s="1743" t="str">
        <f>Risk_Compensation!$AJ$14</f>
        <v>geschätzte Risikoausgleichssätze, pro Monat in CHF (ohne Entlastung junge Erwachsene)</v>
      </c>
      <c r="E5167" s="1390">
        <f>Risk_Compensation!$AJ65</f>
        <v>48</v>
      </c>
      <c r="F5167" s="1390" t="str">
        <f>Risk_Compensation!$I$17</f>
        <v>AI</v>
      </c>
      <c r="G5167" s="1390"/>
      <c r="H5167" s="1077">
        <f>Risk_Compensation!$AL65</f>
        <v>-134.13700702052799</v>
      </c>
    </row>
    <row r="5168" spans="1:8" x14ac:dyDescent="0.2">
      <c r="A5168" s="1027"/>
      <c r="B5168" s="1083">
        <f>Risk_Compensation!A$1</f>
        <v>36</v>
      </c>
      <c r="C5168" s="1390" t="str">
        <f>Risk_Compensation!$B$1</f>
        <v xml:space="preserve">Risikoausgleich </v>
      </c>
      <c r="D5168" s="1743" t="str">
        <f>Risk_Compensation!$AJ$14</f>
        <v>geschätzte Risikoausgleichssätze, pro Monat in CHF (ohne Entlastung junge Erwachsene)</v>
      </c>
      <c r="E5168" s="1390">
        <f>Risk_Compensation!$AJ66</f>
        <v>49</v>
      </c>
      <c r="F5168" s="1390" t="str">
        <f>Risk_Compensation!$I$17</f>
        <v>AI</v>
      </c>
      <c r="G5168" s="1390"/>
      <c r="H5168" s="1077">
        <f>Risk_Compensation!$AL66</f>
        <v>444.03252185429398</v>
      </c>
    </row>
    <row r="5169" spans="1:8" x14ac:dyDescent="0.2">
      <c r="A5169" s="1027"/>
      <c r="B5169" s="1083">
        <f>Risk_Compensation!A$1</f>
        <v>36</v>
      </c>
      <c r="C5169" s="1390" t="str">
        <f>Risk_Compensation!$B$1</f>
        <v xml:space="preserve">Risikoausgleich </v>
      </c>
      <c r="D5169" s="1743" t="str">
        <f>Risk_Compensation!$AJ$14</f>
        <v>geschätzte Risikoausgleichssätze, pro Monat in CHF (ohne Entlastung junge Erwachsene)</v>
      </c>
      <c r="E5169" s="1390">
        <f>Risk_Compensation!$AJ67</f>
        <v>50</v>
      </c>
      <c r="F5169" s="1390" t="str">
        <f>Risk_Compensation!$I$17</f>
        <v>AI</v>
      </c>
      <c r="G5169" s="1390"/>
      <c r="H5169" s="1077">
        <f>Risk_Compensation!$AL67</f>
        <v>-131.576046832565</v>
      </c>
    </row>
    <row r="5170" spans="1:8" x14ac:dyDescent="0.2">
      <c r="A5170" s="1027"/>
      <c r="B5170" s="1083">
        <f>Risk_Compensation!A$1</f>
        <v>36</v>
      </c>
      <c r="C5170" s="1390" t="str">
        <f>Risk_Compensation!$B$1</f>
        <v xml:space="preserve">Risikoausgleich </v>
      </c>
      <c r="D5170" s="1743" t="str">
        <f>Risk_Compensation!$AJ$14</f>
        <v>geschätzte Risikoausgleichssätze, pro Monat in CHF (ohne Entlastung junge Erwachsene)</v>
      </c>
      <c r="E5170" s="1390">
        <f>Risk_Compensation!$AJ68</f>
        <v>51</v>
      </c>
      <c r="F5170" s="1390" t="str">
        <f>Risk_Compensation!$I$17</f>
        <v>AI</v>
      </c>
      <c r="G5170" s="1390"/>
      <c r="H5170" s="1077">
        <f>Risk_Compensation!$AL68</f>
        <v>289.161184050244</v>
      </c>
    </row>
    <row r="5171" spans="1:8" x14ac:dyDescent="0.2">
      <c r="A5171" s="1027"/>
      <c r="B5171" s="1083">
        <f>Risk_Compensation!A$1</f>
        <v>36</v>
      </c>
      <c r="C5171" s="1390" t="str">
        <f>Risk_Compensation!$B$1</f>
        <v xml:space="preserve">Risikoausgleich </v>
      </c>
      <c r="D5171" s="1743" t="str">
        <f>Risk_Compensation!$AJ$14</f>
        <v>geschätzte Risikoausgleichssätze, pro Monat in CHF (ohne Entlastung junge Erwachsene)</v>
      </c>
      <c r="E5171" s="1390">
        <f>Risk_Compensation!$AJ69</f>
        <v>52</v>
      </c>
      <c r="F5171" s="1390" t="str">
        <f>Risk_Compensation!$I$17</f>
        <v>AI</v>
      </c>
      <c r="G5171" s="1390"/>
      <c r="H5171" s="1077">
        <f>Risk_Compensation!$AL69</f>
        <v>-51.794149639477702</v>
      </c>
    </row>
    <row r="5172" spans="1:8" x14ac:dyDescent="0.2">
      <c r="A5172" s="1027"/>
      <c r="B5172" s="1083">
        <f>Risk_Compensation!A$1</f>
        <v>36</v>
      </c>
      <c r="C5172" s="1390" t="str">
        <f>Risk_Compensation!$B$1</f>
        <v xml:space="preserve">Risikoausgleich </v>
      </c>
      <c r="D5172" s="1743" t="str">
        <f>Risk_Compensation!$AJ$14</f>
        <v>geschätzte Risikoausgleichssätze, pro Monat in CHF (ohne Entlastung junge Erwachsene)</v>
      </c>
      <c r="E5172" s="1390">
        <f>Risk_Compensation!$AJ70</f>
        <v>53</v>
      </c>
      <c r="F5172" s="1390" t="str">
        <f>Risk_Compensation!$I$17</f>
        <v>AI</v>
      </c>
      <c r="G5172" s="1390"/>
      <c r="H5172" s="1077">
        <f>Risk_Compensation!$AL70</f>
        <v>453.778003136167</v>
      </c>
    </row>
    <row r="5173" spans="1:8" x14ac:dyDescent="0.2">
      <c r="A5173" s="1027"/>
      <c r="B5173" s="1083">
        <f>Risk_Compensation!A$1</f>
        <v>36</v>
      </c>
      <c r="C5173" s="1390" t="str">
        <f>Risk_Compensation!$B$1</f>
        <v xml:space="preserve">Risikoausgleich </v>
      </c>
      <c r="D5173" s="1743" t="str">
        <f>Risk_Compensation!$AJ$14</f>
        <v>geschätzte Risikoausgleichssätze, pro Monat in CHF (ohne Entlastung junge Erwachsene)</v>
      </c>
      <c r="E5173" s="1390">
        <f>Risk_Compensation!$AJ71</f>
        <v>54</v>
      </c>
      <c r="F5173" s="1390" t="str">
        <f>Risk_Compensation!$I$17</f>
        <v>AI</v>
      </c>
      <c r="G5173" s="1390"/>
      <c r="H5173" s="1077">
        <f>Risk_Compensation!$AL71</f>
        <v>14.3860378092259</v>
      </c>
    </row>
    <row r="5174" spans="1:8" x14ac:dyDescent="0.2">
      <c r="A5174" s="1027"/>
      <c r="B5174" s="1083">
        <f>Risk_Compensation!A$1</f>
        <v>36</v>
      </c>
      <c r="C5174" s="1390" t="str">
        <f>Risk_Compensation!$B$1</f>
        <v xml:space="preserve">Risikoausgleich </v>
      </c>
      <c r="D5174" s="1743" t="str">
        <f>Risk_Compensation!$AJ$14</f>
        <v>geschätzte Risikoausgleichssätze, pro Monat in CHF (ohne Entlastung junge Erwachsene)</v>
      </c>
      <c r="E5174" s="1390">
        <f>Risk_Compensation!$AJ72</f>
        <v>55</v>
      </c>
      <c r="F5174" s="1390" t="str">
        <f>Risk_Compensation!$I$17</f>
        <v>AI</v>
      </c>
      <c r="G5174" s="1390"/>
      <c r="H5174" s="1077">
        <f>Risk_Compensation!$AL72</f>
        <v>754.78728260278899</v>
      </c>
    </row>
    <row r="5175" spans="1:8" x14ac:dyDescent="0.2">
      <c r="A5175" s="1027"/>
      <c r="B5175" s="1083">
        <f>Risk_Compensation!A$1</f>
        <v>36</v>
      </c>
      <c r="C5175" s="1390" t="str">
        <f>Risk_Compensation!$B$1</f>
        <v xml:space="preserve">Risikoausgleich </v>
      </c>
      <c r="D5175" s="1743" t="str">
        <f>Risk_Compensation!$AJ$14</f>
        <v>geschätzte Risikoausgleichssätze, pro Monat in CHF (ohne Entlastung junge Erwachsene)</v>
      </c>
      <c r="E5175" s="1390">
        <f>Risk_Compensation!$AJ73</f>
        <v>56</v>
      </c>
      <c r="F5175" s="1390" t="str">
        <f>Risk_Compensation!$I$17</f>
        <v>AI</v>
      </c>
      <c r="G5175" s="1390"/>
      <c r="H5175" s="1077">
        <f>Risk_Compensation!$AL73</f>
        <v>153.194333266835</v>
      </c>
    </row>
    <row r="5176" spans="1:8" x14ac:dyDescent="0.2">
      <c r="A5176" s="1027"/>
      <c r="B5176" s="1083">
        <f>Risk_Compensation!A$1</f>
        <v>36</v>
      </c>
      <c r="C5176" s="1390" t="str">
        <f>Risk_Compensation!$B$1</f>
        <v xml:space="preserve">Risikoausgleich </v>
      </c>
      <c r="D5176" s="1743" t="str">
        <f>Risk_Compensation!$AJ$14</f>
        <v>geschätzte Risikoausgleichssätze, pro Monat in CHF (ohne Entlastung junge Erwachsene)</v>
      </c>
      <c r="E5176" s="1390">
        <f>Risk_Compensation!$AJ74</f>
        <v>57</v>
      </c>
      <c r="F5176" s="1390" t="str">
        <f>Risk_Compensation!$I$17</f>
        <v>AI</v>
      </c>
      <c r="G5176" s="1390"/>
      <c r="H5176" s="1077">
        <f>Risk_Compensation!$AL74</f>
        <v>845.57597943263795</v>
      </c>
    </row>
    <row r="5177" spans="1:8" x14ac:dyDescent="0.2">
      <c r="A5177" s="1027"/>
      <c r="B5177" s="1083">
        <f>Risk_Compensation!A$1</f>
        <v>36</v>
      </c>
      <c r="C5177" s="1390" t="str">
        <f>Risk_Compensation!$B$1</f>
        <v xml:space="preserve">Risikoausgleich </v>
      </c>
      <c r="D5177" s="1743" t="str">
        <f>Risk_Compensation!$AJ$14</f>
        <v>geschätzte Risikoausgleichssätze, pro Monat in CHF (ohne Entlastung junge Erwachsene)</v>
      </c>
      <c r="E5177" s="1390">
        <f>Risk_Compensation!$AJ75</f>
        <v>58</v>
      </c>
      <c r="F5177" s="1390" t="str">
        <f>Risk_Compensation!$I$17</f>
        <v>AI</v>
      </c>
      <c r="G5177" s="1390"/>
      <c r="H5177" s="1077">
        <f>Risk_Compensation!$AL75</f>
        <v>241.74844792318501</v>
      </c>
    </row>
    <row r="5178" spans="1:8" x14ac:dyDescent="0.2">
      <c r="A5178" s="1027"/>
      <c r="B5178" s="1083">
        <f>Risk_Compensation!A$1</f>
        <v>36</v>
      </c>
      <c r="C5178" s="1390" t="str">
        <f>Risk_Compensation!$B$1</f>
        <v xml:space="preserve">Risikoausgleich </v>
      </c>
      <c r="D5178" s="1743" t="str">
        <f>Risk_Compensation!$AJ$14</f>
        <v>geschätzte Risikoausgleichssätze, pro Monat in CHF (ohne Entlastung junge Erwachsene)</v>
      </c>
      <c r="E5178" s="1390">
        <f>Risk_Compensation!$AJ76</f>
        <v>59</v>
      </c>
      <c r="F5178" s="1390" t="str">
        <f>Risk_Compensation!$I$17</f>
        <v>AI</v>
      </c>
      <c r="G5178" s="1390"/>
      <c r="H5178" s="1077">
        <f>Risk_Compensation!$AL76</f>
        <v>1275.3445721584601</v>
      </c>
    </row>
    <row r="5179" spans="1:8" x14ac:dyDescent="0.2">
      <c r="A5179" s="1027"/>
      <c r="B5179" s="1083">
        <f>Risk_Compensation!A$1</f>
        <v>36</v>
      </c>
      <c r="C5179" s="1390" t="str">
        <f>Risk_Compensation!$B$1</f>
        <v xml:space="preserve">Risikoausgleich </v>
      </c>
      <c r="D5179" s="1743" t="str">
        <f>Risk_Compensation!$AJ$14</f>
        <v>geschätzte Risikoausgleichssätze, pro Monat in CHF (ohne Entlastung junge Erwachsene)</v>
      </c>
      <c r="E5179" s="1390">
        <f>Risk_Compensation!$AJ77</f>
        <v>60</v>
      </c>
      <c r="F5179" s="1390" t="str">
        <f>Risk_Compensation!$I$17</f>
        <v>AI</v>
      </c>
      <c r="G5179" s="1390"/>
      <c r="H5179" s="1077">
        <f>Risk_Compensation!$AL77</f>
        <v>494.08585374172401</v>
      </c>
    </row>
    <row r="5180" spans="1:8" x14ac:dyDescent="0.2">
      <c r="A5180" s="1027"/>
      <c r="B5180" s="2174"/>
      <c r="C5180" s="1390"/>
      <c r="D5180" s="2175"/>
      <c r="E5180" s="2176"/>
      <c r="F5180" s="1390"/>
      <c r="G5180" s="1390"/>
      <c r="H5180" s="1078"/>
    </row>
    <row r="5181" spans="1:8" x14ac:dyDescent="0.2">
      <c r="A5181" s="1027"/>
      <c r="B5181" s="1083">
        <f>Risk_Compensation!A$1</f>
        <v>36</v>
      </c>
      <c r="C5181" s="1390" t="str">
        <f>Risk_Compensation!$B$1</f>
        <v xml:space="preserve">Risikoausgleich </v>
      </c>
      <c r="D5181" s="1743" t="str">
        <f>Risk_Compensation!$AJ$14</f>
        <v>geschätzte Risikoausgleichssätze, pro Monat in CHF (ohne Entlastung junge Erwachsene)</v>
      </c>
      <c r="E5181" s="1390">
        <f>Risk_Compensation!$AJ18</f>
        <v>1</v>
      </c>
      <c r="F5181" s="1390" t="str">
        <f>Risk_Compensation!$J$17</f>
        <v>AR</v>
      </c>
      <c r="G5181" s="1390"/>
      <c r="H5181" s="1077">
        <f>Risk_Compensation!$AM18</f>
        <v>57.4242945298774</v>
      </c>
    </row>
    <row r="5182" spans="1:8" x14ac:dyDescent="0.2">
      <c r="A5182" s="1027"/>
      <c r="B5182" s="1083">
        <f>Risk_Compensation!A$1</f>
        <v>36</v>
      </c>
      <c r="C5182" s="1390" t="str">
        <f>Risk_Compensation!$B$1</f>
        <v xml:space="preserve">Risikoausgleich </v>
      </c>
      <c r="D5182" s="1743" t="str">
        <f>Risk_Compensation!$AJ$14</f>
        <v>geschätzte Risikoausgleichssätze, pro Monat in CHF (ohne Entlastung junge Erwachsene)</v>
      </c>
      <c r="E5182" s="1390">
        <f>Risk_Compensation!$AJ19</f>
        <v>2</v>
      </c>
      <c r="F5182" s="1390" t="str">
        <f>Risk_Compensation!$J$17</f>
        <v>AR</v>
      </c>
      <c r="G5182" s="1390"/>
      <c r="H5182" s="1077">
        <f>Risk_Compensation!$AM19</f>
        <v>-283.59500624960498</v>
      </c>
    </row>
    <row r="5183" spans="1:8" x14ac:dyDescent="0.2">
      <c r="A5183" s="1027"/>
      <c r="B5183" s="1083">
        <f>Risk_Compensation!A$1</f>
        <v>36</v>
      </c>
      <c r="C5183" s="1390" t="str">
        <f>Risk_Compensation!$B$1</f>
        <v xml:space="preserve">Risikoausgleich </v>
      </c>
      <c r="D5183" s="1743" t="str">
        <f>Risk_Compensation!$AJ$14</f>
        <v>geschätzte Risikoausgleichssätze, pro Monat in CHF (ohne Entlastung junge Erwachsene)</v>
      </c>
      <c r="E5183" s="1390">
        <f>Risk_Compensation!$AJ20</f>
        <v>3</v>
      </c>
      <c r="F5183" s="1390" t="str">
        <f>Risk_Compensation!$J$17</f>
        <v>AR</v>
      </c>
      <c r="G5183" s="1390"/>
      <c r="H5183" s="1077">
        <f>Risk_Compensation!$AM20</f>
        <v>156.16559770973501</v>
      </c>
    </row>
    <row r="5184" spans="1:8" x14ac:dyDescent="0.2">
      <c r="A5184" s="1027"/>
      <c r="B5184" s="1083">
        <f>Risk_Compensation!A$1</f>
        <v>36</v>
      </c>
      <c r="C5184" s="1390" t="str">
        <f>Risk_Compensation!$B$1</f>
        <v xml:space="preserve">Risikoausgleich </v>
      </c>
      <c r="D5184" s="1743" t="str">
        <f>Risk_Compensation!$AJ$14</f>
        <v>geschätzte Risikoausgleichssätze, pro Monat in CHF (ohne Entlastung junge Erwachsene)</v>
      </c>
      <c r="E5184" s="1390">
        <f>Risk_Compensation!$AJ21</f>
        <v>4</v>
      </c>
      <c r="F5184" s="1390" t="str">
        <f>Risk_Compensation!$J$17</f>
        <v>AR</v>
      </c>
      <c r="G5184" s="1390"/>
      <c r="H5184" s="1077">
        <f>Risk_Compensation!$AM21</f>
        <v>-296.79816745025403</v>
      </c>
    </row>
    <row r="5185" spans="1:8" x14ac:dyDescent="0.2">
      <c r="A5185" s="1027"/>
      <c r="B5185" s="1083">
        <f>Risk_Compensation!A$1</f>
        <v>36</v>
      </c>
      <c r="C5185" s="1390" t="str">
        <f>Risk_Compensation!$B$1</f>
        <v xml:space="preserve">Risikoausgleich </v>
      </c>
      <c r="D5185" s="1743" t="str">
        <f>Risk_Compensation!$AJ$14</f>
        <v>geschätzte Risikoausgleichssätze, pro Monat in CHF (ohne Entlastung junge Erwachsene)</v>
      </c>
      <c r="E5185" s="1390">
        <f>Risk_Compensation!$AJ22</f>
        <v>5</v>
      </c>
      <c r="F5185" s="1390" t="str">
        <f>Risk_Compensation!$J$17</f>
        <v>AR</v>
      </c>
      <c r="G5185" s="1390"/>
      <c r="H5185" s="1077">
        <f>Risk_Compensation!$AM22</f>
        <v>165.08538615078601</v>
      </c>
    </row>
    <row r="5186" spans="1:8" x14ac:dyDescent="0.2">
      <c r="A5186" s="1027"/>
      <c r="B5186" s="1083">
        <f>Risk_Compensation!A$1</f>
        <v>36</v>
      </c>
      <c r="C5186" s="1390" t="str">
        <f>Risk_Compensation!$B$1</f>
        <v xml:space="preserve">Risikoausgleich </v>
      </c>
      <c r="D5186" s="1743" t="str">
        <f>Risk_Compensation!$AJ$14</f>
        <v>geschätzte Risikoausgleichssätze, pro Monat in CHF (ohne Entlastung junge Erwachsene)</v>
      </c>
      <c r="E5186" s="1390">
        <f>Risk_Compensation!$AJ23</f>
        <v>6</v>
      </c>
      <c r="F5186" s="1390" t="str">
        <f>Risk_Compensation!$J$17</f>
        <v>AR</v>
      </c>
      <c r="G5186" s="1390"/>
      <c r="H5186" s="1077">
        <f>Risk_Compensation!$AM23</f>
        <v>-288.97708546529799</v>
      </c>
    </row>
    <row r="5187" spans="1:8" x14ac:dyDescent="0.2">
      <c r="A5187" s="1027"/>
      <c r="B5187" s="1083">
        <f>Risk_Compensation!A$1</f>
        <v>36</v>
      </c>
      <c r="C5187" s="1390" t="str">
        <f>Risk_Compensation!$B$1</f>
        <v xml:space="preserve">Risikoausgleich </v>
      </c>
      <c r="D5187" s="1743" t="str">
        <f>Risk_Compensation!$AJ$14</f>
        <v>geschätzte Risikoausgleichssätze, pro Monat in CHF (ohne Entlastung junge Erwachsene)</v>
      </c>
      <c r="E5187" s="1390">
        <f>Risk_Compensation!$AJ24</f>
        <v>7</v>
      </c>
      <c r="F5187" s="1390" t="str">
        <f>Risk_Compensation!$J$17</f>
        <v>AR</v>
      </c>
      <c r="G5187" s="1390"/>
      <c r="H5187" s="1077">
        <f>Risk_Compensation!$AM24</f>
        <v>417.423054626002</v>
      </c>
    </row>
    <row r="5188" spans="1:8" x14ac:dyDescent="0.2">
      <c r="A5188" s="1027"/>
      <c r="B5188" s="1083">
        <f>Risk_Compensation!A$1</f>
        <v>36</v>
      </c>
      <c r="C5188" s="1390" t="str">
        <f>Risk_Compensation!$B$1</f>
        <v xml:space="preserve">Risikoausgleich </v>
      </c>
      <c r="D5188" s="1743" t="str">
        <f>Risk_Compensation!$AJ$14</f>
        <v>geschätzte Risikoausgleichssätze, pro Monat in CHF (ohne Entlastung junge Erwachsene)</v>
      </c>
      <c r="E5188" s="1390">
        <f>Risk_Compensation!$AJ25</f>
        <v>8</v>
      </c>
      <c r="F5188" s="1390" t="str">
        <f>Risk_Compensation!$J$17</f>
        <v>AR</v>
      </c>
      <c r="G5188" s="1390"/>
      <c r="H5188" s="1077">
        <f>Risk_Compensation!$AM25</f>
        <v>-299.09573799367502</v>
      </c>
    </row>
    <row r="5189" spans="1:8" x14ac:dyDescent="0.2">
      <c r="A5189" s="1027"/>
      <c r="B5189" s="1083">
        <f>Risk_Compensation!A$1</f>
        <v>36</v>
      </c>
      <c r="C5189" s="1390" t="str">
        <f>Risk_Compensation!$B$1</f>
        <v xml:space="preserve">Risikoausgleich </v>
      </c>
      <c r="D5189" s="1743" t="str">
        <f>Risk_Compensation!$AJ$14</f>
        <v>geschätzte Risikoausgleichssätze, pro Monat in CHF (ohne Entlastung junge Erwachsene)</v>
      </c>
      <c r="E5189" s="1390">
        <f>Risk_Compensation!$AJ26</f>
        <v>9</v>
      </c>
      <c r="F5189" s="1390" t="str">
        <f>Risk_Compensation!$J$17</f>
        <v>AR</v>
      </c>
      <c r="G5189" s="1390"/>
      <c r="H5189" s="1077">
        <f>Risk_Compensation!$AM26</f>
        <v>735.27403935336895</v>
      </c>
    </row>
    <row r="5190" spans="1:8" x14ac:dyDescent="0.2">
      <c r="A5190" s="1027"/>
      <c r="B5190" s="1083">
        <f>Risk_Compensation!A$1</f>
        <v>36</v>
      </c>
      <c r="C5190" s="1390" t="str">
        <f>Risk_Compensation!$B$1</f>
        <v xml:space="preserve">Risikoausgleich </v>
      </c>
      <c r="D5190" s="1743" t="str">
        <f>Risk_Compensation!$AJ$14</f>
        <v>geschätzte Risikoausgleichssätze, pro Monat in CHF (ohne Entlastung junge Erwachsene)</v>
      </c>
      <c r="E5190" s="1390">
        <f>Risk_Compensation!$AJ27</f>
        <v>10</v>
      </c>
      <c r="F5190" s="1390" t="str">
        <f>Risk_Compensation!$J$17</f>
        <v>AR</v>
      </c>
      <c r="G5190" s="1390"/>
      <c r="H5190" s="1077">
        <f>Risk_Compensation!$AM27</f>
        <v>-269.42283832537601</v>
      </c>
    </row>
    <row r="5191" spans="1:8" x14ac:dyDescent="0.2">
      <c r="A5191" s="1027"/>
      <c r="B5191" s="1083">
        <f>Risk_Compensation!A$1</f>
        <v>36</v>
      </c>
      <c r="C5191" s="1390" t="str">
        <f>Risk_Compensation!$B$1</f>
        <v xml:space="preserve">Risikoausgleich </v>
      </c>
      <c r="D5191" s="1743" t="str">
        <f>Risk_Compensation!$AJ$14</f>
        <v>geschätzte Risikoausgleichssätze, pro Monat in CHF (ohne Entlastung junge Erwachsene)</v>
      </c>
      <c r="E5191" s="1390">
        <f>Risk_Compensation!$AJ28</f>
        <v>11</v>
      </c>
      <c r="F5191" s="1390" t="str">
        <f>Risk_Compensation!$J$17</f>
        <v>AR</v>
      </c>
      <c r="G5191" s="1390"/>
      <c r="H5191" s="1077">
        <f>Risk_Compensation!$AM28</f>
        <v>274.56060636226903</v>
      </c>
    </row>
    <row r="5192" spans="1:8" x14ac:dyDescent="0.2">
      <c r="A5192" s="1027"/>
      <c r="B5192" s="1083">
        <f>Risk_Compensation!A$1</f>
        <v>36</v>
      </c>
      <c r="C5192" s="1390" t="str">
        <f>Risk_Compensation!$B$1</f>
        <v xml:space="preserve">Risikoausgleich </v>
      </c>
      <c r="D5192" s="1743" t="str">
        <f>Risk_Compensation!$AJ$14</f>
        <v>geschätzte Risikoausgleichssätze, pro Monat in CHF (ohne Entlastung junge Erwachsene)</v>
      </c>
      <c r="E5192" s="1390">
        <f>Risk_Compensation!$AJ29</f>
        <v>12</v>
      </c>
      <c r="F5192" s="1390" t="str">
        <f>Risk_Compensation!$J$17</f>
        <v>AR</v>
      </c>
      <c r="G5192" s="1390"/>
      <c r="H5192" s="1077">
        <f>Risk_Compensation!$AM29</f>
        <v>-268.33090287181301</v>
      </c>
    </row>
    <row r="5193" spans="1:8" x14ac:dyDescent="0.2">
      <c r="A5193" s="1027"/>
      <c r="B5193" s="1083">
        <f>Risk_Compensation!A$1</f>
        <v>36</v>
      </c>
      <c r="C5193" s="1390" t="str">
        <f>Risk_Compensation!$B$1</f>
        <v xml:space="preserve">Risikoausgleich </v>
      </c>
      <c r="D5193" s="1743" t="str">
        <f>Risk_Compensation!$AJ$14</f>
        <v>geschätzte Risikoausgleichssätze, pro Monat in CHF (ohne Entlastung junge Erwachsene)</v>
      </c>
      <c r="E5193" s="1390">
        <f>Risk_Compensation!$AJ30</f>
        <v>13</v>
      </c>
      <c r="F5193" s="1390" t="str">
        <f>Risk_Compensation!$J$17</f>
        <v>AR</v>
      </c>
      <c r="G5193" s="1390"/>
      <c r="H5193" s="1077">
        <f>Risk_Compensation!$AM30</f>
        <v>532.80485363438595</v>
      </c>
    </row>
    <row r="5194" spans="1:8" x14ac:dyDescent="0.2">
      <c r="A5194" s="1027"/>
      <c r="B5194" s="1083">
        <f>Risk_Compensation!A$1</f>
        <v>36</v>
      </c>
      <c r="C5194" s="1390" t="str">
        <f>Risk_Compensation!$B$1</f>
        <v xml:space="preserve">Risikoausgleich </v>
      </c>
      <c r="D5194" s="1743" t="str">
        <f>Risk_Compensation!$AJ$14</f>
        <v>geschätzte Risikoausgleichssätze, pro Monat in CHF (ohne Entlastung junge Erwachsene)</v>
      </c>
      <c r="E5194" s="1390">
        <f>Risk_Compensation!$AJ31</f>
        <v>14</v>
      </c>
      <c r="F5194" s="1390" t="str">
        <f>Risk_Compensation!$J$17</f>
        <v>AR</v>
      </c>
      <c r="G5194" s="1390"/>
      <c r="H5194" s="1077">
        <f>Risk_Compensation!$AM31</f>
        <v>-241.128780094962</v>
      </c>
    </row>
    <row r="5195" spans="1:8" x14ac:dyDescent="0.2">
      <c r="A5195" s="1027"/>
      <c r="B5195" s="1083">
        <f>Risk_Compensation!A$1</f>
        <v>36</v>
      </c>
      <c r="C5195" s="1390" t="str">
        <f>Risk_Compensation!$B$1</f>
        <v xml:space="preserve">Risikoausgleich </v>
      </c>
      <c r="D5195" s="1743" t="str">
        <f>Risk_Compensation!$AJ$14</f>
        <v>geschätzte Risikoausgleichssätze, pro Monat in CHF (ohne Entlastung junge Erwachsene)</v>
      </c>
      <c r="E5195" s="1390">
        <f>Risk_Compensation!$AJ32</f>
        <v>15</v>
      </c>
      <c r="F5195" s="1390" t="str">
        <f>Risk_Compensation!$J$17</f>
        <v>AR</v>
      </c>
      <c r="G5195" s="1390"/>
      <c r="H5195" s="1077">
        <f>Risk_Compensation!$AM32</f>
        <v>496.18113695008799</v>
      </c>
    </row>
    <row r="5196" spans="1:8" x14ac:dyDescent="0.2">
      <c r="A5196" s="1027"/>
      <c r="B5196" s="1083">
        <f>Risk_Compensation!A$1</f>
        <v>36</v>
      </c>
      <c r="C5196" s="1390" t="str">
        <f>Risk_Compensation!$B$1</f>
        <v xml:space="preserve">Risikoausgleich </v>
      </c>
      <c r="D5196" s="1743" t="str">
        <f>Risk_Compensation!$AJ$14</f>
        <v>geschätzte Risikoausgleichssätze, pro Monat in CHF (ohne Entlastung junge Erwachsene)</v>
      </c>
      <c r="E5196" s="1390">
        <f>Risk_Compensation!$AJ33</f>
        <v>16</v>
      </c>
      <c r="F5196" s="1390" t="str">
        <f>Risk_Compensation!$J$17</f>
        <v>AR</v>
      </c>
      <c r="G5196" s="1390"/>
      <c r="H5196" s="1077">
        <f>Risk_Compensation!$AM33</f>
        <v>-200.06865892145899</v>
      </c>
    </row>
    <row r="5197" spans="1:8" x14ac:dyDescent="0.2">
      <c r="A5197" s="1027"/>
      <c r="B5197" s="1083">
        <f>Risk_Compensation!A$1</f>
        <v>36</v>
      </c>
      <c r="C5197" s="1390" t="str">
        <f>Risk_Compensation!$B$1</f>
        <v xml:space="preserve">Risikoausgleich </v>
      </c>
      <c r="D5197" s="1743" t="str">
        <f>Risk_Compensation!$AJ$14</f>
        <v>geschätzte Risikoausgleichssätze, pro Monat in CHF (ohne Entlastung junge Erwachsene)</v>
      </c>
      <c r="E5197" s="1390">
        <f>Risk_Compensation!$AJ34</f>
        <v>17</v>
      </c>
      <c r="F5197" s="1390" t="str">
        <f>Risk_Compensation!$J$17</f>
        <v>AR</v>
      </c>
      <c r="G5197" s="1390"/>
      <c r="H5197" s="1077">
        <f>Risk_Compensation!$AM34</f>
        <v>387.10853790282499</v>
      </c>
    </row>
    <row r="5198" spans="1:8" x14ac:dyDescent="0.2">
      <c r="A5198" s="1027"/>
      <c r="B5198" s="1083">
        <f>Risk_Compensation!A$1</f>
        <v>36</v>
      </c>
      <c r="C5198" s="1390" t="str">
        <f>Risk_Compensation!$B$1</f>
        <v xml:space="preserve">Risikoausgleich </v>
      </c>
      <c r="D5198" s="1743" t="str">
        <f>Risk_Compensation!$AJ$14</f>
        <v>geschätzte Risikoausgleichssätze, pro Monat in CHF (ohne Entlastung junge Erwachsene)</v>
      </c>
      <c r="E5198" s="1390">
        <f>Risk_Compensation!$AJ35</f>
        <v>18</v>
      </c>
      <c r="F5198" s="1390" t="str">
        <f>Risk_Compensation!$J$17</f>
        <v>AR</v>
      </c>
      <c r="G5198" s="1390"/>
      <c r="H5198" s="1077">
        <f>Risk_Compensation!$AM35</f>
        <v>-153.58912128081499</v>
      </c>
    </row>
    <row r="5199" spans="1:8" x14ac:dyDescent="0.2">
      <c r="A5199" s="1027"/>
      <c r="B5199" s="1083">
        <f>Risk_Compensation!A$1</f>
        <v>36</v>
      </c>
      <c r="C5199" s="1390" t="str">
        <f>Risk_Compensation!$B$1</f>
        <v xml:space="preserve">Risikoausgleich </v>
      </c>
      <c r="D5199" s="1743" t="str">
        <f>Risk_Compensation!$AJ$14</f>
        <v>geschätzte Risikoausgleichssätze, pro Monat in CHF (ohne Entlastung junge Erwachsene)</v>
      </c>
      <c r="E5199" s="1390">
        <f>Risk_Compensation!$AJ36</f>
        <v>19</v>
      </c>
      <c r="F5199" s="1390" t="str">
        <f>Risk_Compensation!$J$17</f>
        <v>AR</v>
      </c>
      <c r="G5199" s="1390"/>
      <c r="H5199" s="1077">
        <f>Risk_Compensation!$AM36</f>
        <v>541.59776879440005</v>
      </c>
    </row>
    <row r="5200" spans="1:8" x14ac:dyDescent="0.2">
      <c r="A5200" s="1027"/>
      <c r="B5200" s="1083">
        <f>Risk_Compensation!A$1</f>
        <v>36</v>
      </c>
      <c r="C5200" s="1390" t="str">
        <f>Risk_Compensation!$B$1</f>
        <v xml:space="preserve">Risikoausgleich </v>
      </c>
      <c r="D5200" s="1743" t="str">
        <f>Risk_Compensation!$AJ$14</f>
        <v>geschätzte Risikoausgleichssätze, pro Monat in CHF (ohne Entlastung junge Erwachsene)</v>
      </c>
      <c r="E5200" s="1390">
        <f>Risk_Compensation!$AJ37</f>
        <v>20</v>
      </c>
      <c r="F5200" s="1390" t="str">
        <f>Risk_Compensation!$J$17</f>
        <v>AR</v>
      </c>
      <c r="G5200" s="1390"/>
      <c r="H5200" s="1077">
        <f>Risk_Compensation!$AM37</f>
        <v>-53.023608116362901</v>
      </c>
    </row>
    <row r="5201" spans="1:8" x14ac:dyDescent="0.2">
      <c r="A5201" s="1027"/>
      <c r="B5201" s="1083">
        <f>Risk_Compensation!A$1</f>
        <v>36</v>
      </c>
      <c r="C5201" s="1390" t="str">
        <f>Risk_Compensation!$B$1</f>
        <v xml:space="preserve">Risikoausgleich </v>
      </c>
      <c r="D5201" s="1743" t="str">
        <f>Risk_Compensation!$AJ$14</f>
        <v>geschätzte Risikoausgleichssätze, pro Monat in CHF (ohne Entlastung junge Erwachsene)</v>
      </c>
      <c r="E5201" s="1390">
        <f>Risk_Compensation!$AJ38</f>
        <v>21</v>
      </c>
      <c r="F5201" s="1390" t="str">
        <f>Risk_Compensation!$J$17</f>
        <v>AR</v>
      </c>
      <c r="G5201" s="1390"/>
      <c r="H5201" s="1077">
        <f>Risk_Compensation!$AM38</f>
        <v>460.55475319174502</v>
      </c>
    </row>
    <row r="5202" spans="1:8" x14ac:dyDescent="0.2">
      <c r="A5202" s="1027"/>
      <c r="B5202" s="1083">
        <f>Risk_Compensation!A$1</f>
        <v>36</v>
      </c>
      <c r="C5202" s="1390" t="str">
        <f>Risk_Compensation!$B$1</f>
        <v xml:space="preserve">Risikoausgleich </v>
      </c>
      <c r="D5202" s="1743" t="str">
        <f>Risk_Compensation!$AJ$14</f>
        <v>geschätzte Risikoausgleichssätze, pro Monat in CHF (ohne Entlastung junge Erwachsene)</v>
      </c>
      <c r="E5202" s="1390">
        <f>Risk_Compensation!$AJ39</f>
        <v>22</v>
      </c>
      <c r="F5202" s="1390" t="str">
        <f>Risk_Compensation!$J$17</f>
        <v>AR</v>
      </c>
      <c r="G5202" s="1390"/>
      <c r="H5202" s="1077">
        <f>Risk_Compensation!$AM39</f>
        <v>13.715411761965401</v>
      </c>
    </row>
    <row r="5203" spans="1:8" x14ac:dyDescent="0.2">
      <c r="A5203" s="1027"/>
      <c r="B5203" s="1083">
        <f>Risk_Compensation!A$1</f>
        <v>36</v>
      </c>
      <c r="C5203" s="1390" t="str">
        <f>Risk_Compensation!$B$1</f>
        <v xml:space="preserve">Risikoausgleich </v>
      </c>
      <c r="D5203" s="1743" t="str">
        <f>Risk_Compensation!$AJ$14</f>
        <v>geschätzte Risikoausgleichssätze, pro Monat in CHF (ohne Entlastung junge Erwachsene)</v>
      </c>
      <c r="E5203" s="1390">
        <f>Risk_Compensation!$AJ40</f>
        <v>23</v>
      </c>
      <c r="F5203" s="1390" t="str">
        <f>Risk_Compensation!$J$17</f>
        <v>AR</v>
      </c>
      <c r="G5203" s="1390"/>
      <c r="H5203" s="1077">
        <f>Risk_Compensation!$AM40</f>
        <v>905.68384009017404</v>
      </c>
    </row>
    <row r="5204" spans="1:8" x14ac:dyDescent="0.2">
      <c r="A5204" s="1027"/>
      <c r="B5204" s="1083">
        <f>Risk_Compensation!A$1</f>
        <v>36</v>
      </c>
      <c r="C5204" s="1390" t="str">
        <f>Risk_Compensation!$B$1</f>
        <v xml:space="preserve">Risikoausgleich </v>
      </c>
      <c r="D5204" s="1743" t="str">
        <f>Risk_Compensation!$AJ$14</f>
        <v>geschätzte Risikoausgleichssätze, pro Monat in CHF (ohne Entlastung junge Erwachsene)</v>
      </c>
      <c r="E5204" s="1390">
        <f>Risk_Compensation!$AJ41</f>
        <v>24</v>
      </c>
      <c r="F5204" s="1390" t="str">
        <f>Risk_Compensation!$J$17</f>
        <v>AR</v>
      </c>
      <c r="G5204" s="1390"/>
      <c r="H5204" s="1077">
        <f>Risk_Compensation!$AM41</f>
        <v>179.11199422592799</v>
      </c>
    </row>
    <row r="5205" spans="1:8" x14ac:dyDescent="0.2">
      <c r="A5205" s="1027"/>
      <c r="B5205" s="1083">
        <f>Risk_Compensation!A$1</f>
        <v>36</v>
      </c>
      <c r="C5205" s="1390" t="str">
        <f>Risk_Compensation!$B$1</f>
        <v xml:space="preserve">Risikoausgleich </v>
      </c>
      <c r="D5205" s="1743" t="str">
        <f>Risk_Compensation!$AJ$14</f>
        <v>geschätzte Risikoausgleichssätze, pro Monat in CHF (ohne Entlastung junge Erwachsene)</v>
      </c>
      <c r="E5205" s="1390">
        <f>Risk_Compensation!$AJ42</f>
        <v>25</v>
      </c>
      <c r="F5205" s="1390" t="str">
        <f>Risk_Compensation!$J$17</f>
        <v>AR</v>
      </c>
      <c r="G5205" s="1390"/>
      <c r="H5205" s="1077">
        <f>Risk_Compensation!$AM42</f>
        <v>866.50391809574899</v>
      </c>
    </row>
    <row r="5206" spans="1:8" x14ac:dyDescent="0.2">
      <c r="A5206" s="1027"/>
      <c r="B5206" s="1083">
        <f>Risk_Compensation!A$1</f>
        <v>36</v>
      </c>
      <c r="C5206" s="1390" t="str">
        <f>Risk_Compensation!$B$1</f>
        <v xml:space="preserve">Risikoausgleich </v>
      </c>
      <c r="D5206" s="1743" t="str">
        <f>Risk_Compensation!$AJ$14</f>
        <v>geschätzte Risikoausgleichssätze, pro Monat in CHF (ohne Entlastung junge Erwachsene)</v>
      </c>
      <c r="E5206" s="1390">
        <f>Risk_Compensation!$AJ43</f>
        <v>26</v>
      </c>
      <c r="F5206" s="1390" t="str">
        <f>Risk_Compensation!$J$17</f>
        <v>AR</v>
      </c>
      <c r="G5206" s="1390"/>
      <c r="H5206" s="1077">
        <f>Risk_Compensation!$AM43</f>
        <v>54.137037747383602</v>
      </c>
    </row>
    <row r="5207" spans="1:8" x14ac:dyDescent="0.2">
      <c r="A5207" s="1027"/>
      <c r="B5207" s="1083">
        <f>Risk_Compensation!A$1</f>
        <v>36</v>
      </c>
      <c r="C5207" s="1390" t="str">
        <f>Risk_Compensation!$B$1</f>
        <v xml:space="preserve">Risikoausgleich </v>
      </c>
      <c r="D5207" s="1743" t="str">
        <f>Risk_Compensation!$AJ$14</f>
        <v>geschätzte Risikoausgleichssätze, pro Monat in CHF (ohne Entlastung junge Erwachsene)</v>
      </c>
      <c r="E5207" s="1390">
        <f>Risk_Compensation!$AJ44</f>
        <v>27</v>
      </c>
      <c r="F5207" s="1390" t="str">
        <f>Risk_Compensation!$J$17</f>
        <v>AR</v>
      </c>
      <c r="G5207" s="1390"/>
      <c r="H5207" s="1077">
        <f>Risk_Compensation!$AM44</f>
        <v>981.21154802164403</v>
      </c>
    </row>
    <row r="5208" spans="1:8" x14ac:dyDescent="0.2">
      <c r="A5208" s="1027"/>
      <c r="B5208" s="1083">
        <f>Risk_Compensation!A$1</f>
        <v>36</v>
      </c>
      <c r="C5208" s="1390" t="str">
        <f>Risk_Compensation!$B$1</f>
        <v xml:space="preserve">Risikoausgleich </v>
      </c>
      <c r="D5208" s="1743" t="str">
        <f>Risk_Compensation!$AJ$14</f>
        <v>geschätzte Risikoausgleichssätze, pro Monat in CHF (ohne Entlastung junge Erwachsene)</v>
      </c>
      <c r="E5208" s="1390">
        <f>Risk_Compensation!$AJ45</f>
        <v>28</v>
      </c>
      <c r="F5208" s="1390" t="str">
        <f>Risk_Compensation!$J$17</f>
        <v>AR</v>
      </c>
      <c r="G5208" s="1390"/>
      <c r="H5208" s="1077">
        <f>Risk_Compensation!$AM45</f>
        <v>206.20055932412799</v>
      </c>
    </row>
    <row r="5209" spans="1:8" x14ac:dyDescent="0.2">
      <c r="A5209" s="1027"/>
      <c r="B5209" s="1083">
        <f>Risk_Compensation!A$1</f>
        <v>36</v>
      </c>
      <c r="C5209" s="1390" t="str">
        <f>Risk_Compensation!$B$1</f>
        <v xml:space="preserve">Risikoausgleich </v>
      </c>
      <c r="D5209" s="1743" t="str">
        <f>Risk_Compensation!$AJ$14</f>
        <v>geschätzte Risikoausgleichssätze, pro Monat in CHF (ohne Entlastung junge Erwachsene)</v>
      </c>
      <c r="E5209" s="1390">
        <f>Risk_Compensation!$AJ46</f>
        <v>29</v>
      </c>
      <c r="F5209" s="1390" t="str">
        <f>Risk_Compensation!$J$17</f>
        <v>AR</v>
      </c>
      <c r="G5209" s="1390"/>
      <c r="H5209" s="1077">
        <f>Risk_Compensation!$AM46</f>
        <v>1224.6984106050299</v>
      </c>
    </row>
    <row r="5210" spans="1:8" x14ac:dyDescent="0.2">
      <c r="A5210" s="1027"/>
      <c r="B5210" s="1083">
        <f>Risk_Compensation!A$1</f>
        <v>36</v>
      </c>
      <c r="C5210" s="1390" t="str">
        <f>Risk_Compensation!$B$1</f>
        <v xml:space="preserve">Risikoausgleich </v>
      </c>
      <c r="D5210" s="1743" t="str">
        <f>Risk_Compensation!$AJ$14</f>
        <v>geschätzte Risikoausgleichssätze, pro Monat in CHF (ohne Entlastung junge Erwachsene)</v>
      </c>
      <c r="E5210" s="1390">
        <f>Risk_Compensation!$AJ47</f>
        <v>30</v>
      </c>
      <c r="F5210" s="1390" t="str">
        <f>Risk_Compensation!$J$17</f>
        <v>AR</v>
      </c>
      <c r="G5210" s="1390"/>
      <c r="H5210" s="1077">
        <f>Risk_Compensation!$AM47</f>
        <v>76.890009377395998</v>
      </c>
    </row>
    <row r="5211" spans="1:8" x14ac:dyDescent="0.2">
      <c r="A5211" s="1027"/>
      <c r="B5211" s="1083">
        <f>Risk_Compensation!A$1</f>
        <v>36</v>
      </c>
      <c r="C5211" s="1390" t="str">
        <f>Risk_Compensation!$B$1</f>
        <v xml:space="preserve">Risikoausgleich </v>
      </c>
      <c r="D5211" s="1743" t="str">
        <f>Risk_Compensation!$AJ$14</f>
        <v>geschätzte Risikoausgleichssätze, pro Monat in CHF (ohne Entlastung junge Erwachsene)</v>
      </c>
      <c r="E5211" s="1390">
        <f>Risk_Compensation!$AJ48</f>
        <v>31</v>
      </c>
      <c r="F5211" s="1390" t="str">
        <f>Risk_Compensation!$J$17</f>
        <v>AR</v>
      </c>
      <c r="G5211" s="1390"/>
      <c r="H5211" s="1077">
        <f>Risk_Compensation!$AM48</f>
        <v>476.310665084368</v>
      </c>
    </row>
    <row r="5212" spans="1:8" x14ac:dyDescent="0.2">
      <c r="A5212" s="1027"/>
      <c r="B5212" s="1083">
        <f>Risk_Compensation!A$1</f>
        <v>36</v>
      </c>
      <c r="C5212" s="1390" t="str">
        <f>Risk_Compensation!$B$1</f>
        <v xml:space="preserve">Risikoausgleich </v>
      </c>
      <c r="D5212" s="1743" t="str">
        <f>Risk_Compensation!$AJ$14</f>
        <v>geschätzte Risikoausgleichssätze, pro Monat in CHF (ohne Entlastung junge Erwachsene)</v>
      </c>
      <c r="E5212" s="1390">
        <f>Risk_Compensation!$AJ49</f>
        <v>32</v>
      </c>
      <c r="F5212" s="1390" t="str">
        <f>Risk_Compensation!$J$17</f>
        <v>AR</v>
      </c>
      <c r="G5212" s="1390"/>
      <c r="H5212" s="1077">
        <f>Risk_Compensation!$AM49</f>
        <v>-221.90422537823301</v>
      </c>
    </row>
    <row r="5213" spans="1:8" x14ac:dyDescent="0.2">
      <c r="A5213" s="1027"/>
      <c r="B5213" s="1083">
        <f>Risk_Compensation!A$1</f>
        <v>36</v>
      </c>
      <c r="C5213" s="1390" t="str">
        <f>Risk_Compensation!$B$1</f>
        <v xml:space="preserve">Risikoausgleich </v>
      </c>
      <c r="D5213" s="1743" t="str">
        <f>Risk_Compensation!$AJ$14</f>
        <v>geschätzte Risikoausgleichssätze, pro Monat in CHF (ohne Entlastung junge Erwachsene)</v>
      </c>
      <c r="E5213" s="1390">
        <f>Risk_Compensation!$AJ50</f>
        <v>33</v>
      </c>
      <c r="F5213" s="1390" t="str">
        <f>Risk_Compensation!$J$17</f>
        <v>AR</v>
      </c>
      <c r="G5213" s="1390"/>
      <c r="H5213" s="1077">
        <f>Risk_Compensation!$AM50</f>
        <v>492.13174921027399</v>
      </c>
    </row>
    <row r="5214" spans="1:8" x14ac:dyDescent="0.2">
      <c r="A5214" s="1027"/>
      <c r="B5214" s="1083">
        <f>Risk_Compensation!A$1</f>
        <v>36</v>
      </c>
      <c r="C5214" s="1390" t="str">
        <f>Risk_Compensation!$B$1</f>
        <v xml:space="preserve">Risikoausgleich </v>
      </c>
      <c r="D5214" s="1743" t="str">
        <f>Risk_Compensation!$AJ$14</f>
        <v>geschätzte Risikoausgleichssätze, pro Monat in CHF (ohne Entlastung junge Erwachsene)</v>
      </c>
      <c r="E5214" s="1390">
        <f>Risk_Compensation!$AJ51</f>
        <v>34</v>
      </c>
      <c r="F5214" s="1390" t="str">
        <f>Risk_Compensation!$J$17</f>
        <v>AR</v>
      </c>
      <c r="G5214" s="1390"/>
      <c r="H5214" s="1077">
        <f>Risk_Compensation!$AM51</f>
        <v>-160.79212690317601</v>
      </c>
    </row>
    <row r="5215" spans="1:8" x14ac:dyDescent="0.2">
      <c r="A5215" s="1027"/>
      <c r="B5215" s="1083">
        <f>Risk_Compensation!A$1</f>
        <v>36</v>
      </c>
      <c r="C5215" s="1390" t="str">
        <f>Risk_Compensation!$B$1</f>
        <v xml:space="preserve">Risikoausgleich </v>
      </c>
      <c r="D5215" s="1743" t="str">
        <f>Risk_Compensation!$AJ$14</f>
        <v>geschätzte Risikoausgleichssätze, pro Monat in CHF (ohne Entlastung junge Erwachsene)</v>
      </c>
      <c r="E5215" s="1390">
        <f>Risk_Compensation!$AJ52</f>
        <v>35</v>
      </c>
      <c r="F5215" s="1390" t="str">
        <f>Risk_Compensation!$J$17</f>
        <v>AR</v>
      </c>
      <c r="G5215" s="1390"/>
      <c r="H5215" s="1077">
        <f>Risk_Compensation!$AM52</f>
        <v>271.72254946100702</v>
      </c>
    </row>
    <row r="5216" spans="1:8" x14ac:dyDescent="0.2">
      <c r="A5216" s="1027"/>
      <c r="B5216" s="1083">
        <f>Risk_Compensation!A$1</f>
        <v>36</v>
      </c>
      <c r="C5216" s="1390" t="str">
        <f>Risk_Compensation!$B$1</f>
        <v xml:space="preserve">Risikoausgleich </v>
      </c>
      <c r="D5216" s="1743" t="str">
        <f>Risk_Compensation!$AJ$14</f>
        <v>geschätzte Risikoausgleichssätze, pro Monat in CHF (ohne Entlastung junge Erwachsene)</v>
      </c>
      <c r="E5216" s="1390">
        <f>Risk_Compensation!$AJ53</f>
        <v>36</v>
      </c>
      <c r="F5216" s="1390" t="str">
        <f>Risk_Compensation!$J$17</f>
        <v>AR</v>
      </c>
      <c r="G5216" s="1390"/>
      <c r="H5216" s="1077">
        <f>Risk_Compensation!$AM53</f>
        <v>-143.12851082386999</v>
      </c>
    </row>
    <row r="5217" spans="1:8" x14ac:dyDescent="0.2">
      <c r="A5217" s="1027"/>
      <c r="B5217" s="1083">
        <f>Risk_Compensation!A$1</f>
        <v>36</v>
      </c>
      <c r="C5217" s="1390" t="str">
        <f>Risk_Compensation!$B$1</f>
        <v xml:space="preserve">Risikoausgleich </v>
      </c>
      <c r="D5217" s="1743" t="str">
        <f>Risk_Compensation!$AJ$14</f>
        <v>geschätzte Risikoausgleichssätze, pro Monat in CHF (ohne Entlastung junge Erwachsene)</v>
      </c>
      <c r="E5217" s="1390">
        <f>Risk_Compensation!$AJ54</f>
        <v>37</v>
      </c>
      <c r="F5217" s="1390" t="str">
        <f>Risk_Compensation!$J$17</f>
        <v>AR</v>
      </c>
      <c r="G5217" s="1390"/>
      <c r="H5217" s="1077">
        <f>Risk_Compensation!$AM54</f>
        <v>273.29571401673599</v>
      </c>
    </row>
    <row r="5218" spans="1:8" x14ac:dyDescent="0.2">
      <c r="A5218" s="1027"/>
      <c r="B5218" s="1083">
        <f>Risk_Compensation!A$1</f>
        <v>36</v>
      </c>
      <c r="C5218" s="1390" t="str">
        <f>Risk_Compensation!$B$1</f>
        <v xml:space="preserve">Risikoausgleich </v>
      </c>
      <c r="D5218" s="1743" t="str">
        <f>Risk_Compensation!$AJ$14</f>
        <v>geschätzte Risikoausgleichssätze, pro Monat in CHF (ohne Entlastung junge Erwachsene)</v>
      </c>
      <c r="E5218" s="1390">
        <f>Risk_Compensation!$AJ55</f>
        <v>38</v>
      </c>
      <c r="F5218" s="1390" t="str">
        <f>Risk_Compensation!$J$17</f>
        <v>AR</v>
      </c>
      <c r="G5218" s="1390"/>
      <c r="H5218" s="1077">
        <f>Risk_Compensation!$AM55</f>
        <v>-208.68497903872199</v>
      </c>
    </row>
    <row r="5219" spans="1:8" x14ac:dyDescent="0.2">
      <c r="A5219" s="1027"/>
      <c r="B5219" s="1083">
        <f>Risk_Compensation!A$1</f>
        <v>36</v>
      </c>
      <c r="C5219" s="1390" t="str">
        <f>Risk_Compensation!$B$1</f>
        <v xml:space="preserve">Risikoausgleich </v>
      </c>
      <c r="D5219" s="1743" t="str">
        <f>Risk_Compensation!$AJ$14</f>
        <v>geschätzte Risikoausgleichssätze, pro Monat in CHF (ohne Entlastung junge Erwachsene)</v>
      </c>
      <c r="E5219" s="1390">
        <f>Risk_Compensation!$AJ56</f>
        <v>39</v>
      </c>
      <c r="F5219" s="1390" t="str">
        <f>Risk_Compensation!$J$17</f>
        <v>AR</v>
      </c>
      <c r="G5219" s="1390"/>
      <c r="H5219" s="1077">
        <f>Risk_Compensation!$AM56</f>
        <v>644.65257444256997</v>
      </c>
    </row>
    <row r="5220" spans="1:8" x14ac:dyDescent="0.2">
      <c r="A5220" s="1027"/>
      <c r="B5220" s="1083">
        <f>Risk_Compensation!A$1</f>
        <v>36</v>
      </c>
      <c r="C5220" s="1390" t="str">
        <f>Risk_Compensation!$B$1</f>
        <v xml:space="preserve">Risikoausgleich </v>
      </c>
      <c r="D5220" s="1743" t="str">
        <f>Risk_Compensation!$AJ$14</f>
        <v>geschätzte Risikoausgleichssätze, pro Monat in CHF (ohne Entlastung junge Erwachsene)</v>
      </c>
      <c r="E5220" s="1390">
        <f>Risk_Compensation!$AJ57</f>
        <v>40</v>
      </c>
      <c r="F5220" s="1390" t="str">
        <f>Risk_Compensation!$J$17</f>
        <v>AR</v>
      </c>
      <c r="G5220" s="1390"/>
      <c r="H5220" s="1077">
        <f>Risk_Compensation!$AM57</f>
        <v>-239.044537033404</v>
      </c>
    </row>
    <row r="5221" spans="1:8" x14ac:dyDescent="0.2">
      <c r="A5221" s="1027"/>
      <c r="B5221" s="1083">
        <f>Risk_Compensation!A$1</f>
        <v>36</v>
      </c>
      <c r="C5221" s="1390" t="str">
        <f>Risk_Compensation!$B$1</f>
        <v xml:space="preserve">Risikoausgleich </v>
      </c>
      <c r="D5221" s="1743" t="str">
        <f>Risk_Compensation!$AJ$14</f>
        <v>geschätzte Risikoausgleichssätze, pro Monat in CHF (ohne Entlastung junge Erwachsene)</v>
      </c>
      <c r="E5221" s="1390">
        <f>Risk_Compensation!$AJ58</f>
        <v>41</v>
      </c>
      <c r="F5221" s="1390" t="str">
        <f>Risk_Compensation!$J$17</f>
        <v>AR</v>
      </c>
      <c r="G5221" s="1390"/>
      <c r="H5221" s="1077">
        <f>Risk_Compensation!$AM58</f>
        <v>544.623865098294</v>
      </c>
    </row>
    <row r="5222" spans="1:8" x14ac:dyDescent="0.2">
      <c r="A5222" s="1027"/>
      <c r="B5222" s="1083">
        <f>Risk_Compensation!A$1</f>
        <v>36</v>
      </c>
      <c r="C5222" s="1390" t="str">
        <f>Risk_Compensation!$B$1</f>
        <v xml:space="preserve">Risikoausgleich </v>
      </c>
      <c r="D5222" s="1743" t="str">
        <f>Risk_Compensation!$AJ$14</f>
        <v>geschätzte Risikoausgleichssätze, pro Monat in CHF (ohne Entlastung junge Erwachsene)</v>
      </c>
      <c r="E5222" s="1390">
        <f>Risk_Compensation!$AJ59</f>
        <v>42</v>
      </c>
      <c r="F5222" s="1390" t="str">
        <f>Risk_Compensation!$J$17</f>
        <v>AR</v>
      </c>
      <c r="G5222" s="1390"/>
      <c r="H5222" s="1077">
        <f>Risk_Compensation!$AM59</f>
        <v>-232.642611850592</v>
      </c>
    </row>
    <row r="5223" spans="1:8" x14ac:dyDescent="0.2">
      <c r="A5223" s="1027"/>
      <c r="B5223" s="1083">
        <f>Risk_Compensation!A$1</f>
        <v>36</v>
      </c>
      <c r="C5223" s="1390" t="str">
        <f>Risk_Compensation!$B$1</f>
        <v xml:space="preserve">Risikoausgleich </v>
      </c>
      <c r="D5223" s="1743" t="str">
        <f>Risk_Compensation!$AJ$14</f>
        <v>geschätzte Risikoausgleichssätze, pro Monat in CHF (ohne Entlastung junge Erwachsene)</v>
      </c>
      <c r="E5223" s="1390">
        <f>Risk_Compensation!$AJ60</f>
        <v>43</v>
      </c>
      <c r="F5223" s="1390" t="str">
        <f>Risk_Compensation!$J$17</f>
        <v>AR</v>
      </c>
      <c r="G5223" s="1390"/>
      <c r="H5223" s="1077">
        <f>Risk_Compensation!$AM60</f>
        <v>204.022659832947</v>
      </c>
    </row>
    <row r="5224" spans="1:8" x14ac:dyDescent="0.2">
      <c r="A5224" s="1027"/>
      <c r="B5224" s="1083">
        <f>Risk_Compensation!A$1</f>
        <v>36</v>
      </c>
      <c r="C5224" s="1390" t="str">
        <f>Risk_Compensation!$B$1</f>
        <v xml:space="preserve">Risikoausgleich </v>
      </c>
      <c r="D5224" s="1743" t="str">
        <f>Risk_Compensation!$AJ$14</f>
        <v>geschätzte Risikoausgleichssätze, pro Monat in CHF (ohne Entlastung junge Erwachsene)</v>
      </c>
      <c r="E5224" s="1390">
        <f>Risk_Compensation!$AJ61</f>
        <v>44</v>
      </c>
      <c r="F5224" s="1390" t="str">
        <f>Risk_Compensation!$J$17</f>
        <v>AR</v>
      </c>
      <c r="G5224" s="1390"/>
      <c r="H5224" s="1077">
        <f>Risk_Compensation!$AM61</f>
        <v>-190.57080066430299</v>
      </c>
    </row>
    <row r="5225" spans="1:8" x14ac:dyDescent="0.2">
      <c r="A5225" s="1027"/>
      <c r="B5225" s="1083">
        <f>Risk_Compensation!A$1</f>
        <v>36</v>
      </c>
      <c r="C5225" s="1390" t="str">
        <f>Risk_Compensation!$B$1</f>
        <v xml:space="preserve">Risikoausgleich </v>
      </c>
      <c r="D5225" s="1743" t="str">
        <f>Risk_Compensation!$AJ$14</f>
        <v>geschätzte Risikoausgleichssätze, pro Monat in CHF (ohne Entlastung junge Erwachsene)</v>
      </c>
      <c r="E5225" s="1390">
        <f>Risk_Compensation!$AJ62</f>
        <v>45</v>
      </c>
      <c r="F5225" s="1390" t="str">
        <f>Risk_Compensation!$J$17</f>
        <v>AR</v>
      </c>
      <c r="G5225" s="1390"/>
      <c r="H5225" s="1077">
        <f>Risk_Compensation!$AM62</f>
        <v>813.91149216850204</v>
      </c>
    </row>
    <row r="5226" spans="1:8" x14ac:dyDescent="0.2">
      <c r="A5226" s="1027"/>
      <c r="B5226" s="1083">
        <f>Risk_Compensation!A$1</f>
        <v>36</v>
      </c>
      <c r="C5226" s="1390" t="str">
        <f>Risk_Compensation!$B$1</f>
        <v xml:space="preserve">Risikoausgleich </v>
      </c>
      <c r="D5226" s="1743" t="str">
        <f>Risk_Compensation!$AJ$14</f>
        <v>geschätzte Risikoausgleichssätze, pro Monat in CHF (ohne Entlastung junge Erwachsene)</v>
      </c>
      <c r="E5226" s="1390">
        <f>Risk_Compensation!$AJ63</f>
        <v>46</v>
      </c>
      <c r="F5226" s="1390" t="str">
        <f>Risk_Compensation!$J$17</f>
        <v>AR</v>
      </c>
      <c r="G5226" s="1390"/>
      <c r="H5226" s="1077">
        <f>Risk_Compensation!$AM63</f>
        <v>-209.36566827214699</v>
      </c>
    </row>
    <row r="5227" spans="1:8" x14ac:dyDescent="0.2">
      <c r="A5227" s="1027"/>
      <c r="B5227" s="1083">
        <f>Risk_Compensation!A$1</f>
        <v>36</v>
      </c>
      <c r="C5227" s="1390" t="str">
        <f>Risk_Compensation!$B$1</f>
        <v xml:space="preserve">Risikoausgleich </v>
      </c>
      <c r="D5227" s="1743" t="str">
        <f>Risk_Compensation!$AJ$14</f>
        <v>geschätzte Risikoausgleichssätze, pro Monat in CHF (ohne Entlastung junge Erwachsene)</v>
      </c>
      <c r="E5227" s="1390">
        <f>Risk_Compensation!$AJ64</f>
        <v>47</v>
      </c>
      <c r="F5227" s="1390" t="str">
        <f>Risk_Compensation!$J$17</f>
        <v>AR</v>
      </c>
      <c r="G5227" s="1390"/>
      <c r="H5227" s="1077">
        <f>Risk_Compensation!$AM64</f>
        <v>203.53318609102499</v>
      </c>
    </row>
    <row r="5228" spans="1:8" x14ac:dyDescent="0.2">
      <c r="A5228" s="1027"/>
      <c r="B5228" s="1083">
        <f>Risk_Compensation!A$1</f>
        <v>36</v>
      </c>
      <c r="C5228" s="1390" t="str">
        <f>Risk_Compensation!$B$1</f>
        <v xml:space="preserve">Risikoausgleich </v>
      </c>
      <c r="D5228" s="1743" t="str">
        <f>Risk_Compensation!$AJ$14</f>
        <v>geschätzte Risikoausgleichssätze, pro Monat in CHF (ohne Entlastung junge Erwachsene)</v>
      </c>
      <c r="E5228" s="1390">
        <f>Risk_Compensation!$AJ65</f>
        <v>48</v>
      </c>
      <c r="F5228" s="1390" t="str">
        <f>Risk_Compensation!$J$17</f>
        <v>AR</v>
      </c>
      <c r="G5228" s="1390"/>
      <c r="H5228" s="1077">
        <f>Risk_Compensation!$AM65</f>
        <v>-199.942162616362</v>
      </c>
    </row>
    <row r="5229" spans="1:8" x14ac:dyDescent="0.2">
      <c r="A5229" s="1027"/>
      <c r="B5229" s="1083">
        <f>Risk_Compensation!A$1</f>
        <v>36</v>
      </c>
      <c r="C5229" s="1390" t="str">
        <f>Risk_Compensation!$B$1</f>
        <v xml:space="preserve">Risikoausgleich </v>
      </c>
      <c r="D5229" s="1743" t="str">
        <f>Risk_Compensation!$AJ$14</f>
        <v>geschätzte Risikoausgleichssätze, pro Monat in CHF (ohne Entlastung junge Erwachsene)</v>
      </c>
      <c r="E5229" s="1390">
        <f>Risk_Compensation!$AJ66</f>
        <v>49</v>
      </c>
      <c r="F5229" s="1390" t="str">
        <f>Risk_Compensation!$J$17</f>
        <v>AR</v>
      </c>
      <c r="G5229" s="1390"/>
      <c r="H5229" s="1077">
        <f>Risk_Compensation!$AM66</f>
        <v>880.56928240088098</v>
      </c>
    </row>
    <row r="5230" spans="1:8" x14ac:dyDescent="0.2">
      <c r="A5230" s="1027"/>
      <c r="B5230" s="1083">
        <f>Risk_Compensation!A$1</f>
        <v>36</v>
      </c>
      <c r="C5230" s="1390" t="str">
        <f>Risk_Compensation!$B$1</f>
        <v xml:space="preserve">Risikoausgleich </v>
      </c>
      <c r="D5230" s="1743" t="str">
        <f>Risk_Compensation!$AJ$14</f>
        <v>geschätzte Risikoausgleichssätze, pro Monat in CHF (ohne Entlastung junge Erwachsene)</v>
      </c>
      <c r="E5230" s="1390">
        <f>Risk_Compensation!$AJ67</f>
        <v>50</v>
      </c>
      <c r="F5230" s="1390" t="str">
        <f>Risk_Compensation!$J$17</f>
        <v>AR</v>
      </c>
      <c r="G5230" s="1390"/>
      <c r="H5230" s="1077">
        <f>Risk_Compensation!$AM67</f>
        <v>-156.05114752128799</v>
      </c>
    </row>
    <row r="5231" spans="1:8" x14ac:dyDescent="0.2">
      <c r="A5231" s="1027"/>
      <c r="B5231" s="1083">
        <f>Risk_Compensation!A$1</f>
        <v>36</v>
      </c>
      <c r="C5231" s="1390" t="str">
        <f>Risk_Compensation!$B$1</f>
        <v xml:space="preserve">Risikoausgleich </v>
      </c>
      <c r="D5231" s="1743" t="str">
        <f>Risk_Compensation!$AJ$14</f>
        <v>geschätzte Risikoausgleichssätze, pro Monat in CHF (ohne Entlastung junge Erwachsene)</v>
      </c>
      <c r="E5231" s="1390">
        <f>Risk_Compensation!$AJ68</f>
        <v>51</v>
      </c>
      <c r="F5231" s="1390" t="str">
        <f>Risk_Compensation!$J$17</f>
        <v>AR</v>
      </c>
      <c r="G5231" s="1390"/>
      <c r="H5231" s="1077">
        <f>Risk_Compensation!$AM68</f>
        <v>781.45359429545704</v>
      </c>
    </row>
    <row r="5232" spans="1:8" x14ac:dyDescent="0.2">
      <c r="A5232" s="1027"/>
      <c r="B5232" s="1083">
        <f>Risk_Compensation!A$1</f>
        <v>36</v>
      </c>
      <c r="C5232" s="1390" t="str">
        <f>Risk_Compensation!$B$1</f>
        <v xml:space="preserve">Risikoausgleich </v>
      </c>
      <c r="D5232" s="1743" t="str">
        <f>Risk_Compensation!$AJ$14</f>
        <v>geschätzte Risikoausgleichssätze, pro Monat in CHF (ohne Entlastung junge Erwachsene)</v>
      </c>
      <c r="E5232" s="1390">
        <f>Risk_Compensation!$AJ69</f>
        <v>52</v>
      </c>
      <c r="F5232" s="1390" t="str">
        <f>Risk_Compensation!$J$17</f>
        <v>AR</v>
      </c>
      <c r="G5232" s="1390"/>
      <c r="H5232" s="1077">
        <f>Risk_Compensation!$AM69</f>
        <v>-99.970758067092206</v>
      </c>
    </row>
    <row r="5233" spans="1:8" x14ac:dyDescent="0.2">
      <c r="A5233" s="1027"/>
      <c r="B5233" s="1083">
        <f>Risk_Compensation!A$1</f>
        <v>36</v>
      </c>
      <c r="C5233" s="1390" t="str">
        <f>Risk_Compensation!$B$1</f>
        <v xml:space="preserve">Risikoausgleich </v>
      </c>
      <c r="D5233" s="1743" t="str">
        <f>Risk_Compensation!$AJ$14</f>
        <v>geschätzte Risikoausgleichssätze, pro Monat in CHF (ohne Entlastung junge Erwachsene)</v>
      </c>
      <c r="E5233" s="1390">
        <f>Risk_Compensation!$AJ70</f>
        <v>53</v>
      </c>
      <c r="F5233" s="1390" t="str">
        <f>Risk_Compensation!$J$17</f>
        <v>AR</v>
      </c>
      <c r="G5233" s="1390"/>
      <c r="H5233" s="1077">
        <f>Risk_Compensation!$AM70</f>
        <v>704.22501558786098</v>
      </c>
    </row>
    <row r="5234" spans="1:8" x14ac:dyDescent="0.2">
      <c r="A5234" s="1027"/>
      <c r="B5234" s="1083">
        <f>Risk_Compensation!A$1</f>
        <v>36</v>
      </c>
      <c r="C5234" s="1390" t="str">
        <f>Risk_Compensation!$B$1</f>
        <v xml:space="preserve">Risikoausgleich </v>
      </c>
      <c r="D5234" s="1743" t="str">
        <f>Risk_Compensation!$AJ$14</f>
        <v>geschätzte Risikoausgleichssätze, pro Monat in CHF (ohne Entlastung junge Erwachsene)</v>
      </c>
      <c r="E5234" s="1390">
        <f>Risk_Compensation!$AJ71</f>
        <v>54</v>
      </c>
      <c r="F5234" s="1390" t="str">
        <f>Risk_Compensation!$J$17</f>
        <v>AR</v>
      </c>
      <c r="G5234" s="1390"/>
      <c r="H5234" s="1077">
        <f>Risk_Compensation!$AM71</f>
        <v>-4.8611194690175203</v>
      </c>
    </row>
    <row r="5235" spans="1:8" x14ac:dyDescent="0.2">
      <c r="A5235" s="1027"/>
      <c r="B5235" s="1083">
        <f>Risk_Compensation!A$1</f>
        <v>36</v>
      </c>
      <c r="C5235" s="1390" t="str">
        <f>Risk_Compensation!$B$1</f>
        <v xml:space="preserve">Risikoausgleich </v>
      </c>
      <c r="D5235" s="1743" t="str">
        <f>Risk_Compensation!$AJ$14</f>
        <v>geschätzte Risikoausgleichssätze, pro Monat in CHF (ohne Entlastung junge Erwachsene)</v>
      </c>
      <c r="E5235" s="1390">
        <f>Risk_Compensation!$AJ72</f>
        <v>55</v>
      </c>
      <c r="F5235" s="1390" t="str">
        <f>Risk_Compensation!$J$17</f>
        <v>AR</v>
      </c>
      <c r="G5235" s="1390"/>
      <c r="H5235" s="1077">
        <f>Risk_Compensation!$AM72</f>
        <v>720.30914852096305</v>
      </c>
    </row>
    <row r="5236" spans="1:8" x14ac:dyDescent="0.2">
      <c r="A5236" s="1027"/>
      <c r="B5236" s="1083">
        <f>Risk_Compensation!A$1</f>
        <v>36</v>
      </c>
      <c r="C5236" s="1390" t="str">
        <f>Risk_Compensation!$B$1</f>
        <v xml:space="preserve">Risikoausgleich </v>
      </c>
      <c r="D5236" s="1743" t="str">
        <f>Risk_Compensation!$AJ$14</f>
        <v>geschätzte Risikoausgleichssätze, pro Monat in CHF (ohne Entlastung junge Erwachsene)</v>
      </c>
      <c r="E5236" s="1390">
        <f>Risk_Compensation!$AJ73</f>
        <v>56</v>
      </c>
      <c r="F5236" s="1390" t="str">
        <f>Risk_Compensation!$J$17</f>
        <v>AR</v>
      </c>
      <c r="G5236" s="1390"/>
      <c r="H5236" s="1077">
        <f>Risk_Compensation!$AM73</f>
        <v>92.362285253197697</v>
      </c>
    </row>
    <row r="5237" spans="1:8" x14ac:dyDescent="0.2">
      <c r="A5237" s="1027"/>
      <c r="B5237" s="1083">
        <f>Risk_Compensation!A$1</f>
        <v>36</v>
      </c>
      <c r="C5237" s="1390" t="str">
        <f>Risk_Compensation!$B$1</f>
        <v xml:space="preserve">Risikoausgleich </v>
      </c>
      <c r="D5237" s="1743" t="str">
        <f>Risk_Compensation!$AJ$14</f>
        <v>geschätzte Risikoausgleichssätze, pro Monat in CHF (ohne Entlastung junge Erwachsene)</v>
      </c>
      <c r="E5237" s="1390">
        <f>Risk_Compensation!$AJ74</f>
        <v>57</v>
      </c>
      <c r="F5237" s="1390" t="str">
        <f>Risk_Compensation!$J$17</f>
        <v>AR</v>
      </c>
      <c r="G5237" s="1390"/>
      <c r="H5237" s="1077">
        <f>Risk_Compensation!$AM74</f>
        <v>1203.64087281305</v>
      </c>
    </row>
    <row r="5238" spans="1:8" x14ac:dyDescent="0.2">
      <c r="A5238" s="1027"/>
      <c r="B5238" s="1083">
        <f>Risk_Compensation!A$1</f>
        <v>36</v>
      </c>
      <c r="C5238" s="1390" t="str">
        <f>Risk_Compensation!$B$1</f>
        <v xml:space="preserve">Risikoausgleich </v>
      </c>
      <c r="D5238" s="1743" t="str">
        <f>Risk_Compensation!$AJ$14</f>
        <v>geschätzte Risikoausgleichssätze, pro Monat in CHF (ohne Entlastung junge Erwachsene)</v>
      </c>
      <c r="E5238" s="1390">
        <f>Risk_Compensation!$AJ75</f>
        <v>58</v>
      </c>
      <c r="F5238" s="1390" t="str">
        <f>Risk_Compensation!$J$17</f>
        <v>AR</v>
      </c>
      <c r="G5238" s="1390"/>
      <c r="H5238" s="1077">
        <f>Risk_Compensation!$AM75</f>
        <v>171.35380930604401</v>
      </c>
    </row>
    <row r="5239" spans="1:8" x14ac:dyDescent="0.2">
      <c r="A5239" s="1027"/>
      <c r="B5239" s="1083">
        <f>Risk_Compensation!A$1</f>
        <v>36</v>
      </c>
      <c r="C5239" s="1390" t="str">
        <f>Risk_Compensation!$B$1</f>
        <v xml:space="preserve">Risikoausgleich </v>
      </c>
      <c r="D5239" s="1743" t="str">
        <f>Risk_Compensation!$AJ$14</f>
        <v>geschätzte Risikoausgleichssätze, pro Monat in CHF (ohne Entlastung junge Erwachsene)</v>
      </c>
      <c r="E5239" s="1390">
        <f>Risk_Compensation!$AJ76</f>
        <v>59</v>
      </c>
      <c r="F5239" s="1390" t="str">
        <f>Risk_Compensation!$J$17</f>
        <v>AR</v>
      </c>
      <c r="G5239" s="1390"/>
      <c r="H5239" s="1077">
        <f>Risk_Compensation!$AM76</f>
        <v>1302.57784901575</v>
      </c>
    </row>
    <row r="5240" spans="1:8" x14ac:dyDescent="0.2">
      <c r="A5240" s="1027"/>
      <c r="B5240" s="1083">
        <f>Risk_Compensation!A$1</f>
        <v>36</v>
      </c>
      <c r="C5240" s="1390" t="str">
        <f>Risk_Compensation!$B$1</f>
        <v xml:space="preserve">Risikoausgleich </v>
      </c>
      <c r="D5240" s="1743" t="str">
        <f>Risk_Compensation!$AJ$14</f>
        <v>geschätzte Risikoausgleichssätze, pro Monat in CHF (ohne Entlastung junge Erwachsene)</v>
      </c>
      <c r="E5240" s="1390">
        <f>Risk_Compensation!$AJ77</f>
        <v>60</v>
      </c>
      <c r="F5240" s="1390" t="str">
        <f>Risk_Compensation!$J$17</f>
        <v>AR</v>
      </c>
      <c r="G5240" s="1390"/>
      <c r="H5240" s="1077">
        <f>Risk_Compensation!$AM77</f>
        <v>223.286172862163</v>
      </c>
    </row>
    <row r="5241" spans="1:8" x14ac:dyDescent="0.2">
      <c r="A5241" s="1027"/>
      <c r="B5241" s="2174"/>
      <c r="C5241" s="1390"/>
      <c r="D5241" s="2175"/>
      <c r="E5241" s="2176"/>
      <c r="F5241" s="1390"/>
      <c r="G5241" s="1390"/>
      <c r="H5241" s="1078"/>
    </row>
    <row r="5242" spans="1:8" x14ac:dyDescent="0.2">
      <c r="A5242" s="1027"/>
      <c r="B5242" s="1083">
        <f>Risk_Compensation!A$1</f>
        <v>36</v>
      </c>
      <c r="C5242" s="1390" t="str">
        <f>Risk_Compensation!$B$1</f>
        <v xml:space="preserve">Risikoausgleich </v>
      </c>
      <c r="D5242" s="1743" t="str">
        <f>Risk_Compensation!$AJ$14</f>
        <v>geschätzte Risikoausgleichssätze, pro Monat in CHF (ohne Entlastung junge Erwachsene)</v>
      </c>
      <c r="E5242" s="1390">
        <f>Risk_Compensation!$AJ18</f>
        <v>1</v>
      </c>
      <c r="F5242" s="1390" t="str">
        <f>Risk_Compensation!$K$17</f>
        <v>BE</v>
      </c>
      <c r="G5242" s="1390"/>
      <c r="H5242" s="1077">
        <f>Risk_Compensation!$AN18</f>
        <v>404.02520111502901</v>
      </c>
    </row>
    <row r="5243" spans="1:8" x14ac:dyDescent="0.2">
      <c r="A5243" s="1027"/>
      <c r="B5243" s="1083">
        <f>Risk_Compensation!A$1</f>
        <v>36</v>
      </c>
      <c r="C5243" s="1390" t="str">
        <f>Risk_Compensation!$B$1</f>
        <v xml:space="preserve">Risikoausgleich </v>
      </c>
      <c r="D5243" s="1743" t="str">
        <f>Risk_Compensation!$AJ$14</f>
        <v>geschätzte Risikoausgleichssätze, pro Monat in CHF (ohne Entlastung junge Erwachsene)</v>
      </c>
      <c r="E5243" s="1390">
        <f>Risk_Compensation!$AJ19</f>
        <v>2</v>
      </c>
      <c r="F5243" s="1390" t="str">
        <f>Risk_Compensation!$K$17</f>
        <v>BE</v>
      </c>
      <c r="G5243" s="1390"/>
      <c r="H5243" s="1077">
        <f>Risk_Compensation!$AN19</f>
        <v>-329.83462648775497</v>
      </c>
    </row>
    <row r="5244" spans="1:8" x14ac:dyDescent="0.2">
      <c r="A5244" s="1027"/>
      <c r="B5244" s="1083">
        <f>Risk_Compensation!A$1</f>
        <v>36</v>
      </c>
      <c r="C5244" s="1390" t="str">
        <f>Risk_Compensation!$B$1</f>
        <v xml:space="preserve">Risikoausgleich </v>
      </c>
      <c r="D5244" s="1743" t="str">
        <f>Risk_Compensation!$AJ$14</f>
        <v>geschätzte Risikoausgleichssätze, pro Monat in CHF (ohne Entlastung junge Erwachsene)</v>
      </c>
      <c r="E5244" s="1390">
        <f>Risk_Compensation!$AJ20</f>
        <v>3</v>
      </c>
      <c r="F5244" s="1390" t="str">
        <f>Risk_Compensation!$K$17</f>
        <v>BE</v>
      </c>
      <c r="G5244" s="1390"/>
      <c r="H5244" s="1077">
        <f>Risk_Compensation!$AN20</f>
        <v>423.98207704668403</v>
      </c>
    </row>
    <row r="5245" spans="1:8" x14ac:dyDescent="0.2">
      <c r="A5245" s="1027"/>
      <c r="B5245" s="1083">
        <f>Risk_Compensation!A$1</f>
        <v>36</v>
      </c>
      <c r="C5245" s="1390" t="str">
        <f>Risk_Compensation!$B$1</f>
        <v xml:space="preserve">Risikoausgleich </v>
      </c>
      <c r="D5245" s="1743" t="str">
        <f>Risk_Compensation!$AJ$14</f>
        <v>geschätzte Risikoausgleichssätze, pro Monat in CHF (ohne Entlastung junge Erwachsene)</v>
      </c>
      <c r="E5245" s="1390">
        <f>Risk_Compensation!$AJ21</f>
        <v>4</v>
      </c>
      <c r="F5245" s="1390" t="str">
        <f>Risk_Compensation!$K$17</f>
        <v>BE</v>
      </c>
      <c r="G5245" s="1390"/>
      <c r="H5245" s="1077">
        <f>Risk_Compensation!$AN21</f>
        <v>-336.913262170069</v>
      </c>
    </row>
    <row r="5246" spans="1:8" x14ac:dyDescent="0.2">
      <c r="A5246" s="1027"/>
      <c r="B5246" s="1083">
        <f>Risk_Compensation!A$1</f>
        <v>36</v>
      </c>
      <c r="C5246" s="1390" t="str">
        <f>Risk_Compensation!$B$1</f>
        <v xml:space="preserve">Risikoausgleich </v>
      </c>
      <c r="D5246" s="1743" t="str">
        <f>Risk_Compensation!$AJ$14</f>
        <v>geschätzte Risikoausgleichssätze, pro Monat in CHF (ohne Entlastung junge Erwachsene)</v>
      </c>
      <c r="E5246" s="1390">
        <f>Risk_Compensation!$AJ22</f>
        <v>5</v>
      </c>
      <c r="F5246" s="1390" t="str">
        <f>Risk_Compensation!$K$17</f>
        <v>BE</v>
      </c>
      <c r="G5246" s="1390"/>
      <c r="H5246" s="1077">
        <f>Risk_Compensation!$AN22</f>
        <v>426.31059494016898</v>
      </c>
    </row>
    <row r="5247" spans="1:8" x14ac:dyDescent="0.2">
      <c r="A5247" s="1027"/>
      <c r="B5247" s="1083">
        <f>Risk_Compensation!A$1</f>
        <v>36</v>
      </c>
      <c r="C5247" s="1390" t="str">
        <f>Risk_Compensation!$B$1</f>
        <v xml:space="preserve">Risikoausgleich </v>
      </c>
      <c r="D5247" s="1743" t="str">
        <f>Risk_Compensation!$AJ$14</f>
        <v>geschätzte Risikoausgleichssätze, pro Monat in CHF (ohne Entlastung junge Erwachsene)</v>
      </c>
      <c r="E5247" s="1390">
        <f>Risk_Compensation!$AJ23</f>
        <v>6</v>
      </c>
      <c r="F5247" s="1390" t="str">
        <f>Risk_Compensation!$K$17</f>
        <v>BE</v>
      </c>
      <c r="G5247" s="1390"/>
      <c r="H5247" s="1077">
        <f>Risk_Compensation!$AN23</f>
        <v>-338.67670021843901</v>
      </c>
    </row>
    <row r="5248" spans="1:8" x14ac:dyDescent="0.2">
      <c r="A5248" s="1027"/>
      <c r="B5248" s="1083">
        <f>Risk_Compensation!A$1</f>
        <v>36</v>
      </c>
      <c r="C5248" s="1390" t="str">
        <f>Risk_Compensation!$B$1</f>
        <v xml:space="preserve">Risikoausgleich </v>
      </c>
      <c r="D5248" s="1743" t="str">
        <f>Risk_Compensation!$AJ$14</f>
        <v>geschätzte Risikoausgleichssätze, pro Monat in CHF (ohne Entlastung junge Erwachsene)</v>
      </c>
      <c r="E5248" s="1390">
        <f>Risk_Compensation!$AJ24</f>
        <v>7</v>
      </c>
      <c r="F5248" s="1390" t="str">
        <f>Risk_Compensation!$K$17</f>
        <v>BE</v>
      </c>
      <c r="G5248" s="1390"/>
      <c r="H5248" s="1077">
        <f>Risk_Compensation!$AN24</f>
        <v>489.23945248054702</v>
      </c>
    </row>
    <row r="5249" spans="1:8" x14ac:dyDescent="0.2">
      <c r="A5249" s="1027"/>
      <c r="B5249" s="1083">
        <f>Risk_Compensation!A$1</f>
        <v>36</v>
      </c>
      <c r="C5249" s="1390" t="str">
        <f>Risk_Compensation!$B$1</f>
        <v xml:space="preserve">Risikoausgleich </v>
      </c>
      <c r="D5249" s="1743" t="str">
        <f>Risk_Compensation!$AJ$14</f>
        <v>geschätzte Risikoausgleichssätze, pro Monat in CHF (ohne Entlastung junge Erwachsene)</v>
      </c>
      <c r="E5249" s="1390">
        <f>Risk_Compensation!$AJ25</f>
        <v>8</v>
      </c>
      <c r="F5249" s="1390" t="str">
        <f>Risk_Compensation!$K$17</f>
        <v>BE</v>
      </c>
      <c r="G5249" s="1390"/>
      <c r="H5249" s="1077">
        <f>Risk_Compensation!$AN25</f>
        <v>-330.256491957332</v>
      </c>
    </row>
    <row r="5250" spans="1:8" x14ac:dyDescent="0.2">
      <c r="A5250" s="1027"/>
      <c r="B5250" s="1083">
        <f>Risk_Compensation!A$1</f>
        <v>36</v>
      </c>
      <c r="C5250" s="1390" t="str">
        <f>Risk_Compensation!$B$1</f>
        <v xml:space="preserve">Risikoausgleich </v>
      </c>
      <c r="D5250" s="1743" t="str">
        <f>Risk_Compensation!$AJ$14</f>
        <v>geschätzte Risikoausgleichssätze, pro Monat in CHF (ohne Entlastung junge Erwachsene)</v>
      </c>
      <c r="E5250" s="1390">
        <f>Risk_Compensation!$AJ26</f>
        <v>9</v>
      </c>
      <c r="F5250" s="1390" t="str">
        <f>Risk_Compensation!$K$17</f>
        <v>BE</v>
      </c>
      <c r="G5250" s="1390"/>
      <c r="H5250" s="1077">
        <f>Risk_Compensation!$AN26</f>
        <v>327.75010363102803</v>
      </c>
    </row>
    <row r="5251" spans="1:8" x14ac:dyDescent="0.2">
      <c r="A5251" s="1027"/>
      <c r="B5251" s="1083">
        <f>Risk_Compensation!A$1</f>
        <v>36</v>
      </c>
      <c r="C5251" s="1390" t="str">
        <f>Risk_Compensation!$B$1</f>
        <v xml:space="preserve">Risikoausgleich </v>
      </c>
      <c r="D5251" s="1743" t="str">
        <f>Risk_Compensation!$AJ$14</f>
        <v>geschätzte Risikoausgleichssätze, pro Monat in CHF (ohne Entlastung junge Erwachsene)</v>
      </c>
      <c r="E5251" s="1390">
        <f>Risk_Compensation!$AJ27</f>
        <v>10</v>
      </c>
      <c r="F5251" s="1390" t="str">
        <f>Risk_Compensation!$K$17</f>
        <v>BE</v>
      </c>
      <c r="G5251" s="1390"/>
      <c r="H5251" s="1077">
        <f>Risk_Compensation!$AN27</f>
        <v>-325.922467425658</v>
      </c>
    </row>
    <row r="5252" spans="1:8" x14ac:dyDescent="0.2">
      <c r="A5252" s="1027"/>
      <c r="B5252" s="1083">
        <f>Risk_Compensation!A$1</f>
        <v>36</v>
      </c>
      <c r="C5252" s="1390" t="str">
        <f>Risk_Compensation!$B$1</f>
        <v xml:space="preserve">Risikoausgleich </v>
      </c>
      <c r="D5252" s="1743" t="str">
        <f>Risk_Compensation!$AJ$14</f>
        <v>geschätzte Risikoausgleichssätze, pro Monat in CHF (ohne Entlastung junge Erwachsene)</v>
      </c>
      <c r="E5252" s="1390">
        <f>Risk_Compensation!$AJ28</f>
        <v>11</v>
      </c>
      <c r="F5252" s="1390" t="str">
        <f>Risk_Compensation!$K$17</f>
        <v>BE</v>
      </c>
      <c r="G5252" s="1390"/>
      <c r="H5252" s="1077">
        <f>Risk_Compensation!$AN28</f>
        <v>446.29408366078798</v>
      </c>
    </row>
    <row r="5253" spans="1:8" x14ac:dyDescent="0.2">
      <c r="A5253" s="1027"/>
      <c r="B5253" s="1083">
        <f>Risk_Compensation!A$1</f>
        <v>36</v>
      </c>
      <c r="C5253" s="1390" t="str">
        <f>Risk_Compensation!$B$1</f>
        <v xml:space="preserve">Risikoausgleich </v>
      </c>
      <c r="D5253" s="1743" t="str">
        <f>Risk_Compensation!$AJ$14</f>
        <v>geschätzte Risikoausgleichssätze, pro Monat in CHF (ohne Entlastung junge Erwachsene)</v>
      </c>
      <c r="E5253" s="1390">
        <f>Risk_Compensation!$AJ29</f>
        <v>12</v>
      </c>
      <c r="F5253" s="1390" t="str">
        <f>Risk_Compensation!$K$17</f>
        <v>BE</v>
      </c>
      <c r="G5253" s="1390"/>
      <c r="H5253" s="1077">
        <f>Risk_Compensation!$AN29</f>
        <v>-300.806962436861</v>
      </c>
    </row>
    <row r="5254" spans="1:8" x14ac:dyDescent="0.2">
      <c r="A5254" s="1027"/>
      <c r="B5254" s="1083">
        <f>Risk_Compensation!A$1</f>
        <v>36</v>
      </c>
      <c r="C5254" s="1390" t="str">
        <f>Risk_Compensation!$B$1</f>
        <v xml:space="preserve">Risikoausgleich </v>
      </c>
      <c r="D5254" s="1743" t="str">
        <f>Risk_Compensation!$AJ$14</f>
        <v>geschätzte Risikoausgleichssätze, pro Monat in CHF (ohne Entlastung junge Erwachsene)</v>
      </c>
      <c r="E5254" s="1390">
        <f>Risk_Compensation!$AJ30</f>
        <v>13</v>
      </c>
      <c r="F5254" s="1390" t="str">
        <f>Risk_Compensation!$K$17</f>
        <v>BE</v>
      </c>
      <c r="G5254" s="1390"/>
      <c r="H5254" s="1077">
        <f>Risk_Compensation!$AN30</f>
        <v>436.08161325511497</v>
      </c>
    </row>
    <row r="5255" spans="1:8" x14ac:dyDescent="0.2">
      <c r="A5255" s="1027"/>
      <c r="B5255" s="1083">
        <f>Risk_Compensation!A$1</f>
        <v>36</v>
      </c>
      <c r="C5255" s="1390" t="str">
        <f>Risk_Compensation!$B$1</f>
        <v xml:space="preserve">Risikoausgleich </v>
      </c>
      <c r="D5255" s="1743" t="str">
        <f>Risk_Compensation!$AJ$14</f>
        <v>geschätzte Risikoausgleichssätze, pro Monat in CHF (ohne Entlastung junge Erwachsene)</v>
      </c>
      <c r="E5255" s="1390">
        <f>Risk_Compensation!$AJ31</f>
        <v>14</v>
      </c>
      <c r="F5255" s="1390" t="str">
        <f>Risk_Compensation!$K$17</f>
        <v>BE</v>
      </c>
      <c r="G5255" s="1390"/>
      <c r="H5255" s="1077">
        <f>Risk_Compensation!$AN31</f>
        <v>-273.15961684530299</v>
      </c>
    </row>
    <row r="5256" spans="1:8" x14ac:dyDescent="0.2">
      <c r="A5256" s="1027"/>
      <c r="B5256" s="1083">
        <f>Risk_Compensation!A$1</f>
        <v>36</v>
      </c>
      <c r="C5256" s="1390" t="str">
        <f>Risk_Compensation!$B$1</f>
        <v xml:space="preserve">Risikoausgleich </v>
      </c>
      <c r="D5256" s="1743" t="str">
        <f>Risk_Compensation!$AJ$14</f>
        <v>geschätzte Risikoausgleichssätze, pro Monat in CHF (ohne Entlastung junge Erwachsene)</v>
      </c>
      <c r="E5256" s="1390">
        <f>Risk_Compensation!$AJ32</f>
        <v>15</v>
      </c>
      <c r="F5256" s="1390" t="str">
        <f>Risk_Compensation!$K$17</f>
        <v>BE</v>
      </c>
      <c r="G5256" s="1390"/>
      <c r="H5256" s="1077">
        <f>Risk_Compensation!$AN32</f>
        <v>557.26088801102696</v>
      </c>
    </row>
    <row r="5257" spans="1:8" x14ac:dyDescent="0.2">
      <c r="A5257" s="1027"/>
      <c r="B5257" s="1083">
        <f>Risk_Compensation!A$1</f>
        <v>36</v>
      </c>
      <c r="C5257" s="1390" t="str">
        <f>Risk_Compensation!$B$1</f>
        <v xml:space="preserve">Risikoausgleich </v>
      </c>
      <c r="D5257" s="1743" t="str">
        <f>Risk_Compensation!$AJ$14</f>
        <v>geschätzte Risikoausgleichssätze, pro Monat in CHF (ohne Entlastung junge Erwachsene)</v>
      </c>
      <c r="E5257" s="1390">
        <f>Risk_Compensation!$AJ33</f>
        <v>16</v>
      </c>
      <c r="F5257" s="1390" t="str">
        <f>Risk_Compensation!$K$17</f>
        <v>BE</v>
      </c>
      <c r="G5257" s="1390"/>
      <c r="H5257" s="1077">
        <f>Risk_Compensation!$AN33</f>
        <v>-245.498542901105</v>
      </c>
    </row>
    <row r="5258" spans="1:8" x14ac:dyDescent="0.2">
      <c r="A5258" s="1027"/>
      <c r="B5258" s="1083">
        <f>Risk_Compensation!A$1</f>
        <v>36</v>
      </c>
      <c r="C5258" s="1390" t="str">
        <f>Risk_Compensation!$B$1</f>
        <v xml:space="preserve">Risikoausgleich </v>
      </c>
      <c r="D5258" s="1743" t="str">
        <f>Risk_Compensation!$AJ$14</f>
        <v>geschätzte Risikoausgleichssätze, pro Monat in CHF (ohne Entlastung junge Erwachsene)</v>
      </c>
      <c r="E5258" s="1390">
        <f>Risk_Compensation!$AJ34</f>
        <v>17</v>
      </c>
      <c r="F5258" s="1390" t="str">
        <f>Risk_Compensation!$K$17</f>
        <v>BE</v>
      </c>
      <c r="G5258" s="1390"/>
      <c r="H5258" s="1077">
        <f>Risk_Compensation!$AN34</f>
        <v>468.67462078369601</v>
      </c>
    </row>
    <row r="5259" spans="1:8" x14ac:dyDescent="0.2">
      <c r="A5259" s="1027"/>
      <c r="B5259" s="1083">
        <f>Risk_Compensation!A$1</f>
        <v>36</v>
      </c>
      <c r="C5259" s="1390" t="str">
        <f>Risk_Compensation!$B$1</f>
        <v xml:space="preserve">Risikoausgleich </v>
      </c>
      <c r="D5259" s="1743" t="str">
        <f>Risk_Compensation!$AJ$14</f>
        <v>geschätzte Risikoausgleichssätze, pro Monat in CHF (ohne Entlastung junge Erwachsene)</v>
      </c>
      <c r="E5259" s="1390">
        <f>Risk_Compensation!$AJ35</f>
        <v>18</v>
      </c>
      <c r="F5259" s="1390" t="str">
        <f>Risk_Compensation!$K$17</f>
        <v>BE</v>
      </c>
      <c r="G5259" s="1390"/>
      <c r="H5259" s="1077">
        <f>Risk_Compensation!$AN35</f>
        <v>-184.72166659258201</v>
      </c>
    </row>
    <row r="5260" spans="1:8" x14ac:dyDescent="0.2">
      <c r="A5260" s="1027"/>
      <c r="B5260" s="1083">
        <f>Risk_Compensation!A$1</f>
        <v>36</v>
      </c>
      <c r="C5260" s="1390" t="str">
        <f>Risk_Compensation!$B$1</f>
        <v xml:space="preserve">Risikoausgleich </v>
      </c>
      <c r="D5260" s="1743" t="str">
        <f>Risk_Compensation!$AJ$14</f>
        <v>geschätzte Risikoausgleichssätze, pro Monat in CHF (ohne Entlastung junge Erwachsene)</v>
      </c>
      <c r="E5260" s="1390">
        <f>Risk_Compensation!$AJ36</f>
        <v>19</v>
      </c>
      <c r="F5260" s="1390" t="str">
        <f>Risk_Compensation!$K$17</f>
        <v>BE</v>
      </c>
      <c r="G5260" s="1390"/>
      <c r="H5260" s="1077">
        <f>Risk_Compensation!$AN36</f>
        <v>656.59386691879695</v>
      </c>
    </row>
    <row r="5261" spans="1:8" x14ac:dyDescent="0.2">
      <c r="A5261" s="1027"/>
      <c r="B5261" s="1083">
        <f>Risk_Compensation!A$1</f>
        <v>36</v>
      </c>
      <c r="C5261" s="1390" t="str">
        <f>Risk_Compensation!$B$1</f>
        <v xml:space="preserve">Risikoausgleich </v>
      </c>
      <c r="D5261" s="1743" t="str">
        <f>Risk_Compensation!$AJ$14</f>
        <v>geschätzte Risikoausgleichssätze, pro Monat in CHF (ohne Entlastung junge Erwachsene)</v>
      </c>
      <c r="E5261" s="1390">
        <f>Risk_Compensation!$AJ37</f>
        <v>20</v>
      </c>
      <c r="F5261" s="1390" t="str">
        <f>Risk_Compensation!$K$17</f>
        <v>BE</v>
      </c>
      <c r="G5261" s="1390"/>
      <c r="H5261" s="1077">
        <f>Risk_Compensation!$AN37</f>
        <v>-116.23978457674001</v>
      </c>
    </row>
    <row r="5262" spans="1:8" x14ac:dyDescent="0.2">
      <c r="A5262" s="1027"/>
      <c r="B5262" s="1083">
        <f>Risk_Compensation!A$1</f>
        <v>36</v>
      </c>
      <c r="C5262" s="1390" t="str">
        <f>Risk_Compensation!$B$1</f>
        <v xml:space="preserve">Risikoausgleich </v>
      </c>
      <c r="D5262" s="1743" t="str">
        <f>Risk_Compensation!$AJ$14</f>
        <v>geschätzte Risikoausgleichssätze, pro Monat in CHF (ohne Entlastung junge Erwachsene)</v>
      </c>
      <c r="E5262" s="1390">
        <f>Risk_Compensation!$AJ38</f>
        <v>21</v>
      </c>
      <c r="F5262" s="1390" t="str">
        <f>Risk_Compensation!$K$17</f>
        <v>BE</v>
      </c>
      <c r="G5262" s="1390"/>
      <c r="H5262" s="1077">
        <f>Risk_Compensation!$AN38</f>
        <v>752.79144655092603</v>
      </c>
    </row>
    <row r="5263" spans="1:8" x14ac:dyDescent="0.2">
      <c r="A5263" s="1027"/>
      <c r="B5263" s="1083">
        <f>Risk_Compensation!A$1</f>
        <v>36</v>
      </c>
      <c r="C5263" s="1390" t="str">
        <f>Risk_Compensation!$B$1</f>
        <v xml:space="preserve">Risikoausgleich </v>
      </c>
      <c r="D5263" s="1743" t="str">
        <f>Risk_Compensation!$AJ$14</f>
        <v>geschätzte Risikoausgleichssätze, pro Monat in CHF (ohne Entlastung junge Erwachsene)</v>
      </c>
      <c r="E5263" s="1390">
        <f>Risk_Compensation!$AJ39</f>
        <v>22</v>
      </c>
      <c r="F5263" s="1390" t="str">
        <f>Risk_Compensation!$K$17</f>
        <v>BE</v>
      </c>
      <c r="G5263" s="1390"/>
      <c r="H5263" s="1077">
        <f>Risk_Compensation!$AN39</f>
        <v>-57.2847474285416</v>
      </c>
    </row>
    <row r="5264" spans="1:8" x14ac:dyDescent="0.2">
      <c r="A5264" s="1027"/>
      <c r="B5264" s="1083">
        <f>Risk_Compensation!A$1</f>
        <v>36</v>
      </c>
      <c r="C5264" s="1390" t="str">
        <f>Risk_Compensation!$B$1</f>
        <v xml:space="preserve">Risikoausgleich </v>
      </c>
      <c r="D5264" s="1743" t="str">
        <f>Risk_Compensation!$AJ$14</f>
        <v>geschätzte Risikoausgleichssätze, pro Monat in CHF (ohne Entlastung junge Erwachsene)</v>
      </c>
      <c r="E5264" s="1390">
        <f>Risk_Compensation!$AJ40</f>
        <v>23</v>
      </c>
      <c r="F5264" s="1390" t="str">
        <f>Risk_Compensation!$K$17</f>
        <v>BE</v>
      </c>
      <c r="G5264" s="1390"/>
      <c r="H5264" s="1077">
        <f>Risk_Compensation!$AN40</f>
        <v>914.07732037743199</v>
      </c>
    </row>
    <row r="5265" spans="1:8" x14ac:dyDescent="0.2">
      <c r="A5265" s="1027"/>
      <c r="B5265" s="1083">
        <f>Risk_Compensation!A$1</f>
        <v>36</v>
      </c>
      <c r="C5265" s="1390" t="str">
        <f>Risk_Compensation!$B$1</f>
        <v xml:space="preserve">Risikoausgleich </v>
      </c>
      <c r="D5265" s="1743" t="str">
        <f>Risk_Compensation!$AJ$14</f>
        <v>geschätzte Risikoausgleichssätze, pro Monat in CHF (ohne Entlastung junge Erwachsene)</v>
      </c>
      <c r="E5265" s="1390">
        <f>Risk_Compensation!$AJ41</f>
        <v>24</v>
      </c>
      <c r="F5265" s="1390" t="str">
        <f>Risk_Compensation!$K$17</f>
        <v>BE</v>
      </c>
      <c r="G5265" s="1390"/>
      <c r="H5265" s="1077">
        <f>Risk_Compensation!$AN41</f>
        <v>27.619181146065898</v>
      </c>
    </row>
    <row r="5266" spans="1:8" x14ac:dyDescent="0.2">
      <c r="A5266" s="1027"/>
      <c r="B5266" s="1083">
        <f>Risk_Compensation!A$1</f>
        <v>36</v>
      </c>
      <c r="C5266" s="1390" t="str">
        <f>Risk_Compensation!$B$1</f>
        <v xml:space="preserve">Risikoausgleich </v>
      </c>
      <c r="D5266" s="1743" t="str">
        <f>Risk_Compensation!$AJ$14</f>
        <v>geschätzte Risikoausgleichssätze, pro Monat in CHF (ohne Entlastung junge Erwachsene)</v>
      </c>
      <c r="E5266" s="1390">
        <f>Risk_Compensation!$AJ42</f>
        <v>25</v>
      </c>
      <c r="F5266" s="1390" t="str">
        <f>Risk_Compensation!$K$17</f>
        <v>BE</v>
      </c>
      <c r="G5266" s="1390"/>
      <c r="H5266" s="1077">
        <f>Risk_Compensation!$AN42</f>
        <v>1003.114881584</v>
      </c>
    </row>
    <row r="5267" spans="1:8" x14ac:dyDescent="0.2">
      <c r="A5267" s="1027"/>
      <c r="B5267" s="1083">
        <f>Risk_Compensation!A$1</f>
        <v>36</v>
      </c>
      <c r="C5267" s="1390" t="str">
        <f>Risk_Compensation!$B$1</f>
        <v xml:space="preserve">Risikoausgleich </v>
      </c>
      <c r="D5267" s="1743" t="str">
        <f>Risk_Compensation!$AJ$14</f>
        <v>geschätzte Risikoausgleichssätze, pro Monat in CHF (ohne Entlastung junge Erwachsene)</v>
      </c>
      <c r="E5267" s="1390">
        <f>Risk_Compensation!$AJ43</f>
        <v>26</v>
      </c>
      <c r="F5267" s="1390" t="str">
        <f>Risk_Compensation!$K$17</f>
        <v>BE</v>
      </c>
      <c r="G5267" s="1390"/>
      <c r="H5267" s="1077">
        <f>Risk_Compensation!$AN43</f>
        <v>113.85182911758901</v>
      </c>
    </row>
    <row r="5268" spans="1:8" x14ac:dyDescent="0.2">
      <c r="A5268" s="1027"/>
      <c r="B5268" s="1083">
        <f>Risk_Compensation!A$1</f>
        <v>36</v>
      </c>
      <c r="C5268" s="1390" t="str">
        <f>Risk_Compensation!$B$1</f>
        <v xml:space="preserve">Risikoausgleich </v>
      </c>
      <c r="D5268" s="1743" t="str">
        <f>Risk_Compensation!$AJ$14</f>
        <v>geschätzte Risikoausgleichssätze, pro Monat in CHF (ohne Entlastung junge Erwachsene)</v>
      </c>
      <c r="E5268" s="1390">
        <f>Risk_Compensation!$AJ44</f>
        <v>27</v>
      </c>
      <c r="F5268" s="1390" t="str">
        <f>Risk_Compensation!$K$17</f>
        <v>BE</v>
      </c>
      <c r="G5268" s="1390"/>
      <c r="H5268" s="1077">
        <f>Risk_Compensation!$AN44</f>
        <v>1196.0944514348801</v>
      </c>
    </row>
    <row r="5269" spans="1:8" x14ac:dyDescent="0.2">
      <c r="A5269" s="1027"/>
      <c r="B5269" s="1083">
        <f>Risk_Compensation!A$1</f>
        <v>36</v>
      </c>
      <c r="C5269" s="1390" t="str">
        <f>Risk_Compensation!$B$1</f>
        <v xml:space="preserve">Risikoausgleich </v>
      </c>
      <c r="D5269" s="1743" t="str">
        <f>Risk_Compensation!$AJ$14</f>
        <v>geschätzte Risikoausgleichssätze, pro Monat in CHF (ohne Entlastung junge Erwachsene)</v>
      </c>
      <c r="E5269" s="1390">
        <f>Risk_Compensation!$AJ45</f>
        <v>28</v>
      </c>
      <c r="F5269" s="1390" t="str">
        <f>Risk_Compensation!$K$17</f>
        <v>BE</v>
      </c>
      <c r="G5269" s="1390"/>
      <c r="H5269" s="1077">
        <f>Risk_Compensation!$AN45</f>
        <v>236.43361702614999</v>
      </c>
    </row>
    <row r="5270" spans="1:8" x14ac:dyDescent="0.2">
      <c r="A5270" s="1027"/>
      <c r="B5270" s="1083">
        <f>Risk_Compensation!A$1</f>
        <v>36</v>
      </c>
      <c r="C5270" s="1390" t="str">
        <f>Risk_Compensation!$B$1</f>
        <v xml:space="preserve">Risikoausgleich </v>
      </c>
      <c r="D5270" s="1743" t="str">
        <f>Risk_Compensation!$AJ$14</f>
        <v>geschätzte Risikoausgleichssätze, pro Monat in CHF (ohne Entlastung junge Erwachsene)</v>
      </c>
      <c r="E5270" s="1390">
        <f>Risk_Compensation!$AJ46</f>
        <v>29</v>
      </c>
      <c r="F5270" s="1390" t="str">
        <f>Risk_Compensation!$K$17</f>
        <v>BE</v>
      </c>
      <c r="G5270" s="1390"/>
      <c r="H5270" s="1077">
        <f>Risk_Compensation!$AN46</f>
        <v>1505.78626136003</v>
      </c>
    </row>
    <row r="5271" spans="1:8" x14ac:dyDescent="0.2">
      <c r="A5271" s="1027"/>
      <c r="B5271" s="1083">
        <f>Risk_Compensation!A$1</f>
        <v>36</v>
      </c>
      <c r="C5271" s="1390" t="str">
        <f>Risk_Compensation!$B$1</f>
        <v xml:space="preserve">Risikoausgleich </v>
      </c>
      <c r="D5271" s="1743" t="str">
        <f>Risk_Compensation!$AJ$14</f>
        <v>geschätzte Risikoausgleichssätze, pro Monat in CHF (ohne Entlastung junge Erwachsene)</v>
      </c>
      <c r="E5271" s="1390">
        <f>Risk_Compensation!$AJ47</f>
        <v>30</v>
      </c>
      <c r="F5271" s="1390" t="str">
        <f>Risk_Compensation!$K$17</f>
        <v>BE</v>
      </c>
      <c r="G5271" s="1390"/>
      <c r="H5271" s="1077">
        <f>Risk_Compensation!$AN47</f>
        <v>465.32965420672599</v>
      </c>
    </row>
    <row r="5272" spans="1:8" x14ac:dyDescent="0.2">
      <c r="A5272" s="1027"/>
      <c r="B5272" s="1083">
        <f>Risk_Compensation!A$1</f>
        <v>36</v>
      </c>
      <c r="C5272" s="1390" t="str">
        <f>Risk_Compensation!$B$1</f>
        <v xml:space="preserve">Risikoausgleich </v>
      </c>
      <c r="D5272" s="1743" t="str">
        <f>Risk_Compensation!$AJ$14</f>
        <v>geschätzte Risikoausgleichssätze, pro Monat in CHF (ohne Entlastung junge Erwachsene)</v>
      </c>
      <c r="E5272" s="1390">
        <f>Risk_Compensation!$AJ48</f>
        <v>31</v>
      </c>
      <c r="F5272" s="1390" t="str">
        <f>Risk_Compensation!$K$17</f>
        <v>BE</v>
      </c>
      <c r="G5272" s="1390"/>
      <c r="H5272" s="1077">
        <f>Risk_Compensation!$AN48</f>
        <v>516.35433667257303</v>
      </c>
    </row>
    <row r="5273" spans="1:8" x14ac:dyDescent="0.2">
      <c r="A5273" s="1027"/>
      <c r="B5273" s="1083">
        <f>Risk_Compensation!A$1</f>
        <v>36</v>
      </c>
      <c r="C5273" s="1390" t="str">
        <f>Risk_Compensation!$B$1</f>
        <v xml:space="preserve">Risikoausgleich </v>
      </c>
      <c r="D5273" s="1743" t="str">
        <f>Risk_Compensation!$AJ$14</f>
        <v>geschätzte Risikoausgleichssätze, pro Monat in CHF (ohne Entlastung junge Erwachsene)</v>
      </c>
      <c r="E5273" s="1390">
        <f>Risk_Compensation!$AJ49</f>
        <v>32</v>
      </c>
      <c r="F5273" s="1390" t="str">
        <f>Risk_Compensation!$K$17</f>
        <v>BE</v>
      </c>
      <c r="G5273" s="1390"/>
      <c r="H5273" s="1077">
        <f>Risk_Compensation!$AN49</f>
        <v>-274.73657065082199</v>
      </c>
    </row>
    <row r="5274" spans="1:8" x14ac:dyDescent="0.2">
      <c r="A5274" s="1027"/>
      <c r="B5274" s="1083">
        <f>Risk_Compensation!A$1</f>
        <v>36</v>
      </c>
      <c r="C5274" s="1390" t="str">
        <f>Risk_Compensation!$B$1</f>
        <v xml:space="preserve">Risikoausgleich </v>
      </c>
      <c r="D5274" s="1743" t="str">
        <f>Risk_Compensation!$AJ$14</f>
        <v>geschätzte Risikoausgleichssätze, pro Monat in CHF (ohne Entlastung junge Erwachsene)</v>
      </c>
      <c r="E5274" s="1390">
        <f>Risk_Compensation!$AJ50</f>
        <v>33</v>
      </c>
      <c r="F5274" s="1390" t="str">
        <f>Risk_Compensation!$K$17</f>
        <v>BE</v>
      </c>
      <c r="G5274" s="1390"/>
      <c r="H5274" s="1077">
        <f>Risk_Compensation!$AN50</f>
        <v>475.76402984568603</v>
      </c>
    </row>
    <row r="5275" spans="1:8" x14ac:dyDescent="0.2">
      <c r="A5275" s="1027"/>
      <c r="B5275" s="1083">
        <f>Risk_Compensation!A$1</f>
        <v>36</v>
      </c>
      <c r="C5275" s="1390" t="str">
        <f>Risk_Compensation!$B$1</f>
        <v xml:space="preserve">Risikoausgleich </v>
      </c>
      <c r="D5275" s="1743" t="str">
        <f>Risk_Compensation!$AJ$14</f>
        <v>geschätzte Risikoausgleichssätze, pro Monat in CHF (ohne Entlastung junge Erwachsene)</v>
      </c>
      <c r="E5275" s="1390">
        <f>Risk_Compensation!$AJ51</f>
        <v>34</v>
      </c>
      <c r="F5275" s="1390" t="str">
        <f>Risk_Compensation!$K$17</f>
        <v>BE</v>
      </c>
      <c r="G5275" s="1390"/>
      <c r="H5275" s="1077">
        <f>Risk_Compensation!$AN51</f>
        <v>-232.85865357872501</v>
      </c>
    </row>
    <row r="5276" spans="1:8" x14ac:dyDescent="0.2">
      <c r="A5276" s="1027"/>
      <c r="B5276" s="1083">
        <f>Risk_Compensation!A$1</f>
        <v>36</v>
      </c>
      <c r="C5276" s="1390" t="str">
        <f>Risk_Compensation!$B$1</f>
        <v xml:space="preserve">Risikoausgleich </v>
      </c>
      <c r="D5276" s="1743" t="str">
        <f>Risk_Compensation!$AJ$14</f>
        <v>geschätzte Risikoausgleichssätze, pro Monat in CHF (ohne Entlastung junge Erwachsene)</v>
      </c>
      <c r="E5276" s="1390">
        <f>Risk_Compensation!$AJ52</f>
        <v>35</v>
      </c>
      <c r="F5276" s="1390" t="str">
        <f>Risk_Compensation!$K$17</f>
        <v>BE</v>
      </c>
      <c r="G5276" s="1390"/>
      <c r="H5276" s="1077">
        <f>Risk_Compensation!$AN52</f>
        <v>295.527801997898</v>
      </c>
    </row>
    <row r="5277" spans="1:8" x14ac:dyDescent="0.2">
      <c r="A5277" s="1027"/>
      <c r="B5277" s="1083">
        <f>Risk_Compensation!A$1</f>
        <v>36</v>
      </c>
      <c r="C5277" s="1390" t="str">
        <f>Risk_Compensation!$B$1</f>
        <v xml:space="preserve">Risikoausgleich </v>
      </c>
      <c r="D5277" s="1743" t="str">
        <f>Risk_Compensation!$AJ$14</f>
        <v>geschätzte Risikoausgleichssätze, pro Monat in CHF (ohne Entlastung junge Erwachsene)</v>
      </c>
      <c r="E5277" s="1390">
        <f>Risk_Compensation!$AJ53</f>
        <v>36</v>
      </c>
      <c r="F5277" s="1390" t="str">
        <f>Risk_Compensation!$K$17</f>
        <v>BE</v>
      </c>
      <c r="G5277" s="1390"/>
      <c r="H5277" s="1077">
        <f>Risk_Compensation!$AN53</f>
        <v>-195.556892801982</v>
      </c>
    </row>
    <row r="5278" spans="1:8" x14ac:dyDescent="0.2">
      <c r="A5278" s="1027"/>
      <c r="B5278" s="1083">
        <f>Risk_Compensation!A$1</f>
        <v>36</v>
      </c>
      <c r="C5278" s="1390" t="str">
        <f>Risk_Compensation!$B$1</f>
        <v xml:space="preserve">Risikoausgleich </v>
      </c>
      <c r="D5278" s="1743" t="str">
        <f>Risk_Compensation!$AJ$14</f>
        <v>geschätzte Risikoausgleichssätze, pro Monat in CHF (ohne Entlastung junge Erwachsene)</v>
      </c>
      <c r="E5278" s="1390">
        <f>Risk_Compensation!$AJ54</f>
        <v>37</v>
      </c>
      <c r="F5278" s="1390" t="str">
        <f>Risk_Compensation!$K$17</f>
        <v>BE</v>
      </c>
      <c r="G5278" s="1390"/>
      <c r="H5278" s="1077">
        <f>Risk_Compensation!$AN54</f>
        <v>423.36283674445002</v>
      </c>
    </row>
    <row r="5279" spans="1:8" x14ac:dyDescent="0.2">
      <c r="A5279" s="1027"/>
      <c r="B5279" s="1083">
        <f>Risk_Compensation!A$1</f>
        <v>36</v>
      </c>
      <c r="C5279" s="1390" t="str">
        <f>Risk_Compensation!$B$1</f>
        <v xml:space="preserve">Risikoausgleich </v>
      </c>
      <c r="D5279" s="1743" t="str">
        <f>Risk_Compensation!$AJ$14</f>
        <v>geschätzte Risikoausgleichssätze, pro Monat in CHF (ohne Entlastung junge Erwachsene)</v>
      </c>
      <c r="E5279" s="1390">
        <f>Risk_Compensation!$AJ55</f>
        <v>38</v>
      </c>
      <c r="F5279" s="1390" t="str">
        <f>Risk_Compensation!$K$17</f>
        <v>BE</v>
      </c>
      <c r="G5279" s="1390"/>
      <c r="H5279" s="1077">
        <f>Risk_Compensation!$AN55</f>
        <v>-233.697678508704</v>
      </c>
    </row>
    <row r="5280" spans="1:8" x14ac:dyDescent="0.2">
      <c r="A5280" s="1027"/>
      <c r="B5280" s="1083">
        <f>Risk_Compensation!A$1</f>
        <v>36</v>
      </c>
      <c r="C5280" s="1390" t="str">
        <f>Risk_Compensation!$B$1</f>
        <v xml:space="preserve">Risikoausgleich </v>
      </c>
      <c r="D5280" s="1743" t="str">
        <f>Risk_Compensation!$AJ$14</f>
        <v>geschätzte Risikoausgleichssätze, pro Monat in CHF (ohne Entlastung junge Erwachsene)</v>
      </c>
      <c r="E5280" s="1390">
        <f>Risk_Compensation!$AJ56</f>
        <v>39</v>
      </c>
      <c r="F5280" s="1390" t="str">
        <f>Risk_Compensation!$K$17</f>
        <v>BE</v>
      </c>
      <c r="G5280" s="1390"/>
      <c r="H5280" s="1077">
        <f>Risk_Compensation!$AN56</f>
        <v>182.541843658028</v>
      </c>
    </row>
    <row r="5281" spans="1:8" x14ac:dyDescent="0.2">
      <c r="A5281" s="1027"/>
      <c r="B5281" s="1083">
        <f>Risk_Compensation!A$1</f>
        <v>36</v>
      </c>
      <c r="C5281" s="1390" t="str">
        <f>Risk_Compensation!$B$1</f>
        <v xml:space="preserve">Risikoausgleich </v>
      </c>
      <c r="D5281" s="1743" t="str">
        <f>Risk_Compensation!$AJ$14</f>
        <v>geschätzte Risikoausgleichssätze, pro Monat in CHF (ohne Entlastung junge Erwachsene)</v>
      </c>
      <c r="E5281" s="1390">
        <f>Risk_Compensation!$AJ57</f>
        <v>40</v>
      </c>
      <c r="F5281" s="1390" t="str">
        <f>Risk_Compensation!$K$17</f>
        <v>BE</v>
      </c>
      <c r="G5281" s="1390"/>
      <c r="H5281" s="1077">
        <f>Risk_Compensation!$AN57</f>
        <v>-269.78193293826098</v>
      </c>
    </row>
    <row r="5282" spans="1:8" x14ac:dyDescent="0.2">
      <c r="A5282" s="1027"/>
      <c r="B5282" s="1083">
        <f>Risk_Compensation!A$1</f>
        <v>36</v>
      </c>
      <c r="C5282" s="1390" t="str">
        <f>Risk_Compensation!$B$1</f>
        <v xml:space="preserve">Risikoausgleich </v>
      </c>
      <c r="D5282" s="1743" t="str">
        <f>Risk_Compensation!$AJ$14</f>
        <v>geschätzte Risikoausgleichssätze, pro Monat in CHF (ohne Entlastung junge Erwachsene)</v>
      </c>
      <c r="E5282" s="1390">
        <f>Risk_Compensation!$AJ58</f>
        <v>41</v>
      </c>
      <c r="F5282" s="1390" t="str">
        <f>Risk_Compensation!$K$17</f>
        <v>BE</v>
      </c>
      <c r="G5282" s="1390"/>
      <c r="H5282" s="1077">
        <f>Risk_Compensation!$AN58</f>
        <v>393.12772576259999</v>
      </c>
    </row>
    <row r="5283" spans="1:8" x14ac:dyDescent="0.2">
      <c r="A5283" s="1027"/>
      <c r="B5283" s="1083">
        <f>Risk_Compensation!A$1</f>
        <v>36</v>
      </c>
      <c r="C5283" s="1390" t="str">
        <f>Risk_Compensation!$B$1</f>
        <v xml:space="preserve">Risikoausgleich </v>
      </c>
      <c r="D5283" s="1743" t="str">
        <f>Risk_Compensation!$AJ$14</f>
        <v>geschätzte Risikoausgleichssätze, pro Monat in CHF (ohne Entlastung junge Erwachsene)</v>
      </c>
      <c r="E5283" s="1390">
        <f>Risk_Compensation!$AJ59</f>
        <v>42</v>
      </c>
      <c r="F5283" s="1390" t="str">
        <f>Risk_Compensation!$K$17</f>
        <v>BE</v>
      </c>
      <c r="G5283" s="1390"/>
      <c r="H5283" s="1077">
        <f>Risk_Compensation!$AN59</f>
        <v>-262.13445119669598</v>
      </c>
    </row>
    <row r="5284" spans="1:8" x14ac:dyDescent="0.2">
      <c r="A5284" s="1027"/>
      <c r="B5284" s="1083">
        <f>Risk_Compensation!A$1</f>
        <v>36</v>
      </c>
      <c r="C5284" s="1390" t="str">
        <f>Risk_Compensation!$B$1</f>
        <v xml:space="preserve">Risikoausgleich </v>
      </c>
      <c r="D5284" s="1743" t="str">
        <f>Risk_Compensation!$AJ$14</f>
        <v>geschätzte Risikoausgleichssätze, pro Monat in CHF (ohne Entlastung junge Erwachsene)</v>
      </c>
      <c r="E5284" s="1390">
        <f>Risk_Compensation!$AJ60</f>
        <v>43</v>
      </c>
      <c r="F5284" s="1390" t="str">
        <f>Risk_Compensation!$K$17</f>
        <v>BE</v>
      </c>
      <c r="G5284" s="1390"/>
      <c r="H5284" s="1077">
        <f>Risk_Compensation!$AN60</f>
        <v>381.14779660663999</v>
      </c>
    </row>
    <row r="5285" spans="1:8" x14ac:dyDescent="0.2">
      <c r="A5285" s="1027"/>
      <c r="B5285" s="1083">
        <f>Risk_Compensation!A$1</f>
        <v>36</v>
      </c>
      <c r="C5285" s="1390" t="str">
        <f>Risk_Compensation!$B$1</f>
        <v xml:space="preserve">Risikoausgleich </v>
      </c>
      <c r="D5285" s="1743" t="str">
        <f>Risk_Compensation!$AJ$14</f>
        <v>geschätzte Risikoausgleichssätze, pro Monat in CHF (ohne Entlastung junge Erwachsene)</v>
      </c>
      <c r="E5285" s="1390">
        <f>Risk_Compensation!$AJ61</f>
        <v>44</v>
      </c>
      <c r="F5285" s="1390" t="str">
        <f>Risk_Compensation!$K$17</f>
        <v>BE</v>
      </c>
      <c r="G5285" s="1390"/>
      <c r="H5285" s="1077">
        <f>Risk_Compensation!$AN61</f>
        <v>-244.014514474051</v>
      </c>
    </row>
    <row r="5286" spans="1:8" x14ac:dyDescent="0.2">
      <c r="A5286" s="1027"/>
      <c r="B5286" s="1083">
        <f>Risk_Compensation!A$1</f>
        <v>36</v>
      </c>
      <c r="C5286" s="1390" t="str">
        <f>Risk_Compensation!$B$1</f>
        <v xml:space="preserve">Risikoausgleich </v>
      </c>
      <c r="D5286" s="1743" t="str">
        <f>Risk_Compensation!$AJ$14</f>
        <v>geschätzte Risikoausgleichssätze, pro Monat in CHF (ohne Entlastung junge Erwachsene)</v>
      </c>
      <c r="E5286" s="1390">
        <f>Risk_Compensation!$AJ62</f>
        <v>45</v>
      </c>
      <c r="F5286" s="1390" t="str">
        <f>Risk_Compensation!$K$17</f>
        <v>BE</v>
      </c>
      <c r="G5286" s="1390"/>
      <c r="H5286" s="1077">
        <f>Risk_Compensation!$AN62</f>
        <v>367.35529421983802</v>
      </c>
    </row>
    <row r="5287" spans="1:8" x14ac:dyDescent="0.2">
      <c r="A5287" s="1027"/>
      <c r="B5287" s="1083">
        <f>Risk_Compensation!A$1</f>
        <v>36</v>
      </c>
      <c r="C5287" s="1390" t="str">
        <f>Risk_Compensation!$B$1</f>
        <v xml:space="preserve">Risikoausgleich </v>
      </c>
      <c r="D5287" s="1743" t="str">
        <f>Risk_Compensation!$AJ$14</f>
        <v>geschätzte Risikoausgleichssätze, pro Monat in CHF (ohne Entlastung junge Erwachsene)</v>
      </c>
      <c r="E5287" s="1390">
        <f>Risk_Compensation!$AJ63</f>
        <v>46</v>
      </c>
      <c r="F5287" s="1390" t="str">
        <f>Risk_Compensation!$K$17</f>
        <v>BE</v>
      </c>
      <c r="G5287" s="1390"/>
      <c r="H5287" s="1077">
        <f>Risk_Compensation!$AN63</f>
        <v>-231.71417490689399</v>
      </c>
    </row>
    <row r="5288" spans="1:8" x14ac:dyDescent="0.2">
      <c r="A5288" s="1027"/>
      <c r="B5288" s="1083">
        <f>Risk_Compensation!A$1</f>
        <v>36</v>
      </c>
      <c r="C5288" s="1390" t="str">
        <f>Risk_Compensation!$B$1</f>
        <v xml:space="preserve">Risikoausgleich </v>
      </c>
      <c r="D5288" s="1743" t="str">
        <f>Risk_Compensation!$AJ$14</f>
        <v>geschätzte Risikoausgleichssätze, pro Monat in CHF (ohne Entlastung junge Erwachsene)</v>
      </c>
      <c r="E5288" s="1390">
        <f>Risk_Compensation!$AJ64</f>
        <v>47</v>
      </c>
      <c r="F5288" s="1390" t="str">
        <f>Risk_Compensation!$K$17</f>
        <v>BE</v>
      </c>
      <c r="G5288" s="1390"/>
      <c r="H5288" s="1077">
        <f>Risk_Compensation!$AN64</f>
        <v>461.155013598778</v>
      </c>
    </row>
    <row r="5289" spans="1:8" x14ac:dyDescent="0.2">
      <c r="A5289" s="1027"/>
      <c r="B5289" s="1083">
        <f>Risk_Compensation!A$1</f>
        <v>36</v>
      </c>
      <c r="C5289" s="1390" t="str">
        <f>Risk_Compensation!$B$1</f>
        <v xml:space="preserve">Risikoausgleich </v>
      </c>
      <c r="D5289" s="1743" t="str">
        <f>Risk_Compensation!$AJ$14</f>
        <v>geschätzte Risikoausgleichssätze, pro Monat in CHF (ohne Entlastung junge Erwachsene)</v>
      </c>
      <c r="E5289" s="1390">
        <f>Risk_Compensation!$AJ65</f>
        <v>48</v>
      </c>
      <c r="F5289" s="1390" t="str">
        <f>Risk_Compensation!$K$17</f>
        <v>BE</v>
      </c>
      <c r="G5289" s="1390"/>
      <c r="H5289" s="1077">
        <f>Risk_Compensation!$AN65</f>
        <v>-213.85847078232001</v>
      </c>
    </row>
    <row r="5290" spans="1:8" x14ac:dyDescent="0.2">
      <c r="A5290" s="1027"/>
      <c r="B5290" s="1083">
        <f>Risk_Compensation!A$1</f>
        <v>36</v>
      </c>
      <c r="C5290" s="1390" t="str">
        <f>Risk_Compensation!$B$1</f>
        <v xml:space="preserve">Risikoausgleich </v>
      </c>
      <c r="D5290" s="1743" t="str">
        <f>Risk_Compensation!$AJ$14</f>
        <v>geschätzte Risikoausgleichssätze, pro Monat in CHF (ohne Entlastung junge Erwachsene)</v>
      </c>
      <c r="E5290" s="1390">
        <f>Risk_Compensation!$AJ66</f>
        <v>49</v>
      </c>
      <c r="F5290" s="1390" t="str">
        <f>Risk_Compensation!$K$17</f>
        <v>BE</v>
      </c>
      <c r="G5290" s="1390"/>
      <c r="H5290" s="1077">
        <f>Risk_Compensation!$AN66</f>
        <v>470.22137677868102</v>
      </c>
    </row>
    <row r="5291" spans="1:8" x14ac:dyDescent="0.2">
      <c r="A5291" s="1027"/>
      <c r="B5291" s="1083">
        <f>Risk_Compensation!A$1</f>
        <v>36</v>
      </c>
      <c r="C5291" s="1390" t="str">
        <f>Risk_Compensation!$B$1</f>
        <v xml:space="preserve">Risikoausgleich </v>
      </c>
      <c r="D5291" s="1743" t="str">
        <f>Risk_Compensation!$AJ$14</f>
        <v>geschätzte Risikoausgleichssätze, pro Monat in CHF (ohne Entlastung junge Erwachsene)</v>
      </c>
      <c r="E5291" s="1390">
        <f>Risk_Compensation!$AJ67</f>
        <v>50</v>
      </c>
      <c r="F5291" s="1390" t="str">
        <f>Risk_Compensation!$K$17</f>
        <v>BE</v>
      </c>
      <c r="G5291" s="1390"/>
      <c r="H5291" s="1077">
        <f>Risk_Compensation!$AN67</f>
        <v>-151.33166280439801</v>
      </c>
    </row>
    <row r="5292" spans="1:8" x14ac:dyDescent="0.2">
      <c r="A5292" s="1027"/>
      <c r="B5292" s="1083">
        <f>Risk_Compensation!A$1</f>
        <v>36</v>
      </c>
      <c r="C5292" s="1390" t="str">
        <f>Risk_Compensation!$B$1</f>
        <v xml:space="preserve">Risikoausgleich </v>
      </c>
      <c r="D5292" s="1743" t="str">
        <f>Risk_Compensation!$AJ$14</f>
        <v>geschätzte Risikoausgleichssätze, pro Monat in CHF (ohne Entlastung junge Erwachsene)</v>
      </c>
      <c r="E5292" s="1390">
        <f>Risk_Compensation!$AJ68</f>
        <v>51</v>
      </c>
      <c r="F5292" s="1390" t="str">
        <f>Risk_Compensation!$K$17</f>
        <v>BE</v>
      </c>
      <c r="G5292" s="1390"/>
      <c r="H5292" s="1077">
        <f>Risk_Compensation!$AN68</f>
        <v>662.812308975875</v>
      </c>
    </row>
    <row r="5293" spans="1:8" x14ac:dyDescent="0.2">
      <c r="A5293" s="1027"/>
      <c r="B5293" s="1083">
        <f>Risk_Compensation!A$1</f>
        <v>36</v>
      </c>
      <c r="C5293" s="1390" t="str">
        <f>Risk_Compensation!$B$1</f>
        <v xml:space="preserve">Risikoausgleich </v>
      </c>
      <c r="D5293" s="1743" t="str">
        <f>Risk_Compensation!$AJ$14</f>
        <v>geschätzte Risikoausgleichssätze, pro Monat in CHF (ohne Entlastung junge Erwachsene)</v>
      </c>
      <c r="E5293" s="1390">
        <f>Risk_Compensation!$AJ69</f>
        <v>52</v>
      </c>
      <c r="F5293" s="1390" t="str">
        <f>Risk_Compensation!$K$17</f>
        <v>BE</v>
      </c>
      <c r="G5293" s="1390"/>
      <c r="H5293" s="1077">
        <f>Risk_Compensation!$AN69</f>
        <v>-92.445886326434604</v>
      </c>
    </row>
    <row r="5294" spans="1:8" x14ac:dyDescent="0.2">
      <c r="A5294" s="1027"/>
      <c r="B5294" s="1083">
        <f>Risk_Compensation!A$1</f>
        <v>36</v>
      </c>
      <c r="C5294" s="1390" t="str">
        <f>Risk_Compensation!$B$1</f>
        <v xml:space="preserve">Risikoausgleich </v>
      </c>
      <c r="D5294" s="1743" t="str">
        <f>Risk_Compensation!$AJ$14</f>
        <v>geschätzte Risikoausgleichssätze, pro Monat in CHF (ohne Entlastung junge Erwachsene)</v>
      </c>
      <c r="E5294" s="1390">
        <f>Risk_Compensation!$AJ70</f>
        <v>53</v>
      </c>
      <c r="F5294" s="1390" t="str">
        <f>Risk_Compensation!$K$17</f>
        <v>BE</v>
      </c>
      <c r="G5294" s="1390"/>
      <c r="H5294" s="1077">
        <f>Risk_Compensation!$AN70</f>
        <v>745.14436807523498</v>
      </c>
    </row>
    <row r="5295" spans="1:8" x14ac:dyDescent="0.2">
      <c r="A5295" s="1027"/>
      <c r="B5295" s="1083">
        <f>Risk_Compensation!A$1</f>
        <v>36</v>
      </c>
      <c r="C5295" s="1390" t="str">
        <f>Risk_Compensation!$B$1</f>
        <v xml:space="preserve">Risikoausgleich </v>
      </c>
      <c r="D5295" s="1743" t="str">
        <f>Risk_Compensation!$AJ$14</f>
        <v>geschätzte Risikoausgleichssätze, pro Monat in CHF (ohne Entlastung junge Erwachsene)</v>
      </c>
      <c r="E5295" s="1390">
        <f>Risk_Compensation!$AJ71</f>
        <v>54</v>
      </c>
      <c r="F5295" s="1390" t="str">
        <f>Risk_Compensation!$K$17</f>
        <v>BE</v>
      </c>
      <c r="G5295" s="1390"/>
      <c r="H5295" s="1077">
        <f>Risk_Compensation!$AN71</f>
        <v>-26.417675990606298</v>
      </c>
    </row>
    <row r="5296" spans="1:8" x14ac:dyDescent="0.2">
      <c r="A5296" s="1027"/>
      <c r="B5296" s="1083">
        <f>Risk_Compensation!A$1</f>
        <v>36</v>
      </c>
      <c r="C5296" s="1390" t="str">
        <f>Risk_Compensation!$B$1</f>
        <v xml:space="preserve">Risikoausgleich </v>
      </c>
      <c r="D5296" s="1743" t="str">
        <f>Risk_Compensation!$AJ$14</f>
        <v>geschätzte Risikoausgleichssätze, pro Monat in CHF (ohne Entlastung junge Erwachsene)</v>
      </c>
      <c r="E5296" s="1390">
        <f>Risk_Compensation!$AJ72</f>
        <v>55</v>
      </c>
      <c r="F5296" s="1390" t="str">
        <f>Risk_Compensation!$K$17</f>
        <v>BE</v>
      </c>
      <c r="G5296" s="1390"/>
      <c r="H5296" s="1077">
        <f>Risk_Compensation!$AN72</f>
        <v>1020.9506474401099</v>
      </c>
    </row>
    <row r="5297" spans="1:8" x14ac:dyDescent="0.2">
      <c r="A5297" s="1027"/>
      <c r="B5297" s="1083">
        <f>Risk_Compensation!A$1</f>
        <v>36</v>
      </c>
      <c r="C5297" s="1390" t="str">
        <f>Risk_Compensation!$B$1</f>
        <v xml:space="preserve">Risikoausgleich </v>
      </c>
      <c r="D5297" s="1743" t="str">
        <f>Risk_Compensation!$AJ$14</f>
        <v>geschätzte Risikoausgleichssätze, pro Monat in CHF (ohne Entlastung junge Erwachsene)</v>
      </c>
      <c r="E5297" s="1390">
        <f>Risk_Compensation!$AJ73</f>
        <v>56</v>
      </c>
      <c r="F5297" s="1390" t="str">
        <f>Risk_Compensation!$K$17</f>
        <v>BE</v>
      </c>
      <c r="G5297" s="1390"/>
      <c r="H5297" s="1077">
        <f>Risk_Compensation!$AN73</f>
        <v>82.005336321116602</v>
      </c>
    </row>
    <row r="5298" spans="1:8" x14ac:dyDescent="0.2">
      <c r="A5298" s="1027"/>
      <c r="B5298" s="1083">
        <f>Risk_Compensation!A$1</f>
        <v>36</v>
      </c>
      <c r="C5298" s="1390" t="str">
        <f>Risk_Compensation!$B$1</f>
        <v xml:space="preserve">Risikoausgleich </v>
      </c>
      <c r="D5298" s="1743" t="str">
        <f>Risk_Compensation!$AJ$14</f>
        <v>geschätzte Risikoausgleichssätze, pro Monat in CHF (ohne Entlastung junge Erwachsene)</v>
      </c>
      <c r="E5298" s="1390">
        <f>Risk_Compensation!$AJ74</f>
        <v>57</v>
      </c>
      <c r="F5298" s="1390" t="str">
        <f>Risk_Compensation!$K$17</f>
        <v>BE</v>
      </c>
      <c r="G5298" s="1390"/>
      <c r="H5298" s="1077">
        <f>Risk_Compensation!$AN74</f>
        <v>1265.1719108404</v>
      </c>
    </row>
    <row r="5299" spans="1:8" x14ac:dyDescent="0.2">
      <c r="A5299" s="1027"/>
      <c r="B5299" s="1083">
        <f>Risk_Compensation!A$1</f>
        <v>36</v>
      </c>
      <c r="C5299" s="1390" t="str">
        <f>Risk_Compensation!$B$1</f>
        <v xml:space="preserve">Risikoausgleich </v>
      </c>
      <c r="D5299" s="1743" t="str">
        <f>Risk_Compensation!$AJ$14</f>
        <v>geschätzte Risikoausgleichssätze, pro Monat in CHF (ohne Entlastung junge Erwachsene)</v>
      </c>
      <c r="E5299" s="1390">
        <f>Risk_Compensation!$AJ75</f>
        <v>58</v>
      </c>
      <c r="F5299" s="1390" t="str">
        <f>Risk_Compensation!$K$17</f>
        <v>BE</v>
      </c>
      <c r="G5299" s="1390"/>
      <c r="H5299" s="1077">
        <f>Risk_Compensation!$AN75</f>
        <v>231.97534881294001</v>
      </c>
    </row>
    <row r="5300" spans="1:8" x14ac:dyDescent="0.2">
      <c r="A5300" s="1027"/>
      <c r="B5300" s="1083">
        <f>Risk_Compensation!A$1</f>
        <v>36</v>
      </c>
      <c r="C5300" s="1390" t="str">
        <f>Risk_Compensation!$B$1</f>
        <v xml:space="preserve">Risikoausgleich </v>
      </c>
      <c r="D5300" s="1743" t="str">
        <f>Risk_Compensation!$AJ$14</f>
        <v>geschätzte Risikoausgleichssätze, pro Monat in CHF (ohne Entlastung junge Erwachsene)</v>
      </c>
      <c r="E5300" s="1390">
        <f>Risk_Compensation!$AJ76</f>
        <v>59</v>
      </c>
      <c r="F5300" s="1390" t="str">
        <f>Risk_Compensation!$K$17</f>
        <v>BE</v>
      </c>
      <c r="G5300" s="1390"/>
      <c r="H5300" s="1077">
        <f>Risk_Compensation!$AN76</f>
        <v>1571.2816715378499</v>
      </c>
    </row>
    <row r="5301" spans="1:8" x14ac:dyDescent="0.2">
      <c r="A5301" s="1027"/>
      <c r="B5301" s="1083">
        <f>Risk_Compensation!A$1</f>
        <v>36</v>
      </c>
      <c r="C5301" s="1390" t="str">
        <f>Risk_Compensation!$B$1</f>
        <v xml:space="preserve">Risikoausgleich </v>
      </c>
      <c r="D5301" s="1743" t="str">
        <f>Risk_Compensation!$AJ$14</f>
        <v>geschätzte Risikoausgleichssätze, pro Monat in CHF (ohne Entlastung junge Erwachsene)</v>
      </c>
      <c r="E5301" s="1390">
        <f>Risk_Compensation!$AJ77</f>
        <v>60</v>
      </c>
      <c r="F5301" s="1390" t="str">
        <f>Risk_Compensation!$K$17</f>
        <v>BE</v>
      </c>
      <c r="G5301" s="1390"/>
      <c r="H5301" s="1077">
        <f>Risk_Compensation!$AN77</f>
        <v>461.53167880598397</v>
      </c>
    </row>
    <row r="5302" spans="1:8" x14ac:dyDescent="0.2">
      <c r="A5302" s="1027"/>
      <c r="B5302" s="2174"/>
      <c r="C5302" s="1390"/>
      <c r="D5302" s="2175"/>
      <c r="E5302" s="2176"/>
      <c r="F5302" s="1390"/>
      <c r="G5302" s="1390"/>
      <c r="H5302" s="1078"/>
    </row>
    <row r="5303" spans="1:8" x14ac:dyDescent="0.2">
      <c r="A5303" s="1027"/>
      <c r="B5303" s="1083">
        <f>Risk_Compensation!A$1</f>
        <v>36</v>
      </c>
      <c r="C5303" s="1390" t="str">
        <f>Risk_Compensation!$B$1</f>
        <v xml:space="preserve">Risikoausgleich </v>
      </c>
      <c r="D5303" s="1743" t="str">
        <f>Risk_Compensation!$AJ$14</f>
        <v>geschätzte Risikoausgleichssätze, pro Monat in CHF (ohne Entlastung junge Erwachsene)</v>
      </c>
      <c r="E5303" s="1390">
        <f>Risk_Compensation!$AJ18</f>
        <v>1</v>
      </c>
      <c r="F5303" s="1390" t="str">
        <f>Risk_Compensation!$L$17</f>
        <v>BL</v>
      </c>
      <c r="G5303" s="1390"/>
      <c r="H5303" s="1077">
        <f>Risk_Compensation!$AO18</f>
        <v>348.91314374417198</v>
      </c>
    </row>
    <row r="5304" spans="1:8" x14ac:dyDescent="0.2">
      <c r="A5304" s="1027"/>
      <c r="B5304" s="1083">
        <f>Risk_Compensation!A$1</f>
        <v>36</v>
      </c>
      <c r="C5304" s="1390" t="str">
        <f>Risk_Compensation!$B$1</f>
        <v xml:space="preserve">Risikoausgleich </v>
      </c>
      <c r="D5304" s="1743" t="str">
        <f>Risk_Compensation!$AJ$14</f>
        <v>geschätzte Risikoausgleichssätze, pro Monat in CHF (ohne Entlastung junge Erwachsene)</v>
      </c>
      <c r="E5304" s="1390">
        <f>Risk_Compensation!$AJ19</f>
        <v>2</v>
      </c>
      <c r="F5304" s="1390" t="str">
        <f>Risk_Compensation!$L$17</f>
        <v>BL</v>
      </c>
      <c r="G5304" s="1390"/>
      <c r="H5304" s="1077">
        <f>Risk_Compensation!$AO19</f>
        <v>-359.68135914861199</v>
      </c>
    </row>
    <row r="5305" spans="1:8" x14ac:dyDescent="0.2">
      <c r="A5305" s="1027"/>
      <c r="B5305" s="1083">
        <f>Risk_Compensation!A$1</f>
        <v>36</v>
      </c>
      <c r="C5305" s="1390" t="str">
        <f>Risk_Compensation!$B$1</f>
        <v xml:space="preserve">Risikoausgleich </v>
      </c>
      <c r="D5305" s="1743" t="str">
        <f>Risk_Compensation!$AJ$14</f>
        <v>geschätzte Risikoausgleichssätze, pro Monat in CHF (ohne Entlastung junge Erwachsene)</v>
      </c>
      <c r="E5305" s="1390">
        <f>Risk_Compensation!$AJ20</f>
        <v>3</v>
      </c>
      <c r="F5305" s="1390" t="str">
        <f>Risk_Compensation!$L$17</f>
        <v>BL</v>
      </c>
      <c r="G5305" s="1390"/>
      <c r="H5305" s="1077">
        <f>Risk_Compensation!$AO20</f>
        <v>206.24826862841999</v>
      </c>
    </row>
    <row r="5306" spans="1:8" x14ac:dyDescent="0.2">
      <c r="A5306" s="1027"/>
      <c r="B5306" s="1083">
        <f>Risk_Compensation!A$1</f>
        <v>36</v>
      </c>
      <c r="C5306" s="1390" t="str">
        <f>Risk_Compensation!$B$1</f>
        <v xml:space="preserve">Risikoausgleich </v>
      </c>
      <c r="D5306" s="1743" t="str">
        <f>Risk_Compensation!$AJ$14</f>
        <v>geschätzte Risikoausgleichssätze, pro Monat in CHF (ohne Entlastung junge Erwachsene)</v>
      </c>
      <c r="E5306" s="1390">
        <f>Risk_Compensation!$AJ21</f>
        <v>4</v>
      </c>
      <c r="F5306" s="1390" t="str">
        <f>Risk_Compensation!$L$17</f>
        <v>BL</v>
      </c>
      <c r="G5306" s="1390"/>
      <c r="H5306" s="1077">
        <f>Risk_Compensation!$AO21</f>
        <v>-359.769576910333</v>
      </c>
    </row>
    <row r="5307" spans="1:8" x14ac:dyDescent="0.2">
      <c r="A5307" s="1027"/>
      <c r="B5307" s="1083">
        <f>Risk_Compensation!A$1</f>
        <v>36</v>
      </c>
      <c r="C5307" s="1390" t="str">
        <f>Risk_Compensation!$B$1</f>
        <v xml:space="preserve">Risikoausgleich </v>
      </c>
      <c r="D5307" s="1743" t="str">
        <f>Risk_Compensation!$AJ$14</f>
        <v>geschätzte Risikoausgleichssätze, pro Monat in CHF (ohne Entlastung junge Erwachsene)</v>
      </c>
      <c r="E5307" s="1390">
        <f>Risk_Compensation!$AJ22</f>
        <v>5</v>
      </c>
      <c r="F5307" s="1390" t="str">
        <f>Risk_Compensation!$L$17</f>
        <v>BL</v>
      </c>
      <c r="G5307" s="1390"/>
      <c r="H5307" s="1077">
        <f>Risk_Compensation!$AO22</f>
        <v>116.471189448921</v>
      </c>
    </row>
    <row r="5308" spans="1:8" x14ac:dyDescent="0.2">
      <c r="A5308" s="1027"/>
      <c r="B5308" s="1083">
        <f>Risk_Compensation!A$1</f>
        <v>36</v>
      </c>
      <c r="C5308" s="1390" t="str">
        <f>Risk_Compensation!$B$1</f>
        <v xml:space="preserve">Risikoausgleich </v>
      </c>
      <c r="D5308" s="1743" t="str">
        <f>Risk_Compensation!$AJ$14</f>
        <v>geschätzte Risikoausgleichssätze, pro Monat in CHF (ohne Entlastung junge Erwachsene)</v>
      </c>
      <c r="E5308" s="1390">
        <f>Risk_Compensation!$AJ23</f>
        <v>6</v>
      </c>
      <c r="F5308" s="1390" t="str">
        <f>Risk_Compensation!$L$17</f>
        <v>BL</v>
      </c>
      <c r="G5308" s="1390"/>
      <c r="H5308" s="1077">
        <f>Risk_Compensation!$AO23</f>
        <v>-350.542462313079</v>
      </c>
    </row>
    <row r="5309" spans="1:8" x14ac:dyDescent="0.2">
      <c r="A5309" s="1027"/>
      <c r="B5309" s="1083">
        <f>Risk_Compensation!A$1</f>
        <v>36</v>
      </c>
      <c r="C5309" s="1390" t="str">
        <f>Risk_Compensation!$B$1</f>
        <v xml:space="preserve">Risikoausgleich </v>
      </c>
      <c r="D5309" s="1743" t="str">
        <f>Risk_Compensation!$AJ$14</f>
        <v>geschätzte Risikoausgleichssätze, pro Monat in CHF (ohne Entlastung junge Erwachsene)</v>
      </c>
      <c r="E5309" s="1390">
        <f>Risk_Compensation!$AJ24</f>
        <v>7</v>
      </c>
      <c r="F5309" s="1390" t="str">
        <f>Risk_Compensation!$L$17</f>
        <v>BL</v>
      </c>
      <c r="G5309" s="1390"/>
      <c r="H5309" s="1077">
        <f>Risk_Compensation!$AO24</f>
        <v>342.71066657275298</v>
      </c>
    </row>
    <row r="5310" spans="1:8" x14ac:dyDescent="0.2">
      <c r="A5310" s="1027"/>
      <c r="B5310" s="1083">
        <f>Risk_Compensation!A$1</f>
        <v>36</v>
      </c>
      <c r="C5310" s="1390" t="str">
        <f>Risk_Compensation!$B$1</f>
        <v xml:space="preserve">Risikoausgleich </v>
      </c>
      <c r="D5310" s="1743" t="str">
        <f>Risk_Compensation!$AJ$14</f>
        <v>geschätzte Risikoausgleichssätze, pro Monat in CHF (ohne Entlastung junge Erwachsene)</v>
      </c>
      <c r="E5310" s="1390">
        <f>Risk_Compensation!$AJ25</f>
        <v>8</v>
      </c>
      <c r="F5310" s="1390" t="str">
        <f>Risk_Compensation!$L$17</f>
        <v>BL</v>
      </c>
      <c r="G5310" s="1390"/>
      <c r="H5310" s="1077">
        <f>Risk_Compensation!$AO25</f>
        <v>-355.21259102508998</v>
      </c>
    </row>
    <row r="5311" spans="1:8" x14ac:dyDescent="0.2">
      <c r="A5311" s="1027"/>
      <c r="B5311" s="1083">
        <f>Risk_Compensation!A$1</f>
        <v>36</v>
      </c>
      <c r="C5311" s="1390" t="str">
        <f>Risk_Compensation!$B$1</f>
        <v xml:space="preserve">Risikoausgleich </v>
      </c>
      <c r="D5311" s="1743" t="str">
        <f>Risk_Compensation!$AJ$14</f>
        <v>geschätzte Risikoausgleichssätze, pro Monat in CHF (ohne Entlastung junge Erwachsene)</v>
      </c>
      <c r="E5311" s="1390">
        <f>Risk_Compensation!$AJ26</f>
        <v>9</v>
      </c>
      <c r="F5311" s="1390" t="str">
        <f>Risk_Compensation!$L$17</f>
        <v>BL</v>
      </c>
      <c r="G5311" s="1390"/>
      <c r="H5311" s="1077">
        <f>Risk_Compensation!$AO26</f>
        <v>278.99811164956202</v>
      </c>
    </row>
    <row r="5312" spans="1:8" x14ac:dyDescent="0.2">
      <c r="A5312" s="1027"/>
      <c r="B5312" s="1083">
        <f>Risk_Compensation!A$1</f>
        <v>36</v>
      </c>
      <c r="C5312" s="1390" t="str">
        <f>Risk_Compensation!$B$1</f>
        <v xml:space="preserve">Risikoausgleich </v>
      </c>
      <c r="D5312" s="1743" t="str">
        <f>Risk_Compensation!$AJ$14</f>
        <v>geschätzte Risikoausgleichssätze, pro Monat in CHF (ohne Entlastung junge Erwachsene)</v>
      </c>
      <c r="E5312" s="1390">
        <f>Risk_Compensation!$AJ27</f>
        <v>10</v>
      </c>
      <c r="F5312" s="1390" t="str">
        <f>Risk_Compensation!$L$17</f>
        <v>BL</v>
      </c>
      <c r="G5312" s="1390"/>
      <c r="H5312" s="1077">
        <f>Risk_Compensation!$AO27</f>
        <v>-357.59215848005101</v>
      </c>
    </row>
    <row r="5313" spans="1:8" x14ac:dyDescent="0.2">
      <c r="A5313" s="1027"/>
      <c r="B5313" s="1083">
        <f>Risk_Compensation!A$1</f>
        <v>36</v>
      </c>
      <c r="C5313" s="1390" t="str">
        <f>Risk_Compensation!$B$1</f>
        <v xml:space="preserve">Risikoausgleich </v>
      </c>
      <c r="D5313" s="1743" t="str">
        <f>Risk_Compensation!$AJ$14</f>
        <v>geschätzte Risikoausgleichssätze, pro Monat in CHF (ohne Entlastung junge Erwachsene)</v>
      </c>
      <c r="E5313" s="1390">
        <f>Risk_Compensation!$AJ28</f>
        <v>11</v>
      </c>
      <c r="F5313" s="1390" t="str">
        <f>Risk_Compensation!$L$17</f>
        <v>BL</v>
      </c>
      <c r="G5313" s="1390"/>
      <c r="H5313" s="1077">
        <f>Risk_Compensation!$AO28</f>
        <v>298.72856485925797</v>
      </c>
    </row>
    <row r="5314" spans="1:8" x14ac:dyDescent="0.2">
      <c r="A5314" s="1027"/>
      <c r="B5314" s="1083">
        <f>Risk_Compensation!A$1</f>
        <v>36</v>
      </c>
      <c r="C5314" s="1390" t="str">
        <f>Risk_Compensation!$B$1</f>
        <v xml:space="preserve">Risikoausgleich </v>
      </c>
      <c r="D5314" s="1743" t="str">
        <f>Risk_Compensation!$AJ$14</f>
        <v>geschätzte Risikoausgleichssätze, pro Monat in CHF (ohne Entlastung junge Erwachsene)</v>
      </c>
      <c r="E5314" s="1390">
        <f>Risk_Compensation!$AJ29</f>
        <v>12</v>
      </c>
      <c r="F5314" s="1390" t="str">
        <f>Risk_Compensation!$L$17</f>
        <v>BL</v>
      </c>
      <c r="G5314" s="1390"/>
      <c r="H5314" s="1077">
        <f>Risk_Compensation!$AO29</f>
        <v>-329.19953179747398</v>
      </c>
    </row>
    <row r="5315" spans="1:8" x14ac:dyDescent="0.2">
      <c r="A5315" s="1027"/>
      <c r="B5315" s="1083">
        <f>Risk_Compensation!A$1</f>
        <v>36</v>
      </c>
      <c r="C5315" s="1390" t="str">
        <f>Risk_Compensation!$B$1</f>
        <v xml:space="preserve">Risikoausgleich </v>
      </c>
      <c r="D5315" s="1743" t="str">
        <f>Risk_Compensation!$AJ$14</f>
        <v>geschätzte Risikoausgleichssätze, pro Monat in CHF (ohne Entlastung junge Erwachsene)</v>
      </c>
      <c r="E5315" s="1390">
        <f>Risk_Compensation!$AJ30</f>
        <v>13</v>
      </c>
      <c r="F5315" s="1390" t="str">
        <f>Risk_Compensation!$L$17</f>
        <v>BL</v>
      </c>
      <c r="G5315" s="1390"/>
      <c r="H5315" s="1077">
        <f>Risk_Compensation!$AO30</f>
        <v>416.78542228172398</v>
      </c>
    </row>
    <row r="5316" spans="1:8" x14ac:dyDescent="0.2">
      <c r="A5316" s="1027"/>
      <c r="B5316" s="1083">
        <f>Risk_Compensation!A$1</f>
        <v>36</v>
      </c>
      <c r="C5316" s="1390" t="str">
        <f>Risk_Compensation!$B$1</f>
        <v xml:space="preserve">Risikoausgleich </v>
      </c>
      <c r="D5316" s="1743" t="str">
        <f>Risk_Compensation!$AJ$14</f>
        <v>geschätzte Risikoausgleichssätze, pro Monat in CHF (ohne Entlastung junge Erwachsene)</v>
      </c>
      <c r="E5316" s="1390">
        <f>Risk_Compensation!$AJ31</f>
        <v>14</v>
      </c>
      <c r="F5316" s="1390" t="str">
        <f>Risk_Compensation!$L$17</f>
        <v>BL</v>
      </c>
      <c r="G5316" s="1390"/>
      <c r="H5316" s="1077">
        <f>Risk_Compensation!$AO31</f>
        <v>-308.517139868328</v>
      </c>
    </row>
    <row r="5317" spans="1:8" x14ac:dyDescent="0.2">
      <c r="A5317" s="1027"/>
      <c r="B5317" s="1083">
        <f>Risk_Compensation!A$1</f>
        <v>36</v>
      </c>
      <c r="C5317" s="1390" t="str">
        <f>Risk_Compensation!$B$1</f>
        <v xml:space="preserve">Risikoausgleich </v>
      </c>
      <c r="D5317" s="1743" t="str">
        <f>Risk_Compensation!$AJ$14</f>
        <v>geschätzte Risikoausgleichssätze, pro Monat in CHF (ohne Entlastung junge Erwachsene)</v>
      </c>
      <c r="E5317" s="1390">
        <f>Risk_Compensation!$AJ32</f>
        <v>15</v>
      </c>
      <c r="F5317" s="1390" t="str">
        <f>Risk_Compensation!$L$17</f>
        <v>BL</v>
      </c>
      <c r="G5317" s="1390"/>
      <c r="H5317" s="1077">
        <f>Risk_Compensation!$AO32</f>
        <v>457.40375331291801</v>
      </c>
    </row>
    <row r="5318" spans="1:8" x14ac:dyDescent="0.2">
      <c r="A5318" s="1027"/>
      <c r="B5318" s="1083">
        <f>Risk_Compensation!A$1</f>
        <v>36</v>
      </c>
      <c r="C5318" s="1390" t="str">
        <f>Risk_Compensation!$B$1</f>
        <v xml:space="preserve">Risikoausgleich </v>
      </c>
      <c r="D5318" s="1743" t="str">
        <f>Risk_Compensation!$AJ$14</f>
        <v>geschätzte Risikoausgleichssätze, pro Monat in CHF (ohne Entlastung junge Erwachsene)</v>
      </c>
      <c r="E5318" s="1390">
        <f>Risk_Compensation!$AJ33</f>
        <v>16</v>
      </c>
      <c r="F5318" s="1390" t="str">
        <f>Risk_Compensation!$L$17</f>
        <v>BL</v>
      </c>
      <c r="G5318" s="1390"/>
      <c r="H5318" s="1077">
        <f>Risk_Compensation!$AO33</f>
        <v>-260.641123544408</v>
      </c>
    </row>
    <row r="5319" spans="1:8" x14ac:dyDescent="0.2">
      <c r="A5319" s="1027"/>
      <c r="B5319" s="1083">
        <f>Risk_Compensation!A$1</f>
        <v>36</v>
      </c>
      <c r="C5319" s="1390" t="str">
        <f>Risk_Compensation!$B$1</f>
        <v xml:space="preserve">Risikoausgleich </v>
      </c>
      <c r="D5319" s="1743" t="str">
        <f>Risk_Compensation!$AJ$14</f>
        <v>geschätzte Risikoausgleichssätze, pro Monat in CHF (ohne Entlastung junge Erwachsene)</v>
      </c>
      <c r="E5319" s="1390">
        <f>Risk_Compensation!$AJ34</f>
        <v>17</v>
      </c>
      <c r="F5319" s="1390" t="str">
        <f>Risk_Compensation!$L$17</f>
        <v>BL</v>
      </c>
      <c r="G5319" s="1390"/>
      <c r="H5319" s="1077">
        <f>Risk_Compensation!$AO34</f>
        <v>455.12294447494702</v>
      </c>
    </row>
    <row r="5320" spans="1:8" x14ac:dyDescent="0.2">
      <c r="A5320" s="1027"/>
      <c r="B5320" s="1083">
        <f>Risk_Compensation!A$1</f>
        <v>36</v>
      </c>
      <c r="C5320" s="1390" t="str">
        <f>Risk_Compensation!$B$1</f>
        <v xml:space="preserve">Risikoausgleich </v>
      </c>
      <c r="D5320" s="1743" t="str">
        <f>Risk_Compensation!$AJ$14</f>
        <v>geschätzte Risikoausgleichssätze, pro Monat in CHF (ohne Entlastung junge Erwachsene)</v>
      </c>
      <c r="E5320" s="1390">
        <f>Risk_Compensation!$AJ35</f>
        <v>18</v>
      </c>
      <c r="F5320" s="1390" t="str">
        <f>Risk_Compensation!$L$17</f>
        <v>BL</v>
      </c>
      <c r="G5320" s="1390"/>
      <c r="H5320" s="1077">
        <f>Risk_Compensation!$AO35</f>
        <v>-224.73153320831199</v>
      </c>
    </row>
    <row r="5321" spans="1:8" x14ac:dyDescent="0.2">
      <c r="A5321" s="1027"/>
      <c r="B5321" s="1083">
        <f>Risk_Compensation!A$1</f>
        <v>36</v>
      </c>
      <c r="C5321" s="1390" t="str">
        <f>Risk_Compensation!$B$1</f>
        <v xml:space="preserve">Risikoausgleich </v>
      </c>
      <c r="D5321" s="1743" t="str">
        <f>Risk_Compensation!$AJ$14</f>
        <v>geschätzte Risikoausgleichssätze, pro Monat in CHF (ohne Entlastung junge Erwachsene)</v>
      </c>
      <c r="E5321" s="1390">
        <f>Risk_Compensation!$AJ36</f>
        <v>19</v>
      </c>
      <c r="F5321" s="1390" t="str">
        <f>Risk_Compensation!$L$17</f>
        <v>BL</v>
      </c>
      <c r="G5321" s="1390"/>
      <c r="H5321" s="1077">
        <f>Risk_Compensation!$AO36</f>
        <v>556.69618486135801</v>
      </c>
    </row>
    <row r="5322" spans="1:8" x14ac:dyDescent="0.2">
      <c r="A5322" s="1027"/>
      <c r="B5322" s="1083">
        <f>Risk_Compensation!A$1</f>
        <v>36</v>
      </c>
      <c r="C5322" s="1390" t="str">
        <f>Risk_Compensation!$B$1</f>
        <v xml:space="preserve">Risikoausgleich </v>
      </c>
      <c r="D5322" s="1743" t="str">
        <f>Risk_Compensation!$AJ$14</f>
        <v>geschätzte Risikoausgleichssätze, pro Monat in CHF (ohne Entlastung junge Erwachsene)</v>
      </c>
      <c r="E5322" s="1390">
        <f>Risk_Compensation!$AJ37</f>
        <v>20</v>
      </c>
      <c r="F5322" s="1390" t="str">
        <f>Risk_Compensation!$L$17</f>
        <v>BL</v>
      </c>
      <c r="G5322" s="1390"/>
      <c r="H5322" s="1077">
        <f>Risk_Compensation!$AO37</f>
        <v>-144.70718313866601</v>
      </c>
    </row>
    <row r="5323" spans="1:8" x14ac:dyDescent="0.2">
      <c r="A5323" s="1027"/>
      <c r="B5323" s="1083">
        <f>Risk_Compensation!A$1</f>
        <v>36</v>
      </c>
      <c r="C5323" s="1390" t="str">
        <f>Risk_Compensation!$B$1</f>
        <v xml:space="preserve">Risikoausgleich </v>
      </c>
      <c r="D5323" s="1743" t="str">
        <f>Risk_Compensation!$AJ$14</f>
        <v>geschätzte Risikoausgleichssätze, pro Monat in CHF (ohne Entlastung junge Erwachsene)</v>
      </c>
      <c r="E5323" s="1390">
        <f>Risk_Compensation!$AJ38</f>
        <v>21</v>
      </c>
      <c r="F5323" s="1390" t="str">
        <f>Risk_Compensation!$L$17</f>
        <v>BL</v>
      </c>
      <c r="G5323" s="1390"/>
      <c r="H5323" s="1077">
        <f>Risk_Compensation!$AO38</f>
        <v>654.09985932074403</v>
      </c>
    </row>
    <row r="5324" spans="1:8" x14ac:dyDescent="0.2">
      <c r="A5324" s="1027"/>
      <c r="B5324" s="1083">
        <f>Risk_Compensation!A$1</f>
        <v>36</v>
      </c>
      <c r="C5324" s="1390" t="str">
        <f>Risk_Compensation!$B$1</f>
        <v xml:space="preserve">Risikoausgleich </v>
      </c>
      <c r="D5324" s="1743" t="str">
        <f>Risk_Compensation!$AJ$14</f>
        <v>geschätzte Risikoausgleichssätze, pro Monat in CHF (ohne Entlastung junge Erwachsene)</v>
      </c>
      <c r="E5324" s="1390">
        <f>Risk_Compensation!$AJ39</f>
        <v>22</v>
      </c>
      <c r="F5324" s="1390" t="str">
        <f>Risk_Compensation!$L$17</f>
        <v>BL</v>
      </c>
      <c r="G5324" s="1390"/>
      <c r="H5324" s="1077">
        <f>Risk_Compensation!$AO39</f>
        <v>-53.496423804785898</v>
      </c>
    </row>
    <row r="5325" spans="1:8" x14ac:dyDescent="0.2">
      <c r="A5325" s="1027"/>
      <c r="B5325" s="1083">
        <f>Risk_Compensation!A$1</f>
        <v>36</v>
      </c>
      <c r="C5325" s="1390" t="str">
        <f>Risk_Compensation!$B$1</f>
        <v xml:space="preserve">Risikoausgleich </v>
      </c>
      <c r="D5325" s="1743" t="str">
        <f>Risk_Compensation!$AJ$14</f>
        <v>geschätzte Risikoausgleichssätze, pro Monat in CHF (ohne Entlastung junge Erwachsene)</v>
      </c>
      <c r="E5325" s="1390">
        <f>Risk_Compensation!$AJ40</f>
        <v>23</v>
      </c>
      <c r="F5325" s="1390" t="str">
        <f>Risk_Compensation!$L$17</f>
        <v>BL</v>
      </c>
      <c r="G5325" s="1390"/>
      <c r="H5325" s="1077">
        <f>Risk_Compensation!$AO40</f>
        <v>791.02439413409002</v>
      </c>
    </row>
    <row r="5326" spans="1:8" x14ac:dyDescent="0.2">
      <c r="A5326" s="1027"/>
      <c r="B5326" s="1083">
        <f>Risk_Compensation!A$1</f>
        <v>36</v>
      </c>
      <c r="C5326" s="1390" t="str">
        <f>Risk_Compensation!$B$1</f>
        <v xml:space="preserve">Risikoausgleich </v>
      </c>
      <c r="D5326" s="1743" t="str">
        <f>Risk_Compensation!$AJ$14</f>
        <v>geschätzte Risikoausgleichssätze, pro Monat in CHF (ohne Entlastung junge Erwachsene)</v>
      </c>
      <c r="E5326" s="1390">
        <f>Risk_Compensation!$AJ41</f>
        <v>24</v>
      </c>
      <c r="F5326" s="1390" t="str">
        <f>Risk_Compensation!$L$17</f>
        <v>BL</v>
      </c>
      <c r="G5326" s="1390"/>
      <c r="H5326" s="1077">
        <f>Risk_Compensation!$AO41</f>
        <v>20.063391924450201</v>
      </c>
    </row>
    <row r="5327" spans="1:8" x14ac:dyDescent="0.2">
      <c r="A5327" s="1027"/>
      <c r="B5327" s="1083">
        <f>Risk_Compensation!A$1</f>
        <v>36</v>
      </c>
      <c r="C5327" s="1390" t="str">
        <f>Risk_Compensation!$B$1</f>
        <v xml:space="preserve">Risikoausgleich </v>
      </c>
      <c r="D5327" s="1743" t="str">
        <f>Risk_Compensation!$AJ$14</f>
        <v>geschätzte Risikoausgleichssätze, pro Monat in CHF (ohne Entlastung junge Erwachsene)</v>
      </c>
      <c r="E5327" s="1390">
        <f>Risk_Compensation!$AJ42</f>
        <v>25</v>
      </c>
      <c r="F5327" s="1390" t="str">
        <f>Risk_Compensation!$L$17</f>
        <v>BL</v>
      </c>
      <c r="G5327" s="1390"/>
      <c r="H5327" s="1077">
        <f>Risk_Compensation!$AO42</f>
        <v>1091.0172157734601</v>
      </c>
    </row>
    <row r="5328" spans="1:8" x14ac:dyDescent="0.2">
      <c r="A5328" s="1027"/>
      <c r="B5328" s="1083">
        <f>Risk_Compensation!A$1</f>
        <v>36</v>
      </c>
      <c r="C5328" s="1390" t="str">
        <f>Risk_Compensation!$B$1</f>
        <v xml:space="preserve">Risikoausgleich </v>
      </c>
      <c r="D5328" s="1743" t="str">
        <f>Risk_Compensation!$AJ$14</f>
        <v>geschätzte Risikoausgleichssätze, pro Monat in CHF (ohne Entlastung junge Erwachsene)</v>
      </c>
      <c r="E5328" s="1390">
        <f>Risk_Compensation!$AJ43</f>
        <v>26</v>
      </c>
      <c r="F5328" s="1390" t="str">
        <f>Risk_Compensation!$L$17</f>
        <v>BL</v>
      </c>
      <c r="G5328" s="1390"/>
      <c r="H5328" s="1077">
        <f>Risk_Compensation!$AO43</f>
        <v>116.752419464667</v>
      </c>
    </row>
    <row r="5329" spans="1:8" x14ac:dyDescent="0.2">
      <c r="A5329" s="1027"/>
      <c r="B5329" s="1083">
        <f>Risk_Compensation!A$1</f>
        <v>36</v>
      </c>
      <c r="C5329" s="1390" t="str">
        <f>Risk_Compensation!$B$1</f>
        <v xml:space="preserve">Risikoausgleich </v>
      </c>
      <c r="D5329" s="1743" t="str">
        <f>Risk_Compensation!$AJ$14</f>
        <v>geschätzte Risikoausgleichssätze, pro Monat in CHF (ohne Entlastung junge Erwachsene)</v>
      </c>
      <c r="E5329" s="1390">
        <f>Risk_Compensation!$AJ44</f>
        <v>27</v>
      </c>
      <c r="F5329" s="1390" t="str">
        <f>Risk_Compensation!$L$17</f>
        <v>BL</v>
      </c>
      <c r="G5329" s="1390"/>
      <c r="H5329" s="1077">
        <f>Risk_Compensation!$AO44</f>
        <v>1204.16373441826</v>
      </c>
    </row>
    <row r="5330" spans="1:8" x14ac:dyDescent="0.2">
      <c r="A5330" s="1027"/>
      <c r="B5330" s="1083">
        <f>Risk_Compensation!A$1</f>
        <v>36</v>
      </c>
      <c r="C5330" s="1390" t="str">
        <f>Risk_Compensation!$B$1</f>
        <v xml:space="preserve">Risikoausgleich </v>
      </c>
      <c r="D5330" s="1743" t="str">
        <f>Risk_Compensation!$AJ$14</f>
        <v>geschätzte Risikoausgleichssätze, pro Monat in CHF (ohne Entlastung junge Erwachsene)</v>
      </c>
      <c r="E5330" s="1390">
        <f>Risk_Compensation!$AJ45</f>
        <v>28</v>
      </c>
      <c r="F5330" s="1390" t="str">
        <f>Risk_Compensation!$L$17</f>
        <v>BL</v>
      </c>
      <c r="G5330" s="1390"/>
      <c r="H5330" s="1077">
        <f>Risk_Compensation!$AO45</f>
        <v>246.95181594587601</v>
      </c>
    </row>
    <row r="5331" spans="1:8" x14ac:dyDescent="0.2">
      <c r="A5331" s="1027"/>
      <c r="B5331" s="1083">
        <f>Risk_Compensation!A$1</f>
        <v>36</v>
      </c>
      <c r="C5331" s="1390" t="str">
        <f>Risk_Compensation!$B$1</f>
        <v xml:space="preserve">Risikoausgleich </v>
      </c>
      <c r="D5331" s="1743" t="str">
        <f>Risk_Compensation!$AJ$14</f>
        <v>geschätzte Risikoausgleichssätze, pro Monat in CHF (ohne Entlastung junge Erwachsene)</v>
      </c>
      <c r="E5331" s="1390">
        <f>Risk_Compensation!$AJ46</f>
        <v>29</v>
      </c>
      <c r="F5331" s="1390" t="str">
        <f>Risk_Compensation!$L$17</f>
        <v>BL</v>
      </c>
      <c r="G5331" s="1390"/>
      <c r="H5331" s="1077">
        <f>Risk_Compensation!$AO46</f>
        <v>1394.1838702104301</v>
      </c>
    </row>
    <row r="5332" spans="1:8" x14ac:dyDescent="0.2">
      <c r="A5332" s="1027"/>
      <c r="B5332" s="1083">
        <f>Risk_Compensation!A$1</f>
        <v>36</v>
      </c>
      <c r="C5332" s="1390" t="str">
        <f>Risk_Compensation!$B$1</f>
        <v xml:space="preserve">Risikoausgleich </v>
      </c>
      <c r="D5332" s="1743" t="str">
        <f>Risk_Compensation!$AJ$14</f>
        <v>geschätzte Risikoausgleichssätze, pro Monat in CHF (ohne Entlastung junge Erwachsene)</v>
      </c>
      <c r="E5332" s="1390">
        <f>Risk_Compensation!$AJ47</f>
        <v>30</v>
      </c>
      <c r="F5332" s="1390" t="str">
        <f>Risk_Compensation!$L$17</f>
        <v>BL</v>
      </c>
      <c r="G5332" s="1390"/>
      <c r="H5332" s="1077">
        <f>Risk_Compensation!$AO47</f>
        <v>478.499628528409</v>
      </c>
    </row>
    <row r="5333" spans="1:8" x14ac:dyDescent="0.2">
      <c r="A5333" s="1027"/>
      <c r="B5333" s="1083">
        <f>Risk_Compensation!A$1</f>
        <v>36</v>
      </c>
      <c r="C5333" s="1390" t="str">
        <f>Risk_Compensation!$B$1</f>
        <v xml:space="preserve">Risikoausgleich </v>
      </c>
      <c r="D5333" s="1743" t="str">
        <f>Risk_Compensation!$AJ$14</f>
        <v>geschätzte Risikoausgleichssätze, pro Monat in CHF (ohne Entlastung junge Erwachsene)</v>
      </c>
      <c r="E5333" s="1390">
        <f>Risk_Compensation!$AJ48</f>
        <v>31</v>
      </c>
      <c r="F5333" s="1390" t="str">
        <f>Risk_Compensation!$L$17</f>
        <v>BL</v>
      </c>
      <c r="G5333" s="1390"/>
      <c r="H5333" s="1077">
        <f>Risk_Compensation!$AO48</f>
        <v>389.467152210135</v>
      </c>
    </row>
    <row r="5334" spans="1:8" x14ac:dyDescent="0.2">
      <c r="A5334" s="1027"/>
      <c r="B5334" s="1083">
        <f>Risk_Compensation!A$1</f>
        <v>36</v>
      </c>
      <c r="C5334" s="1390" t="str">
        <f>Risk_Compensation!$B$1</f>
        <v xml:space="preserve">Risikoausgleich </v>
      </c>
      <c r="D5334" s="1743" t="str">
        <f>Risk_Compensation!$AJ$14</f>
        <v>geschätzte Risikoausgleichssätze, pro Monat in CHF (ohne Entlastung junge Erwachsene)</v>
      </c>
      <c r="E5334" s="1390">
        <f>Risk_Compensation!$AJ49</f>
        <v>32</v>
      </c>
      <c r="F5334" s="1390" t="str">
        <f>Risk_Compensation!$L$17</f>
        <v>BL</v>
      </c>
      <c r="G5334" s="1390"/>
      <c r="H5334" s="1077">
        <f>Risk_Compensation!$AO49</f>
        <v>-294.55328807618503</v>
      </c>
    </row>
    <row r="5335" spans="1:8" x14ac:dyDescent="0.2">
      <c r="A5335" s="1027"/>
      <c r="B5335" s="1083">
        <f>Risk_Compensation!A$1</f>
        <v>36</v>
      </c>
      <c r="C5335" s="1390" t="str">
        <f>Risk_Compensation!$B$1</f>
        <v xml:space="preserve">Risikoausgleich </v>
      </c>
      <c r="D5335" s="1743" t="str">
        <f>Risk_Compensation!$AJ$14</f>
        <v>geschätzte Risikoausgleichssätze, pro Monat in CHF (ohne Entlastung junge Erwachsene)</v>
      </c>
      <c r="E5335" s="1390">
        <f>Risk_Compensation!$AJ50</f>
        <v>33</v>
      </c>
      <c r="F5335" s="1390" t="str">
        <f>Risk_Compensation!$L$17</f>
        <v>BL</v>
      </c>
      <c r="G5335" s="1390"/>
      <c r="H5335" s="1077">
        <f>Risk_Compensation!$AO50</f>
        <v>189.57465023023099</v>
      </c>
    </row>
    <row r="5336" spans="1:8" x14ac:dyDescent="0.2">
      <c r="A5336" s="1027"/>
      <c r="B5336" s="1083">
        <f>Risk_Compensation!A$1</f>
        <v>36</v>
      </c>
      <c r="C5336" s="1390" t="str">
        <f>Risk_Compensation!$B$1</f>
        <v xml:space="preserve">Risikoausgleich </v>
      </c>
      <c r="D5336" s="1743" t="str">
        <f>Risk_Compensation!$AJ$14</f>
        <v>geschätzte Risikoausgleichssätze, pro Monat in CHF (ohne Entlastung junge Erwachsene)</v>
      </c>
      <c r="E5336" s="1390">
        <f>Risk_Compensation!$AJ51</f>
        <v>34</v>
      </c>
      <c r="F5336" s="1390" t="str">
        <f>Risk_Compensation!$L$17</f>
        <v>BL</v>
      </c>
      <c r="G5336" s="1390"/>
      <c r="H5336" s="1077">
        <f>Risk_Compensation!$AO51</f>
        <v>-220.80327909278699</v>
      </c>
    </row>
    <row r="5337" spans="1:8" x14ac:dyDescent="0.2">
      <c r="A5337" s="1027"/>
      <c r="B5337" s="1083">
        <f>Risk_Compensation!A$1</f>
        <v>36</v>
      </c>
      <c r="C5337" s="1390" t="str">
        <f>Risk_Compensation!$B$1</f>
        <v xml:space="preserve">Risikoausgleich </v>
      </c>
      <c r="D5337" s="1743" t="str">
        <f>Risk_Compensation!$AJ$14</f>
        <v>geschätzte Risikoausgleichssätze, pro Monat in CHF (ohne Entlastung junge Erwachsene)</v>
      </c>
      <c r="E5337" s="1390">
        <f>Risk_Compensation!$AJ52</f>
        <v>35</v>
      </c>
      <c r="F5337" s="1390" t="str">
        <f>Risk_Compensation!$L$17</f>
        <v>BL</v>
      </c>
      <c r="G5337" s="1390"/>
      <c r="H5337" s="1077">
        <f>Risk_Compensation!$AO52</f>
        <v>387.01786865983701</v>
      </c>
    </row>
    <row r="5338" spans="1:8" x14ac:dyDescent="0.2">
      <c r="A5338" s="1027"/>
      <c r="B5338" s="1083">
        <f>Risk_Compensation!A$1</f>
        <v>36</v>
      </c>
      <c r="C5338" s="1390" t="str">
        <f>Risk_Compensation!$B$1</f>
        <v xml:space="preserve">Risikoausgleich </v>
      </c>
      <c r="D5338" s="1743" t="str">
        <f>Risk_Compensation!$AJ$14</f>
        <v>geschätzte Risikoausgleichssätze, pro Monat in CHF (ohne Entlastung junge Erwachsene)</v>
      </c>
      <c r="E5338" s="1390">
        <f>Risk_Compensation!$AJ53</f>
        <v>36</v>
      </c>
      <c r="F5338" s="1390" t="str">
        <f>Risk_Compensation!$L$17</f>
        <v>BL</v>
      </c>
      <c r="G5338" s="1390"/>
      <c r="H5338" s="1077">
        <f>Risk_Compensation!$AO53</f>
        <v>-188.47158917988699</v>
      </c>
    </row>
    <row r="5339" spans="1:8" x14ac:dyDescent="0.2">
      <c r="A5339" s="1027"/>
      <c r="B5339" s="1083">
        <f>Risk_Compensation!A$1</f>
        <v>36</v>
      </c>
      <c r="C5339" s="1390" t="str">
        <f>Risk_Compensation!$B$1</f>
        <v xml:space="preserve">Risikoausgleich </v>
      </c>
      <c r="D5339" s="1743" t="str">
        <f>Risk_Compensation!$AJ$14</f>
        <v>geschätzte Risikoausgleichssätze, pro Monat in CHF (ohne Entlastung junge Erwachsene)</v>
      </c>
      <c r="E5339" s="1390">
        <f>Risk_Compensation!$AJ54</f>
        <v>37</v>
      </c>
      <c r="F5339" s="1390" t="str">
        <f>Risk_Compensation!$L$17</f>
        <v>BL</v>
      </c>
      <c r="G5339" s="1390"/>
      <c r="H5339" s="1077">
        <f>Risk_Compensation!$AO54</f>
        <v>313.50410562686699</v>
      </c>
    </row>
    <row r="5340" spans="1:8" x14ac:dyDescent="0.2">
      <c r="A5340" s="1027"/>
      <c r="B5340" s="1083">
        <f>Risk_Compensation!A$1</f>
        <v>36</v>
      </c>
      <c r="C5340" s="1390" t="str">
        <f>Risk_Compensation!$B$1</f>
        <v xml:space="preserve">Risikoausgleich </v>
      </c>
      <c r="D5340" s="1743" t="str">
        <f>Risk_Compensation!$AJ$14</f>
        <v>geschätzte Risikoausgleichssätze, pro Monat in CHF (ohne Entlastung junge Erwachsene)</v>
      </c>
      <c r="E5340" s="1390">
        <f>Risk_Compensation!$AJ55</f>
        <v>38</v>
      </c>
      <c r="F5340" s="1390" t="str">
        <f>Risk_Compensation!$L$17</f>
        <v>BL</v>
      </c>
      <c r="G5340" s="1390"/>
      <c r="H5340" s="1077">
        <f>Risk_Compensation!$AO55</f>
        <v>-238.901432929013</v>
      </c>
    </row>
    <row r="5341" spans="1:8" x14ac:dyDescent="0.2">
      <c r="A5341" s="1027"/>
      <c r="B5341" s="1083">
        <f>Risk_Compensation!A$1</f>
        <v>36</v>
      </c>
      <c r="C5341" s="1390" t="str">
        <f>Risk_Compensation!$B$1</f>
        <v xml:space="preserve">Risikoausgleich </v>
      </c>
      <c r="D5341" s="1743" t="str">
        <f>Risk_Compensation!$AJ$14</f>
        <v>geschätzte Risikoausgleichssätze, pro Monat in CHF (ohne Entlastung junge Erwachsene)</v>
      </c>
      <c r="E5341" s="1390">
        <f>Risk_Compensation!$AJ56</f>
        <v>39</v>
      </c>
      <c r="F5341" s="1390" t="str">
        <f>Risk_Compensation!$L$17</f>
        <v>BL</v>
      </c>
      <c r="G5341" s="1390"/>
      <c r="H5341" s="1077">
        <f>Risk_Compensation!$AO56</f>
        <v>280.52160285069601</v>
      </c>
    </row>
    <row r="5342" spans="1:8" x14ac:dyDescent="0.2">
      <c r="A5342" s="1027"/>
      <c r="B5342" s="1083">
        <f>Risk_Compensation!A$1</f>
        <v>36</v>
      </c>
      <c r="C5342" s="1390" t="str">
        <f>Risk_Compensation!$B$1</f>
        <v xml:space="preserve">Risikoausgleich </v>
      </c>
      <c r="D5342" s="1743" t="str">
        <f>Risk_Compensation!$AJ$14</f>
        <v>geschätzte Risikoausgleichssätze, pro Monat in CHF (ohne Entlastung junge Erwachsene)</v>
      </c>
      <c r="E5342" s="1390">
        <f>Risk_Compensation!$AJ57</f>
        <v>40</v>
      </c>
      <c r="F5342" s="1390" t="str">
        <f>Risk_Compensation!$L$17</f>
        <v>BL</v>
      </c>
      <c r="G5342" s="1390"/>
      <c r="H5342" s="1077">
        <f>Risk_Compensation!$AO57</f>
        <v>-273.38502072236901</v>
      </c>
    </row>
    <row r="5343" spans="1:8" x14ac:dyDescent="0.2">
      <c r="A5343" s="1027"/>
      <c r="B5343" s="1083">
        <f>Risk_Compensation!A$1</f>
        <v>36</v>
      </c>
      <c r="C5343" s="1390" t="str">
        <f>Risk_Compensation!$B$1</f>
        <v xml:space="preserve">Risikoausgleich </v>
      </c>
      <c r="D5343" s="1743" t="str">
        <f>Risk_Compensation!$AJ$14</f>
        <v>geschätzte Risikoausgleichssätze, pro Monat in CHF (ohne Entlastung junge Erwachsene)</v>
      </c>
      <c r="E5343" s="1390">
        <f>Risk_Compensation!$AJ58</f>
        <v>41</v>
      </c>
      <c r="F5343" s="1390" t="str">
        <f>Risk_Compensation!$L$17</f>
        <v>BL</v>
      </c>
      <c r="G5343" s="1390"/>
      <c r="H5343" s="1077">
        <f>Risk_Compensation!$AO58</f>
        <v>98.706123821373595</v>
      </c>
    </row>
    <row r="5344" spans="1:8" x14ac:dyDescent="0.2">
      <c r="A5344" s="1027"/>
      <c r="B5344" s="1083">
        <f>Risk_Compensation!A$1</f>
        <v>36</v>
      </c>
      <c r="C5344" s="1390" t="str">
        <f>Risk_Compensation!$B$1</f>
        <v xml:space="preserve">Risikoausgleich </v>
      </c>
      <c r="D5344" s="1743" t="str">
        <f>Risk_Compensation!$AJ$14</f>
        <v>geschätzte Risikoausgleichssätze, pro Monat in CHF (ohne Entlastung junge Erwachsene)</v>
      </c>
      <c r="E5344" s="1390">
        <f>Risk_Compensation!$AJ59</f>
        <v>42</v>
      </c>
      <c r="F5344" s="1390" t="str">
        <f>Risk_Compensation!$L$17</f>
        <v>BL</v>
      </c>
      <c r="G5344" s="1390"/>
      <c r="H5344" s="1077">
        <f>Risk_Compensation!$AO59</f>
        <v>-280.85119059623997</v>
      </c>
    </row>
    <row r="5345" spans="1:8" x14ac:dyDescent="0.2">
      <c r="A5345" s="1027"/>
      <c r="B5345" s="1083">
        <f>Risk_Compensation!A$1</f>
        <v>36</v>
      </c>
      <c r="C5345" s="1390" t="str">
        <f>Risk_Compensation!$B$1</f>
        <v xml:space="preserve">Risikoausgleich </v>
      </c>
      <c r="D5345" s="1743" t="str">
        <f>Risk_Compensation!$AJ$14</f>
        <v>geschätzte Risikoausgleichssätze, pro Monat in CHF (ohne Entlastung junge Erwachsene)</v>
      </c>
      <c r="E5345" s="1390">
        <f>Risk_Compensation!$AJ60</f>
        <v>43</v>
      </c>
      <c r="F5345" s="1390" t="str">
        <f>Risk_Compensation!$L$17</f>
        <v>BL</v>
      </c>
      <c r="G5345" s="1390"/>
      <c r="H5345" s="1077">
        <f>Risk_Compensation!$AO60</f>
        <v>433.44905113754697</v>
      </c>
    </row>
    <row r="5346" spans="1:8" x14ac:dyDescent="0.2">
      <c r="A5346" s="1027"/>
      <c r="B5346" s="1083">
        <f>Risk_Compensation!A$1</f>
        <v>36</v>
      </c>
      <c r="C5346" s="1390" t="str">
        <f>Risk_Compensation!$B$1</f>
        <v xml:space="preserve">Risikoausgleich </v>
      </c>
      <c r="D5346" s="1743" t="str">
        <f>Risk_Compensation!$AJ$14</f>
        <v>geschätzte Risikoausgleichssätze, pro Monat in CHF (ohne Entlastung junge Erwachsene)</v>
      </c>
      <c r="E5346" s="1390">
        <f>Risk_Compensation!$AJ61</f>
        <v>44</v>
      </c>
      <c r="F5346" s="1390" t="str">
        <f>Risk_Compensation!$L$17</f>
        <v>BL</v>
      </c>
      <c r="G5346" s="1390"/>
      <c r="H5346" s="1077">
        <f>Risk_Compensation!$AO61</f>
        <v>-250.868928549473</v>
      </c>
    </row>
    <row r="5347" spans="1:8" x14ac:dyDescent="0.2">
      <c r="A5347" s="1027"/>
      <c r="B5347" s="1083">
        <f>Risk_Compensation!A$1</f>
        <v>36</v>
      </c>
      <c r="C5347" s="1390" t="str">
        <f>Risk_Compensation!$B$1</f>
        <v xml:space="preserve">Risikoausgleich </v>
      </c>
      <c r="D5347" s="1743" t="str">
        <f>Risk_Compensation!$AJ$14</f>
        <v>geschätzte Risikoausgleichssätze, pro Monat in CHF (ohne Entlastung junge Erwachsene)</v>
      </c>
      <c r="E5347" s="1390">
        <f>Risk_Compensation!$AJ62</f>
        <v>45</v>
      </c>
      <c r="F5347" s="1390" t="str">
        <f>Risk_Compensation!$L$17</f>
        <v>BL</v>
      </c>
      <c r="G5347" s="1390"/>
      <c r="H5347" s="1077">
        <f>Risk_Compensation!$AO62</f>
        <v>431.97208564835603</v>
      </c>
    </row>
    <row r="5348" spans="1:8" x14ac:dyDescent="0.2">
      <c r="A5348" s="1027"/>
      <c r="B5348" s="1083">
        <f>Risk_Compensation!A$1</f>
        <v>36</v>
      </c>
      <c r="C5348" s="1390" t="str">
        <f>Risk_Compensation!$B$1</f>
        <v xml:space="preserve">Risikoausgleich </v>
      </c>
      <c r="D5348" s="1743" t="str">
        <f>Risk_Compensation!$AJ$14</f>
        <v>geschätzte Risikoausgleichssätze, pro Monat in CHF (ohne Entlastung junge Erwachsene)</v>
      </c>
      <c r="E5348" s="1390">
        <f>Risk_Compensation!$AJ63</f>
        <v>46</v>
      </c>
      <c r="F5348" s="1390" t="str">
        <f>Risk_Compensation!$L$17</f>
        <v>BL</v>
      </c>
      <c r="G5348" s="1390"/>
      <c r="H5348" s="1077">
        <f>Risk_Compensation!$AO63</f>
        <v>-243.40397148371201</v>
      </c>
    </row>
    <row r="5349" spans="1:8" x14ac:dyDescent="0.2">
      <c r="A5349" s="1027"/>
      <c r="B5349" s="1083">
        <f>Risk_Compensation!A$1</f>
        <v>36</v>
      </c>
      <c r="C5349" s="1390" t="str">
        <f>Risk_Compensation!$B$1</f>
        <v xml:space="preserve">Risikoausgleich </v>
      </c>
      <c r="D5349" s="1743" t="str">
        <f>Risk_Compensation!$AJ$14</f>
        <v>geschätzte Risikoausgleichssätze, pro Monat in CHF (ohne Entlastung junge Erwachsene)</v>
      </c>
      <c r="E5349" s="1390">
        <f>Risk_Compensation!$AJ64</f>
        <v>47</v>
      </c>
      <c r="F5349" s="1390" t="str">
        <f>Risk_Compensation!$L$17</f>
        <v>BL</v>
      </c>
      <c r="G5349" s="1390"/>
      <c r="H5349" s="1077">
        <f>Risk_Compensation!$AO64</f>
        <v>481.14430049722</v>
      </c>
    </row>
    <row r="5350" spans="1:8" x14ac:dyDescent="0.2">
      <c r="A5350" s="1027"/>
      <c r="B5350" s="1083">
        <f>Risk_Compensation!A$1</f>
        <v>36</v>
      </c>
      <c r="C5350" s="1390" t="str">
        <f>Risk_Compensation!$B$1</f>
        <v xml:space="preserve">Risikoausgleich </v>
      </c>
      <c r="D5350" s="1743" t="str">
        <f>Risk_Compensation!$AJ$14</f>
        <v>geschätzte Risikoausgleichssätze, pro Monat in CHF (ohne Entlastung junge Erwachsene)</v>
      </c>
      <c r="E5350" s="1390">
        <f>Risk_Compensation!$AJ65</f>
        <v>48</v>
      </c>
      <c r="F5350" s="1390" t="str">
        <f>Risk_Compensation!$L$17</f>
        <v>BL</v>
      </c>
      <c r="G5350" s="1390"/>
      <c r="H5350" s="1077">
        <f>Risk_Compensation!$AO65</f>
        <v>-225.589754864702</v>
      </c>
    </row>
    <row r="5351" spans="1:8" x14ac:dyDescent="0.2">
      <c r="A5351" s="1027"/>
      <c r="B5351" s="1083">
        <f>Risk_Compensation!A$1</f>
        <v>36</v>
      </c>
      <c r="C5351" s="1390" t="str">
        <f>Risk_Compensation!$B$1</f>
        <v xml:space="preserve">Risikoausgleich </v>
      </c>
      <c r="D5351" s="1743" t="str">
        <f>Risk_Compensation!$AJ$14</f>
        <v>geschätzte Risikoausgleichssätze, pro Monat in CHF (ohne Entlastung junge Erwachsene)</v>
      </c>
      <c r="E5351" s="1390">
        <f>Risk_Compensation!$AJ66</f>
        <v>49</v>
      </c>
      <c r="F5351" s="1390" t="str">
        <f>Risk_Compensation!$L$17</f>
        <v>BL</v>
      </c>
      <c r="G5351" s="1390"/>
      <c r="H5351" s="1077">
        <f>Risk_Compensation!$AO66</f>
        <v>572.71413341684399</v>
      </c>
    </row>
    <row r="5352" spans="1:8" x14ac:dyDescent="0.2">
      <c r="A5352" s="1027"/>
      <c r="B5352" s="1083">
        <f>Risk_Compensation!A$1</f>
        <v>36</v>
      </c>
      <c r="C5352" s="1390" t="str">
        <f>Risk_Compensation!$B$1</f>
        <v xml:space="preserve">Risikoausgleich </v>
      </c>
      <c r="D5352" s="1743" t="str">
        <f>Risk_Compensation!$AJ$14</f>
        <v>geschätzte Risikoausgleichssätze, pro Monat in CHF (ohne Entlastung junge Erwachsene)</v>
      </c>
      <c r="E5352" s="1390">
        <f>Risk_Compensation!$AJ67</f>
        <v>50</v>
      </c>
      <c r="F5352" s="1390" t="str">
        <f>Risk_Compensation!$L$17</f>
        <v>BL</v>
      </c>
      <c r="G5352" s="1390"/>
      <c r="H5352" s="1077">
        <f>Risk_Compensation!$AO67</f>
        <v>-161.356766837919</v>
      </c>
    </row>
    <row r="5353" spans="1:8" x14ac:dyDescent="0.2">
      <c r="A5353" s="1027"/>
      <c r="B5353" s="1083">
        <f>Risk_Compensation!A$1</f>
        <v>36</v>
      </c>
      <c r="C5353" s="1390" t="str">
        <f>Risk_Compensation!$B$1</f>
        <v xml:space="preserve">Risikoausgleich </v>
      </c>
      <c r="D5353" s="1743" t="str">
        <f>Risk_Compensation!$AJ$14</f>
        <v>geschätzte Risikoausgleichssätze, pro Monat in CHF (ohne Entlastung junge Erwachsene)</v>
      </c>
      <c r="E5353" s="1390">
        <f>Risk_Compensation!$AJ68</f>
        <v>51</v>
      </c>
      <c r="F5353" s="1390" t="str">
        <f>Risk_Compensation!$L$17</f>
        <v>BL</v>
      </c>
      <c r="G5353" s="1390"/>
      <c r="H5353" s="1077">
        <f>Risk_Compensation!$AO68</f>
        <v>596.30866182217505</v>
      </c>
    </row>
    <row r="5354" spans="1:8" x14ac:dyDescent="0.2">
      <c r="A5354" s="1027"/>
      <c r="B5354" s="1083">
        <f>Risk_Compensation!A$1</f>
        <v>36</v>
      </c>
      <c r="C5354" s="1390" t="str">
        <f>Risk_Compensation!$B$1</f>
        <v xml:space="preserve">Risikoausgleich </v>
      </c>
      <c r="D5354" s="1743" t="str">
        <f>Risk_Compensation!$AJ$14</f>
        <v>geschätzte Risikoausgleichssätze, pro Monat in CHF (ohne Entlastung junge Erwachsene)</v>
      </c>
      <c r="E5354" s="1390">
        <f>Risk_Compensation!$AJ69</f>
        <v>52</v>
      </c>
      <c r="F5354" s="1390" t="str">
        <f>Risk_Compensation!$L$17</f>
        <v>BL</v>
      </c>
      <c r="G5354" s="1390"/>
      <c r="H5354" s="1077">
        <f>Risk_Compensation!$AO69</f>
        <v>-66.4794938121249</v>
      </c>
    </row>
    <row r="5355" spans="1:8" x14ac:dyDescent="0.2">
      <c r="A5355" s="1027"/>
      <c r="B5355" s="1083">
        <f>Risk_Compensation!A$1</f>
        <v>36</v>
      </c>
      <c r="C5355" s="1390" t="str">
        <f>Risk_Compensation!$B$1</f>
        <v xml:space="preserve">Risikoausgleich </v>
      </c>
      <c r="D5355" s="1743" t="str">
        <f>Risk_Compensation!$AJ$14</f>
        <v>geschätzte Risikoausgleichssätze, pro Monat in CHF (ohne Entlastung junge Erwachsene)</v>
      </c>
      <c r="E5355" s="1390">
        <f>Risk_Compensation!$AJ70</f>
        <v>53</v>
      </c>
      <c r="F5355" s="1390" t="str">
        <f>Risk_Compensation!$L$17</f>
        <v>BL</v>
      </c>
      <c r="G5355" s="1390"/>
      <c r="H5355" s="1077">
        <f>Risk_Compensation!$AO70</f>
        <v>821.015423010257</v>
      </c>
    </row>
    <row r="5356" spans="1:8" x14ac:dyDescent="0.2">
      <c r="A5356" s="1027"/>
      <c r="B5356" s="1083">
        <f>Risk_Compensation!A$1</f>
        <v>36</v>
      </c>
      <c r="C5356" s="1390" t="str">
        <f>Risk_Compensation!$B$1</f>
        <v xml:space="preserve">Risikoausgleich </v>
      </c>
      <c r="D5356" s="1743" t="str">
        <f>Risk_Compensation!$AJ$14</f>
        <v>geschätzte Risikoausgleichssätze, pro Monat in CHF (ohne Entlastung junge Erwachsene)</v>
      </c>
      <c r="E5356" s="1390">
        <f>Risk_Compensation!$AJ71</f>
        <v>54</v>
      </c>
      <c r="F5356" s="1390" t="str">
        <f>Risk_Compensation!$L$17</f>
        <v>BL</v>
      </c>
      <c r="G5356" s="1390"/>
      <c r="H5356" s="1077">
        <f>Risk_Compensation!$AO71</f>
        <v>-5.9773883643885002</v>
      </c>
    </row>
    <row r="5357" spans="1:8" x14ac:dyDescent="0.2">
      <c r="A5357" s="1027"/>
      <c r="B5357" s="1083">
        <f>Risk_Compensation!A$1</f>
        <v>36</v>
      </c>
      <c r="C5357" s="1390" t="str">
        <f>Risk_Compensation!$B$1</f>
        <v xml:space="preserve">Risikoausgleich </v>
      </c>
      <c r="D5357" s="1743" t="str">
        <f>Risk_Compensation!$AJ$14</f>
        <v>geschätzte Risikoausgleichssätze, pro Monat in CHF (ohne Entlastung junge Erwachsene)</v>
      </c>
      <c r="E5357" s="1390">
        <f>Risk_Compensation!$AJ72</f>
        <v>55</v>
      </c>
      <c r="F5357" s="1390" t="str">
        <f>Risk_Compensation!$L$17</f>
        <v>BL</v>
      </c>
      <c r="G5357" s="1390"/>
      <c r="H5357" s="1077">
        <f>Risk_Compensation!$AO72</f>
        <v>1015.51619970459</v>
      </c>
    </row>
    <row r="5358" spans="1:8" x14ac:dyDescent="0.2">
      <c r="A5358" s="1027"/>
      <c r="B5358" s="1083">
        <f>Risk_Compensation!A$1</f>
        <v>36</v>
      </c>
      <c r="C5358" s="1390" t="str">
        <f>Risk_Compensation!$B$1</f>
        <v xml:space="preserve">Risikoausgleich </v>
      </c>
      <c r="D5358" s="1743" t="str">
        <f>Risk_Compensation!$AJ$14</f>
        <v>geschätzte Risikoausgleichssätze, pro Monat in CHF (ohne Entlastung junge Erwachsene)</v>
      </c>
      <c r="E5358" s="1390">
        <f>Risk_Compensation!$AJ73</f>
        <v>56</v>
      </c>
      <c r="F5358" s="1390" t="str">
        <f>Risk_Compensation!$L$17</f>
        <v>BL</v>
      </c>
      <c r="G5358" s="1390"/>
      <c r="H5358" s="1077">
        <f>Risk_Compensation!$AO73</f>
        <v>130.82246067538401</v>
      </c>
    </row>
    <row r="5359" spans="1:8" x14ac:dyDescent="0.2">
      <c r="A5359" s="1027"/>
      <c r="B5359" s="1083">
        <f>Risk_Compensation!A$1</f>
        <v>36</v>
      </c>
      <c r="C5359" s="1390" t="str">
        <f>Risk_Compensation!$B$1</f>
        <v xml:space="preserve">Risikoausgleich </v>
      </c>
      <c r="D5359" s="1743" t="str">
        <f>Risk_Compensation!$AJ$14</f>
        <v>geschätzte Risikoausgleichssätze, pro Monat in CHF (ohne Entlastung junge Erwachsene)</v>
      </c>
      <c r="E5359" s="1390">
        <f>Risk_Compensation!$AJ74</f>
        <v>57</v>
      </c>
      <c r="F5359" s="1390" t="str">
        <f>Risk_Compensation!$L$17</f>
        <v>BL</v>
      </c>
      <c r="G5359" s="1390"/>
      <c r="H5359" s="1077">
        <f>Risk_Compensation!$AO74</f>
        <v>1239.7594118211</v>
      </c>
    </row>
    <row r="5360" spans="1:8" x14ac:dyDescent="0.2">
      <c r="A5360" s="1027"/>
      <c r="B5360" s="1083">
        <f>Risk_Compensation!A$1</f>
        <v>36</v>
      </c>
      <c r="C5360" s="1390" t="str">
        <f>Risk_Compensation!$B$1</f>
        <v xml:space="preserve">Risikoausgleich </v>
      </c>
      <c r="D5360" s="1743" t="str">
        <f>Risk_Compensation!$AJ$14</f>
        <v>geschätzte Risikoausgleichssätze, pro Monat in CHF (ohne Entlastung junge Erwachsene)</v>
      </c>
      <c r="E5360" s="1390">
        <f>Risk_Compensation!$AJ75</f>
        <v>58</v>
      </c>
      <c r="F5360" s="1390" t="str">
        <f>Risk_Compensation!$L$17</f>
        <v>BL</v>
      </c>
      <c r="G5360" s="1390"/>
      <c r="H5360" s="1077">
        <f>Risk_Compensation!$AO75</f>
        <v>239.510651964516</v>
      </c>
    </row>
    <row r="5361" spans="1:8" x14ac:dyDescent="0.2">
      <c r="A5361" s="1027"/>
      <c r="B5361" s="1083">
        <f>Risk_Compensation!A$1</f>
        <v>36</v>
      </c>
      <c r="C5361" s="1390" t="str">
        <f>Risk_Compensation!$B$1</f>
        <v xml:space="preserve">Risikoausgleich </v>
      </c>
      <c r="D5361" s="1743" t="str">
        <f>Risk_Compensation!$AJ$14</f>
        <v>geschätzte Risikoausgleichssätze, pro Monat in CHF (ohne Entlastung junge Erwachsene)</v>
      </c>
      <c r="E5361" s="1390">
        <f>Risk_Compensation!$AJ76</f>
        <v>59</v>
      </c>
      <c r="F5361" s="1390" t="str">
        <f>Risk_Compensation!$L$17</f>
        <v>BL</v>
      </c>
      <c r="G5361" s="1390"/>
      <c r="H5361" s="1077">
        <f>Risk_Compensation!$AO76</f>
        <v>1455.43956545789</v>
      </c>
    </row>
    <row r="5362" spans="1:8" x14ac:dyDescent="0.2">
      <c r="A5362" s="1027"/>
      <c r="B5362" s="1083">
        <f>Risk_Compensation!A$1</f>
        <v>36</v>
      </c>
      <c r="C5362" s="1390" t="str">
        <f>Risk_Compensation!$B$1</f>
        <v xml:space="preserve">Risikoausgleich </v>
      </c>
      <c r="D5362" s="1743" t="str">
        <f>Risk_Compensation!$AJ$14</f>
        <v>geschätzte Risikoausgleichssätze, pro Monat in CHF (ohne Entlastung junge Erwachsene)</v>
      </c>
      <c r="E5362" s="1390">
        <f>Risk_Compensation!$AJ77</f>
        <v>60</v>
      </c>
      <c r="F5362" s="1390" t="str">
        <f>Risk_Compensation!$L$17</f>
        <v>BL</v>
      </c>
      <c r="G5362" s="1390"/>
      <c r="H5362" s="1077">
        <f>Risk_Compensation!$AO77</f>
        <v>608.11515948508304</v>
      </c>
    </row>
    <row r="5363" spans="1:8" x14ac:dyDescent="0.2">
      <c r="A5363" s="1027"/>
      <c r="B5363" s="2174"/>
      <c r="C5363" s="1390"/>
      <c r="D5363" s="2175"/>
      <c r="E5363" s="2176"/>
      <c r="F5363" s="1390"/>
      <c r="G5363" s="1390"/>
      <c r="H5363" s="1078"/>
    </row>
    <row r="5364" spans="1:8" x14ac:dyDescent="0.2">
      <c r="A5364" s="1027"/>
      <c r="B5364" s="1083">
        <f>Risk_Compensation!A$1</f>
        <v>36</v>
      </c>
      <c r="C5364" s="1390" t="str">
        <f>Risk_Compensation!$B$1</f>
        <v xml:space="preserve">Risikoausgleich </v>
      </c>
      <c r="D5364" s="1743" t="str">
        <f>Risk_Compensation!$AJ$14</f>
        <v>geschätzte Risikoausgleichssätze, pro Monat in CHF (ohne Entlastung junge Erwachsene)</v>
      </c>
      <c r="E5364" s="1390">
        <f>Risk_Compensation!$AJ18</f>
        <v>1</v>
      </c>
      <c r="F5364" s="1390" t="str">
        <f>Risk_Compensation!$M$17</f>
        <v>BS</v>
      </c>
      <c r="G5364" s="1390"/>
      <c r="H5364" s="1077">
        <f>Risk_Compensation!$AP18</f>
        <v>304.149061421407</v>
      </c>
    </row>
    <row r="5365" spans="1:8" x14ac:dyDescent="0.2">
      <c r="A5365" s="1027"/>
      <c r="B5365" s="1083">
        <f>Risk_Compensation!A$1</f>
        <v>36</v>
      </c>
      <c r="C5365" s="1390" t="str">
        <f>Risk_Compensation!$B$1</f>
        <v xml:space="preserve">Risikoausgleich </v>
      </c>
      <c r="D5365" s="1743" t="str">
        <f>Risk_Compensation!$AJ$14</f>
        <v>geschätzte Risikoausgleichssätze, pro Monat in CHF (ohne Entlastung junge Erwachsene)</v>
      </c>
      <c r="E5365" s="1390">
        <f>Risk_Compensation!$AJ19</f>
        <v>2</v>
      </c>
      <c r="F5365" s="1390" t="str">
        <f>Risk_Compensation!$M$17</f>
        <v>BS</v>
      </c>
      <c r="G5365" s="1390"/>
      <c r="H5365" s="1077">
        <f>Risk_Compensation!$AP19</f>
        <v>-377.71026152289397</v>
      </c>
    </row>
    <row r="5366" spans="1:8" x14ac:dyDescent="0.2">
      <c r="A5366" s="1027"/>
      <c r="B5366" s="1083">
        <f>Risk_Compensation!A$1</f>
        <v>36</v>
      </c>
      <c r="C5366" s="1390" t="str">
        <f>Risk_Compensation!$B$1</f>
        <v xml:space="preserve">Risikoausgleich </v>
      </c>
      <c r="D5366" s="1743" t="str">
        <f>Risk_Compensation!$AJ$14</f>
        <v>geschätzte Risikoausgleichssätze, pro Monat in CHF (ohne Entlastung junge Erwachsene)</v>
      </c>
      <c r="E5366" s="1390">
        <f>Risk_Compensation!$AJ20</f>
        <v>3</v>
      </c>
      <c r="F5366" s="1390" t="str">
        <f>Risk_Compensation!$M$17</f>
        <v>BS</v>
      </c>
      <c r="G5366" s="1390"/>
      <c r="H5366" s="1077">
        <f>Risk_Compensation!$AP20</f>
        <v>471.62429447255602</v>
      </c>
    </row>
    <row r="5367" spans="1:8" x14ac:dyDescent="0.2">
      <c r="A5367" s="1027"/>
      <c r="B5367" s="1083">
        <f>Risk_Compensation!A$1</f>
        <v>36</v>
      </c>
      <c r="C5367" s="1390" t="str">
        <f>Risk_Compensation!$B$1</f>
        <v xml:space="preserve">Risikoausgleich </v>
      </c>
      <c r="D5367" s="1743" t="str">
        <f>Risk_Compensation!$AJ$14</f>
        <v>geschätzte Risikoausgleichssätze, pro Monat in CHF (ohne Entlastung junge Erwachsene)</v>
      </c>
      <c r="E5367" s="1390">
        <f>Risk_Compensation!$AJ21</f>
        <v>4</v>
      </c>
      <c r="F5367" s="1390" t="str">
        <f>Risk_Compensation!$M$17</f>
        <v>BS</v>
      </c>
      <c r="G5367" s="1390"/>
      <c r="H5367" s="1077">
        <f>Risk_Compensation!$AP21</f>
        <v>-394.50265560649802</v>
      </c>
    </row>
    <row r="5368" spans="1:8" x14ac:dyDescent="0.2">
      <c r="A5368" s="1027"/>
      <c r="B5368" s="1083">
        <f>Risk_Compensation!A$1</f>
        <v>36</v>
      </c>
      <c r="C5368" s="1390" t="str">
        <f>Risk_Compensation!$B$1</f>
        <v xml:space="preserve">Risikoausgleich </v>
      </c>
      <c r="D5368" s="1743" t="str">
        <f>Risk_Compensation!$AJ$14</f>
        <v>geschätzte Risikoausgleichssätze, pro Monat in CHF (ohne Entlastung junge Erwachsene)</v>
      </c>
      <c r="E5368" s="1390">
        <f>Risk_Compensation!$AJ22</f>
        <v>5</v>
      </c>
      <c r="F5368" s="1390" t="str">
        <f>Risk_Compensation!$M$17</f>
        <v>BS</v>
      </c>
      <c r="G5368" s="1390"/>
      <c r="H5368" s="1077">
        <f>Risk_Compensation!$AP22</f>
        <v>386.41181328298501</v>
      </c>
    </row>
    <row r="5369" spans="1:8" x14ac:dyDescent="0.2">
      <c r="A5369" s="1027"/>
      <c r="B5369" s="1083">
        <f>Risk_Compensation!A$1</f>
        <v>36</v>
      </c>
      <c r="C5369" s="1390" t="str">
        <f>Risk_Compensation!$B$1</f>
        <v xml:space="preserve">Risikoausgleich </v>
      </c>
      <c r="D5369" s="1743" t="str">
        <f>Risk_Compensation!$AJ$14</f>
        <v>geschätzte Risikoausgleichssätze, pro Monat in CHF (ohne Entlastung junge Erwachsene)</v>
      </c>
      <c r="E5369" s="1390">
        <f>Risk_Compensation!$AJ23</f>
        <v>6</v>
      </c>
      <c r="F5369" s="1390" t="str">
        <f>Risk_Compensation!$M$17</f>
        <v>BS</v>
      </c>
      <c r="G5369" s="1390"/>
      <c r="H5369" s="1077">
        <f>Risk_Compensation!$AP23</f>
        <v>-399.990901864725</v>
      </c>
    </row>
    <row r="5370" spans="1:8" x14ac:dyDescent="0.2">
      <c r="A5370" s="1027"/>
      <c r="B5370" s="1083">
        <f>Risk_Compensation!A$1</f>
        <v>36</v>
      </c>
      <c r="C5370" s="1390" t="str">
        <f>Risk_Compensation!$B$1</f>
        <v xml:space="preserve">Risikoausgleich </v>
      </c>
      <c r="D5370" s="1743" t="str">
        <f>Risk_Compensation!$AJ$14</f>
        <v>geschätzte Risikoausgleichssätze, pro Monat in CHF (ohne Entlastung junge Erwachsene)</v>
      </c>
      <c r="E5370" s="1390">
        <f>Risk_Compensation!$AJ24</f>
        <v>7</v>
      </c>
      <c r="F5370" s="1390" t="str">
        <f>Risk_Compensation!$M$17</f>
        <v>BS</v>
      </c>
      <c r="G5370" s="1390"/>
      <c r="H5370" s="1077">
        <f>Risk_Compensation!$AP24</f>
        <v>237.18190670768601</v>
      </c>
    </row>
    <row r="5371" spans="1:8" x14ac:dyDescent="0.2">
      <c r="A5371" s="1027"/>
      <c r="B5371" s="1083">
        <f>Risk_Compensation!A$1</f>
        <v>36</v>
      </c>
      <c r="C5371" s="1390" t="str">
        <f>Risk_Compensation!$B$1</f>
        <v xml:space="preserve">Risikoausgleich </v>
      </c>
      <c r="D5371" s="1743" t="str">
        <f>Risk_Compensation!$AJ$14</f>
        <v>geschätzte Risikoausgleichssätze, pro Monat in CHF (ohne Entlastung junge Erwachsene)</v>
      </c>
      <c r="E5371" s="1390">
        <f>Risk_Compensation!$AJ25</f>
        <v>8</v>
      </c>
      <c r="F5371" s="1390" t="str">
        <f>Risk_Compensation!$M$17</f>
        <v>BS</v>
      </c>
      <c r="G5371" s="1390"/>
      <c r="H5371" s="1077">
        <f>Risk_Compensation!$AP25</f>
        <v>-378.03475765441198</v>
      </c>
    </row>
    <row r="5372" spans="1:8" x14ac:dyDescent="0.2">
      <c r="A5372" s="1027"/>
      <c r="B5372" s="1083">
        <f>Risk_Compensation!A$1</f>
        <v>36</v>
      </c>
      <c r="C5372" s="1390" t="str">
        <f>Risk_Compensation!$B$1</f>
        <v xml:space="preserve">Risikoausgleich </v>
      </c>
      <c r="D5372" s="1743" t="str">
        <f>Risk_Compensation!$AJ$14</f>
        <v>geschätzte Risikoausgleichssätze, pro Monat in CHF (ohne Entlastung junge Erwachsene)</v>
      </c>
      <c r="E5372" s="1390">
        <f>Risk_Compensation!$AJ26</f>
        <v>9</v>
      </c>
      <c r="F5372" s="1390" t="str">
        <f>Risk_Compensation!$M$17</f>
        <v>BS</v>
      </c>
      <c r="G5372" s="1390"/>
      <c r="H5372" s="1077">
        <f>Risk_Compensation!$AP26</f>
        <v>365.45645733548702</v>
      </c>
    </row>
    <row r="5373" spans="1:8" x14ac:dyDescent="0.2">
      <c r="A5373" s="1027"/>
      <c r="B5373" s="1083">
        <f>Risk_Compensation!A$1</f>
        <v>36</v>
      </c>
      <c r="C5373" s="1390" t="str">
        <f>Risk_Compensation!$B$1</f>
        <v xml:space="preserve">Risikoausgleich </v>
      </c>
      <c r="D5373" s="1743" t="str">
        <f>Risk_Compensation!$AJ$14</f>
        <v>geschätzte Risikoausgleichssätze, pro Monat in CHF (ohne Entlastung junge Erwachsene)</v>
      </c>
      <c r="E5373" s="1390">
        <f>Risk_Compensation!$AJ27</f>
        <v>10</v>
      </c>
      <c r="F5373" s="1390" t="str">
        <f>Risk_Compensation!$M$17</f>
        <v>BS</v>
      </c>
      <c r="G5373" s="1390"/>
      <c r="H5373" s="1077">
        <f>Risk_Compensation!$AP27</f>
        <v>-378.84815161849099</v>
      </c>
    </row>
    <row r="5374" spans="1:8" x14ac:dyDescent="0.2">
      <c r="A5374" s="1027"/>
      <c r="B5374" s="1083">
        <f>Risk_Compensation!A$1</f>
        <v>36</v>
      </c>
      <c r="C5374" s="1390" t="str">
        <f>Risk_Compensation!$B$1</f>
        <v xml:space="preserve">Risikoausgleich </v>
      </c>
      <c r="D5374" s="1743" t="str">
        <f>Risk_Compensation!$AJ$14</f>
        <v>geschätzte Risikoausgleichssätze, pro Monat in CHF (ohne Entlastung junge Erwachsene)</v>
      </c>
      <c r="E5374" s="1390">
        <f>Risk_Compensation!$AJ28</f>
        <v>11</v>
      </c>
      <c r="F5374" s="1390" t="str">
        <f>Risk_Compensation!$M$17</f>
        <v>BS</v>
      </c>
      <c r="G5374" s="1390"/>
      <c r="H5374" s="1077">
        <f>Risk_Compensation!$AP28</f>
        <v>556.20445112168795</v>
      </c>
    </row>
    <row r="5375" spans="1:8" x14ac:dyDescent="0.2">
      <c r="A5375" s="1027"/>
      <c r="B5375" s="1083">
        <f>Risk_Compensation!A$1</f>
        <v>36</v>
      </c>
      <c r="C5375" s="1390" t="str">
        <f>Risk_Compensation!$B$1</f>
        <v xml:space="preserve">Risikoausgleich </v>
      </c>
      <c r="D5375" s="1743" t="str">
        <f>Risk_Compensation!$AJ$14</f>
        <v>geschätzte Risikoausgleichssätze, pro Monat in CHF (ohne Entlastung junge Erwachsene)</v>
      </c>
      <c r="E5375" s="1390">
        <f>Risk_Compensation!$AJ29</f>
        <v>12</v>
      </c>
      <c r="F5375" s="1390" t="str">
        <f>Risk_Compensation!$M$17</f>
        <v>BS</v>
      </c>
      <c r="G5375" s="1390"/>
      <c r="H5375" s="1077">
        <f>Risk_Compensation!$AP29</f>
        <v>-362.87582496750201</v>
      </c>
    </row>
    <row r="5376" spans="1:8" x14ac:dyDescent="0.2">
      <c r="A5376" s="1027"/>
      <c r="B5376" s="1083">
        <f>Risk_Compensation!A$1</f>
        <v>36</v>
      </c>
      <c r="C5376" s="1390" t="str">
        <f>Risk_Compensation!$B$1</f>
        <v xml:space="preserve">Risikoausgleich </v>
      </c>
      <c r="D5376" s="1743" t="str">
        <f>Risk_Compensation!$AJ$14</f>
        <v>geschätzte Risikoausgleichssätze, pro Monat in CHF (ohne Entlastung junge Erwachsene)</v>
      </c>
      <c r="E5376" s="1390">
        <f>Risk_Compensation!$AJ30</f>
        <v>13</v>
      </c>
      <c r="F5376" s="1390" t="str">
        <f>Risk_Compensation!$M$17</f>
        <v>BS</v>
      </c>
      <c r="G5376" s="1390"/>
      <c r="H5376" s="1077">
        <f>Risk_Compensation!$AP30</f>
        <v>911.14107648240804</v>
      </c>
    </row>
    <row r="5377" spans="1:8" x14ac:dyDescent="0.2">
      <c r="A5377" s="1027"/>
      <c r="B5377" s="1083">
        <f>Risk_Compensation!A$1</f>
        <v>36</v>
      </c>
      <c r="C5377" s="1390" t="str">
        <f>Risk_Compensation!$B$1</f>
        <v xml:space="preserve">Risikoausgleich </v>
      </c>
      <c r="D5377" s="1743" t="str">
        <f>Risk_Compensation!$AJ$14</f>
        <v>geschätzte Risikoausgleichssätze, pro Monat in CHF (ohne Entlastung junge Erwachsene)</v>
      </c>
      <c r="E5377" s="1390">
        <f>Risk_Compensation!$AJ31</f>
        <v>14</v>
      </c>
      <c r="F5377" s="1390" t="str">
        <f>Risk_Compensation!$M$17</f>
        <v>BS</v>
      </c>
      <c r="G5377" s="1390"/>
      <c r="H5377" s="1077">
        <f>Risk_Compensation!$AP31</f>
        <v>-308.417217131879</v>
      </c>
    </row>
    <row r="5378" spans="1:8" x14ac:dyDescent="0.2">
      <c r="A5378" s="1027"/>
      <c r="B5378" s="1083">
        <f>Risk_Compensation!A$1</f>
        <v>36</v>
      </c>
      <c r="C5378" s="1390" t="str">
        <f>Risk_Compensation!$B$1</f>
        <v xml:space="preserve">Risikoausgleich </v>
      </c>
      <c r="D5378" s="1743" t="str">
        <f>Risk_Compensation!$AJ$14</f>
        <v>geschätzte Risikoausgleichssätze, pro Monat in CHF (ohne Entlastung junge Erwachsene)</v>
      </c>
      <c r="E5378" s="1390">
        <f>Risk_Compensation!$AJ32</f>
        <v>15</v>
      </c>
      <c r="F5378" s="1390" t="str">
        <f>Risk_Compensation!$M$17</f>
        <v>BS</v>
      </c>
      <c r="G5378" s="1390"/>
      <c r="H5378" s="1077">
        <f>Risk_Compensation!$AP32</f>
        <v>731.47235181488895</v>
      </c>
    </row>
    <row r="5379" spans="1:8" x14ac:dyDescent="0.2">
      <c r="A5379" s="1027"/>
      <c r="B5379" s="1083">
        <f>Risk_Compensation!A$1</f>
        <v>36</v>
      </c>
      <c r="C5379" s="1390" t="str">
        <f>Risk_Compensation!$B$1</f>
        <v xml:space="preserve">Risikoausgleich </v>
      </c>
      <c r="D5379" s="1743" t="str">
        <f>Risk_Compensation!$AJ$14</f>
        <v>geschätzte Risikoausgleichssätze, pro Monat in CHF (ohne Entlastung junge Erwachsene)</v>
      </c>
      <c r="E5379" s="1390">
        <f>Risk_Compensation!$AJ33</f>
        <v>16</v>
      </c>
      <c r="F5379" s="1390" t="str">
        <f>Risk_Compensation!$M$17</f>
        <v>BS</v>
      </c>
      <c r="G5379" s="1390"/>
      <c r="H5379" s="1077">
        <f>Risk_Compensation!$AP33</f>
        <v>-289.07132259911498</v>
      </c>
    </row>
    <row r="5380" spans="1:8" x14ac:dyDescent="0.2">
      <c r="A5380" s="1027"/>
      <c r="B5380" s="1083">
        <f>Risk_Compensation!A$1</f>
        <v>36</v>
      </c>
      <c r="C5380" s="1390" t="str">
        <f>Risk_Compensation!$B$1</f>
        <v xml:space="preserve">Risikoausgleich </v>
      </c>
      <c r="D5380" s="1743" t="str">
        <f>Risk_Compensation!$AJ$14</f>
        <v>geschätzte Risikoausgleichssätze, pro Monat in CHF (ohne Entlastung junge Erwachsene)</v>
      </c>
      <c r="E5380" s="1390">
        <f>Risk_Compensation!$AJ34</f>
        <v>17</v>
      </c>
      <c r="F5380" s="1390" t="str">
        <f>Risk_Compensation!$M$17</f>
        <v>BS</v>
      </c>
      <c r="G5380" s="1390"/>
      <c r="H5380" s="1077">
        <f>Risk_Compensation!$AP34</f>
        <v>530.36889317546002</v>
      </c>
    </row>
    <row r="5381" spans="1:8" x14ac:dyDescent="0.2">
      <c r="A5381" s="1027"/>
      <c r="B5381" s="1083">
        <f>Risk_Compensation!A$1</f>
        <v>36</v>
      </c>
      <c r="C5381" s="1390" t="str">
        <f>Risk_Compensation!$B$1</f>
        <v xml:space="preserve">Risikoausgleich </v>
      </c>
      <c r="D5381" s="1743" t="str">
        <f>Risk_Compensation!$AJ$14</f>
        <v>geschätzte Risikoausgleichssätze, pro Monat in CHF (ohne Entlastung junge Erwachsene)</v>
      </c>
      <c r="E5381" s="1390">
        <f>Risk_Compensation!$AJ35</f>
        <v>18</v>
      </c>
      <c r="F5381" s="1390" t="str">
        <f>Risk_Compensation!$M$17</f>
        <v>BS</v>
      </c>
      <c r="G5381" s="1390"/>
      <c r="H5381" s="1077">
        <f>Risk_Compensation!$AP35</f>
        <v>-237.51226278551499</v>
      </c>
    </row>
    <row r="5382" spans="1:8" x14ac:dyDescent="0.2">
      <c r="A5382" s="1027"/>
      <c r="B5382" s="1083">
        <f>Risk_Compensation!A$1</f>
        <v>36</v>
      </c>
      <c r="C5382" s="1390" t="str">
        <f>Risk_Compensation!$B$1</f>
        <v xml:space="preserve">Risikoausgleich </v>
      </c>
      <c r="D5382" s="1743" t="str">
        <f>Risk_Compensation!$AJ$14</f>
        <v>geschätzte Risikoausgleichssätze, pro Monat in CHF (ohne Entlastung junge Erwachsene)</v>
      </c>
      <c r="E5382" s="1390">
        <f>Risk_Compensation!$AJ36</f>
        <v>19</v>
      </c>
      <c r="F5382" s="1390" t="str">
        <f>Risk_Compensation!$M$17</f>
        <v>BS</v>
      </c>
      <c r="G5382" s="1390"/>
      <c r="H5382" s="1077">
        <f>Risk_Compensation!$AP36</f>
        <v>1066.5090865862501</v>
      </c>
    </row>
    <row r="5383" spans="1:8" x14ac:dyDescent="0.2">
      <c r="A5383" s="1027"/>
      <c r="B5383" s="1083">
        <f>Risk_Compensation!A$1</f>
        <v>36</v>
      </c>
      <c r="C5383" s="1390" t="str">
        <f>Risk_Compensation!$B$1</f>
        <v xml:space="preserve">Risikoausgleich </v>
      </c>
      <c r="D5383" s="1743" t="str">
        <f>Risk_Compensation!$AJ$14</f>
        <v>geschätzte Risikoausgleichssätze, pro Monat in CHF (ohne Entlastung junge Erwachsene)</v>
      </c>
      <c r="E5383" s="1390">
        <f>Risk_Compensation!$AJ37</f>
        <v>20</v>
      </c>
      <c r="F5383" s="1390" t="str">
        <f>Risk_Compensation!$M$17</f>
        <v>BS</v>
      </c>
      <c r="G5383" s="1390"/>
      <c r="H5383" s="1077">
        <f>Risk_Compensation!$AP37</f>
        <v>-155.48011440852099</v>
      </c>
    </row>
    <row r="5384" spans="1:8" x14ac:dyDescent="0.2">
      <c r="A5384" s="1027"/>
      <c r="B5384" s="1083">
        <f>Risk_Compensation!A$1</f>
        <v>36</v>
      </c>
      <c r="C5384" s="1390" t="str">
        <f>Risk_Compensation!$B$1</f>
        <v xml:space="preserve">Risikoausgleich </v>
      </c>
      <c r="D5384" s="1743" t="str">
        <f>Risk_Compensation!$AJ$14</f>
        <v>geschätzte Risikoausgleichssätze, pro Monat in CHF (ohne Entlastung junge Erwachsene)</v>
      </c>
      <c r="E5384" s="1390">
        <f>Risk_Compensation!$AJ38</f>
        <v>21</v>
      </c>
      <c r="F5384" s="1390" t="str">
        <f>Risk_Compensation!$M$17</f>
        <v>BS</v>
      </c>
      <c r="G5384" s="1390"/>
      <c r="H5384" s="1077">
        <f>Risk_Compensation!$AP38</f>
        <v>916.45572032970802</v>
      </c>
    </row>
    <row r="5385" spans="1:8" x14ac:dyDescent="0.2">
      <c r="A5385" s="1027"/>
      <c r="B5385" s="1083">
        <f>Risk_Compensation!A$1</f>
        <v>36</v>
      </c>
      <c r="C5385" s="1390" t="str">
        <f>Risk_Compensation!$B$1</f>
        <v xml:space="preserve">Risikoausgleich </v>
      </c>
      <c r="D5385" s="1743" t="str">
        <f>Risk_Compensation!$AJ$14</f>
        <v>geschätzte Risikoausgleichssätze, pro Monat in CHF (ohne Entlastung junge Erwachsene)</v>
      </c>
      <c r="E5385" s="1390">
        <f>Risk_Compensation!$AJ39</f>
        <v>22</v>
      </c>
      <c r="F5385" s="1390" t="str">
        <f>Risk_Compensation!$M$17</f>
        <v>BS</v>
      </c>
      <c r="G5385" s="1390"/>
      <c r="H5385" s="1077">
        <f>Risk_Compensation!$AP39</f>
        <v>-36.908821358984703</v>
      </c>
    </row>
    <row r="5386" spans="1:8" x14ac:dyDescent="0.2">
      <c r="A5386" s="1027"/>
      <c r="B5386" s="1083">
        <f>Risk_Compensation!A$1</f>
        <v>36</v>
      </c>
      <c r="C5386" s="1390" t="str">
        <f>Risk_Compensation!$B$1</f>
        <v xml:space="preserve">Risikoausgleich </v>
      </c>
      <c r="D5386" s="1743" t="str">
        <f>Risk_Compensation!$AJ$14</f>
        <v>geschätzte Risikoausgleichssätze, pro Monat in CHF (ohne Entlastung junge Erwachsene)</v>
      </c>
      <c r="E5386" s="1390">
        <f>Risk_Compensation!$AJ40</f>
        <v>23</v>
      </c>
      <c r="F5386" s="1390" t="str">
        <f>Risk_Compensation!$M$17</f>
        <v>BS</v>
      </c>
      <c r="G5386" s="1390"/>
      <c r="H5386" s="1077">
        <f>Risk_Compensation!$AP40</f>
        <v>1130.09927444338</v>
      </c>
    </row>
    <row r="5387" spans="1:8" x14ac:dyDescent="0.2">
      <c r="A5387" s="1027"/>
      <c r="B5387" s="1083">
        <f>Risk_Compensation!A$1</f>
        <v>36</v>
      </c>
      <c r="C5387" s="1390" t="str">
        <f>Risk_Compensation!$B$1</f>
        <v xml:space="preserve">Risikoausgleich </v>
      </c>
      <c r="D5387" s="1743" t="str">
        <f>Risk_Compensation!$AJ$14</f>
        <v>geschätzte Risikoausgleichssätze, pro Monat in CHF (ohne Entlastung junge Erwachsene)</v>
      </c>
      <c r="E5387" s="1390">
        <f>Risk_Compensation!$AJ41</f>
        <v>24</v>
      </c>
      <c r="F5387" s="1390" t="str">
        <f>Risk_Compensation!$M$17</f>
        <v>BS</v>
      </c>
      <c r="G5387" s="1390"/>
      <c r="H5387" s="1077">
        <f>Risk_Compensation!$AP41</f>
        <v>94.683974661774201</v>
      </c>
    </row>
    <row r="5388" spans="1:8" x14ac:dyDescent="0.2">
      <c r="A5388" s="1027"/>
      <c r="B5388" s="1083">
        <f>Risk_Compensation!A$1</f>
        <v>36</v>
      </c>
      <c r="C5388" s="1390" t="str">
        <f>Risk_Compensation!$B$1</f>
        <v xml:space="preserve">Risikoausgleich </v>
      </c>
      <c r="D5388" s="1743" t="str">
        <f>Risk_Compensation!$AJ$14</f>
        <v>geschätzte Risikoausgleichssätze, pro Monat in CHF (ohne Entlastung junge Erwachsene)</v>
      </c>
      <c r="E5388" s="1390">
        <f>Risk_Compensation!$AJ42</f>
        <v>25</v>
      </c>
      <c r="F5388" s="1390" t="str">
        <f>Risk_Compensation!$M$17</f>
        <v>BS</v>
      </c>
      <c r="G5388" s="1390"/>
      <c r="H5388" s="1077">
        <f>Risk_Compensation!$AP42</f>
        <v>1163.86620580356</v>
      </c>
    </row>
    <row r="5389" spans="1:8" x14ac:dyDescent="0.2">
      <c r="A5389" s="1027"/>
      <c r="B5389" s="1083">
        <f>Risk_Compensation!A$1</f>
        <v>36</v>
      </c>
      <c r="C5389" s="1390" t="str">
        <f>Risk_Compensation!$B$1</f>
        <v xml:space="preserve">Risikoausgleich </v>
      </c>
      <c r="D5389" s="1743" t="str">
        <f>Risk_Compensation!$AJ$14</f>
        <v>geschätzte Risikoausgleichssätze, pro Monat in CHF (ohne Entlastung junge Erwachsene)</v>
      </c>
      <c r="E5389" s="1390">
        <f>Risk_Compensation!$AJ43</f>
        <v>26</v>
      </c>
      <c r="F5389" s="1390" t="str">
        <f>Risk_Compensation!$M$17</f>
        <v>BS</v>
      </c>
      <c r="G5389" s="1390"/>
      <c r="H5389" s="1077">
        <f>Risk_Compensation!$AP43</f>
        <v>201.35767473119</v>
      </c>
    </row>
    <row r="5390" spans="1:8" x14ac:dyDescent="0.2">
      <c r="A5390" s="1027"/>
      <c r="B5390" s="1083">
        <f>Risk_Compensation!A$1</f>
        <v>36</v>
      </c>
      <c r="C5390" s="1390" t="str">
        <f>Risk_Compensation!$B$1</f>
        <v xml:space="preserve">Risikoausgleich </v>
      </c>
      <c r="D5390" s="1743" t="str">
        <f>Risk_Compensation!$AJ$14</f>
        <v>geschätzte Risikoausgleichssätze, pro Monat in CHF (ohne Entlastung junge Erwachsene)</v>
      </c>
      <c r="E5390" s="1390">
        <f>Risk_Compensation!$AJ44</f>
        <v>27</v>
      </c>
      <c r="F5390" s="1390" t="str">
        <f>Risk_Compensation!$M$17</f>
        <v>BS</v>
      </c>
      <c r="G5390" s="1390"/>
      <c r="H5390" s="1077">
        <f>Risk_Compensation!$AP44</f>
        <v>1376.9022649019701</v>
      </c>
    </row>
    <row r="5391" spans="1:8" x14ac:dyDescent="0.2">
      <c r="A5391" s="1027"/>
      <c r="B5391" s="1083">
        <f>Risk_Compensation!A$1</f>
        <v>36</v>
      </c>
      <c r="C5391" s="1390" t="str">
        <f>Risk_Compensation!$B$1</f>
        <v xml:space="preserve">Risikoausgleich </v>
      </c>
      <c r="D5391" s="1743" t="str">
        <f>Risk_Compensation!$AJ$14</f>
        <v>geschätzte Risikoausgleichssätze, pro Monat in CHF (ohne Entlastung junge Erwachsene)</v>
      </c>
      <c r="E5391" s="1390">
        <f>Risk_Compensation!$AJ45</f>
        <v>28</v>
      </c>
      <c r="F5391" s="1390" t="str">
        <f>Risk_Compensation!$M$17</f>
        <v>BS</v>
      </c>
      <c r="G5391" s="1390"/>
      <c r="H5391" s="1077">
        <f>Risk_Compensation!$AP45</f>
        <v>360.34273966309001</v>
      </c>
    </row>
    <row r="5392" spans="1:8" x14ac:dyDescent="0.2">
      <c r="A5392" s="1027"/>
      <c r="B5392" s="1083">
        <f>Risk_Compensation!A$1</f>
        <v>36</v>
      </c>
      <c r="C5392" s="1390" t="str">
        <f>Risk_Compensation!$B$1</f>
        <v xml:space="preserve">Risikoausgleich </v>
      </c>
      <c r="D5392" s="1743" t="str">
        <f>Risk_Compensation!$AJ$14</f>
        <v>geschätzte Risikoausgleichssätze, pro Monat in CHF (ohne Entlastung junge Erwachsene)</v>
      </c>
      <c r="E5392" s="1390">
        <f>Risk_Compensation!$AJ46</f>
        <v>29</v>
      </c>
      <c r="F5392" s="1390" t="str">
        <f>Risk_Compensation!$M$17</f>
        <v>BS</v>
      </c>
      <c r="G5392" s="1390"/>
      <c r="H5392" s="1077">
        <f>Risk_Compensation!$AP46</f>
        <v>1680.00517309567</v>
      </c>
    </row>
    <row r="5393" spans="1:8" x14ac:dyDescent="0.2">
      <c r="A5393" s="1027"/>
      <c r="B5393" s="1083">
        <f>Risk_Compensation!A$1</f>
        <v>36</v>
      </c>
      <c r="C5393" s="1390" t="str">
        <f>Risk_Compensation!$B$1</f>
        <v xml:space="preserve">Risikoausgleich </v>
      </c>
      <c r="D5393" s="1743" t="str">
        <f>Risk_Compensation!$AJ$14</f>
        <v>geschätzte Risikoausgleichssätze, pro Monat in CHF (ohne Entlastung junge Erwachsene)</v>
      </c>
      <c r="E5393" s="1390">
        <f>Risk_Compensation!$AJ47</f>
        <v>30</v>
      </c>
      <c r="F5393" s="1390" t="str">
        <f>Risk_Compensation!$M$17</f>
        <v>BS</v>
      </c>
      <c r="G5393" s="1390"/>
      <c r="H5393" s="1077">
        <f>Risk_Compensation!$AP47</f>
        <v>493.98124773489701</v>
      </c>
    </row>
    <row r="5394" spans="1:8" x14ac:dyDescent="0.2">
      <c r="A5394" s="1027"/>
      <c r="B5394" s="1083">
        <f>Risk_Compensation!A$1</f>
        <v>36</v>
      </c>
      <c r="C5394" s="1390" t="str">
        <f>Risk_Compensation!$B$1</f>
        <v xml:space="preserve">Risikoausgleich </v>
      </c>
      <c r="D5394" s="1743" t="str">
        <f>Risk_Compensation!$AJ$14</f>
        <v>geschätzte Risikoausgleichssätze, pro Monat in CHF (ohne Entlastung junge Erwachsene)</v>
      </c>
      <c r="E5394" s="1390">
        <f>Risk_Compensation!$AJ48</f>
        <v>31</v>
      </c>
      <c r="F5394" s="1390" t="str">
        <f>Risk_Compensation!$M$17</f>
        <v>BS</v>
      </c>
      <c r="G5394" s="1390"/>
      <c r="H5394" s="1077">
        <f>Risk_Compensation!$AP48</f>
        <v>464.63644648733901</v>
      </c>
    </row>
    <row r="5395" spans="1:8" x14ac:dyDescent="0.2">
      <c r="A5395" s="1027"/>
      <c r="B5395" s="1083">
        <f>Risk_Compensation!A$1</f>
        <v>36</v>
      </c>
      <c r="C5395" s="1390" t="str">
        <f>Risk_Compensation!$B$1</f>
        <v xml:space="preserve">Risikoausgleich </v>
      </c>
      <c r="D5395" s="1743" t="str">
        <f>Risk_Compensation!$AJ$14</f>
        <v>geschätzte Risikoausgleichssätze, pro Monat in CHF (ohne Entlastung junge Erwachsene)</v>
      </c>
      <c r="E5395" s="1390">
        <f>Risk_Compensation!$AJ49</f>
        <v>32</v>
      </c>
      <c r="F5395" s="1390" t="str">
        <f>Risk_Compensation!$M$17</f>
        <v>BS</v>
      </c>
      <c r="G5395" s="1390"/>
      <c r="H5395" s="1077">
        <f>Risk_Compensation!$AP49</f>
        <v>-306.62478688313098</v>
      </c>
    </row>
    <row r="5396" spans="1:8" x14ac:dyDescent="0.2">
      <c r="A5396" s="1027"/>
      <c r="B5396" s="1083">
        <f>Risk_Compensation!A$1</f>
        <v>36</v>
      </c>
      <c r="C5396" s="1390" t="str">
        <f>Risk_Compensation!$B$1</f>
        <v xml:space="preserve">Risikoausgleich </v>
      </c>
      <c r="D5396" s="1743" t="str">
        <f>Risk_Compensation!$AJ$14</f>
        <v>geschätzte Risikoausgleichssätze, pro Monat in CHF (ohne Entlastung junge Erwachsene)</v>
      </c>
      <c r="E5396" s="1390">
        <f>Risk_Compensation!$AJ50</f>
        <v>33</v>
      </c>
      <c r="F5396" s="1390" t="str">
        <f>Risk_Compensation!$M$17</f>
        <v>BS</v>
      </c>
      <c r="G5396" s="1390"/>
      <c r="H5396" s="1077">
        <f>Risk_Compensation!$AP50</f>
        <v>330.15665620480701</v>
      </c>
    </row>
    <row r="5397" spans="1:8" x14ac:dyDescent="0.2">
      <c r="A5397" s="1027"/>
      <c r="B5397" s="1083">
        <f>Risk_Compensation!A$1</f>
        <v>36</v>
      </c>
      <c r="C5397" s="1390" t="str">
        <f>Risk_Compensation!$B$1</f>
        <v xml:space="preserve">Risikoausgleich </v>
      </c>
      <c r="D5397" s="1743" t="str">
        <f>Risk_Compensation!$AJ$14</f>
        <v>geschätzte Risikoausgleichssätze, pro Monat in CHF (ohne Entlastung junge Erwachsene)</v>
      </c>
      <c r="E5397" s="1390">
        <f>Risk_Compensation!$AJ51</f>
        <v>34</v>
      </c>
      <c r="F5397" s="1390" t="str">
        <f>Risk_Compensation!$M$17</f>
        <v>BS</v>
      </c>
      <c r="G5397" s="1390"/>
      <c r="H5397" s="1077">
        <f>Risk_Compensation!$AP51</f>
        <v>-318.03000223015903</v>
      </c>
    </row>
    <row r="5398" spans="1:8" x14ac:dyDescent="0.2">
      <c r="A5398" s="1027"/>
      <c r="B5398" s="1083">
        <f>Risk_Compensation!A$1</f>
        <v>36</v>
      </c>
      <c r="C5398" s="1390" t="str">
        <f>Risk_Compensation!$B$1</f>
        <v xml:space="preserve">Risikoausgleich </v>
      </c>
      <c r="D5398" s="1743" t="str">
        <f>Risk_Compensation!$AJ$14</f>
        <v>geschätzte Risikoausgleichssätze, pro Monat in CHF (ohne Entlastung junge Erwachsene)</v>
      </c>
      <c r="E5398" s="1390">
        <f>Risk_Compensation!$AJ52</f>
        <v>35</v>
      </c>
      <c r="F5398" s="1390" t="str">
        <f>Risk_Compensation!$M$17</f>
        <v>BS</v>
      </c>
      <c r="G5398" s="1390"/>
      <c r="H5398" s="1077">
        <f>Risk_Compensation!$AP52</f>
        <v>221.66992030737001</v>
      </c>
    </row>
    <row r="5399" spans="1:8" x14ac:dyDescent="0.2">
      <c r="A5399" s="1027"/>
      <c r="B5399" s="1083">
        <f>Risk_Compensation!A$1</f>
        <v>36</v>
      </c>
      <c r="C5399" s="1390" t="str">
        <f>Risk_Compensation!$B$1</f>
        <v xml:space="preserve">Risikoausgleich </v>
      </c>
      <c r="D5399" s="1743" t="str">
        <f>Risk_Compensation!$AJ$14</f>
        <v>geschätzte Risikoausgleichssätze, pro Monat in CHF (ohne Entlastung junge Erwachsene)</v>
      </c>
      <c r="E5399" s="1390">
        <f>Risk_Compensation!$AJ53</f>
        <v>36</v>
      </c>
      <c r="F5399" s="1390" t="str">
        <f>Risk_Compensation!$M$17</f>
        <v>BS</v>
      </c>
      <c r="G5399" s="1390"/>
      <c r="H5399" s="1077">
        <f>Risk_Compensation!$AP53</f>
        <v>-242.79634157386801</v>
      </c>
    </row>
    <row r="5400" spans="1:8" x14ac:dyDescent="0.2">
      <c r="A5400" s="1027"/>
      <c r="B5400" s="1083">
        <f>Risk_Compensation!A$1</f>
        <v>36</v>
      </c>
      <c r="C5400" s="1390" t="str">
        <f>Risk_Compensation!$B$1</f>
        <v xml:space="preserve">Risikoausgleich </v>
      </c>
      <c r="D5400" s="1743" t="str">
        <f>Risk_Compensation!$AJ$14</f>
        <v>geschätzte Risikoausgleichssätze, pro Monat in CHF (ohne Entlastung junge Erwachsene)</v>
      </c>
      <c r="E5400" s="1390">
        <f>Risk_Compensation!$AJ54</f>
        <v>37</v>
      </c>
      <c r="F5400" s="1390" t="str">
        <f>Risk_Compensation!$M$17</f>
        <v>BS</v>
      </c>
      <c r="G5400" s="1390"/>
      <c r="H5400" s="1077">
        <f>Risk_Compensation!$AP54</f>
        <v>452.91913542380502</v>
      </c>
    </row>
    <row r="5401" spans="1:8" x14ac:dyDescent="0.2">
      <c r="A5401" s="1027"/>
      <c r="B5401" s="1083">
        <f>Risk_Compensation!A$1</f>
        <v>36</v>
      </c>
      <c r="C5401" s="1390" t="str">
        <f>Risk_Compensation!$B$1</f>
        <v xml:space="preserve">Risikoausgleich </v>
      </c>
      <c r="D5401" s="1743" t="str">
        <f>Risk_Compensation!$AJ$14</f>
        <v>geschätzte Risikoausgleichssätze, pro Monat in CHF (ohne Entlastung junge Erwachsene)</v>
      </c>
      <c r="E5401" s="1390">
        <f>Risk_Compensation!$AJ55</f>
        <v>38</v>
      </c>
      <c r="F5401" s="1390" t="str">
        <f>Risk_Compensation!$M$17</f>
        <v>BS</v>
      </c>
      <c r="G5401" s="1390"/>
      <c r="H5401" s="1077">
        <f>Risk_Compensation!$AP55</f>
        <v>-257.49201978460502</v>
      </c>
    </row>
    <row r="5402" spans="1:8" x14ac:dyDescent="0.2">
      <c r="A5402" s="1027"/>
      <c r="B5402" s="1083">
        <f>Risk_Compensation!A$1</f>
        <v>36</v>
      </c>
      <c r="C5402" s="1390" t="str">
        <f>Risk_Compensation!$B$1</f>
        <v xml:space="preserve">Risikoausgleich </v>
      </c>
      <c r="D5402" s="1743" t="str">
        <f>Risk_Compensation!$AJ$14</f>
        <v>geschätzte Risikoausgleichssätze, pro Monat in CHF (ohne Entlastung junge Erwachsene)</v>
      </c>
      <c r="E5402" s="1390">
        <f>Risk_Compensation!$AJ56</f>
        <v>39</v>
      </c>
      <c r="F5402" s="1390" t="str">
        <f>Risk_Compensation!$M$17</f>
        <v>BS</v>
      </c>
      <c r="G5402" s="1390"/>
      <c r="H5402" s="1077">
        <f>Risk_Compensation!$AP56</f>
        <v>580.69536772002596</v>
      </c>
    </row>
    <row r="5403" spans="1:8" x14ac:dyDescent="0.2">
      <c r="A5403" s="1027"/>
      <c r="B5403" s="1083">
        <f>Risk_Compensation!A$1</f>
        <v>36</v>
      </c>
      <c r="C5403" s="1390" t="str">
        <f>Risk_Compensation!$B$1</f>
        <v xml:space="preserve">Risikoausgleich </v>
      </c>
      <c r="D5403" s="1743" t="str">
        <f>Risk_Compensation!$AJ$14</f>
        <v>geschätzte Risikoausgleichssätze, pro Monat in CHF (ohne Entlastung junge Erwachsene)</v>
      </c>
      <c r="E5403" s="1390">
        <f>Risk_Compensation!$AJ57</f>
        <v>40</v>
      </c>
      <c r="F5403" s="1390" t="str">
        <f>Risk_Compensation!$M$17</f>
        <v>BS</v>
      </c>
      <c r="G5403" s="1390"/>
      <c r="H5403" s="1077">
        <f>Risk_Compensation!$AP57</f>
        <v>-295.756307608425</v>
      </c>
    </row>
    <row r="5404" spans="1:8" x14ac:dyDescent="0.2">
      <c r="A5404" s="1027"/>
      <c r="B5404" s="1083">
        <f>Risk_Compensation!A$1</f>
        <v>36</v>
      </c>
      <c r="C5404" s="1390" t="str">
        <f>Risk_Compensation!$B$1</f>
        <v xml:space="preserve">Risikoausgleich </v>
      </c>
      <c r="D5404" s="1743" t="str">
        <f>Risk_Compensation!$AJ$14</f>
        <v>geschätzte Risikoausgleichssätze, pro Monat in CHF (ohne Entlastung junge Erwachsene)</v>
      </c>
      <c r="E5404" s="1390">
        <f>Risk_Compensation!$AJ58</f>
        <v>41</v>
      </c>
      <c r="F5404" s="1390" t="str">
        <f>Risk_Compensation!$M$17</f>
        <v>BS</v>
      </c>
      <c r="G5404" s="1390"/>
      <c r="H5404" s="1077">
        <f>Risk_Compensation!$AP58</f>
        <v>431.19132105106598</v>
      </c>
    </row>
    <row r="5405" spans="1:8" x14ac:dyDescent="0.2">
      <c r="A5405" s="1027"/>
      <c r="B5405" s="1083">
        <f>Risk_Compensation!A$1</f>
        <v>36</v>
      </c>
      <c r="C5405" s="1390" t="str">
        <f>Risk_Compensation!$B$1</f>
        <v xml:space="preserve">Risikoausgleich </v>
      </c>
      <c r="D5405" s="1743" t="str">
        <f>Risk_Compensation!$AJ$14</f>
        <v>geschätzte Risikoausgleichssätze, pro Monat in CHF (ohne Entlastung junge Erwachsene)</v>
      </c>
      <c r="E5405" s="1390">
        <f>Risk_Compensation!$AJ59</f>
        <v>42</v>
      </c>
      <c r="F5405" s="1390" t="str">
        <f>Risk_Compensation!$M$17</f>
        <v>BS</v>
      </c>
      <c r="G5405" s="1390"/>
      <c r="H5405" s="1077">
        <f>Risk_Compensation!$AP59</f>
        <v>-283.247545891752</v>
      </c>
    </row>
    <row r="5406" spans="1:8" x14ac:dyDescent="0.2">
      <c r="A5406" s="1027"/>
      <c r="B5406" s="1083">
        <f>Risk_Compensation!A$1</f>
        <v>36</v>
      </c>
      <c r="C5406" s="1390" t="str">
        <f>Risk_Compensation!$B$1</f>
        <v xml:space="preserve">Risikoausgleich </v>
      </c>
      <c r="D5406" s="1743" t="str">
        <f>Risk_Compensation!$AJ$14</f>
        <v>geschätzte Risikoausgleichssätze, pro Monat in CHF (ohne Entlastung junge Erwachsene)</v>
      </c>
      <c r="E5406" s="1390">
        <f>Risk_Compensation!$AJ60</f>
        <v>43</v>
      </c>
      <c r="F5406" s="1390" t="str">
        <f>Risk_Compensation!$M$17</f>
        <v>BS</v>
      </c>
      <c r="G5406" s="1390"/>
      <c r="H5406" s="1077">
        <f>Risk_Compensation!$AP60</f>
        <v>393.90690660298901</v>
      </c>
    </row>
    <row r="5407" spans="1:8" x14ac:dyDescent="0.2">
      <c r="A5407" s="1027"/>
      <c r="B5407" s="1083">
        <f>Risk_Compensation!A$1</f>
        <v>36</v>
      </c>
      <c r="C5407" s="1390" t="str">
        <f>Risk_Compensation!$B$1</f>
        <v xml:space="preserve">Risikoausgleich </v>
      </c>
      <c r="D5407" s="1743" t="str">
        <f>Risk_Compensation!$AJ$14</f>
        <v>geschätzte Risikoausgleichssätze, pro Monat in CHF (ohne Entlastung junge Erwachsene)</v>
      </c>
      <c r="E5407" s="1390">
        <f>Risk_Compensation!$AJ61</f>
        <v>44</v>
      </c>
      <c r="F5407" s="1390" t="str">
        <f>Risk_Compensation!$M$17</f>
        <v>BS</v>
      </c>
      <c r="G5407" s="1390"/>
      <c r="H5407" s="1077">
        <f>Risk_Compensation!$AP61</f>
        <v>-260.36353775779003</v>
      </c>
    </row>
    <row r="5408" spans="1:8" x14ac:dyDescent="0.2">
      <c r="A5408" s="1027"/>
      <c r="B5408" s="1083">
        <f>Risk_Compensation!A$1</f>
        <v>36</v>
      </c>
      <c r="C5408" s="1390" t="str">
        <f>Risk_Compensation!$B$1</f>
        <v xml:space="preserve">Risikoausgleich </v>
      </c>
      <c r="D5408" s="1743" t="str">
        <f>Risk_Compensation!$AJ$14</f>
        <v>geschätzte Risikoausgleichssätze, pro Monat in CHF (ohne Entlastung junge Erwachsene)</v>
      </c>
      <c r="E5408" s="1390">
        <f>Risk_Compensation!$AJ62</f>
        <v>45</v>
      </c>
      <c r="F5408" s="1390" t="str">
        <f>Risk_Compensation!$M$17</f>
        <v>BS</v>
      </c>
      <c r="G5408" s="1390"/>
      <c r="H5408" s="1077">
        <f>Risk_Compensation!$AP62</f>
        <v>580.01041411134997</v>
      </c>
    </row>
    <row r="5409" spans="1:8" x14ac:dyDescent="0.2">
      <c r="A5409" s="1027"/>
      <c r="B5409" s="1083">
        <f>Risk_Compensation!A$1</f>
        <v>36</v>
      </c>
      <c r="C5409" s="1390" t="str">
        <f>Risk_Compensation!$B$1</f>
        <v xml:space="preserve">Risikoausgleich </v>
      </c>
      <c r="D5409" s="1743" t="str">
        <f>Risk_Compensation!$AJ$14</f>
        <v>geschätzte Risikoausgleichssätze, pro Monat in CHF (ohne Entlastung junge Erwachsene)</v>
      </c>
      <c r="E5409" s="1390">
        <f>Risk_Compensation!$AJ63</f>
        <v>46</v>
      </c>
      <c r="F5409" s="1390" t="str">
        <f>Risk_Compensation!$M$17</f>
        <v>BS</v>
      </c>
      <c r="G5409" s="1390"/>
      <c r="H5409" s="1077">
        <f>Risk_Compensation!$AP63</f>
        <v>-242.588964212512</v>
      </c>
    </row>
    <row r="5410" spans="1:8" x14ac:dyDescent="0.2">
      <c r="A5410" s="1027"/>
      <c r="B5410" s="1083">
        <f>Risk_Compensation!A$1</f>
        <v>36</v>
      </c>
      <c r="C5410" s="1390" t="str">
        <f>Risk_Compensation!$B$1</f>
        <v xml:space="preserve">Risikoausgleich </v>
      </c>
      <c r="D5410" s="1743" t="str">
        <f>Risk_Compensation!$AJ$14</f>
        <v>geschätzte Risikoausgleichssätze, pro Monat in CHF (ohne Entlastung junge Erwachsene)</v>
      </c>
      <c r="E5410" s="1390">
        <f>Risk_Compensation!$AJ64</f>
        <v>47</v>
      </c>
      <c r="F5410" s="1390" t="str">
        <f>Risk_Compensation!$M$17</f>
        <v>BS</v>
      </c>
      <c r="G5410" s="1390"/>
      <c r="H5410" s="1077">
        <f>Risk_Compensation!$AP64</f>
        <v>775.46492997422001</v>
      </c>
    </row>
    <row r="5411" spans="1:8" x14ac:dyDescent="0.2">
      <c r="A5411" s="1027"/>
      <c r="B5411" s="1083">
        <f>Risk_Compensation!A$1</f>
        <v>36</v>
      </c>
      <c r="C5411" s="1390" t="str">
        <f>Risk_Compensation!$B$1</f>
        <v xml:space="preserve">Risikoausgleich </v>
      </c>
      <c r="D5411" s="1743" t="str">
        <f>Risk_Compensation!$AJ$14</f>
        <v>geschätzte Risikoausgleichssätze, pro Monat in CHF (ohne Entlastung junge Erwachsene)</v>
      </c>
      <c r="E5411" s="1390">
        <f>Risk_Compensation!$AJ65</f>
        <v>48</v>
      </c>
      <c r="F5411" s="1390" t="str">
        <f>Risk_Compensation!$M$17</f>
        <v>BS</v>
      </c>
      <c r="G5411" s="1390"/>
      <c r="H5411" s="1077">
        <f>Risk_Compensation!$AP65</f>
        <v>-221.71215371082701</v>
      </c>
    </row>
    <row r="5412" spans="1:8" x14ac:dyDescent="0.2">
      <c r="A5412" s="1027"/>
      <c r="B5412" s="1083">
        <f>Risk_Compensation!A$1</f>
        <v>36</v>
      </c>
      <c r="C5412" s="1390" t="str">
        <f>Risk_Compensation!$B$1</f>
        <v xml:space="preserve">Risikoausgleich </v>
      </c>
      <c r="D5412" s="1743" t="str">
        <f>Risk_Compensation!$AJ$14</f>
        <v>geschätzte Risikoausgleichssätze, pro Monat in CHF (ohne Entlastung junge Erwachsene)</v>
      </c>
      <c r="E5412" s="1390">
        <f>Risk_Compensation!$AJ66</f>
        <v>49</v>
      </c>
      <c r="F5412" s="1390" t="str">
        <f>Risk_Compensation!$M$17</f>
        <v>BS</v>
      </c>
      <c r="G5412" s="1390"/>
      <c r="H5412" s="1077">
        <f>Risk_Compensation!$AP66</f>
        <v>668.80249829579498</v>
      </c>
    </row>
    <row r="5413" spans="1:8" x14ac:dyDescent="0.2">
      <c r="A5413" s="1027"/>
      <c r="B5413" s="1083">
        <f>Risk_Compensation!A$1</f>
        <v>36</v>
      </c>
      <c r="C5413" s="1390" t="str">
        <f>Risk_Compensation!$B$1</f>
        <v xml:space="preserve">Risikoausgleich </v>
      </c>
      <c r="D5413" s="1743" t="str">
        <f>Risk_Compensation!$AJ$14</f>
        <v>geschätzte Risikoausgleichssätze, pro Monat in CHF (ohne Entlastung junge Erwachsene)</v>
      </c>
      <c r="E5413" s="1390">
        <f>Risk_Compensation!$AJ67</f>
        <v>50</v>
      </c>
      <c r="F5413" s="1390" t="str">
        <f>Risk_Compensation!$M$17</f>
        <v>BS</v>
      </c>
      <c r="G5413" s="1390"/>
      <c r="H5413" s="1077">
        <f>Risk_Compensation!$AP67</f>
        <v>-183.470981134016</v>
      </c>
    </row>
    <row r="5414" spans="1:8" x14ac:dyDescent="0.2">
      <c r="A5414" s="1027"/>
      <c r="B5414" s="1083">
        <f>Risk_Compensation!A$1</f>
        <v>36</v>
      </c>
      <c r="C5414" s="1390" t="str">
        <f>Risk_Compensation!$B$1</f>
        <v xml:space="preserve">Risikoausgleich </v>
      </c>
      <c r="D5414" s="1743" t="str">
        <f>Risk_Compensation!$AJ$14</f>
        <v>geschätzte Risikoausgleichssätze, pro Monat in CHF (ohne Entlastung junge Erwachsene)</v>
      </c>
      <c r="E5414" s="1390">
        <f>Risk_Compensation!$AJ68</f>
        <v>51</v>
      </c>
      <c r="F5414" s="1390" t="str">
        <f>Risk_Compensation!$M$17</f>
        <v>BS</v>
      </c>
      <c r="G5414" s="1390"/>
      <c r="H5414" s="1077">
        <f>Risk_Compensation!$AP68</f>
        <v>848.92519210229102</v>
      </c>
    </row>
    <row r="5415" spans="1:8" x14ac:dyDescent="0.2">
      <c r="A5415" s="1027"/>
      <c r="B5415" s="1083">
        <f>Risk_Compensation!A$1</f>
        <v>36</v>
      </c>
      <c r="C5415" s="1390" t="str">
        <f>Risk_Compensation!$B$1</f>
        <v xml:space="preserve">Risikoausgleich </v>
      </c>
      <c r="D5415" s="1743" t="str">
        <f>Risk_Compensation!$AJ$14</f>
        <v>geschätzte Risikoausgleichssätze, pro Monat in CHF (ohne Entlastung junge Erwachsene)</v>
      </c>
      <c r="E5415" s="1390">
        <f>Risk_Compensation!$AJ69</f>
        <v>52</v>
      </c>
      <c r="F5415" s="1390" t="str">
        <f>Risk_Compensation!$M$17</f>
        <v>BS</v>
      </c>
      <c r="G5415" s="1390"/>
      <c r="H5415" s="1077">
        <f>Risk_Compensation!$AP69</f>
        <v>-65.946921195791901</v>
      </c>
    </row>
    <row r="5416" spans="1:8" x14ac:dyDescent="0.2">
      <c r="A5416" s="1027"/>
      <c r="B5416" s="1083">
        <f>Risk_Compensation!A$1</f>
        <v>36</v>
      </c>
      <c r="C5416" s="1390" t="str">
        <f>Risk_Compensation!$B$1</f>
        <v xml:space="preserve">Risikoausgleich </v>
      </c>
      <c r="D5416" s="1743" t="str">
        <f>Risk_Compensation!$AJ$14</f>
        <v>geschätzte Risikoausgleichssätze, pro Monat in CHF (ohne Entlastung junge Erwachsene)</v>
      </c>
      <c r="E5416" s="1390">
        <f>Risk_Compensation!$AJ70</f>
        <v>53</v>
      </c>
      <c r="F5416" s="1390" t="str">
        <f>Risk_Compensation!$M$17</f>
        <v>BS</v>
      </c>
      <c r="G5416" s="1390"/>
      <c r="H5416" s="1077">
        <f>Risk_Compensation!$AP70</f>
        <v>1033.7956855907701</v>
      </c>
    </row>
    <row r="5417" spans="1:8" x14ac:dyDescent="0.2">
      <c r="A5417" s="1027"/>
      <c r="B5417" s="1083">
        <f>Risk_Compensation!A$1</f>
        <v>36</v>
      </c>
      <c r="C5417" s="1390" t="str">
        <f>Risk_Compensation!$B$1</f>
        <v xml:space="preserve">Risikoausgleich </v>
      </c>
      <c r="D5417" s="1743" t="str">
        <f>Risk_Compensation!$AJ$14</f>
        <v>geschätzte Risikoausgleichssätze, pro Monat in CHF (ohne Entlastung junge Erwachsene)</v>
      </c>
      <c r="E5417" s="1390">
        <f>Risk_Compensation!$AJ71</f>
        <v>54</v>
      </c>
      <c r="F5417" s="1390" t="str">
        <f>Risk_Compensation!$M$17</f>
        <v>BS</v>
      </c>
      <c r="G5417" s="1390"/>
      <c r="H5417" s="1077">
        <f>Risk_Compensation!$AP71</f>
        <v>22.076848308339201</v>
      </c>
    </row>
    <row r="5418" spans="1:8" x14ac:dyDescent="0.2">
      <c r="A5418" s="1027"/>
      <c r="B5418" s="1083">
        <f>Risk_Compensation!A$1</f>
        <v>36</v>
      </c>
      <c r="C5418" s="1390" t="str">
        <f>Risk_Compensation!$B$1</f>
        <v xml:space="preserve">Risikoausgleich </v>
      </c>
      <c r="D5418" s="1743" t="str">
        <f>Risk_Compensation!$AJ$14</f>
        <v>geschätzte Risikoausgleichssätze, pro Monat in CHF (ohne Entlastung junge Erwachsene)</v>
      </c>
      <c r="E5418" s="1390">
        <f>Risk_Compensation!$AJ72</f>
        <v>55</v>
      </c>
      <c r="F5418" s="1390" t="str">
        <f>Risk_Compensation!$M$17</f>
        <v>BS</v>
      </c>
      <c r="G5418" s="1390"/>
      <c r="H5418" s="1077">
        <f>Risk_Compensation!$AP72</f>
        <v>1296.76273733166</v>
      </c>
    </row>
    <row r="5419" spans="1:8" x14ac:dyDescent="0.2">
      <c r="A5419" s="1027"/>
      <c r="B5419" s="1083">
        <f>Risk_Compensation!A$1</f>
        <v>36</v>
      </c>
      <c r="C5419" s="1390" t="str">
        <f>Risk_Compensation!$B$1</f>
        <v xml:space="preserve">Risikoausgleich </v>
      </c>
      <c r="D5419" s="1743" t="str">
        <f>Risk_Compensation!$AJ$14</f>
        <v>geschätzte Risikoausgleichssätze, pro Monat in CHF (ohne Entlastung junge Erwachsene)</v>
      </c>
      <c r="E5419" s="1390">
        <f>Risk_Compensation!$AJ73</f>
        <v>56</v>
      </c>
      <c r="F5419" s="1390" t="str">
        <f>Risk_Compensation!$M$17</f>
        <v>BS</v>
      </c>
      <c r="G5419" s="1390"/>
      <c r="H5419" s="1077">
        <f>Risk_Compensation!$AP73</f>
        <v>132.01013892549901</v>
      </c>
    </row>
    <row r="5420" spans="1:8" x14ac:dyDescent="0.2">
      <c r="A5420" s="1027"/>
      <c r="B5420" s="1083">
        <f>Risk_Compensation!A$1</f>
        <v>36</v>
      </c>
      <c r="C5420" s="1390" t="str">
        <f>Risk_Compensation!$B$1</f>
        <v xml:space="preserve">Risikoausgleich </v>
      </c>
      <c r="D5420" s="1743" t="str">
        <f>Risk_Compensation!$AJ$14</f>
        <v>geschätzte Risikoausgleichssätze, pro Monat in CHF (ohne Entlastung junge Erwachsene)</v>
      </c>
      <c r="E5420" s="1390">
        <f>Risk_Compensation!$AJ74</f>
        <v>57</v>
      </c>
      <c r="F5420" s="1390" t="str">
        <f>Risk_Compensation!$M$17</f>
        <v>BS</v>
      </c>
      <c r="G5420" s="1390"/>
      <c r="H5420" s="1077">
        <f>Risk_Compensation!$AP74</f>
        <v>1530.34592482019</v>
      </c>
    </row>
    <row r="5421" spans="1:8" x14ac:dyDescent="0.2">
      <c r="A5421" s="1027"/>
      <c r="B5421" s="1083">
        <f>Risk_Compensation!A$1</f>
        <v>36</v>
      </c>
      <c r="C5421" s="1390" t="str">
        <f>Risk_Compensation!$B$1</f>
        <v xml:space="preserve">Risikoausgleich </v>
      </c>
      <c r="D5421" s="1743" t="str">
        <f>Risk_Compensation!$AJ$14</f>
        <v>geschätzte Risikoausgleichssätze, pro Monat in CHF (ohne Entlastung junge Erwachsene)</v>
      </c>
      <c r="E5421" s="1390">
        <f>Risk_Compensation!$AJ75</f>
        <v>58</v>
      </c>
      <c r="F5421" s="1390" t="str">
        <f>Risk_Compensation!$M$17</f>
        <v>BS</v>
      </c>
      <c r="G5421" s="1390"/>
      <c r="H5421" s="1077">
        <f>Risk_Compensation!$AP75</f>
        <v>369.539244180867</v>
      </c>
    </row>
    <row r="5422" spans="1:8" x14ac:dyDescent="0.2">
      <c r="A5422" s="1027"/>
      <c r="B5422" s="1083">
        <f>Risk_Compensation!A$1</f>
        <v>36</v>
      </c>
      <c r="C5422" s="1390" t="str">
        <f>Risk_Compensation!$B$1</f>
        <v xml:space="preserve">Risikoausgleich </v>
      </c>
      <c r="D5422" s="1743" t="str">
        <f>Risk_Compensation!$AJ$14</f>
        <v>geschätzte Risikoausgleichssätze, pro Monat in CHF (ohne Entlastung junge Erwachsene)</v>
      </c>
      <c r="E5422" s="1390">
        <f>Risk_Compensation!$AJ76</f>
        <v>59</v>
      </c>
      <c r="F5422" s="1390" t="str">
        <f>Risk_Compensation!$M$17</f>
        <v>BS</v>
      </c>
      <c r="G5422" s="1390"/>
      <c r="H5422" s="1077">
        <f>Risk_Compensation!$AP76</f>
        <v>1772.9843592521099</v>
      </c>
    </row>
    <row r="5423" spans="1:8" x14ac:dyDescent="0.2">
      <c r="A5423" s="1027"/>
      <c r="B5423" s="1083">
        <f>Risk_Compensation!A$1</f>
        <v>36</v>
      </c>
      <c r="C5423" s="1390" t="str">
        <f>Risk_Compensation!$B$1</f>
        <v xml:space="preserve">Risikoausgleich </v>
      </c>
      <c r="D5423" s="1743" t="str">
        <f>Risk_Compensation!$AJ$14</f>
        <v>geschätzte Risikoausgleichssätze, pro Monat in CHF (ohne Entlastung junge Erwachsene)</v>
      </c>
      <c r="E5423" s="1390">
        <f>Risk_Compensation!$AJ77</f>
        <v>60</v>
      </c>
      <c r="F5423" s="1390" t="str">
        <f>Risk_Compensation!$M$17</f>
        <v>BS</v>
      </c>
      <c r="G5423" s="1390"/>
      <c r="H5423" s="1077">
        <f>Risk_Compensation!$AP77</f>
        <v>715.23860926302405</v>
      </c>
    </row>
    <row r="5424" spans="1:8" x14ac:dyDescent="0.2">
      <c r="A5424" s="1027"/>
      <c r="B5424" s="2174"/>
      <c r="C5424" s="1390"/>
      <c r="D5424" s="2175"/>
      <c r="E5424" s="2176"/>
      <c r="F5424" s="1390"/>
      <c r="G5424" s="1390"/>
      <c r="H5424" s="1078"/>
    </row>
    <row r="5425" spans="1:8" x14ac:dyDescent="0.2">
      <c r="A5425" s="1027"/>
      <c r="B5425" s="1083">
        <f>Risk_Compensation!A$1</f>
        <v>36</v>
      </c>
      <c r="C5425" s="1390" t="str">
        <f>Risk_Compensation!$B$1</f>
        <v xml:space="preserve">Risikoausgleich </v>
      </c>
      <c r="D5425" s="1743" t="str">
        <f>Risk_Compensation!$AJ$14</f>
        <v>geschätzte Risikoausgleichssätze, pro Monat in CHF (ohne Entlastung junge Erwachsene)</v>
      </c>
      <c r="E5425" s="1390">
        <f>Risk_Compensation!$AJ18</f>
        <v>1</v>
      </c>
      <c r="F5425" s="1390" t="str">
        <f>Risk_Compensation!$N$17</f>
        <v>FR</v>
      </c>
      <c r="G5425" s="1390"/>
      <c r="H5425" s="1077">
        <f>Risk_Compensation!$AQ18</f>
        <v>419.54472558396799</v>
      </c>
    </row>
    <row r="5426" spans="1:8" x14ac:dyDescent="0.2">
      <c r="A5426" s="1027"/>
      <c r="B5426" s="1083">
        <f>Risk_Compensation!A$1</f>
        <v>36</v>
      </c>
      <c r="C5426" s="1390" t="str">
        <f>Risk_Compensation!$B$1</f>
        <v xml:space="preserve">Risikoausgleich </v>
      </c>
      <c r="D5426" s="1743" t="str">
        <f>Risk_Compensation!$AJ$14</f>
        <v>geschätzte Risikoausgleichssätze, pro Monat in CHF (ohne Entlastung junge Erwachsene)</v>
      </c>
      <c r="E5426" s="1390">
        <f>Risk_Compensation!$AJ19</f>
        <v>2</v>
      </c>
      <c r="F5426" s="1390" t="str">
        <f>Risk_Compensation!$N$17</f>
        <v>FR</v>
      </c>
      <c r="G5426" s="1390"/>
      <c r="H5426" s="1077">
        <f>Risk_Compensation!$AQ19</f>
        <v>-300.68265811425499</v>
      </c>
    </row>
    <row r="5427" spans="1:8" x14ac:dyDescent="0.2">
      <c r="A5427" s="1027"/>
      <c r="B5427" s="1083">
        <f>Risk_Compensation!A$1</f>
        <v>36</v>
      </c>
      <c r="C5427" s="1390" t="str">
        <f>Risk_Compensation!$B$1</f>
        <v xml:space="preserve">Risikoausgleich </v>
      </c>
      <c r="D5427" s="1743" t="str">
        <f>Risk_Compensation!$AJ$14</f>
        <v>geschätzte Risikoausgleichssätze, pro Monat in CHF (ohne Entlastung junge Erwachsene)</v>
      </c>
      <c r="E5427" s="1390">
        <f>Risk_Compensation!$AJ20</f>
        <v>3</v>
      </c>
      <c r="F5427" s="1390" t="str">
        <f>Risk_Compensation!$N$17</f>
        <v>FR</v>
      </c>
      <c r="G5427" s="1390"/>
      <c r="H5427" s="1077">
        <f>Risk_Compensation!$AQ20</f>
        <v>288.66478469925698</v>
      </c>
    </row>
    <row r="5428" spans="1:8" x14ac:dyDescent="0.2">
      <c r="A5428" s="1027"/>
      <c r="B5428" s="1083">
        <f>Risk_Compensation!A$1</f>
        <v>36</v>
      </c>
      <c r="C5428" s="1390" t="str">
        <f>Risk_Compensation!$B$1</f>
        <v xml:space="preserve">Risikoausgleich </v>
      </c>
      <c r="D5428" s="1743" t="str">
        <f>Risk_Compensation!$AJ$14</f>
        <v>geschätzte Risikoausgleichssätze, pro Monat in CHF (ohne Entlastung junge Erwachsene)</v>
      </c>
      <c r="E5428" s="1390">
        <f>Risk_Compensation!$AJ21</f>
        <v>4</v>
      </c>
      <c r="F5428" s="1390" t="str">
        <f>Risk_Compensation!$N$17</f>
        <v>FR</v>
      </c>
      <c r="G5428" s="1390"/>
      <c r="H5428" s="1077">
        <f>Risk_Compensation!$AQ21</f>
        <v>-312.58309289204999</v>
      </c>
    </row>
    <row r="5429" spans="1:8" x14ac:dyDescent="0.2">
      <c r="A5429" s="1027"/>
      <c r="B5429" s="1083">
        <f>Risk_Compensation!A$1</f>
        <v>36</v>
      </c>
      <c r="C5429" s="1390" t="str">
        <f>Risk_Compensation!$B$1</f>
        <v xml:space="preserve">Risikoausgleich </v>
      </c>
      <c r="D5429" s="1743" t="str">
        <f>Risk_Compensation!$AJ$14</f>
        <v>geschätzte Risikoausgleichssätze, pro Monat in CHF (ohne Entlastung junge Erwachsene)</v>
      </c>
      <c r="E5429" s="1390">
        <f>Risk_Compensation!$AJ22</f>
        <v>5</v>
      </c>
      <c r="F5429" s="1390" t="str">
        <f>Risk_Compensation!$N$17</f>
        <v>FR</v>
      </c>
      <c r="G5429" s="1390"/>
      <c r="H5429" s="1077">
        <f>Risk_Compensation!$AQ22</f>
        <v>506.23526621874601</v>
      </c>
    </row>
    <row r="5430" spans="1:8" x14ac:dyDescent="0.2">
      <c r="A5430" s="1027"/>
      <c r="B5430" s="1083">
        <f>Risk_Compensation!A$1</f>
        <v>36</v>
      </c>
      <c r="C5430" s="1390" t="str">
        <f>Risk_Compensation!$B$1</f>
        <v xml:space="preserve">Risikoausgleich </v>
      </c>
      <c r="D5430" s="1743" t="str">
        <f>Risk_Compensation!$AJ$14</f>
        <v>geschätzte Risikoausgleichssätze, pro Monat in CHF (ohne Entlastung junge Erwachsene)</v>
      </c>
      <c r="E5430" s="1390">
        <f>Risk_Compensation!$AJ23</f>
        <v>6</v>
      </c>
      <c r="F5430" s="1390" t="str">
        <f>Risk_Compensation!$N$17</f>
        <v>FR</v>
      </c>
      <c r="G5430" s="1390"/>
      <c r="H5430" s="1077">
        <f>Risk_Compensation!$AQ23</f>
        <v>-310.87053182006599</v>
      </c>
    </row>
    <row r="5431" spans="1:8" x14ac:dyDescent="0.2">
      <c r="A5431" s="1027"/>
      <c r="B5431" s="1083">
        <f>Risk_Compensation!A$1</f>
        <v>36</v>
      </c>
      <c r="C5431" s="1390" t="str">
        <f>Risk_Compensation!$B$1</f>
        <v xml:space="preserve">Risikoausgleich </v>
      </c>
      <c r="D5431" s="1743" t="str">
        <f>Risk_Compensation!$AJ$14</f>
        <v>geschätzte Risikoausgleichssätze, pro Monat in CHF (ohne Entlastung junge Erwachsene)</v>
      </c>
      <c r="E5431" s="1390">
        <f>Risk_Compensation!$AJ24</f>
        <v>7</v>
      </c>
      <c r="F5431" s="1390" t="str">
        <f>Risk_Compensation!$N$17</f>
        <v>FR</v>
      </c>
      <c r="G5431" s="1390"/>
      <c r="H5431" s="1077">
        <f>Risk_Compensation!$AQ24</f>
        <v>481.71686778201899</v>
      </c>
    </row>
    <row r="5432" spans="1:8" x14ac:dyDescent="0.2">
      <c r="A5432" s="1027"/>
      <c r="B5432" s="1083">
        <f>Risk_Compensation!A$1</f>
        <v>36</v>
      </c>
      <c r="C5432" s="1390" t="str">
        <f>Risk_Compensation!$B$1</f>
        <v xml:space="preserve">Risikoausgleich </v>
      </c>
      <c r="D5432" s="1743" t="str">
        <f>Risk_Compensation!$AJ$14</f>
        <v>geschätzte Risikoausgleichssätze, pro Monat in CHF (ohne Entlastung junge Erwachsene)</v>
      </c>
      <c r="E5432" s="1390">
        <f>Risk_Compensation!$AJ25</f>
        <v>8</v>
      </c>
      <c r="F5432" s="1390" t="str">
        <f>Risk_Compensation!$N$17</f>
        <v>FR</v>
      </c>
      <c r="G5432" s="1390"/>
      <c r="H5432" s="1077">
        <f>Risk_Compensation!$AQ25</f>
        <v>-299.18404829669799</v>
      </c>
    </row>
    <row r="5433" spans="1:8" x14ac:dyDescent="0.2">
      <c r="A5433" s="1027"/>
      <c r="B5433" s="1083">
        <f>Risk_Compensation!A$1</f>
        <v>36</v>
      </c>
      <c r="C5433" s="1390" t="str">
        <f>Risk_Compensation!$B$1</f>
        <v xml:space="preserve">Risikoausgleich </v>
      </c>
      <c r="D5433" s="1743" t="str">
        <f>Risk_Compensation!$AJ$14</f>
        <v>geschätzte Risikoausgleichssätze, pro Monat in CHF (ohne Entlastung junge Erwachsene)</v>
      </c>
      <c r="E5433" s="1390">
        <f>Risk_Compensation!$AJ26</f>
        <v>9</v>
      </c>
      <c r="F5433" s="1390" t="str">
        <f>Risk_Compensation!$N$17</f>
        <v>FR</v>
      </c>
      <c r="G5433" s="1390"/>
      <c r="H5433" s="1077">
        <f>Risk_Compensation!$AQ26</f>
        <v>159.06026563316999</v>
      </c>
    </row>
    <row r="5434" spans="1:8" x14ac:dyDescent="0.2">
      <c r="A5434" s="1027"/>
      <c r="B5434" s="1083">
        <f>Risk_Compensation!A$1</f>
        <v>36</v>
      </c>
      <c r="C5434" s="1390" t="str">
        <f>Risk_Compensation!$B$1</f>
        <v xml:space="preserve">Risikoausgleich </v>
      </c>
      <c r="D5434" s="1743" t="str">
        <f>Risk_Compensation!$AJ$14</f>
        <v>geschätzte Risikoausgleichssätze, pro Monat in CHF (ohne Entlastung junge Erwachsene)</v>
      </c>
      <c r="E5434" s="1390">
        <f>Risk_Compensation!$AJ27</f>
        <v>10</v>
      </c>
      <c r="F5434" s="1390" t="str">
        <f>Risk_Compensation!$N$17</f>
        <v>FR</v>
      </c>
      <c r="G5434" s="1390"/>
      <c r="H5434" s="1077">
        <f>Risk_Compensation!$AQ27</f>
        <v>-290.67644571442497</v>
      </c>
    </row>
    <row r="5435" spans="1:8" x14ac:dyDescent="0.2">
      <c r="A5435" s="1027"/>
      <c r="B5435" s="1083">
        <f>Risk_Compensation!A$1</f>
        <v>36</v>
      </c>
      <c r="C5435" s="1390" t="str">
        <f>Risk_Compensation!$B$1</f>
        <v xml:space="preserve">Risikoausgleich </v>
      </c>
      <c r="D5435" s="1743" t="str">
        <f>Risk_Compensation!$AJ$14</f>
        <v>geschätzte Risikoausgleichssätze, pro Monat in CHF (ohne Entlastung junge Erwachsene)</v>
      </c>
      <c r="E5435" s="1390">
        <f>Risk_Compensation!$AJ28</f>
        <v>11</v>
      </c>
      <c r="F5435" s="1390" t="str">
        <f>Risk_Compensation!$N$17</f>
        <v>FR</v>
      </c>
      <c r="G5435" s="1390"/>
      <c r="H5435" s="1077">
        <f>Risk_Compensation!$AQ28</f>
        <v>482.11537296797798</v>
      </c>
    </row>
    <row r="5436" spans="1:8" x14ac:dyDescent="0.2">
      <c r="A5436" s="1027"/>
      <c r="B5436" s="1083">
        <f>Risk_Compensation!A$1</f>
        <v>36</v>
      </c>
      <c r="C5436" s="1390" t="str">
        <f>Risk_Compensation!$B$1</f>
        <v xml:space="preserve">Risikoausgleich </v>
      </c>
      <c r="D5436" s="1743" t="str">
        <f>Risk_Compensation!$AJ$14</f>
        <v>geschätzte Risikoausgleichssätze, pro Monat in CHF (ohne Entlastung junge Erwachsene)</v>
      </c>
      <c r="E5436" s="1390">
        <f>Risk_Compensation!$AJ29</f>
        <v>12</v>
      </c>
      <c r="F5436" s="1390" t="str">
        <f>Risk_Compensation!$N$17</f>
        <v>FR</v>
      </c>
      <c r="G5436" s="1390"/>
      <c r="H5436" s="1077">
        <f>Risk_Compensation!$AQ29</f>
        <v>-288.21883262708297</v>
      </c>
    </row>
    <row r="5437" spans="1:8" x14ac:dyDescent="0.2">
      <c r="A5437" s="1027"/>
      <c r="B5437" s="1083">
        <f>Risk_Compensation!A$1</f>
        <v>36</v>
      </c>
      <c r="C5437" s="1390" t="str">
        <f>Risk_Compensation!$B$1</f>
        <v xml:space="preserve">Risikoausgleich </v>
      </c>
      <c r="D5437" s="1743" t="str">
        <f>Risk_Compensation!$AJ$14</f>
        <v>geschätzte Risikoausgleichssätze, pro Monat in CHF (ohne Entlastung junge Erwachsene)</v>
      </c>
      <c r="E5437" s="1390">
        <f>Risk_Compensation!$AJ30</f>
        <v>13</v>
      </c>
      <c r="F5437" s="1390" t="str">
        <f>Risk_Compensation!$N$17</f>
        <v>FR</v>
      </c>
      <c r="G5437" s="1390"/>
      <c r="H5437" s="1077">
        <f>Risk_Compensation!$AQ30</f>
        <v>296.40234132890902</v>
      </c>
    </row>
    <row r="5438" spans="1:8" x14ac:dyDescent="0.2">
      <c r="A5438" s="1027"/>
      <c r="B5438" s="1083">
        <f>Risk_Compensation!A$1</f>
        <v>36</v>
      </c>
      <c r="C5438" s="1390" t="str">
        <f>Risk_Compensation!$B$1</f>
        <v xml:space="preserve">Risikoausgleich </v>
      </c>
      <c r="D5438" s="1743" t="str">
        <f>Risk_Compensation!$AJ$14</f>
        <v>geschätzte Risikoausgleichssätze, pro Monat in CHF (ohne Entlastung junge Erwachsene)</v>
      </c>
      <c r="E5438" s="1390">
        <f>Risk_Compensation!$AJ31</f>
        <v>14</v>
      </c>
      <c r="F5438" s="1390" t="str">
        <f>Risk_Compensation!$N$17</f>
        <v>FR</v>
      </c>
      <c r="G5438" s="1390"/>
      <c r="H5438" s="1077">
        <f>Risk_Compensation!$AQ31</f>
        <v>-237.470812942767</v>
      </c>
    </row>
    <row r="5439" spans="1:8" x14ac:dyDescent="0.2">
      <c r="A5439" s="1027"/>
      <c r="B5439" s="1083">
        <f>Risk_Compensation!A$1</f>
        <v>36</v>
      </c>
      <c r="C5439" s="1390" t="str">
        <f>Risk_Compensation!$B$1</f>
        <v xml:space="preserve">Risikoausgleich </v>
      </c>
      <c r="D5439" s="1743" t="str">
        <f>Risk_Compensation!$AJ$14</f>
        <v>geschätzte Risikoausgleichssätze, pro Monat in CHF (ohne Entlastung junge Erwachsene)</v>
      </c>
      <c r="E5439" s="1390">
        <f>Risk_Compensation!$AJ32</f>
        <v>15</v>
      </c>
      <c r="F5439" s="1390" t="str">
        <f>Risk_Compensation!$N$17</f>
        <v>FR</v>
      </c>
      <c r="G5439" s="1390"/>
      <c r="H5439" s="1077">
        <f>Risk_Compensation!$AQ32</f>
        <v>574.12238159271499</v>
      </c>
    </row>
    <row r="5440" spans="1:8" x14ac:dyDescent="0.2">
      <c r="A5440" s="1027"/>
      <c r="B5440" s="1083">
        <f>Risk_Compensation!A$1</f>
        <v>36</v>
      </c>
      <c r="C5440" s="1390" t="str">
        <f>Risk_Compensation!$B$1</f>
        <v xml:space="preserve">Risikoausgleich </v>
      </c>
      <c r="D5440" s="1743" t="str">
        <f>Risk_Compensation!$AJ$14</f>
        <v>geschätzte Risikoausgleichssätze, pro Monat in CHF (ohne Entlastung junge Erwachsene)</v>
      </c>
      <c r="E5440" s="1390">
        <f>Risk_Compensation!$AJ33</f>
        <v>16</v>
      </c>
      <c r="F5440" s="1390" t="str">
        <f>Risk_Compensation!$N$17</f>
        <v>FR</v>
      </c>
      <c r="G5440" s="1390"/>
      <c r="H5440" s="1077">
        <f>Risk_Compensation!$AQ33</f>
        <v>-222.56142329105199</v>
      </c>
    </row>
    <row r="5441" spans="1:8" x14ac:dyDescent="0.2">
      <c r="A5441" s="1027"/>
      <c r="B5441" s="1083">
        <f>Risk_Compensation!A$1</f>
        <v>36</v>
      </c>
      <c r="C5441" s="1390" t="str">
        <f>Risk_Compensation!$B$1</f>
        <v xml:space="preserve">Risikoausgleich </v>
      </c>
      <c r="D5441" s="1743" t="str">
        <f>Risk_Compensation!$AJ$14</f>
        <v>geschätzte Risikoausgleichssätze, pro Monat in CHF (ohne Entlastung junge Erwachsene)</v>
      </c>
      <c r="E5441" s="1390">
        <f>Risk_Compensation!$AJ34</f>
        <v>17</v>
      </c>
      <c r="F5441" s="1390" t="str">
        <f>Risk_Compensation!$N$17</f>
        <v>FR</v>
      </c>
      <c r="G5441" s="1390"/>
      <c r="H5441" s="1077">
        <f>Risk_Compensation!$AQ34</f>
        <v>556.09940161765201</v>
      </c>
    </row>
    <row r="5442" spans="1:8" x14ac:dyDescent="0.2">
      <c r="A5442" s="1027"/>
      <c r="B5442" s="1083">
        <f>Risk_Compensation!A$1</f>
        <v>36</v>
      </c>
      <c r="C5442" s="1390" t="str">
        <f>Risk_Compensation!$B$1</f>
        <v xml:space="preserve">Risikoausgleich </v>
      </c>
      <c r="D5442" s="1743" t="str">
        <f>Risk_Compensation!$AJ$14</f>
        <v>geschätzte Risikoausgleichssätze, pro Monat in CHF (ohne Entlastung junge Erwachsene)</v>
      </c>
      <c r="E5442" s="1390">
        <f>Risk_Compensation!$AJ35</f>
        <v>18</v>
      </c>
      <c r="F5442" s="1390" t="str">
        <f>Risk_Compensation!$N$17</f>
        <v>FR</v>
      </c>
      <c r="G5442" s="1390"/>
      <c r="H5442" s="1077">
        <f>Risk_Compensation!$AQ35</f>
        <v>-145.49416888476301</v>
      </c>
    </row>
    <row r="5443" spans="1:8" x14ac:dyDescent="0.2">
      <c r="A5443" s="1027"/>
      <c r="B5443" s="1083">
        <f>Risk_Compensation!A$1</f>
        <v>36</v>
      </c>
      <c r="C5443" s="1390" t="str">
        <f>Risk_Compensation!$B$1</f>
        <v xml:space="preserve">Risikoausgleich </v>
      </c>
      <c r="D5443" s="1743" t="str">
        <f>Risk_Compensation!$AJ$14</f>
        <v>geschätzte Risikoausgleichssätze, pro Monat in CHF (ohne Entlastung junge Erwachsene)</v>
      </c>
      <c r="E5443" s="1390">
        <f>Risk_Compensation!$AJ36</f>
        <v>19</v>
      </c>
      <c r="F5443" s="1390" t="str">
        <f>Risk_Compensation!$N$17</f>
        <v>FR</v>
      </c>
      <c r="G5443" s="1390"/>
      <c r="H5443" s="1077">
        <f>Risk_Compensation!$AQ36</f>
        <v>852.86477988228705</v>
      </c>
    </row>
    <row r="5444" spans="1:8" x14ac:dyDescent="0.2">
      <c r="A5444" s="1027"/>
      <c r="B5444" s="1083">
        <f>Risk_Compensation!A$1</f>
        <v>36</v>
      </c>
      <c r="C5444" s="1390" t="str">
        <f>Risk_Compensation!$B$1</f>
        <v xml:space="preserve">Risikoausgleich </v>
      </c>
      <c r="D5444" s="1743" t="str">
        <f>Risk_Compensation!$AJ$14</f>
        <v>geschätzte Risikoausgleichssätze, pro Monat in CHF (ohne Entlastung junge Erwachsene)</v>
      </c>
      <c r="E5444" s="1390">
        <f>Risk_Compensation!$AJ37</f>
        <v>20</v>
      </c>
      <c r="F5444" s="1390" t="str">
        <f>Risk_Compensation!$N$17</f>
        <v>FR</v>
      </c>
      <c r="G5444" s="1390"/>
      <c r="H5444" s="1077">
        <f>Risk_Compensation!$AQ37</f>
        <v>-71.528075280175102</v>
      </c>
    </row>
    <row r="5445" spans="1:8" x14ac:dyDescent="0.2">
      <c r="A5445" s="1027"/>
      <c r="B5445" s="1083">
        <f>Risk_Compensation!A$1</f>
        <v>36</v>
      </c>
      <c r="C5445" s="1390" t="str">
        <f>Risk_Compensation!$B$1</f>
        <v xml:space="preserve">Risikoausgleich </v>
      </c>
      <c r="D5445" s="1743" t="str">
        <f>Risk_Compensation!$AJ$14</f>
        <v>geschätzte Risikoausgleichssätze, pro Monat in CHF (ohne Entlastung junge Erwachsene)</v>
      </c>
      <c r="E5445" s="1390">
        <f>Risk_Compensation!$AJ38</f>
        <v>21</v>
      </c>
      <c r="F5445" s="1390" t="str">
        <f>Risk_Compensation!$N$17</f>
        <v>FR</v>
      </c>
      <c r="G5445" s="1390"/>
      <c r="H5445" s="1077">
        <f>Risk_Compensation!$AQ38</f>
        <v>686.95174657385405</v>
      </c>
    </row>
    <row r="5446" spans="1:8" x14ac:dyDescent="0.2">
      <c r="A5446" s="1027"/>
      <c r="B5446" s="1083">
        <f>Risk_Compensation!A$1</f>
        <v>36</v>
      </c>
      <c r="C5446" s="1390" t="str">
        <f>Risk_Compensation!$B$1</f>
        <v xml:space="preserve">Risikoausgleich </v>
      </c>
      <c r="D5446" s="1743" t="str">
        <f>Risk_Compensation!$AJ$14</f>
        <v>geschätzte Risikoausgleichssätze, pro Monat in CHF (ohne Entlastung junge Erwachsene)</v>
      </c>
      <c r="E5446" s="1390">
        <f>Risk_Compensation!$AJ39</f>
        <v>22</v>
      </c>
      <c r="F5446" s="1390" t="str">
        <f>Risk_Compensation!$N$17</f>
        <v>FR</v>
      </c>
      <c r="G5446" s="1390"/>
      <c r="H5446" s="1077">
        <f>Risk_Compensation!$AQ39</f>
        <v>58.622419270745397</v>
      </c>
    </row>
    <row r="5447" spans="1:8" x14ac:dyDescent="0.2">
      <c r="A5447" s="1027"/>
      <c r="B5447" s="1083">
        <f>Risk_Compensation!A$1</f>
        <v>36</v>
      </c>
      <c r="C5447" s="1390" t="str">
        <f>Risk_Compensation!$B$1</f>
        <v xml:space="preserve">Risikoausgleich </v>
      </c>
      <c r="D5447" s="1743" t="str">
        <f>Risk_Compensation!$AJ$14</f>
        <v>geschätzte Risikoausgleichssätze, pro Monat in CHF (ohne Entlastung junge Erwachsene)</v>
      </c>
      <c r="E5447" s="1390">
        <f>Risk_Compensation!$AJ40</f>
        <v>23</v>
      </c>
      <c r="F5447" s="1390" t="str">
        <f>Risk_Compensation!$N$17</f>
        <v>FR</v>
      </c>
      <c r="G5447" s="1390"/>
      <c r="H5447" s="1077">
        <f>Risk_Compensation!$AQ40</f>
        <v>991.92596599766603</v>
      </c>
    </row>
    <row r="5448" spans="1:8" x14ac:dyDescent="0.2">
      <c r="A5448" s="1027"/>
      <c r="B5448" s="1083">
        <f>Risk_Compensation!A$1</f>
        <v>36</v>
      </c>
      <c r="C5448" s="1390" t="str">
        <f>Risk_Compensation!$B$1</f>
        <v xml:space="preserve">Risikoausgleich </v>
      </c>
      <c r="D5448" s="1743" t="str">
        <f>Risk_Compensation!$AJ$14</f>
        <v>geschätzte Risikoausgleichssätze, pro Monat in CHF (ohne Entlastung junge Erwachsene)</v>
      </c>
      <c r="E5448" s="1390">
        <f>Risk_Compensation!$AJ41</f>
        <v>24</v>
      </c>
      <c r="F5448" s="1390" t="str">
        <f>Risk_Compensation!$N$17</f>
        <v>FR</v>
      </c>
      <c r="G5448" s="1390"/>
      <c r="H5448" s="1077">
        <f>Risk_Compensation!$AQ41</f>
        <v>126.198474250582</v>
      </c>
    </row>
    <row r="5449" spans="1:8" x14ac:dyDescent="0.2">
      <c r="A5449" s="1027"/>
      <c r="B5449" s="1083">
        <f>Risk_Compensation!A$1</f>
        <v>36</v>
      </c>
      <c r="C5449" s="1390" t="str">
        <f>Risk_Compensation!$B$1</f>
        <v xml:space="preserve">Risikoausgleich </v>
      </c>
      <c r="D5449" s="1743" t="str">
        <f>Risk_Compensation!$AJ$14</f>
        <v>geschätzte Risikoausgleichssätze, pro Monat in CHF (ohne Entlastung junge Erwachsene)</v>
      </c>
      <c r="E5449" s="1390">
        <f>Risk_Compensation!$AJ42</f>
        <v>25</v>
      </c>
      <c r="F5449" s="1390" t="str">
        <f>Risk_Compensation!$N$17</f>
        <v>FR</v>
      </c>
      <c r="G5449" s="1390"/>
      <c r="H5449" s="1077">
        <f>Risk_Compensation!$AQ42</f>
        <v>1118.2427937357199</v>
      </c>
    </row>
    <row r="5450" spans="1:8" x14ac:dyDescent="0.2">
      <c r="A5450" s="1027"/>
      <c r="B5450" s="1083">
        <f>Risk_Compensation!A$1</f>
        <v>36</v>
      </c>
      <c r="C5450" s="1390" t="str">
        <f>Risk_Compensation!$B$1</f>
        <v xml:space="preserve">Risikoausgleich </v>
      </c>
      <c r="D5450" s="1743" t="str">
        <f>Risk_Compensation!$AJ$14</f>
        <v>geschätzte Risikoausgleichssätze, pro Monat in CHF (ohne Entlastung junge Erwachsene)</v>
      </c>
      <c r="E5450" s="1390">
        <f>Risk_Compensation!$AJ43</f>
        <v>26</v>
      </c>
      <c r="F5450" s="1390" t="str">
        <f>Risk_Compensation!$N$17</f>
        <v>FR</v>
      </c>
      <c r="G5450" s="1390"/>
      <c r="H5450" s="1077">
        <f>Risk_Compensation!$AQ43</f>
        <v>148.816183055127</v>
      </c>
    </row>
    <row r="5451" spans="1:8" x14ac:dyDescent="0.2">
      <c r="A5451" s="1027"/>
      <c r="B5451" s="1083">
        <f>Risk_Compensation!A$1</f>
        <v>36</v>
      </c>
      <c r="C5451" s="1390" t="str">
        <f>Risk_Compensation!$B$1</f>
        <v xml:space="preserve">Risikoausgleich </v>
      </c>
      <c r="D5451" s="1743" t="str">
        <f>Risk_Compensation!$AJ$14</f>
        <v>geschätzte Risikoausgleichssätze, pro Monat in CHF (ohne Entlastung junge Erwachsene)</v>
      </c>
      <c r="E5451" s="1390">
        <f>Risk_Compensation!$AJ44</f>
        <v>27</v>
      </c>
      <c r="F5451" s="1390" t="str">
        <f>Risk_Compensation!$N$17</f>
        <v>FR</v>
      </c>
      <c r="G5451" s="1390"/>
      <c r="H5451" s="1077">
        <f>Risk_Compensation!$AQ44</f>
        <v>1573.64523426336</v>
      </c>
    </row>
    <row r="5452" spans="1:8" x14ac:dyDescent="0.2">
      <c r="A5452" s="1027"/>
      <c r="B5452" s="1083">
        <f>Risk_Compensation!A$1</f>
        <v>36</v>
      </c>
      <c r="C5452" s="1390" t="str">
        <f>Risk_Compensation!$B$1</f>
        <v xml:space="preserve">Risikoausgleich </v>
      </c>
      <c r="D5452" s="1743" t="str">
        <f>Risk_Compensation!$AJ$14</f>
        <v>geschätzte Risikoausgleichssätze, pro Monat in CHF (ohne Entlastung junge Erwachsene)</v>
      </c>
      <c r="E5452" s="1390">
        <f>Risk_Compensation!$AJ45</f>
        <v>28</v>
      </c>
      <c r="F5452" s="1390" t="str">
        <f>Risk_Compensation!$N$17</f>
        <v>FR</v>
      </c>
      <c r="G5452" s="1390"/>
      <c r="H5452" s="1077">
        <f>Risk_Compensation!$AQ45</f>
        <v>298.08148250253902</v>
      </c>
    </row>
    <row r="5453" spans="1:8" x14ac:dyDescent="0.2">
      <c r="A5453" s="1027"/>
      <c r="B5453" s="1083">
        <f>Risk_Compensation!A$1</f>
        <v>36</v>
      </c>
      <c r="C5453" s="1390" t="str">
        <f>Risk_Compensation!$B$1</f>
        <v xml:space="preserve">Risikoausgleich </v>
      </c>
      <c r="D5453" s="1743" t="str">
        <f>Risk_Compensation!$AJ$14</f>
        <v>geschätzte Risikoausgleichssätze, pro Monat in CHF (ohne Entlastung junge Erwachsene)</v>
      </c>
      <c r="E5453" s="1390">
        <f>Risk_Compensation!$AJ46</f>
        <v>29</v>
      </c>
      <c r="F5453" s="1390" t="str">
        <f>Risk_Compensation!$N$17</f>
        <v>FR</v>
      </c>
      <c r="G5453" s="1390"/>
      <c r="H5453" s="1077">
        <f>Risk_Compensation!$AQ46</f>
        <v>1517.53675184245</v>
      </c>
    </row>
    <row r="5454" spans="1:8" x14ac:dyDescent="0.2">
      <c r="A5454" s="1027"/>
      <c r="B5454" s="1083">
        <f>Risk_Compensation!A$1</f>
        <v>36</v>
      </c>
      <c r="C5454" s="1390" t="str">
        <f>Risk_Compensation!$B$1</f>
        <v xml:space="preserve">Risikoausgleich </v>
      </c>
      <c r="D5454" s="1743" t="str">
        <f>Risk_Compensation!$AJ$14</f>
        <v>geschätzte Risikoausgleichssätze, pro Monat in CHF (ohne Entlastung junge Erwachsene)</v>
      </c>
      <c r="E5454" s="1390">
        <f>Risk_Compensation!$AJ47</f>
        <v>30</v>
      </c>
      <c r="F5454" s="1390" t="str">
        <f>Risk_Compensation!$N$17</f>
        <v>FR</v>
      </c>
      <c r="G5454" s="1390"/>
      <c r="H5454" s="1077">
        <f>Risk_Compensation!$AQ47</f>
        <v>705.88650169592302</v>
      </c>
    </row>
    <row r="5455" spans="1:8" x14ac:dyDescent="0.2">
      <c r="A5455" s="1027"/>
      <c r="B5455" s="1083">
        <f>Risk_Compensation!A$1</f>
        <v>36</v>
      </c>
      <c r="C5455" s="1390" t="str">
        <f>Risk_Compensation!$B$1</f>
        <v xml:space="preserve">Risikoausgleich </v>
      </c>
      <c r="D5455" s="1743" t="str">
        <f>Risk_Compensation!$AJ$14</f>
        <v>geschätzte Risikoausgleichssätze, pro Monat in CHF (ohne Entlastung junge Erwachsene)</v>
      </c>
      <c r="E5455" s="1390">
        <f>Risk_Compensation!$AJ48</f>
        <v>31</v>
      </c>
      <c r="F5455" s="1390" t="str">
        <f>Risk_Compensation!$N$17</f>
        <v>FR</v>
      </c>
      <c r="G5455" s="1390"/>
      <c r="H5455" s="1077">
        <f>Risk_Compensation!$AQ48</f>
        <v>507.85616039963702</v>
      </c>
    </row>
    <row r="5456" spans="1:8" x14ac:dyDescent="0.2">
      <c r="A5456" s="1027"/>
      <c r="B5456" s="1083">
        <f>Risk_Compensation!A$1</f>
        <v>36</v>
      </c>
      <c r="C5456" s="1390" t="str">
        <f>Risk_Compensation!$B$1</f>
        <v xml:space="preserve">Risikoausgleich </v>
      </c>
      <c r="D5456" s="1743" t="str">
        <f>Risk_Compensation!$AJ$14</f>
        <v>geschätzte Risikoausgleichssätze, pro Monat in CHF (ohne Entlastung junge Erwachsene)</v>
      </c>
      <c r="E5456" s="1390">
        <f>Risk_Compensation!$AJ49</f>
        <v>32</v>
      </c>
      <c r="F5456" s="1390" t="str">
        <f>Risk_Compensation!$N$17</f>
        <v>FR</v>
      </c>
      <c r="G5456" s="1390"/>
      <c r="H5456" s="1077">
        <f>Risk_Compensation!$AQ49</f>
        <v>-244.42572654286499</v>
      </c>
    </row>
    <row r="5457" spans="1:8" x14ac:dyDescent="0.2">
      <c r="A5457" s="1027"/>
      <c r="B5457" s="1083">
        <f>Risk_Compensation!A$1</f>
        <v>36</v>
      </c>
      <c r="C5457" s="1390" t="str">
        <f>Risk_Compensation!$B$1</f>
        <v xml:space="preserve">Risikoausgleich </v>
      </c>
      <c r="D5457" s="1743" t="str">
        <f>Risk_Compensation!$AJ$14</f>
        <v>geschätzte Risikoausgleichssätze, pro Monat in CHF (ohne Entlastung junge Erwachsene)</v>
      </c>
      <c r="E5457" s="1390">
        <f>Risk_Compensation!$AJ50</f>
        <v>33</v>
      </c>
      <c r="F5457" s="1390" t="str">
        <f>Risk_Compensation!$N$17</f>
        <v>FR</v>
      </c>
      <c r="G5457" s="1390"/>
      <c r="H5457" s="1077">
        <f>Risk_Compensation!$AQ50</f>
        <v>347.43499810347203</v>
      </c>
    </row>
    <row r="5458" spans="1:8" x14ac:dyDescent="0.2">
      <c r="A5458" s="1027"/>
      <c r="B5458" s="1083">
        <f>Risk_Compensation!A$1</f>
        <v>36</v>
      </c>
      <c r="C5458" s="1390" t="str">
        <f>Risk_Compensation!$B$1</f>
        <v xml:space="preserve">Risikoausgleich </v>
      </c>
      <c r="D5458" s="1743" t="str">
        <f>Risk_Compensation!$AJ$14</f>
        <v>geschätzte Risikoausgleichssätze, pro Monat in CHF (ohne Entlastung junge Erwachsene)</v>
      </c>
      <c r="E5458" s="1390">
        <f>Risk_Compensation!$AJ51</f>
        <v>34</v>
      </c>
      <c r="F5458" s="1390" t="str">
        <f>Risk_Compensation!$N$17</f>
        <v>FR</v>
      </c>
      <c r="G5458" s="1390"/>
      <c r="H5458" s="1077">
        <f>Risk_Compensation!$AQ51</f>
        <v>-180.02660654461701</v>
      </c>
    </row>
    <row r="5459" spans="1:8" x14ac:dyDescent="0.2">
      <c r="A5459" s="1027"/>
      <c r="B5459" s="1083">
        <f>Risk_Compensation!A$1</f>
        <v>36</v>
      </c>
      <c r="C5459" s="1390" t="str">
        <f>Risk_Compensation!$B$1</f>
        <v xml:space="preserve">Risikoausgleich </v>
      </c>
      <c r="D5459" s="1743" t="str">
        <f>Risk_Compensation!$AJ$14</f>
        <v>geschätzte Risikoausgleichssätze, pro Monat in CHF (ohne Entlastung junge Erwachsene)</v>
      </c>
      <c r="E5459" s="1390">
        <f>Risk_Compensation!$AJ52</f>
        <v>35</v>
      </c>
      <c r="F5459" s="1390" t="str">
        <f>Risk_Compensation!$N$17</f>
        <v>FR</v>
      </c>
      <c r="G5459" s="1390"/>
      <c r="H5459" s="1077">
        <f>Risk_Compensation!$AQ52</f>
        <v>183.959165819465</v>
      </c>
    </row>
    <row r="5460" spans="1:8" x14ac:dyDescent="0.2">
      <c r="A5460" s="1027"/>
      <c r="B5460" s="1083">
        <f>Risk_Compensation!A$1</f>
        <v>36</v>
      </c>
      <c r="C5460" s="1390" t="str">
        <f>Risk_Compensation!$B$1</f>
        <v xml:space="preserve">Risikoausgleich </v>
      </c>
      <c r="D5460" s="1743" t="str">
        <f>Risk_Compensation!$AJ$14</f>
        <v>geschätzte Risikoausgleichssätze, pro Monat in CHF (ohne Entlastung junge Erwachsene)</v>
      </c>
      <c r="E5460" s="1390">
        <f>Risk_Compensation!$AJ53</f>
        <v>36</v>
      </c>
      <c r="F5460" s="1390" t="str">
        <f>Risk_Compensation!$N$17</f>
        <v>FR</v>
      </c>
      <c r="G5460" s="1390"/>
      <c r="H5460" s="1077">
        <f>Risk_Compensation!$AQ53</f>
        <v>-149.34206544729901</v>
      </c>
    </row>
    <row r="5461" spans="1:8" x14ac:dyDescent="0.2">
      <c r="A5461" s="1027"/>
      <c r="B5461" s="1083">
        <f>Risk_Compensation!A$1</f>
        <v>36</v>
      </c>
      <c r="C5461" s="1390" t="str">
        <f>Risk_Compensation!$B$1</f>
        <v xml:space="preserve">Risikoausgleich </v>
      </c>
      <c r="D5461" s="1743" t="str">
        <f>Risk_Compensation!$AJ$14</f>
        <v>geschätzte Risikoausgleichssätze, pro Monat in CHF (ohne Entlastung junge Erwachsene)</v>
      </c>
      <c r="E5461" s="1390">
        <f>Risk_Compensation!$AJ54</f>
        <v>37</v>
      </c>
      <c r="F5461" s="1390" t="str">
        <f>Risk_Compensation!$N$17</f>
        <v>FR</v>
      </c>
      <c r="G5461" s="1390"/>
      <c r="H5461" s="1077">
        <f>Risk_Compensation!$AQ54</f>
        <v>521.47137422524702</v>
      </c>
    </row>
    <row r="5462" spans="1:8" x14ac:dyDescent="0.2">
      <c r="A5462" s="1027"/>
      <c r="B5462" s="1083">
        <f>Risk_Compensation!A$1</f>
        <v>36</v>
      </c>
      <c r="C5462" s="1390" t="str">
        <f>Risk_Compensation!$B$1</f>
        <v xml:space="preserve">Risikoausgleich </v>
      </c>
      <c r="D5462" s="1743" t="str">
        <f>Risk_Compensation!$AJ$14</f>
        <v>geschätzte Risikoausgleichssätze, pro Monat in CHF (ohne Entlastung junge Erwachsene)</v>
      </c>
      <c r="E5462" s="1390">
        <f>Risk_Compensation!$AJ55</f>
        <v>38</v>
      </c>
      <c r="F5462" s="1390" t="str">
        <f>Risk_Compensation!$N$17</f>
        <v>FR</v>
      </c>
      <c r="G5462" s="1390"/>
      <c r="H5462" s="1077">
        <f>Risk_Compensation!$AQ55</f>
        <v>-196.100786560535</v>
      </c>
    </row>
    <row r="5463" spans="1:8" x14ac:dyDescent="0.2">
      <c r="A5463" s="1027"/>
      <c r="B5463" s="1083">
        <f>Risk_Compensation!A$1</f>
        <v>36</v>
      </c>
      <c r="C5463" s="1390" t="str">
        <f>Risk_Compensation!$B$1</f>
        <v xml:space="preserve">Risikoausgleich </v>
      </c>
      <c r="D5463" s="1743" t="str">
        <f>Risk_Compensation!$AJ$14</f>
        <v>geschätzte Risikoausgleichssätze, pro Monat in CHF (ohne Entlastung junge Erwachsene)</v>
      </c>
      <c r="E5463" s="1390">
        <f>Risk_Compensation!$AJ56</f>
        <v>39</v>
      </c>
      <c r="F5463" s="1390" t="str">
        <f>Risk_Compensation!$N$17</f>
        <v>FR</v>
      </c>
      <c r="G5463" s="1390"/>
      <c r="H5463" s="1077">
        <f>Risk_Compensation!$AQ56</f>
        <v>358.22314154476101</v>
      </c>
    </row>
    <row r="5464" spans="1:8" x14ac:dyDescent="0.2">
      <c r="A5464" s="1027"/>
      <c r="B5464" s="1083">
        <f>Risk_Compensation!A$1</f>
        <v>36</v>
      </c>
      <c r="C5464" s="1390" t="str">
        <f>Risk_Compensation!$B$1</f>
        <v xml:space="preserve">Risikoausgleich </v>
      </c>
      <c r="D5464" s="1743" t="str">
        <f>Risk_Compensation!$AJ$14</f>
        <v>geschätzte Risikoausgleichssätze, pro Monat in CHF (ohne Entlastung junge Erwachsene)</v>
      </c>
      <c r="E5464" s="1390">
        <f>Risk_Compensation!$AJ57</f>
        <v>40</v>
      </c>
      <c r="F5464" s="1390" t="str">
        <f>Risk_Compensation!$N$17</f>
        <v>FR</v>
      </c>
      <c r="G5464" s="1390"/>
      <c r="H5464" s="1077">
        <f>Risk_Compensation!$AQ57</f>
        <v>-221.538339628703</v>
      </c>
    </row>
    <row r="5465" spans="1:8" x14ac:dyDescent="0.2">
      <c r="A5465" s="1027"/>
      <c r="B5465" s="1083">
        <f>Risk_Compensation!A$1</f>
        <v>36</v>
      </c>
      <c r="C5465" s="1390" t="str">
        <f>Risk_Compensation!$B$1</f>
        <v xml:space="preserve">Risikoausgleich </v>
      </c>
      <c r="D5465" s="1743" t="str">
        <f>Risk_Compensation!$AJ$14</f>
        <v>geschätzte Risikoausgleichssätze, pro Monat in CHF (ohne Entlastung junge Erwachsene)</v>
      </c>
      <c r="E5465" s="1390">
        <f>Risk_Compensation!$AJ58</f>
        <v>41</v>
      </c>
      <c r="F5465" s="1390" t="str">
        <f>Risk_Compensation!$N$17</f>
        <v>FR</v>
      </c>
      <c r="G5465" s="1390"/>
      <c r="H5465" s="1077">
        <f>Risk_Compensation!$AQ58</f>
        <v>269.22397055120302</v>
      </c>
    </row>
    <row r="5466" spans="1:8" x14ac:dyDescent="0.2">
      <c r="A5466" s="1027"/>
      <c r="B5466" s="1083">
        <f>Risk_Compensation!A$1</f>
        <v>36</v>
      </c>
      <c r="C5466" s="1390" t="str">
        <f>Risk_Compensation!$B$1</f>
        <v xml:space="preserve">Risikoausgleich </v>
      </c>
      <c r="D5466" s="1743" t="str">
        <f>Risk_Compensation!$AJ$14</f>
        <v>geschätzte Risikoausgleichssätze, pro Monat in CHF (ohne Entlastung junge Erwachsene)</v>
      </c>
      <c r="E5466" s="1390">
        <f>Risk_Compensation!$AJ59</f>
        <v>42</v>
      </c>
      <c r="F5466" s="1390" t="str">
        <f>Risk_Compensation!$N$17</f>
        <v>FR</v>
      </c>
      <c r="G5466" s="1390"/>
      <c r="H5466" s="1077">
        <f>Risk_Compensation!$AQ59</f>
        <v>-216.77293615636799</v>
      </c>
    </row>
    <row r="5467" spans="1:8" x14ac:dyDescent="0.2">
      <c r="A5467" s="1027"/>
      <c r="B5467" s="1083">
        <f>Risk_Compensation!A$1</f>
        <v>36</v>
      </c>
      <c r="C5467" s="1390" t="str">
        <f>Risk_Compensation!$B$1</f>
        <v xml:space="preserve">Risikoausgleich </v>
      </c>
      <c r="D5467" s="1743" t="str">
        <f>Risk_Compensation!$AJ$14</f>
        <v>geschätzte Risikoausgleichssätze, pro Monat in CHF (ohne Entlastung junge Erwachsene)</v>
      </c>
      <c r="E5467" s="1390">
        <f>Risk_Compensation!$AJ60</f>
        <v>43</v>
      </c>
      <c r="F5467" s="1390" t="str">
        <f>Risk_Compensation!$N$17</f>
        <v>FR</v>
      </c>
      <c r="G5467" s="1390"/>
      <c r="H5467" s="1077">
        <f>Risk_Compensation!$AQ60</f>
        <v>398.10683184124701</v>
      </c>
    </row>
    <row r="5468" spans="1:8" x14ac:dyDescent="0.2">
      <c r="A5468" s="1027"/>
      <c r="B5468" s="1083">
        <f>Risk_Compensation!A$1</f>
        <v>36</v>
      </c>
      <c r="C5468" s="1390" t="str">
        <f>Risk_Compensation!$B$1</f>
        <v xml:space="preserve">Risikoausgleich </v>
      </c>
      <c r="D5468" s="1743" t="str">
        <f>Risk_Compensation!$AJ$14</f>
        <v>geschätzte Risikoausgleichssätze, pro Monat in CHF (ohne Entlastung junge Erwachsene)</v>
      </c>
      <c r="E5468" s="1390">
        <f>Risk_Compensation!$AJ61</f>
        <v>44</v>
      </c>
      <c r="F5468" s="1390" t="str">
        <f>Risk_Compensation!$N$17</f>
        <v>FR</v>
      </c>
      <c r="G5468" s="1390"/>
      <c r="H5468" s="1077">
        <f>Risk_Compensation!$AQ61</f>
        <v>-191.22922413395301</v>
      </c>
    </row>
    <row r="5469" spans="1:8" x14ac:dyDescent="0.2">
      <c r="A5469" s="1027"/>
      <c r="B5469" s="1083">
        <f>Risk_Compensation!A$1</f>
        <v>36</v>
      </c>
      <c r="C5469" s="1390" t="str">
        <f>Risk_Compensation!$B$1</f>
        <v xml:space="preserve">Risikoausgleich </v>
      </c>
      <c r="D5469" s="1743" t="str">
        <f>Risk_Compensation!$AJ$14</f>
        <v>geschätzte Risikoausgleichssätze, pro Monat in CHF (ohne Entlastung junge Erwachsene)</v>
      </c>
      <c r="E5469" s="1390">
        <f>Risk_Compensation!$AJ62</f>
        <v>45</v>
      </c>
      <c r="F5469" s="1390" t="str">
        <f>Risk_Compensation!$N$17</f>
        <v>FR</v>
      </c>
      <c r="G5469" s="1390"/>
      <c r="H5469" s="1077">
        <f>Risk_Compensation!$AQ62</f>
        <v>443.83588325586101</v>
      </c>
    </row>
    <row r="5470" spans="1:8" x14ac:dyDescent="0.2">
      <c r="A5470" s="1027"/>
      <c r="B5470" s="1083">
        <f>Risk_Compensation!A$1</f>
        <v>36</v>
      </c>
      <c r="C5470" s="1390" t="str">
        <f>Risk_Compensation!$B$1</f>
        <v xml:space="preserve">Risikoausgleich </v>
      </c>
      <c r="D5470" s="1743" t="str">
        <f>Risk_Compensation!$AJ$14</f>
        <v>geschätzte Risikoausgleichssätze, pro Monat in CHF (ohne Entlastung junge Erwachsene)</v>
      </c>
      <c r="E5470" s="1390">
        <f>Risk_Compensation!$AJ63</f>
        <v>46</v>
      </c>
      <c r="F5470" s="1390" t="str">
        <f>Risk_Compensation!$N$17</f>
        <v>FR</v>
      </c>
      <c r="G5470" s="1390"/>
      <c r="H5470" s="1077">
        <f>Risk_Compensation!$AQ63</f>
        <v>-181.346162843803</v>
      </c>
    </row>
    <row r="5471" spans="1:8" x14ac:dyDescent="0.2">
      <c r="A5471" s="1027"/>
      <c r="B5471" s="1083">
        <f>Risk_Compensation!A$1</f>
        <v>36</v>
      </c>
      <c r="C5471" s="1390" t="str">
        <f>Risk_Compensation!$B$1</f>
        <v xml:space="preserve">Risikoausgleich </v>
      </c>
      <c r="D5471" s="1743" t="str">
        <f>Risk_Compensation!$AJ$14</f>
        <v>geschätzte Risikoausgleichssätze, pro Monat in CHF (ohne Entlastung junge Erwachsene)</v>
      </c>
      <c r="E5471" s="1390">
        <f>Risk_Compensation!$AJ64</f>
        <v>47</v>
      </c>
      <c r="F5471" s="1390" t="str">
        <f>Risk_Compensation!$N$17</f>
        <v>FR</v>
      </c>
      <c r="G5471" s="1390"/>
      <c r="H5471" s="1077">
        <f>Risk_Compensation!$AQ64</f>
        <v>496.62281266692798</v>
      </c>
    </row>
    <row r="5472" spans="1:8" x14ac:dyDescent="0.2">
      <c r="A5472" s="1027"/>
      <c r="B5472" s="1083">
        <f>Risk_Compensation!A$1</f>
        <v>36</v>
      </c>
      <c r="C5472" s="1390" t="str">
        <f>Risk_Compensation!$B$1</f>
        <v xml:space="preserve">Risikoausgleich </v>
      </c>
      <c r="D5472" s="1743" t="str">
        <f>Risk_Compensation!$AJ$14</f>
        <v>geschätzte Risikoausgleichssätze, pro Monat in CHF (ohne Entlastung junge Erwachsene)</v>
      </c>
      <c r="E5472" s="1390">
        <f>Risk_Compensation!$AJ65</f>
        <v>48</v>
      </c>
      <c r="F5472" s="1390" t="str">
        <f>Risk_Compensation!$N$17</f>
        <v>FR</v>
      </c>
      <c r="G5472" s="1390"/>
      <c r="H5472" s="1077">
        <f>Risk_Compensation!$AQ65</f>
        <v>-160.336697470686</v>
      </c>
    </row>
    <row r="5473" spans="1:8" x14ac:dyDescent="0.2">
      <c r="A5473" s="1027"/>
      <c r="B5473" s="1083">
        <f>Risk_Compensation!A$1</f>
        <v>36</v>
      </c>
      <c r="C5473" s="1390" t="str">
        <f>Risk_Compensation!$B$1</f>
        <v xml:space="preserve">Risikoausgleich </v>
      </c>
      <c r="D5473" s="1743" t="str">
        <f>Risk_Compensation!$AJ$14</f>
        <v>geschätzte Risikoausgleichssätze, pro Monat in CHF (ohne Entlastung junge Erwachsene)</v>
      </c>
      <c r="E5473" s="1390">
        <f>Risk_Compensation!$AJ66</f>
        <v>49</v>
      </c>
      <c r="F5473" s="1390" t="str">
        <f>Risk_Compensation!$N$17</f>
        <v>FR</v>
      </c>
      <c r="G5473" s="1390"/>
      <c r="H5473" s="1077">
        <f>Risk_Compensation!$AQ66</f>
        <v>487.95393779804999</v>
      </c>
    </row>
    <row r="5474" spans="1:8" x14ac:dyDescent="0.2">
      <c r="A5474" s="1027"/>
      <c r="B5474" s="1083">
        <f>Risk_Compensation!A$1</f>
        <v>36</v>
      </c>
      <c r="C5474" s="1390" t="str">
        <f>Risk_Compensation!$B$1</f>
        <v xml:space="preserve">Risikoausgleich </v>
      </c>
      <c r="D5474" s="1743" t="str">
        <f>Risk_Compensation!$AJ$14</f>
        <v>geschätzte Risikoausgleichssätze, pro Monat in CHF (ohne Entlastung junge Erwachsene)</v>
      </c>
      <c r="E5474" s="1390">
        <f>Risk_Compensation!$AJ67</f>
        <v>50</v>
      </c>
      <c r="F5474" s="1390" t="str">
        <f>Risk_Compensation!$N$17</f>
        <v>FR</v>
      </c>
      <c r="G5474" s="1390"/>
      <c r="H5474" s="1077">
        <f>Risk_Compensation!$AQ67</f>
        <v>-112.51841631811</v>
      </c>
    </row>
    <row r="5475" spans="1:8" x14ac:dyDescent="0.2">
      <c r="A5475" s="1027"/>
      <c r="B5475" s="1083">
        <f>Risk_Compensation!A$1</f>
        <v>36</v>
      </c>
      <c r="C5475" s="1390" t="str">
        <f>Risk_Compensation!$B$1</f>
        <v xml:space="preserve">Risikoausgleich </v>
      </c>
      <c r="D5475" s="1743" t="str">
        <f>Risk_Compensation!$AJ$14</f>
        <v>geschätzte Risikoausgleichssätze, pro Monat in CHF (ohne Entlastung junge Erwachsene)</v>
      </c>
      <c r="E5475" s="1390">
        <f>Risk_Compensation!$AJ68</f>
        <v>51</v>
      </c>
      <c r="F5475" s="1390" t="str">
        <f>Risk_Compensation!$N$17</f>
        <v>FR</v>
      </c>
      <c r="G5475" s="1390"/>
      <c r="H5475" s="1077">
        <f>Risk_Compensation!$AQ68</f>
        <v>669.98345928308299</v>
      </c>
    </row>
    <row r="5476" spans="1:8" x14ac:dyDescent="0.2">
      <c r="A5476" s="1027"/>
      <c r="B5476" s="1083">
        <f>Risk_Compensation!A$1</f>
        <v>36</v>
      </c>
      <c r="C5476" s="1390" t="str">
        <f>Risk_Compensation!$B$1</f>
        <v xml:space="preserve">Risikoausgleich </v>
      </c>
      <c r="D5476" s="1743" t="str">
        <f>Risk_Compensation!$AJ$14</f>
        <v>geschätzte Risikoausgleichssätze, pro Monat in CHF (ohne Entlastung junge Erwachsene)</v>
      </c>
      <c r="E5476" s="1390">
        <f>Risk_Compensation!$AJ69</f>
        <v>52</v>
      </c>
      <c r="F5476" s="1390" t="str">
        <f>Risk_Compensation!$N$17</f>
        <v>FR</v>
      </c>
      <c r="G5476" s="1390"/>
      <c r="H5476" s="1077">
        <f>Risk_Compensation!$AQ69</f>
        <v>-46.081902691960998</v>
      </c>
    </row>
    <row r="5477" spans="1:8" x14ac:dyDescent="0.2">
      <c r="A5477" s="1027"/>
      <c r="B5477" s="1083">
        <f>Risk_Compensation!A$1</f>
        <v>36</v>
      </c>
      <c r="C5477" s="1390" t="str">
        <f>Risk_Compensation!$B$1</f>
        <v xml:space="preserve">Risikoausgleich </v>
      </c>
      <c r="D5477" s="1743" t="str">
        <f>Risk_Compensation!$AJ$14</f>
        <v>geschätzte Risikoausgleichssätze, pro Monat in CHF (ohne Entlastung junge Erwachsene)</v>
      </c>
      <c r="E5477" s="1390">
        <f>Risk_Compensation!$AJ70</f>
        <v>53</v>
      </c>
      <c r="F5477" s="1390" t="str">
        <f>Risk_Compensation!$N$17</f>
        <v>FR</v>
      </c>
      <c r="G5477" s="1390"/>
      <c r="H5477" s="1077">
        <f>Risk_Compensation!$AQ70</f>
        <v>902.99311166170696</v>
      </c>
    </row>
    <row r="5478" spans="1:8" x14ac:dyDescent="0.2">
      <c r="A5478" s="1027"/>
      <c r="B5478" s="1083">
        <f>Risk_Compensation!A$1</f>
        <v>36</v>
      </c>
      <c r="C5478" s="1390" t="str">
        <f>Risk_Compensation!$B$1</f>
        <v xml:space="preserve">Risikoausgleich </v>
      </c>
      <c r="D5478" s="1743" t="str">
        <f>Risk_Compensation!$AJ$14</f>
        <v>geschätzte Risikoausgleichssätze, pro Monat in CHF (ohne Entlastung junge Erwachsene)</v>
      </c>
      <c r="E5478" s="1390">
        <f>Risk_Compensation!$AJ71</f>
        <v>54</v>
      </c>
      <c r="F5478" s="1390" t="str">
        <f>Risk_Compensation!$N$17</f>
        <v>FR</v>
      </c>
      <c r="G5478" s="1390"/>
      <c r="H5478" s="1077">
        <f>Risk_Compensation!$AQ71</f>
        <v>24.583297476000698</v>
      </c>
    </row>
    <row r="5479" spans="1:8" x14ac:dyDescent="0.2">
      <c r="A5479" s="1027"/>
      <c r="B5479" s="1083">
        <f>Risk_Compensation!A$1</f>
        <v>36</v>
      </c>
      <c r="C5479" s="1390" t="str">
        <f>Risk_Compensation!$B$1</f>
        <v xml:space="preserve">Risikoausgleich </v>
      </c>
      <c r="D5479" s="1743" t="str">
        <f>Risk_Compensation!$AJ$14</f>
        <v>geschätzte Risikoausgleichssätze, pro Monat in CHF (ohne Entlastung junge Erwachsene)</v>
      </c>
      <c r="E5479" s="1390">
        <f>Risk_Compensation!$AJ72</f>
        <v>55</v>
      </c>
      <c r="F5479" s="1390" t="str">
        <f>Risk_Compensation!$N$17</f>
        <v>FR</v>
      </c>
      <c r="G5479" s="1390"/>
      <c r="H5479" s="1077">
        <f>Risk_Compensation!$AQ72</f>
        <v>1245.6766252930099</v>
      </c>
    </row>
    <row r="5480" spans="1:8" x14ac:dyDescent="0.2">
      <c r="A5480" s="1027"/>
      <c r="B5480" s="1083">
        <f>Risk_Compensation!A$1</f>
        <v>36</v>
      </c>
      <c r="C5480" s="1390" t="str">
        <f>Risk_Compensation!$B$1</f>
        <v xml:space="preserve">Risikoausgleich </v>
      </c>
      <c r="D5480" s="1743" t="str">
        <f>Risk_Compensation!$AJ$14</f>
        <v>geschätzte Risikoausgleichssätze, pro Monat in CHF (ohne Entlastung junge Erwachsene)</v>
      </c>
      <c r="E5480" s="1390">
        <f>Risk_Compensation!$AJ73</f>
        <v>56</v>
      </c>
      <c r="F5480" s="1390" t="str">
        <f>Risk_Compensation!$N$17</f>
        <v>FR</v>
      </c>
      <c r="G5480" s="1390"/>
      <c r="H5480" s="1077">
        <f>Risk_Compensation!$AQ73</f>
        <v>94.278777491434894</v>
      </c>
    </row>
    <row r="5481" spans="1:8" x14ac:dyDescent="0.2">
      <c r="A5481" s="1027"/>
      <c r="B5481" s="1083">
        <f>Risk_Compensation!A$1</f>
        <v>36</v>
      </c>
      <c r="C5481" s="1390" t="str">
        <f>Risk_Compensation!$B$1</f>
        <v xml:space="preserve">Risikoausgleich </v>
      </c>
      <c r="D5481" s="1743" t="str">
        <f>Risk_Compensation!$AJ$14</f>
        <v>geschätzte Risikoausgleichssätze, pro Monat in CHF (ohne Entlastung junge Erwachsene)</v>
      </c>
      <c r="E5481" s="1390">
        <f>Risk_Compensation!$AJ74</f>
        <v>57</v>
      </c>
      <c r="F5481" s="1390" t="str">
        <f>Risk_Compensation!$N$17</f>
        <v>FR</v>
      </c>
      <c r="G5481" s="1390"/>
      <c r="H5481" s="1077">
        <f>Risk_Compensation!$AQ74</f>
        <v>1423.15448599808</v>
      </c>
    </row>
    <row r="5482" spans="1:8" x14ac:dyDescent="0.2">
      <c r="A5482" s="1027"/>
      <c r="B5482" s="1083">
        <f>Risk_Compensation!A$1</f>
        <v>36</v>
      </c>
      <c r="C5482" s="1390" t="str">
        <f>Risk_Compensation!$B$1</f>
        <v xml:space="preserve">Risikoausgleich </v>
      </c>
      <c r="D5482" s="1743" t="str">
        <f>Risk_Compensation!$AJ$14</f>
        <v>geschätzte Risikoausgleichssätze, pro Monat in CHF (ohne Entlastung junge Erwachsene)</v>
      </c>
      <c r="E5482" s="1390">
        <f>Risk_Compensation!$AJ75</f>
        <v>58</v>
      </c>
      <c r="F5482" s="1390" t="str">
        <f>Risk_Compensation!$N$17</f>
        <v>FR</v>
      </c>
      <c r="G5482" s="1390"/>
      <c r="H5482" s="1077">
        <f>Risk_Compensation!$AQ75</f>
        <v>306.87092127991002</v>
      </c>
    </row>
    <row r="5483" spans="1:8" x14ac:dyDescent="0.2">
      <c r="A5483" s="1027"/>
      <c r="B5483" s="1083">
        <f>Risk_Compensation!A$1</f>
        <v>36</v>
      </c>
      <c r="C5483" s="1390" t="str">
        <f>Risk_Compensation!$B$1</f>
        <v xml:space="preserve">Risikoausgleich </v>
      </c>
      <c r="D5483" s="1743" t="str">
        <f>Risk_Compensation!$AJ$14</f>
        <v>geschätzte Risikoausgleichssätze, pro Monat in CHF (ohne Entlastung junge Erwachsene)</v>
      </c>
      <c r="E5483" s="1390">
        <f>Risk_Compensation!$AJ76</f>
        <v>59</v>
      </c>
      <c r="F5483" s="1390" t="str">
        <f>Risk_Compensation!$N$17</f>
        <v>FR</v>
      </c>
      <c r="G5483" s="1390"/>
      <c r="H5483" s="1077">
        <f>Risk_Compensation!$AQ76</f>
        <v>1732.0250424681301</v>
      </c>
    </row>
    <row r="5484" spans="1:8" x14ac:dyDescent="0.2">
      <c r="A5484" s="1027"/>
      <c r="B5484" s="1083">
        <f>Risk_Compensation!A$1</f>
        <v>36</v>
      </c>
      <c r="C5484" s="1390" t="str">
        <f>Risk_Compensation!$B$1</f>
        <v xml:space="preserve">Risikoausgleich </v>
      </c>
      <c r="D5484" s="1743" t="str">
        <f>Risk_Compensation!$AJ$14</f>
        <v>geschätzte Risikoausgleichssätze, pro Monat in CHF (ohne Entlastung junge Erwachsene)</v>
      </c>
      <c r="E5484" s="1390">
        <f>Risk_Compensation!$AJ77</f>
        <v>60</v>
      </c>
      <c r="F5484" s="1390" t="str">
        <f>Risk_Compensation!$N$17</f>
        <v>FR</v>
      </c>
      <c r="G5484" s="1390"/>
      <c r="H5484" s="1077">
        <f>Risk_Compensation!$AQ77</f>
        <v>606.41774866275102</v>
      </c>
    </row>
    <row r="5485" spans="1:8" x14ac:dyDescent="0.2">
      <c r="A5485" s="1027"/>
      <c r="B5485" s="2174"/>
      <c r="C5485" s="1390"/>
      <c r="D5485" s="2175"/>
      <c r="E5485" s="2176"/>
      <c r="F5485" s="1390"/>
      <c r="G5485" s="1390"/>
      <c r="H5485" s="1078"/>
    </row>
    <row r="5486" spans="1:8" x14ac:dyDescent="0.2">
      <c r="A5486" s="1027"/>
      <c r="B5486" s="1083">
        <f>Risk_Compensation!A$1</f>
        <v>36</v>
      </c>
      <c r="C5486" s="1390" t="str">
        <f>Risk_Compensation!$B$1</f>
        <v xml:space="preserve">Risikoausgleich </v>
      </c>
      <c r="D5486" s="1743" t="str">
        <f>Risk_Compensation!$AJ$14</f>
        <v>geschätzte Risikoausgleichssätze, pro Monat in CHF (ohne Entlastung junge Erwachsene)</v>
      </c>
      <c r="E5486" s="1390">
        <f>Risk_Compensation!$AJ18</f>
        <v>1</v>
      </c>
      <c r="F5486" s="1390" t="str">
        <f>Risk_Compensation!$O$17</f>
        <v>GE</v>
      </c>
      <c r="G5486" s="1390"/>
      <c r="H5486" s="1077">
        <f>Risk_Compensation!$AR18</f>
        <v>244.277775823181</v>
      </c>
    </row>
    <row r="5487" spans="1:8" x14ac:dyDescent="0.2">
      <c r="A5487" s="1027"/>
      <c r="B5487" s="1083">
        <f>Risk_Compensation!A$1</f>
        <v>36</v>
      </c>
      <c r="C5487" s="1390" t="str">
        <f>Risk_Compensation!$B$1</f>
        <v xml:space="preserve">Risikoausgleich </v>
      </c>
      <c r="D5487" s="1743" t="str">
        <f>Risk_Compensation!$AJ$14</f>
        <v>geschätzte Risikoausgleichssätze, pro Monat in CHF (ohne Entlastung junge Erwachsene)</v>
      </c>
      <c r="E5487" s="1390">
        <f>Risk_Compensation!$AJ19</f>
        <v>2</v>
      </c>
      <c r="F5487" s="1390" t="str">
        <f>Risk_Compensation!$O$17</f>
        <v>GE</v>
      </c>
      <c r="G5487" s="1390"/>
      <c r="H5487" s="1077">
        <f>Risk_Compensation!$AR19</f>
        <v>-394.73625769499898</v>
      </c>
    </row>
    <row r="5488" spans="1:8" x14ac:dyDescent="0.2">
      <c r="A5488" s="1027"/>
      <c r="B5488" s="1083">
        <f>Risk_Compensation!A$1</f>
        <v>36</v>
      </c>
      <c r="C5488" s="1390" t="str">
        <f>Risk_Compensation!$B$1</f>
        <v xml:space="preserve">Risikoausgleich </v>
      </c>
      <c r="D5488" s="1743" t="str">
        <f>Risk_Compensation!$AJ$14</f>
        <v>geschätzte Risikoausgleichssätze, pro Monat in CHF (ohne Entlastung junge Erwachsene)</v>
      </c>
      <c r="E5488" s="1390">
        <f>Risk_Compensation!$AJ20</f>
        <v>3</v>
      </c>
      <c r="F5488" s="1390" t="str">
        <f>Risk_Compensation!$O$17</f>
        <v>GE</v>
      </c>
      <c r="G5488" s="1390"/>
      <c r="H5488" s="1077">
        <f>Risk_Compensation!$AR20</f>
        <v>392.601627246899</v>
      </c>
    </row>
    <row r="5489" spans="1:8" x14ac:dyDescent="0.2">
      <c r="A5489" s="1027"/>
      <c r="B5489" s="1083">
        <f>Risk_Compensation!A$1</f>
        <v>36</v>
      </c>
      <c r="C5489" s="1390" t="str">
        <f>Risk_Compensation!$B$1</f>
        <v xml:space="preserve">Risikoausgleich </v>
      </c>
      <c r="D5489" s="1743" t="str">
        <f>Risk_Compensation!$AJ$14</f>
        <v>geschätzte Risikoausgleichssätze, pro Monat in CHF (ohne Entlastung junge Erwachsene)</v>
      </c>
      <c r="E5489" s="1390">
        <f>Risk_Compensation!$AJ21</f>
        <v>4</v>
      </c>
      <c r="F5489" s="1390" t="str">
        <f>Risk_Compensation!$O$17</f>
        <v>GE</v>
      </c>
      <c r="G5489" s="1390"/>
      <c r="H5489" s="1077">
        <f>Risk_Compensation!$AR21</f>
        <v>-400.75344968121999</v>
      </c>
    </row>
    <row r="5490" spans="1:8" x14ac:dyDescent="0.2">
      <c r="A5490" s="1027"/>
      <c r="B5490" s="1083">
        <f>Risk_Compensation!A$1</f>
        <v>36</v>
      </c>
      <c r="C5490" s="1390" t="str">
        <f>Risk_Compensation!$B$1</f>
        <v xml:space="preserve">Risikoausgleich </v>
      </c>
      <c r="D5490" s="1743" t="str">
        <f>Risk_Compensation!$AJ$14</f>
        <v>geschätzte Risikoausgleichssätze, pro Monat in CHF (ohne Entlastung junge Erwachsene)</v>
      </c>
      <c r="E5490" s="1390">
        <f>Risk_Compensation!$AJ22</f>
        <v>5</v>
      </c>
      <c r="F5490" s="1390" t="str">
        <f>Risk_Compensation!$O$17</f>
        <v>GE</v>
      </c>
      <c r="G5490" s="1390"/>
      <c r="H5490" s="1077">
        <f>Risk_Compensation!$AR22</f>
        <v>224.652051466393</v>
      </c>
    </row>
    <row r="5491" spans="1:8" x14ac:dyDescent="0.2">
      <c r="A5491" s="1027"/>
      <c r="B5491" s="1083">
        <f>Risk_Compensation!A$1</f>
        <v>36</v>
      </c>
      <c r="C5491" s="1390" t="str">
        <f>Risk_Compensation!$B$1</f>
        <v xml:space="preserve">Risikoausgleich </v>
      </c>
      <c r="D5491" s="1743" t="str">
        <f>Risk_Compensation!$AJ$14</f>
        <v>geschätzte Risikoausgleichssätze, pro Monat in CHF (ohne Entlastung junge Erwachsene)</v>
      </c>
      <c r="E5491" s="1390">
        <f>Risk_Compensation!$AJ23</f>
        <v>6</v>
      </c>
      <c r="F5491" s="1390" t="str">
        <f>Risk_Compensation!$O$17</f>
        <v>GE</v>
      </c>
      <c r="G5491" s="1390"/>
      <c r="H5491" s="1077">
        <f>Risk_Compensation!$AR23</f>
        <v>-401.74326625359498</v>
      </c>
    </row>
    <row r="5492" spans="1:8" x14ac:dyDescent="0.2">
      <c r="A5492" s="1027"/>
      <c r="B5492" s="1083">
        <f>Risk_Compensation!A$1</f>
        <v>36</v>
      </c>
      <c r="C5492" s="1390" t="str">
        <f>Risk_Compensation!$B$1</f>
        <v xml:space="preserve">Risikoausgleich </v>
      </c>
      <c r="D5492" s="1743" t="str">
        <f>Risk_Compensation!$AJ$14</f>
        <v>geschätzte Risikoausgleichssätze, pro Monat in CHF (ohne Entlastung junge Erwachsene)</v>
      </c>
      <c r="E5492" s="1390">
        <f>Risk_Compensation!$AJ24</f>
        <v>7</v>
      </c>
      <c r="F5492" s="1390" t="str">
        <f>Risk_Compensation!$O$17</f>
        <v>GE</v>
      </c>
      <c r="G5492" s="1390"/>
      <c r="H5492" s="1077">
        <f>Risk_Compensation!$AR24</f>
        <v>357.56355629151102</v>
      </c>
    </row>
    <row r="5493" spans="1:8" x14ac:dyDescent="0.2">
      <c r="A5493" s="1027"/>
      <c r="B5493" s="1083">
        <f>Risk_Compensation!A$1</f>
        <v>36</v>
      </c>
      <c r="C5493" s="1390" t="str">
        <f>Risk_Compensation!$B$1</f>
        <v xml:space="preserve">Risikoausgleich </v>
      </c>
      <c r="D5493" s="1743" t="str">
        <f>Risk_Compensation!$AJ$14</f>
        <v>geschätzte Risikoausgleichssätze, pro Monat in CHF (ohne Entlastung junge Erwachsene)</v>
      </c>
      <c r="E5493" s="1390">
        <f>Risk_Compensation!$AJ25</f>
        <v>8</v>
      </c>
      <c r="F5493" s="1390" t="str">
        <f>Risk_Compensation!$O$17</f>
        <v>GE</v>
      </c>
      <c r="G5493" s="1390"/>
      <c r="H5493" s="1077">
        <f>Risk_Compensation!$AR25</f>
        <v>-384.35688303445801</v>
      </c>
    </row>
    <row r="5494" spans="1:8" x14ac:dyDescent="0.2">
      <c r="A5494" s="1027"/>
      <c r="B5494" s="1083">
        <f>Risk_Compensation!A$1</f>
        <v>36</v>
      </c>
      <c r="C5494" s="1390" t="str">
        <f>Risk_Compensation!$B$1</f>
        <v xml:space="preserve">Risikoausgleich </v>
      </c>
      <c r="D5494" s="1743" t="str">
        <f>Risk_Compensation!$AJ$14</f>
        <v>geschätzte Risikoausgleichssätze, pro Monat in CHF (ohne Entlastung junge Erwachsene)</v>
      </c>
      <c r="E5494" s="1390">
        <f>Risk_Compensation!$AJ26</f>
        <v>9</v>
      </c>
      <c r="F5494" s="1390" t="str">
        <f>Risk_Compensation!$O$17</f>
        <v>GE</v>
      </c>
      <c r="G5494" s="1390"/>
      <c r="H5494" s="1077">
        <f>Risk_Compensation!$AR26</f>
        <v>925.28342425680501</v>
      </c>
    </row>
    <row r="5495" spans="1:8" x14ac:dyDescent="0.2">
      <c r="A5495" s="1027"/>
      <c r="B5495" s="1083">
        <f>Risk_Compensation!A$1</f>
        <v>36</v>
      </c>
      <c r="C5495" s="1390" t="str">
        <f>Risk_Compensation!$B$1</f>
        <v xml:space="preserve">Risikoausgleich </v>
      </c>
      <c r="D5495" s="1743" t="str">
        <f>Risk_Compensation!$AJ$14</f>
        <v>geschätzte Risikoausgleichssätze, pro Monat in CHF (ohne Entlastung junge Erwachsene)</v>
      </c>
      <c r="E5495" s="1390">
        <f>Risk_Compensation!$AJ27</f>
        <v>10</v>
      </c>
      <c r="F5495" s="1390" t="str">
        <f>Risk_Compensation!$O$17</f>
        <v>GE</v>
      </c>
      <c r="G5495" s="1390"/>
      <c r="H5495" s="1077">
        <f>Risk_Compensation!$AR27</f>
        <v>-376.80125863637602</v>
      </c>
    </row>
    <row r="5496" spans="1:8" x14ac:dyDescent="0.2">
      <c r="A5496" s="1027"/>
      <c r="B5496" s="1083">
        <f>Risk_Compensation!A$1</f>
        <v>36</v>
      </c>
      <c r="C5496" s="1390" t="str">
        <f>Risk_Compensation!$B$1</f>
        <v xml:space="preserve">Risikoausgleich </v>
      </c>
      <c r="D5496" s="1743" t="str">
        <f>Risk_Compensation!$AJ$14</f>
        <v>geschätzte Risikoausgleichssätze, pro Monat in CHF (ohne Entlastung junge Erwachsene)</v>
      </c>
      <c r="E5496" s="1390">
        <f>Risk_Compensation!$AJ28</f>
        <v>11</v>
      </c>
      <c r="F5496" s="1390" t="str">
        <f>Risk_Compensation!$O$17</f>
        <v>GE</v>
      </c>
      <c r="G5496" s="1390"/>
      <c r="H5496" s="1077">
        <f>Risk_Compensation!$AR28</f>
        <v>550.588156976611</v>
      </c>
    </row>
    <row r="5497" spans="1:8" x14ac:dyDescent="0.2">
      <c r="A5497" s="1027"/>
      <c r="B5497" s="1083">
        <f>Risk_Compensation!A$1</f>
        <v>36</v>
      </c>
      <c r="C5497" s="1390" t="str">
        <f>Risk_Compensation!$B$1</f>
        <v xml:space="preserve">Risikoausgleich </v>
      </c>
      <c r="D5497" s="1743" t="str">
        <f>Risk_Compensation!$AJ$14</f>
        <v>geschätzte Risikoausgleichssätze, pro Monat in CHF (ohne Entlastung junge Erwachsene)</v>
      </c>
      <c r="E5497" s="1390">
        <f>Risk_Compensation!$AJ29</f>
        <v>12</v>
      </c>
      <c r="F5497" s="1390" t="str">
        <f>Risk_Compensation!$O$17</f>
        <v>GE</v>
      </c>
      <c r="G5497" s="1390"/>
      <c r="H5497" s="1077">
        <f>Risk_Compensation!$AR29</f>
        <v>-342.23368733020698</v>
      </c>
    </row>
    <row r="5498" spans="1:8" x14ac:dyDescent="0.2">
      <c r="A5498" s="1027"/>
      <c r="B5498" s="1083">
        <f>Risk_Compensation!A$1</f>
        <v>36</v>
      </c>
      <c r="C5498" s="1390" t="str">
        <f>Risk_Compensation!$B$1</f>
        <v xml:space="preserve">Risikoausgleich </v>
      </c>
      <c r="D5498" s="1743" t="str">
        <f>Risk_Compensation!$AJ$14</f>
        <v>geschätzte Risikoausgleichssätze, pro Monat in CHF (ohne Entlastung junge Erwachsene)</v>
      </c>
      <c r="E5498" s="1390">
        <f>Risk_Compensation!$AJ30</f>
        <v>13</v>
      </c>
      <c r="F5498" s="1390" t="str">
        <f>Risk_Compensation!$O$17</f>
        <v>GE</v>
      </c>
      <c r="G5498" s="1390"/>
      <c r="H5498" s="1077">
        <f>Risk_Compensation!$AR30</f>
        <v>720.54105149497798</v>
      </c>
    </row>
    <row r="5499" spans="1:8" x14ac:dyDescent="0.2">
      <c r="A5499" s="1027"/>
      <c r="B5499" s="1083">
        <f>Risk_Compensation!A$1</f>
        <v>36</v>
      </c>
      <c r="C5499" s="1390" t="str">
        <f>Risk_Compensation!$B$1</f>
        <v xml:space="preserve">Risikoausgleich </v>
      </c>
      <c r="D5499" s="1743" t="str">
        <f>Risk_Compensation!$AJ$14</f>
        <v>geschätzte Risikoausgleichssätze, pro Monat in CHF (ohne Entlastung junge Erwachsene)</v>
      </c>
      <c r="E5499" s="1390">
        <f>Risk_Compensation!$AJ31</f>
        <v>14</v>
      </c>
      <c r="F5499" s="1390" t="str">
        <f>Risk_Compensation!$O$17</f>
        <v>GE</v>
      </c>
      <c r="G5499" s="1390"/>
      <c r="H5499" s="1077">
        <f>Risk_Compensation!$AR31</f>
        <v>-310.50552584880501</v>
      </c>
    </row>
    <row r="5500" spans="1:8" x14ac:dyDescent="0.2">
      <c r="A5500" s="1027"/>
      <c r="B5500" s="1083">
        <f>Risk_Compensation!A$1</f>
        <v>36</v>
      </c>
      <c r="C5500" s="1390" t="str">
        <f>Risk_Compensation!$B$1</f>
        <v xml:space="preserve">Risikoausgleich </v>
      </c>
      <c r="D5500" s="1743" t="str">
        <f>Risk_Compensation!$AJ$14</f>
        <v>geschätzte Risikoausgleichssätze, pro Monat in CHF (ohne Entlastung junge Erwachsene)</v>
      </c>
      <c r="E5500" s="1390">
        <f>Risk_Compensation!$AJ32</f>
        <v>15</v>
      </c>
      <c r="F5500" s="1390" t="str">
        <f>Risk_Compensation!$O$17</f>
        <v>GE</v>
      </c>
      <c r="G5500" s="1390"/>
      <c r="H5500" s="1077">
        <f>Risk_Compensation!$AR32</f>
        <v>599.014205173655</v>
      </c>
    </row>
    <row r="5501" spans="1:8" x14ac:dyDescent="0.2">
      <c r="A5501" s="1027"/>
      <c r="B5501" s="1083">
        <f>Risk_Compensation!A$1</f>
        <v>36</v>
      </c>
      <c r="C5501" s="1390" t="str">
        <f>Risk_Compensation!$B$1</f>
        <v xml:space="preserve">Risikoausgleich </v>
      </c>
      <c r="D5501" s="1743" t="str">
        <f>Risk_Compensation!$AJ$14</f>
        <v>geschätzte Risikoausgleichssätze, pro Monat in CHF (ohne Entlastung junge Erwachsene)</v>
      </c>
      <c r="E5501" s="1390">
        <f>Risk_Compensation!$AJ33</f>
        <v>16</v>
      </c>
      <c r="F5501" s="1390" t="str">
        <f>Risk_Compensation!$O$17</f>
        <v>GE</v>
      </c>
      <c r="G5501" s="1390"/>
      <c r="H5501" s="1077">
        <f>Risk_Compensation!$AR33</f>
        <v>-268.00525083932598</v>
      </c>
    </row>
    <row r="5502" spans="1:8" x14ac:dyDescent="0.2">
      <c r="A5502" s="1027"/>
      <c r="B5502" s="1083">
        <f>Risk_Compensation!A$1</f>
        <v>36</v>
      </c>
      <c r="C5502" s="1390" t="str">
        <f>Risk_Compensation!$B$1</f>
        <v xml:space="preserve">Risikoausgleich </v>
      </c>
      <c r="D5502" s="1743" t="str">
        <f>Risk_Compensation!$AJ$14</f>
        <v>geschätzte Risikoausgleichssätze, pro Monat in CHF (ohne Entlastung junge Erwachsene)</v>
      </c>
      <c r="E5502" s="1390">
        <f>Risk_Compensation!$AJ34</f>
        <v>17</v>
      </c>
      <c r="F5502" s="1390" t="str">
        <f>Risk_Compensation!$O$17</f>
        <v>GE</v>
      </c>
      <c r="G5502" s="1390"/>
      <c r="H5502" s="1077">
        <f>Risk_Compensation!$AR34</f>
        <v>863.51772072770905</v>
      </c>
    </row>
    <row r="5503" spans="1:8" x14ac:dyDescent="0.2">
      <c r="A5503" s="1027"/>
      <c r="B5503" s="1083">
        <f>Risk_Compensation!A$1</f>
        <v>36</v>
      </c>
      <c r="C5503" s="1390" t="str">
        <f>Risk_Compensation!$B$1</f>
        <v xml:space="preserve">Risikoausgleich </v>
      </c>
      <c r="D5503" s="1743" t="str">
        <f>Risk_Compensation!$AJ$14</f>
        <v>geschätzte Risikoausgleichssätze, pro Monat in CHF (ohne Entlastung junge Erwachsene)</v>
      </c>
      <c r="E5503" s="1390">
        <f>Risk_Compensation!$AJ35</f>
        <v>18</v>
      </c>
      <c r="F5503" s="1390" t="str">
        <f>Risk_Compensation!$O$17</f>
        <v>GE</v>
      </c>
      <c r="G5503" s="1390"/>
      <c r="H5503" s="1077">
        <f>Risk_Compensation!$AR35</f>
        <v>-178.332254057635</v>
      </c>
    </row>
    <row r="5504" spans="1:8" x14ac:dyDescent="0.2">
      <c r="A5504" s="1027"/>
      <c r="B5504" s="1083">
        <f>Risk_Compensation!A$1</f>
        <v>36</v>
      </c>
      <c r="C5504" s="1390" t="str">
        <f>Risk_Compensation!$B$1</f>
        <v xml:space="preserve">Risikoausgleich </v>
      </c>
      <c r="D5504" s="1743" t="str">
        <f>Risk_Compensation!$AJ$14</f>
        <v>geschätzte Risikoausgleichssätze, pro Monat in CHF (ohne Entlastung junge Erwachsene)</v>
      </c>
      <c r="E5504" s="1390">
        <f>Risk_Compensation!$AJ36</f>
        <v>19</v>
      </c>
      <c r="F5504" s="1390" t="str">
        <f>Risk_Compensation!$O$17</f>
        <v>GE</v>
      </c>
      <c r="G5504" s="1390"/>
      <c r="H5504" s="1077">
        <f>Risk_Compensation!$AR36</f>
        <v>1062.6898469632999</v>
      </c>
    </row>
    <row r="5505" spans="1:8" x14ac:dyDescent="0.2">
      <c r="A5505" s="1027"/>
      <c r="B5505" s="1083">
        <f>Risk_Compensation!A$1</f>
        <v>36</v>
      </c>
      <c r="C5505" s="1390" t="str">
        <f>Risk_Compensation!$B$1</f>
        <v xml:space="preserve">Risikoausgleich </v>
      </c>
      <c r="D5505" s="1743" t="str">
        <f>Risk_Compensation!$AJ$14</f>
        <v>geschätzte Risikoausgleichssätze, pro Monat in CHF (ohne Entlastung junge Erwachsene)</v>
      </c>
      <c r="E5505" s="1390">
        <f>Risk_Compensation!$AJ37</f>
        <v>20</v>
      </c>
      <c r="F5505" s="1390" t="str">
        <f>Risk_Compensation!$O$17</f>
        <v>GE</v>
      </c>
      <c r="G5505" s="1390"/>
      <c r="H5505" s="1077">
        <f>Risk_Compensation!$AR37</f>
        <v>-82.979305618357301</v>
      </c>
    </row>
    <row r="5506" spans="1:8" x14ac:dyDescent="0.2">
      <c r="A5506" s="1027"/>
      <c r="B5506" s="1083">
        <f>Risk_Compensation!A$1</f>
        <v>36</v>
      </c>
      <c r="C5506" s="1390" t="str">
        <f>Risk_Compensation!$B$1</f>
        <v xml:space="preserve">Risikoausgleich </v>
      </c>
      <c r="D5506" s="1743" t="str">
        <f>Risk_Compensation!$AJ$14</f>
        <v>geschätzte Risikoausgleichssätze, pro Monat in CHF (ohne Entlastung junge Erwachsene)</v>
      </c>
      <c r="E5506" s="1390">
        <f>Risk_Compensation!$AJ38</f>
        <v>21</v>
      </c>
      <c r="F5506" s="1390" t="str">
        <f>Risk_Compensation!$O$17</f>
        <v>GE</v>
      </c>
      <c r="G5506" s="1390"/>
      <c r="H5506" s="1077">
        <f>Risk_Compensation!$AR38</f>
        <v>1330.6215621730501</v>
      </c>
    </row>
    <row r="5507" spans="1:8" x14ac:dyDescent="0.2">
      <c r="A5507" s="1027"/>
      <c r="B5507" s="1083">
        <f>Risk_Compensation!A$1</f>
        <v>36</v>
      </c>
      <c r="C5507" s="1390" t="str">
        <f>Risk_Compensation!$B$1</f>
        <v xml:space="preserve">Risikoausgleich </v>
      </c>
      <c r="D5507" s="1743" t="str">
        <f>Risk_Compensation!$AJ$14</f>
        <v>geschätzte Risikoausgleichssätze, pro Monat in CHF (ohne Entlastung junge Erwachsene)</v>
      </c>
      <c r="E5507" s="1390">
        <f>Risk_Compensation!$AJ39</f>
        <v>22</v>
      </c>
      <c r="F5507" s="1390" t="str">
        <f>Risk_Compensation!$O$17</f>
        <v>GE</v>
      </c>
      <c r="G5507" s="1390"/>
      <c r="H5507" s="1077">
        <f>Risk_Compensation!$AR39</f>
        <v>-2.8724213813647999</v>
      </c>
    </row>
    <row r="5508" spans="1:8" x14ac:dyDescent="0.2">
      <c r="A5508" s="1027"/>
      <c r="B5508" s="1083">
        <f>Risk_Compensation!A$1</f>
        <v>36</v>
      </c>
      <c r="C5508" s="1390" t="str">
        <f>Risk_Compensation!$B$1</f>
        <v xml:space="preserve">Risikoausgleich </v>
      </c>
      <c r="D5508" s="1743" t="str">
        <f>Risk_Compensation!$AJ$14</f>
        <v>geschätzte Risikoausgleichssätze, pro Monat in CHF (ohne Entlastung junge Erwachsene)</v>
      </c>
      <c r="E5508" s="1390">
        <f>Risk_Compensation!$AJ40</f>
        <v>23</v>
      </c>
      <c r="F5508" s="1390" t="str">
        <f>Risk_Compensation!$O$17</f>
        <v>GE</v>
      </c>
      <c r="G5508" s="1390"/>
      <c r="H5508" s="1077">
        <f>Risk_Compensation!$AR40</f>
        <v>1266.67893538056</v>
      </c>
    </row>
    <row r="5509" spans="1:8" x14ac:dyDescent="0.2">
      <c r="A5509" s="1027"/>
      <c r="B5509" s="1083">
        <f>Risk_Compensation!A$1</f>
        <v>36</v>
      </c>
      <c r="C5509" s="1390" t="str">
        <f>Risk_Compensation!$B$1</f>
        <v xml:space="preserve">Risikoausgleich </v>
      </c>
      <c r="D5509" s="1743" t="str">
        <f>Risk_Compensation!$AJ$14</f>
        <v>geschätzte Risikoausgleichssätze, pro Monat in CHF (ohne Entlastung junge Erwachsene)</v>
      </c>
      <c r="E5509" s="1390">
        <f>Risk_Compensation!$AJ41</f>
        <v>24</v>
      </c>
      <c r="F5509" s="1390" t="str">
        <f>Risk_Compensation!$O$17</f>
        <v>GE</v>
      </c>
      <c r="G5509" s="1390"/>
      <c r="H5509" s="1077">
        <f>Risk_Compensation!$AR41</f>
        <v>132.37369429567599</v>
      </c>
    </row>
    <row r="5510" spans="1:8" x14ac:dyDescent="0.2">
      <c r="A5510" s="1027"/>
      <c r="B5510" s="1083">
        <f>Risk_Compensation!A$1</f>
        <v>36</v>
      </c>
      <c r="C5510" s="1390" t="str">
        <f>Risk_Compensation!$B$1</f>
        <v xml:space="preserve">Risikoausgleich </v>
      </c>
      <c r="D5510" s="1743" t="str">
        <f>Risk_Compensation!$AJ$14</f>
        <v>geschätzte Risikoausgleichssätze, pro Monat in CHF (ohne Entlastung junge Erwachsene)</v>
      </c>
      <c r="E5510" s="1390">
        <f>Risk_Compensation!$AJ42</f>
        <v>25</v>
      </c>
      <c r="F5510" s="1390" t="str">
        <f>Risk_Compensation!$O$17</f>
        <v>GE</v>
      </c>
      <c r="G5510" s="1390"/>
      <c r="H5510" s="1077">
        <f>Risk_Compensation!$AR42</f>
        <v>1450.5677106657499</v>
      </c>
    </row>
    <row r="5511" spans="1:8" x14ac:dyDescent="0.2">
      <c r="A5511" s="1027"/>
      <c r="B5511" s="1083">
        <f>Risk_Compensation!A$1</f>
        <v>36</v>
      </c>
      <c r="C5511" s="1390" t="str">
        <f>Risk_Compensation!$B$1</f>
        <v xml:space="preserve">Risikoausgleich </v>
      </c>
      <c r="D5511" s="1743" t="str">
        <f>Risk_Compensation!$AJ$14</f>
        <v>geschätzte Risikoausgleichssätze, pro Monat in CHF (ohne Entlastung junge Erwachsene)</v>
      </c>
      <c r="E5511" s="1390">
        <f>Risk_Compensation!$AJ43</f>
        <v>26</v>
      </c>
      <c r="F5511" s="1390" t="str">
        <f>Risk_Compensation!$O$17</f>
        <v>GE</v>
      </c>
      <c r="G5511" s="1390"/>
      <c r="H5511" s="1077">
        <f>Risk_Compensation!$AR43</f>
        <v>243.19129557064201</v>
      </c>
    </row>
    <row r="5512" spans="1:8" x14ac:dyDescent="0.2">
      <c r="A5512" s="1027"/>
      <c r="B5512" s="1083">
        <f>Risk_Compensation!A$1</f>
        <v>36</v>
      </c>
      <c r="C5512" s="1390" t="str">
        <f>Risk_Compensation!$B$1</f>
        <v xml:space="preserve">Risikoausgleich </v>
      </c>
      <c r="D5512" s="1743" t="str">
        <f>Risk_Compensation!$AJ$14</f>
        <v>geschätzte Risikoausgleichssätze, pro Monat in CHF (ohne Entlastung junge Erwachsene)</v>
      </c>
      <c r="E5512" s="1390">
        <f>Risk_Compensation!$AJ44</f>
        <v>27</v>
      </c>
      <c r="F5512" s="1390" t="str">
        <f>Risk_Compensation!$O$17</f>
        <v>GE</v>
      </c>
      <c r="G5512" s="1390"/>
      <c r="H5512" s="1077">
        <f>Risk_Compensation!$AR44</f>
        <v>2062.3283525708498</v>
      </c>
    </row>
    <row r="5513" spans="1:8" x14ac:dyDescent="0.2">
      <c r="A5513" s="1027"/>
      <c r="B5513" s="1083">
        <f>Risk_Compensation!A$1</f>
        <v>36</v>
      </c>
      <c r="C5513" s="1390" t="str">
        <f>Risk_Compensation!$B$1</f>
        <v xml:space="preserve">Risikoausgleich </v>
      </c>
      <c r="D5513" s="1743" t="str">
        <f>Risk_Compensation!$AJ$14</f>
        <v>geschätzte Risikoausgleichssätze, pro Monat in CHF (ohne Entlastung junge Erwachsene)</v>
      </c>
      <c r="E5513" s="1390">
        <f>Risk_Compensation!$AJ45</f>
        <v>28</v>
      </c>
      <c r="F5513" s="1390" t="str">
        <f>Risk_Compensation!$O$17</f>
        <v>GE</v>
      </c>
      <c r="G5513" s="1390"/>
      <c r="H5513" s="1077">
        <f>Risk_Compensation!$AR45</f>
        <v>459.58248400660898</v>
      </c>
    </row>
    <row r="5514" spans="1:8" x14ac:dyDescent="0.2">
      <c r="A5514" s="1027"/>
      <c r="B5514" s="1083">
        <f>Risk_Compensation!A$1</f>
        <v>36</v>
      </c>
      <c r="C5514" s="1390" t="str">
        <f>Risk_Compensation!$B$1</f>
        <v xml:space="preserve">Risikoausgleich </v>
      </c>
      <c r="D5514" s="1743" t="str">
        <f>Risk_Compensation!$AJ$14</f>
        <v>geschätzte Risikoausgleichssätze, pro Monat in CHF (ohne Entlastung junge Erwachsene)</v>
      </c>
      <c r="E5514" s="1390">
        <f>Risk_Compensation!$AJ46</f>
        <v>29</v>
      </c>
      <c r="F5514" s="1390" t="str">
        <f>Risk_Compensation!$O$17</f>
        <v>GE</v>
      </c>
      <c r="G5514" s="1390"/>
      <c r="H5514" s="1077">
        <f>Risk_Compensation!$AR46</f>
        <v>2345.0851395591699</v>
      </c>
    </row>
    <row r="5515" spans="1:8" x14ac:dyDescent="0.2">
      <c r="A5515" s="1027"/>
      <c r="B5515" s="1083">
        <f>Risk_Compensation!A$1</f>
        <v>36</v>
      </c>
      <c r="C5515" s="1390" t="str">
        <f>Risk_Compensation!$B$1</f>
        <v xml:space="preserve">Risikoausgleich </v>
      </c>
      <c r="D5515" s="1743" t="str">
        <f>Risk_Compensation!$AJ$14</f>
        <v>geschätzte Risikoausgleichssätze, pro Monat in CHF (ohne Entlastung junge Erwachsene)</v>
      </c>
      <c r="E5515" s="1390">
        <f>Risk_Compensation!$AJ47</f>
        <v>30</v>
      </c>
      <c r="F5515" s="1390" t="str">
        <f>Risk_Compensation!$O$17</f>
        <v>GE</v>
      </c>
      <c r="G5515" s="1390"/>
      <c r="H5515" s="1077">
        <f>Risk_Compensation!$AR47</f>
        <v>625.64126886950498</v>
      </c>
    </row>
    <row r="5516" spans="1:8" x14ac:dyDescent="0.2">
      <c r="A5516" s="1027"/>
      <c r="B5516" s="1083">
        <f>Risk_Compensation!A$1</f>
        <v>36</v>
      </c>
      <c r="C5516" s="1390" t="str">
        <f>Risk_Compensation!$B$1</f>
        <v xml:space="preserve">Risikoausgleich </v>
      </c>
      <c r="D5516" s="1743" t="str">
        <f>Risk_Compensation!$AJ$14</f>
        <v>geschätzte Risikoausgleichssätze, pro Monat in CHF (ohne Entlastung junge Erwachsene)</v>
      </c>
      <c r="E5516" s="1390">
        <f>Risk_Compensation!$AJ48</f>
        <v>31</v>
      </c>
      <c r="F5516" s="1390" t="str">
        <f>Risk_Compensation!$O$17</f>
        <v>GE</v>
      </c>
      <c r="G5516" s="1390"/>
      <c r="H5516" s="1077">
        <f>Risk_Compensation!$AR48</f>
        <v>703.97868666945601</v>
      </c>
    </row>
    <row r="5517" spans="1:8" x14ac:dyDescent="0.2">
      <c r="A5517" s="1027"/>
      <c r="B5517" s="1083">
        <f>Risk_Compensation!A$1</f>
        <v>36</v>
      </c>
      <c r="C5517" s="1390" t="str">
        <f>Risk_Compensation!$B$1</f>
        <v xml:space="preserve">Risikoausgleich </v>
      </c>
      <c r="D5517" s="1743" t="str">
        <f>Risk_Compensation!$AJ$14</f>
        <v>geschätzte Risikoausgleichssätze, pro Monat in CHF (ohne Entlastung junge Erwachsene)</v>
      </c>
      <c r="E5517" s="1390">
        <f>Risk_Compensation!$AJ49</f>
        <v>32</v>
      </c>
      <c r="F5517" s="1390" t="str">
        <f>Risk_Compensation!$O$17</f>
        <v>GE</v>
      </c>
      <c r="G5517" s="1390"/>
      <c r="H5517" s="1077">
        <f>Risk_Compensation!$AR49</f>
        <v>-295.555814097606</v>
      </c>
    </row>
    <row r="5518" spans="1:8" x14ac:dyDescent="0.2">
      <c r="A5518" s="1027"/>
      <c r="B5518" s="1083">
        <f>Risk_Compensation!A$1</f>
        <v>36</v>
      </c>
      <c r="C5518" s="1390" t="str">
        <f>Risk_Compensation!$B$1</f>
        <v xml:space="preserve">Risikoausgleich </v>
      </c>
      <c r="D5518" s="1743" t="str">
        <f>Risk_Compensation!$AJ$14</f>
        <v>geschätzte Risikoausgleichssätze, pro Monat in CHF (ohne Entlastung junge Erwachsene)</v>
      </c>
      <c r="E5518" s="1390">
        <f>Risk_Compensation!$AJ50</f>
        <v>33</v>
      </c>
      <c r="F5518" s="1390" t="str">
        <f>Risk_Compensation!$O$17</f>
        <v>GE</v>
      </c>
      <c r="G5518" s="1390"/>
      <c r="H5518" s="1077">
        <f>Risk_Compensation!$AR50</f>
        <v>600.03926504907201</v>
      </c>
    </row>
    <row r="5519" spans="1:8" x14ac:dyDescent="0.2">
      <c r="A5519" s="1027"/>
      <c r="B5519" s="1083">
        <f>Risk_Compensation!A$1</f>
        <v>36</v>
      </c>
      <c r="C5519" s="1390" t="str">
        <f>Risk_Compensation!$B$1</f>
        <v xml:space="preserve">Risikoausgleich </v>
      </c>
      <c r="D5519" s="1743" t="str">
        <f>Risk_Compensation!$AJ$14</f>
        <v>geschätzte Risikoausgleichssätze, pro Monat in CHF (ohne Entlastung junge Erwachsene)</v>
      </c>
      <c r="E5519" s="1390">
        <f>Risk_Compensation!$AJ51</f>
        <v>34</v>
      </c>
      <c r="F5519" s="1390" t="str">
        <f>Risk_Compensation!$O$17</f>
        <v>GE</v>
      </c>
      <c r="G5519" s="1390"/>
      <c r="H5519" s="1077">
        <f>Risk_Compensation!$AR51</f>
        <v>-250.55950589815001</v>
      </c>
    </row>
    <row r="5520" spans="1:8" x14ac:dyDescent="0.2">
      <c r="A5520" s="1027"/>
      <c r="B5520" s="1083">
        <f>Risk_Compensation!A$1</f>
        <v>36</v>
      </c>
      <c r="C5520" s="1390" t="str">
        <f>Risk_Compensation!$B$1</f>
        <v xml:space="preserve">Risikoausgleich </v>
      </c>
      <c r="D5520" s="1743" t="str">
        <f>Risk_Compensation!$AJ$14</f>
        <v>geschätzte Risikoausgleichssätze, pro Monat in CHF (ohne Entlastung junge Erwachsene)</v>
      </c>
      <c r="E5520" s="1390">
        <f>Risk_Compensation!$AJ52</f>
        <v>35</v>
      </c>
      <c r="F5520" s="1390" t="str">
        <f>Risk_Compensation!$O$17</f>
        <v>GE</v>
      </c>
      <c r="G5520" s="1390"/>
      <c r="H5520" s="1077">
        <f>Risk_Compensation!$AR52</f>
        <v>432.95320496244602</v>
      </c>
    </row>
    <row r="5521" spans="1:8" x14ac:dyDescent="0.2">
      <c r="A5521" s="1027"/>
      <c r="B5521" s="1083">
        <f>Risk_Compensation!A$1</f>
        <v>36</v>
      </c>
      <c r="C5521" s="1390" t="str">
        <f>Risk_Compensation!$B$1</f>
        <v xml:space="preserve">Risikoausgleich </v>
      </c>
      <c r="D5521" s="1743" t="str">
        <f>Risk_Compensation!$AJ$14</f>
        <v>geschätzte Risikoausgleichssätze, pro Monat in CHF (ohne Entlastung junge Erwachsene)</v>
      </c>
      <c r="E5521" s="1390">
        <f>Risk_Compensation!$AJ53</f>
        <v>36</v>
      </c>
      <c r="F5521" s="1390" t="str">
        <f>Risk_Compensation!$O$17</f>
        <v>GE</v>
      </c>
      <c r="G5521" s="1390"/>
      <c r="H5521" s="1077">
        <f>Risk_Compensation!$AR53</f>
        <v>-196.30303917518</v>
      </c>
    </row>
    <row r="5522" spans="1:8" x14ac:dyDescent="0.2">
      <c r="A5522" s="1027"/>
      <c r="B5522" s="1083">
        <f>Risk_Compensation!A$1</f>
        <v>36</v>
      </c>
      <c r="C5522" s="1390" t="str">
        <f>Risk_Compensation!$B$1</f>
        <v xml:space="preserve">Risikoausgleich </v>
      </c>
      <c r="D5522" s="1743" t="str">
        <f>Risk_Compensation!$AJ$14</f>
        <v>geschätzte Risikoausgleichssätze, pro Monat in CHF (ohne Entlastung junge Erwachsene)</v>
      </c>
      <c r="E5522" s="1390">
        <f>Risk_Compensation!$AJ54</f>
        <v>37</v>
      </c>
      <c r="F5522" s="1390" t="str">
        <f>Risk_Compensation!$O$17</f>
        <v>GE</v>
      </c>
      <c r="G5522" s="1390"/>
      <c r="H5522" s="1077">
        <f>Risk_Compensation!$AR54</f>
        <v>471.17896386907898</v>
      </c>
    </row>
    <row r="5523" spans="1:8" x14ac:dyDescent="0.2">
      <c r="A5523" s="1027"/>
      <c r="B5523" s="1083">
        <f>Risk_Compensation!A$1</f>
        <v>36</v>
      </c>
      <c r="C5523" s="1390" t="str">
        <f>Risk_Compensation!$B$1</f>
        <v xml:space="preserve">Risikoausgleich </v>
      </c>
      <c r="D5523" s="1743" t="str">
        <f>Risk_Compensation!$AJ$14</f>
        <v>geschätzte Risikoausgleichssätze, pro Monat in CHF (ohne Entlastung junge Erwachsene)</v>
      </c>
      <c r="E5523" s="1390">
        <f>Risk_Compensation!$AJ55</f>
        <v>38</v>
      </c>
      <c r="F5523" s="1390" t="str">
        <f>Risk_Compensation!$O$17</f>
        <v>GE</v>
      </c>
      <c r="G5523" s="1390"/>
      <c r="H5523" s="1077">
        <f>Risk_Compensation!$AR55</f>
        <v>-204.15641463351599</v>
      </c>
    </row>
    <row r="5524" spans="1:8" x14ac:dyDescent="0.2">
      <c r="A5524" s="1027"/>
      <c r="B5524" s="1083">
        <f>Risk_Compensation!A$1</f>
        <v>36</v>
      </c>
      <c r="C5524" s="1390" t="str">
        <f>Risk_Compensation!$B$1</f>
        <v xml:space="preserve">Risikoausgleich </v>
      </c>
      <c r="D5524" s="1743" t="str">
        <f>Risk_Compensation!$AJ$14</f>
        <v>geschätzte Risikoausgleichssätze, pro Monat in CHF (ohne Entlastung junge Erwachsene)</v>
      </c>
      <c r="E5524" s="1390">
        <f>Risk_Compensation!$AJ56</f>
        <v>39</v>
      </c>
      <c r="F5524" s="1390" t="str">
        <f>Risk_Compensation!$O$17</f>
        <v>GE</v>
      </c>
      <c r="G5524" s="1390"/>
      <c r="H5524" s="1077">
        <f>Risk_Compensation!$AR56</f>
        <v>421.53379756832101</v>
      </c>
    </row>
    <row r="5525" spans="1:8" x14ac:dyDescent="0.2">
      <c r="A5525" s="1027"/>
      <c r="B5525" s="1083">
        <f>Risk_Compensation!A$1</f>
        <v>36</v>
      </c>
      <c r="C5525" s="1390" t="str">
        <f>Risk_Compensation!$B$1</f>
        <v xml:space="preserve">Risikoausgleich </v>
      </c>
      <c r="D5525" s="1743" t="str">
        <f>Risk_Compensation!$AJ$14</f>
        <v>geschätzte Risikoausgleichssätze, pro Monat in CHF (ohne Entlastung junge Erwachsene)</v>
      </c>
      <c r="E5525" s="1390">
        <f>Risk_Compensation!$AJ57</f>
        <v>40</v>
      </c>
      <c r="F5525" s="1390" t="str">
        <f>Risk_Compensation!$O$17</f>
        <v>GE</v>
      </c>
      <c r="G5525" s="1390"/>
      <c r="H5525" s="1077">
        <f>Risk_Compensation!$AR57</f>
        <v>-252.51350624854501</v>
      </c>
    </row>
    <row r="5526" spans="1:8" x14ac:dyDescent="0.2">
      <c r="A5526" s="1027"/>
      <c r="B5526" s="1083">
        <f>Risk_Compensation!A$1</f>
        <v>36</v>
      </c>
      <c r="C5526" s="1390" t="str">
        <f>Risk_Compensation!$B$1</f>
        <v xml:space="preserve">Risikoausgleich </v>
      </c>
      <c r="D5526" s="1743" t="str">
        <f>Risk_Compensation!$AJ$14</f>
        <v>geschätzte Risikoausgleichssätze, pro Monat in CHF (ohne Entlastung junge Erwachsene)</v>
      </c>
      <c r="E5526" s="1390">
        <f>Risk_Compensation!$AJ58</f>
        <v>41</v>
      </c>
      <c r="F5526" s="1390" t="str">
        <f>Risk_Compensation!$O$17</f>
        <v>GE</v>
      </c>
      <c r="G5526" s="1390"/>
      <c r="H5526" s="1077">
        <f>Risk_Compensation!$AR58</f>
        <v>691.25564699504196</v>
      </c>
    </row>
    <row r="5527" spans="1:8" x14ac:dyDescent="0.2">
      <c r="A5527" s="1027"/>
      <c r="B5527" s="1083">
        <f>Risk_Compensation!A$1</f>
        <v>36</v>
      </c>
      <c r="C5527" s="1390" t="str">
        <f>Risk_Compensation!$B$1</f>
        <v xml:space="preserve">Risikoausgleich </v>
      </c>
      <c r="D5527" s="1743" t="str">
        <f>Risk_Compensation!$AJ$14</f>
        <v>geschätzte Risikoausgleichssätze, pro Monat in CHF (ohne Entlastung junge Erwachsene)</v>
      </c>
      <c r="E5527" s="1390">
        <f>Risk_Compensation!$AJ59</f>
        <v>42</v>
      </c>
      <c r="F5527" s="1390" t="str">
        <f>Risk_Compensation!$O$17</f>
        <v>GE</v>
      </c>
      <c r="G5527" s="1390"/>
      <c r="H5527" s="1077">
        <f>Risk_Compensation!$AR59</f>
        <v>-242.041865370164</v>
      </c>
    </row>
    <row r="5528" spans="1:8" x14ac:dyDescent="0.2">
      <c r="A5528" s="1027"/>
      <c r="B5528" s="1083">
        <f>Risk_Compensation!A$1</f>
        <v>36</v>
      </c>
      <c r="C5528" s="1390" t="str">
        <f>Risk_Compensation!$B$1</f>
        <v xml:space="preserve">Risikoausgleich </v>
      </c>
      <c r="D5528" s="1743" t="str">
        <f>Risk_Compensation!$AJ$14</f>
        <v>geschätzte Risikoausgleichssätze, pro Monat in CHF (ohne Entlastung junge Erwachsene)</v>
      </c>
      <c r="E5528" s="1390">
        <f>Risk_Compensation!$AJ60</f>
        <v>43</v>
      </c>
      <c r="F5528" s="1390" t="str">
        <f>Risk_Compensation!$O$17</f>
        <v>GE</v>
      </c>
      <c r="G5528" s="1390"/>
      <c r="H5528" s="1077">
        <f>Risk_Compensation!$AR60</f>
        <v>506.59039948361402</v>
      </c>
    </row>
    <row r="5529" spans="1:8" x14ac:dyDescent="0.2">
      <c r="A5529" s="1027"/>
      <c r="B5529" s="1083">
        <f>Risk_Compensation!A$1</f>
        <v>36</v>
      </c>
      <c r="C5529" s="1390" t="str">
        <f>Risk_Compensation!$B$1</f>
        <v xml:space="preserve">Risikoausgleich </v>
      </c>
      <c r="D5529" s="1743" t="str">
        <f>Risk_Compensation!$AJ$14</f>
        <v>geschätzte Risikoausgleichssätze, pro Monat in CHF (ohne Entlastung junge Erwachsene)</v>
      </c>
      <c r="E5529" s="1390">
        <f>Risk_Compensation!$AJ61</f>
        <v>44</v>
      </c>
      <c r="F5529" s="1390" t="str">
        <f>Risk_Compensation!$O$17</f>
        <v>GE</v>
      </c>
      <c r="G5529" s="1390"/>
      <c r="H5529" s="1077">
        <f>Risk_Compensation!$AR61</f>
        <v>-208.71658548374799</v>
      </c>
    </row>
    <row r="5530" spans="1:8" x14ac:dyDescent="0.2">
      <c r="A5530" s="1027"/>
      <c r="B5530" s="1083">
        <f>Risk_Compensation!A$1</f>
        <v>36</v>
      </c>
      <c r="C5530" s="1390" t="str">
        <f>Risk_Compensation!$B$1</f>
        <v xml:space="preserve">Risikoausgleich </v>
      </c>
      <c r="D5530" s="1743" t="str">
        <f>Risk_Compensation!$AJ$14</f>
        <v>geschätzte Risikoausgleichssätze, pro Monat in CHF (ohne Entlastung junge Erwachsene)</v>
      </c>
      <c r="E5530" s="1390">
        <f>Risk_Compensation!$AJ62</f>
        <v>45</v>
      </c>
      <c r="F5530" s="1390" t="str">
        <f>Risk_Compensation!$O$17</f>
        <v>GE</v>
      </c>
      <c r="G5530" s="1390"/>
      <c r="H5530" s="1077">
        <f>Risk_Compensation!$AR62</f>
        <v>766.02121263883998</v>
      </c>
    </row>
    <row r="5531" spans="1:8" x14ac:dyDescent="0.2">
      <c r="A5531" s="1027"/>
      <c r="B5531" s="1083">
        <f>Risk_Compensation!A$1</f>
        <v>36</v>
      </c>
      <c r="C5531" s="1390" t="str">
        <f>Risk_Compensation!$B$1</f>
        <v xml:space="preserve">Risikoausgleich </v>
      </c>
      <c r="D5531" s="1743" t="str">
        <f>Risk_Compensation!$AJ$14</f>
        <v>geschätzte Risikoausgleichssätze, pro Monat in CHF (ohne Entlastung junge Erwachsene)</v>
      </c>
      <c r="E5531" s="1390">
        <f>Risk_Compensation!$AJ63</f>
        <v>46</v>
      </c>
      <c r="F5531" s="1390" t="str">
        <f>Risk_Compensation!$O$17</f>
        <v>GE</v>
      </c>
      <c r="G5531" s="1390"/>
      <c r="H5531" s="1077">
        <f>Risk_Compensation!$AR63</f>
        <v>-204.80919458216999</v>
      </c>
    </row>
    <row r="5532" spans="1:8" x14ac:dyDescent="0.2">
      <c r="A5532" s="1027"/>
      <c r="B5532" s="1083">
        <f>Risk_Compensation!A$1</f>
        <v>36</v>
      </c>
      <c r="C5532" s="1390" t="str">
        <f>Risk_Compensation!$B$1</f>
        <v xml:space="preserve">Risikoausgleich </v>
      </c>
      <c r="D5532" s="1743" t="str">
        <f>Risk_Compensation!$AJ$14</f>
        <v>geschätzte Risikoausgleichssätze, pro Monat in CHF (ohne Entlastung junge Erwachsene)</v>
      </c>
      <c r="E5532" s="1390">
        <f>Risk_Compensation!$AJ64</f>
        <v>47</v>
      </c>
      <c r="F5532" s="1390" t="str">
        <f>Risk_Compensation!$O$17</f>
        <v>GE</v>
      </c>
      <c r="G5532" s="1390"/>
      <c r="H5532" s="1077">
        <f>Risk_Compensation!$AR64</f>
        <v>625.98274559678202</v>
      </c>
    </row>
    <row r="5533" spans="1:8" x14ac:dyDescent="0.2">
      <c r="A5533" s="1027"/>
      <c r="B5533" s="1083">
        <f>Risk_Compensation!A$1</f>
        <v>36</v>
      </c>
      <c r="C5533" s="1390" t="str">
        <f>Risk_Compensation!$B$1</f>
        <v xml:space="preserve">Risikoausgleich </v>
      </c>
      <c r="D5533" s="1743" t="str">
        <f>Risk_Compensation!$AJ$14</f>
        <v>geschätzte Risikoausgleichssätze, pro Monat in CHF (ohne Entlastung junge Erwachsene)</v>
      </c>
      <c r="E5533" s="1390">
        <f>Risk_Compensation!$AJ65</f>
        <v>48</v>
      </c>
      <c r="F5533" s="1390" t="str">
        <f>Risk_Compensation!$O$17</f>
        <v>GE</v>
      </c>
      <c r="G5533" s="1390"/>
      <c r="H5533" s="1077">
        <f>Risk_Compensation!$AR65</f>
        <v>-159.742170875098</v>
      </c>
    </row>
    <row r="5534" spans="1:8" x14ac:dyDescent="0.2">
      <c r="A5534" s="1027"/>
      <c r="B5534" s="1083">
        <f>Risk_Compensation!A$1</f>
        <v>36</v>
      </c>
      <c r="C5534" s="1390" t="str">
        <f>Risk_Compensation!$B$1</f>
        <v xml:space="preserve">Risikoausgleich </v>
      </c>
      <c r="D5534" s="1743" t="str">
        <f>Risk_Compensation!$AJ$14</f>
        <v>geschätzte Risikoausgleichssätze, pro Monat in CHF (ohne Entlastung junge Erwachsene)</v>
      </c>
      <c r="E5534" s="1390">
        <f>Risk_Compensation!$AJ66</f>
        <v>49</v>
      </c>
      <c r="F5534" s="1390" t="str">
        <f>Risk_Compensation!$O$17</f>
        <v>GE</v>
      </c>
      <c r="G5534" s="1390"/>
      <c r="H5534" s="1077">
        <f>Risk_Compensation!$AR66</f>
        <v>905.55453300418696</v>
      </c>
    </row>
    <row r="5535" spans="1:8" x14ac:dyDescent="0.2">
      <c r="A5535" s="1027"/>
      <c r="B5535" s="1083">
        <f>Risk_Compensation!A$1</f>
        <v>36</v>
      </c>
      <c r="C5535" s="1390" t="str">
        <f>Risk_Compensation!$B$1</f>
        <v xml:space="preserve">Risikoausgleich </v>
      </c>
      <c r="D5535" s="1743" t="str">
        <f>Risk_Compensation!$AJ$14</f>
        <v>geschätzte Risikoausgleichssätze, pro Monat in CHF (ohne Entlastung junge Erwachsene)</v>
      </c>
      <c r="E5535" s="1390">
        <f>Risk_Compensation!$AJ67</f>
        <v>50</v>
      </c>
      <c r="F5535" s="1390" t="str">
        <f>Risk_Compensation!$O$17</f>
        <v>GE</v>
      </c>
      <c r="G5535" s="1390"/>
      <c r="H5535" s="1077">
        <f>Risk_Compensation!$AR67</f>
        <v>-106.120094148097</v>
      </c>
    </row>
    <row r="5536" spans="1:8" x14ac:dyDescent="0.2">
      <c r="A5536" s="1027"/>
      <c r="B5536" s="1083">
        <f>Risk_Compensation!A$1</f>
        <v>36</v>
      </c>
      <c r="C5536" s="1390" t="str">
        <f>Risk_Compensation!$B$1</f>
        <v xml:space="preserve">Risikoausgleich </v>
      </c>
      <c r="D5536" s="1743" t="str">
        <f>Risk_Compensation!$AJ$14</f>
        <v>geschätzte Risikoausgleichssätze, pro Monat in CHF (ohne Entlastung junge Erwachsene)</v>
      </c>
      <c r="E5536" s="1390">
        <f>Risk_Compensation!$AJ68</f>
        <v>51</v>
      </c>
      <c r="F5536" s="1390" t="str">
        <f>Risk_Compensation!$O$17</f>
        <v>GE</v>
      </c>
      <c r="G5536" s="1390"/>
      <c r="H5536" s="1077">
        <f>Risk_Compensation!$AR68</f>
        <v>1127.7322463907601</v>
      </c>
    </row>
    <row r="5537" spans="1:8" x14ac:dyDescent="0.2">
      <c r="A5537" s="1027"/>
      <c r="B5537" s="1083">
        <f>Risk_Compensation!A$1</f>
        <v>36</v>
      </c>
      <c r="C5537" s="1390" t="str">
        <f>Risk_Compensation!$B$1</f>
        <v xml:space="preserve">Risikoausgleich </v>
      </c>
      <c r="D5537" s="1743" t="str">
        <f>Risk_Compensation!$AJ$14</f>
        <v>geschätzte Risikoausgleichssätze, pro Monat in CHF (ohne Entlastung junge Erwachsene)</v>
      </c>
      <c r="E5537" s="1390">
        <f>Risk_Compensation!$AJ69</f>
        <v>52</v>
      </c>
      <c r="F5537" s="1390" t="str">
        <f>Risk_Compensation!$O$17</f>
        <v>GE</v>
      </c>
      <c r="G5537" s="1390"/>
      <c r="H5537" s="1077">
        <f>Risk_Compensation!$AR69</f>
        <v>-50.512327690049901</v>
      </c>
    </row>
    <row r="5538" spans="1:8" x14ac:dyDescent="0.2">
      <c r="A5538" s="1027"/>
      <c r="B5538" s="1083">
        <f>Risk_Compensation!A$1</f>
        <v>36</v>
      </c>
      <c r="C5538" s="1390" t="str">
        <f>Risk_Compensation!$B$1</f>
        <v xml:space="preserve">Risikoausgleich </v>
      </c>
      <c r="D5538" s="1743" t="str">
        <f>Risk_Compensation!$AJ$14</f>
        <v>geschätzte Risikoausgleichssätze, pro Monat in CHF (ohne Entlastung junge Erwachsene)</v>
      </c>
      <c r="E5538" s="1390">
        <f>Risk_Compensation!$AJ70</f>
        <v>53</v>
      </c>
      <c r="F5538" s="1390" t="str">
        <f>Risk_Compensation!$O$17</f>
        <v>GE</v>
      </c>
      <c r="G5538" s="1390"/>
      <c r="H5538" s="1077">
        <f>Risk_Compensation!$AR70</f>
        <v>1285.0671648191801</v>
      </c>
    </row>
    <row r="5539" spans="1:8" x14ac:dyDescent="0.2">
      <c r="A5539" s="1027"/>
      <c r="B5539" s="1083">
        <f>Risk_Compensation!A$1</f>
        <v>36</v>
      </c>
      <c r="C5539" s="1390" t="str">
        <f>Risk_Compensation!$B$1</f>
        <v xml:space="preserve">Risikoausgleich </v>
      </c>
      <c r="D5539" s="1743" t="str">
        <f>Risk_Compensation!$AJ$14</f>
        <v>geschätzte Risikoausgleichssätze, pro Monat in CHF (ohne Entlastung junge Erwachsene)</v>
      </c>
      <c r="E5539" s="1390">
        <f>Risk_Compensation!$AJ71</f>
        <v>54</v>
      </c>
      <c r="F5539" s="1390" t="str">
        <f>Risk_Compensation!$O$17</f>
        <v>GE</v>
      </c>
      <c r="G5539" s="1390"/>
      <c r="H5539" s="1077">
        <f>Risk_Compensation!$AR71</f>
        <v>69.023917941457498</v>
      </c>
    </row>
    <row r="5540" spans="1:8" x14ac:dyDescent="0.2">
      <c r="A5540" s="1027"/>
      <c r="B5540" s="1083">
        <f>Risk_Compensation!A$1</f>
        <v>36</v>
      </c>
      <c r="C5540" s="1390" t="str">
        <f>Risk_Compensation!$B$1</f>
        <v xml:space="preserve">Risikoausgleich </v>
      </c>
      <c r="D5540" s="1743" t="str">
        <f>Risk_Compensation!$AJ$14</f>
        <v>geschätzte Risikoausgleichssätze, pro Monat in CHF (ohne Entlastung junge Erwachsene)</v>
      </c>
      <c r="E5540" s="1390">
        <f>Risk_Compensation!$AJ72</f>
        <v>55</v>
      </c>
      <c r="F5540" s="1390" t="str">
        <f>Risk_Compensation!$O$17</f>
        <v>GE</v>
      </c>
      <c r="G5540" s="1390"/>
      <c r="H5540" s="1077">
        <f>Risk_Compensation!$AR72</f>
        <v>1691.98629707036</v>
      </c>
    </row>
    <row r="5541" spans="1:8" x14ac:dyDescent="0.2">
      <c r="A5541" s="1027"/>
      <c r="B5541" s="1083">
        <f>Risk_Compensation!A$1</f>
        <v>36</v>
      </c>
      <c r="C5541" s="1390" t="str">
        <f>Risk_Compensation!$B$1</f>
        <v xml:space="preserve">Risikoausgleich </v>
      </c>
      <c r="D5541" s="1743" t="str">
        <f>Risk_Compensation!$AJ$14</f>
        <v>geschätzte Risikoausgleichssätze, pro Monat in CHF (ohne Entlastung junge Erwachsene)</v>
      </c>
      <c r="E5541" s="1390">
        <f>Risk_Compensation!$AJ73</f>
        <v>56</v>
      </c>
      <c r="F5541" s="1390" t="str">
        <f>Risk_Compensation!$O$17</f>
        <v>GE</v>
      </c>
      <c r="G5541" s="1390"/>
      <c r="H5541" s="1077">
        <f>Risk_Compensation!$AR73</f>
        <v>183.517346357836</v>
      </c>
    </row>
    <row r="5542" spans="1:8" x14ac:dyDescent="0.2">
      <c r="A5542" s="1027"/>
      <c r="B5542" s="1083">
        <f>Risk_Compensation!A$1</f>
        <v>36</v>
      </c>
      <c r="C5542" s="1390" t="str">
        <f>Risk_Compensation!$B$1</f>
        <v xml:space="preserve">Risikoausgleich </v>
      </c>
      <c r="D5542" s="1743" t="str">
        <f>Risk_Compensation!$AJ$14</f>
        <v>geschätzte Risikoausgleichssätze, pro Monat in CHF (ohne Entlastung junge Erwachsene)</v>
      </c>
      <c r="E5542" s="1390">
        <f>Risk_Compensation!$AJ74</f>
        <v>57</v>
      </c>
      <c r="F5542" s="1390" t="str">
        <f>Risk_Compensation!$O$17</f>
        <v>GE</v>
      </c>
      <c r="G5542" s="1390"/>
      <c r="H5542" s="1077">
        <f>Risk_Compensation!$AR74</f>
        <v>1966.36190344641</v>
      </c>
    </row>
    <row r="5543" spans="1:8" x14ac:dyDescent="0.2">
      <c r="A5543" s="1027"/>
      <c r="B5543" s="1083">
        <f>Risk_Compensation!A$1</f>
        <v>36</v>
      </c>
      <c r="C5543" s="1390" t="str">
        <f>Risk_Compensation!$B$1</f>
        <v xml:space="preserve">Risikoausgleich </v>
      </c>
      <c r="D5543" s="1743" t="str">
        <f>Risk_Compensation!$AJ$14</f>
        <v>geschätzte Risikoausgleichssätze, pro Monat in CHF (ohne Entlastung junge Erwachsene)</v>
      </c>
      <c r="E5543" s="1390">
        <f>Risk_Compensation!$AJ75</f>
        <v>58</v>
      </c>
      <c r="F5543" s="1390" t="str">
        <f>Risk_Compensation!$O$17</f>
        <v>GE</v>
      </c>
      <c r="G5543" s="1390"/>
      <c r="H5543" s="1077">
        <f>Risk_Compensation!$AR75</f>
        <v>430.52006392557797</v>
      </c>
    </row>
    <row r="5544" spans="1:8" x14ac:dyDescent="0.2">
      <c r="A5544" s="1027"/>
      <c r="B5544" s="1083">
        <f>Risk_Compensation!A$1</f>
        <v>36</v>
      </c>
      <c r="C5544" s="1390" t="str">
        <f>Risk_Compensation!$B$1</f>
        <v xml:space="preserve">Risikoausgleich </v>
      </c>
      <c r="D5544" s="1743" t="str">
        <f>Risk_Compensation!$AJ$14</f>
        <v>geschätzte Risikoausgleichssätze, pro Monat in CHF (ohne Entlastung junge Erwachsene)</v>
      </c>
      <c r="E5544" s="1390">
        <f>Risk_Compensation!$AJ76</f>
        <v>59</v>
      </c>
      <c r="F5544" s="1390" t="str">
        <f>Risk_Compensation!$O$17</f>
        <v>GE</v>
      </c>
      <c r="G5544" s="1390"/>
      <c r="H5544" s="1077">
        <f>Risk_Compensation!$AR76</f>
        <v>2449.4307575477301</v>
      </c>
    </row>
    <row r="5545" spans="1:8" x14ac:dyDescent="0.2">
      <c r="A5545" s="1027"/>
      <c r="B5545" s="1083">
        <f>Risk_Compensation!A$1</f>
        <v>36</v>
      </c>
      <c r="C5545" s="1390" t="str">
        <f>Risk_Compensation!$B$1</f>
        <v xml:space="preserve">Risikoausgleich </v>
      </c>
      <c r="D5545" s="1743" t="str">
        <f>Risk_Compensation!$AJ$14</f>
        <v>geschätzte Risikoausgleichssätze, pro Monat in CHF (ohne Entlastung junge Erwachsene)</v>
      </c>
      <c r="E5545" s="1390">
        <f>Risk_Compensation!$AJ77</f>
        <v>60</v>
      </c>
      <c r="F5545" s="1390" t="str">
        <f>Risk_Compensation!$O$17</f>
        <v>GE</v>
      </c>
      <c r="G5545" s="1390"/>
      <c r="H5545" s="1077">
        <f>Risk_Compensation!$AR77</f>
        <v>786.735188839996</v>
      </c>
    </row>
    <row r="5546" spans="1:8" x14ac:dyDescent="0.2">
      <c r="A5546" s="1027"/>
      <c r="B5546" s="2174"/>
      <c r="C5546" s="1390"/>
      <c r="D5546" s="2175"/>
      <c r="E5546" s="2176"/>
      <c r="F5546" s="1390"/>
      <c r="G5546" s="1390"/>
      <c r="H5546" s="1078"/>
    </row>
    <row r="5547" spans="1:8" x14ac:dyDescent="0.2">
      <c r="A5547" s="1027"/>
      <c r="B5547" s="1083">
        <f>Risk_Compensation!A$1</f>
        <v>36</v>
      </c>
      <c r="C5547" s="1390" t="str">
        <f>Risk_Compensation!$B$1</f>
        <v xml:space="preserve">Risikoausgleich </v>
      </c>
      <c r="D5547" s="1743" t="str">
        <f>Risk_Compensation!$AJ$14</f>
        <v>geschätzte Risikoausgleichssätze, pro Monat in CHF (ohne Entlastung junge Erwachsene)</v>
      </c>
      <c r="E5547" s="1390">
        <f>Risk_Compensation!$AJ18</f>
        <v>1</v>
      </c>
      <c r="F5547" s="1390" t="str">
        <f>Risk_Compensation!$P$17</f>
        <v>GL</v>
      </c>
      <c r="G5547" s="1390"/>
      <c r="H5547" s="1077">
        <f>Risk_Compensation!$AS18</f>
        <v>701.96663391831601</v>
      </c>
    </row>
    <row r="5548" spans="1:8" x14ac:dyDescent="0.2">
      <c r="A5548" s="1027"/>
      <c r="B5548" s="1083">
        <f>Risk_Compensation!A$1</f>
        <v>36</v>
      </c>
      <c r="C5548" s="1390" t="str">
        <f>Risk_Compensation!$B$1</f>
        <v xml:space="preserve">Risikoausgleich </v>
      </c>
      <c r="D5548" s="1743" t="str">
        <f>Risk_Compensation!$AJ$14</f>
        <v>geschätzte Risikoausgleichssätze, pro Monat in CHF (ohne Entlastung junge Erwachsene)</v>
      </c>
      <c r="E5548" s="1390">
        <f>Risk_Compensation!$AJ19</f>
        <v>2</v>
      </c>
      <c r="F5548" s="1390" t="str">
        <f>Risk_Compensation!$P$17</f>
        <v>GL</v>
      </c>
      <c r="G5548" s="1390"/>
      <c r="H5548" s="1077">
        <f>Risk_Compensation!$AS19</f>
        <v>-275.718884682213</v>
      </c>
    </row>
    <row r="5549" spans="1:8" x14ac:dyDescent="0.2">
      <c r="A5549" s="1027"/>
      <c r="B5549" s="1083">
        <f>Risk_Compensation!A$1</f>
        <v>36</v>
      </c>
      <c r="C5549" s="1390" t="str">
        <f>Risk_Compensation!$B$1</f>
        <v xml:space="preserve">Risikoausgleich </v>
      </c>
      <c r="D5549" s="1743" t="str">
        <f>Risk_Compensation!$AJ$14</f>
        <v>geschätzte Risikoausgleichssätze, pro Monat in CHF (ohne Entlastung junge Erwachsene)</v>
      </c>
      <c r="E5549" s="1390">
        <f>Risk_Compensation!$AJ20</f>
        <v>3</v>
      </c>
      <c r="F5549" s="1390" t="str">
        <f>Risk_Compensation!$P$17</f>
        <v>GL</v>
      </c>
      <c r="G5549" s="1390"/>
      <c r="H5549" s="1077">
        <f>Risk_Compensation!$AS20</f>
        <v>476.61275110097102</v>
      </c>
    </row>
    <row r="5550" spans="1:8" x14ac:dyDescent="0.2">
      <c r="A5550" s="1027"/>
      <c r="B5550" s="1083">
        <f>Risk_Compensation!A$1</f>
        <v>36</v>
      </c>
      <c r="C5550" s="1390" t="str">
        <f>Risk_Compensation!$B$1</f>
        <v xml:space="preserve">Risikoausgleich </v>
      </c>
      <c r="D5550" s="1743" t="str">
        <f>Risk_Compensation!$AJ$14</f>
        <v>geschätzte Risikoausgleichssätze, pro Monat in CHF (ohne Entlastung junge Erwachsene)</v>
      </c>
      <c r="E5550" s="1390">
        <f>Risk_Compensation!$AJ21</f>
        <v>4</v>
      </c>
      <c r="F5550" s="1390" t="str">
        <f>Risk_Compensation!$P$17</f>
        <v>GL</v>
      </c>
      <c r="G5550" s="1390"/>
      <c r="H5550" s="1077">
        <f>Risk_Compensation!$AS21</f>
        <v>-309.36532799001401</v>
      </c>
    </row>
    <row r="5551" spans="1:8" x14ac:dyDescent="0.2">
      <c r="A5551" s="1027"/>
      <c r="B5551" s="1083">
        <f>Risk_Compensation!A$1</f>
        <v>36</v>
      </c>
      <c r="C5551" s="1390" t="str">
        <f>Risk_Compensation!$B$1</f>
        <v xml:space="preserve">Risikoausgleich </v>
      </c>
      <c r="D5551" s="1743" t="str">
        <f>Risk_Compensation!$AJ$14</f>
        <v>geschätzte Risikoausgleichssätze, pro Monat in CHF (ohne Entlastung junge Erwachsene)</v>
      </c>
      <c r="E5551" s="1390">
        <f>Risk_Compensation!$AJ22</f>
        <v>5</v>
      </c>
      <c r="F5551" s="1390" t="str">
        <f>Risk_Compensation!$P$17</f>
        <v>GL</v>
      </c>
      <c r="G5551" s="1390"/>
      <c r="H5551" s="1077">
        <f>Risk_Compensation!$AS22</f>
        <v>236.579148988052</v>
      </c>
    </row>
    <row r="5552" spans="1:8" x14ac:dyDescent="0.2">
      <c r="A5552" s="1027"/>
      <c r="B5552" s="1083">
        <f>Risk_Compensation!A$1</f>
        <v>36</v>
      </c>
      <c r="C5552" s="1390" t="str">
        <f>Risk_Compensation!$B$1</f>
        <v xml:space="preserve">Risikoausgleich </v>
      </c>
      <c r="D5552" s="1743" t="str">
        <f>Risk_Compensation!$AJ$14</f>
        <v>geschätzte Risikoausgleichssätze, pro Monat in CHF (ohne Entlastung junge Erwachsene)</v>
      </c>
      <c r="E5552" s="1390">
        <f>Risk_Compensation!$AJ23</f>
        <v>6</v>
      </c>
      <c r="F5552" s="1390" t="str">
        <f>Risk_Compensation!$P$17</f>
        <v>GL</v>
      </c>
      <c r="G5552" s="1390"/>
      <c r="H5552" s="1077">
        <f>Risk_Compensation!$AS23</f>
        <v>-289.097737982323</v>
      </c>
    </row>
    <row r="5553" spans="1:8" x14ac:dyDescent="0.2">
      <c r="A5553" s="1027"/>
      <c r="B5553" s="1083">
        <f>Risk_Compensation!A$1</f>
        <v>36</v>
      </c>
      <c r="C5553" s="1390" t="str">
        <f>Risk_Compensation!$B$1</f>
        <v xml:space="preserve">Risikoausgleich </v>
      </c>
      <c r="D5553" s="1743" t="str">
        <f>Risk_Compensation!$AJ$14</f>
        <v>geschätzte Risikoausgleichssätze, pro Monat in CHF (ohne Entlastung junge Erwachsene)</v>
      </c>
      <c r="E5553" s="1390">
        <f>Risk_Compensation!$AJ24</f>
        <v>7</v>
      </c>
      <c r="F5553" s="1390" t="str">
        <f>Risk_Compensation!$P$17</f>
        <v>GL</v>
      </c>
      <c r="G5553" s="1390"/>
      <c r="H5553" s="1077">
        <f>Risk_Compensation!$AS24</f>
        <v>-118.34941110653099</v>
      </c>
    </row>
    <row r="5554" spans="1:8" x14ac:dyDescent="0.2">
      <c r="A5554" s="1027"/>
      <c r="B5554" s="1083">
        <f>Risk_Compensation!A$1</f>
        <v>36</v>
      </c>
      <c r="C5554" s="1390" t="str">
        <f>Risk_Compensation!$B$1</f>
        <v xml:space="preserve">Risikoausgleich </v>
      </c>
      <c r="D5554" s="1743" t="str">
        <f>Risk_Compensation!$AJ$14</f>
        <v>geschätzte Risikoausgleichssätze, pro Monat in CHF (ohne Entlastung junge Erwachsene)</v>
      </c>
      <c r="E5554" s="1390">
        <f>Risk_Compensation!$AJ25</f>
        <v>8</v>
      </c>
      <c r="F5554" s="1390" t="str">
        <f>Risk_Compensation!$P$17</f>
        <v>GL</v>
      </c>
      <c r="G5554" s="1390"/>
      <c r="H5554" s="1077">
        <f>Risk_Compensation!$AS25</f>
        <v>-297.34299618915401</v>
      </c>
    </row>
    <row r="5555" spans="1:8" x14ac:dyDescent="0.2">
      <c r="A5555" s="1027"/>
      <c r="B5555" s="1083">
        <f>Risk_Compensation!A$1</f>
        <v>36</v>
      </c>
      <c r="C5555" s="1390" t="str">
        <f>Risk_Compensation!$B$1</f>
        <v xml:space="preserve">Risikoausgleich </v>
      </c>
      <c r="D5555" s="1743" t="str">
        <f>Risk_Compensation!$AJ$14</f>
        <v>geschätzte Risikoausgleichssätze, pro Monat in CHF (ohne Entlastung junge Erwachsene)</v>
      </c>
      <c r="E5555" s="1390">
        <f>Risk_Compensation!$AJ26</f>
        <v>9</v>
      </c>
      <c r="F5555" s="1390" t="str">
        <f>Risk_Compensation!$P$17</f>
        <v>GL</v>
      </c>
      <c r="G5555" s="1390"/>
      <c r="H5555" s="1077">
        <f>Risk_Compensation!$AS26</f>
        <v>353.22703519500999</v>
      </c>
    </row>
    <row r="5556" spans="1:8" x14ac:dyDescent="0.2">
      <c r="A5556" s="1027"/>
      <c r="B5556" s="1083">
        <f>Risk_Compensation!A$1</f>
        <v>36</v>
      </c>
      <c r="C5556" s="1390" t="str">
        <f>Risk_Compensation!$B$1</f>
        <v xml:space="preserve">Risikoausgleich </v>
      </c>
      <c r="D5556" s="1743" t="str">
        <f>Risk_Compensation!$AJ$14</f>
        <v>geschätzte Risikoausgleichssätze, pro Monat in CHF (ohne Entlastung junge Erwachsene)</v>
      </c>
      <c r="E5556" s="1390">
        <f>Risk_Compensation!$AJ27</f>
        <v>10</v>
      </c>
      <c r="F5556" s="1390" t="str">
        <f>Risk_Compensation!$P$17</f>
        <v>GL</v>
      </c>
      <c r="G5556" s="1390"/>
      <c r="H5556" s="1077">
        <f>Risk_Compensation!$AS27</f>
        <v>-282.902775111192</v>
      </c>
    </row>
    <row r="5557" spans="1:8" x14ac:dyDescent="0.2">
      <c r="A5557" s="1027"/>
      <c r="B5557" s="1083">
        <f>Risk_Compensation!A$1</f>
        <v>36</v>
      </c>
      <c r="C5557" s="1390" t="str">
        <f>Risk_Compensation!$B$1</f>
        <v xml:space="preserve">Risikoausgleich </v>
      </c>
      <c r="D5557" s="1743" t="str">
        <f>Risk_Compensation!$AJ$14</f>
        <v>geschätzte Risikoausgleichssätze, pro Monat in CHF (ohne Entlastung junge Erwachsene)</v>
      </c>
      <c r="E5557" s="1390">
        <f>Risk_Compensation!$AJ28</f>
        <v>11</v>
      </c>
      <c r="F5557" s="1390" t="str">
        <f>Risk_Compensation!$P$17</f>
        <v>GL</v>
      </c>
      <c r="G5557" s="1390"/>
      <c r="H5557" s="1077">
        <f>Risk_Compensation!$AS28</f>
        <v>413.97935160164798</v>
      </c>
    </row>
    <row r="5558" spans="1:8" x14ac:dyDescent="0.2">
      <c r="A5558" s="1027"/>
      <c r="B5558" s="1083">
        <f>Risk_Compensation!A$1</f>
        <v>36</v>
      </c>
      <c r="C5558" s="1390" t="str">
        <f>Risk_Compensation!$B$1</f>
        <v xml:space="preserve">Risikoausgleich </v>
      </c>
      <c r="D5558" s="1743" t="str">
        <f>Risk_Compensation!$AJ$14</f>
        <v>geschätzte Risikoausgleichssätze, pro Monat in CHF (ohne Entlastung junge Erwachsene)</v>
      </c>
      <c r="E5558" s="1390">
        <f>Risk_Compensation!$AJ29</f>
        <v>12</v>
      </c>
      <c r="F5558" s="1390" t="str">
        <f>Risk_Compensation!$P$17</f>
        <v>GL</v>
      </c>
      <c r="G5558" s="1390"/>
      <c r="H5558" s="1077">
        <f>Risk_Compensation!$AS29</f>
        <v>-249.30220522367</v>
      </c>
    </row>
    <row r="5559" spans="1:8" x14ac:dyDescent="0.2">
      <c r="A5559" s="1027"/>
      <c r="B5559" s="1083">
        <f>Risk_Compensation!A$1</f>
        <v>36</v>
      </c>
      <c r="C5559" s="1390" t="str">
        <f>Risk_Compensation!$B$1</f>
        <v xml:space="preserve">Risikoausgleich </v>
      </c>
      <c r="D5559" s="1743" t="str">
        <f>Risk_Compensation!$AJ$14</f>
        <v>geschätzte Risikoausgleichssätze, pro Monat in CHF (ohne Entlastung junge Erwachsene)</v>
      </c>
      <c r="E5559" s="1390">
        <f>Risk_Compensation!$AJ30</f>
        <v>13</v>
      </c>
      <c r="F5559" s="1390" t="str">
        <f>Risk_Compensation!$P$17</f>
        <v>GL</v>
      </c>
      <c r="G5559" s="1390"/>
      <c r="H5559" s="1077">
        <f>Risk_Compensation!$AS30</f>
        <v>315.77412626584498</v>
      </c>
    </row>
    <row r="5560" spans="1:8" x14ac:dyDescent="0.2">
      <c r="A5560" s="1027"/>
      <c r="B5560" s="1083">
        <f>Risk_Compensation!A$1</f>
        <v>36</v>
      </c>
      <c r="C5560" s="1390" t="str">
        <f>Risk_Compensation!$B$1</f>
        <v xml:space="preserve">Risikoausgleich </v>
      </c>
      <c r="D5560" s="1743" t="str">
        <f>Risk_Compensation!$AJ$14</f>
        <v>geschätzte Risikoausgleichssätze, pro Monat in CHF (ohne Entlastung junge Erwachsene)</v>
      </c>
      <c r="E5560" s="1390">
        <f>Risk_Compensation!$AJ31</f>
        <v>14</v>
      </c>
      <c r="F5560" s="1390" t="str">
        <f>Risk_Compensation!$P$17</f>
        <v>GL</v>
      </c>
      <c r="G5560" s="1390"/>
      <c r="H5560" s="1077">
        <f>Risk_Compensation!$AS31</f>
        <v>-253.538185798917</v>
      </c>
    </row>
    <row r="5561" spans="1:8" x14ac:dyDescent="0.2">
      <c r="A5561" s="1027"/>
      <c r="B5561" s="1083">
        <f>Risk_Compensation!A$1</f>
        <v>36</v>
      </c>
      <c r="C5561" s="1390" t="str">
        <f>Risk_Compensation!$B$1</f>
        <v xml:space="preserve">Risikoausgleich </v>
      </c>
      <c r="D5561" s="1743" t="str">
        <f>Risk_Compensation!$AJ$14</f>
        <v>geschätzte Risikoausgleichssätze, pro Monat in CHF (ohne Entlastung junge Erwachsene)</v>
      </c>
      <c r="E5561" s="1390">
        <f>Risk_Compensation!$AJ32</f>
        <v>15</v>
      </c>
      <c r="F5561" s="1390" t="str">
        <f>Risk_Compensation!$P$17</f>
        <v>GL</v>
      </c>
      <c r="G5561" s="1390"/>
      <c r="H5561" s="1077">
        <f>Risk_Compensation!$AS32</f>
        <v>619.77146275750101</v>
      </c>
    </row>
    <row r="5562" spans="1:8" x14ac:dyDescent="0.2">
      <c r="A5562" s="1027"/>
      <c r="B5562" s="1083">
        <f>Risk_Compensation!A$1</f>
        <v>36</v>
      </c>
      <c r="C5562" s="1390" t="str">
        <f>Risk_Compensation!$B$1</f>
        <v xml:space="preserve">Risikoausgleich </v>
      </c>
      <c r="D5562" s="1743" t="str">
        <f>Risk_Compensation!$AJ$14</f>
        <v>geschätzte Risikoausgleichssätze, pro Monat in CHF (ohne Entlastung junge Erwachsene)</v>
      </c>
      <c r="E5562" s="1390">
        <f>Risk_Compensation!$AJ33</f>
        <v>16</v>
      </c>
      <c r="F5562" s="1390" t="str">
        <f>Risk_Compensation!$P$17</f>
        <v>GL</v>
      </c>
      <c r="G5562" s="1390"/>
      <c r="H5562" s="1077">
        <f>Risk_Compensation!$AS33</f>
        <v>-210.325846281482</v>
      </c>
    </row>
    <row r="5563" spans="1:8" x14ac:dyDescent="0.2">
      <c r="A5563" s="1027"/>
      <c r="B5563" s="1083">
        <f>Risk_Compensation!A$1</f>
        <v>36</v>
      </c>
      <c r="C5563" s="1390" t="str">
        <f>Risk_Compensation!$B$1</f>
        <v xml:space="preserve">Risikoausgleich </v>
      </c>
      <c r="D5563" s="1743" t="str">
        <f>Risk_Compensation!$AJ$14</f>
        <v>geschätzte Risikoausgleichssätze, pro Monat in CHF (ohne Entlastung junge Erwachsene)</v>
      </c>
      <c r="E5563" s="1390">
        <f>Risk_Compensation!$AJ34</f>
        <v>17</v>
      </c>
      <c r="F5563" s="1390" t="str">
        <f>Risk_Compensation!$P$17</f>
        <v>GL</v>
      </c>
      <c r="G5563" s="1390"/>
      <c r="H5563" s="1077">
        <f>Risk_Compensation!$AS34</f>
        <v>527.34809425911101</v>
      </c>
    </row>
    <row r="5564" spans="1:8" x14ac:dyDescent="0.2">
      <c r="A5564" s="1027"/>
      <c r="B5564" s="1083">
        <f>Risk_Compensation!A$1</f>
        <v>36</v>
      </c>
      <c r="C5564" s="1390" t="str">
        <f>Risk_Compensation!$B$1</f>
        <v xml:space="preserve">Risikoausgleich </v>
      </c>
      <c r="D5564" s="1743" t="str">
        <f>Risk_Compensation!$AJ$14</f>
        <v>geschätzte Risikoausgleichssätze, pro Monat in CHF (ohne Entlastung junge Erwachsene)</v>
      </c>
      <c r="E5564" s="1390">
        <f>Risk_Compensation!$AJ35</f>
        <v>18</v>
      </c>
      <c r="F5564" s="1390" t="str">
        <f>Risk_Compensation!$P$17</f>
        <v>GL</v>
      </c>
      <c r="G5564" s="1390"/>
      <c r="H5564" s="1077">
        <f>Risk_Compensation!$AS35</f>
        <v>-205.17576057914101</v>
      </c>
    </row>
    <row r="5565" spans="1:8" x14ac:dyDescent="0.2">
      <c r="A5565" s="1027"/>
      <c r="B5565" s="1083">
        <f>Risk_Compensation!A$1</f>
        <v>36</v>
      </c>
      <c r="C5565" s="1390" t="str">
        <f>Risk_Compensation!$B$1</f>
        <v xml:space="preserve">Risikoausgleich </v>
      </c>
      <c r="D5565" s="1743" t="str">
        <f>Risk_Compensation!$AJ$14</f>
        <v>geschätzte Risikoausgleichssätze, pro Monat in CHF (ohne Entlastung junge Erwachsene)</v>
      </c>
      <c r="E5565" s="1390">
        <f>Risk_Compensation!$AJ36</f>
        <v>19</v>
      </c>
      <c r="F5565" s="1390" t="str">
        <f>Risk_Compensation!$P$17</f>
        <v>GL</v>
      </c>
      <c r="G5565" s="1390"/>
      <c r="H5565" s="1077">
        <f>Risk_Compensation!$AS36</f>
        <v>368.22894012875798</v>
      </c>
    </row>
    <row r="5566" spans="1:8" x14ac:dyDescent="0.2">
      <c r="A5566" s="1027"/>
      <c r="B5566" s="1083">
        <f>Risk_Compensation!A$1</f>
        <v>36</v>
      </c>
      <c r="C5566" s="1390" t="str">
        <f>Risk_Compensation!$B$1</f>
        <v xml:space="preserve">Risikoausgleich </v>
      </c>
      <c r="D5566" s="1743" t="str">
        <f>Risk_Compensation!$AJ$14</f>
        <v>geschätzte Risikoausgleichssätze, pro Monat in CHF (ohne Entlastung junge Erwachsene)</v>
      </c>
      <c r="E5566" s="1390">
        <f>Risk_Compensation!$AJ37</f>
        <v>20</v>
      </c>
      <c r="F5566" s="1390" t="str">
        <f>Risk_Compensation!$P$17</f>
        <v>GL</v>
      </c>
      <c r="G5566" s="1390"/>
      <c r="H5566" s="1077">
        <f>Risk_Compensation!$AS37</f>
        <v>-115.053071172956</v>
      </c>
    </row>
    <row r="5567" spans="1:8" x14ac:dyDescent="0.2">
      <c r="A5567" s="1027"/>
      <c r="B5567" s="1083">
        <f>Risk_Compensation!A$1</f>
        <v>36</v>
      </c>
      <c r="C5567" s="1390" t="str">
        <f>Risk_Compensation!$B$1</f>
        <v xml:space="preserve">Risikoausgleich </v>
      </c>
      <c r="D5567" s="1743" t="str">
        <f>Risk_Compensation!$AJ$14</f>
        <v>geschätzte Risikoausgleichssätze, pro Monat in CHF (ohne Entlastung junge Erwachsene)</v>
      </c>
      <c r="E5567" s="1390">
        <f>Risk_Compensation!$AJ38</f>
        <v>21</v>
      </c>
      <c r="F5567" s="1390" t="str">
        <f>Risk_Compensation!$P$17</f>
        <v>GL</v>
      </c>
      <c r="G5567" s="1390"/>
      <c r="H5567" s="1077">
        <f>Risk_Compensation!$AS38</f>
        <v>567.31789498996295</v>
      </c>
    </row>
    <row r="5568" spans="1:8" x14ac:dyDescent="0.2">
      <c r="A5568" s="1027"/>
      <c r="B5568" s="1083">
        <f>Risk_Compensation!A$1</f>
        <v>36</v>
      </c>
      <c r="C5568" s="1390" t="str">
        <f>Risk_Compensation!$B$1</f>
        <v xml:space="preserve">Risikoausgleich </v>
      </c>
      <c r="D5568" s="1743" t="str">
        <f>Risk_Compensation!$AJ$14</f>
        <v>geschätzte Risikoausgleichssätze, pro Monat in CHF (ohne Entlastung junge Erwachsene)</v>
      </c>
      <c r="E5568" s="1390">
        <f>Risk_Compensation!$AJ39</f>
        <v>22</v>
      </c>
      <c r="F5568" s="1390" t="str">
        <f>Risk_Compensation!$P$17</f>
        <v>GL</v>
      </c>
      <c r="G5568" s="1390"/>
      <c r="H5568" s="1077">
        <f>Risk_Compensation!$AS39</f>
        <v>11.8283764196739</v>
      </c>
    </row>
    <row r="5569" spans="1:8" x14ac:dyDescent="0.2">
      <c r="A5569" s="1027"/>
      <c r="B5569" s="1083">
        <f>Risk_Compensation!A$1</f>
        <v>36</v>
      </c>
      <c r="C5569" s="1390" t="str">
        <f>Risk_Compensation!$B$1</f>
        <v xml:space="preserve">Risikoausgleich </v>
      </c>
      <c r="D5569" s="1743" t="str">
        <f>Risk_Compensation!$AJ$14</f>
        <v>geschätzte Risikoausgleichssätze, pro Monat in CHF (ohne Entlastung junge Erwachsene)</v>
      </c>
      <c r="E5569" s="1390">
        <f>Risk_Compensation!$AJ40</f>
        <v>23</v>
      </c>
      <c r="F5569" s="1390" t="str">
        <f>Risk_Compensation!$P$17</f>
        <v>GL</v>
      </c>
      <c r="G5569" s="1390"/>
      <c r="H5569" s="1077">
        <f>Risk_Compensation!$AS40</f>
        <v>804.96289990535604</v>
      </c>
    </row>
    <row r="5570" spans="1:8" x14ac:dyDescent="0.2">
      <c r="A5570" s="1027"/>
      <c r="B5570" s="1083">
        <f>Risk_Compensation!A$1</f>
        <v>36</v>
      </c>
      <c r="C5570" s="1390" t="str">
        <f>Risk_Compensation!$B$1</f>
        <v xml:space="preserve">Risikoausgleich </v>
      </c>
      <c r="D5570" s="1743" t="str">
        <f>Risk_Compensation!$AJ$14</f>
        <v>geschätzte Risikoausgleichssätze, pro Monat in CHF (ohne Entlastung junge Erwachsene)</v>
      </c>
      <c r="E5570" s="1390">
        <f>Risk_Compensation!$AJ41</f>
        <v>24</v>
      </c>
      <c r="F5570" s="1390" t="str">
        <f>Risk_Compensation!$P$17</f>
        <v>GL</v>
      </c>
      <c r="G5570" s="1390"/>
      <c r="H5570" s="1077">
        <f>Risk_Compensation!$AS41</f>
        <v>72.760047613074505</v>
      </c>
    </row>
    <row r="5571" spans="1:8" x14ac:dyDescent="0.2">
      <c r="A5571" s="1027"/>
      <c r="B5571" s="1083">
        <f>Risk_Compensation!A$1</f>
        <v>36</v>
      </c>
      <c r="C5571" s="1390" t="str">
        <f>Risk_Compensation!$B$1</f>
        <v xml:space="preserve">Risikoausgleich </v>
      </c>
      <c r="D5571" s="1743" t="str">
        <f>Risk_Compensation!$AJ$14</f>
        <v>geschätzte Risikoausgleichssätze, pro Monat in CHF (ohne Entlastung junge Erwachsene)</v>
      </c>
      <c r="E5571" s="1390">
        <f>Risk_Compensation!$AJ42</f>
        <v>25</v>
      </c>
      <c r="F5571" s="1390" t="str">
        <f>Risk_Compensation!$P$17</f>
        <v>GL</v>
      </c>
      <c r="G5571" s="1390"/>
      <c r="H5571" s="1077">
        <f>Risk_Compensation!$AS42</f>
        <v>1116.9629709030501</v>
      </c>
    </row>
    <row r="5572" spans="1:8" x14ac:dyDescent="0.2">
      <c r="A5572" s="1027"/>
      <c r="B5572" s="1083">
        <f>Risk_Compensation!A$1</f>
        <v>36</v>
      </c>
      <c r="C5572" s="1390" t="str">
        <f>Risk_Compensation!$B$1</f>
        <v xml:space="preserve">Risikoausgleich </v>
      </c>
      <c r="D5572" s="1743" t="str">
        <f>Risk_Compensation!$AJ$14</f>
        <v>geschätzte Risikoausgleichssätze, pro Monat in CHF (ohne Entlastung junge Erwachsene)</v>
      </c>
      <c r="E5572" s="1390">
        <f>Risk_Compensation!$AJ43</f>
        <v>26</v>
      </c>
      <c r="F5572" s="1390" t="str">
        <f>Risk_Compensation!$P$17</f>
        <v>GL</v>
      </c>
      <c r="G5572" s="1390"/>
      <c r="H5572" s="1077">
        <f>Risk_Compensation!$AS43</f>
        <v>190.055119209868</v>
      </c>
    </row>
    <row r="5573" spans="1:8" x14ac:dyDescent="0.2">
      <c r="A5573" s="1027"/>
      <c r="B5573" s="1083">
        <f>Risk_Compensation!A$1</f>
        <v>36</v>
      </c>
      <c r="C5573" s="1390" t="str">
        <f>Risk_Compensation!$B$1</f>
        <v xml:space="preserve">Risikoausgleich </v>
      </c>
      <c r="D5573" s="1743" t="str">
        <f>Risk_Compensation!$AJ$14</f>
        <v>geschätzte Risikoausgleichssätze, pro Monat in CHF (ohne Entlastung junge Erwachsene)</v>
      </c>
      <c r="E5573" s="1390">
        <f>Risk_Compensation!$AJ44</f>
        <v>27</v>
      </c>
      <c r="F5573" s="1390" t="str">
        <f>Risk_Compensation!$P$17</f>
        <v>GL</v>
      </c>
      <c r="G5573" s="1390"/>
      <c r="H5573" s="1077">
        <f>Risk_Compensation!$AS44</f>
        <v>884.50793181028598</v>
      </c>
    </row>
    <row r="5574" spans="1:8" x14ac:dyDescent="0.2">
      <c r="A5574" s="1027"/>
      <c r="B5574" s="1083">
        <f>Risk_Compensation!A$1</f>
        <v>36</v>
      </c>
      <c r="C5574" s="1390" t="str">
        <f>Risk_Compensation!$B$1</f>
        <v xml:space="preserve">Risikoausgleich </v>
      </c>
      <c r="D5574" s="1743" t="str">
        <f>Risk_Compensation!$AJ$14</f>
        <v>geschätzte Risikoausgleichssätze, pro Monat in CHF (ohne Entlastung junge Erwachsene)</v>
      </c>
      <c r="E5574" s="1390">
        <f>Risk_Compensation!$AJ45</f>
        <v>28</v>
      </c>
      <c r="F5574" s="1390" t="str">
        <f>Risk_Compensation!$P$17</f>
        <v>GL</v>
      </c>
      <c r="G5574" s="1390"/>
      <c r="H5574" s="1077">
        <f>Risk_Compensation!$AS45</f>
        <v>195.51071267805901</v>
      </c>
    </row>
    <row r="5575" spans="1:8" x14ac:dyDescent="0.2">
      <c r="A5575" s="1027"/>
      <c r="B5575" s="1083">
        <f>Risk_Compensation!A$1</f>
        <v>36</v>
      </c>
      <c r="C5575" s="1390" t="str">
        <f>Risk_Compensation!$B$1</f>
        <v xml:space="preserve">Risikoausgleich </v>
      </c>
      <c r="D5575" s="1743" t="str">
        <f>Risk_Compensation!$AJ$14</f>
        <v>geschätzte Risikoausgleichssätze, pro Monat in CHF (ohne Entlastung junge Erwachsene)</v>
      </c>
      <c r="E5575" s="1390">
        <f>Risk_Compensation!$AJ46</f>
        <v>29</v>
      </c>
      <c r="F5575" s="1390" t="str">
        <f>Risk_Compensation!$P$17</f>
        <v>GL</v>
      </c>
      <c r="G5575" s="1390"/>
      <c r="H5575" s="1077">
        <f>Risk_Compensation!$AS46</f>
        <v>964.35414387804894</v>
      </c>
    </row>
    <row r="5576" spans="1:8" x14ac:dyDescent="0.2">
      <c r="A5576" s="1027"/>
      <c r="B5576" s="1083">
        <f>Risk_Compensation!A$1</f>
        <v>36</v>
      </c>
      <c r="C5576" s="1390" t="str">
        <f>Risk_Compensation!$B$1</f>
        <v xml:space="preserve">Risikoausgleich </v>
      </c>
      <c r="D5576" s="1743" t="str">
        <f>Risk_Compensation!$AJ$14</f>
        <v>geschätzte Risikoausgleichssätze, pro Monat in CHF (ohne Entlastung junge Erwachsene)</v>
      </c>
      <c r="E5576" s="1390">
        <f>Risk_Compensation!$AJ47</f>
        <v>30</v>
      </c>
      <c r="F5576" s="1390" t="str">
        <f>Risk_Compensation!$P$17</f>
        <v>GL</v>
      </c>
      <c r="G5576" s="1390"/>
      <c r="H5576" s="1077">
        <f>Risk_Compensation!$AS47</f>
        <v>210.66628700773899</v>
      </c>
    </row>
    <row r="5577" spans="1:8" x14ac:dyDescent="0.2">
      <c r="A5577" s="1027"/>
      <c r="B5577" s="1083">
        <f>Risk_Compensation!A$1</f>
        <v>36</v>
      </c>
      <c r="C5577" s="1390" t="str">
        <f>Risk_Compensation!$B$1</f>
        <v xml:space="preserve">Risikoausgleich </v>
      </c>
      <c r="D5577" s="1743" t="str">
        <f>Risk_Compensation!$AJ$14</f>
        <v>geschätzte Risikoausgleichssätze, pro Monat in CHF (ohne Entlastung junge Erwachsene)</v>
      </c>
      <c r="E5577" s="1390">
        <f>Risk_Compensation!$AJ48</f>
        <v>31</v>
      </c>
      <c r="F5577" s="1390" t="str">
        <f>Risk_Compensation!$P$17</f>
        <v>GL</v>
      </c>
      <c r="G5577" s="1390"/>
      <c r="H5577" s="1077">
        <f>Risk_Compensation!$AS48</f>
        <v>986.26267691297096</v>
      </c>
    </row>
    <row r="5578" spans="1:8" x14ac:dyDescent="0.2">
      <c r="A5578" s="1027"/>
      <c r="B5578" s="1083">
        <f>Risk_Compensation!A$1</f>
        <v>36</v>
      </c>
      <c r="C5578" s="1390" t="str">
        <f>Risk_Compensation!$B$1</f>
        <v xml:space="preserve">Risikoausgleich </v>
      </c>
      <c r="D5578" s="1743" t="str">
        <f>Risk_Compensation!$AJ$14</f>
        <v>geschätzte Risikoausgleichssätze, pro Monat in CHF (ohne Entlastung junge Erwachsene)</v>
      </c>
      <c r="E5578" s="1390">
        <f>Risk_Compensation!$AJ49</f>
        <v>32</v>
      </c>
      <c r="F5578" s="1390" t="str">
        <f>Risk_Compensation!$P$17</f>
        <v>GL</v>
      </c>
      <c r="G5578" s="1390"/>
      <c r="H5578" s="1077">
        <f>Risk_Compensation!$AS49</f>
        <v>-212.950329564279</v>
      </c>
    </row>
    <row r="5579" spans="1:8" x14ac:dyDescent="0.2">
      <c r="A5579" s="1027"/>
      <c r="B5579" s="1083">
        <f>Risk_Compensation!A$1</f>
        <v>36</v>
      </c>
      <c r="C5579" s="1390" t="str">
        <f>Risk_Compensation!$B$1</f>
        <v xml:space="preserve">Risikoausgleich </v>
      </c>
      <c r="D5579" s="1743" t="str">
        <f>Risk_Compensation!$AJ$14</f>
        <v>geschätzte Risikoausgleichssätze, pro Monat in CHF (ohne Entlastung junge Erwachsene)</v>
      </c>
      <c r="E5579" s="1390">
        <f>Risk_Compensation!$AJ50</f>
        <v>33</v>
      </c>
      <c r="F5579" s="1390" t="str">
        <f>Risk_Compensation!$P$17</f>
        <v>GL</v>
      </c>
      <c r="G5579" s="1390"/>
      <c r="H5579" s="1077">
        <f>Risk_Compensation!$AS50</f>
        <v>351.25280754444901</v>
      </c>
    </row>
    <row r="5580" spans="1:8" x14ac:dyDescent="0.2">
      <c r="A5580" s="1027"/>
      <c r="B5580" s="1083">
        <f>Risk_Compensation!A$1</f>
        <v>36</v>
      </c>
      <c r="C5580" s="1390" t="str">
        <f>Risk_Compensation!$B$1</f>
        <v xml:space="preserve">Risikoausgleich </v>
      </c>
      <c r="D5580" s="1743" t="str">
        <f>Risk_Compensation!$AJ$14</f>
        <v>geschätzte Risikoausgleichssätze, pro Monat in CHF (ohne Entlastung junge Erwachsene)</v>
      </c>
      <c r="E5580" s="1390">
        <f>Risk_Compensation!$AJ51</f>
        <v>34</v>
      </c>
      <c r="F5580" s="1390" t="str">
        <f>Risk_Compensation!$P$17</f>
        <v>GL</v>
      </c>
      <c r="G5580" s="1390"/>
      <c r="H5580" s="1077">
        <f>Risk_Compensation!$AS51</f>
        <v>-150.72529286531201</v>
      </c>
    </row>
    <row r="5581" spans="1:8" x14ac:dyDescent="0.2">
      <c r="A5581" s="1027"/>
      <c r="B5581" s="1083">
        <f>Risk_Compensation!A$1</f>
        <v>36</v>
      </c>
      <c r="C5581" s="1390" t="str">
        <f>Risk_Compensation!$B$1</f>
        <v xml:space="preserve">Risikoausgleich </v>
      </c>
      <c r="D5581" s="1743" t="str">
        <f>Risk_Compensation!$AJ$14</f>
        <v>geschätzte Risikoausgleichssätze, pro Monat in CHF (ohne Entlastung junge Erwachsene)</v>
      </c>
      <c r="E5581" s="1390">
        <f>Risk_Compensation!$AJ52</f>
        <v>35</v>
      </c>
      <c r="F5581" s="1390" t="str">
        <f>Risk_Compensation!$P$17</f>
        <v>GL</v>
      </c>
      <c r="G5581" s="1390"/>
      <c r="H5581" s="1077">
        <f>Risk_Compensation!$AS52</f>
        <v>103.27956645250499</v>
      </c>
    </row>
    <row r="5582" spans="1:8" x14ac:dyDescent="0.2">
      <c r="A5582" s="1027"/>
      <c r="B5582" s="1083">
        <f>Risk_Compensation!A$1</f>
        <v>36</v>
      </c>
      <c r="C5582" s="1390" t="str">
        <f>Risk_Compensation!$B$1</f>
        <v xml:space="preserve">Risikoausgleich </v>
      </c>
      <c r="D5582" s="1743" t="str">
        <f>Risk_Compensation!$AJ$14</f>
        <v>geschätzte Risikoausgleichssätze, pro Monat in CHF (ohne Entlastung junge Erwachsene)</v>
      </c>
      <c r="E5582" s="1390">
        <f>Risk_Compensation!$AJ53</f>
        <v>36</v>
      </c>
      <c r="F5582" s="1390" t="str">
        <f>Risk_Compensation!$P$17</f>
        <v>GL</v>
      </c>
      <c r="G5582" s="1390"/>
      <c r="H5582" s="1077">
        <f>Risk_Compensation!$AS53</f>
        <v>-132.27936324289101</v>
      </c>
    </row>
    <row r="5583" spans="1:8" x14ac:dyDescent="0.2">
      <c r="A5583" s="1027"/>
      <c r="B5583" s="1083">
        <f>Risk_Compensation!A$1</f>
        <v>36</v>
      </c>
      <c r="C5583" s="1390" t="str">
        <f>Risk_Compensation!$B$1</f>
        <v xml:space="preserve">Risikoausgleich </v>
      </c>
      <c r="D5583" s="1743" t="str">
        <f>Risk_Compensation!$AJ$14</f>
        <v>geschätzte Risikoausgleichssätze, pro Monat in CHF (ohne Entlastung junge Erwachsene)</v>
      </c>
      <c r="E5583" s="1390">
        <f>Risk_Compensation!$AJ54</f>
        <v>37</v>
      </c>
      <c r="F5583" s="1390" t="str">
        <f>Risk_Compensation!$P$17</f>
        <v>GL</v>
      </c>
      <c r="G5583" s="1390"/>
      <c r="H5583" s="1077">
        <f>Risk_Compensation!$AS54</f>
        <v>306.43629718461699</v>
      </c>
    </row>
    <row r="5584" spans="1:8" x14ac:dyDescent="0.2">
      <c r="A5584" s="1027"/>
      <c r="B5584" s="1083">
        <f>Risk_Compensation!A$1</f>
        <v>36</v>
      </c>
      <c r="C5584" s="1390" t="str">
        <f>Risk_Compensation!$B$1</f>
        <v xml:space="preserve">Risikoausgleich </v>
      </c>
      <c r="D5584" s="1743" t="str">
        <f>Risk_Compensation!$AJ$14</f>
        <v>geschätzte Risikoausgleichssätze, pro Monat in CHF (ohne Entlastung junge Erwachsene)</v>
      </c>
      <c r="E5584" s="1390">
        <f>Risk_Compensation!$AJ55</f>
        <v>38</v>
      </c>
      <c r="F5584" s="1390" t="str">
        <f>Risk_Compensation!$P$17</f>
        <v>GL</v>
      </c>
      <c r="G5584" s="1390"/>
      <c r="H5584" s="1077">
        <f>Risk_Compensation!$AS55</f>
        <v>-187.62789569146599</v>
      </c>
    </row>
    <row r="5585" spans="1:8" x14ac:dyDescent="0.2">
      <c r="A5585" s="1027"/>
      <c r="B5585" s="1083">
        <f>Risk_Compensation!A$1</f>
        <v>36</v>
      </c>
      <c r="C5585" s="1390" t="str">
        <f>Risk_Compensation!$B$1</f>
        <v xml:space="preserve">Risikoausgleich </v>
      </c>
      <c r="D5585" s="1743" t="str">
        <f>Risk_Compensation!$AJ$14</f>
        <v>geschätzte Risikoausgleichssätze, pro Monat in CHF (ohne Entlastung junge Erwachsene)</v>
      </c>
      <c r="E5585" s="1390">
        <f>Risk_Compensation!$AJ56</f>
        <v>39</v>
      </c>
      <c r="F5585" s="1390" t="str">
        <f>Risk_Compensation!$P$17</f>
        <v>GL</v>
      </c>
      <c r="G5585" s="1390"/>
      <c r="H5585" s="1077">
        <f>Risk_Compensation!$AS56</f>
        <v>175.90965566592899</v>
      </c>
    </row>
    <row r="5586" spans="1:8" x14ac:dyDescent="0.2">
      <c r="A5586" s="1027"/>
      <c r="B5586" s="1083">
        <f>Risk_Compensation!A$1</f>
        <v>36</v>
      </c>
      <c r="C5586" s="1390" t="str">
        <f>Risk_Compensation!$B$1</f>
        <v xml:space="preserve">Risikoausgleich </v>
      </c>
      <c r="D5586" s="1743" t="str">
        <f>Risk_Compensation!$AJ$14</f>
        <v>geschätzte Risikoausgleichssätze, pro Monat in CHF (ohne Entlastung junge Erwachsene)</v>
      </c>
      <c r="E5586" s="1390">
        <f>Risk_Compensation!$AJ57</f>
        <v>40</v>
      </c>
      <c r="F5586" s="1390" t="str">
        <f>Risk_Compensation!$P$17</f>
        <v>GL</v>
      </c>
      <c r="G5586" s="1390"/>
      <c r="H5586" s="1077">
        <f>Risk_Compensation!$AS57</f>
        <v>-244.53518669475901</v>
      </c>
    </row>
    <row r="5587" spans="1:8" x14ac:dyDescent="0.2">
      <c r="A5587" s="1027"/>
      <c r="B5587" s="1083">
        <f>Risk_Compensation!A$1</f>
        <v>36</v>
      </c>
      <c r="C5587" s="1390" t="str">
        <f>Risk_Compensation!$B$1</f>
        <v xml:space="preserve">Risikoausgleich </v>
      </c>
      <c r="D5587" s="1743" t="str">
        <f>Risk_Compensation!$AJ$14</f>
        <v>geschätzte Risikoausgleichssätze, pro Monat in CHF (ohne Entlastung junge Erwachsene)</v>
      </c>
      <c r="E5587" s="1390">
        <f>Risk_Compensation!$AJ58</f>
        <v>41</v>
      </c>
      <c r="F5587" s="1390" t="str">
        <f>Risk_Compensation!$P$17</f>
        <v>GL</v>
      </c>
      <c r="G5587" s="1390"/>
      <c r="H5587" s="1077">
        <f>Risk_Compensation!$AS58</f>
        <v>140.09316378184499</v>
      </c>
    </row>
    <row r="5588" spans="1:8" x14ac:dyDescent="0.2">
      <c r="A5588" s="1027"/>
      <c r="B5588" s="1083">
        <f>Risk_Compensation!A$1</f>
        <v>36</v>
      </c>
      <c r="C5588" s="1390" t="str">
        <f>Risk_Compensation!$B$1</f>
        <v xml:space="preserve">Risikoausgleich </v>
      </c>
      <c r="D5588" s="1743" t="str">
        <f>Risk_Compensation!$AJ$14</f>
        <v>geschätzte Risikoausgleichssätze, pro Monat in CHF (ohne Entlastung junge Erwachsene)</v>
      </c>
      <c r="E5588" s="1390">
        <f>Risk_Compensation!$AJ59</f>
        <v>42</v>
      </c>
      <c r="F5588" s="1390" t="str">
        <f>Risk_Compensation!$P$17</f>
        <v>GL</v>
      </c>
      <c r="G5588" s="1390"/>
      <c r="H5588" s="1077">
        <f>Risk_Compensation!$AS59</f>
        <v>-219.02344213483599</v>
      </c>
    </row>
    <row r="5589" spans="1:8" x14ac:dyDescent="0.2">
      <c r="A5589" s="1027"/>
      <c r="B5589" s="1083">
        <f>Risk_Compensation!A$1</f>
        <v>36</v>
      </c>
      <c r="C5589" s="1390" t="str">
        <f>Risk_Compensation!$B$1</f>
        <v xml:space="preserve">Risikoausgleich </v>
      </c>
      <c r="D5589" s="1743" t="str">
        <f>Risk_Compensation!$AJ$14</f>
        <v>geschätzte Risikoausgleichssätze, pro Monat in CHF (ohne Entlastung junge Erwachsene)</v>
      </c>
      <c r="E5589" s="1390">
        <f>Risk_Compensation!$AJ60</f>
        <v>43</v>
      </c>
      <c r="F5589" s="1390" t="str">
        <f>Risk_Compensation!$P$17</f>
        <v>GL</v>
      </c>
      <c r="G5589" s="1390"/>
      <c r="H5589" s="1077">
        <f>Risk_Compensation!$AS60</f>
        <v>157.15160392995199</v>
      </c>
    </row>
    <row r="5590" spans="1:8" x14ac:dyDescent="0.2">
      <c r="A5590" s="1027"/>
      <c r="B5590" s="1083">
        <f>Risk_Compensation!A$1</f>
        <v>36</v>
      </c>
      <c r="C5590" s="1390" t="str">
        <f>Risk_Compensation!$B$1</f>
        <v xml:space="preserve">Risikoausgleich </v>
      </c>
      <c r="D5590" s="1743" t="str">
        <f>Risk_Compensation!$AJ$14</f>
        <v>geschätzte Risikoausgleichssätze, pro Monat in CHF (ohne Entlastung junge Erwachsene)</v>
      </c>
      <c r="E5590" s="1390">
        <f>Risk_Compensation!$AJ61</f>
        <v>44</v>
      </c>
      <c r="F5590" s="1390" t="str">
        <f>Risk_Compensation!$P$17</f>
        <v>GL</v>
      </c>
      <c r="G5590" s="1390"/>
      <c r="H5590" s="1077">
        <f>Risk_Compensation!$AS61</f>
        <v>-169.96336815702199</v>
      </c>
    </row>
    <row r="5591" spans="1:8" x14ac:dyDescent="0.2">
      <c r="A5591" s="1027"/>
      <c r="B5591" s="1083">
        <f>Risk_Compensation!A$1</f>
        <v>36</v>
      </c>
      <c r="C5591" s="1390" t="str">
        <f>Risk_Compensation!$B$1</f>
        <v xml:space="preserve">Risikoausgleich </v>
      </c>
      <c r="D5591" s="1743" t="str">
        <f>Risk_Compensation!$AJ$14</f>
        <v>geschätzte Risikoausgleichssätze, pro Monat in CHF (ohne Entlastung junge Erwachsene)</v>
      </c>
      <c r="E5591" s="1390">
        <f>Risk_Compensation!$AJ62</f>
        <v>45</v>
      </c>
      <c r="F5591" s="1390" t="str">
        <f>Risk_Compensation!$P$17</f>
        <v>GL</v>
      </c>
      <c r="G5591" s="1390"/>
      <c r="H5591" s="1077">
        <f>Risk_Compensation!$AS62</f>
        <v>145.867719114088</v>
      </c>
    </row>
    <row r="5592" spans="1:8" x14ac:dyDescent="0.2">
      <c r="A5592" s="1027"/>
      <c r="B5592" s="1083">
        <f>Risk_Compensation!A$1</f>
        <v>36</v>
      </c>
      <c r="C5592" s="1390" t="str">
        <f>Risk_Compensation!$B$1</f>
        <v xml:space="preserve">Risikoausgleich </v>
      </c>
      <c r="D5592" s="1743" t="str">
        <f>Risk_Compensation!$AJ$14</f>
        <v>geschätzte Risikoausgleichssätze, pro Monat in CHF (ohne Entlastung junge Erwachsene)</v>
      </c>
      <c r="E5592" s="1390">
        <f>Risk_Compensation!$AJ63</f>
        <v>46</v>
      </c>
      <c r="F5592" s="1390" t="str">
        <f>Risk_Compensation!$P$17</f>
        <v>GL</v>
      </c>
      <c r="G5592" s="1390"/>
      <c r="H5592" s="1077">
        <f>Risk_Compensation!$AS63</f>
        <v>-183.51863398915401</v>
      </c>
    </row>
    <row r="5593" spans="1:8" x14ac:dyDescent="0.2">
      <c r="A5593" s="1027"/>
      <c r="B5593" s="1083">
        <f>Risk_Compensation!A$1</f>
        <v>36</v>
      </c>
      <c r="C5593" s="1390" t="str">
        <f>Risk_Compensation!$B$1</f>
        <v xml:space="preserve">Risikoausgleich </v>
      </c>
      <c r="D5593" s="1743" t="str">
        <f>Risk_Compensation!$AJ$14</f>
        <v>geschätzte Risikoausgleichssätze, pro Monat in CHF (ohne Entlastung junge Erwachsene)</v>
      </c>
      <c r="E5593" s="1390">
        <f>Risk_Compensation!$AJ64</f>
        <v>47</v>
      </c>
      <c r="F5593" s="1390" t="str">
        <f>Risk_Compensation!$P$17</f>
        <v>GL</v>
      </c>
      <c r="G5593" s="1390"/>
      <c r="H5593" s="1077">
        <f>Risk_Compensation!$AS64</f>
        <v>265.11008188371102</v>
      </c>
    </row>
    <row r="5594" spans="1:8" x14ac:dyDescent="0.2">
      <c r="A5594" s="1027"/>
      <c r="B5594" s="1083">
        <f>Risk_Compensation!A$1</f>
        <v>36</v>
      </c>
      <c r="C5594" s="1390" t="str">
        <f>Risk_Compensation!$B$1</f>
        <v xml:space="preserve">Risikoausgleich </v>
      </c>
      <c r="D5594" s="1743" t="str">
        <f>Risk_Compensation!$AJ$14</f>
        <v>geschätzte Risikoausgleichssätze, pro Monat in CHF (ohne Entlastung junge Erwachsene)</v>
      </c>
      <c r="E5594" s="1390">
        <f>Risk_Compensation!$AJ65</f>
        <v>48</v>
      </c>
      <c r="F5594" s="1390" t="str">
        <f>Risk_Compensation!$P$17</f>
        <v>GL</v>
      </c>
      <c r="G5594" s="1390"/>
      <c r="H5594" s="1077">
        <f>Risk_Compensation!$AS65</f>
        <v>-151.07464771021699</v>
      </c>
    </row>
    <row r="5595" spans="1:8" x14ac:dyDescent="0.2">
      <c r="A5595" s="1027"/>
      <c r="B5595" s="1083">
        <f>Risk_Compensation!A$1</f>
        <v>36</v>
      </c>
      <c r="C5595" s="1390" t="str">
        <f>Risk_Compensation!$B$1</f>
        <v xml:space="preserve">Risikoausgleich </v>
      </c>
      <c r="D5595" s="1743" t="str">
        <f>Risk_Compensation!$AJ$14</f>
        <v>geschätzte Risikoausgleichssätze, pro Monat in CHF (ohne Entlastung junge Erwachsene)</v>
      </c>
      <c r="E5595" s="1390">
        <f>Risk_Compensation!$AJ66</f>
        <v>49</v>
      </c>
      <c r="F5595" s="1390" t="str">
        <f>Risk_Compensation!$P$17</f>
        <v>GL</v>
      </c>
      <c r="G5595" s="1390"/>
      <c r="H5595" s="1077">
        <f>Risk_Compensation!$AS66</f>
        <v>113.829267898298</v>
      </c>
    </row>
    <row r="5596" spans="1:8" x14ac:dyDescent="0.2">
      <c r="A5596" s="1027"/>
      <c r="B5596" s="1083">
        <f>Risk_Compensation!A$1</f>
        <v>36</v>
      </c>
      <c r="C5596" s="1390" t="str">
        <f>Risk_Compensation!$B$1</f>
        <v xml:space="preserve">Risikoausgleich </v>
      </c>
      <c r="D5596" s="1743" t="str">
        <f>Risk_Compensation!$AJ$14</f>
        <v>geschätzte Risikoausgleichssätze, pro Monat in CHF (ohne Entlastung junge Erwachsene)</v>
      </c>
      <c r="E5596" s="1390">
        <f>Risk_Compensation!$AJ67</f>
        <v>50</v>
      </c>
      <c r="F5596" s="1390" t="str">
        <f>Risk_Compensation!$P$17</f>
        <v>GL</v>
      </c>
      <c r="G5596" s="1390"/>
      <c r="H5596" s="1077">
        <f>Risk_Compensation!$AS67</f>
        <v>-188.23882303508699</v>
      </c>
    </row>
    <row r="5597" spans="1:8" x14ac:dyDescent="0.2">
      <c r="A5597" s="1027"/>
      <c r="B5597" s="1083">
        <f>Risk_Compensation!A$1</f>
        <v>36</v>
      </c>
      <c r="C5597" s="1390" t="str">
        <f>Risk_Compensation!$B$1</f>
        <v xml:space="preserve">Risikoausgleich </v>
      </c>
      <c r="D5597" s="1743" t="str">
        <f>Risk_Compensation!$AJ$14</f>
        <v>geschätzte Risikoausgleichssätze, pro Monat in CHF (ohne Entlastung junge Erwachsene)</v>
      </c>
      <c r="E5597" s="1390">
        <f>Risk_Compensation!$AJ68</f>
        <v>51</v>
      </c>
      <c r="F5597" s="1390" t="str">
        <f>Risk_Compensation!$P$17</f>
        <v>GL</v>
      </c>
      <c r="G5597" s="1390"/>
      <c r="H5597" s="1077">
        <f>Risk_Compensation!$AS68</f>
        <v>506.65279338576102</v>
      </c>
    </row>
    <row r="5598" spans="1:8" x14ac:dyDescent="0.2">
      <c r="A5598" s="1027"/>
      <c r="B5598" s="1083">
        <f>Risk_Compensation!A$1</f>
        <v>36</v>
      </c>
      <c r="C5598" s="1390" t="str">
        <f>Risk_Compensation!$B$1</f>
        <v xml:space="preserve">Risikoausgleich </v>
      </c>
      <c r="D5598" s="1743" t="str">
        <f>Risk_Compensation!$AJ$14</f>
        <v>geschätzte Risikoausgleichssätze, pro Monat in CHF (ohne Entlastung junge Erwachsene)</v>
      </c>
      <c r="E5598" s="1390">
        <f>Risk_Compensation!$AJ69</f>
        <v>52</v>
      </c>
      <c r="F5598" s="1390" t="str">
        <f>Risk_Compensation!$P$17</f>
        <v>GL</v>
      </c>
      <c r="G5598" s="1390"/>
      <c r="H5598" s="1077">
        <f>Risk_Compensation!$AS69</f>
        <v>-103.99401476704899</v>
      </c>
    </row>
    <row r="5599" spans="1:8" x14ac:dyDescent="0.2">
      <c r="A5599" s="1027"/>
      <c r="B5599" s="1083">
        <f>Risk_Compensation!A$1</f>
        <v>36</v>
      </c>
      <c r="C5599" s="1390" t="str">
        <f>Risk_Compensation!$B$1</f>
        <v xml:space="preserve">Risikoausgleich </v>
      </c>
      <c r="D5599" s="1743" t="str">
        <f>Risk_Compensation!$AJ$14</f>
        <v>geschätzte Risikoausgleichssätze, pro Monat in CHF (ohne Entlastung junge Erwachsene)</v>
      </c>
      <c r="E5599" s="1390">
        <f>Risk_Compensation!$AJ70</f>
        <v>53</v>
      </c>
      <c r="F5599" s="1390" t="str">
        <f>Risk_Compensation!$P$17</f>
        <v>GL</v>
      </c>
      <c r="G5599" s="1390"/>
      <c r="H5599" s="1077">
        <f>Risk_Compensation!$AS70</f>
        <v>517.67882972554696</v>
      </c>
    </row>
    <row r="5600" spans="1:8" x14ac:dyDescent="0.2">
      <c r="A5600" s="1027"/>
      <c r="B5600" s="1083">
        <f>Risk_Compensation!A$1</f>
        <v>36</v>
      </c>
      <c r="C5600" s="1390" t="str">
        <f>Risk_Compensation!$B$1</f>
        <v xml:space="preserve">Risikoausgleich </v>
      </c>
      <c r="D5600" s="1743" t="str">
        <f>Risk_Compensation!$AJ$14</f>
        <v>geschätzte Risikoausgleichssätze, pro Monat in CHF (ohne Entlastung junge Erwachsene)</v>
      </c>
      <c r="E5600" s="1390">
        <f>Risk_Compensation!$AJ71</f>
        <v>54</v>
      </c>
      <c r="F5600" s="1390" t="str">
        <f>Risk_Compensation!$P$17</f>
        <v>GL</v>
      </c>
      <c r="G5600" s="1390"/>
      <c r="H5600" s="1077">
        <f>Risk_Compensation!$AS71</f>
        <v>-13.000398704652</v>
      </c>
    </row>
    <row r="5601" spans="1:8" x14ac:dyDescent="0.2">
      <c r="A5601" s="1027"/>
      <c r="B5601" s="1083">
        <f>Risk_Compensation!A$1</f>
        <v>36</v>
      </c>
      <c r="C5601" s="1390" t="str">
        <f>Risk_Compensation!$B$1</f>
        <v xml:space="preserve">Risikoausgleich </v>
      </c>
      <c r="D5601" s="1743" t="str">
        <f>Risk_Compensation!$AJ$14</f>
        <v>geschätzte Risikoausgleichssätze, pro Monat in CHF (ohne Entlastung junge Erwachsene)</v>
      </c>
      <c r="E5601" s="1390">
        <f>Risk_Compensation!$AJ72</f>
        <v>55</v>
      </c>
      <c r="F5601" s="1390" t="str">
        <f>Risk_Compensation!$P$17</f>
        <v>GL</v>
      </c>
      <c r="G5601" s="1390"/>
      <c r="H5601" s="1077">
        <f>Risk_Compensation!$AS72</f>
        <v>754.31522954450804</v>
      </c>
    </row>
    <row r="5602" spans="1:8" x14ac:dyDescent="0.2">
      <c r="A5602" s="1027"/>
      <c r="B5602" s="1083">
        <f>Risk_Compensation!A$1</f>
        <v>36</v>
      </c>
      <c r="C5602" s="1390" t="str">
        <f>Risk_Compensation!$B$1</f>
        <v xml:space="preserve">Risikoausgleich </v>
      </c>
      <c r="D5602" s="1743" t="str">
        <f>Risk_Compensation!$AJ$14</f>
        <v>geschätzte Risikoausgleichssätze, pro Monat in CHF (ohne Entlastung junge Erwachsene)</v>
      </c>
      <c r="E5602" s="1390">
        <f>Risk_Compensation!$AJ73</f>
        <v>56</v>
      </c>
      <c r="F5602" s="1390" t="str">
        <f>Risk_Compensation!$P$17</f>
        <v>GL</v>
      </c>
      <c r="G5602" s="1390"/>
      <c r="H5602" s="1077">
        <f>Risk_Compensation!$AS73</f>
        <v>104.112233015716</v>
      </c>
    </row>
    <row r="5603" spans="1:8" x14ac:dyDescent="0.2">
      <c r="A5603" s="1027"/>
      <c r="B5603" s="1083">
        <f>Risk_Compensation!A$1</f>
        <v>36</v>
      </c>
      <c r="C5603" s="1390" t="str">
        <f>Risk_Compensation!$B$1</f>
        <v xml:space="preserve">Risikoausgleich </v>
      </c>
      <c r="D5603" s="1743" t="str">
        <f>Risk_Compensation!$AJ$14</f>
        <v>geschätzte Risikoausgleichssätze, pro Monat in CHF (ohne Entlastung junge Erwachsene)</v>
      </c>
      <c r="E5603" s="1390">
        <f>Risk_Compensation!$AJ74</f>
        <v>57</v>
      </c>
      <c r="F5603" s="1390" t="str">
        <f>Risk_Compensation!$P$17</f>
        <v>GL</v>
      </c>
      <c r="G5603" s="1390"/>
      <c r="H5603" s="1077">
        <f>Risk_Compensation!$AS74</f>
        <v>987.44172884241596</v>
      </c>
    </row>
    <row r="5604" spans="1:8" x14ac:dyDescent="0.2">
      <c r="A5604" s="1027"/>
      <c r="B5604" s="1083">
        <f>Risk_Compensation!A$1</f>
        <v>36</v>
      </c>
      <c r="C5604" s="1390" t="str">
        <f>Risk_Compensation!$B$1</f>
        <v xml:space="preserve">Risikoausgleich </v>
      </c>
      <c r="D5604" s="1743" t="str">
        <f>Risk_Compensation!$AJ$14</f>
        <v>geschätzte Risikoausgleichssätze, pro Monat in CHF (ohne Entlastung junge Erwachsene)</v>
      </c>
      <c r="E5604" s="1390">
        <f>Risk_Compensation!$AJ75</f>
        <v>58</v>
      </c>
      <c r="F5604" s="1390" t="str">
        <f>Risk_Compensation!$P$17</f>
        <v>GL</v>
      </c>
      <c r="G5604" s="1390"/>
      <c r="H5604" s="1077">
        <f>Risk_Compensation!$AS75</f>
        <v>191.52328503212499</v>
      </c>
    </row>
    <row r="5605" spans="1:8" x14ac:dyDescent="0.2">
      <c r="A5605" s="1027"/>
      <c r="B5605" s="1083">
        <f>Risk_Compensation!A$1</f>
        <v>36</v>
      </c>
      <c r="C5605" s="1390" t="str">
        <f>Risk_Compensation!$B$1</f>
        <v xml:space="preserve">Risikoausgleich </v>
      </c>
      <c r="D5605" s="1743" t="str">
        <f>Risk_Compensation!$AJ$14</f>
        <v>geschätzte Risikoausgleichssätze, pro Monat in CHF (ohne Entlastung junge Erwachsene)</v>
      </c>
      <c r="E5605" s="1390">
        <f>Risk_Compensation!$AJ76</f>
        <v>59</v>
      </c>
      <c r="F5605" s="1390" t="str">
        <f>Risk_Compensation!$P$17</f>
        <v>GL</v>
      </c>
      <c r="G5605" s="1390"/>
      <c r="H5605" s="1077">
        <f>Risk_Compensation!$AS76</f>
        <v>1129.75183025755</v>
      </c>
    </row>
    <row r="5606" spans="1:8" x14ac:dyDescent="0.2">
      <c r="A5606" s="1027"/>
      <c r="B5606" s="1083">
        <f>Risk_Compensation!A$1</f>
        <v>36</v>
      </c>
      <c r="C5606" s="1390" t="str">
        <f>Risk_Compensation!$B$1</f>
        <v xml:space="preserve">Risikoausgleich </v>
      </c>
      <c r="D5606" s="1743" t="str">
        <f>Risk_Compensation!$AJ$14</f>
        <v>geschätzte Risikoausgleichssätze, pro Monat in CHF (ohne Entlastung junge Erwachsene)</v>
      </c>
      <c r="E5606" s="1390">
        <f>Risk_Compensation!$AJ77</f>
        <v>60</v>
      </c>
      <c r="F5606" s="1390" t="str">
        <f>Risk_Compensation!$P$17</f>
        <v>GL</v>
      </c>
      <c r="G5606" s="1390"/>
      <c r="H5606" s="1077">
        <f>Risk_Compensation!$AS77</f>
        <v>350.63598567892598</v>
      </c>
    </row>
    <row r="5607" spans="1:8" x14ac:dyDescent="0.2">
      <c r="A5607" s="1027"/>
      <c r="B5607" s="2174"/>
      <c r="C5607" s="1390"/>
      <c r="D5607" s="2175"/>
      <c r="E5607" s="2176"/>
      <c r="F5607" s="1390"/>
      <c r="G5607" s="1390"/>
      <c r="H5607" s="1078"/>
    </row>
    <row r="5608" spans="1:8" x14ac:dyDescent="0.2">
      <c r="A5608" s="1027"/>
      <c r="B5608" s="1083">
        <f>Risk_Compensation!A$1</f>
        <v>36</v>
      </c>
      <c r="C5608" s="1390" t="str">
        <f>Risk_Compensation!$B$1</f>
        <v xml:space="preserve">Risikoausgleich </v>
      </c>
      <c r="D5608" s="1743" t="str">
        <f>Risk_Compensation!$AJ$14</f>
        <v>geschätzte Risikoausgleichssätze, pro Monat in CHF (ohne Entlastung junge Erwachsene)</v>
      </c>
      <c r="E5608" s="1390">
        <f>Risk_Compensation!$AJ18</f>
        <v>1</v>
      </c>
      <c r="F5608" s="1390" t="str">
        <f>Risk_Compensation!$Q$17</f>
        <v>GR</v>
      </c>
      <c r="G5608" s="1390"/>
      <c r="H5608" s="1077">
        <f>Risk_Compensation!$AT18</f>
        <v>224.040495488228</v>
      </c>
    </row>
    <row r="5609" spans="1:8" x14ac:dyDescent="0.2">
      <c r="A5609" s="1027"/>
      <c r="B5609" s="1083">
        <f>Risk_Compensation!A$1</f>
        <v>36</v>
      </c>
      <c r="C5609" s="1390" t="str">
        <f>Risk_Compensation!$B$1</f>
        <v xml:space="preserve">Risikoausgleich </v>
      </c>
      <c r="D5609" s="1743" t="str">
        <f>Risk_Compensation!$AJ$14</f>
        <v>geschätzte Risikoausgleichssätze, pro Monat in CHF (ohne Entlastung junge Erwachsene)</v>
      </c>
      <c r="E5609" s="1390">
        <f>Risk_Compensation!$AJ19</f>
        <v>2</v>
      </c>
      <c r="F5609" s="1390" t="str">
        <f>Risk_Compensation!$Q$17</f>
        <v>GR</v>
      </c>
      <c r="G5609" s="1390"/>
      <c r="H5609" s="1077">
        <f>Risk_Compensation!$AT19</f>
        <v>-279.65460088083699</v>
      </c>
    </row>
    <row r="5610" spans="1:8" x14ac:dyDescent="0.2">
      <c r="A5610" s="1027"/>
      <c r="B5610" s="1083">
        <f>Risk_Compensation!A$1</f>
        <v>36</v>
      </c>
      <c r="C5610" s="1390" t="str">
        <f>Risk_Compensation!$B$1</f>
        <v xml:space="preserve">Risikoausgleich </v>
      </c>
      <c r="D5610" s="1743" t="str">
        <f>Risk_Compensation!$AJ$14</f>
        <v>geschätzte Risikoausgleichssätze, pro Monat in CHF (ohne Entlastung junge Erwachsene)</v>
      </c>
      <c r="E5610" s="1390">
        <f>Risk_Compensation!$AJ20</f>
        <v>3</v>
      </c>
      <c r="F5610" s="1390" t="str">
        <f>Risk_Compensation!$Q$17</f>
        <v>GR</v>
      </c>
      <c r="G5610" s="1390"/>
      <c r="H5610" s="1077">
        <f>Risk_Compensation!$AT20</f>
        <v>193.75282313213901</v>
      </c>
    </row>
    <row r="5611" spans="1:8" x14ac:dyDescent="0.2">
      <c r="A5611" s="1027"/>
      <c r="B5611" s="1083">
        <f>Risk_Compensation!A$1</f>
        <v>36</v>
      </c>
      <c r="C5611" s="1390" t="str">
        <f>Risk_Compensation!$B$1</f>
        <v xml:space="preserve">Risikoausgleich </v>
      </c>
      <c r="D5611" s="1743" t="str">
        <f>Risk_Compensation!$AJ$14</f>
        <v>geschätzte Risikoausgleichssätze, pro Monat in CHF (ohne Entlastung junge Erwachsene)</v>
      </c>
      <c r="E5611" s="1390">
        <f>Risk_Compensation!$AJ21</f>
        <v>4</v>
      </c>
      <c r="F5611" s="1390" t="str">
        <f>Risk_Compensation!$Q$17</f>
        <v>GR</v>
      </c>
      <c r="G5611" s="1390"/>
      <c r="H5611" s="1077">
        <f>Risk_Compensation!$AT21</f>
        <v>-264.34877507320198</v>
      </c>
    </row>
    <row r="5612" spans="1:8" x14ac:dyDescent="0.2">
      <c r="A5612" s="1027"/>
      <c r="B5612" s="1083">
        <f>Risk_Compensation!A$1</f>
        <v>36</v>
      </c>
      <c r="C5612" s="1390" t="str">
        <f>Risk_Compensation!$B$1</f>
        <v xml:space="preserve">Risikoausgleich </v>
      </c>
      <c r="D5612" s="1743" t="str">
        <f>Risk_Compensation!$AJ$14</f>
        <v>geschätzte Risikoausgleichssätze, pro Monat in CHF (ohne Entlastung junge Erwachsene)</v>
      </c>
      <c r="E5612" s="1390">
        <f>Risk_Compensation!$AJ22</f>
        <v>5</v>
      </c>
      <c r="F5612" s="1390" t="str">
        <f>Risk_Compensation!$Q$17</f>
        <v>GR</v>
      </c>
      <c r="G5612" s="1390"/>
      <c r="H5612" s="1077">
        <f>Risk_Compensation!$AT22</f>
        <v>185.32405629978999</v>
      </c>
    </row>
    <row r="5613" spans="1:8" x14ac:dyDescent="0.2">
      <c r="A5613" s="1027"/>
      <c r="B5613" s="1083">
        <f>Risk_Compensation!A$1</f>
        <v>36</v>
      </c>
      <c r="C5613" s="1390" t="str">
        <f>Risk_Compensation!$B$1</f>
        <v xml:space="preserve">Risikoausgleich </v>
      </c>
      <c r="D5613" s="1743" t="str">
        <f>Risk_Compensation!$AJ$14</f>
        <v>geschätzte Risikoausgleichssätze, pro Monat in CHF (ohne Entlastung junge Erwachsene)</v>
      </c>
      <c r="E5613" s="1390">
        <f>Risk_Compensation!$AJ23</f>
        <v>6</v>
      </c>
      <c r="F5613" s="1390" t="str">
        <f>Risk_Compensation!$Q$17</f>
        <v>GR</v>
      </c>
      <c r="G5613" s="1390"/>
      <c r="H5613" s="1077">
        <f>Risk_Compensation!$AT23</f>
        <v>-282.43453303419801</v>
      </c>
    </row>
    <row r="5614" spans="1:8" x14ac:dyDescent="0.2">
      <c r="A5614" s="1027"/>
      <c r="B5614" s="1083">
        <f>Risk_Compensation!A$1</f>
        <v>36</v>
      </c>
      <c r="C5614" s="1390" t="str">
        <f>Risk_Compensation!$B$1</f>
        <v xml:space="preserve">Risikoausgleich </v>
      </c>
      <c r="D5614" s="1743" t="str">
        <f>Risk_Compensation!$AJ$14</f>
        <v>geschätzte Risikoausgleichssätze, pro Monat in CHF (ohne Entlastung junge Erwachsene)</v>
      </c>
      <c r="E5614" s="1390">
        <f>Risk_Compensation!$AJ24</f>
        <v>7</v>
      </c>
      <c r="F5614" s="1390" t="str">
        <f>Risk_Compensation!$Q$17</f>
        <v>GR</v>
      </c>
      <c r="G5614" s="1390"/>
      <c r="H5614" s="1077">
        <f>Risk_Compensation!$AT24</f>
        <v>312.37918084353799</v>
      </c>
    </row>
    <row r="5615" spans="1:8" x14ac:dyDescent="0.2">
      <c r="A5615" s="1027"/>
      <c r="B5615" s="1083">
        <f>Risk_Compensation!A$1</f>
        <v>36</v>
      </c>
      <c r="C5615" s="1390" t="str">
        <f>Risk_Compensation!$B$1</f>
        <v xml:space="preserve">Risikoausgleich </v>
      </c>
      <c r="D5615" s="1743" t="str">
        <f>Risk_Compensation!$AJ$14</f>
        <v>geschätzte Risikoausgleichssätze, pro Monat in CHF (ohne Entlastung junge Erwachsene)</v>
      </c>
      <c r="E5615" s="1390">
        <f>Risk_Compensation!$AJ25</f>
        <v>8</v>
      </c>
      <c r="F5615" s="1390" t="str">
        <f>Risk_Compensation!$Q$17</f>
        <v>GR</v>
      </c>
      <c r="G5615" s="1390"/>
      <c r="H5615" s="1077">
        <f>Risk_Compensation!$AT25</f>
        <v>-280.26892224705301</v>
      </c>
    </row>
    <row r="5616" spans="1:8" x14ac:dyDescent="0.2">
      <c r="A5616" s="1027"/>
      <c r="B5616" s="1083">
        <f>Risk_Compensation!A$1</f>
        <v>36</v>
      </c>
      <c r="C5616" s="1390" t="str">
        <f>Risk_Compensation!$B$1</f>
        <v xml:space="preserve">Risikoausgleich </v>
      </c>
      <c r="D5616" s="1743" t="str">
        <f>Risk_Compensation!$AJ$14</f>
        <v>geschätzte Risikoausgleichssätze, pro Monat in CHF (ohne Entlastung junge Erwachsene)</v>
      </c>
      <c r="E5616" s="1390">
        <f>Risk_Compensation!$AJ26</f>
        <v>9</v>
      </c>
      <c r="F5616" s="1390" t="str">
        <f>Risk_Compensation!$Q$17</f>
        <v>GR</v>
      </c>
      <c r="G5616" s="1390"/>
      <c r="H5616" s="1077">
        <f>Risk_Compensation!$AT26</f>
        <v>279.515546813534</v>
      </c>
    </row>
    <row r="5617" spans="1:8" x14ac:dyDescent="0.2">
      <c r="A5617" s="1027"/>
      <c r="B5617" s="1083">
        <f>Risk_Compensation!A$1</f>
        <v>36</v>
      </c>
      <c r="C5617" s="1390" t="str">
        <f>Risk_Compensation!$B$1</f>
        <v xml:space="preserve">Risikoausgleich </v>
      </c>
      <c r="D5617" s="1743" t="str">
        <f>Risk_Compensation!$AJ$14</f>
        <v>geschätzte Risikoausgleichssätze, pro Monat in CHF (ohne Entlastung junge Erwachsene)</v>
      </c>
      <c r="E5617" s="1390">
        <f>Risk_Compensation!$AJ27</f>
        <v>10</v>
      </c>
      <c r="F5617" s="1390" t="str">
        <f>Risk_Compensation!$Q$17</f>
        <v>GR</v>
      </c>
      <c r="G5617" s="1390"/>
      <c r="H5617" s="1077">
        <f>Risk_Compensation!$AT27</f>
        <v>-278.142796507691</v>
      </c>
    </row>
    <row r="5618" spans="1:8" x14ac:dyDescent="0.2">
      <c r="A5618" s="1027"/>
      <c r="B5618" s="1083">
        <f>Risk_Compensation!A$1</f>
        <v>36</v>
      </c>
      <c r="C5618" s="1390" t="str">
        <f>Risk_Compensation!$B$1</f>
        <v xml:space="preserve">Risikoausgleich </v>
      </c>
      <c r="D5618" s="1743" t="str">
        <f>Risk_Compensation!$AJ$14</f>
        <v>geschätzte Risikoausgleichssätze, pro Monat in CHF (ohne Entlastung junge Erwachsene)</v>
      </c>
      <c r="E5618" s="1390">
        <f>Risk_Compensation!$AJ28</f>
        <v>11</v>
      </c>
      <c r="F5618" s="1390" t="str">
        <f>Risk_Compensation!$Q$17</f>
        <v>GR</v>
      </c>
      <c r="G5618" s="1390"/>
      <c r="H5618" s="1077">
        <f>Risk_Compensation!$AT28</f>
        <v>195.19233986942999</v>
      </c>
    </row>
    <row r="5619" spans="1:8" x14ac:dyDescent="0.2">
      <c r="A5619" s="1027"/>
      <c r="B5619" s="1083">
        <f>Risk_Compensation!A$1</f>
        <v>36</v>
      </c>
      <c r="C5619" s="1390" t="str">
        <f>Risk_Compensation!$B$1</f>
        <v xml:space="preserve">Risikoausgleich </v>
      </c>
      <c r="D5619" s="1743" t="str">
        <f>Risk_Compensation!$AJ$14</f>
        <v>geschätzte Risikoausgleichssätze, pro Monat in CHF (ohne Entlastung junge Erwachsene)</v>
      </c>
      <c r="E5619" s="1390">
        <f>Risk_Compensation!$AJ29</f>
        <v>12</v>
      </c>
      <c r="F5619" s="1390" t="str">
        <f>Risk_Compensation!$Q$17</f>
        <v>GR</v>
      </c>
      <c r="G5619" s="1390"/>
      <c r="H5619" s="1077">
        <f>Risk_Compensation!$AT29</f>
        <v>-258.60768426354099</v>
      </c>
    </row>
    <row r="5620" spans="1:8" x14ac:dyDescent="0.2">
      <c r="A5620" s="1027"/>
      <c r="B5620" s="1083">
        <f>Risk_Compensation!A$1</f>
        <v>36</v>
      </c>
      <c r="C5620" s="1390" t="str">
        <f>Risk_Compensation!$B$1</f>
        <v xml:space="preserve">Risikoausgleich </v>
      </c>
      <c r="D5620" s="1743" t="str">
        <f>Risk_Compensation!$AJ$14</f>
        <v>geschätzte Risikoausgleichssätze, pro Monat in CHF (ohne Entlastung junge Erwachsene)</v>
      </c>
      <c r="E5620" s="1390">
        <f>Risk_Compensation!$AJ30</f>
        <v>13</v>
      </c>
      <c r="F5620" s="1390" t="str">
        <f>Risk_Compensation!$Q$17</f>
        <v>GR</v>
      </c>
      <c r="G5620" s="1390"/>
      <c r="H5620" s="1077">
        <f>Risk_Compensation!$AT30</f>
        <v>418.48036150259497</v>
      </c>
    </row>
    <row r="5621" spans="1:8" x14ac:dyDescent="0.2">
      <c r="A5621" s="1027"/>
      <c r="B5621" s="1083">
        <f>Risk_Compensation!A$1</f>
        <v>36</v>
      </c>
      <c r="C5621" s="1390" t="str">
        <f>Risk_Compensation!$B$1</f>
        <v xml:space="preserve">Risikoausgleich </v>
      </c>
      <c r="D5621" s="1743" t="str">
        <f>Risk_Compensation!$AJ$14</f>
        <v>geschätzte Risikoausgleichssätze, pro Monat in CHF (ohne Entlastung junge Erwachsene)</v>
      </c>
      <c r="E5621" s="1390">
        <f>Risk_Compensation!$AJ31</f>
        <v>14</v>
      </c>
      <c r="F5621" s="1390" t="str">
        <f>Risk_Compensation!$Q$17</f>
        <v>GR</v>
      </c>
      <c r="G5621" s="1390"/>
      <c r="H5621" s="1077">
        <f>Risk_Compensation!$AT31</f>
        <v>-221.72016956311899</v>
      </c>
    </row>
    <row r="5622" spans="1:8" x14ac:dyDescent="0.2">
      <c r="A5622" s="1027"/>
      <c r="B5622" s="1083">
        <f>Risk_Compensation!A$1</f>
        <v>36</v>
      </c>
      <c r="C5622" s="1390" t="str">
        <f>Risk_Compensation!$B$1</f>
        <v xml:space="preserve">Risikoausgleich </v>
      </c>
      <c r="D5622" s="1743" t="str">
        <f>Risk_Compensation!$AJ$14</f>
        <v>geschätzte Risikoausgleichssätze, pro Monat in CHF (ohne Entlastung junge Erwachsene)</v>
      </c>
      <c r="E5622" s="1390">
        <f>Risk_Compensation!$AJ32</f>
        <v>15</v>
      </c>
      <c r="F5622" s="1390" t="str">
        <f>Risk_Compensation!$Q$17</f>
        <v>GR</v>
      </c>
      <c r="G5622" s="1390"/>
      <c r="H5622" s="1077">
        <f>Risk_Compensation!$AT32</f>
        <v>299.87602990418799</v>
      </c>
    </row>
    <row r="5623" spans="1:8" x14ac:dyDescent="0.2">
      <c r="A5623" s="1027"/>
      <c r="B5623" s="1083">
        <f>Risk_Compensation!A$1</f>
        <v>36</v>
      </c>
      <c r="C5623" s="1390" t="str">
        <f>Risk_Compensation!$B$1</f>
        <v xml:space="preserve">Risikoausgleich </v>
      </c>
      <c r="D5623" s="1743" t="str">
        <f>Risk_Compensation!$AJ$14</f>
        <v>geschätzte Risikoausgleichssätze, pro Monat in CHF (ohne Entlastung junge Erwachsene)</v>
      </c>
      <c r="E5623" s="1390">
        <f>Risk_Compensation!$AJ33</f>
        <v>16</v>
      </c>
      <c r="F5623" s="1390" t="str">
        <f>Risk_Compensation!$Q$17</f>
        <v>GR</v>
      </c>
      <c r="G5623" s="1390"/>
      <c r="H5623" s="1077">
        <f>Risk_Compensation!$AT33</f>
        <v>-190.145089853234</v>
      </c>
    </row>
    <row r="5624" spans="1:8" x14ac:dyDescent="0.2">
      <c r="A5624" s="1027"/>
      <c r="B5624" s="1083">
        <f>Risk_Compensation!A$1</f>
        <v>36</v>
      </c>
      <c r="C5624" s="1390" t="str">
        <f>Risk_Compensation!$B$1</f>
        <v xml:space="preserve">Risikoausgleich </v>
      </c>
      <c r="D5624" s="1743" t="str">
        <f>Risk_Compensation!$AJ$14</f>
        <v>geschätzte Risikoausgleichssätze, pro Monat in CHF (ohne Entlastung junge Erwachsene)</v>
      </c>
      <c r="E5624" s="1390">
        <f>Risk_Compensation!$AJ34</f>
        <v>17</v>
      </c>
      <c r="F5624" s="1390" t="str">
        <f>Risk_Compensation!$Q$17</f>
        <v>GR</v>
      </c>
      <c r="G5624" s="1390"/>
      <c r="H5624" s="1077">
        <f>Risk_Compensation!$AT34</f>
        <v>424.98633702232701</v>
      </c>
    </row>
    <row r="5625" spans="1:8" x14ac:dyDescent="0.2">
      <c r="A5625" s="1027"/>
      <c r="B5625" s="1083">
        <f>Risk_Compensation!A$1</f>
        <v>36</v>
      </c>
      <c r="C5625" s="1390" t="str">
        <f>Risk_Compensation!$B$1</f>
        <v xml:space="preserve">Risikoausgleich </v>
      </c>
      <c r="D5625" s="1743" t="str">
        <f>Risk_Compensation!$AJ$14</f>
        <v>geschätzte Risikoausgleichssätze, pro Monat in CHF (ohne Entlastung junge Erwachsene)</v>
      </c>
      <c r="E5625" s="1390">
        <f>Risk_Compensation!$AJ35</f>
        <v>18</v>
      </c>
      <c r="F5625" s="1390" t="str">
        <f>Risk_Compensation!$Q$17</f>
        <v>GR</v>
      </c>
      <c r="G5625" s="1390"/>
      <c r="H5625" s="1077">
        <f>Risk_Compensation!$AT35</f>
        <v>-144.316167170412</v>
      </c>
    </row>
    <row r="5626" spans="1:8" x14ac:dyDescent="0.2">
      <c r="A5626" s="1027"/>
      <c r="B5626" s="1083">
        <f>Risk_Compensation!A$1</f>
        <v>36</v>
      </c>
      <c r="C5626" s="1390" t="str">
        <f>Risk_Compensation!$B$1</f>
        <v xml:space="preserve">Risikoausgleich </v>
      </c>
      <c r="D5626" s="1743" t="str">
        <f>Risk_Compensation!$AJ$14</f>
        <v>geschätzte Risikoausgleichssätze, pro Monat in CHF (ohne Entlastung junge Erwachsene)</v>
      </c>
      <c r="E5626" s="1390">
        <f>Risk_Compensation!$AJ36</f>
        <v>19</v>
      </c>
      <c r="F5626" s="1390" t="str">
        <f>Risk_Compensation!$Q$17</f>
        <v>GR</v>
      </c>
      <c r="G5626" s="1390"/>
      <c r="H5626" s="1077">
        <f>Risk_Compensation!$AT36</f>
        <v>508.20615079438801</v>
      </c>
    </row>
    <row r="5627" spans="1:8" x14ac:dyDescent="0.2">
      <c r="A5627" s="1027"/>
      <c r="B5627" s="1083">
        <f>Risk_Compensation!A$1</f>
        <v>36</v>
      </c>
      <c r="C5627" s="1390" t="str">
        <f>Risk_Compensation!$B$1</f>
        <v xml:space="preserve">Risikoausgleich </v>
      </c>
      <c r="D5627" s="1743" t="str">
        <f>Risk_Compensation!$AJ$14</f>
        <v>geschätzte Risikoausgleichssätze, pro Monat in CHF (ohne Entlastung junge Erwachsene)</v>
      </c>
      <c r="E5627" s="1390">
        <f>Risk_Compensation!$AJ37</f>
        <v>20</v>
      </c>
      <c r="F5627" s="1390" t="str">
        <f>Risk_Compensation!$Q$17</f>
        <v>GR</v>
      </c>
      <c r="G5627" s="1390"/>
      <c r="H5627" s="1077">
        <f>Risk_Compensation!$AT37</f>
        <v>-102.493174750923</v>
      </c>
    </row>
    <row r="5628" spans="1:8" x14ac:dyDescent="0.2">
      <c r="A5628" s="1027"/>
      <c r="B5628" s="1083">
        <f>Risk_Compensation!A$1</f>
        <v>36</v>
      </c>
      <c r="C5628" s="1390" t="str">
        <f>Risk_Compensation!$B$1</f>
        <v xml:space="preserve">Risikoausgleich </v>
      </c>
      <c r="D5628" s="1743" t="str">
        <f>Risk_Compensation!$AJ$14</f>
        <v>geschätzte Risikoausgleichssätze, pro Monat in CHF (ohne Entlastung junge Erwachsene)</v>
      </c>
      <c r="E5628" s="1390">
        <f>Risk_Compensation!$AJ38</f>
        <v>21</v>
      </c>
      <c r="F5628" s="1390" t="str">
        <f>Risk_Compensation!$Q$17</f>
        <v>GR</v>
      </c>
      <c r="G5628" s="1390"/>
      <c r="H5628" s="1077">
        <f>Risk_Compensation!$AT38</f>
        <v>596.92280303700704</v>
      </c>
    </row>
    <row r="5629" spans="1:8" x14ac:dyDescent="0.2">
      <c r="A5629" s="1027"/>
      <c r="B5629" s="1083">
        <f>Risk_Compensation!A$1</f>
        <v>36</v>
      </c>
      <c r="C5629" s="1390" t="str">
        <f>Risk_Compensation!$B$1</f>
        <v xml:space="preserve">Risikoausgleich </v>
      </c>
      <c r="D5629" s="1743" t="str">
        <f>Risk_Compensation!$AJ$14</f>
        <v>geschätzte Risikoausgleichssätze, pro Monat in CHF (ohne Entlastung junge Erwachsene)</v>
      </c>
      <c r="E5629" s="1390">
        <f>Risk_Compensation!$AJ39</f>
        <v>22</v>
      </c>
      <c r="F5629" s="1390" t="str">
        <f>Risk_Compensation!$Q$17</f>
        <v>GR</v>
      </c>
      <c r="G5629" s="1390"/>
      <c r="H5629" s="1077">
        <f>Risk_Compensation!$AT39</f>
        <v>-28.313969876688098</v>
      </c>
    </row>
    <row r="5630" spans="1:8" x14ac:dyDescent="0.2">
      <c r="A5630" s="1027"/>
      <c r="B5630" s="1083">
        <f>Risk_Compensation!A$1</f>
        <v>36</v>
      </c>
      <c r="C5630" s="1390" t="str">
        <f>Risk_Compensation!$B$1</f>
        <v xml:space="preserve">Risikoausgleich </v>
      </c>
      <c r="D5630" s="1743" t="str">
        <f>Risk_Compensation!$AJ$14</f>
        <v>geschätzte Risikoausgleichssätze, pro Monat in CHF (ohne Entlastung junge Erwachsene)</v>
      </c>
      <c r="E5630" s="1390">
        <f>Risk_Compensation!$AJ40</f>
        <v>23</v>
      </c>
      <c r="F5630" s="1390" t="str">
        <f>Risk_Compensation!$Q$17</f>
        <v>GR</v>
      </c>
      <c r="G5630" s="1390"/>
      <c r="H5630" s="1077">
        <f>Risk_Compensation!$AT40</f>
        <v>776.00632995222998</v>
      </c>
    </row>
    <row r="5631" spans="1:8" x14ac:dyDescent="0.2">
      <c r="A5631" s="1027"/>
      <c r="B5631" s="1083">
        <f>Risk_Compensation!A$1</f>
        <v>36</v>
      </c>
      <c r="C5631" s="1390" t="str">
        <f>Risk_Compensation!$B$1</f>
        <v xml:space="preserve">Risikoausgleich </v>
      </c>
      <c r="D5631" s="1743" t="str">
        <f>Risk_Compensation!$AJ$14</f>
        <v>geschätzte Risikoausgleichssätze, pro Monat in CHF (ohne Entlastung junge Erwachsene)</v>
      </c>
      <c r="E5631" s="1390">
        <f>Risk_Compensation!$AJ41</f>
        <v>24</v>
      </c>
      <c r="F5631" s="1390" t="str">
        <f>Risk_Compensation!$Q$17</f>
        <v>GR</v>
      </c>
      <c r="G5631" s="1390"/>
      <c r="H5631" s="1077">
        <f>Risk_Compensation!$AT41</f>
        <v>10.0401172263695</v>
      </c>
    </row>
    <row r="5632" spans="1:8" x14ac:dyDescent="0.2">
      <c r="A5632" s="1027"/>
      <c r="B5632" s="1083">
        <f>Risk_Compensation!A$1</f>
        <v>36</v>
      </c>
      <c r="C5632" s="1390" t="str">
        <f>Risk_Compensation!$B$1</f>
        <v xml:space="preserve">Risikoausgleich </v>
      </c>
      <c r="D5632" s="1743" t="str">
        <f>Risk_Compensation!$AJ$14</f>
        <v>geschätzte Risikoausgleichssätze, pro Monat in CHF (ohne Entlastung junge Erwachsene)</v>
      </c>
      <c r="E5632" s="1390">
        <f>Risk_Compensation!$AJ42</f>
        <v>25</v>
      </c>
      <c r="F5632" s="1390" t="str">
        <f>Risk_Compensation!$Q$17</f>
        <v>GR</v>
      </c>
      <c r="G5632" s="1390"/>
      <c r="H5632" s="1077">
        <f>Risk_Compensation!$AT42</f>
        <v>921.34044505624195</v>
      </c>
    </row>
    <row r="5633" spans="1:8" x14ac:dyDescent="0.2">
      <c r="A5633" s="1027"/>
      <c r="B5633" s="1083">
        <f>Risk_Compensation!A$1</f>
        <v>36</v>
      </c>
      <c r="C5633" s="1390" t="str">
        <f>Risk_Compensation!$B$1</f>
        <v xml:space="preserve">Risikoausgleich </v>
      </c>
      <c r="D5633" s="1743" t="str">
        <f>Risk_Compensation!$AJ$14</f>
        <v>geschätzte Risikoausgleichssätze, pro Monat in CHF (ohne Entlastung junge Erwachsene)</v>
      </c>
      <c r="E5633" s="1390">
        <f>Risk_Compensation!$AJ43</f>
        <v>26</v>
      </c>
      <c r="F5633" s="1390" t="str">
        <f>Risk_Compensation!$Q$17</f>
        <v>GR</v>
      </c>
      <c r="G5633" s="1390"/>
      <c r="H5633" s="1077">
        <f>Risk_Compensation!$AT43</f>
        <v>99.898986645678207</v>
      </c>
    </row>
    <row r="5634" spans="1:8" x14ac:dyDescent="0.2">
      <c r="A5634" s="1027"/>
      <c r="B5634" s="1083">
        <f>Risk_Compensation!A$1</f>
        <v>36</v>
      </c>
      <c r="C5634" s="1390" t="str">
        <f>Risk_Compensation!$B$1</f>
        <v xml:space="preserve">Risikoausgleich </v>
      </c>
      <c r="D5634" s="1743" t="str">
        <f>Risk_Compensation!$AJ$14</f>
        <v>geschätzte Risikoausgleichssätze, pro Monat in CHF (ohne Entlastung junge Erwachsene)</v>
      </c>
      <c r="E5634" s="1390">
        <f>Risk_Compensation!$AJ44</f>
        <v>27</v>
      </c>
      <c r="F5634" s="1390" t="str">
        <f>Risk_Compensation!$Q$17</f>
        <v>GR</v>
      </c>
      <c r="G5634" s="1390"/>
      <c r="H5634" s="1077">
        <f>Risk_Compensation!$AT44</f>
        <v>868.51265777533797</v>
      </c>
    </row>
    <row r="5635" spans="1:8" x14ac:dyDescent="0.2">
      <c r="A5635" s="1027"/>
      <c r="B5635" s="1083">
        <f>Risk_Compensation!A$1</f>
        <v>36</v>
      </c>
      <c r="C5635" s="1390" t="str">
        <f>Risk_Compensation!$B$1</f>
        <v xml:space="preserve">Risikoausgleich </v>
      </c>
      <c r="D5635" s="1743" t="str">
        <f>Risk_Compensation!$AJ$14</f>
        <v>geschätzte Risikoausgleichssätze, pro Monat in CHF (ohne Entlastung junge Erwachsene)</v>
      </c>
      <c r="E5635" s="1390">
        <f>Risk_Compensation!$AJ45</f>
        <v>28</v>
      </c>
      <c r="F5635" s="1390" t="str">
        <f>Risk_Compensation!$Q$17</f>
        <v>GR</v>
      </c>
      <c r="G5635" s="1390"/>
      <c r="H5635" s="1077">
        <f>Risk_Compensation!$AT45</f>
        <v>129.752547117821</v>
      </c>
    </row>
    <row r="5636" spans="1:8" x14ac:dyDescent="0.2">
      <c r="A5636" s="1027"/>
      <c r="B5636" s="1083">
        <f>Risk_Compensation!A$1</f>
        <v>36</v>
      </c>
      <c r="C5636" s="1390" t="str">
        <f>Risk_Compensation!$B$1</f>
        <v xml:space="preserve">Risikoausgleich </v>
      </c>
      <c r="D5636" s="1743" t="str">
        <f>Risk_Compensation!$AJ$14</f>
        <v>geschätzte Risikoausgleichssätze, pro Monat in CHF (ohne Entlastung junge Erwachsene)</v>
      </c>
      <c r="E5636" s="1390">
        <f>Risk_Compensation!$AJ46</f>
        <v>29</v>
      </c>
      <c r="F5636" s="1390" t="str">
        <f>Risk_Compensation!$Q$17</f>
        <v>GR</v>
      </c>
      <c r="G5636" s="1390"/>
      <c r="H5636" s="1077">
        <f>Risk_Compensation!$AT46</f>
        <v>1170.6873466264799</v>
      </c>
    </row>
    <row r="5637" spans="1:8" x14ac:dyDescent="0.2">
      <c r="A5637" s="1027"/>
      <c r="B5637" s="1083">
        <f>Risk_Compensation!A$1</f>
        <v>36</v>
      </c>
      <c r="C5637" s="1390" t="str">
        <f>Risk_Compensation!$B$1</f>
        <v xml:space="preserve">Risikoausgleich </v>
      </c>
      <c r="D5637" s="1743" t="str">
        <f>Risk_Compensation!$AJ$14</f>
        <v>geschätzte Risikoausgleichssätze, pro Monat in CHF (ohne Entlastung junge Erwachsene)</v>
      </c>
      <c r="E5637" s="1390">
        <f>Risk_Compensation!$AJ47</f>
        <v>30</v>
      </c>
      <c r="F5637" s="1390" t="str">
        <f>Risk_Compensation!$Q$17</f>
        <v>GR</v>
      </c>
      <c r="G5637" s="1390"/>
      <c r="H5637" s="1077">
        <f>Risk_Compensation!$AT47</f>
        <v>307.89287562395901</v>
      </c>
    </row>
    <row r="5638" spans="1:8" x14ac:dyDescent="0.2">
      <c r="A5638" s="1027"/>
      <c r="B5638" s="1083">
        <f>Risk_Compensation!A$1</f>
        <v>36</v>
      </c>
      <c r="C5638" s="1390" t="str">
        <f>Risk_Compensation!$B$1</f>
        <v xml:space="preserve">Risikoausgleich </v>
      </c>
      <c r="D5638" s="1743" t="str">
        <f>Risk_Compensation!$AJ$14</f>
        <v>geschätzte Risikoausgleichssätze, pro Monat in CHF (ohne Entlastung junge Erwachsene)</v>
      </c>
      <c r="E5638" s="1390">
        <f>Risk_Compensation!$AJ48</f>
        <v>31</v>
      </c>
      <c r="F5638" s="1390" t="str">
        <f>Risk_Compensation!$Q$17</f>
        <v>GR</v>
      </c>
      <c r="G5638" s="1390"/>
      <c r="H5638" s="1077">
        <f>Risk_Compensation!$AT48</f>
        <v>450.07302761814401</v>
      </c>
    </row>
    <row r="5639" spans="1:8" x14ac:dyDescent="0.2">
      <c r="A5639" s="1027"/>
      <c r="B5639" s="1083">
        <f>Risk_Compensation!A$1</f>
        <v>36</v>
      </c>
      <c r="C5639" s="1390" t="str">
        <f>Risk_Compensation!$B$1</f>
        <v xml:space="preserve">Risikoausgleich </v>
      </c>
      <c r="D5639" s="1743" t="str">
        <f>Risk_Compensation!$AJ$14</f>
        <v>geschätzte Risikoausgleichssätze, pro Monat in CHF (ohne Entlastung junge Erwachsene)</v>
      </c>
      <c r="E5639" s="1390">
        <f>Risk_Compensation!$AJ49</f>
        <v>32</v>
      </c>
      <c r="F5639" s="1390" t="str">
        <f>Risk_Compensation!$Q$17</f>
        <v>GR</v>
      </c>
      <c r="G5639" s="1390"/>
      <c r="H5639" s="1077">
        <f>Risk_Compensation!$AT49</f>
        <v>-233.60331283268201</v>
      </c>
    </row>
    <row r="5640" spans="1:8" x14ac:dyDescent="0.2">
      <c r="A5640" s="1027"/>
      <c r="B5640" s="1083">
        <f>Risk_Compensation!A$1</f>
        <v>36</v>
      </c>
      <c r="C5640" s="1390" t="str">
        <f>Risk_Compensation!$B$1</f>
        <v xml:space="preserve">Risikoausgleich </v>
      </c>
      <c r="D5640" s="1743" t="str">
        <f>Risk_Compensation!$AJ$14</f>
        <v>geschätzte Risikoausgleichssätze, pro Monat in CHF (ohne Entlastung junge Erwachsene)</v>
      </c>
      <c r="E5640" s="1390">
        <f>Risk_Compensation!$AJ50</f>
        <v>33</v>
      </c>
      <c r="F5640" s="1390" t="str">
        <f>Risk_Compensation!$Q$17</f>
        <v>GR</v>
      </c>
      <c r="G5640" s="1390"/>
      <c r="H5640" s="1077">
        <f>Risk_Compensation!$AT50</f>
        <v>306.036877164575</v>
      </c>
    </row>
    <row r="5641" spans="1:8" x14ac:dyDescent="0.2">
      <c r="A5641" s="1027"/>
      <c r="B5641" s="1083">
        <f>Risk_Compensation!A$1</f>
        <v>36</v>
      </c>
      <c r="C5641" s="1390" t="str">
        <f>Risk_Compensation!$B$1</f>
        <v xml:space="preserve">Risikoausgleich </v>
      </c>
      <c r="D5641" s="1743" t="str">
        <f>Risk_Compensation!$AJ$14</f>
        <v>geschätzte Risikoausgleichssätze, pro Monat in CHF (ohne Entlastung junge Erwachsene)</v>
      </c>
      <c r="E5641" s="1390">
        <f>Risk_Compensation!$AJ51</f>
        <v>34</v>
      </c>
      <c r="F5641" s="1390" t="str">
        <f>Risk_Compensation!$Q$17</f>
        <v>GR</v>
      </c>
      <c r="G5641" s="1390"/>
      <c r="H5641" s="1077">
        <f>Risk_Compensation!$AT51</f>
        <v>-194.74874501963399</v>
      </c>
    </row>
    <row r="5642" spans="1:8" x14ac:dyDescent="0.2">
      <c r="A5642" s="1027"/>
      <c r="B5642" s="1083">
        <f>Risk_Compensation!A$1</f>
        <v>36</v>
      </c>
      <c r="C5642" s="1390" t="str">
        <f>Risk_Compensation!$B$1</f>
        <v xml:space="preserve">Risikoausgleich </v>
      </c>
      <c r="D5642" s="1743" t="str">
        <f>Risk_Compensation!$AJ$14</f>
        <v>geschätzte Risikoausgleichssätze, pro Monat in CHF (ohne Entlastung junge Erwachsene)</v>
      </c>
      <c r="E5642" s="1390">
        <f>Risk_Compensation!$AJ52</f>
        <v>35</v>
      </c>
      <c r="F5642" s="1390" t="str">
        <f>Risk_Compensation!$Q$17</f>
        <v>GR</v>
      </c>
      <c r="G5642" s="1390"/>
      <c r="H5642" s="1077">
        <f>Risk_Compensation!$AT52</f>
        <v>276.70209359180399</v>
      </c>
    </row>
    <row r="5643" spans="1:8" x14ac:dyDescent="0.2">
      <c r="A5643" s="1027"/>
      <c r="B5643" s="1083">
        <f>Risk_Compensation!A$1</f>
        <v>36</v>
      </c>
      <c r="C5643" s="1390" t="str">
        <f>Risk_Compensation!$B$1</f>
        <v xml:space="preserve">Risikoausgleich </v>
      </c>
      <c r="D5643" s="1743" t="str">
        <f>Risk_Compensation!$AJ$14</f>
        <v>geschätzte Risikoausgleichssätze, pro Monat in CHF (ohne Entlastung junge Erwachsene)</v>
      </c>
      <c r="E5643" s="1390">
        <f>Risk_Compensation!$AJ53</f>
        <v>36</v>
      </c>
      <c r="F5643" s="1390" t="str">
        <f>Risk_Compensation!$Q$17</f>
        <v>GR</v>
      </c>
      <c r="G5643" s="1390"/>
      <c r="H5643" s="1077">
        <f>Risk_Compensation!$AT53</f>
        <v>-165.587036493721</v>
      </c>
    </row>
    <row r="5644" spans="1:8" x14ac:dyDescent="0.2">
      <c r="A5644" s="1027"/>
      <c r="B5644" s="1083">
        <f>Risk_Compensation!A$1</f>
        <v>36</v>
      </c>
      <c r="C5644" s="1390" t="str">
        <f>Risk_Compensation!$B$1</f>
        <v xml:space="preserve">Risikoausgleich </v>
      </c>
      <c r="D5644" s="1743" t="str">
        <f>Risk_Compensation!$AJ$14</f>
        <v>geschätzte Risikoausgleichssätze, pro Monat in CHF (ohne Entlastung junge Erwachsene)</v>
      </c>
      <c r="E5644" s="1390">
        <f>Risk_Compensation!$AJ54</f>
        <v>37</v>
      </c>
      <c r="F5644" s="1390" t="str">
        <f>Risk_Compensation!$Q$17</f>
        <v>GR</v>
      </c>
      <c r="G5644" s="1390"/>
      <c r="H5644" s="1077">
        <f>Risk_Compensation!$AT54</f>
        <v>370.14588671880801</v>
      </c>
    </row>
    <row r="5645" spans="1:8" x14ac:dyDescent="0.2">
      <c r="A5645" s="1027"/>
      <c r="B5645" s="1083">
        <f>Risk_Compensation!A$1</f>
        <v>36</v>
      </c>
      <c r="C5645" s="1390" t="str">
        <f>Risk_Compensation!$B$1</f>
        <v xml:space="preserve">Risikoausgleich </v>
      </c>
      <c r="D5645" s="1743" t="str">
        <f>Risk_Compensation!$AJ$14</f>
        <v>geschätzte Risikoausgleichssätze, pro Monat in CHF (ohne Entlastung junge Erwachsene)</v>
      </c>
      <c r="E5645" s="1390">
        <f>Risk_Compensation!$AJ55</f>
        <v>38</v>
      </c>
      <c r="F5645" s="1390" t="str">
        <f>Risk_Compensation!$Q$17</f>
        <v>GR</v>
      </c>
      <c r="G5645" s="1390"/>
      <c r="H5645" s="1077">
        <f>Risk_Compensation!$AT55</f>
        <v>-196.81131834554</v>
      </c>
    </row>
    <row r="5646" spans="1:8" x14ac:dyDescent="0.2">
      <c r="A5646" s="1027"/>
      <c r="B5646" s="1083">
        <f>Risk_Compensation!A$1</f>
        <v>36</v>
      </c>
      <c r="C5646" s="1390" t="str">
        <f>Risk_Compensation!$B$1</f>
        <v xml:space="preserve">Risikoausgleich </v>
      </c>
      <c r="D5646" s="1743" t="str">
        <f>Risk_Compensation!$AJ$14</f>
        <v>geschätzte Risikoausgleichssätze, pro Monat in CHF (ohne Entlastung junge Erwachsene)</v>
      </c>
      <c r="E5646" s="1390">
        <f>Risk_Compensation!$AJ56</f>
        <v>39</v>
      </c>
      <c r="F5646" s="1390" t="str">
        <f>Risk_Compensation!$Q$17</f>
        <v>GR</v>
      </c>
      <c r="G5646" s="1390"/>
      <c r="H5646" s="1077">
        <f>Risk_Compensation!$AT56</f>
        <v>408.803325967185</v>
      </c>
    </row>
    <row r="5647" spans="1:8" x14ac:dyDescent="0.2">
      <c r="A5647" s="1027"/>
      <c r="B5647" s="1083">
        <f>Risk_Compensation!A$1</f>
        <v>36</v>
      </c>
      <c r="C5647" s="1390" t="str">
        <f>Risk_Compensation!$B$1</f>
        <v xml:space="preserve">Risikoausgleich </v>
      </c>
      <c r="D5647" s="1743" t="str">
        <f>Risk_Compensation!$AJ$14</f>
        <v>geschätzte Risikoausgleichssätze, pro Monat in CHF (ohne Entlastung junge Erwachsene)</v>
      </c>
      <c r="E5647" s="1390">
        <f>Risk_Compensation!$AJ57</f>
        <v>40</v>
      </c>
      <c r="F5647" s="1390" t="str">
        <f>Risk_Compensation!$Q$17</f>
        <v>GR</v>
      </c>
      <c r="G5647" s="1390"/>
      <c r="H5647" s="1077">
        <f>Risk_Compensation!$AT57</f>
        <v>-223.51940515638</v>
      </c>
    </row>
    <row r="5648" spans="1:8" x14ac:dyDescent="0.2">
      <c r="A5648" s="1027"/>
      <c r="B5648" s="1083">
        <f>Risk_Compensation!A$1</f>
        <v>36</v>
      </c>
      <c r="C5648" s="1390" t="str">
        <f>Risk_Compensation!$B$1</f>
        <v xml:space="preserve">Risikoausgleich </v>
      </c>
      <c r="D5648" s="1743" t="str">
        <f>Risk_Compensation!$AJ$14</f>
        <v>geschätzte Risikoausgleichssätze, pro Monat in CHF (ohne Entlastung junge Erwachsene)</v>
      </c>
      <c r="E5648" s="1390">
        <f>Risk_Compensation!$AJ58</f>
        <v>41</v>
      </c>
      <c r="F5648" s="1390" t="str">
        <f>Risk_Compensation!$Q$17</f>
        <v>GR</v>
      </c>
      <c r="G5648" s="1390"/>
      <c r="H5648" s="1077">
        <f>Risk_Compensation!$AT58</f>
        <v>207.15947259350801</v>
      </c>
    </row>
    <row r="5649" spans="1:8" x14ac:dyDescent="0.2">
      <c r="A5649" s="1027"/>
      <c r="B5649" s="1083">
        <f>Risk_Compensation!A$1</f>
        <v>36</v>
      </c>
      <c r="C5649" s="1390" t="str">
        <f>Risk_Compensation!$B$1</f>
        <v xml:space="preserve">Risikoausgleich </v>
      </c>
      <c r="D5649" s="1743" t="str">
        <f>Risk_Compensation!$AJ$14</f>
        <v>geschätzte Risikoausgleichssätze, pro Monat in CHF (ohne Entlastung junge Erwachsene)</v>
      </c>
      <c r="E5649" s="1390">
        <f>Risk_Compensation!$AJ59</f>
        <v>42</v>
      </c>
      <c r="F5649" s="1390" t="str">
        <f>Risk_Compensation!$Q$17</f>
        <v>GR</v>
      </c>
      <c r="G5649" s="1390"/>
      <c r="H5649" s="1077">
        <f>Risk_Compensation!$AT59</f>
        <v>-210.49450627378599</v>
      </c>
    </row>
    <row r="5650" spans="1:8" x14ac:dyDescent="0.2">
      <c r="A5650" s="1027"/>
      <c r="B5650" s="1083">
        <f>Risk_Compensation!A$1</f>
        <v>36</v>
      </c>
      <c r="C5650" s="1390" t="str">
        <f>Risk_Compensation!$B$1</f>
        <v xml:space="preserve">Risikoausgleich </v>
      </c>
      <c r="D5650" s="1743" t="str">
        <f>Risk_Compensation!$AJ$14</f>
        <v>geschätzte Risikoausgleichssätze, pro Monat in CHF (ohne Entlastung junge Erwachsene)</v>
      </c>
      <c r="E5650" s="1390">
        <f>Risk_Compensation!$AJ60</f>
        <v>43</v>
      </c>
      <c r="F5650" s="1390" t="str">
        <f>Risk_Compensation!$Q$17</f>
        <v>GR</v>
      </c>
      <c r="G5650" s="1390"/>
      <c r="H5650" s="1077">
        <f>Risk_Compensation!$AT60</f>
        <v>281.54265552372601</v>
      </c>
    </row>
    <row r="5651" spans="1:8" x14ac:dyDescent="0.2">
      <c r="A5651" s="1027"/>
      <c r="B5651" s="1083">
        <f>Risk_Compensation!A$1</f>
        <v>36</v>
      </c>
      <c r="C5651" s="1390" t="str">
        <f>Risk_Compensation!$B$1</f>
        <v xml:space="preserve">Risikoausgleich </v>
      </c>
      <c r="D5651" s="1743" t="str">
        <f>Risk_Compensation!$AJ$14</f>
        <v>geschätzte Risikoausgleichssätze, pro Monat in CHF (ohne Entlastung junge Erwachsene)</v>
      </c>
      <c r="E5651" s="1390">
        <f>Risk_Compensation!$AJ61</f>
        <v>44</v>
      </c>
      <c r="F5651" s="1390" t="str">
        <f>Risk_Compensation!$Q$17</f>
        <v>GR</v>
      </c>
      <c r="G5651" s="1390"/>
      <c r="H5651" s="1077">
        <f>Risk_Compensation!$AT61</f>
        <v>-198.33911844937299</v>
      </c>
    </row>
    <row r="5652" spans="1:8" x14ac:dyDescent="0.2">
      <c r="A5652" s="1027"/>
      <c r="B5652" s="1083">
        <f>Risk_Compensation!A$1</f>
        <v>36</v>
      </c>
      <c r="C5652" s="1390" t="str">
        <f>Risk_Compensation!$B$1</f>
        <v xml:space="preserve">Risikoausgleich </v>
      </c>
      <c r="D5652" s="1743" t="str">
        <f>Risk_Compensation!$AJ$14</f>
        <v>geschätzte Risikoausgleichssätze, pro Monat in CHF (ohne Entlastung junge Erwachsene)</v>
      </c>
      <c r="E5652" s="1390">
        <f>Risk_Compensation!$AJ62</f>
        <v>45</v>
      </c>
      <c r="F5652" s="1390" t="str">
        <f>Risk_Compensation!$Q$17</f>
        <v>GR</v>
      </c>
      <c r="G5652" s="1390"/>
      <c r="H5652" s="1077">
        <f>Risk_Compensation!$AT62</f>
        <v>406.40237504365598</v>
      </c>
    </row>
    <row r="5653" spans="1:8" x14ac:dyDescent="0.2">
      <c r="A5653" s="1027"/>
      <c r="B5653" s="1083">
        <f>Risk_Compensation!A$1</f>
        <v>36</v>
      </c>
      <c r="C5653" s="1390" t="str">
        <f>Risk_Compensation!$B$1</f>
        <v xml:space="preserve">Risikoausgleich </v>
      </c>
      <c r="D5653" s="1743" t="str">
        <f>Risk_Compensation!$AJ$14</f>
        <v>geschätzte Risikoausgleichssätze, pro Monat in CHF (ohne Entlastung junge Erwachsene)</v>
      </c>
      <c r="E5653" s="1390">
        <f>Risk_Compensation!$AJ63</f>
        <v>46</v>
      </c>
      <c r="F5653" s="1390" t="str">
        <f>Risk_Compensation!$Q$17</f>
        <v>GR</v>
      </c>
      <c r="G5653" s="1390"/>
      <c r="H5653" s="1077">
        <f>Risk_Compensation!$AT63</f>
        <v>-185.885129452602</v>
      </c>
    </row>
    <row r="5654" spans="1:8" x14ac:dyDescent="0.2">
      <c r="A5654" s="1027"/>
      <c r="B5654" s="1083">
        <f>Risk_Compensation!A$1</f>
        <v>36</v>
      </c>
      <c r="C5654" s="1390" t="str">
        <f>Risk_Compensation!$B$1</f>
        <v xml:space="preserve">Risikoausgleich </v>
      </c>
      <c r="D5654" s="1743" t="str">
        <f>Risk_Compensation!$AJ$14</f>
        <v>geschätzte Risikoausgleichssätze, pro Monat in CHF (ohne Entlastung junge Erwachsene)</v>
      </c>
      <c r="E5654" s="1390">
        <f>Risk_Compensation!$AJ64</f>
        <v>47</v>
      </c>
      <c r="F5654" s="1390" t="str">
        <f>Risk_Compensation!$Q$17</f>
        <v>GR</v>
      </c>
      <c r="G5654" s="1390"/>
      <c r="H5654" s="1077">
        <f>Risk_Compensation!$AT64</f>
        <v>385.88943310465999</v>
      </c>
    </row>
    <row r="5655" spans="1:8" x14ac:dyDescent="0.2">
      <c r="A5655" s="1027"/>
      <c r="B5655" s="1083">
        <f>Risk_Compensation!A$1</f>
        <v>36</v>
      </c>
      <c r="C5655" s="1390" t="str">
        <f>Risk_Compensation!$B$1</f>
        <v xml:space="preserve">Risikoausgleich </v>
      </c>
      <c r="D5655" s="1743" t="str">
        <f>Risk_Compensation!$AJ$14</f>
        <v>geschätzte Risikoausgleichssätze, pro Monat in CHF (ohne Entlastung junge Erwachsene)</v>
      </c>
      <c r="E5655" s="1390">
        <f>Risk_Compensation!$AJ65</f>
        <v>48</v>
      </c>
      <c r="F5655" s="1390" t="str">
        <f>Risk_Compensation!$Q$17</f>
        <v>GR</v>
      </c>
      <c r="G5655" s="1390"/>
      <c r="H5655" s="1077">
        <f>Risk_Compensation!$AT65</f>
        <v>-172.92267794713399</v>
      </c>
    </row>
    <row r="5656" spans="1:8" x14ac:dyDescent="0.2">
      <c r="A5656" s="1027"/>
      <c r="B5656" s="1083">
        <f>Risk_Compensation!A$1</f>
        <v>36</v>
      </c>
      <c r="C5656" s="1390" t="str">
        <f>Risk_Compensation!$B$1</f>
        <v xml:space="preserve">Risikoausgleich </v>
      </c>
      <c r="D5656" s="1743" t="str">
        <f>Risk_Compensation!$AJ$14</f>
        <v>geschätzte Risikoausgleichssätze, pro Monat in CHF (ohne Entlastung junge Erwachsene)</v>
      </c>
      <c r="E5656" s="1390">
        <f>Risk_Compensation!$AJ66</f>
        <v>49</v>
      </c>
      <c r="F5656" s="1390" t="str">
        <f>Risk_Compensation!$Q$17</f>
        <v>GR</v>
      </c>
      <c r="G5656" s="1390"/>
      <c r="H5656" s="1077">
        <f>Risk_Compensation!$AT66</f>
        <v>315.577275356249</v>
      </c>
    </row>
    <row r="5657" spans="1:8" x14ac:dyDescent="0.2">
      <c r="A5657" s="1027"/>
      <c r="B5657" s="1083">
        <f>Risk_Compensation!A$1</f>
        <v>36</v>
      </c>
      <c r="C5657" s="1390" t="str">
        <f>Risk_Compensation!$B$1</f>
        <v xml:space="preserve">Risikoausgleich </v>
      </c>
      <c r="D5657" s="1743" t="str">
        <f>Risk_Compensation!$AJ$14</f>
        <v>geschätzte Risikoausgleichssätze, pro Monat in CHF (ohne Entlastung junge Erwachsene)</v>
      </c>
      <c r="E5657" s="1390">
        <f>Risk_Compensation!$AJ67</f>
        <v>50</v>
      </c>
      <c r="F5657" s="1390" t="str">
        <f>Risk_Compensation!$Q$17</f>
        <v>GR</v>
      </c>
      <c r="G5657" s="1390"/>
      <c r="H5657" s="1077">
        <f>Risk_Compensation!$AT67</f>
        <v>-117.77861550508599</v>
      </c>
    </row>
    <row r="5658" spans="1:8" x14ac:dyDescent="0.2">
      <c r="A5658" s="1027"/>
      <c r="B5658" s="1083">
        <f>Risk_Compensation!A$1</f>
        <v>36</v>
      </c>
      <c r="C5658" s="1390" t="str">
        <f>Risk_Compensation!$B$1</f>
        <v xml:space="preserve">Risikoausgleich </v>
      </c>
      <c r="D5658" s="1743" t="str">
        <f>Risk_Compensation!$AJ$14</f>
        <v>geschätzte Risikoausgleichssätze, pro Monat in CHF (ohne Entlastung junge Erwachsene)</v>
      </c>
      <c r="E5658" s="1390">
        <f>Risk_Compensation!$AJ68</f>
        <v>51</v>
      </c>
      <c r="F5658" s="1390" t="str">
        <f>Risk_Compensation!$Q$17</f>
        <v>GR</v>
      </c>
      <c r="G5658" s="1390"/>
      <c r="H5658" s="1077">
        <f>Risk_Compensation!$AT68</f>
        <v>525.99291000753499</v>
      </c>
    </row>
    <row r="5659" spans="1:8" x14ac:dyDescent="0.2">
      <c r="A5659" s="1027"/>
      <c r="B5659" s="1083">
        <f>Risk_Compensation!A$1</f>
        <v>36</v>
      </c>
      <c r="C5659" s="1390" t="str">
        <f>Risk_Compensation!$B$1</f>
        <v xml:space="preserve">Risikoausgleich </v>
      </c>
      <c r="D5659" s="1743" t="str">
        <f>Risk_Compensation!$AJ$14</f>
        <v>geschätzte Risikoausgleichssätze, pro Monat in CHF (ohne Entlastung junge Erwachsene)</v>
      </c>
      <c r="E5659" s="1390">
        <f>Risk_Compensation!$AJ69</f>
        <v>52</v>
      </c>
      <c r="F5659" s="1390" t="str">
        <f>Risk_Compensation!$Q$17</f>
        <v>GR</v>
      </c>
      <c r="G5659" s="1390"/>
      <c r="H5659" s="1077">
        <f>Risk_Compensation!$AT69</f>
        <v>-53.105057565266897</v>
      </c>
    </row>
    <row r="5660" spans="1:8" x14ac:dyDescent="0.2">
      <c r="A5660" s="1027"/>
      <c r="B5660" s="1083">
        <f>Risk_Compensation!A$1</f>
        <v>36</v>
      </c>
      <c r="C5660" s="1390" t="str">
        <f>Risk_Compensation!$B$1</f>
        <v xml:space="preserve">Risikoausgleich </v>
      </c>
      <c r="D5660" s="1743" t="str">
        <f>Risk_Compensation!$AJ$14</f>
        <v>geschätzte Risikoausgleichssätze, pro Monat in CHF (ohne Entlastung junge Erwachsene)</v>
      </c>
      <c r="E5660" s="1390">
        <f>Risk_Compensation!$AJ70</f>
        <v>53</v>
      </c>
      <c r="F5660" s="1390" t="str">
        <f>Risk_Compensation!$Q$17</f>
        <v>GR</v>
      </c>
      <c r="G5660" s="1390"/>
      <c r="H5660" s="1077">
        <f>Risk_Compensation!$AT70</f>
        <v>788.24402582701396</v>
      </c>
    </row>
    <row r="5661" spans="1:8" x14ac:dyDescent="0.2">
      <c r="A5661" s="1027"/>
      <c r="B5661" s="1083">
        <f>Risk_Compensation!A$1</f>
        <v>36</v>
      </c>
      <c r="C5661" s="1390" t="str">
        <f>Risk_Compensation!$B$1</f>
        <v xml:space="preserve">Risikoausgleich </v>
      </c>
      <c r="D5661" s="1743" t="str">
        <f>Risk_Compensation!$AJ$14</f>
        <v>geschätzte Risikoausgleichssätze, pro Monat in CHF (ohne Entlastung junge Erwachsene)</v>
      </c>
      <c r="E5661" s="1390">
        <f>Risk_Compensation!$AJ71</f>
        <v>54</v>
      </c>
      <c r="F5661" s="1390" t="str">
        <f>Risk_Compensation!$Q$17</f>
        <v>GR</v>
      </c>
      <c r="G5661" s="1390"/>
      <c r="H5661" s="1077">
        <f>Risk_Compensation!$AT71</f>
        <v>-33.050985602828398</v>
      </c>
    </row>
    <row r="5662" spans="1:8" x14ac:dyDescent="0.2">
      <c r="A5662" s="1027"/>
      <c r="B5662" s="1083">
        <f>Risk_Compensation!A$1</f>
        <v>36</v>
      </c>
      <c r="C5662" s="1390" t="str">
        <f>Risk_Compensation!$B$1</f>
        <v xml:space="preserve">Risikoausgleich </v>
      </c>
      <c r="D5662" s="1743" t="str">
        <f>Risk_Compensation!$AJ$14</f>
        <v>geschätzte Risikoausgleichssätze, pro Monat in CHF (ohne Entlastung junge Erwachsene)</v>
      </c>
      <c r="E5662" s="1390">
        <f>Risk_Compensation!$AJ72</f>
        <v>55</v>
      </c>
      <c r="F5662" s="1390" t="str">
        <f>Risk_Compensation!$Q$17</f>
        <v>GR</v>
      </c>
      <c r="G5662" s="1390"/>
      <c r="H5662" s="1077">
        <f>Risk_Compensation!$AT72</f>
        <v>838.38564801095299</v>
      </c>
    </row>
    <row r="5663" spans="1:8" x14ac:dyDescent="0.2">
      <c r="A5663" s="1027"/>
      <c r="B5663" s="1083">
        <f>Risk_Compensation!A$1</f>
        <v>36</v>
      </c>
      <c r="C5663" s="1390" t="str">
        <f>Risk_Compensation!$B$1</f>
        <v xml:space="preserve">Risikoausgleich </v>
      </c>
      <c r="D5663" s="1743" t="str">
        <f>Risk_Compensation!$AJ$14</f>
        <v>geschätzte Risikoausgleichssätze, pro Monat in CHF (ohne Entlastung junge Erwachsene)</v>
      </c>
      <c r="E5663" s="1390">
        <f>Risk_Compensation!$AJ73</f>
        <v>56</v>
      </c>
      <c r="F5663" s="1390" t="str">
        <f>Risk_Compensation!$Q$17</f>
        <v>GR</v>
      </c>
      <c r="G5663" s="1390"/>
      <c r="H5663" s="1077">
        <f>Risk_Compensation!$AT73</f>
        <v>99.246314526578104</v>
      </c>
    </row>
    <row r="5664" spans="1:8" x14ac:dyDescent="0.2">
      <c r="A5664" s="1027"/>
      <c r="B5664" s="1083">
        <f>Risk_Compensation!A$1</f>
        <v>36</v>
      </c>
      <c r="C5664" s="1390" t="str">
        <f>Risk_Compensation!$B$1</f>
        <v xml:space="preserve">Risikoausgleich </v>
      </c>
      <c r="D5664" s="1743" t="str">
        <f>Risk_Compensation!$AJ$14</f>
        <v>geschätzte Risikoausgleichssätze, pro Monat in CHF (ohne Entlastung junge Erwachsene)</v>
      </c>
      <c r="E5664" s="1390">
        <f>Risk_Compensation!$AJ74</f>
        <v>57</v>
      </c>
      <c r="F5664" s="1390" t="str">
        <f>Risk_Compensation!$Q$17</f>
        <v>GR</v>
      </c>
      <c r="G5664" s="1390"/>
      <c r="H5664" s="1077">
        <f>Risk_Compensation!$AT74</f>
        <v>1126.2341976842399</v>
      </c>
    </row>
    <row r="5665" spans="1:8" x14ac:dyDescent="0.2">
      <c r="A5665" s="1027"/>
      <c r="B5665" s="1083">
        <f>Risk_Compensation!A$1</f>
        <v>36</v>
      </c>
      <c r="C5665" s="1390" t="str">
        <f>Risk_Compensation!$B$1</f>
        <v xml:space="preserve">Risikoausgleich </v>
      </c>
      <c r="D5665" s="1743" t="str">
        <f>Risk_Compensation!$AJ$14</f>
        <v>geschätzte Risikoausgleichssätze, pro Monat in CHF (ohne Entlastung junge Erwachsene)</v>
      </c>
      <c r="E5665" s="1390">
        <f>Risk_Compensation!$AJ75</f>
        <v>58</v>
      </c>
      <c r="F5665" s="1390" t="str">
        <f>Risk_Compensation!$Q$17</f>
        <v>GR</v>
      </c>
      <c r="G5665" s="1390"/>
      <c r="H5665" s="1077">
        <f>Risk_Compensation!$AT75</f>
        <v>169.76349983839799</v>
      </c>
    </row>
    <row r="5666" spans="1:8" x14ac:dyDescent="0.2">
      <c r="A5666" s="1027"/>
      <c r="B5666" s="1083">
        <f>Risk_Compensation!A$1</f>
        <v>36</v>
      </c>
      <c r="C5666" s="1390" t="str">
        <f>Risk_Compensation!$B$1</f>
        <v xml:space="preserve">Risikoausgleich </v>
      </c>
      <c r="D5666" s="1743" t="str">
        <f>Risk_Compensation!$AJ$14</f>
        <v>geschätzte Risikoausgleichssätze, pro Monat in CHF (ohne Entlastung junge Erwachsene)</v>
      </c>
      <c r="E5666" s="1390">
        <f>Risk_Compensation!$AJ76</f>
        <v>59</v>
      </c>
      <c r="F5666" s="1390" t="str">
        <f>Risk_Compensation!$Q$17</f>
        <v>GR</v>
      </c>
      <c r="G5666" s="1390"/>
      <c r="H5666" s="1077">
        <f>Risk_Compensation!$AT76</f>
        <v>1470.2598179576401</v>
      </c>
    </row>
    <row r="5667" spans="1:8" x14ac:dyDescent="0.2">
      <c r="A5667" s="1027"/>
      <c r="B5667" s="1083">
        <f>Risk_Compensation!A$1</f>
        <v>36</v>
      </c>
      <c r="C5667" s="1390" t="str">
        <f>Risk_Compensation!$B$1</f>
        <v xml:space="preserve">Risikoausgleich </v>
      </c>
      <c r="D5667" s="1743" t="str">
        <f>Risk_Compensation!$AJ$14</f>
        <v>geschätzte Risikoausgleichssätze, pro Monat in CHF (ohne Entlastung junge Erwachsene)</v>
      </c>
      <c r="E5667" s="1390">
        <f>Risk_Compensation!$AJ77</f>
        <v>60</v>
      </c>
      <c r="F5667" s="1390" t="str">
        <f>Risk_Compensation!$Q$17</f>
        <v>GR</v>
      </c>
      <c r="G5667" s="1390"/>
      <c r="H5667" s="1077">
        <f>Risk_Compensation!$AT77</f>
        <v>414.126249941124</v>
      </c>
    </row>
    <row r="5668" spans="1:8" x14ac:dyDescent="0.2">
      <c r="A5668" s="1027"/>
      <c r="B5668" s="2174"/>
      <c r="C5668" s="1390"/>
      <c r="D5668" s="2175"/>
      <c r="E5668" s="2176"/>
      <c r="F5668" s="1390"/>
      <c r="G5668" s="1390"/>
      <c r="H5668" s="1078"/>
    </row>
    <row r="5669" spans="1:8" x14ac:dyDescent="0.2">
      <c r="A5669" s="1027"/>
      <c r="B5669" s="1083">
        <f>Risk_Compensation!A$1</f>
        <v>36</v>
      </c>
      <c r="C5669" s="1390" t="str">
        <f>Risk_Compensation!$B$1</f>
        <v xml:space="preserve">Risikoausgleich </v>
      </c>
      <c r="D5669" s="1743" t="str">
        <f>Risk_Compensation!$AJ$14</f>
        <v>geschätzte Risikoausgleichssätze, pro Monat in CHF (ohne Entlastung junge Erwachsene)</v>
      </c>
      <c r="E5669" s="1390">
        <f>Risk_Compensation!$AJ18</f>
        <v>1</v>
      </c>
      <c r="F5669" s="1390" t="str">
        <f>Risk_Compensation!$R$17</f>
        <v>JU</v>
      </c>
      <c r="G5669" s="1390"/>
      <c r="H5669" s="1077">
        <f>Risk_Compensation!$AU18</f>
        <v>2475.7359039851899</v>
      </c>
    </row>
    <row r="5670" spans="1:8" x14ac:dyDescent="0.2">
      <c r="A5670" s="1027"/>
      <c r="B5670" s="1083">
        <f>Risk_Compensation!A$1</f>
        <v>36</v>
      </c>
      <c r="C5670" s="1390" t="str">
        <f>Risk_Compensation!$B$1</f>
        <v xml:space="preserve">Risikoausgleich </v>
      </c>
      <c r="D5670" s="1743" t="str">
        <f>Risk_Compensation!$AJ$14</f>
        <v>geschätzte Risikoausgleichssätze, pro Monat in CHF (ohne Entlastung junge Erwachsene)</v>
      </c>
      <c r="E5670" s="1390">
        <f>Risk_Compensation!$AJ19</f>
        <v>2</v>
      </c>
      <c r="F5670" s="1390" t="str">
        <f>Risk_Compensation!$R$17</f>
        <v>JU</v>
      </c>
      <c r="G5670" s="1390"/>
      <c r="H5670" s="1077">
        <f>Risk_Compensation!$AU19</f>
        <v>-373.25357543399502</v>
      </c>
    </row>
    <row r="5671" spans="1:8" x14ac:dyDescent="0.2">
      <c r="A5671" s="1027"/>
      <c r="B5671" s="1083">
        <f>Risk_Compensation!A$1</f>
        <v>36</v>
      </c>
      <c r="C5671" s="1390" t="str">
        <f>Risk_Compensation!$B$1</f>
        <v xml:space="preserve">Risikoausgleich </v>
      </c>
      <c r="D5671" s="1743" t="str">
        <f>Risk_Compensation!$AJ$14</f>
        <v>geschätzte Risikoausgleichssätze, pro Monat in CHF (ohne Entlastung junge Erwachsene)</v>
      </c>
      <c r="E5671" s="1390">
        <f>Risk_Compensation!$AJ20</f>
        <v>3</v>
      </c>
      <c r="F5671" s="1390" t="str">
        <f>Risk_Compensation!$R$17</f>
        <v>JU</v>
      </c>
      <c r="G5671" s="1390"/>
      <c r="H5671" s="1077">
        <f>Risk_Compensation!$AU20</f>
        <v>-60.9410016319544</v>
      </c>
    </row>
    <row r="5672" spans="1:8" x14ac:dyDescent="0.2">
      <c r="A5672" s="1027"/>
      <c r="B5672" s="1083">
        <f>Risk_Compensation!A$1</f>
        <v>36</v>
      </c>
      <c r="C5672" s="1390" t="str">
        <f>Risk_Compensation!$B$1</f>
        <v xml:space="preserve">Risikoausgleich </v>
      </c>
      <c r="D5672" s="1743" t="str">
        <f>Risk_Compensation!$AJ$14</f>
        <v>geschätzte Risikoausgleichssätze, pro Monat in CHF (ohne Entlastung junge Erwachsene)</v>
      </c>
      <c r="E5672" s="1390">
        <f>Risk_Compensation!$AJ21</f>
        <v>4</v>
      </c>
      <c r="F5672" s="1390" t="str">
        <f>Risk_Compensation!$R$17</f>
        <v>JU</v>
      </c>
      <c r="G5672" s="1390"/>
      <c r="H5672" s="1077">
        <f>Risk_Compensation!$AU21</f>
        <v>-392.24349184072503</v>
      </c>
    </row>
    <row r="5673" spans="1:8" x14ac:dyDescent="0.2">
      <c r="A5673" s="1027"/>
      <c r="B5673" s="1083">
        <f>Risk_Compensation!A$1</f>
        <v>36</v>
      </c>
      <c r="C5673" s="1390" t="str">
        <f>Risk_Compensation!$B$1</f>
        <v xml:space="preserve">Risikoausgleich </v>
      </c>
      <c r="D5673" s="1743" t="str">
        <f>Risk_Compensation!$AJ$14</f>
        <v>geschätzte Risikoausgleichssätze, pro Monat in CHF (ohne Entlastung junge Erwachsene)</v>
      </c>
      <c r="E5673" s="1390">
        <f>Risk_Compensation!$AJ22</f>
        <v>5</v>
      </c>
      <c r="F5673" s="1390" t="str">
        <f>Risk_Compensation!$R$17</f>
        <v>JU</v>
      </c>
      <c r="G5673" s="1390"/>
      <c r="H5673" s="1077">
        <f>Risk_Compensation!$AU22</f>
        <v>162.46809492320301</v>
      </c>
    </row>
    <row r="5674" spans="1:8" x14ac:dyDescent="0.2">
      <c r="A5674" s="1027"/>
      <c r="B5674" s="1083">
        <f>Risk_Compensation!A$1</f>
        <v>36</v>
      </c>
      <c r="C5674" s="1390" t="str">
        <f>Risk_Compensation!$B$1</f>
        <v xml:space="preserve">Risikoausgleich </v>
      </c>
      <c r="D5674" s="1743" t="str">
        <f>Risk_Compensation!$AJ$14</f>
        <v>geschätzte Risikoausgleichssätze, pro Monat in CHF (ohne Entlastung junge Erwachsene)</v>
      </c>
      <c r="E5674" s="1390">
        <f>Risk_Compensation!$AJ23</f>
        <v>6</v>
      </c>
      <c r="F5674" s="1390" t="str">
        <f>Risk_Compensation!$R$17</f>
        <v>JU</v>
      </c>
      <c r="G5674" s="1390"/>
      <c r="H5674" s="1077">
        <f>Risk_Compensation!$AU23</f>
        <v>-377.08758619857002</v>
      </c>
    </row>
    <row r="5675" spans="1:8" x14ac:dyDescent="0.2">
      <c r="A5675" s="1027"/>
      <c r="B5675" s="1083">
        <f>Risk_Compensation!A$1</f>
        <v>36</v>
      </c>
      <c r="C5675" s="1390" t="str">
        <f>Risk_Compensation!$B$1</f>
        <v xml:space="preserve">Risikoausgleich </v>
      </c>
      <c r="D5675" s="1743" t="str">
        <f>Risk_Compensation!$AJ$14</f>
        <v>geschätzte Risikoausgleichssätze, pro Monat in CHF (ohne Entlastung junge Erwachsene)</v>
      </c>
      <c r="E5675" s="1390">
        <f>Risk_Compensation!$AJ24</f>
        <v>7</v>
      </c>
      <c r="F5675" s="1390" t="str">
        <f>Risk_Compensation!$R$17</f>
        <v>JU</v>
      </c>
      <c r="G5675" s="1390"/>
      <c r="H5675" s="1077">
        <f>Risk_Compensation!$AU24</f>
        <v>469.57749344236498</v>
      </c>
    </row>
    <row r="5676" spans="1:8" x14ac:dyDescent="0.2">
      <c r="A5676" s="1027"/>
      <c r="B5676" s="1083">
        <f>Risk_Compensation!A$1</f>
        <v>36</v>
      </c>
      <c r="C5676" s="1390" t="str">
        <f>Risk_Compensation!$B$1</f>
        <v xml:space="preserve">Risikoausgleich </v>
      </c>
      <c r="D5676" s="1743" t="str">
        <f>Risk_Compensation!$AJ$14</f>
        <v>geschätzte Risikoausgleichssätze, pro Monat in CHF (ohne Entlastung junge Erwachsene)</v>
      </c>
      <c r="E5676" s="1390">
        <f>Risk_Compensation!$AJ25</f>
        <v>8</v>
      </c>
      <c r="F5676" s="1390" t="str">
        <f>Risk_Compensation!$R$17</f>
        <v>JU</v>
      </c>
      <c r="G5676" s="1390"/>
      <c r="H5676" s="1077">
        <f>Risk_Compensation!$AU25</f>
        <v>-381.77502290192001</v>
      </c>
    </row>
    <row r="5677" spans="1:8" x14ac:dyDescent="0.2">
      <c r="A5677" s="1027"/>
      <c r="B5677" s="1083">
        <f>Risk_Compensation!A$1</f>
        <v>36</v>
      </c>
      <c r="C5677" s="1390" t="str">
        <f>Risk_Compensation!$B$1</f>
        <v xml:space="preserve">Risikoausgleich </v>
      </c>
      <c r="D5677" s="1743" t="str">
        <f>Risk_Compensation!$AJ$14</f>
        <v>geschätzte Risikoausgleichssätze, pro Monat in CHF (ohne Entlastung junge Erwachsene)</v>
      </c>
      <c r="E5677" s="1390">
        <f>Risk_Compensation!$AJ26</f>
        <v>9</v>
      </c>
      <c r="F5677" s="1390" t="str">
        <f>Risk_Compensation!$R$17</f>
        <v>JU</v>
      </c>
      <c r="G5677" s="1390"/>
      <c r="H5677" s="1077">
        <f>Risk_Compensation!$AU26</f>
        <v>148.80053234321099</v>
      </c>
    </row>
    <row r="5678" spans="1:8" x14ac:dyDescent="0.2">
      <c r="A5678" s="1027"/>
      <c r="B5678" s="1083">
        <f>Risk_Compensation!A$1</f>
        <v>36</v>
      </c>
      <c r="C5678" s="1390" t="str">
        <f>Risk_Compensation!$B$1</f>
        <v xml:space="preserve">Risikoausgleich </v>
      </c>
      <c r="D5678" s="1743" t="str">
        <f>Risk_Compensation!$AJ$14</f>
        <v>geschätzte Risikoausgleichssätze, pro Monat in CHF (ohne Entlastung junge Erwachsene)</v>
      </c>
      <c r="E5678" s="1390">
        <f>Risk_Compensation!$AJ27</f>
        <v>10</v>
      </c>
      <c r="F5678" s="1390" t="str">
        <f>Risk_Compensation!$R$17</f>
        <v>JU</v>
      </c>
      <c r="G5678" s="1390"/>
      <c r="H5678" s="1077">
        <f>Risk_Compensation!$AU27</f>
        <v>-360.02710682951698</v>
      </c>
    </row>
    <row r="5679" spans="1:8" x14ac:dyDescent="0.2">
      <c r="A5679" s="1027"/>
      <c r="B5679" s="1083">
        <f>Risk_Compensation!A$1</f>
        <v>36</v>
      </c>
      <c r="C5679" s="1390" t="str">
        <f>Risk_Compensation!$B$1</f>
        <v xml:space="preserve">Risikoausgleich </v>
      </c>
      <c r="D5679" s="1743" t="str">
        <f>Risk_Compensation!$AJ$14</f>
        <v>geschätzte Risikoausgleichssätze, pro Monat in CHF (ohne Entlastung junge Erwachsene)</v>
      </c>
      <c r="E5679" s="1390">
        <f>Risk_Compensation!$AJ28</f>
        <v>11</v>
      </c>
      <c r="F5679" s="1390" t="str">
        <f>Risk_Compensation!$R$17</f>
        <v>JU</v>
      </c>
      <c r="G5679" s="1390"/>
      <c r="H5679" s="1077">
        <f>Risk_Compensation!$AU28</f>
        <v>-81.034565186839004</v>
      </c>
    </row>
    <row r="5680" spans="1:8" x14ac:dyDescent="0.2">
      <c r="A5680" s="1027"/>
      <c r="B5680" s="1083">
        <f>Risk_Compensation!A$1</f>
        <v>36</v>
      </c>
      <c r="C5680" s="1390" t="str">
        <f>Risk_Compensation!$B$1</f>
        <v xml:space="preserve">Risikoausgleich </v>
      </c>
      <c r="D5680" s="1743" t="str">
        <f>Risk_Compensation!$AJ$14</f>
        <v>geschätzte Risikoausgleichssätze, pro Monat in CHF (ohne Entlastung junge Erwachsene)</v>
      </c>
      <c r="E5680" s="1390">
        <f>Risk_Compensation!$AJ29</f>
        <v>12</v>
      </c>
      <c r="F5680" s="1390" t="str">
        <f>Risk_Compensation!$R$17</f>
        <v>JU</v>
      </c>
      <c r="G5680" s="1390"/>
      <c r="H5680" s="1077">
        <f>Risk_Compensation!$AU29</f>
        <v>-335.21057366580101</v>
      </c>
    </row>
    <row r="5681" spans="1:8" x14ac:dyDescent="0.2">
      <c r="A5681" s="1027"/>
      <c r="B5681" s="1083">
        <f>Risk_Compensation!A$1</f>
        <v>36</v>
      </c>
      <c r="C5681" s="1390" t="str">
        <f>Risk_Compensation!$B$1</f>
        <v xml:space="preserve">Risikoausgleich </v>
      </c>
      <c r="D5681" s="1743" t="str">
        <f>Risk_Compensation!$AJ$14</f>
        <v>geschätzte Risikoausgleichssätze, pro Monat in CHF (ohne Entlastung junge Erwachsene)</v>
      </c>
      <c r="E5681" s="1390">
        <f>Risk_Compensation!$AJ30</f>
        <v>13</v>
      </c>
      <c r="F5681" s="1390" t="str">
        <f>Risk_Compensation!$R$17</f>
        <v>JU</v>
      </c>
      <c r="G5681" s="1390"/>
      <c r="H5681" s="1077">
        <f>Risk_Compensation!$AU30</f>
        <v>422.95146874688902</v>
      </c>
    </row>
    <row r="5682" spans="1:8" x14ac:dyDescent="0.2">
      <c r="A5682" s="1027"/>
      <c r="B5682" s="1083">
        <f>Risk_Compensation!A$1</f>
        <v>36</v>
      </c>
      <c r="C5682" s="1390" t="str">
        <f>Risk_Compensation!$B$1</f>
        <v xml:space="preserve">Risikoausgleich </v>
      </c>
      <c r="D5682" s="1743" t="str">
        <f>Risk_Compensation!$AJ$14</f>
        <v>geschätzte Risikoausgleichssätze, pro Monat in CHF (ohne Entlastung junge Erwachsene)</v>
      </c>
      <c r="E5682" s="1390">
        <f>Risk_Compensation!$AJ31</f>
        <v>14</v>
      </c>
      <c r="F5682" s="1390" t="str">
        <f>Risk_Compensation!$R$17</f>
        <v>JU</v>
      </c>
      <c r="G5682" s="1390"/>
      <c r="H5682" s="1077">
        <f>Risk_Compensation!$AU31</f>
        <v>-309.33409262917701</v>
      </c>
    </row>
    <row r="5683" spans="1:8" x14ac:dyDescent="0.2">
      <c r="A5683" s="1027"/>
      <c r="B5683" s="1083">
        <f>Risk_Compensation!A$1</f>
        <v>36</v>
      </c>
      <c r="C5683" s="1390" t="str">
        <f>Risk_Compensation!$B$1</f>
        <v xml:space="preserve">Risikoausgleich </v>
      </c>
      <c r="D5683" s="1743" t="str">
        <f>Risk_Compensation!$AJ$14</f>
        <v>geschätzte Risikoausgleichssätze, pro Monat in CHF (ohne Entlastung junge Erwachsene)</v>
      </c>
      <c r="E5683" s="1390">
        <f>Risk_Compensation!$AJ32</f>
        <v>15</v>
      </c>
      <c r="F5683" s="1390" t="str">
        <f>Risk_Compensation!$R$17</f>
        <v>JU</v>
      </c>
      <c r="G5683" s="1390"/>
      <c r="H5683" s="1077">
        <f>Risk_Compensation!$AU32</f>
        <v>337.936322131238</v>
      </c>
    </row>
    <row r="5684" spans="1:8" x14ac:dyDescent="0.2">
      <c r="A5684" s="1027"/>
      <c r="B5684" s="1083">
        <f>Risk_Compensation!A$1</f>
        <v>36</v>
      </c>
      <c r="C5684" s="1390" t="str">
        <f>Risk_Compensation!$B$1</f>
        <v xml:space="preserve">Risikoausgleich </v>
      </c>
      <c r="D5684" s="1743" t="str">
        <f>Risk_Compensation!$AJ$14</f>
        <v>geschätzte Risikoausgleichssätze, pro Monat in CHF (ohne Entlastung junge Erwachsene)</v>
      </c>
      <c r="E5684" s="1390">
        <f>Risk_Compensation!$AJ33</f>
        <v>16</v>
      </c>
      <c r="F5684" s="1390" t="str">
        <f>Risk_Compensation!$R$17</f>
        <v>JU</v>
      </c>
      <c r="G5684" s="1390"/>
      <c r="H5684" s="1077">
        <f>Risk_Compensation!$AU33</f>
        <v>-280.27271698470099</v>
      </c>
    </row>
    <row r="5685" spans="1:8" x14ac:dyDescent="0.2">
      <c r="A5685" s="1027"/>
      <c r="B5685" s="1083">
        <f>Risk_Compensation!A$1</f>
        <v>36</v>
      </c>
      <c r="C5685" s="1390" t="str">
        <f>Risk_Compensation!$B$1</f>
        <v xml:space="preserve">Risikoausgleich </v>
      </c>
      <c r="D5685" s="1743" t="str">
        <f>Risk_Compensation!$AJ$14</f>
        <v>geschätzte Risikoausgleichssätze, pro Monat in CHF (ohne Entlastung junge Erwachsene)</v>
      </c>
      <c r="E5685" s="1390">
        <f>Risk_Compensation!$AJ34</f>
        <v>17</v>
      </c>
      <c r="F5685" s="1390" t="str">
        <f>Risk_Compensation!$R$17</f>
        <v>JU</v>
      </c>
      <c r="G5685" s="1390"/>
      <c r="H5685" s="1077">
        <f>Risk_Compensation!$AU34</f>
        <v>498.01537327994703</v>
      </c>
    </row>
    <row r="5686" spans="1:8" x14ac:dyDescent="0.2">
      <c r="A5686" s="1027"/>
      <c r="B5686" s="1083">
        <f>Risk_Compensation!A$1</f>
        <v>36</v>
      </c>
      <c r="C5686" s="1390" t="str">
        <f>Risk_Compensation!$B$1</f>
        <v xml:space="preserve">Risikoausgleich </v>
      </c>
      <c r="D5686" s="1743" t="str">
        <f>Risk_Compensation!$AJ$14</f>
        <v>geschätzte Risikoausgleichssätze, pro Monat in CHF (ohne Entlastung junge Erwachsene)</v>
      </c>
      <c r="E5686" s="1390">
        <f>Risk_Compensation!$AJ35</f>
        <v>18</v>
      </c>
      <c r="F5686" s="1390" t="str">
        <f>Risk_Compensation!$R$17</f>
        <v>JU</v>
      </c>
      <c r="G5686" s="1390"/>
      <c r="H5686" s="1077">
        <f>Risk_Compensation!$AU35</f>
        <v>-247.90985340245899</v>
      </c>
    </row>
    <row r="5687" spans="1:8" x14ac:dyDescent="0.2">
      <c r="A5687" s="1027"/>
      <c r="B5687" s="1083">
        <f>Risk_Compensation!A$1</f>
        <v>36</v>
      </c>
      <c r="C5687" s="1390" t="str">
        <f>Risk_Compensation!$B$1</f>
        <v xml:space="preserve">Risikoausgleich </v>
      </c>
      <c r="D5687" s="1743" t="str">
        <f>Risk_Compensation!$AJ$14</f>
        <v>geschätzte Risikoausgleichssätze, pro Monat in CHF (ohne Entlastung junge Erwachsene)</v>
      </c>
      <c r="E5687" s="1390">
        <f>Risk_Compensation!$AJ36</f>
        <v>19</v>
      </c>
      <c r="F5687" s="1390" t="str">
        <f>Risk_Compensation!$R$17</f>
        <v>JU</v>
      </c>
      <c r="G5687" s="1390"/>
      <c r="H5687" s="1077">
        <f>Risk_Compensation!$AU36</f>
        <v>615.26018401021201</v>
      </c>
    </row>
    <row r="5688" spans="1:8" x14ac:dyDescent="0.2">
      <c r="A5688" s="1027"/>
      <c r="B5688" s="1083">
        <f>Risk_Compensation!A$1</f>
        <v>36</v>
      </c>
      <c r="C5688" s="1390" t="str">
        <f>Risk_Compensation!$B$1</f>
        <v xml:space="preserve">Risikoausgleich </v>
      </c>
      <c r="D5688" s="1743" t="str">
        <f>Risk_Compensation!$AJ$14</f>
        <v>geschätzte Risikoausgleichssätze, pro Monat in CHF (ohne Entlastung junge Erwachsene)</v>
      </c>
      <c r="E5688" s="1390">
        <f>Risk_Compensation!$AJ37</f>
        <v>20</v>
      </c>
      <c r="F5688" s="1390" t="str">
        <f>Risk_Compensation!$R$17</f>
        <v>JU</v>
      </c>
      <c r="G5688" s="1390"/>
      <c r="H5688" s="1077">
        <f>Risk_Compensation!$AU37</f>
        <v>-168.61205751338301</v>
      </c>
    </row>
    <row r="5689" spans="1:8" x14ac:dyDescent="0.2">
      <c r="A5689" s="1027"/>
      <c r="B5689" s="1083">
        <f>Risk_Compensation!A$1</f>
        <v>36</v>
      </c>
      <c r="C5689" s="1390" t="str">
        <f>Risk_Compensation!$B$1</f>
        <v xml:space="preserve">Risikoausgleich </v>
      </c>
      <c r="D5689" s="1743" t="str">
        <f>Risk_Compensation!$AJ$14</f>
        <v>geschätzte Risikoausgleichssätze, pro Monat in CHF (ohne Entlastung junge Erwachsene)</v>
      </c>
      <c r="E5689" s="1390">
        <f>Risk_Compensation!$AJ38</f>
        <v>21</v>
      </c>
      <c r="F5689" s="1390" t="str">
        <f>Risk_Compensation!$R$17</f>
        <v>JU</v>
      </c>
      <c r="G5689" s="1390"/>
      <c r="H5689" s="1077">
        <f>Risk_Compensation!$AU38</f>
        <v>888.34652841414004</v>
      </c>
    </row>
    <row r="5690" spans="1:8" x14ac:dyDescent="0.2">
      <c r="A5690" s="1027"/>
      <c r="B5690" s="1083">
        <f>Risk_Compensation!A$1</f>
        <v>36</v>
      </c>
      <c r="C5690" s="1390" t="str">
        <f>Risk_Compensation!$B$1</f>
        <v xml:space="preserve">Risikoausgleich </v>
      </c>
      <c r="D5690" s="1743" t="str">
        <f>Risk_Compensation!$AJ$14</f>
        <v>geschätzte Risikoausgleichssätze, pro Monat in CHF (ohne Entlastung junge Erwachsene)</v>
      </c>
      <c r="E5690" s="1390">
        <f>Risk_Compensation!$AJ39</f>
        <v>22</v>
      </c>
      <c r="F5690" s="1390" t="str">
        <f>Risk_Compensation!$R$17</f>
        <v>JU</v>
      </c>
      <c r="G5690" s="1390"/>
      <c r="H5690" s="1077">
        <f>Risk_Compensation!$AU39</f>
        <v>-101.087242228204</v>
      </c>
    </row>
    <row r="5691" spans="1:8" x14ac:dyDescent="0.2">
      <c r="A5691" s="1027"/>
      <c r="B5691" s="1083">
        <f>Risk_Compensation!A$1</f>
        <v>36</v>
      </c>
      <c r="C5691" s="1390" t="str">
        <f>Risk_Compensation!$B$1</f>
        <v xml:space="preserve">Risikoausgleich </v>
      </c>
      <c r="D5691" s="1743" t="str">
        <f>Risk_Compensation!$AJ$14</f>
        <v>geschätzte Risikoausgleichssätze, pro Monat in CHF (ohne Entlastung junge Erwachsene)</v>
      </c>
      <c r="E5691" s="1390">
        <f>Risk_Compensation!$AJ40</f>
        <v>23</v>
      </c>
      <c r="F5691" s="1390" t="str">
        <f>Risk_Compensation!$R$17</f>
        <v>JU</v>
      </c>
      <c r="G5691" s="1390"/>
      <c r="H5691" s="1077">
        <f>Risk_Compensation!$AU40</f>
        <v>1361.07950427114</v>
      </c>
    </row>
    <row r="5692" spans="1:8" x14ac:dyDescent="0.2">
      <c r="A5692" s="1027"/>
      <c r="B5692" s="1083">
        <f>Risk_Compensation!A$1</f>
        <v>36</v>
      </c>
      <c r="C5692" s="1390" t="str">
        <f>Risk_Compensation!$B$1</f>
        <v xml:space="preserve">Risikoausgleich </v>
      </c>
      <c r="D5692" s="1743" t="str">
        <f>Risk_Compensation!$AJ$14</f>
        <v>geschätzte Risikoausgleichssätze, pro Monat in CHF (ohne Entlastung junge Erwachsene)</v>
      </c>
      <c r="E5692" s="1390">
        <f>Risk_Compensation!$AJ41</f>
        <v>24</v>
      </c>
      <c r="F5692" s="1390" t="str">
        <f>Risk_Compensation!$R$17</f>
        <v>JU</v>
      </c>
      <c r="G5692" s="1390"/>
      <c r="H5692" s="1077">
        <f>Risk_Compensation!$AU41</f>
        <v>54.467590025909203</v>
      </c>
    </row>
    <row r="5693" spans="1:8" x14ac:dyDescent="0.2">
      <c r="A5693" s="1027"/>
      <c r="B5693" s="1083">
        <f>Risk_Compensation!A$1</f>
        <v>36</v>
      </c>
      <c r="C5693" s="1390" t="str">
        <f>Risk_Compensation!$B$1</f>
        <v xml:space="preserve">Risikoausgleich </v>
      </c>
      <c r="D5693" s="1743" t="str">
        <f>Risk_Compensation!$AJ$14</f>
        <v>geschätzte Risikoausgleichssätze, pro Monat in CHF (ohne Entlastung junge Erwachsene)</v>
      </c>
      <c r="E5693" s="1390">
        <f>Risk_Compensation!$AJ42</f>
        <v>25</v>
      </c>
      <c r="F5693" s="1390" t="str">
        <f>Risk_Compensation!$R$17</f>
        <v>JU</v>
      </c>
      <c r="G5693" s="1390"/>
      <c r="H5693" s="1077">
        <f>Risk_Compensation!$AU42</f>
        <v>1535.21671034324</v>
      </c>
    </row>
    <row r="5694" spans="1:8" x14ac:dyDescent="0.2">
      <c r="A5694" s="1027"/>
      <c r="B5694" s="1083">
        <f>Risk_Compensation!A$1</f>
        <v>36</v>
      </c>
      <c r="C5694" s="1390" t="str">
        <f>Risk_Compensation!$B$1</f>
        <v xml:space="preserve">Risikoausgleich </v>
      </c>
      <c r="D5694" s="1743" t="str">
        <f>Risk_Compensation!$AJ$14</f>
        <v>geschätzte Risikoausgleichssätze, pro Monat in CHF (ohne Entlastung junge Erwachsene)</v>
      </c>
      <c r="E5694" s="1390">
        <f>Risk_Compensation!$AJ43</f>
        <v>26</v>
      </c>
      <c r="F5694" s="1390" t="str">
        <f>Risk_Compensation!$R$17</f>
        <v>JU</v>
      </c>
      <c r="G5694" s="1390"/>
      <c r="H5694" s="1077">
        <f>Risk_Compensation!$AU43</f>
        <v>227.124092975547</v>
      </c>
    </row>
    <row r="5695" spans="1:8" x14ac:dyDescent="0.2">
      <c r="A5695" s="1027"/>
      <c r="B5695" s="1083">
        <f>Risk_Compensation!A$1</f>
        <v>36</v>
      </c>
      <c r="C5695" s="1390" t="str">
        <f>Risk_Compensation!$B$1</f>
        <v xml:space="preserve">Risikoausgleich </v>
      </c>
      <c r="D5695" s="1743" t="str">
        <f>Risk_Compensation!$AJ$14</f>
        <v>geschätzte Risikoausgleichssätze, pro Monat in CHF (ohne Entlastung junge Erwachsene)</v>
      </c>
      <c r="E5695" s="1390">
        <f>Risk_Compensation!$AJ44</f>
        <v>27</v>
      </c>
      <c r="F5695" s="1390" t="str">
        <f>Risk_Compensation!$R$17</f>
        <v>JU</v>
      </c>
      <c r="G5695" s="1390"/>
      <c r="H5695" s="1077">
        <f>Risk_Compensation!$AU44</f>
        <v>1568.56267824103</v>
      </c>
    </row>
    <row r="5696" spans="1:8" x14ac:dyDescent="0.2">
      <c r="A5696" s="1027"/>
      <c r="B5696" s="1083">
        <f>Risk_Compensation!A$1</f>
        <v>36</v>
      </c>
      <c r="C5696" s="1390" t="str">
        <f>Risk_Compensation!$B$1</f>
        <v xml:space="preserve">Risikoausgleich </v>
      </c>
      <c r="D5696" s="1743" t="str">
        <f>Risk_Compensation!$AJ$14</f>
        <v>geschätzte Risikoausgleichssätze, pro Monat in CHF (ohne Entlastung junge Erwachsene)</v>
      </c>
      <c r="E5696" s="1390">
        <f>Risk_Compensation!$AJ45</f>
        <v>28</v>
      </c>
      <c r="F5696" s="1390" t="str">
        <f>Risk_Compensation!$R$17</f>
        <v>JU</v>
      </c>
      <c r="G5696" s="1390"/>
      <c r="H5696" s="1077">
        <f>Risk_Compensation!$AU45</f>
        <v>353.95917489423601</v>
      </c>
    </row>
    <row r="5697" spans="1:8" x14ac:dyDescent="0.2">
      <c r="A5697" s="1027"/>
      <c r="B5697" s="1083">
        <f>Risk_Compensation!A$1</f>
        <v>36</v>
      </c>
      <c r="C5697" s="1390" t="str">
        <f>Risk_Compensation!$B$1</f>
        <v xml:space="preserve">Risikoausgleich </v>
      </c>
      <c r="D5697" s="1743" t="str">
        <f>Risk_Compensation!$AJ$14</f>
        <v>geschätzte Risikoausgleichssätze, pro Monat in CHF (ohne Entlastung junge Erwachsene)</v>
      </c>
      <c r="E5697" s="1390">
        <f>Risk_Compensation!$AJ46</f>
        <v>29</v>
      </c>
      <c r="F5697" s="1390" t="str">
        <f>Risk_Compensation!$R$17</f>
        <v>JU</v>
      </c>
      <c r="G5697" s="1390"/>
      <c r="H5697" s="1077">
        <f>Risk_Compensation!$AU46</f>
        <v>2254.2291178302899</v>
      </c>
    </row>
    <row r="5698" spans="1:8" x14ac:dyDescent="0.2">
      <c r="A5698" s="1027"/>
      <c r="B5698" s="1083">
        <f>Risk_Compensation!A$1</f>
        <v>36</v>
      </c>
      <c r="C5698" s="1390" t="str">
        <f>Risk_Compensation!$B$1</f>
        <v xml:space="preserve">Risikoausgleich </v>
      </c>
      <c r="D5698" s="1743" t="str">
        <f>Risk_Compensation!$AJ$14</f>
        <v>geschätzte Risikoausgleichssätze, pro Monat in CHF (ohne Entlastung junge Erwachsene)</v>
      </c>
      <c r="E5698" s="1390">
        <f>Risk_Compensation!$AJ47</f>
        <v>30</v>
      </c>
      <c r="F5698" s="1390" t="str">
        <f>Risk_Compensation!$R$17</f>
        <v>JU</v>
      </c>
      <c r="G5698" s="1390"/>
      <c r="H5698" s="1077">
        <f>Risk_Compensation!$AU47</f>
        <v>362.03620437340999</v>
      </c>
    </row>
    <row r="5699" spans="1:8" x14ac:dyDescent="0.2">
      <c r="A5699" s="1027"/>
      <c r="B5699" s="1083">
        <f>Risk_Compensation!A$1</f>
        <v>36</v>
      </c>
      <c r="C5699" s="1390" t="str">
        <f>Risk_Compensation!$B$1</f>
        <v xml:space="preserve">Risikoausgleich </v>
      </c>
      <c r="D5699" s="1743" t="str">
        <f>Risk_Compensation!$AJ$14</f>
        <v>geschätzte Risikoausgleichssätze, pro Monat in CHF (ohne Entlastung junge Erwachsene)</v>
      </c>
      <c r="E5699" s="1390">
        <f>Risk_Compensation!$AJ48</f>
        <v>31</v>
      </c>
      <c r="F5699" s="1390" t="str">
        <f>Risk_Compensation!$R$17</f>
        <v>JU</v>
      </c>
      <c r="G5699" s="1390"/>
      <c r="H5699" s="1077">
        <f>Risk_Compensation!$AU48</f>
        <v>57.331166677554499</v>
      </c>
    </row>
    <row r="5700" spans="1:8" x14ac:dyDescent="0.2">
      <c r="A5700" s="1027"/>
      <c r="B5700" s="1083">
        <f>Risk_Compensation!A$1</f>
        <v>36</v>
      </c>
      <c r="C5700" s="1390" t="str">
        <f>Risk_Compensation!$B$1</f>
        <v xml:space="preserve">Risikoausgleich </v>
      </c>
      <c r="D5700" s="1743" t="str">
        <f>Risk_Compensation!$AJ$14</f>
        <v>geschätzte Risikoausgleichssätze, pro Monat in CHF (ohne Entlastung junge Erwachsene)</v>
      </c>
      <c r="E5700" s="1390">
        <f>Risk_Compensation!$AJ49</f>
        <v>32</v>
      </c>
      <c r="F5700" s="1390" t="str">
        <f>Risk_Compensation!$R$17</f>
        <v>JU</v>
      </c>
      <c r="G5700" s="1390"/>
      <c r="H5700" s="1077">
        <f>Risk_Compensation!$AU49</f>
        <v>-334.02706459496198</v>
      </c>
    </row>
    <row r="5701" spans="1:8" x14ac:dyDescent="0.2">
      <c r="A5701" s="1027"/>
      <c r="B5701" s="1083">
        <f>Risk_Compensation!A$1</f>
        <v>36</v>
      </c>
      <c r="C5701" s="1390" t="str">
        <f>Risk_Compensation!$B$1</f>
        <v xml:space="preserve">Risikoausgleich </v>
      </c>
      <c r="D5701" s="1743" t="str">
        <f>Risk_Compensation!$AJ$14</f>
        <v>geschätzte Risikoausgleichssätze, pro Monat in CHF (ohne Entlastung junge Erwachsene)</v>
      </c>
      <c r="E5701" s="1390">
        <f>Risk_Compensation!$AJ50</f>
        <v>33</v>
      </c>
      <c r="F5701" s="1390" t="str">
        <f>Risk_Compensation!$R$17</f>
        <v>JU</v>
      </c>
      <c r="G5701" s="1390"/>
      <c r="H5701" s="1077">
        <f>Risk_Compensation!$AU50</f>
        <v>570.93108810009505</v>
      </c>
    </row>
    <row r="5702" spans="1:8" x14ac:dyDescent="0.2">
      <c r="A5702" s="1027"/>
      <c r="B5702" s="1083">
        <f>Risk_Compensation!A$1</f>
        <v>36</v>
      </c>
      <c r="C5702" s="1390" t="str">
        <f>Risk_Compensation!$B$1</f>
        <v xml:space="preserve">Risikoausgleich </v>
      </c>
      <c r="D5702" s="1743" t="str">
        <f>Risk_Compensation!$AJ$14</f>
        <v>geschätzte Risikoausgleichssätze, pro Monat in CHF (ohne Entlastung junge Erwachsene)</v>
      </c>
      <c r="E5702" s="1390">
        <f>Risk_Compensation!$AJ51</f>
        <v>34</v>
      </c>
      <c r="F5702" s="1390" t="str">
        <f>Risk_Compensation!$R$17</f>
        <v>JU</v>
      </c>
      <c r="G5702" s="1390"/>
      <c r="H5702" s="1077">
        <f>Risk_Compensation!$AU51</f>
        <v>-265.07887399703901</v>
      </c>
    </row>
    <row r="5703" spans="1:8" x14ac:dyDescent="0.2">
      <c r="A5703" s="1027"/>
      <c r="B5703" s="1083">
        <f>Risk_Compensation!A$1</f>
        <v>36</v>
      </c>
      <c r="C5703" s="1390" t="str">
        <f>Risk_Compensation!$B$1</f>
        <v xml:space="preserve">Risikoausgleich </v>
      </c>
      <c r="D5703" s="1743" t="str">
        <f>Risk_Compensation!$AJ$14</f>
        <v>geschätzte Risikoausgleichssätze, pro Monat in CHF (ohne Entlastung junge Erwachsene)</v>
      </c>
      <c r="E5703" s="1390">
        <f>Risk_Compensation!$AJ52</f>
        <v>35</v>
      </c>
      <c r="F5703" s="1390" t="str">
        <f>Risk_Compensation!$R$17</f>
        <v>JU</v>
      </c>
      <c r="G5703" s="1390"/>
      <c r="H5703" s="1077">
        <f>Risk_Compensation!$AU52</f>
        <v>915.09491900546595</v>
      </c>
    </row>
    <row r="5704" spans="1:8" x14ac:dyDescent="0.2">
      <c r="A5704" s="1027"/>
      <c r="B5704" s="1083">
        <f>Risk_Compensation!A$1</f>
        <v>36</v>
      </c>
      <c r="C5704" s="1390" t="str">
        <f>Risk_Compensation!$B$1</f>
        <v xml:space="preserve">Risikoausgleich </v>
      </c>
      <c r="D5704" s="1743" t="str">
        <f>Risk_Compensation!$AJ$14</f>
        <v>geschätzte Risikoausgleichssätze, pro Monat in CHF (ohne Entlastung junge Erwachsene)</v>
      </c>
      <c r="E5704" s="1390">
        <f>Risk_Compensation!$AJ53</f>
        <v>36</v>
      </c>
      <c r="F5704" s="1390" t="str">
        <f>Risk_Compensation!$R$17</f>
        <v>JU</v>
      </c>
      <c r="G5704" s="1390"/>
      <c r="H5704" s="1077">
        <f>Risk_Compensation!$AU53</f>
        <v>-240.200979736394</v>
      </c>
    </row>
    <row r="5705" spans="1:8" x14ac:dyDescent="0.2">
      <c r="A5705" s="1027"/>
      <c r="B5705" s="1083">
        <f>Risk_Compensation!A$1</f>
        <v>36</v>
      </c>
      <c r="C5705" s="1390" t="str">
        <f>Risk_Compensation!$B$1</f>
        <v xml:space="preserve">Risikoausgleich </v>
      </c>
      <c r="D5705" s="1743" t="str">
        <f>Risk_Compensation!$AJ$14</f>
        <v>geschätzte Risikoausgleichssätze, pro Monat in CHF (ohne Entlastung junge Erwachsene)</v>
      </c>
      <c r="E5705" s="1390">
        <f>Risk_Compensation!$AJ54</f>
        <v>37</v>
      </c>
      <c r="F5705" s="1390" t="str">
        <f>Risk_Compensation!$R$17</f>
        <v>JU</v>
      </c>
      <c r="G5705" s="1390"/>
      <c r="H5705" s="1077">
        <f>Risk_Compensation!$AU54</f>
        <v>-27.801952733675702</v>
      </c>
    </row>
    <row r="5706" spans="1:8" x14ac:dyDescent="0.2">
      <c r="A5706" s="1027"/>
      <c r="B5706" s="1083">
        <f>Risk_Compensation!A$1</f>
        <v>36</v>
      </c>
      <c r="C5706" s="1390" t="str">
        <f>Risk_Compensation!$B$1</f>
        <v xml:space="preserve">Risikoausgleich </v>
      </c>
      <c r="D5706" s="1743" t="str">
        <f>Risk_Compensation!$AJ$14</f>
        <v>geschätzte Risikoausgleichssätze, pro Monat in CHF (ohne Entlastung junge Erwachsene)</v>
      </c>
      <c r="E5706" s="1390">
        <f>Risk_Compensation!$AJ55</f>
        <v>38</v>
      </c>
      <c r="F5706" s="1390" t="str">
        <f>Risk_Compensation!$R$17</f>
        <v>JU</v>
      </c>
      <c r="G5706" s="1390"/>
      <c r="H5706" s="1077">
        <f>Risk_Compensation!$AU55</f>
        <v>-280.12363432287498</v>
      </c>
    </row>
    <row r="5707" spans="1:8" x14ac:dyDescent="0.2">
      <c r="A5707" s="1027"/>
      <c r="B5707" s="1083">
        <f>Risk_Compensation!A$1</f>
        <v>36</v>
      </c>
      <c r="C5707" s="1390" t="str">
        <f>Risk_Compensation!$B$1</f>
        <v xml:space="preserve">Risikoausgleich </v>
      </c>
      <c r="D5707" s="1743" t="str">
        <f>Risk_Compensation!$AJ$14</f>
        <v>geschätzte Risikoausgleichssätze, pro Monat in CHF (ohne Entlastung junge Erwachsene)</v>
      </c>
      <c r="E5707" s="1390">
        <f>Risk_Compensation!$AJ56</f>
        <v>39</v>
      </c>
      <c r="F5707" s="1390" t="str">
        <f>Risk_Compensation!$R$17</f>
        <v>JU</v>
      </c>
      <c r="G5707" s="1390"/>
      <c r="H5707" s="1077">
        <f>Risk_Compensation!$AU56</f>
        <v>307.18342237806701</v>
      </c>
    </row>
    <row r="5708" spans="1:8" x14ac:dyDescent="0.2">
      <c r="A5708" s="1027"/>
      <c r="B5708" s="1083">
        <f>Risk_Compensation!A$1</f>
        <v>36</v>
      </c>
      <c r="C5708" s="1390" t="str">
        <f>Risk_Compensation!$B$1</f>
        <v xml:space="preserve">Risikoausgleich </v>
      </c>
      <c r="D5708" s="1743" t="str">
        <f>Risk_Compensation!$AJ$14</f>
        <v>geschätzte Risikoausgleichssätze, pro Monat in CHF (ohne Entlastung junge Erwachsene)</v>
      </c>
      <c r="E5708" s="1390">
        <f>Risk_Compensation!$AJ57</f>
        <v>40</v>
      </c>
      <c r="F5708" s="1390" t="str">
        <f>Risk_Compensation!$R$17</f>
        <v>JU</v>
      </c>
      <c r="G5708" s="1390"/>
      <c r="H5708" s="1077">
        <f>Risk_Compensation!$AU57</f>
        <v>-311.81435045931602</v>
      </c>
    </row>
    <row r="5709" spans="1:8" x14ac:dyDescent="0.2">
      <c r="A5709" s="1027"/>
      <c r="B5709" s="1083">
        <f>Risk_Compensation!A$1</f>
        <v>36</v>
      </c>
      <c r="C5709" s="1390" t="str">
        <f>Risk_Compensation!$B$1</f>
        <v xml:space="preserve">Risikoausgleich </v>
      </c>
      <c r="D5709" s="1743" t="str">
        <f>Risk_Compensation!$AJ$14</f>
        <v>geschätzte Risikoausgleichssätze, pro Monat in CHF (ohne Entlastung junge Erwachsene)</v>
      </c>
      <c r="E5709" s="1390">
        <f>Risk_Compensation!$AJ58</f>
        <v>41</v>
      </c>
      <c r="F5709" s="1390" t="str">
        <f>Risk_Compensation!$R$17</f>
        <v>JU</v>
      </c>
      <c r="G5709" s="1390"/>
      <c r="H5709" s="1077">
        <f>Risk_Compensation!$AU58</f>
        <v>339.70132759915401</v>
      </c>
    </row>
    <row r="5710" spans="1:8" x14ac:dyDescent="0.2">
      <c r="A5710" s="1027"/>
      <c r="B5710" s="1083">
        <f>Risk_Compensation!A$1</f>
        <v>36</v>
      </c>
      <c r="C5710" s="1390" t="str">
        <f>Risk_Compensation!$B$1</f>
        <v xml:space="preserve">Risikoausgleich </v>
      </c>
      <c r="D5710" s="1743" t="str">
        <f>Risk_Compensation!$AJ$14</f>
        <v>geschätzte Risikoausgleichssätze, pro Monat in CHF (ohne Entlastung junge Erwachsene)</v>
      </c>
      <c r="E5710" s="1390">
        <f>Risk_Compensation!$AJ59</f>
        <v>42</v>
      </c>
      <c r="F5710" s="1390" t="str">
        <f>Risk_Compensation!$R$17</f>
        <v>JU</v>
      </c>
      <c r="G5710" s="1390"/>
      <c r="H5710" s="1077">
        <f>Risk_Compensation!$AU59</f>
        <v>-293.94844175214899</v>
      </c>
    </row>
    <row r="5711" spans="1:8" x14ac:dyDescent="0.2">
      <c r="A5711" s="1027"/>
      <c r="B5711" s="1083">
        <f>Risk_Compensation!A$1</f>
        <v>36</v>
      </c>
      <c r="C5711" s="1390" t="str">
        <f>Risk_Compensation!$B$1</f>
        <v xml:space="preserve">Risikoausgleich </v>
      </c>
      <c r="D5711" s="1743" t="str">
        <f>Risk_Compensation!$AJ$14</f>
        <v>geschätzte Risikoausgleichssätze, pro Monat in CHF (ohne Entlastung junge Erwachsene)</v>
      </c>
      <c r="E5711" s="1390">
        <f>Risk_Compensation!$AJ60</f>
        <v>43</v>
      </c>
      <c r="F5711" s="1390" t="str">
        <f>Risk_Compensation!$R$17</f>
        <v>JU</v>
      </c>
      <c r="G5711" s="1390"/>
      <c r="H5711" s="1077">
        <f>Risk_Compensation!$AU60</f>
        <v>72.663746837857701</v>
      </c>
    </row>
    <row r="5712" spans="1:8" x14ac:dyDescent="0.2">
      <c r="A5712" s="1027"/>
      <c r="B5712" s="1083">
        <f>Risk_Compensation!A$1</f>
        <v>36</v>
      </c>
      <c r="C5712" s="1390" t="str">
        <f>Risk_Compensation!$B$1</f>
        <v xml:space="preserve">Risikoausgleich </v>
      </c>
      <c r="D5712" s="1743" t="str">
        <f>Risk_Compensation!$AJ$14</f>
        <v>geschätzte Risikoausgleichssätze, pro Monat in CHF (ohne Entlastung junge Erwachsene)</v>
      </c>
      <c r="E5712" s="1390">
        <f>Risk_Compensation!$AJ61</f>
        <v>44</v>
      </c>
      <c r="F5712" s="1390" t="str">
        <f>Risk_Compensation!$R$17</f>
        <v>JU</v>
      </c>
      <c r="G5712" s="1390"/>
      <c r="H5712" s="1077">
        <f>Risk_Compensation!$AU61</f>
        <v>-303.05412952156399</v>
      </c>
    </row>
    <row r="5713" spans="1:8" x14ac:dyDescent="0.2">
      <c r="A5713" s="1027"/>
      <c r="B5713" s="1083">
        <f>Risk_Compensation!A$1</f>
        <v>36</v>
      </c>
      <c r="C5713" s="1390" t="str">
        <f>Risk_Compensation!$B$1</f>
        <v xml:space="preserve">Risikoausgleich </v>
      </c>
      <c r="D5713" s="1743" t="str">
        <f>Risk_Compensation!$AJ$14</f>
        <v>geschätzte Risikoausgleichssätze, pro Monat in CHF (ohne Entlastung junge Erwachsene)</v>
      </c>
      <c r="E5713" s="1390">
        <f>Risk_Compensation!$AJ62</f>
        <v>45</v>
      </c>
      <c r="F5713" s="1390" t="str">
        <f>Risk_Compensation!$R$17</f>
        <v>JU</v>
      </c>
      <c r="G5713" s="1390"/>
      <c r="H5713" s="1077">
        <f>Risk_Compensation!$AU62</f>
        <v>473.65315989408703</v>
      </c>
    </row>
    <row r="5714" spans="1:8" x14ac:dyDescent="0.2">
      <c r="A5714" s="1027"/>
      <c r="B5714" s="1083">
        <f>Risk_Compensation!A$1</f>
        <v>36</v>
      </c>
      <c r="C5714" s="1390" t="str">
        <f>Risk_Compensation!$B$1</f>
        <v xml:space="preserve">Risikoausgleich </v>
      </c>
      <c r="D5714" s="1743" t="str">
        <f>Risk_Compensation!$AJ$14</f>
        <v>geschätzte Risikoausgleichssätze, pro Monat in CHF (ohne Entlastung junge Erwachsene)</v>
      </c>
      <c r="E5714" s="1390">
        <f>Risk_Compensation!$AJ63</f>
        <v>46</v>
      </c>
      <c r="F5714" s="1390" t="str">
        <f>Risk_Compensation!$R$17</f>
        <v>JU</v>
      </c>
      <c r="G5714" s="1390"/>
      <c r="H5714" s="1077">
        <f>Risk_Compensation!$AU63</f>
        <v>-303.12006729266699</v>
      </c>
    </row>
    <row r="5715" spans="1:8" x14ac:dyDescent="0.2">
      <c r="A5715" s="1027"/>
      <c r="B5715" s="1083">
        <f>Risk_Compensation!A$1</f>
        <v>36</v>
      </c>
      <c r="C5715" s="1390" t="str">
        <f>Risk_Compensation!$B$1</f>
        <v xml:space="preserve">Risikoausgleich </v>
      </c>
      <c r="D5715" s="1743" t="str">
        <f>Risk_Compensation!$AJ$14</f>
        <v>geschätzte Risikoausgleichssätze, pro Monat in CHF (ohne Entlastung junge Erwachsene)</v>
      </c>
      <c r="E5715" s="1390">
        <f>Risk_Compensation!$AJ64</f>
        <v>47</v>
      </c>
      <c r="F5715" s="1390" t="str">
        <f>Risk_Compensation!$R$17</f>
        <v>JU</v>
      </c>
      <c r="G5715" s="1390"/>
      <c r="H5715" s="1077">
        <f>Risk_Compensation!$AU64</f>
        <v>356.333770553752</v>
      </c>
    </row>
    <row r="5716" spans="1:8" x14ac:dyDescent="0.2">
      <c r="A5716" s="1027"/>
      <c r="B5716" s="1083">
        <f>Risk_Compensation!A$1</f>
        <v>36</v>
      </c>
      <c r="C5716" s="1390" t="str">
        <f>Risk_Compensation!$B$1</f>
        <v xml:space="preserve">Risikoausgleich </v>
      </c>
      <c r="D5716" s="1743" t="str">
        <f>Risk_Compensation!$AJ$14</f>
        <v>geschätzte Risikoausgleichssätze, pro Monat in CHF (ohne Entlastung junge Erwachsene)</v>
      </c>
      <c r="E5716" s="1390">
        <f>Risk_Compensation!$AJ65</f>
        <v>48</v>
      </c>
      <c r="F5716" s="1390" t="str">
        <f>Risk_Compensation!$R$17</f>
        <v>JU</v>
      </c>
      <c r="G5716" s="1390"/>
      <c r="H5716" s="1077">
        <f>Risk_Compensation!$AU65</f>
        <v>-241.37735231741399</v>
      </c>
    </row>
    <row r="5717" spans="1:8" x14ac:dyDescent="0.2">
      <c r="A5717" s="1027"/>
      <c r="B5717" s="1083">
        <f>Risk_Compensation!A$1</f>
        <v>36</v>
      </c>
      <c r="C5717" s="1390" t="str">
        <f>Risk_Compensation!$B$1</f>
        <v xml:space="preserve">Risikoausgleich </v>
      </c>
      <c r="D5717" s="1743" t="str">
        <f>Risk_Compensation!$AJ$14</f>
        <v>geschätzte Risikoausgleichssätze, pro Monat in CHF (ohne Entlastung junge Erwachsene)</v>
      </c>
      <c r="E5717" s="1390">
        <f>Risk_Compensation!$AJ66</f>
        <v>49</v>
      </c>
      <c r="F5717" s="1390" t="str">
        <f>Risk_Compensation!$R$17</f>
        <v>JU</v>
      </c>
      <c r="G5717" s="1390"/>
      <c r="H5717" s="1077">
        <f>Risk_Compensation!$AU66</f>
        <v>137.250936539924</v>
      </c>
    </row>
    <row r="5718" spans="1:8" x14ac:dyDescent="0.2">
      <c r="A5718" s="1027"/>
      <c r="B5718" s="1083">
        <f>Risk_Compensation!A$1</f>
        <v>36</v>
      </c>
      <c r="C5718" s="1390" t="str">
        <f>Risk_Compensation!$B$1</f>
        <v xml:space="preserve">Risikoausgleich </v>
      </c>
      <c r="D5718" s="1743" t="str">
        <f>Risk_Compensation!$AJ$14</f>
        <v>geschätzte Risikoausgleichssätze, pro Monat in CHF (ohne Entlastung junge Erwachsene)</v>
      </c>
      <c r="E5718" s="1390">
        <f>Risk_Compensation!$AJ67</f>
        <v>50</v>
      </c>
      <c r="F5718" s="1390" t="str">
        <f>Risk_Compensation!$R$17</f>
        <v>JU</v>
      </c>
      <c r="G5718" s="1390"/>
      <c r="H5718" s="1077">
        <f>Risk_Compensation!$AU67</f>
        <v>-192.79351617352501</v>
      </c>
    </row>
    <row r="5719" spans="1:8" x14ac:dyDescent="0.2">
      <c r="A5719" s="1027"/>
      <c r="B5719" s="1083">
        <f>Risk_Compensation!A$1</f>
        <v>36</v>
      </c>
      <c r="C5719" s="1390" t="str">
        <f>Risk_Compensation!$B$1</f>
        <v xml:space="preserve">Risikoausgleich </v>
      </c>
      <c r="D5719" s="1743" t="str">
        <f>Risk_Compensation!$AJ$14</f>
        <v>geschätzte Risikoausgleichssätze, pro Monat in CHF (ohne Entlastung junge Erwachsene)</v>
      </c>
      <c r="E5719" s="1390">
        <f>Risk_Compensation!$AJ68</f>
        <v>51</v>
      </c>
      <c r="F5719" s="1390" t="str">
        <f>Risk_Compensation!$R$17</f>
        <v>JU</v>
      </c>
      <c r="G5719" s="1390"/>
      <c r="H5719" s="1077">
        <f>Risk_Compensation!$AU68</f>
        <v>757.81054157868903</v>
      </c>
    </row>
    <row r="5720" spans="1:8" x14ac:dyDescent="0.2">
      <c r="A5720" s="1027"/>
      <c r="B5720" s="1083">
        <f>Risk_Compensation!A$1</f>
        <v>36</v>
      </c>
      <c r="C5720" s="1390" t="str">
        <f>Risk_Compensation!$B$1</f>
        <v xml:space="preserve">Risikoausgleich </v>
      </c>
      <c r="D5720" s="1743" t="str">
        <f>Risk_Compensation!$AJ$14</f>
        <v>geschätzte Risikoausgleichssätze, pro Monat in CHF (ohne Entlastung junge Erwachsene)</v>
      </c>
      <c r="E5720" s="1390">
        <f>Risk_Compensation!$AJ69</f>
        <v>52</v>
      </c>
      <c r="F5720" s="1390" t="str">
        <f>Risk_Compensation!$R$17</f>
        <v>JU</v>
      </c>
      <c r="G5720" s="1390"/>
      <c r="H5720" s="1077">
        <f>Risk_Compensation!$AU69</f>
        <v>-128.24680398613799</v>
      </c>
    </row>
    <row r="5721" spans="1:8" x14ac:dyDescent="0.2">
      <c r="A5721" s="1027"/>
      <c r="B5721" s="1083">
        <f>Risk_Compensation!A$1</f>
        <v>36</v>
      </c>
      <c r="C5721" s="1390" t="str">
        <f>Risk_Compensation!$B$1</f>
        <v xml:space="preserve">Risikoausgleich </v>
      </c>
      <c r="D5721" s="1743" t="str">
        <f>Risk_Compensation!$AJ$14</f>
        <v>geschätzte Risikoausgleichssätze, pro Monat in CHF (ohne Entlastung junge Erwachsene)</v>
      </c>
      <c r="E5721" s="1390">
        <f>Risk_Compensation!$AJ70</f>
        <v>53</v>
      </c>
      <c r="F5721" s="1390" t="str">
        <f>Risk_Compensation!$R$17</f>
        <v>JU</v>
      </c>
      <c r="G5721" s="1390"/>
      <c r="H5721" s="1077">
        <f>Risk_Compensation!$AU70</f>
        <v>1147.4760815301199</v>
      </c>
    </row>
    <row r="5722" spans="1:8" x14ac:dyDescent="0.2">
      <c r="A5722" s="1027"/>
      <c r="B5722" s="1083">
        <f>Risk_Compensation!A$1</f>
        <v>36</v>
      </c>
      <c r="C5722" s="1390" t="str">
        <f>Risk_Compensation!$B$1</f>
        <v xml:space="preserve">Risikoausgleich </v>
      </c>
      <c r="D5722" s="1743" t="str">
        <f>Risk_Compensation!$AJ$14</f>
        <v>geschätzte Risikoausgleichssätze, pro Monat in CHF (ohne Entlastung junge Erwachsene)</v>
      </c>
      <c r="E5722" s="1390">
        <f>Risk_Compensation!$AJ71</f>
        <v>54</v>
      </c>
      <c r="F5722" s="1390" t="str">
        <f>Risk_Compensation!$R$17</f>
        <v>JU</v>
      </c>
      <c r="G5722" s="1390"/>
      <c r="H5722" s="1077">
        <f>Risk_Compensation!$AU71</f>
        <v>-2.6716047965541598</v>
      </c>
    </row>
    <row r="5723" spans="1:8" x14ac:dyDescent="0.2">
      <c r="A5723" s="1027"/>
      <c r="B5723" s="1083">
        <f>Risk_Compensation!A$1</f>
        <v>36</v>
      </c>
      <c r="C5723" s="1390" t="str">
        <f>Risk_Compensation!$B$1</f>
        <v xml:space="preserve">Risikoausgleich </v>
      </c>
      <c r="D5723" s="1743" t="str">
        <f>Risk_Compensation!$AJ$14</f>
        <v>geschätzte Risikoausgleichssätze, pro Monat in CHF (ohne Entlastung junge Erwachsene)</v>
      </c>
      <c r="E5723" s="1390">
        <f>Risk_Compensation!$AJ72</f>
        <v>55</v>
      </c>
      <c r="F5723" s="1390" t="str">
        <f>Risk_Compensation!$R$17</f>
        <v>JU</v>
      </c>
      <c r="G5723" s="1390"/>
      <c r="H5723" s="1077">
        <f>Risk_Compensation!$AU72</f>
        <v>1253.2766106435099</v>
      </c>
    </row>
    <row r="5724" spans="1:8" x14ac:dyDescent="0.2">
      <c r="A5724" s="1027"/>
      <c r="B5724" s="1083">
        <f>Risk_Compensation!A$1</f>
        <v>36</v>
      </c>
      <c r="C5724" s="1390" t="str">
        <f>Risk_Compensation!$B$1</f>
        <v xml:space="preserve">Risikoausgleich </v>
      </c>
      <c r="D5724" s="1743" t="str">
        <f>Risk_Compensation!$AJ$14</f>
        <v>geschätzte Risikoausgleichssätze, pro Monat in CHF (ohne Entlastung junge Erwachsene)</v>
      </c>
      <c r="E5724" s="1390">
        <f>Risk_Compensation!$AJ73</f>
        <v>56</v>
      </c>
      <c r="F5724" s="1390" t="str">
        <f>Risk_Compensation!$R$17</f>
        <v>JU</v>
      </c>
      <c r="G5724" s="1390"/>
      <c r="H5724" s="1077">
        <f>Risk_Compensation!$AU73</f>
        <v>103.665495834702</v>
      </c>
    </row>
    <row r="5725" spans="1:8" x14ac:dyDescent="0.2">
      <c r="A5725" s="1027"/>
      <c r="B5725" s="1083">
        <f>Risk_Compensation!A$1</f>
        <v>36</v>
      </c>
      <c r="C5725" s="1390" t="str">
        <f>Risk_Compensation!$B$1</f>
        <v xml:space="preserve">Risikoausgleich </v>
      </c>
      <c r="D5725" s="1743" t="str">
        <f>Risk_Compensation!$AJ$14</f>
        <v>geschätzte Risikoausgleichssätze, pro Monat in CHF (ohne Entlastung junge Erwachsene)</v>
      </c>
      <c r="E5725" s="1390">
        <f>Risk_Compensation!$AJ74</f>
        <v>57</v>
      </c>
      <c r="F5725" s="1390" t="str">
        <f>Risk_Compensation!$R$17</f>
        <v>JU</v>
      </c>
      <c r="G5725" s="1390"/>
      <c r="H5725" s="1077">
        <f>Risk_Compensation!$AU74</f>
        <v>2022.6111571322001</v>
      </c>
    </row>
    <row r="5726" spans="1:8" x14ac:dyDescent="0.2">
      <c r="A5726" s="1027"/>
      <c r="B5726" s="1083">
        <f>Risk_Compensation!A$1</f>
        <v>36</v>
      </c>
      <c r="C5726" s="1390" t="str">
        <f>Risk_Compensation!$B$1</f>
        <v xml:space="preserve">Risikoausgleich </v>
      </c>
      <c r="D5726" s="1743" t="str">
        <f>Risk_Compensation!$AJ$14</f>
        <v>geschätzte Risikoausgleichssätze, pro Monat in CHF (ohne Entlastung junge Erwachsene)</v>
      </c>
      <c r="E5726" s="1390">
        <f>Risk_Compensation!$AJ75</f>
        <v>58</v>
      </c>
      <c r="F5726" s="1390" t="str">
        <f>Risk_Compensation!$R$17</f>
        <v>JU</v>
      </c>
      <c r="G5726" s="1390"/>
      <c r="H5726" s="1077">
        <f>Risk_Compensation!$AU75</f>
        <v>309.12209940145101</v>
      </c>
    </row>
    <row r="5727" spans="1:8" x14ac:dyDescent="0.2">
      <c r="A5727" s="1027"/>
      <c r="B5727" s="1083">
        <f>Risk_Compensation!A$1</f>
        <v>36</v>
      </c>
      <c r="C5727" s="1390" t="str">
        <f>Risk_Compensation!$B$1</f>
        <v xml:space="preserve">Risikoausgleich </v>
      </c>
      <c r="D5727" s="1743" t="str">
        <f>Risk_Compensation!$AJ$14</f>
        <v>geschätzte Risikoausgleichssätze, pro Monat in CHF (ohne Entlastung junge Erwachsene)</v>
      </c>
      <c r="E5727" s="1390">
        <f>Risk_Compensation!$AJ76</f>
        <v>59</v>
      </c>
      <c r="F5727" s="1390" t="str">
        <f>Risk_Compensation!$R$17</f>
        <v>JU</v>
      </c>
      <c r="G5727" s="1390"/>
      <c r="H5727" s="1077">
        <f>Risk_Compensation!$AU76</f>
        <v>2347.0197913075499</v>
      </c>
    </row>
    <row r="5728" spans="1:8" x14ac:dyDescent="0.2">
      <c r="A5728" s="1027"/>
      <c r="B5728" s="1083">
        <f>Risk_Compensation!A$1</f>
        <v>36</v>
      </c>
      <c r="C5728" s="1390" t="str">
        <f>Risk_Compensation!$B$1</f>
        <v xml:space="preserve">Risikoausgleich </v>
      </c>
      <c r="D5728" s="1743" t="str">
        <f>Risk_Compensation!$AJ$14</f>
        <v>geschätzte Risikoausgleichssätze, pro Monat in CHF (ohne Entlastung junge Erwachsene)</v>
      </c>
      <c r="E5728" s="1390">
        <f>Risk_Compensation!$AJ77</f>
        <v>60</v>
      </c>
      <c r="F5728" s="1390" t="str">
        <f>Risk_Compensation!$R$17</f>
        <v>JU</v>
      </c>
      <c r="G5728" s="1390"/>
      <c r="H5728" s="1077">
        <f>Risk_Compensation!$AU77</f>
        <v>776.76838882232903</v>
      </c>
    </row>
    <row r="5729" spans="1:8" x14ac:dyDescent="0.2">
      <c r="A5729" s="1027"/>
      <c r="B5729" s="2174"/>
      <c r="C5729" s="1390"/>
      <c r="D5729" s="2175"/>
      <c r="E5729" s="2176"/>
      <c r="F5729" s="1390"/>
      <c r="G5729" s="1390"/>
      <c r="H5729" s="1078"/>
    </row>
    <row r="5730" spans="1:8" x14ac:dyDescent="0.2">
      <c r="A5730" s="1027"/>
      <c r="B5730" s="1083">
        <f>Risk_Compensation!A$1</f>
        <v>36</v>
      </c>
      <c r="C5730" s="1390" t="str">
        <f>Risk_Compensation!$B$1</f>
        <v xml:space="preserve">Risikoausgleich </v>
      </c>
      <c r="D5730" s="1743" t="str">
        <f>Risk_Compensation!$AJ$14</f>
        <v>geschätzte Risikoausgleichssätze, pro Monat in CHF (ohne Entlastung junge Erwachsene)</v>
      </c>
      <c r="E5730" s="1390">
        <f>Risk_Compensation!$AJ18</f>
        <v>1</v>
      </c>
      <c r="F5730" s="1390" t="str">
        <f>Risk_Compensation!$S$17</f>
        <v>LU</v>
      </c>
      <c r="G5730" s="1390"/>
      <c r="H5730" s="1077">
        <f>Risk_Compensation!$AV18</f>
        <v>440.194980824965</v>
      </c>
    </row>
    <row r="5731" spans="1:8" x14ac:dyDescent="0.2">
      <c r="A5731" s="1027"/>
      <c r="B5731" s="1083">
        <f>Risk_Compensation!A$1</f>
        <v>36</v>
      </c>
      <c r="C5731" s="1390" t="str">
        <f>Risk_Compensation!$B$1</f>
        <v xml:space="preserve">Risikoausgleich </v>
      </c>
      <c r="D5731" s="1743" t="str">
        <f>Risk_Compensation!$AJ$14</f>
        <v>geschätzte Risikoausgleichssätze, pro Monat in CHF (ohne Entlastung junge Erwachsene)</v>
      </c>
      <c r="E5731" s="1390">
        <f>Risk_Compensation!$AJ19</f>
        <v>2</v>
      </c>
      <c r="F5731" s="1390" t="str">
        <f>Risk_Compensation!$S$17</f>
        <v>LU</v>
      </c>
      <c r="G5731" s="1390"/>
      <c r="H5731" s="1077">
        <f>Risk_Compensation!$AV19</f>
        <v>-275.22873128459202</v>
      </c>
    </row>
    <row r="5732" spans="1:8" x14ac:dyDescent="0.2">
      <c r="A5732" s="1027"/>
      <c r="B5732" s="1083">
        <f>Risk_Compensation!A$1</f>
        <v>36</v>
      </c>
      <c r="C5732" s="1390" t="str">
        <f>Risk_Compensation!$B$1</f>
        <v xml:space="preserve">Risikoausgleich </v>
      </c>
      <c r="D5732" s="1743" t="str">
        <f>Risk_Compensation!$AJ$14</f>
        <v>geschätzte Risikoausgleichssätze, pro Monat in CHF (ohne Entlastung junge Erwachsene)</v>
      </c>
      <c r="E5732" s="1390">
        <f>Risk_Compensation!$AJ20</f>
        <v>3</v>
      </c>
      <c r="F5732" s="1390" t="str">
        <f>Risk_Compensation!$S$17</f>
        <v>LU</v>
      </c>
      <c r="G5732" s="1390"/>
      <c r="H5732" s="1077">
        <f>Risk_Compensation!$AV20</f>
        <v>318.42296998393601</v>
      </c>
    </row>
    <row r="5733" spans="1:8" x14ac:dyDescent="0.2">
      <c r="A5733" s="1027"/>
      <c r="B5733" s="1083">
        <f>Risk_Compensation!A$1</f>
        <v>36</v>
      </c>
      <c r="C5733" s="1390" t="str">
        <f>Risk_Compensation!$B$1</f>
        <v xml:space="preserve">Risikoausgleich </v>
      </c>
      <c r="D5733" s="1743" t="str">
        <f>Risk_Compensation!$AJ$14</f>
        <v>geschätzte Risikoausgleichssätze, pro Monat in CHF (ohne Entlastung junge Erwachsene)</v>
      </c>
      <c r="E5733" s="1390">
        <f>Risk_Compensation!$AJ21</f>
        <v>4</v>
      </c>
      <c r="F5733" s="1390" t="str">
        <f>Risk_Compensation!$S$17</f>
        <v>LU</v>
      </c>
      <c r="G5733" s="1390"/>
      <c r="H5733" s="1077">
        <f>Risk_Compensation!$AV21</f>
        <v>-281.30550331761901</v>
      </c>
    </row>
    <row r="5734" spans="1:8" x14ac:dyDescent="0.2">
      <c r="A5734" s="1027"/>
      <c r="B5734" s="1083">
        <f>Risk_Compensation!A$1</f>
        <v>36</v>
      </c>
      <c r="C5734" s="1390" t="str">
        <f>Risk_Compensation!$B$1</f>
        <v xml:space="preserve">Risikoausgleich </v>
      </c>
      <c r="D5734" s="1743" t="str">
        <f>Risk_Compensation!$AJ$14</f>
        <v>geschätzte Risikoausgleichssätze, pro Monat in CHF (ohne Entlastung junge Erwachsene)</v>
      </c>
      <c r="E5734" s="1390">
        <f>Risk_Compensation!$AJ22</f>
        <v>5</v>
      </c>
      <c r="F5734" s="1390" t="str">
        <f>Risk_Compensation!$S$17</f>
        <v>LU</v>
      </c>
      <c r="G5734" s="1390"/>
      <c r="H5734" s="1077">
        <f>Risk_Compensation!$AV22</f>
        <v>187.41967660378199</v>
      </c>
    </row>
    <row r="5735" spans="1:8" x14ac:dyDescent="0.2">
      <c r="A5735" s="1027"/>
      <c r="B5735" s="1083">
        <f>Risk_Compensation!A$1</f>
        <v>36</v>
      </c>
      <c r="C5735" s="1390" t="str">
        <f>Risk_Compensation!$B$1</f>
        <v xml:space="preserve">Risikoausgleich </v>
      </c>
      <c r="D5735" s="1743" t="str">
        <f>Risk_Compensation!$AJ$14</f>
        <v>geschätzte Risikoausgleichssätze, pro Monat in CHF (ohne Entlastung junge Erwachsene)</v>
      </c>
      <c r="E5735" s="1390">
        <f>Risk_Compensation!$AJ23</f>
        <v>6</v>
      </c>
      <c r="F5735" s="1390" t="str">
        <f>Risk_Compensation!$S$17</f>
        <v>LU</v>
      </c>
      <c r="G5735" s="1390"/>
      <c r="H5735" s="1077">
        <f>Risk_Compensation!$AV23</f>
        <v>-274.467786924797</v>
      </c>
    </row>
    <row r="5736" spans="1:8" x14ac:dyDescent="0.2">
      <c r="A5736" s="1027"/>
      <c r="B5736" s="1083">
        <f>Risk_Compensation!A$1</f>
        <v>36</v>
      </c>
      <c r="C5736" s="1390" t="str">
        <f>Risk_Compensation!$B$1</f>
        <v xml:space="preserve">Risikoausgleich </v>
      </c>
      <c r="D5736" s="1743" t="str">
        <f>Risk_Compensation!$AJ$14</f>
        <v>geschätzte Risikoausgleichssätze, pro Monat in CHF (ohne Entlastung junge Erwachsene)</v>
      </c>
      <c r="E5736" s="1390">
        <f>Risk_Compensation!$AJ24</f>
        <v>7</v>
      </c>
      <c r="F5736" s="1390" t="str">
        <f>Risk_Compensation!$S$17</f>
        <v>LU</v>
      </c>
      <c r="G5736" s="1390"/>
      <c r="H5736" s="1077">
        <f>Risk_Compensation!$AV24</f>
        <v>425.90302763867902</v>
      </c>
    </row>
    <row r="5737" spans="1:8" x14ac:dyDescent="0.2">
      <c r="A5737" s="1027"/>
      <c r="B5737" s="1083">
        <f>Risk_Compensation!A$1</f>
        <v>36</v>
      </c>
      <c r="C5737" s="1390" t="str">
        <f>Risk_Compensation!$B$1</f>
        <v xml:space="preserve">Risikoausgleich </v>
      </c>
      <c r="D5737" s="1743" t="str">
        <f>Risk_Compensation!$AJ$14</f>
        <v>geschätzte Risikoausgleichssätze, pro Monat in CHF (ohne Entlastung junge Erwachsene)</v>
      </c>
      <c r="E5737" s="1390">
        <f>Risk_Compensation!$AJ25</f>
        <v>8</v>
      </c>
      <c r="F5737" s="1390" t="str">
        <f>Risk_Compensation!$S$17</f>
        <v>LU</v>
      </c>
      <c r="G5737" s="1390"/>
      <c r="H5737" s="1077">
        <f>Risk_Compensation!$AV25</f>
        <v>-270.61476227865302</v>
      </c>
    </row>
    <row r="5738" spans="1:8" x14ac:dyDescent="0.2">
      <c r="A5738" s="1027"/>
      <c r="B5738" s="1083">
        <f>Risk_Compensation!A$1</f>
        <v>36</v>
      </c>
      <c r="C5738" s="1390" t="str">
        <f>Risk_Compensation!$B$1</f>
        <v xml:space="preserve">Risikoausgleich </v>
      </c>
      <c r="D5738" s="1743" t="str">
        <f>Risk_Compensation!$AJ$14</f>
        <v>geschätzte Risikoausgleichssätze, pro Monat in CHF (ohne Entlastung junge Erwachsene)</v>
      </c>
      <c r="E5738" s="1390">
        <f>Risk_Compensation!$AJ26</f>
        <v>9</v>
      </c>
      <c r="F5738" s="1390" t="str">
        <f>Risk_Compensation!$S$17</f>
        <v>LU</v>
      </c>
      <c r="G5738" s="1390"/>
      <c r="H5738" s="1077">
        <f>Risk_Compensation!$AV26</f>
        <v>287.61756023550998</v>
      </c>
    </row>
    <row r="5739" spans="1:8" x14ac:dyDescent="0.2">
      <c r="A5739" s="1027"/>
      <c r="B5739" s="1083">
        <f>Risk_Compensation!A$1</f>
        <v>36</v>
      </c>
      <c r="C5739" s="1390" t="str">
        <f>Risk_Compensation!$B$1</f>
        <v xml:space="preserve">Risikoausgleich </v>
      </c>
      <c r="D5739" s="1743" t="str">
        <f>Risk_Compensation!$AJ$14</f>
        <v>geschätzte Risikoausgleichssätze, pro Monat in CHF (ohne Entlastung junge Erwachsene)</v>
      </c>
      <c r="E5739" s="1390">
        <f>Risk_Compensation!$AJ27</f>
        <v>10</v>
      </c>
      <c r="F5739" s="1390" t="str">
        <f>Risk_Compensation!$S$17</f>
        <v>LU</v>
      </c>
      <c r="G5739" s="1390"/>
      <c r="H5739" s="1077">
        <f>Risk_Compensation!$AV27</f>
        <v>-274.30347302527099</v>
      </c>
    </row>
    <row r="5740" spans="1:8" x14ac:dyDescent="0.2">
      <c r="A5740" s="1027"/>
      <c r="B5740" s="1083">
        <f>Risk_Compensation!A$1</f>
        <v>36</v>
      </c>
      <c r="C5740" s="1390" t="str">
        <f>Risk_Compensation!$B$1</f>
        <v xml:space="preserve">Risikoausgleich </v>
      </c>
      <c r="D5740" s="1743" t="str">
        <f>Risk_Compensation!$AJ$14</f>
        <v>geschätzte Risikoausgleichssätze, pro Monat in CHF (ohne Entlastung junge Erwachsene)</v>
      </c>
      <c r="E5740" s="1390">
        <f>Risk_Compensation!$AJ28</f>
        <v>11</v>
      </c>
      <c r="F5740" s="1390" t="str">
        <f>Risk_Compensation!$S$17</f>
        <v>LU</v>
      </c>
      <c r="G5740" s="1390"/>
      <c r="H5740" s="1077">
        <f>Risk_Compensation!$AV28</f>
        <v>295.32323653590697</v>
      </c>
    </row>
    <row r="5741" spans="1:8" x14ac:dyDescent="0.2">
      <c r="A5741" s="1027"/>
      <c r="B5741" s="1083">
        <f>Risk_Compensation!A$1</f>
        <v>36</v>
      </c>
      <c r="C5741" s="1390" t="str">
        <f>Risk_Compensation!$B$1</f>
        <v xml:space="preserve">Risikoausgleich </v>
      </c>
      <c r="D5741" s="1743" t="str">
        <f>Risk_Compensation!$AJ$14</f>
        <v>geschätzte Risikoausgleichssätze, pro Monat in CHF (ohne Entlastung junge Erwachsene)</v>
      </c>
      <c r="E5741" s="1390">
        <f>Risk_Compensation!$AJ29</f>
        <v>12</v>
      </c>
      <c r="F5741" s="1390" t="str">
        <f>Risk_Compensation!$S$17</f>
        <v>LU</v>
      </c>
      <c r="G5741" s="1390"/>
      <c r="H5741" s="1077">
        <f>Risk_Compensation!$AV29</f>
        <v>-243.284195540285</v>
      </c>
    </row>
    <row r="5742" spans="1:8" x14ac:dyDescent="0.2">
      <c r="A5742" s="1027"/>
      <c r="B5742" s="1083">
        <f>Risk_Compensation!A$1</f>
        <v>36</v>
      </c>
      <c r="C5742" s="1390" t="str">
        <f>Risk_Compensation!$B$1</f>
        <v xml:space="preserve">Risikoausgleich </v>
      </c>
      <c r="D5742" s="1743" t="str">
        <f>Risk_Compensation!$AJ$14</f>
        <v>geschätzte Risikoausgleichssätze, pro Monat in CHF (ohne Entlastung junge Erwachsene)</v>
      </c>
      <c r="E5742" s="1390">
        <f>Risk_Compensation!$AJ30</f>
        <v>13</v>
      </c>
      <c r="F5742" s="1390" t="str">
        <f>Risk_Compensation!$S$17</f>
        <v>LU</v>
      </c>
      <c r="G5742" s="1390"/>
      <c r="H5742" s="1077">
        <f>Risk_Compensation!$AV30</f>
        <v>351.92267764938902</v>
      </c>
    </row>
    <row r="5743" spans="1:8" x14ac:dyDescent="0.2">
      <c r="A5743" s="1027"/>
      <c r="B5743" s="1083">
        <f>Risk_Compensation!A$1</f>
        <v>36</v>
      </c>
      <c r="C5743" s="1390" t="str">
        <f>Risk_Compensation!$B$1</f>
        <v xml:space="preserve">Risikoausgleich </v>
      </c>
      <c r="D5743" s="1743" t="str">
        <f>Risk_Compensation!$AJ$14</f>
        <v>geschätzte Risikoausgleichssätze, pro Monat in CHF (ohne Entlastung junge Erwachsene)</v>
      </c>
      <c r="E5743" s="1390">
        <f>Risk_Compensation!$AJ31</f>
        <v>14</v>
      </c>
      <c r="F5743" s="1390" t="str">
        <f>Risk_Compensation!$S$17</f>
        <v>LU</v>
      </c>
      <c r="G5743" s="1390"/>
      <c r="H5743" s="1077">
        <f>Risk_Compensation!$AV31</f>
        <v>-216.96276375104401</v>
      </c>
    </row>
    <row r="5744" spans="1:8" x14ac:dyDescent="0.2">
      <c r="A5744" s="1027"/>
      <c r="B5744" s="1083">
        <f>Risk_Compensation!A$1</f>
        <v>36</v>
      </c>
      <c r="C5744" s="1390" t="str">
        <f>Risk_Compensation!$B$1</f>
        <v xml:space="preserve">Risikoausgleich </v>
      </c>
      <c r="D5744" s="1743" t="str">
        <f>Risk_Compensation!$AJ$14</f>
        <v>geschätzte Risikoausgleichssätze, pro Monat in CHF (ohne Entlastung junge Erwachsene)</v>
      </c>
      <c r="E5744" s="1390">
        <f>Risk_Compensation!$AJ32</f>
        <v>15</v>
      </c>
      <c r="F5744" s="1390" t="str">
        <f>Risk_Compensation!$S$17</f>
        <v>LU</v>
      </c>
      <c r="G5744" s="1390"/>
      <c r="H5744" s="1077">
        <f>Risk_Compensation!$AV32</f>
        <v>334.83246005966998</v>
      </c>
    </row>
    <row r="5745" spans="1:8" x14ac:dyDescent="0.2">
      <c r="A5745" s="1027"/>
      <c r="B5745" s="1083">
        <f>Risk_Compensation!A$1</f>
        <v>36</v>
      </c>
      <c r="C5745" s="1390" t="str">
        <f>Risk_Compensation!$B$1</f>
        <v xml:space="preserve">Risikoausgleich </v>
      </c>
      <c r="D5745" s="1743" t="str">
        <f>Risk_Compensation!$AJ$14</f>
        <v>geschätzte Risikoausgleichssätze, pro Monat in CHF (ohne Entlastung junge Erwachsene)</v>
      </c>
      <c r="E5745" s="1390">
        <f>Risk_Compensation!$AJ33</f>
        <v>16</v>
      </c>
      <c r="F5745" s="1390" t="str">
        <f>Risk_Compensation!$S$17</f>
        <v>LU</v>
      </c>
      <c r="G5745" s="1390"/>
      <c r="H5745" s="1077">
        <f>Risk_Compensation!$AV33</f>
        <v>-199.73331307424701</v>
      </c>
    </row>
    <row r="5746" spans="1:8" x14ac:dyDescent="0.2">
      <c r="A5746" s="1027"/>
      <c r="B5746" s="1083">
        <f>Risk_Compensation!A$1</f>
        <v>36</v>
      </c>
      <c r="C5746" s="1390" t="str">
        <f>Risk_Compensation!$B$1</f>
        <v xml:space="preserve">Risikoausgleich </v>
      </c>
      <c r="D5746" s="1743" t="str">
        <f>Risk_Compensation!$AJ$14</f>
        <v>geschätzte Risikoausgleichssätze, pro Monat in CHF (ohne Entlastung junge Erwachsene)</v>
      </c>
      <c r="E5746" s="1390">
        <f>Risk_Compensation!$AJ34</f>
        <v>17</v>
      </c>
      <c r="F5746" s="1390" t="str">
        <f>Risk_Compensation!$S$17</f>
        <v>LU</v>
      </c>
      <c r="G5746" s="1390"/>
      <c r="H5746" s="1077">
        <f>Risk_Compensation!$AV34</f>
        <v>579.66916618724701</v>
      </c>
    </row>
    <row r="5747" spans="1:8" x14ac:dyDescent="0.2">
      <c r="A5747" s="1027"/>
      <c r="B5747" s="1083">
        <f>Risk_Compensation!A$1</f>
        <v>36</v>
      </c>
      <c r="C5747" s="1390" t="str">
        <f>Risk_Compensation!$B$1</f>
        <v xml:space="preserve">Risikoausgleich </v>
      </c>
      <c r="D5747" s="1743" t="str">
        <f>Risk_Compensation!$AJ$14</f>
        <v>geschätzte Risikoausgleichssätze, pro Monat in CHF (ohne Entlastung junge Erwachsene)</v>
      </c>
      <c r="E5747" s="1390">
        <f>Risk_Compensation!$AJ35</f>
        <v>18</v>
      </c>
      <c r="F5747" s="1390" t="str">
        <f>Risk_Compensation!$S$17</f>
        <v>LU</v>
      </c>
      <c r="G5747" s="1390"/>
      <c r="H5747" s="1077">
        <f>Risk_Compensation!$AV35</f>
        <v>-143.30169520790599</v>
      </c>
    </row>
    <row r="5748" spans="1:8" x14ac:dyDescent="0.2">
      <c r="A5748" s="1027"/>
      <c r="B5748" s="1083">
        <f>Risk_Compensation!A$1</f>
        <v>36</v>
      </c>
      <c r="C5748" s="1390" t="str">
        <f>Risk_Compensation!$B$1</f>
        <v xml:space="preserve">Risikoausgleich </v>
      </c>
      <c r="D5748" s="1743" t="str">
        <f>Risk_Compensation!$AJ$14</f>
        <v>geschätzte Risikoausgleichssätze, pro Monat in CHF (ohne Entlastung junge Erwachsene)</v>
      </c>
      <c r="E5748" s="1390">
        <f>Risk_Compensation!$AJ36</f>
        <v>19</v>
      </c>
      <c r="F5748" s="1390" t="str">
        <f>Risk_Compensation!$S$17</f>
        <v>LU</v>
      </c>
      <c r="G5748" s="1390"/>
      <c r="H5748" s="1077">
        <f>Risk_Compensation!$AV36</f>
        <v>543.62355800884995</v>
      </c>
    </row>
    <row r="5749" spans="1:8" x14ac:dyDescent="0.2">
      <c r="A5749" s="1027"/>
      <c r="B5749" s="1083">
        <f>Risk_Compensation!A$1</f>
        <v>36</v>
      </c>
      <c r="C5749" s="1390" t="str">
        <f>Risk_Compensation!$B$1</f>
        <v xml:space="preserve">Risikoausgleich </v>
      </c>
      <c r="D5749" s="1743" t="str">
        <f>Risk_Compensation!$AJ$14</f>
        <v>geschätzte Risikoausgleichssätze, pro Monat in CHF (ohne Entlastung junge Erwachsene)</v>
      </c>
      <c r="E5749" s="1390">
        <f>Risk_Compensation!$AJ37</f>
        <v>20</v>
      </c>
      <c r="F5749" s="1390" t="str">
        <f>Risk_Compensation!$S$17</f>
        <v>LU</v>
      </c>
      <c r="G5749" s="1390"/>
      <c r="H5749" s="1077">
        <f>Risk_Compensation!$AV37</f>
        <v>-75.879729617774004</v>
      </c>
    </row>
    <row r="5750" spans="1:8" x14ac:dyDescent="0.2">
      <c r="A5750" s="1027"/>
      <c r="B5750" s="1083">
        <f>Risk_Compensation!A$1</f>
        <v>36</v>
      </c>
      <c r="C5750" s="1390" t="str">
        <f>Risk_Compensation!$B$1</f>
        <v xml:space="preserve">Risikoausgleich </v>
      </c>
      <c r="D5750" s="1743" t="str">
        <f>Risk_Compensation!$AJ$14</f>
        <v>geschätzte Risikoausgleichssätze, pro Monat in CHF (ohne Entlastung junge Erwachsene)</v>
      </c>
      <c r="E5750" s="1390">
        <f>Risk_Compensation!$AJ38</f>
        <v>21</v>
      </c>
      <c r="F5750" s="1390" t="str">
        <f>Risk_Compensation!$S$17</f>
        <v>LU</v>
      </c>
      <c r="G5750" s="1390"/>
      <c r="H5750" s="1077">
        <f>Risk_Compensation!$AV38</f>
        <v>719.09956914666998</v>
      </c>
    </row>
    <row r="5751" spans="1:8" x14ac:dyDescent="0.2">
      <c r="A5751" s="1027"/>
      <c r="B5751" s="1083">
        <f>Risk_Compensation!A$1</f>
        <v>36</v>
      </c>
      <c r="C5751" s="1390" t="str">
        <f>Risk_Compensation!$B$1</f>
        <v xml:space="preserve">Risikoausgleich </v>
      </c>
      <c r="D5751" s="1743" t="str">
        <f>Risk_Compensation!$AJ$14</f>
        <v>geschätzte Risikoausgleichssätze, pro Monat in CHF (ohne Entlastung junge Erwachsene)</v>
      </c>
      <c r="E5751" s="1390">
        <f>Risk_Compensation!$AJ39</f>
        <v>22</v>
      </c>
      <c r="F5751" s="1390" t="str">
        <f>Risk_Compensation!$S$17</f>
        <v>LU</v>
      </c>
      <c r="G5751" s="1390"/>
      <c r="H5751" s="1077">
        <f>Risk_Compensation!$AV39</f>
        <v>-11.945991760816399</v>
      </c>
    </row>
    <row r="5752" spans="1:8" x14ac:dyDescent="0.2">
      <c r="A5752" s="1027"/>
      <c r="B5752" s="1083">
        <f>Risk_Compensation!A$1</f>
        <v>36</v>
      </c>
      <c r="C5752" s="1390" t="str">
        <f>Risk_Compensation!$B$1</f>
        <v xml:space="preserve">Risikoausgleich </v>
      </c>
      <c r="D5752" s="1743" t="str">
        <f>Risk_Compensation!$AJ$14</f>
        <v>geschätzte Risikoausgleichssätze, pro Monat in CHF (ohne Entlastung junge Erwachsene)</v>
      </c>
      <c r="E5752" s="1390">
        <f>Risk_Compensation!$AJ40</f>
        <v>23</v>
      </c>
      <c r="F5752" s="1390" t="str">
        <f>Risk_Compensation!$S$17</f>
        <v>LU</v>
      </c>
      <c r="G5752" s="1390"/>
      <c r="H5752" s="1077">
        <f>Risk_Compensation!$AV40</f>
        <v>724.95572329268498</v>
      </c>
    </row>
    <row r="5753" spans="1:8" x14ac:dyDescent="0.2">
      <c r="A5753" s="1027"/>
      <c r="B5753" s="1083">
        <f>Risk_Compensation!A$1</f>
        <v>36</v>
      </c>
      <c r="C5753" s="1390" t="str">
        <f>Risk_Compensation!$B$1</f>
        <v xml:space="preserve">Risikoausgleich </v>
      </c>
      <c r="D5753" s="1743" t="str">
        <f>Risk_Compensation!$AJ$14</f>
        <v>geschätzte Risikoausgleichssätze, pro Monat in CHF (ohne Entlastung junge Erwachsene)</v>
      </c>
      <c r="E5753" s="1390">
        <f>Risk_Compensation!$AJ41</f>
        <v>24</v>
      </c>
      <c r="F5753" s="1390" t="str">
        <f>Risk_Compensation!$S$17</f>
        <v>LU</v>
      </c>
      <c r="G5753" s="1390"/>
      <c r="H5753" s="1077">
        <f>Risk_Compensation!$AV41</f>
        <v>113.58109019017</v>
      </c>
    </row>
    <row r="5754" spans="1:8" x14ac:dyDescent="0.2">
      <c r="A5754" s="1027"/>
      <c r="B5754" s="1083">
        <f>Risk_Compensation!A$1</f>
        <v>36</v>
      </c>
      <c r="C5754" s="1390" t="str">
        <f>Risk_Compensation!$B$1</f>
        <v xml:space="preserve">Risikoausgleich </v>
      </c>
      <c r="D5754" s="1743" t="str">
        <f>Risk_Compensation!$AJ$14</f>
        <v>geschätzte Risikoausgleichssätze, pro Monat in CHF (ohne Entlastung junge Erwachsene)</v>
      </c>
      <c r="E5754" s="1390">
        <f>Risk_Compensation!$AJ42</f>
        <v>25</v>
      </c>
      <c r="F5754" s="1390" t="str">
        <f>Risk_Compensation!$S$17</f>
        <v>LU</v>
      </c>
      <c r="G5754" s="1390"/>
      <c r="H5754" s="1077">
        <f>Risk_Compensation!$AV42</f>
        <v>979.85893739367702</v>
      </c>
    </row>
    <row r="5755" spans="1:8" x14ac:dyDescent="0.2">
      <c r="A5755" s="1027"/>
      <c r="B5755" s="1083">
        <f>Risk_Compensation!A$1</f>
        <v>36</v>
      </c>
      <c r="C5755" s="1390" t="str">
        <f>Risk_Compensation!$B$1</f>
        <v xml:space="preserve">Risikoausgleich </v>
      </c>
      <c r="D5755" s="1743" t="str">
        <f>Risk_Compensation!$AJ$14</f>
        <v>geschätzte Risikoausgleichssätze, pro Monat in CHF (ohne Entlastung junge Erwachsene)</v>
      </c>
      <c r="E5755" s="1390">
        <f>Risk_Compensation!$AJ43</f>
        <v>26</v>
      </c>
      <c r="F5755" s="1390" t="str">
        <f>Risk_Compensation!$S$17</f>
        <v>LU</v>
      </c>
      <c r="G5755" s="1390"/>
      <c r="H5755" s="1077">
        <f>Risk_Compensation!$AV43</f>
        <v>174.255187326011</v>
      </c>
    </row>
    <row r="5756" spans="1:8" x14ac:dyDescent="0.2">
      <c r="A5756" s="1027"/>
      <c r="B5756" s="1083">
        <f>Risk_Compensation!A$1</f>
        <v>36</v>
      </c>
      <c r="C5756" s="1390" t="str">
        <f>Risk_Compensation!$B$1</f>
        <v xml:space="preserve">Risikoausgleich </v>
      </c>
      <c r="D5756" s="1743" t="str">
        <f>Risk_Compensation!$AJ$14</f>
        <v>geschätzte Risikoausgleichssätze, pro Monat in CHF (ohne Entlastung junge Erwachsene)</v>
      </c>
      <c r="E5756" s="1390">
        <f>Risk_Compensation!$AJ44</f>
        <v>27</v>
      </c>
      <c r="F5756" s="1390" t="str">
        <f>Risk_Compensation!$S$17</f>
        <v>LU</v>
      </c>
      <c r="G5756" s="1390"/>
      <c r="H5756" s="1077">
        <f>Risk_Compensation!$AV44</f>
        <v>1121.7499865119</v>
      </c>
    </row>
    <row r="5757" spans="1:8" x14ac:dyDescent="0.2">
      <c r="A5757" s="1027"/>
      <c r="B5757" s="1083">
        <f>Risk_Compensation!A$1</f>
        <v>36</v>
      </c>
      <c r="C5757" s="1390" t="str">
        <f>Risk_Compensation!$B$1</f>
        <v xml:space="preserve">Risikoausgleich </v>
      </c>
      <c r="D5757" s="1743" t="str">
        <f>Risk_Compensation!$AJ$14</f>
        <v>geschätzte Risikoausgleichssätze, pro Monat in CHF (ohne Entlastung junge Erwachsene)</v>
      </c>
      <c r="E5757" s="1390">
        <f>Risk_Compensation!$AJ45</f>
        <v>28</v>
      </c>
      <c r="F5757" s="1390" t="str">
        <f>Risk_Compensation!$S$17</f>
        <v>LU</v>
      </c>
      <c r="G5757" s="1390"/>
      <c r="H5757" s="1077">
        <f>Risk_Compensation!$AV45</f>
        <v>219.02686935813</v>
      </c>
    </row>
    <row r="5758" spans="1:8" x14ac:dyDescent="0.2">
      <c r="A5758" s="1027"/>
      <c r="B5758" s="1083">
        <f>Risk_Compensation!A$1</f>
        <v>36</v>
      </c>
      <c r="C5758" s="1390" t="str">
        <f>Risk_Compensation!$B$1</f>
        <v xml:space="preserve">Risikoausgleich </v>
      </c>
      <c r="D5758" s="1743" t="str">
        <f>Risk_Compensation!$AJ$14</f>
        <v>geschätzte Risikoausgleichssätze, pro Monat in CHF (ohne Entlastung junge Erwachsene)</v>
      </c>
      <c r="E5758" s="1390">
        <f>Risk_Compensation!$AJ46</f>
        <v>29</v>
      </c>
      <c r="F5758" s="1390" t="str">
        <f>Risk_Compensation!$S$17</f>
        <v>LU</v>
      </c>
      <c r="G5758" s="1390"/>
      <c r="H5758" s="1077">
        <f>Risk_Compensation!$AV46</f>
        <v>1175.95048968426</v>
      </c>
    </row>
    <row r="5759" spans="1:8" x14ac:dyDescent="0.2">
      <c r="A5759" s="1027"/>
      <c r="B5759" s="1083">
        <f>Risk_Compensation!A$1</f>
        <v>36</v>
      </c>
      <c r="C5759" s="1390" t="str">
        <f>Risk_Compensation!$B$1</f>
        <v xml:space="preserve">Risikoausgleich </v>
      </c>
      <c r="D5759" s="1743" t="str">
        <f>Risk_Compensation!$AJ$14</f>
        <v>geschätzte Risikoausgleichssätze, pro Monat in CHF (ohne Entlastung junge Erwachsene)</v>
      </c>
      <c r="E5759" s="1390">
        <f>Risk_Compensation!$AJ47</f>
        <v>30</v>
      </c>
      <c r="F5759" s="1390" t="str">
        <f>Risk_Compensation!$S$17</f>
        <v>LU</v>
      </c>
      <c r="G5759" s="1390"/>
      <c r="H5759" s="1077">
        <f>Risk_Compensation!$AV47</f>
        <v>403.73888313937601</v>
      </c>
    </row>
    <row r="5760" spans="1:8" x14ac:dyDescent="0.2">
      <c r="A5760" s="1027"/>
      <c r="B5760" s="1083">
        <f>Risk_Compensation!A$1</f>
        <v>36</v>
      </c>
      <c r="C5760" s="1390" t="str">
        <f>Risk_Compensation!$B$1</f>
        <v xml:space="preserve">Risikoausgleich </v>
      </c>
      <c r="D5760" s="1743" t="str">
        <f>Risk_Compensation!$AJ$14</f>
        <v>geschätzte Risikoausgleichssätze, pro Monat in CHF (ohne Entlastung junge Erwachsene)</v>
      </c>
      <c r="E5760" s="1390">
        <f>Risk_Compensation!$AJ48</f>
        <v>31</v>
      </c>
      <c r="F5760" s="1390" t="str">
        <f>Risk_Compensation!$S$17</f>
        <v>LU</v>
      </c>
      <c r="G5760" s="1390"/>
      <c r="H5760" s="1077">
        <f>Risk_Compensation!$AV48</f>
        <v>595.70449483912</v>
      </c>
    </row>
    <row r="5761" spans="1:8" x14ac:dyDescent="0.2">
      <c r="A5761" s="1027"/>
      <c r="B5761" s="1083">
        <f>Risk_Compensation!A$1</f>
        <v>36</v>
      </c>
      <c r="C5761" s="1390" t="str">
        <f>Risk_Compensation!$B$1</f>
        <v xml:space="preserve">Risikoausgleich </v>
      </c>
      <c r="D5761" s="1743" t="str">
        <f>Risk_Compensation!$AJ$14</f>
        <v>geschätzte Risikoausgleichssätze, pro Monat in CHF (ohne Entlastung junge Erwachsene)</v>
      </c>
      <c r="E5761" s="1390">
        <f>Risk_Compensation!$AJ49</f>
        <v>32</v>
      </c>
      <c r="F5761" s="1390" t="str">
        <f>Risk_Compensation!$S$17</f>
        <v>LU</v>
      </c>
      <c r="G5761" s="1390"/>
      <c r="H5761" s="1077">
        <f>Risk_Compensation!$AV49</f>
        <v>-223.26373275658901</v>
      </c>
    </row>
    <row r="5762" spans="1:8" x14ac:dyDescent="0.2">
      <c r="A5762" s="1027"/>
      <c r="B5762" s="1083">
        <f>Risk_Compensation!A$1</f>
        <v>36</v>
      </c>
      <c r="C5762" s="1390" t="str">
        <f>Risk_Compensation!$B$1</f>
        <v xml:space="preserve">Risikoausgleich </v>
      </c>
      <c r="D5762" s="1743" t="str">
        <f>Risk_Compensation!$AJ$14</f>
        <v>geschätzte Risikoausgleichssätze, pro Monat in CHF (ohne Entlastung junge Erwachsene)</v>
      </c>
      <c r="E5762" s="1390">
        <f>Risk_Compensation!$AJ50</f>
        <v>33</v>
      </c>
      <c r="F5762" s="1390" t="str">
        <f>Risk_Compensation!$S$17</f>
        <v>LU</v>
      </c>
      <c r="G5762" s="1390"/>
      <c r="H5762" s="1077">
        <f>Risk_Compensation!$AV50</f>
        <v>276.59139716454303</v>
      </c>
    </row>
    <row r="5763" spans="1:8" x14ac:dyDescent="0.2">
      <c r="A5763" s="1027"/>
      <c r="B5763" s="1083">
        <f>Risk_Compensation!A$1</f>
        <v>36</v>
      </c>
      <c r="C5763" s="1390" t="str">
        <f>Risk_Compensation!$B$1</f>
        <v xml:space="preserve">Risikoausgleich </v>
      </c>
      <c r="D5763" s="1743" t="str">
        <f>Risk_Compensation!$AJ$14</f>
        <v>geschätzte Risikoausgleichssätze, pro Monat in CHF (ohne Entlastung junge Erwachsene)</v>
      </c>
      <c r="E5763" s="1390">
        <f>Risk_Compensation!$AJ51</f>
        <v>34</v>
      </c>
      <c r="F5763" s="1390" t="str">
        <f>Risk_Compensation!$S$17</f>
        <v>LU</v>
      </c>
      <c r="G5763" s="1390"/>
      <c r="H5763" s="1077">
        <f>Risk_Compensation!$AV51</f>
        <v>-182.94280192567999</v>
      </c>
    </row>
    <row r="5764" spans="1:8" x14ac:dyDescent="0.2">
      <c r="A5764" s="1027"/>
      <c r="B5764" s="1083">
        <f>Risk_Compensation!A$1</f>
        <v>36</v>
      </c>
      <c r="C5764" s="1390" t="str">
        <f>Risk_Compensation!$B$1</f>
        <v xml:space="preserve">Risikoausgleich </v>
      </c>
      <c r="D5764" s="1743" t="str">
        <f>Risk_Compensation!$AJ$14</f>
        <v>geschätzte Risikoausgleichssätze, pro Monat in CHF (ohne Entlastung junge Erwachsene)</v>
      </c>
      <c r="E5764" s="1390">
        <f>Risk_Compensation!$AJ52</f>
        <v>35</v>
      </c>
      <c r="F5764" s="1390" t="str">
        <f>Risk_Compensation!$S$17</f>
        <v>LU</v>
      </c>
      <c r="G5764" s="1390"/>
      <c r="H5764" s="1077">
        <f>Risk_Compensation!$AV52</f>
        <v>281.81459506992798</v>
      </c>
    </row>
    <row r="5765" spans="1:8" x14ac:dyDescent="0.2">
      <c r="A5765" s="1027"/>
      <c r="B5765" s="1083">
        <f>Risk_Compensation!A$1</f>
        <v>36</v>
      </c>
      <c r="C5765" s="1390" t="str">
        <f>Risk_Compensation!$B$1</f>
        <v xml:space="preserve">Risikoausgleich </v>
      </c>
      <c r="D5765" s="1743" t="str">
        <f>Risk_Compensation!$AJ$14</f>
        <v>geschätzte Risikoausgleichssätze, pro Monat in CHF (ohne Entlastung junge Erwachsene)</v>
      </c>
      <c r="E5765" s="1390">
        <f>Risk_Compensation!$AJ53</f>
        <v>36</v>
      </c>
      <c r="F5765" s="1390" t="str">
        <f>Risk_Compensation!$S$17</f>
        <v>LU</v>
      </c>
      <c r="G5765" s="1390"/>
      <c r="H5765" s="1077">
        <f>Risk_Compensation!$AV53</f>
        <v>-132.48873384019899</v>
      </c>
    </row>
    <row r="5766" spans="1:8" x14ac:dyDescent="0.2">
      <c r="A5766" s="1027"/>
      <c r="B5766" s="1083">
        <f>Risk_Compensation!A$1</f>
        <v>36</v>
      </c>
      <c r="C5766" s="1390" t="str">
        <f>Risk_Compensation!$B$1</f>
        <v xml:space="preserve">Risikoausgleich </v>
      </c>
      <c r="D5766" s="1743" t="str">
        <f>Risk_Compensation!$AJ$14</f>
        <v>geschätzte Risikoausgleichssätze, pro Monat in CHF (ohne Entlastung junge Erwachsene)</v>
      </c>
      <c r="E5766" s="1390">
        <f>Risk_Compensation!$AJ54</f>
        <v>37</v>
      </c>
      <c r="F5766" s="1390" t="str">
        <f>Risk_Compensation!$S$17</f>
        <v>LU</v>
      </c>
      <c r="G5766" s="1390"/>
      <c r="H5766" s="1077">
        <f>Risk_Compensation!$AV54</f>
        <v>295.12282208883698</v>
      </c>
    </row>
    <row r="5767" spans="1:8" x14ac:dyDescent="0.2">
      <c r="A5767" s="1027"/>
      <c r="B5767" s="1083">
        <f>Risk_Compensation!A$1</f>
        <v>36</v>
      </c>
      <c r="C5767" s="1390" t="str">
        <f>Risk_Compensation!$B$1</f>
        <v xml:space="preserve">Risikoausgleich </v>
      </c>
      <c r="D5767" s="1743" t="str">
        <f>Risk_Compensation!$AJ$14</f>
        <v>geschätzte Risikoausgleichssätze, pro Monat in CHF (ohne Entlastung junge Erwachsene)</v>
      </c>
      <c r="E5767" s="1390">
        <f>Risk_Compensation!$AJ55</f>
        <v>38</v>
      </c>
      <c r="F5767" s="1390" t="str">
        <f>Risk_Compensation!$S$17</f>
        <v>LU</v>
      </c>
      <c r="G5767" s="1390"/>
      <c r="H5767" s="1077">
        <f>Risk_Compensation!$AV55</f>
        <v>-174.00310247458199</v>
      </c>
    </row>
    <row r="5768" spans="1:8" x14ac:dyDescent="0.2">
      <c r="A5768" s="1027"/>
      <c r="B5768" s="1083">
        <f>Risk_Compensation!A$1</f>
        <v>36</v>
      </c>
      <c r="C5768" s="1390" t="str">
        <f>Risk_Compensation!$B$1</f>
        <v xml:space="preserve">Risikoausgleich </v>
      </c>
      <c r="D5768" s="1743" t="str">
        <f>Risk_Compensation!$AJ$14</f>
        <v>geschätzte Risikoausgleichssätze, pro Monat in CHF (ohne Entlastung junge Erwachsene)</v>
      </c>
      <c r="E5768" s="1390">
        <f>Risk_Compensation!$AJ56</f>
        <v>39</v>
      </c>
      <c r="F5768" s="1390" t="str">
        <f>Risk_Compensation!$S$17</f>
        <v>LU</v>
      </c>
      <c r="G5768" s="1390"/>
      <c r="H5768" s="1077">
        <f>Risk_Compensation!$AV56</f>
        <v>406.77361756545599</v>
      </c>
    </row>
    <row r="5769" spans="1:8" x14ac:dyDescent="0.2">
      <c r="A5769" s="1027"/>
      <c r="B5769" s="1083">
        <f>Risk_Compensation!A$1</f>
        <v>36</v>
      </c>
      <c r="C5769" s="1390" t="str">
        <f>Risk_Compensation!$B$1</f>
        <v xml:space="preserve">Risikoausgleich </v>
      </c>
      <c r="D5769" s="1743" t="str">
        <f>Risk_Compensation!$AJ$14</f>
        <v>geschätzte Risikoausgleichssätze, pro Monat in CHF (ohne Entlastung junge Erwachsene)</v>
      </c>
      <c r="E5769" s="1390">
        <f>Risk_Compensation!$AJ57</f>
        <v>40</v>
      </c>
      <c r="F5769" s="1390" t="str">
        <f>Risk_Compensation!$S$17</f>
        <v>LU</v>
      </c>
      <c r="G5769" s="1390"/>
      <c r="H5769" s="1077">
        <f>Risk_Compensation!$AV57</f>
        <v>-217.39981769155801</v>
      </c>
    </row>
    <row r="5770" spans="1:8" x14ac:dyDescent="0.2">
      <c r="A5770" s="1027"/>
      <c r="B5770" s="1083">
        <f>Risk_Compensation!A$1</f>
        <v>36</v>
      </c>
      <c r="C5770" s="1390" t="str">
        <f>Risk_Compensation!$B$1</f>
        <v xml:space="preserve">Risikoausgleich </v>
      </c>
      <c r="D5770" s="1743" t="str">
        <f>Risk_Compensation!$AJ$14</f>
        <v>geschätzte Risikoausgleichssätze, pro Monat in CHF (ohne Entlastung junge Erwachsene)</v>
      </c>
      <c r="E5770" s="1390">
        <f>Risk_Compensation!$AJ58</f>
        <v>41</v>
      </c>
      <c r="F5770" s="1390" t="str">
        <f>Risk_Compensation!$S$17</f>
        <v>LU</v>
      </c>
      <c r="G5770" s="1390"/>
      <c r="H5770" s="1077">
        <f>Risk_Compensation!$AV58</f>
        <v>467.88607128687897</v>
      </c>
    </row>
    <row r="5771" spans="1:8" x14ac:dyDescent="0.2">
      <c r="A5771" s="1027"/>
      <c r="B5771" s="1083">
        <f>Risk_Compensation!A$1</f>
        <v>36</v>
      </c>
      <c r="C5771" s="1390" t="str">
        <f>Risk_Compensation!$B$1</f>
        <v xml:space="preserve">Risikoausgleich </v>
      </c>
      <c r="D5771" s="1743" t="str">
        <f>Risk_Compensation!$AJ$14</f>
        <v>geschätzte Risikoausgleichssätze, pro Monat in CHF (ohne Entlastung junge Erwachsene)</v>
      </c>
      <c r="E5771" s="1390">
        <f>Risk_Compensation!$AJ59</f>
        <v>42</v>
      </c>
      <c r="F5771" s="1390" t="str">
        <f>Risk_Compensation!$S$17</f>
        <v>LU</v>
      </c>
      <c r="G5771" s="1390"/>
      <c r="H5771" s="1077">
        <f>Risk_Compensation!$AV59</f>
        <v>-207.60516941697901</v>
      </c>
    </row>
    <row r="5772" spans="1:8" x14ac:dyDescent="0.2">
      <c r="A5772" s="1027"/>
      <c r="B5772" s="1083">
        <f>Risk_Compensation!A$1</f>
        <v>36</v>
      </c>
      <c r="C5772" s="1390" t="str">
        <f>Risk_Compensation!$B$1</f>
        <v xml:space="preserve">Risikoausgleich </v>
      </c>
      <c r="D5772" s="1743" t="str">
        <f>Risk_Compensation!$AJ$14</f>
        <v>geschätzte Risikoausgleichssätze, pro Monat in CHF (ohne Entlastung junge Erwachsene)</v>
      </c>
      <c r="E5772" s="1390">
        <f>Risk_Compensation!$AJ60</f>
        <v>43</v>
      </c>
      <c r="F5772" s="1390" t="str">
        <f>Risk_Compensation!$S$17</f>
        <v>LU</v>
      </c>
      <c r="G5772" s="1390"/>
      <c r="H5772" s="1077">
        <f>Risk_Compensation!$AV60</f>
        <v>460.21596750591698</v>
      </c>
    </row>
    <row r="5773" spans="1:8" x14ac:dyDescent="0.2">
      <c r="A5773" s="1027"/>
      <c r="B5773" s="1083">
        <f>Risk_Compensation!A$1</f>
        <v>36</v>
      </c>
      <c r="C5773" s="1390" t="str">
        <f>Risk_Compensation!$B$1</f>
        <v xml:space="preserve">Risikoausgleich </v>
      </c>
      <c r="D5773" s="1743" t="str">
        <f>Risk_Compensation!$AJ$14</f>
        <v>geschätzte Risikoausgleichssätze, pro Monat in CHF (ohne Entlastung junge Erwachsene)</v>
      </c>
      <c r="E5773" s="1390">
        <f>Risk_Compensation!$AJ61</f>
        <v>44</v>
      </c>
      <c r="F5773" s="1390" t="str">
        <f>Risk_Compensation!$S$17</f>
        <v>LU</v>
      </c>
      <c r="G5773" s="1390"/>
      <c r="H5773" s="1077">
        <f>Risk_Compensation!$AV61</f>
        <v>-186.432678593731</v>
      </c>
    </row>
    <row r="5774" spans="1:8" x14ac:dyDescent="0.2">
      <c r="A5774" s="1027"/>
      <c r="B5774" s="1083">
        <f>Risk_Compensation!A$1</f>
        <v>36</v>
      </c>
      <c r="C5774" s="1390" t="str">
        <f>Risk_Compensation!$B$1</f>
        <v xml:space="preserve">Risikoausgleich </v>
      </c>
      <c r="D5774" s="1743" t="str">
        <f>Risk_Compensation!$AJ$14</f>
        <v>geschätzte Risikoausgleichssätze, pro Monat in CHF (ohne Entlastung junge Erwachsene)</v>
      </c>
      <c r="E5774" s="1390">
        <f>Risk_Compensation!$AJ62</f>
        <v>45</v>
      </c>
      <c r="F5774" s="1390" t="str">
        <f>Risk_Compensation!$S$17</f>
        <v>LU</v>
      </c>
      <c r="G5774" s="1390"/>
      <c r="H5774" s="1077">
        <f>Risk_Compensation!$AV62</f>
        <v>341.56113987101003</v>
      </c>
    </row>
    <row r="5775" spans="1:8" x14ac:dyDescent="0.2">
      <c r="A5775" s="1027"/>
      <c r="B5775" s="1083">
        <f>Risk_Compensation!A$1</f>
        <v>36</v>
      </c>
      <c r="C5775" s="1390" t="str">
        <f>Risk_Compensation!$B$1</f>
        <v xml:space="preserve">Risikoausgleich </v>
      </c>
      <c r="D5775" s="1743" t="str">
        <f>Risk_Compensation!$AJ$14</f>
        <v>geschätzte Risikoausgleichssätze, pro Monat in CHF (ohne Entlastung junge Erwachsene)</v>
      </c>
      <c r="E5775" s="1390">
        <f>Risk_Compensation!$AJ63</f>
        <v>46</v>
      </c>
      <c r="F5775" s="1390" t="str">
        <f>Risk_Compensation!$S$17</f>
        <v>LU</v>
      </c>
      <c r="G5775" s="1390"/>
      <c r="H5775" s="1077">
        <f>Risk_Compensation!$AV63</f>
        <v>-170.67687236893801</v>
      </c>
    </row>
    <row r="5776" spans="1:8" x14ac:dyDescent="0.2">
      <c r="A5776" s="1027"/>
      <c r="B5776" s="1083">
        <f>Risk_Compensation!A$1</f>
        <v>36</v>
      </c>
      <c r="C5776" s="1390" t="str">
        <f>Risk_Compensation!$B$1</f>
        <v xml:space="preserve">Risikoausgleich </v>
      </c>
      <c r="D5776" s="1743" t="str">
        <f>Risk_Compensation!$AJ$14</f>
        <v>geschätzte Risikoausgleichssätze, pro Monat in CHF (ohne Entlastung junge Erwachsene)</v>
      </c>
      <c r="E5776" s="1390">
        <f>Risk_Compensation!$AJ64</f>
        <v>47</v>
      </c>
      <c r="F5776" s="1390" t="str">
        <f>Risk_Compensation!$S$17</f>
        <v>LU</v>
      </c>
      <c r="G5776" s="1390"/>
      <c r="H5776" s="1077">
        <f>Risk_Compensation!$AV64</f>
        <v>449.91587124417703</v>
      </c>
    </row>
    <row r="5777" spans="1:8" x14ac:dyDescent="0.2">
      <c r="A5777" s="1027"/>
      <c r="B5777" s="1083">
        <f>Risk_Compensation!A$1</f>
        <v>36</v>
      </c>
      <c r="C5777" s="1390" t="str">
        <f>Risk_Compensation!$B$1</f>
        <v xml:space="preserve">Risikoausgleich </v>
      </c>
      <c r="D5777" s="1743" t="str">
        <f>Risk_Compensation!$AJ$14</f>
        <v>geschätzte Risikoausgleichssätze, pro Monat in CHF (ohne Entlastung junge Erwachsene)</v>
      </c>
      <c r="E5777" s="1390">
        <f>Risk_Compensation!$AJ65</f>
        <v>48</v>
      </c>
      <c r="F5777" s="1390" t="str">
        <f>Risk_Compensation!$S$17</f>
        <v>LU</v>
      </c>
      <c r="G5777" s="1390"/>
      <c r="H5777" s="1077">
        <f>Risk_Compensation!$AV65</f>
        <v>-157.02486446224401</v>
      </c>
    </row>
    <row r="5778" spans="1:8" x14ac:dyDescent="0.2">
      <c r="A5778" s="1027"/>
      <c r="B5778" s="1083">
        <f>Risk_Compensation!A$1</f>
        <v>36</v>
      </c>
      <c r="C5778" s="1390" t="str">
        <f>Risk_Compensation!$B$1</f>
        <v xml:space="preserve">Risikoausgleich </v>
      </c>
      <c r="D5778" s="1743" t="str">
        <f>Risk_Compensation!$AJ$14</f>
        <v>geschätzte Risikoausgleichssätze, pro Monat in CHF (ohne Entlastung junge Erwachsene)</v>
      </c>
      <c r="E5778" s="1390">
        <f>Risk_Compensation!$AJ66</f>
        <v>49</v>
      </c>
      <c r="F5778" s="1390" t="str">
        <f>Risk_Compensation!$S$17</f>
        <v>LU</v>
      </c>
      <c r="G5778" s="1390"/>
      <c r="H5778" s="1077">
        <f>Risk_Compensation!$AV66</f>
        <v>670.00546991657495</v>
      </c>
    </row>
    <row r="5779" spans="1:8" x14ac:dyDescent="0.2">
      <c r="A5779" s="1027"/>
      <c r="B5779" s="1083">
        <f>Risk_Compensation!A$1</f>
        <v>36</v>
      </c>
      <c r="C5779" s="1390" t="str">
        <f>Risk_Compensation!$B$1</f>
        <v xml:space="preserve">Risikoausgleich </v>
      </c>
      <c r="D5779" s="1743" t="str">
        <f>Risk_Compensation!$AJ$14</f>
        <v>geschätzte Risikoausgleichssätze, pro Monat in CHF (ohne Entlastung junge Erwachsene)</v>
      </c>
      <c r="E5779" s="1390">
        <f>Risk_Compensation!$AJ67</f>
        <v>50</v>
      </c>
      <c r="F5779" s="1390" t="str">
        <f>Risk_Compensation!$S$17</f>
        <v>LU</v>
      </c>
      <c r="G5779" s="1390"/>
      <c r="H5779" s="1077">
        <f>Risk_Compensation!$AV67</f>
        <v>-121.402230358377</v>
      </c>
    </row>
    <row r="5780" spans="1:8" x14ac:dyDescent="0.2">
      <c r="A5780" s="1027"/>
      <c r="B5780" s="1083">
        <f>Risk_Compensation!A$1</f>
        <v>36</v>
      </c>
      <c r="C5780" s="1390" t="str">
        <f>Risk_Compensation!$B$1</f>
        <v xml:space="preserve">Risikoausgleich </v>
      </c>
      <c r="D5780" s="1743" t="str">
        <f>Risk_Compensation!$AJ$14</f>
        <v>geschätzte Risikoausgleichssätze, pro Monat in CHF (ohne Entlastung junge Erwachsene)</v>
      </c>
      <c r="E5780" s="1390">
        <f>Risk_Compensation!$AJ68</f>
        <v>51</v>
      </c>
      <c r="F5780" s="1390" t="str">
        <f>Risk_Compensation!$S$17</f>
        <v>LU</v>
      </c>
      <c r="G5780" s="1390"/>
      <c r="H5780" s="1077">
        <f>Risk_Compensation!$AV68</f>
        <v>452.52832269027903</v>
      </c>
    </row>
    <row r="5781" spans="1:8" x14ac:dyDescent="0.2">
      <c r="A5781" s="1027"/>
      <c r="B5781" s="1083">
        <f>Risk_Compensation!A$1</f>
        <v>36</v>
      </c>
      <c r="C5781" s="1390" t="str">
        <f>Risk_Compensation!$B$1</f>
        <v xml:space="preserve">Risikoausgleich </v>
      </c>
      <c r="D5781" s="1743" t="str">
        <f>Risk_Compensation!$AJ$14</f>
        <v>geschätzte Risikoausgleichssätze, pro Monat in CHF (ohne Entlastung junge Erwachsene)</v>
      </c>
      <c r="E5781" s="1390">
        <f>Risk_Compensation!$AJ69</f>
        <v>52</v>
      </c>
      <c r="F5781" s="1390" t="str">
        <f>Risk_Compensation!$S$17</f>
        <v>LU</v>
      </c>
      <c r="G5781" s="1390"/>
      <c r="H5781" s="1077">
        <f>Risk_Compensation!$AV69</f>
        <v>-26.939190764969599</v>
      </c>
    </row>
    <row r="5782" spans="1:8" x14ac:dyDescent="0.2">
      <c r="A5782" s="1027"/>
      <c r="B5782" s="1083">
        <f>Risk_Compensation!A$1</f>
        <v>36</v>
      </c>
      <c r="C5782" s="1390" t="str">
        <f>Risk_Compensation!$B$1</f>
        <v xml:space="preserve">Risikoausgleich </v>
      </c>
      <c r="D5782" s="1743" t="str">
        <f>Risk_Compensation!$AJ$14</f>
        <v>geschätzte Risikoausgleichssätze, pro Monat in CHF (ohne Entlastung junge Erwachsene)</v>
      </c>
      <c r="E5782" s="1390">
        <f>Risk_Compensation!$AJ70</f>
        <v>53</v>
      </c>
      <c r="F5782" s="1390" t="str">
        <f>Risk_Compensation!$S$17</f>
        <v>LU</v>
      </c>
      <c r="G5782" s="1390"/>
      <c r="H5782" s="1077">
        <f>Risk_Compensation!$AV70</f>
        <v>874.42559454910395</v>
      </c>
    </row>
    <row r="5783" spans="1:8" x14ac:dyDescent="0.2">
      <c r="A5783" s="1027"/>
      <c r="B5783" s="1083">
        <f>Risk_Compensation!A$1</f>
        <v>36</v>
      </c>
      <c r="C5783" s="1390" t="str">
        <f>Risk_Compensation!$B$1</f>
        <v xml:space="preserve">Risikoausgleich </v>
      </c>
      <c r="D5783" s="1743" t="str">
        <f>Risk_Compensation!$AJ$14</f>
        <v>geschätzte Risikoausgleichssätze, pro Monat in CHF (ohne Entlastung junge Erwachsene)</v>
      </c>
      <c r="E5783" s="1390">
        <f>Risk_Compensation!$AJ71</f>
        <v>54</v>
      </c>
      <c r="F5783" s="1390" t="str">
        <f>Risk_Compensation!$S$17</f>
        <v>LU</v>
      </c>
      <c r="G5783" s="1390"/>
      <c r="H5783" s="1077">
        <f>Risk_Compensation!$AV71</f>
        <v>22.3788884873121</v>
      </c>
    </row>
    <row r="5784" spans="1:8" x14ac:dyDescent="0.2">
      <c r="A5784" s="1027"/>
      <c r="B5784" s="1083">
        <f>Risk_Compensation!A$1</f>
        <v>36</v>
      </c>
      <c r="C5784" s="1390" t="str">
        <f>Risk_Compensation!$B$1</f>
        <v xml:space="preserve">Risikoausgleich </v>
      </c>
      <c r="D5784" s="1743" t="str">
        <f>Risk_Compensation!$AJ$14</f>
        <v>geschätzte Risikoausgleichssätze, pro Monat in CHF (ohne Entlastung junge Erwachsene)</v>
      </c>
      <c r="E5784" s="1390">
        <f>Risk_Compensation!$AJ72</f>
        <v>55</v>
      </c>
      <c r="F5784" s="1390" t="str">
        <f>Risk_Compensation!$S$17</f>
        <v>LU</v>
      </c>
      <c r="G5784" s="1390"/>
      <c r="H5784" s="1077">
        <f>Risk_Compensation!$AV72</f>
        <v>993.308660806136</v>
      </c>
    </row>
    <row r="5785" spans="1:8" x14ac:dyDescent="0.2">
      <c r="A5785" s="1027"/>
      <c r="B5785" s="1083">
        <f>Risk_Compensation!A$1</f>
        <v>36</v>
      </c>
      <c r="C5785" s="1390" t="str">
        <f>Risk_Compensation!$B$1</f>
        <v xml:space="preserve">Risikoausgleich </v>
      </c>
      <c r="D5785" s="1743" t="str">
        <f>Risk_Compensation!$AJ$14</f>
        <v>geschätzte Risikoausgleichssätze, pro Monat in CHF (ohne Entlastung junge Erwachsene)</v>
      </c>
      <c r="E5785" s="1390">
        <f>Risk_Compensation!$AJ73</f>
        <v>56</v>
      </c>
      <c r="F5785" s="1390" t="str">
        <f>Risk_Compensation!$S$17</f>
        <v>LU</v>
      </c>
      <c r="G5785" s="1390"/>
      <c r="H5785" s="1077">
        <f>Risk_Compensation!$AV73</f>
        <v>93.729021690704997</v>
      </c>
    </row>
    <row r="5786" spans="1:8" x14ac:dyDescent="0.2">
      <c r="A5786" s="1027"/>
      <c r="B5786" s="1083">
        <f>Risk_Compensation!A$1</f>
        <v>36</v>
      </c>
      <c r="C5786" s="1390" t="str">
        <f>Risk_Compensation!$B$1</f>
        <v xml:space="preserve">Risikoausgleich </v>
      </c>
      <c r="D5786" s="1743" t="str">
        <f>Risk_Compensation!$AJ$14</f>
        <v>geschätzte Risikoausgleichssätze, pro Monat in CHF (ohne Entlastung junge Erwachsene)</v>
      </c>
      <c r="E5786" s="1390">
        <f>Risk_Compensation!$AJ74</f>
        <v>57</v>
      </c>
      <c r="F5786" s="1390" t="str">
        <f>Risk_Compensation!$S$17</f>
        <v>LU</v>
      </c>
      <c r="G5786" s="1390"/>
      <c r="H5786" s="1077">
        <f>Risk_Compensation!$AV74</f>
        <v>1192.42810988975</v>
      </c>
    </row>
    <row r="5787" spans="1:8" x14ac:dyDescent="0.2">
      <c r="A5787" s="1027"/>
      <c r="B5787" s="1083">
        <f>Risk_Compensation!A$1</f>
        <v>36</v>
      </c>
      <c r="C5787" s="1390" t="str">
        <f>Risk_Compensation!$B$1</f>
        <v xml:space="preserve">Risikoausgleich </v>
      </c>
      <c r="D5787" s="1743" t="str">
        <f>Risk_Compensation!$AJ$14</f>
        <v>geschätzte Risikoausgleichssätze, pro Monat in CHF (ohne Entlastung junge Erwachsene)</v>
      </c>
      <c r="E5787" s="1390">
        <f>Risk_Compensation!$AJ75</f>
        <v>58</v>
      </c>
      <c r="F5787" s="1390" t="str">
        <f>Risk_Compensation!$S$17</f>
        <v>LU</v>
      </c>
      <c r="G5787" s="1390"/>
      <c r="H5787" s="1077">
        <f>Risk_Compensation!$AV75</f>
        <v>207.29306373707001</v>
      </c>
    </row>
    <row r="5788" spans="1:8" x14ac:dyDescent="0.2">
      <c r="A5788" s="1027"/>
      <c r="B5788" s="1083">
        <f>Risk_Compensation!A$1</f>
        <v>36</v>
      </c>
      <c r="C5788" s="1390" t="str">
        <f>Risk_Compensation!$B$1</f>
        <v xml:space="preserve">Risikoausgleich </v>
      </c>
      <c r="D5788" s="1743" t="str">
        <f>Risk_Compensation!$AJ$14</f>
        <v>geschätzte Risikoausgleichssätze, pro Monat in CHF (ohne Entlastung junge Erwachsene)</v>
      </c>
      <c r="E5788" s="1390">
        <f>Risk_Compensation!$AJ76</f>
        <v>59</v>
      </c>
      <c r="F5788" s="1390" t="str">
        <f>Risk_Compensation!$S$17</f>
        <v>LU</v>
      </c>
      <c r="G5788" s="1390"/>
      <c r="H5788" s="1077">
        <f>Risk_Compensation!$AV76</f>
        <v>1417.77010498255</v>
      </c>
    </row>
    <row r="5789" spans="1:8" x14ac:dyDescent="0.2">
      <c r="A5789" s="1027"/>
      <c r="B5789" s="1083">
        <f>Risk_Compensation!A$1</f>
        <v>36</v>
      </c>
      <c r="C5789" s="1390" t="str">
        <f>Risk_Compensation!$B$1</f>
        <v xml:space="preserve">Risikoausgleich </v>
      </c>
      <c r="D5789" s="1743" t="str">
        <f>Risk_Compensation!$AJ$14</f>
        <v>geschätzte Risikoausgleichssätze, pro Monat in CHF (ohne Entlastung junge Erwachsene)</v>
      </c>
      <c r="E5789" s="1390">
        <f>Risk_Compensation!$AJ77</f>
        <v>60</v>
      </c>
      <c r="F5789" s="1390" t="str">
        <f>Risk_Compensation!$S$17</f>
        <v>LU</v>
      </c>
      <c r="G5789" s="1390"/>
      <c r="H5789" s="1077">
        <f>Risk_Compensation!$AV77</f>
        <v>413.54430403931502</v>
      </c>
    </row>
    <row r="5790" spans="1:8" x14ac:dyDescent="0.2">
      <c r="A5790" s="1027"/>
      <c r="B5790" s="2174"/>
      <c r="C5790" s="1390"/>
      <c r="D5790" s="2175"/>
      <c r="E5790" s="2176"/>
      <c r="F5790" s="1390"/>
      <c r="G5790" s="1390"/>
      <c r="H5790" s="1078"/>
    </row>
    <row r="5791" spans="1:8" x14ac:dyDescent="0.2">
      <c r="A5791" s="1027"/>
      <c r="B5791" s="1083">
        <f>Risk_Compensation!A$1</f>
        <v>36</v>
      </c>
      <c r="C5791" s="1390" t="str">
        <f>Risk_Compensation!$B$1</f>
        <v xml:space="preserve">Risikoausgleich </v>
      </c>
      <c r="D5791" s="1743" t="str">
        <f>Risk_Compensation!$AJ$14</f>
        <v>geschätzte Risikoausgleichssätze, pro Monat in CHF (ohne Entlastung junge Erwachsene)</v>
      </c>
      <c r="E5791" s="1390">
        <f>Risk_Compensation!$AJ18</f>
        <v>1</v>
      </c>
      <c r="F5791" s="1390" t="str">
        <f>Risk_Compensation!$T$17</f>
        <v>NE</v>
      </c>
      <c r="G5791" s="1390"/>
      <c r="H5791" s="1077">
        <f>Risk_Compensation!$AW18</f>
        <v>77.853029225784098</v>
      </c>
    </row>
    <row r="5792" spans="1:8" x14ac:dyDescent="0.2">
      <c r="A5792" s="1027"/>
      <c r="B5792" s="1083">
        <f>Risk_Compensation!A$1</f>
        <v>36</v>
      </c>
      <c r="C5792" s="1390" t="str">
        <f>Risk_Compensation!$B$1</f>
        <v xml:space="preserve">Risikoausgleich </v>
      </c>
      <c r="D5792" s="1743" t="str">
        <f>Risk_Compensation!$AJ$14</f>
        <v>geschätzte Risikoausgleichssätze, pro Monat in CHF (ohne Entlastung junge Erwachsene)</v>
      </c>
      <c r="E5792" s="1390">
        <f>Risk_Compensation!$AJ19</f>
        <v>2</v>
      </c>
      <c r="F5792" s="1390" t="str">
        <f>Risk_Compensation!$T$17</f>
        <v>NE</v>
      </c>
      <c r="G5792" s="1390"/>
      <c r="H5792" s="1077">
        <f>Risk_Compensation!$AW19</f>
        <v>-382.17186835199402</v>
      </c>
    </row>
    <row r="5793" spans="1:8" x14ac:dyDescent="0.2">
      <c r="A5793" s="1027"/>
      <c r="B5793" s="1083">
        <f>Risk_Compensation!A$1</f>
        <v>36</v>
      </c>
      <c r="C5793" s="1390" t="str">
        <f>Risk_Compensation!$B$1</f>
        <v xml:space="preserve">Risikoausgleich </v>
      </c>
      <c r="D5793" s="1743" t="str">
        <f>Risk_Compensation!$AJ$14</f>
        <v>geschätzte Risikoausgleichssätze, pro Monat in CHF (ohne Entlastung junge Erwachsene)</v>
      </c>
      <c r="E5793" s="1390">
        <f>Risk_Compensation!$AJ20</f>
        <v>3</v>
      </c>
      <c r="F5793" s="1390" t="str">
        <f>Risk_Compensation!$T$17</f>
        <v>NE</v>
      </c>
      <c r="G5793" s="1390"/>
      <c r="H5793" s="1077">
        <f>Risk_Compensation!$AW20</f>
        <v>403.606527198246</v>
      </c>
    </row>
    <row r="5794" spans="1:8" x14ac:dyDescent="0.2">
      <c r="A5794" s="1027"/>
      <c r="B5794" s="1083">
        <f>Risk_Compensation!A$1</f>
        <v>36</v>
      </c>
      <c r="C5794" s="1390" t="str">
        <f>Risk_Compensation!$B$1</f>
        <v xml:space="preserve">Risikoausgleich </v>
      </c>
      <c r="D5794" s="1743" t="str">
        <f>Risk_Compensation!$AJ$14</f>
        <v>geschätzte Risikoausgleichssätze, pro Monat in CHF (ohne Entlastung junge Erwachsene)</v>
      </c>
      <c r="E5794" s="1390">
        <f>Risk_Compensation!$AJ21</f>
        <v>4</v>
      </c>
      <c r="F5794" s="1390" t="str">
        <f>Risk_Compensation!$T$17</f>
        <v>NE</v>
      </c>
      <c r="G5794" s="1390"/>
      <c r="H5794" s="1077">
        <f>Risk_Compensation!$AW21</f>
        <v>-394.13667332812997</v>
      </c>
    </row>
    <row r="5795" spans="1:8" x14ac:dyDescent="0.2">
      <c r="A5795" s="1027"/>
      <c r="B5795" s="1083">
        <f>Risk_Compensation!A$1</f>
        <v>36</v>
      </c>
      <c r="C5795" s="1390" t="str">
        <f>Risk_Compensation!$B$1</f>
        <v xml:space="preserve">Risikoausgleich </v>
      </c>
      <c r="D5795" s="1743" t="str">
        <f>Risk_Compensation!$AJ$14</f>
        <v>geschätzte Risikoausgleichssätze, pro Monat in CHF (ohne Entlastung junge Erwachsene)</v>
      </c>
      <c r="E5795" s="1390">
        <f>Risk_Compensation!$AJ22</f>
        <v>5</v>
      </c>
      <c r="F5795" s="1390" t="str">
        <f>Risk_Compensation!$T$17</f>
        <v>NE</v>
      </c>
      <c r="G5795" s="1390"/>
      <c r="H5795" s="1077">
        <f>Risk_Compensation!$AW22</f>
        <v>393.56616364148698</v>
      </c>
    </row>
    <row r="5796" spans="1:8" x14ac:dyDescent="0.2">
      <c r="A5796" s="1027"/>
      <c r="B5796" s="1083">
        <f>Risk_Compensation!A$1</f>
        <v>36</v>
      </c>
      <c r="C5796" s="1390" t="str">
        <f>Risk_Compensation!$B$1</f>
        <v xml:space="preserve">Risikoausgleich </v>
      </c>
      <c r="D5796" s="1743" t="str">
        <f>Risk_Compensation!$AJ$14</f>
        <v>geschätzte Risikoausgleichssätze, pro Monat in CHF (ohne Entlastung junge Erwachsene)</v>
      </c>
      <c r="E5796" s="1390">
        <f>Risk_Compensation!$AJ23</f>
        <v>6</v>
      </c>
      <c r="F5796" s="1390" t="str">
        <f>Risk_Compensation!$T$17</f>
        <v>NE</v>
      </c>
      <c r="G5796" s="1390"/>
      <c r="H5796" s="1077">
        <f>Risk_Compensation!$AW23</f>
        <v>-383.11897733186203</v>
      </c>
    </row>
    <row r="5797" spans="1:8" x14ac:dyDescent="0.2">
      <c r="A5797" s="1027"/>
      <c r="B5797" s="1083">
        <f>Risk_Compensation!A$1</f>
        <v>36</v>
      </c>
      <c r="C5797" s="1390" t="str">
        <f>Risk_Compensation!$B$1</f>
        <v xml:space="preserve">Risikoausgleich </v>
      </c>
      <c r="D5797" s="1743" t="str">
        <f>Risk_Compensation!$AJ$14</f>
        <v>geschätzte Risikoausgleichssätze, pro Monat in CHF (ohne Entlastung junge Erwachsene)</v>
      </c>
      <c r="E5797" s="1390">
        <f>Risk_Compensation!$AJ24</f>
        <v>7</v>
      </c>
      <c r="F5797" s="1390" t="str">
        <f>Risk_Compensation!$T$17</f>
        <v>NE</v>
      </c>
      <c r="G5797" s="1390"/>
      <c r="H5797" s="1077">
        <f>Risk_Compensation!$AW24</f>
        <v>773.13475044690495</v>
      </c>
    </row>
    <row r="5798" spans="1:8" x14ac:dyDescent="0.2">
      <c r="A5798" s="1027"/>
      <c r="B5798" s="1083">
        <f>Risk_Compensation!A$1</f>
        <v>36</v>
      </c>
      <c r="C5798" s="1390" t="str">
        <f>Risk_Compensation!$B$1</f>
        <v xml:space="preserve">Risikoausgleich </v>
      </c>
      <c r="D5798" s="1743" t="str">
        <f>Risk_Compensation!$AJ$14</f>
        <v>geschätzte Risikoausgleichssätze, pro Monat in CHF (ohne Entlastung junge Erwachsene)</v>
      </c>
      <c r="E5798" s="1390">
        <f>Risk_Compensation!$AJ25</f>
        <v>8</v>
      </c>
      <c r="F5798" s="1390" t="str">
        <f>Risk_Compensation!$T$17</f>
        <v>NE</v>
      </c>
      <c r="G5798" s="1390"/>
      <c r="H5798" s="1077">
        <f>Risk_Compensation!$AW25</f>
        <v>-387.02070194729299</v>
      </c>
    </row>
    <row r="5799" spans="1:8" x14ac:dyDescent="0.2">
      <c r="A5799" s="1027"/>
      <c r="B5799" s="1083">
        <f>Risk_Compensation!A$1</f>
        <v>36</v>
      </c>
      <c r="C5799" s="1390" t="str">
        <f>Risk_Compensation!$B$1</f>
        <v xml:space="preserve">Risikoausgleich </v>
      </c>
      <c r="D5799" s="1743" t="str">
        <f>Risk_Compensation!$AJ$14</f>
        <v>geschätzte Risikoausgleichssätze, pro Monat in CHF (ohne Entlastung junge Erwachsene)</v>
      </c>
      <c r="E5799" s="1390">
        <f>Risk_Compensation!$AJ26</f>
        <v>9</v>
      </c>
      <c r="F5799" s="1390" t="str">
        <f>Risk_Compensation!$T$17</f>
        <v>NE</v>
      </c>
      <c r="G5799" s="1390"/>
      <c r="H5799" s="1077">
        <f>Risk_Compensation!$AW26</f>
        <v>250.84185570388101</v>
      </c>
    </row>
    <row r="5800" spans="1:8" x14ac:dyDescent="0.2">
      <c r="A5800" s="1027"/>
      <c r="B5800" s="1083">
        <f>Risk_Compensation!A$1</f>
        <v>36</v>
      </c>
      <c r="C5800" s="1390" t="str">
        <f>Risk_Compensation!$B$1</f>
        <v xml:space="preserve">Risikoausgleich </v>
      </c>
      <c r="D5800" s="1743" t="str">
        <f>Risk_Compensation!$AJ$14</f>
        <v>geschätzte Risikoausgleichssätze, pro Monat in CHF (ohne Entlastung junge Erwachsene)</v>
      </c>
      <c r="E5800" s="1390">
        <f>Risk_Compensation!$AJ27</f>
        <v>10</v>
      </c>
      <c r="F5800" s="1390" t="str">
        <f>Risk_Compensation!$T$17</f>
        <v>NE</v>
      </c>
      <c r="G5800" s="1390"/>
      <c r="H5800" s="1077">
        <f>Risk_Compensation!$AW27</f>
        <v>-369.00138089136902</v>
      </c>
    </row>
    <row r="5801" spans="1:8" x14ac:dyDescent="0.2">
      <c r="A5801" s="1027"/>
      <c r="B5801" s="1083">
        <f>Risk_Compensation!A$1</f>
        <v>36</v>
      </c>
      <c r="C5801" s="1390" t="str">
        <f>Risk_Compensation!$B$1</f>
        <v xml:space="preserve">Risikoausgleich </v>
      </c>
      <c r="D5801" s="1743" t="str">
        <f>Risk_Compensation!$AJ$14</f>
        <v>geschätzte Risikoausgleichssätze, pro Monat in CHF (ohne Entlastung junge Erwachsene)</v>
      </c>
      <c r="E5801" s="1390">
        <f>Risk_Compensation!$AJ28</f>
        <v>11</v>
      </c>
      <c r="F5801" s="1390" t="str">
        <f>Risk_Compensation!$T$17</f>
        <v>NE</v>
      </c>
      <c r="G5801" s="1390"/>
      <c r="H5801" s="1077">
        <f>Risk_Compensation!$AW28</f>
        <v>760.78940028645195</v>
      </c>
    </row>
    <row r="5802" spans="1:8" x14ac:dyDescent="0.2">
      <c r="A5802" s="1027"/>
      <c r="B5802" s="1083">
        <f>Risk_Compensation!A$1</f>
        <v>36</v>
      </c>
      <c r="C5802" s="1390" t="str">
        <f>Risk_Compensation!$B$1</f>
        <v xml:space="preserve">Risikoausgleich </v>
      </c>
      <c r="D5802" s="1743" t="str">
        <f>Risk_Compensation!$AJ$14</f>
        <v>geschätzte Risikoausgleichssätze, pro Monat in CHF (ohne Entlastung junge Erwachsene)</v>
      </c>
      <c r="E5802" s="1390">
        <f>Risk_Compensation!$AJ29</f>
        <v>12</v>
      </c>
      <c r="F5802" s="1390" t="str">
        <f>Risk_Compensation!$T$17</f>
        <v>NE</v>
      </c>
      <c r="G5802" s="1390"/>
      <c r="H5802" s="1077">
        <f>Risk_Compensation!$AW29</f>
        <v>-362.49617756899602</v>
      </c>
    </row>
    <row r="5803" spans="1:8" x14ac:dyDescent="0.2">
      <c r="A5803" s="1027"/>
      <c r="B5803" s="1083">
        <f>Risk_Compensation!A$1</f>
        <v>36</v>
      </c>
      <c r="C5803" s="1390" t="str">
        <f>Risk_Compensation!$B$1</f>
        <v xml:space="preserve">Risikoausgleich </v>
      </c>
      <c r="D5803" s="1743" t="str">
        <f>Risk_Compensation!$AJ$14</f>
        <v>geschätzte Risikoausgleichssätze, pro Monat in CHF (ohne Entlastung junge Erwachsene)</v>
      </c>
      <c r="E5803" s="1390">
        <f>Risk_Compensation!$AJ30</f>
        <v>13</v>
      </c>
      <c r="F5803" s="1390" t="str">
        <f>Risk_Compensation!$T$17</f>
        <v>NE</v>
      </c>
      <c r="G5803" s="1390"/>
      <c r="H5803" s="1077">
        <f>Risk_Compensation!$AW30</f>
        <v>463.09362725791698</v>
      </c>
    </row>
    <row r="5804" spans="1:8" x14ac:dyDescent="0.2">
      <c r="A5804" s="1027"/>
      <c r="B5804" s="1083">
        <f>Risk_Compensation!A$1</f>
        <v>36</v>
      </c>
      <c r="C5804" s="1390" t="str">
        <f>Risk_Compensation!$B$1</f>
        <v xml:space="preserve">Risikoausgleich </v>
      </c>
      <c r="D5804" s="1743" t="str">
        <f>Risk_Compensation!$AJ$14</f>
        <v>geschätzte Risikoausgleichssätze, pro Monat in CHF (ohne Entlastung junge Erwachsene)</v>
      </c>
      <c r="E5804" s="1390">
        <f>Risk_Compensation!$AJ31</f>
        <v>14</v>
      </c>
      <c r="F5804" s="1390" t="str">
        <f>Risk_Compensation!$T$17</f>
        <v>NE</v>
      </c>
      <c r="G5804" s="1390"/>
      <c r="H5804" s="1077">
        <f>Risk_Compensation!$AW31</f>
        <v>-311.96086099335997</v>
      </c>
    </row>
    <row r="5805" spans="1:8" x14ac:dyDescent="0.2">
      <c r="A5805" s="1027"/>
      <c r="B5805" s="1083">
        <f>Risk_Compensation!A$1</f>
        <v>36</v>
      </c>
      <c r="C5805" s="1390" t="str">
        <f>Risk_Compensation!$B$1</f>
        <v xml:space="preserve">Risikoausgleich </v>
      </c>
      <c r="D5805" s="1743" t="str">
        <f>Risk_Compensation!$AJ$14</f>
        <v>geschätzte Risikoausgleichssätze, pro Monat in CHF (ohne Entlastung junge Erwachsene)</v>
      </c>
      <c r="E5805" s="1390">
        <f>Risk_Compensation!$AJ32</f>
        <v>15</v>
      </c>
      <c r="F5805" s="1390" t="str">
        <f>Risk_Compensation!$T$17</f>
        <v>NE</v>
      </c>
      <c r="G5805" s="1390"/>
      <c r="H5805" s="1077">
        <f>Risk_Compensation!$AW32</f>
        <v>611.45562788360496</v>
      </c>
    </row>
    <row r="5806" spans="1:8" x14ac:dyDescent="0.2">
      <c r="A5806" s="1027"/>
      <c r="B5806" s="1083">
        <f>Risk_Compensation!A$1</f>
        <v>36</v>
      </c>
      <c r="C5806" s="1390" t="str">
        <f>Risk_Compensation!$B$1</f>
        <v xml:space="preserve">Risikoausgleich </v>
      </c>
      <c r="D5806" s="1743" t="str">
        <f>Risk_Compensation!$AJ$14</f>
        <v>geschätzte Risikoausgleichssätze, pro Monat in CHF (ohne Entlastung junge Erwachsene)</v>
      </c>
      <c r="E5806" s="1390">
        <f>Risk_Compensation!$AJ33</f>
        <v>16</v>
      </c>
      <c r="F5806" s="1390" t="str">
        <f>Risk_Compensation!$T$17</f>
        <v>NE</v>
      </c>
      <c r="G5806" s="1390"/>
      <c r="H5806" s="1077">
        <f>Risk_Compensation!$AW33</f>
        <v>-277.05591276135902</v>
      </c>
    </row>
    <row r="5807" spans="1:8" x14ac:dyDescent="0.2">
      <c r="A5807" s="1027"/>
      <c r="B5807" s="1083">
        <f>Risk_Compensation!A$1</f>
        <v>36</v>
      </c>
      <c r="C5807" s="1390" t="str">
        <f>Risk_Compensation!$B$1</f>
        <v xml:space="preserve">Risikoausgleich </v>
      </c>
      <c r="D5807" s="1743" t="str">
        <f>Risk_Compensation!$AJ$14</f>
        <v>geschätzte Risikoausgleichssätze, pro Monat in CHF (ohne Entlastung junge Erwachsene)</v>
      </c>
      <c r="E5807" s="1390">
        <f>Risk_Compensation!$AJ34</f>
        <v>17</v>
      </c>
      <c r="F5807" s="1390" t="str">
        <f>Risk_Compensation!$T$17</f>
        <v>NE</v>
      </c>
      <c r="G5807" s="1390"/>
      <c r="H5807" s="1077">
        <f>Risk_Compensation!$AW34</f>
        <v>654.10216207744099</v>
      </c>
    </row>
    <row r="5808" spans="1:8" x14ac:dyDescent="0.2">
      <c r="A5808" s="1027"/>
      <c r="B5808" s="1083">
        <f>Risk_Compensation!A$1</f>
        <v>36</v>
      </c>
      <c r="C5808" s="1390" t="str">
        <f>Risk_Compensation!$B$1</f>
        <v xml:space="preserve">Risikoausgleich </v>
      </c>
      <c r="D5808" s="1743" t="str">
        <f>Risk_Compensation!$AJ$14</f>
        <v>geschätzte Risikoausgleichssätze, pro Monat in CHF (ohne Entlastung junge Erwachsene)</v>
      </c>
      <c r="E5808" s="1390">
        <f>Risk_Compensation!$AJ35</f>
        <v>18</v>
      </c>
      <c r="F5808" s="1390" t="str">
        <f>Risk_Compensation!$T$17</f>
        <v>NE</v>
      </c>
      <c r="G5808" s="1390"/>
      <c r="H5808" s="1077">
        <f>Risk_Compensation!$AW35</f>
        <v>-229.197493107182</v>
      </c>
    </row>
    <row r="5809" spans="1:8" x14ac:dyDescent="0.2">
      <c r="A5809" s="1027"/>
      <c r="B5809" s="1083">
        <f>Risk_Compensation!A$1</f>
        <v>36</v>
      </c>
      <c r="C5809" s="1390" t="str">
        <f>Risk_Compensation!$B$1</f>
        <v xml:space="preserve">Risikoausgleich </v>
      </c>
      <c r="D5809" s="1743" t="str">
        <f>Risk_Compensation!$AJ$14</f>
        <v>geschätzte Risikoausgleichssätze, pro Monat in CHF (ohne Entlastung junge Erwachsene)</v>
      </c>
      <c r="E5809" s="1390">
        <f>Risk_Compensation!$AJ36</f>
        <v>19</v>
      </c>
      <c r="F5809" s="1390" t="str">
        <f>Risk_Compensation!$T$17</f>
        <v>NE</v>
      </c>
      <c r="G5809" s="1390"/>
      <c r="H5809" s="1077">
        <f>Risk_Compensation!$AW36</f>
        <v>965.89067385066301</v>
      </c>
    </row>
    <row r="5810" spans="1:8" x14ac:dyDescent="0.2">
      <c r="A5810" s="1027"/>
      <c r="B5810" s="1083">
        <f>Risk_Compensation!A$1</f>
        <v>36</v>
      </c>
      <c r="C5810" s="1390" t="str">
        <f>Risk_Compensation!$B$1</f>
        <v xml:space="preserve">Risikoausgleich </v>
      </c>
      <c r="D5810" s="1743" t="str">
        <f>Risk_Compensation!$AJ$14</f>
        <v>geschätzte Risikoausgleichssätze, pro Monat in CHF (ohne Entlastung junge Erwachsene)</v>
      </c>
      <c r="E5810" s="1390">
        <f>Risk_Compensation!$AJ37</f>
        <v>20</v>
      </c>
      <c r="F5810" s="1390" t="str">
        <f>Risk_Compensation!$T$17</f>
        <v>NE</v>
      </c>
      <c r="G5810" s="1390"/>
      <c r="H5810" s="1077">
        <f>Risk_Compensation!$AW37</f>
        <v>-122.898841066659</v>
      </c>
    </row>
    <row r="5811" spans="1:8" x14ac:dyDescent="0.2">
      <c r="A5811" s="1027"/>
      <c r="B5811" s="1083">
        <f>Risk_Compensation!A$1</f>
        <v>36</v>
      </c>
      <c r="C5811" s="1390" t="str">
        <f>Risk_Compensation!$B$1</f>
        <v xml:space="preserve">Risikoausgleich </v>
      </c>
      <c r="D5811" s="1743" t="str">
        <f>Risk_Compensation!$AJ$14</f>
        <v>geschätzte Risikoausgleichssätze, pro Monat in CHF (ohne Entlastung junge Erwachsene)</v>
      </c>
      <c r="E5811" s="1390">
        <f>Risk_Compensation!$AJ38</f>
        <v>21</v>
      </c>
      <c r="F5811" s="1390" t="str">
        <f>Risk_Compensation!$T$17</f>
        <v>NE</v>
      </c>
      <c r="G5811" s="1390"/>
      <c r="H5811" s="1077">
        <f>Risk_Compensation!$AW38</f>
        <v>913.071472124465</v>
      </c>
    </row>
    <row r="5812" spans="1:8" x14ac:dyDescent="0.2">
      <c r="A5812" s="1027"/>
      <c r="B5812" s="1083">
        <f>Risk_Compensation!A$1</f>
        <v>36</v>
      </c>
      <c r="C5812" s="1390" t="str">
        <f>Risk_Compensation!$B$1</f>
        <v xml:space="preserve">Risikoausgleich </v>
      </c>
      <c r="D5812" s="1743" t="str">
        <f>Risk_Compensation!$AJ$14</f>
        <v>geschätzte Risikoausgleichssätze, pro Monat in CHF (ohne Entlastung junge Erwachsene)</v>
      </c>
      <c r="E5812" s="1390">
        <f>Risk_Compensation!$AJ39</f>
        <v>22</v>
      </c>
      <c r="F5812" s="1390" t="str">
        <f>Risk_Compensation!$T$17</f>
        <v>NE</v>
      </c>
      <c r="G5812" s="1390"/>
      <c r="H5812" s="1077">
        <f>Risk_Compensation!$AW39</f>
        <v>-31.301906172058501</v>
      </c>
    </row>
    <row r="5813" spans="1:8" x14ac:dyDescent="0.2">
      <c r="A5813" s="1027"/>
      <c r="B5813" s="1083">
        <f>Risk_Compensation!A$1</f>
        <v>36</v>
      </c>
      <c r="C5813" s="1390" t="str">
        <f>Risk_Compensation!$B$1</f>
        <v xml:space="preserve">Risikoausgleich </v>
      </c>
      <c r="D5813" s="1743" t="str">
        <f>Risk_Compensation!$AJ$14</f>
        <v>geschätzte Risikoausgleichssätze, pro Monat in CHF (ohne Entlastung junge Erwachsene)</v>
      </c>
      <c r="E5813" s="1390">
        <f>Risk_Compensation!$AJ40</f>
        <v>23</v>
      </c>
      <c r="F5813" s="1390" t="str">
        <f>Risk_Compensation!$T$17</f>
        <v>NE</v>
      </c>
      <c r="G5813" s="1390"/>
      <c r="H5813" s="1077">
        <f>Risk_Compensation!$AW40</f>
        <v>1201.4015121826999</v>
      </c>
    </row>
    <row r="5814" spans="1:8" x14ac:dyDescent="0.2">
      <c r="A5814" s="1027"/>
      <c r="B5814" s="1083">
        <f>Risk_Compensation!A$1</f>
        <v>36</v>
      </c>
      <c r="C5814" s="1390" t="str">
        <f>Risk_Compensation!$B$1</f>
        <v xml:space="preserve">Risikoausgleich </v>
      </c>
      <c r="D5814" s="1743" t="str">
        <f>Risk_Compensation!$AJ$14</f>
        <v>geschätzte Risikoausgleichssätze, pro Monat in CHF (ohne Entlastung junge Erwachsene)</v>
      </c>
      <c r="E5814" s="1390">
        <f>Risk_Compensation!$AJ41</f>
        <v>24</v>
      </c>
      <c r="F5814" s="1390" t="str">
        <f>Risk_Compensation!$T$17</f>
        <v>NE</v>
      </c>
      <c r="G5814" s="1390"/>
      <c r="H5814" s="1077">
        <f>Risk_Compensation!$AW41</f>
        <v>78.923015410046105</v>
      </c>
    </row>
    <row r="5815" spans="1:8" x14ac:dyDescent="0.2">
      <c r="A5815" s="1027"/>
      <c r="B5815" s="1083">
        <f>Risk_Compensation!A$1</f>
        <v>36</v>
      </c>
      <c r="C5815" s="1390" t="str">
        <f>Risk_Compensation!$B$1</f>
        <v xml:space="preserve">Risikoausgleich </v>
      </c>
      <c r="D5815" s="1743" t="str">
        <f>Risk_Compensation!$AJ$14</f>
        <v>geschätzte Risikoausgleichssätze, pro Monat in CHF (ohne Entlastung junge Erwachsene)</v>
      </c>
      <c r="E5815" s="1390">
        <f>Risk_Compensation!$AJ42</f>
        <v>25</v>
      </c>
      <c r="F5815" s="1390" t="str">
        <f>Risk_Compensation!$T$17</f>
        <v>NE</v>
      </c>
      <c r="G5815" s="1390"/>
      <c r="H5815" s="1077">
        <f>Risk_Compensation!$AW42</f>
        <v>1464.0175124254799</v>
      </c>
    </row>
    <row r="5816" spans="1:8" x14ac:dyDescent="0.2">
      <c r="A5816" s="1027"/>
      <c r="B5816" s="1083">
        <f>Risk_Compensation!A$1</f>
        <v>36</v>
      </c>
      <c r="C5816" s="1390" t="str">
        <f>Risk_Compensation!$B$1</f>
        <v xml:space="preserve">Risikoausgleich </v>
      </c>
      <c r="D5816" s="1743" t="str">
        <f>Risk_Compensation!$AJ$14</f>
        <v>geschätzte Risikoausgleichssätze, pro Monat in CHF (ohne Entlastung junge Erwachsene)</v>
      </c>
      <c r="E5816" s="1390">
        <f>Risk_Compensation!$AJ43</f>
        <v>26</v>
      </c>
      <c r="F5816" s="1390" t="str">
        <f>Risk_Compensation!$T$17</f>
        <v>NE</v>
      </c>
      <c r="G5816" s="1390"/>
      <c r="H5816" s="1077">
        <f>Risk_Compensation!$AW43</f>
        <v>189.11402353715101</v>
      </c>
    </row>
    <row r="5817" spans="1:8" x14ac:dyDescent="0.2">
      <c r="A5817" s="1027"/>
      <c r="B5817" s="1083">
        <f>Risk_Compensation!A$1</f>
        <v>36</v>
      </c>
      <c r="C5817" s="1390" t="str">
        <f>Risk_Compensation!$B$1</f>
        <v xml:space="preserve">Risikoausgleich </v>
      </c>
      <c r="D5817" s="1743" t="str">
        <f>Risk_Compensation!$AJ$14</f>
        <v>geschätzte Risikoausgleichssätze, pro Monat in CHF (ohne Entlastung junge Erwachsene)</v>
      </c>
      <c r="E5817" s="1390">
        <f>Risk_Compensation!$AJ44</f>
        <v>27</v>
      </c>
      <c r="F5817" s="1390" t="str">
        <f>Risk_Compensation!$T$17</f>
        <v>NE</v>
      </c>
      <c r="G5817" s="1390"/>
      <c r="H5817" s="1077">
        <f>Risk_Compensation!$AW44</f>
        <v>1471.3046431610201</v>
      </c>
    </row>
    <row r="5818" spans="1:8" x14ac:dyDescent="0.2">
      <c r="A5818" s="1027"/>
      <c r="B5818" s="1083">
        <f>Risk_Compensation!A$1</f>
        <v>36</v>
      </c>
      <c r="C5818" s="1390" t="str">
        <f>Risk_Compensation!$B$1</f>
        <v xml:space="preserve">Risikoausgleich </v>
      </c>
      <c r="D5818" s="1743" t="str">
        <f>Risk_Compensation!$AJ$14</f>
        <v>geschätzte Risikoausgleichssätze, pro Monat in CHF (ohne Entlastung junge Erwachsene)</v>
      </c>
      <c r="E5818" s="1390">
        <f>Risk_Compensation!$AJ45</f>
        <v>28</v>
      </c>
      <c r="F5818" s="1390" t="str">
        <f>Risk_Compensation!$T$17</f>
        <v>NE</v>
      </c>
      <c r="G5818" s="1390"/>
      <c r="H5818" s="1077">
        <f>Risk_Compensation!$AW45</f>
        <v>235.164878416341</v>
      </c>
    </row>
    <row r="5819" spans="1:8" x14ac:dyDescent="0.2">
      <c r="A5819" s="1027"/>
      <c r="B5819" s="1083">
        <f>Risk_Compensation!A$1</f>
        <v>36</v>
      </c>
      <c r="C5819" s="1390" t="str">
        <f>Risk_Compensation!$B$1</f>
        <v xml:space="preserve">Risikoausgleich </v>
      </c>
      <c r="D5819" s="1743" t="str">
        <f>Risk_Compensation!$AJ$14</f>
        <v>geschätzte Risikoausgleichssätze, pro Monat in CHF (ohne Entlastung junge Erwachsene)</v>
      </c>
      <c r="E5819" s="1390">
        <f>Risk_Compensation!$AJ46</f>
        <v>29</v>
      </c>
      <c r="F5819" s="1390" t="str">
        <f>Risk_Compensation!$T$17</f>
        <v>NE</v>
      </c>
      <c r="G5819" s="1390"/>
      <c r="H5819" s="1077">
        <f>Risk_Compensation!$AW46</f>
        <v>2161.10301675338</v>
      </c>
    </row>
    <row r="5820" spans="1:8" x14ac:dyDescent="0.2">
      <c r="A5820" s="1027"/>
      <c r="B5820" s="1083">
        <f>Risk_Compensation!A$1</f>
        <v>36</v>
      </c>
      <c r="C5820" s="1390" t="str">
        <f>Risk_Compensation!$B$1</f>
        <v xml:space="preserve">Risikoausgleich </v>
      </c>
      <c r="D5820" s="1743" t="str">
        <f>Risk_Compensation!$AJ$14</f>
        <v>geschätzte Risikoausgleichssätze, pro Monat in CHF (ohne Entlastung junge Erwachsene)</v>
      </c>
      <c r="E5820" s="1390">
        <f>Risk_Compensation!$AJ47</f>
        <v>30</v>
      </c>
      <c r="F5820" s="1390" t="str">
        <f>Risk_Compensation!$T$17</f>
        <v>NE</v>
      </c>
      <c r="G5820" s="1390"/>
      <c r="H5820" s="1077">
        <f>Risk_Compensation!$AW47</f>
        <v>670.81548675451495</v>
      </c>
    </row>
    <row r="5821" spans="1:8" x14ac:dyDescent="0.2">
      <c r="A5821" s="1027"/>
      <c r="B5821" s="1083">
        <f>Risk_Compensation!A$1</f>
        <v>36</v>
      </c>
      <c r="C5821" s="1390" t="str">
        <f>Risk_Compensation!$B$1</f>
        <v xml:space="preserve">Risikoausgleich </v>
      </c>
      <c r="D5821" s="1743" t="str">
        <f>Risk_Compensation!$AJ$14</f>
        <v>geschätzte Risikoausgleichssätze, pro Monat in CHF (ohne Entlastung junge Erwachsene)</v>
      </c>
      <c r="E5821" s="1390">
        <f>Risk_Compensation!$AJ48</f>
        <v>31</v>
      </c>
      <c r="F5821" s="1390" t="str">
        <f>Risk_Compensation!$T$17</f>
        <v>NE</v>
      </c>
      <c r="G5821" s="1390"/>
      <c r="H5821" s="1077">
        <f>Risk_Compensation!$AW48</f>
        <v>397.51639264895903</v>
      </c>
    </row>
    <row r="5822" spans="1:8" x14ac:dyDescent="0.2">
      <c r="A5822" s="1027"/>
      <c r="B5822" s="1083">
        <f>Risk_Compensation!A$1</f>
        <v>36</v>
      </c>
      <c r="C5822" s="1390" t="str">
        <f>Risk_Compensation!$B$1</f>
        <v xml:space="preserve">Risikoausgleich </v>
      </c>
      <c r="D5822" s="1743" t="str">
        <f>Risk_Compensation!$AJ$14</f>
        <v>geschätzte Risikoausgleichssätze, pro Monat in CHF (ohne Entlastung junge Erwachsene)</v>
      </c>
      <c r="E5822" s="1390">
        <f>Risk_Compensation!$AJ49</f>
        <v>32</v>
      </c>
      <c r="F5822" s="1390" t="str">
        <f>Risk_Compensation!$T$17</f>
        <v>NE</v>
      </c>
      <c r="G5822" s="1390"/>
      <c r="H5822" s="1077">
        <f>Risk_Compensation!$AW49</f>
        <v>-319.80633826982699</v>
      </c>
    </row>
    <row r="5823" spans="1:8" x14ac:dyDescent="0.2">
      <c r="A5823" s="1027"/>
      <c r="B5823" s="1083">
        <f>Risk_Compensation!A$1</f>
        <v>36</v>
      </c>
      <c r="C5823" s="1390" t="str">
        <f>Risk_Compensation!$B$1</f>
        <v xml:space="preserve">Risikoausgleich </v>
      </c>
      <c r="D5823" s="1743" t="str">
        <f>Risk_Compensation!$AJ$14</f>
        <v>geschätzte Risikoausgleichssätze, pro Monat in CHF (ohne Entlastung junge Erwachsene)</v>
      </c>
      <c r="E5823" s="1390">
        <f>Risk_Compensation!$AJ50</f>
        <v>33</v>
      </c>
      <c r="F5823" s="1390" t="str">
        <f>Risk_Compensation!$T$17</f>
        <v>NE</v>
      </c>
      <c r="G5823" s="1390"/>
      <c r="H5823" s="1077">
        <f>Risk_Compensation!$AW50</f>
        <v>159.88125932047399</v>
      </c>
    </row>
    <row r="5824" spans="1:8" x14ac:dyDescent="0.2">
      <c r="A5824" s="1027"/>
      <c r="B5824" s="1083">
        <f>Risk_Compensation!A$1</f>
        <v>36</v>
      </c>
      <c r="C5824" s="1390" t="str">
        <f>Risk_Compensation!$B$1</f>
        <v xml:space="preserve">Risikoausgleich </v>
      </c>
      <c r="D5824" s="1743" t="str">
        <f>Risk_Compensation!$AJ$14</f>
        <v>geschätzte Risikoausgleichssätze, pro Monat in CHF (ohne Entlastung junge Erwachsene)</v>
      </c>
      <c r="E5824" s="1390">
        <f>Risk_Compensation!$AJ51</f>
        <v>34</v>
      </c>
      <c r="F5824" s="1390" t="str">
        <f>Risk_Compensation!$T$17</f>
        <v>NE</v>
      </c>
      <c r="G5824" s="1390"/>
      <c r="H5824" s="1077">
        <f>Risk_Compensation!$AW51</f>
        <v>-266.442574221744</v>
      </c>
    </row>
    <row r="5825" spans="1:8" x14ac:dyDescent="0.2">
      <c r="A5825" s="1027"/>
      <c r="B5825" s="1083">
        <f>Risk_Compensation!A$1</f>
        <v>36</v>
      </c>
      <c r="C5825" s="1390" t="str">
        <f>Risk_Compensation!$B$1</f>
        <v xml:space="preserve">Risikoausgleich </v>
      </c>
      <c r="D5825" s="1743" t="str">
        <f>Risk_Compensation!$AJ$14</f>
        <v>geschätzte Risikoausgleichssätze, pro Monat in CHF (ohne Entlastung junge Erwachsene)</v>
      </c>
      <c r="E5825" s="1390">
        <f>Risk_Compensation!$AJ52</f>
        <v>35</v>
      </c>
      <c r="F5825" s="1390" t="str">
        <f>Risk_Compensation!$T$17</f>
        <v>NE</v>
      </c>
      <c r="G5825" s="1390"/>
      <c r="H5825" s="1077">
        <f>Risk_Compensation!$AW52</f>
        <v>220.269575145201</v>
      </c>
    </row>
    <row r="5826" spans="1:8" x14ac:dyDescent="0.2">
      <c r="A5826" s="1027"/>
      <c r="B5826" s="1083">
        <f>Risk_Compensation!A$1</f>
        <v>36</v>
      </c>
      <c r="C5826" s="1390" t="str">
        <f>Risk_Compensation!$B$1</f>
        <v xml:space="preserve">Risikoausgleich </v>
      </c>
      <c r="D5826" s="1743" t="str">
        <f>Risk_Compensation!$AJ$14</f>
        <v>geschätzte Risikoausgleichssätze, pro Monat in CHF (ohne Entlastung junge Erwachsene)</v>
      </c>
      <c r="E5826" s="1390">
        <f>Risk_Compensation!$AJ53</f>
        <v>36</v>
      </c>
      <c r="F5826" s="1390" t="str">
        <f>Risk_Compensation!$T$17</f>
        <v>NE</v>
      </c>
      <c r="G5826" s="1390"/>
      <c r="H5826" s="1077">
        <f>Risk_Compensation!$AW53</f>
        <v>-226.287295173237</v>
      </c>
    </row>
    <row r="5827" spans="1:8" x14ac:dyDescent="0.2">
      <c r="A5827" s="1027"/>
      <c r="B5827" s="1083">
        <f>Risk_Compensation!A$1</f>
        <v>36</v>
      </c>
      <c r="C5827" s="1390" t="str">
        <f>Risk_Compensation!$B$1</f>
        <v xml:space="preserve">Risikoausgleich </v>
      </c>
      <c r="D5827" s="1743" t="str">
        <f>Risk_Compensation!$AJ$14</f>
        <v>geschätzte Risikoausgleichssätze, pro Monat in CHF (ohne Entlastung junge Erwachsene)</v>
      </c>
      <c r="E5827" s="1390">
        <f>Risk_Compensation!$AJ54</f>
        <v>37</v>
      </c>
      <c r="F5827" s="1390" t="str">
        <f>Risk_Compensation!$T$17</f>
        <v>NE</v>
      </c>
      <c r="G5827" s="1390"/>
      <c r="H5827" s="1077">
        <f>Risk_Compensation!$AW54</f>
        <v>-60.349472363316202</v>
      </c>
    </row>
    <row r="5828" spans="1:8" x14ac:dyDescent="0.2">
      <c r="A5828" s="1027"/>
      <c r="B5828" s="1083">
        <f>Risk_Compensation!A$1</f>
        <v>36</v>
      </c>
      <c r="C5828" s="1390" t="str">
        <f>Risk_Compensation!$B$1</f>
        <v xml:space="preserve">Risikoausgleich </v>
      </c>
      <c r="D5828" s="1743" t="str">
        <f>Risk_Compensation!$AJ$14</f>
        <v>geschätzte Risikoausgleichssätze, pro Monat in CHF (ohne Entlastung junge Erwachsene)</v>
      </c>
      <c r="E5828" s="1390">
        <f>Risk_Compensation!$AJ55</f>
        <v>38</v>
      </c>
      <c r="F5828" s="1390" t="str">
        <f>Risk_Compensation!$T$17</f>
        <v>NE</v>
      </c>
      <c r="G5828" s="1390"/>
      <c r="H5828" s="1077">
        <f>Risk_Compensation!$AW55</f>
        <v>-254.86494409156001</v>
      </c>
    </row>
    <row r="5829" spans="1:8" x14ac:dyDescent="0.2">
      <c r="A5829" s="1027"/>
      <c r="B5829" s="1083">
        <f>Risk_Compensation!A$1</f>
        <v>36</v>
      </c>
      <c r="C5829" s="1390" t="str">
        <f>Risk_Compensation!$B$1</f>
        <v xml:space="preserve">Risikoausgleich </v>
      </c>
      <c r="D5829" s="1743" t="str">
        <f>Risk_Compensation!$AJ$14</f>
        <v>geschätzte Risikoausgleichssätze, pro Monat in CHF (ohne Entlastung junge Erwachsene)</v>
      </c>
      <c r="E5829" s="1390">
        <f>Risk_Compensation!$AJ56</f>
        <v>39</v>
      </c>
      <c r="F5829" s="1390" t="str">
        <f>Risk_Compensation!$T$17</f>
        <v>NE</v>
      </c>
      <c r="G5829" s="1390"/>
      <c r="H5829" s="1077">
        <f>Risk_Compensation!$AW56</f>
        <v>493.91546882275202</v>
      </c>
    </row>
    <row r="5830" spans="1:8" x14ac:dyDescent="0.2">
      <c r="A5830" s="1027"/>
      <c r="B5830" s="1083">
        <f>Risk_Compensation!A$1</f>
        <v>36</v>
      </c>
      <c r="C5830" s="1390" t="str">
        <f>Risk_Compensation!$B$1</f>
        <v xml:space="preserve">Risikoausgleich </v>
      </c>
      <c r="D5830" s="1743" t="str">
        <f>Risk_Compensation!$AJ$14</f>
        <v>geschätzte Risikoausgleichssätze, pro Monat in CHF (ohne Entlastung junge Erwachsene)</v>
      </c>
      <c r="E5830" s="1390">
        <f>Risk_Compensation!$AJ57</f>
        <v>40</v>
      </c>
      <c r="F5830" s="1390" t="str">
        <f>Risk_Compensation!$T$17</f>
        <v>NE</v>
      </c>
      <c r="G5830" s="1390"/>
      <c r="H5830" s="1077">
        <f>Risk_Compensation!$AW57</f>
        <v>-304.71416188169701</v>
      </c>
    </row>
    <row r="5831" spans="1:8" x14ac:dyDescent="0.2">
      <c r="A5831" s="1027"/>
      <c r="B5831" s="1083">
        <f>Risk_Compensation!A$1</f>
        <v>36</v>
      </c>
      <c r="C5831" s="1390" t="str">
        <f>Risk_Compensation!$B$1</f>
        <v xml:space="preserve">Risikoausgleich </v>
      </c>
      <c r="D5831" s="1743" t="str">
        <f>Risk_Compensation!$AJ$14</f>
        <v>geschätzte Risikoausgleichssätze, pro Monat in CHF (ohne Entlastung junge Erwachsene)</v>
      </c>
      <c r="E5831" s="1390">
        <f>Risk_Compensation!$AJ58</f>
        <v>41</v>
      </c>
      <c r="F5831" s="1390" t="str">
        <f>Risk_Compensation!$T$17</f>
        <v>NE</v>
      </c>
      <c r="G5831" s="1390"/>
      <c r="H5831" s="1077">
        <f>Risk_Compensation!$AW58</f>
        <v>535.01627810255502</v>
      </c>
    </row>
    <row r="5832" spans="1:8" x14ac:dyDescent="0.2">
      <c r="A5832" s="1027"/>
      <c r="B5832" s="1083">
        <f>Risk_Compensation!A$1</f>
        <v>36</v>
      </c>
      <c r="C5832" s="1390" t="str">
        <f>Risk_Compensation!$B$1</f>
        <v xml:space="preserve">Risikoausgleich </v>
      </c>
      <c r="D5832" s="1743" t="str">
        <f>Risk_Compensation!$AJ$14</f>
        <v>geschätzte Risikoausgleichssätze, pro Monat in CHF (ohne Entlastung junge Erwachsene)</v>
      </c>
      <c r="E5832" s="1390">
        <f>Risk_Compensation!$AJ59</f>
        <v>42</v>
      </c>
      <c r="F5832" s="1390" t="str">
        <f>Risk_Compensation!$T$17</f>
        <v>NE</v>
      </c>
      <c r="G5832" s="1390"/>
      <c r="H5832" s="1077">
        <f>Risk_Compensation!$AW59</f>
        <v>-291.10165317839301</v>
      </c>
    </row>
    <row r="5833" spans="1:8" x14ac:dyDescent="0.2">
      <c r="A5833" s="1027"/>
      <c r="B5833" s="1083">
        <f>Risk_Compensation!A$1</f>
        <v>36</v>
      </c>
      <c r="C5833" s="1390" t="str">
        <f>Risk_Compensation!$B$1</f>
        <v xml:space="preserve">Risikoausgleich </v>
      </c>
      <c r="D5833" s="1743" t="str">
        <f>Risk_Compensation!$AJ$14</f>
        <v>geschätzte Risikoausgleichssätze, pro Monat in CHF (ohne Entlastung junge Erwachsene)</v>
      </c>
      <c r="E5833" s="1390">
        <f>Risk_Compensation!$AJ60</f>
        <v>43</v>
      </c>
      <c r="F5833" s="1390" t="str">
        <f>Risk_Compensation!$T$17</f>
        <v>NE</v>
      </c>
      <c r="G5833" s="1390"/>
      <c r="H5833" s="1077">
        <f>Risk_Compensation!$AW60</f>
        <v>483.027120572255</v>
      </c>
    </row>
    <row r="5834" spans="1:8" x14ac:dyDescent="0.2">
      <c r="A5834" s="1027"/>
      <c r="B5834" s="1083">
        <f>Risk_Compensation!A$1</f>
        <v>36</v>
      </c>
      <c r="C5834" s="1390" t="str">
        <f>Risk_Compensation!$B$1</f>
        <v xml:space="preserve">Risikoausgleich </v>
      </c>
      <c r="D5834" s="1743" t="str">
        <f>Risk_Compensation!$AJ$14</f>
        <v>geschätzte Risikoausgleichssätze, pro Monat in CHF (ohne Entlastung junge Erwachsene)</v>
      </c>
      <c r="E5834" s="1390">
        <f>Risk_Compensation!$AJ61</f>
        <v>44</v>
      </c>
      <c r="F5834" s="1390" t="str">
        <f>Risk_Compensation!$T$17</f>
        <v>NE</v>
      </c>
      <c r="G5834" s="1390"/>
      <c r="H5834" s="1077">
        <f>Risk_Compensation!$AW61</f>
        <v>-269.83916429951302</v>
      </c>
    </row>
    <row r="5835" spans="1:8" x14ac:dyDescent="0.2">
      <c r="A5835" s="1027"/>
      <c r="B5835" s="1083">
        <f>Risk_Compensation!A$1</f>
        <v>36</v>
      </c>
      <c r="C5835" s="1390" t="str">
        <f>Risk_Compensation!$B$1</f>
        <v xml:space="preserve">Risikoausgleich </v>
      </c>
      <c r="D5835" s="1743" t="str">
        <f>Risk_Compensation!$AJ$14</f>
        <v>geschätzte Risikoausgleichssätze, pro Monat in CHF (ohne Entlastung junge Erwachsene)</v>
      </c>
      <c r="E5835" s="1390">
        <f>Risk_Compensation!$AJ62</f>
        <v>45</v>
      </c>
      <c r="F5835" s="1390" t="str">
        <f>Risk_Compensation!$T$17</f>
        <v>NE</v>
      </c>
      <c r="G5835" s="1390"/>
      <c r="H5835" s="1077">
        <f>Risk_Compensation!$AW62</f>
        <v>578.96994627561605</v>
      </c>
    </row>
    <row r="5836" spans="1:8" x14ac:dyDescent="0.2">
      <c r="A5836" s="1027"/>
      <c r="B5836" s="1083">
        <f>Risk_Compensation!A$1</f>
        <v>36</v>
      </c>
      <c r="C5836" s="1390" t="str">
        <f>Risk_Compensation!$B$1</f>
        <v xml:space="preserve">Risikoausgleich </v>
      </c>
      <c r="D5836" s="1743" t="str">
        <f>Risk_Compensation!$AJ$14</f>
        <v>geschätzte Risikoausgleichssätze, pro Monat in CHF (ohne Entlastung junge Erwachsene)</v>
      </c>
      <c r="E5836" s="1390">
        <f>Risk_Compensation!$AJ63</f>
        <v>46</v>
      </c>
      <c r="F5836" s="1390" t="str">
        <f>Risk_Compensation!$T$17</f>
        <v>NE</v>
      </c>
      <c r="G5836" s="1390"/>
      <c r="H5836" s="1077">
        <f>Risk_Compensation!$AW63</f>
        <v>-252.89811862000499</v>
      </c>
    </row>
    <row r="5837" spans="1:8" x14ac:dyDescent="0.2">
      <c r="A5837" s="1027"/>
      <c r="B5837" s="1083">
        <f>Risk_Compensation!A$1</f>
        <v>36</v>
      </c>
      <c r="C5837" s="1390" t="str">
        <f>Risk_Compensation!$B$1</f>
        <v xml:space="preserve">Risikoausgleich </v>
      </c>
      <c r="D5837" s="1743" t="str">
        <f>Risk_Compensation!$AJ$14</f>
        <v>geschätzte Risikoausgleichssätze, pro Monat in CHF (ohne Entlastung junge Erwachsene)</v>
      </c>
      <c r="E5837" s="1390">
        <f>Risk_Compensation!$AJ64</f>
        <v>47</v>
      </c>
      <c r="F5837" s="1390" t="str">
        <f>Risk_Compensation!$T$17</f>
        <v>NE</v>
      </c>
      <c r="G5837" s="1390"/>
      <c r="H5837" s="1077">
        <f>Risk_Compensation!$AW64</f>
        <v>519.58014022738996</v>
      </c>
    </row>
    <row r="5838" spans="1:8" x14ac:dyDescent="0.2">
      <c r="A5838" s="1027"/>
      <c r="B5838" s="1083">
        <f>Risk_Compensation!A$1</f>
        <v>36</v>
      </c>
      <c r="C5838" s="1390" t="str">
        <f>Risk_Compensation!$B$1</f>
        <v xml:space="preserve">Risikoausgleich </v>
      </c>
      <c r="D5838" s="1743" t="str">
        <f>Risk_Compensation!$AJ$14</f>
        <v>geschätzte Risikoausgleichssätze, pro Monat in CHF (ohne Entlastung junge Erwachsene)</v>
      </c>
      <c r="E5838" s="1390">
        <f>Risk_Compensation!$AJ65</f>
        <v>48</v>
      </c>
      <c r="F5838" s="1390" t="str">
        <f>Risk_Compensation!$T$17</f>
        <v>NE</v>
      </c>
      <c r="G5838" s="1390"/>
      <c r="H5838" s="1077">
        <f>Risk_Compensation!$AW65</f>
        <v>-203.72090699130899</v>
      </c>
    </row>
    <row r="5839" spans="1:8" x14ac:dyDescent="0.2">
      <c r="A5839" s="1027"/>
      <c r="B5839" s="1083">
        <f>Risk_Compensation!A$1</f>
        <v>36</v>
      </c>
      <c r="C5839" s="1390" t="str">
        <f>Risk_Compensation!$B$1</f>
        <v xml:space="preserve">Risikoausgleich </v>
      </c>
      <c r="D5839" s="1743" t="str">
        <f>Risk_Compensation!$AJ$14</f>
        <v>geschätzte Risikoausgleichssätze, pro Monat in CHF (ohne Entlastung junge Erwachsene)</v>
      </c>
      <c r="E5839" s="1390">
        <f>Risk_Compensation!$AJ66</f>
        <v>49</v>
      </c>
      <c r="F5839" s="1390" t="str">
        <f>Risk_Compensation!$T$17</f>
        <v>NE</v>
      </c>
      <c r="G5839" s="1390"/>
      <c r="H5839" s="1077">
        <f>Risk_Compensation!$AW66</f>
        <v>733.03425791246798</v>
      </c>
    </row>
    <row r="5840" spans="1:8" x14ac:dyDescent="0.2">
      <c r="A5840" s="1027"/>
      <c r="B5840" s="1083">
        <f>Risk_Compensation!A$1</f>
        <v>36</v>
      </c>
      <c r="C5840" s="1390" t="str">
        <f>Risk_Compensation!$B$1</f>
        <v xml:space="preserve">Risikoausgleich </v>
      </c>
      <c r="D5840" s="1743" t="str">
        <f>Risk_Compensation!$AJ$14</f>
        <v>geschätzte Risikoausgleichssätze, pro Monat in CHF (ohne Entlastung junge Erwachsene)</v>
      </c>
      <c r="E5840" s="1390">
        <f>Risk_Compensation!$AJ67</f>
        <v>50</v>
      </c>
      <c r="F5840" s="1390" t="str">
        <f>Risk_Compensation!$T$17</f>
        <v>NE</v>
      </c>
      <c r="G5840" s="1390"/>
      <c r="H5840" s="1077">
        <f>Risk_Compensation!$AW67</f>
        <v>-151.07889488113699</v>
      </c>
    </row>
    <row r="5841" spans="1:8" x14ac:dyDescent="0.2">
      <c r="A5841" s="1027"/>
      <c r="B5841" s="1083">
        <f>Risk_Compensation!A$1</f>
        <v>36</v>
      </c>
      <c r="C5841" s="1390" t="str">
        <f>Risk_Compensation!$B$1</f>
        <v xml:space="preserve">Risikoausgleich </v>
      </c>
      <c r="D5841" s="1743" t="str">
        <f>Risk_Compensation!$AJ$14</f>
        <v>geschätzte Risikoausgleichssätze, pro Monat in CHF (ohne Entlastung junge Erwachsene)</v>
      </c>
      <c r="E5841" s="1390">
        <f>Risk_Compensation!$AJ68</f>
        <v>51</v>
      </c>
      <c r="F5841" s="1390" t="str">
        <f>Risk_Compensation!$T$17</f>
        <v>NE</v>
      </c>
      <c r="G5841" s="1390"/>
      <c r="H5841" s="1077">
        <f>Risk_Compensation!$AW68</f>
        <v>1096.8274829883201</v>
      </c>
    </row>
    <row r="5842" spans="1:8" x14ac:dyDescent="0.2">
      <c r="A5842" s="1027"/>
      <c r="B5842" s="1083">
        <f>Risk_Compensation!A$1</f>
        <v>36</v>
      </c>
      <c r="C5842" s="1390" t="str">
        <f>Risk_Compensation!$B$1</f>
        <v xml:space="preserve">Risikoausgleich </v>
      </c>
      <c r="D5842" s="1743" t="str">
        <f>Risk_Compensation!$AJ$14</f>
        <v>geschätzte Risikoausgleichssätze, pro Monat in CHF (ohne Entlastung junge Erwachsene)</v>
      </c>
      <c r="E5842" s="1390">
        <f>Risk_Compensation!$AJ69</f>
        <v>52</v>
      </c>
      <c r="F5842" s="1390" t="str">
        <f>Risk_Compensation!$T$17</f>
        <v>NE</v>
      </c>
      <c r="G5842" s="1390"/>
      <c r="H5842" s="1077">
        <f>Risk_Compensation!$AW69</f>
        <v>-79.939889164775096</v>
      </c>
    </row>
    <row r="5843" spans="1:8" x14ac:dyDescent="0.2">
      <c r="A5843" s="1027"/>
      <c r="B5843" s="1083">
        <f>Risk_Compensation!A$1</f>
        <v>36</v>
      </c>
      <c r="C5843" s="1390" t="str">
        <f>Risk_Compensation!$B$1</f>
        <v xml:space="preserve">Risikoausgleich </v>
      </c>
      <c r="D5843" s="1743" t="str">
        <f>Risk_Compensation!$AJ$14</f>
        <v>geschätzte Risikoausgleichssätze, pro Monat in CHF (ohne Entlastung junge Erwachsene)</v>
      </c>
      <c r="E5843" s="1390">
        <f>Risk_Compensation!$AJ70</f>
        <v>53</v>
      </c>
      <c r="F5843" s="1390" t="str">
        <f>Risk_Compensation!$T$17</f>
        <v>NE</v>
      </c>
      <c r="G5843" s="1390"/>
      <c r="H5843" s="1077">
        <f>Risk_Compensation!$AW70</f>
        <v>858.76731085875099</v>
      </c>
    </row>
    <row r="5844" spans="1:8" x14ac:dyDescent="0.2">
      <c r="A5844" s="1027"/>
      <c r="B5844" s="1083">
        <f>Risk_Compensation!A$1</f>
        <v>36</v>
      </c>
      <c r="C5844" s="1390" t="str">
        <f>Risk_Compensation!$B$1</f>
        <v xml:space="preserve">Risikoausgleich </v>
      </c>
      <c r="D5844" s="1743" t="str">
        <f>Risk_Compensation!$AJ$14</f>
        <v>geschätzte Risikoausgleichssätze, pro Monat in CHF (ohne Entlastung junge Erwachsene)</v>
      </c>
      <c r="E5844" s="1390">
        <f>Risk_Compensation!$AJ71</f>
        <v>54</v>
      </c>
      <c r="F5844" s="1390" t="str">
        <f>Risk_Compensation!$T$17</f>
        <v>NE</v>
      </c>
      <c r="G5844" s="1390"/>
      <c r="H5844" s="1077">
        <f>Risk_Compensation!$AW71</f>
        <v>-2.17855294724643</v>
      </c>
    </row>
    <row r="5845" spans="1:8" x14ac:dyDescent="0.2">
      <c r="A5845" s="1027"/>
      <c r="B5845" s="1083">
        <f>Risk_Compensation!A$1</f>
        <v>36</v>
      </c>
      <c r="C5845" s="1390" t="str">
        <f>Risk_Compensation!$B$1</f>
        <v xml:space="preserve">Risikoausgleich </v>
      </c>
      <c r="D5845" s="1743" t="str">
        <f>Risk_Compensation!$AJ$14</f>
        <v>geschätzte Risikoausgleichssätze, pro Monat in CHF (ohne Entlastung junge Erwachsene)</v>
      </c>
      <c r="E5845" s="1390">
        <f>Risk_Compensation!$AJ72</f>
        <v>55</v>
      </c>
      <c r="F5845" s="1390" t="str">
        <f>Risk_Compensation!$T$17</f>
        <v>NE</v>
      </c>
      <c r="G5845" s="1390"/>
      <c r="H5845" s="1077">
        <f>Risk_Compensation!$AW72</f>
        <v>1417.7727778906999</v>
      </c>
    </row>
    <row r="5846" spans="1:8" x14ac:dyDescent="0.2">
      <c r="A5846" s="1027"/>
      <c r="B5846" s="1083">
        <f>Risk_Compensation!A$1</f>
        <v>36</v>
      </c>
      <c r="C5846" s="1390" t="str">
        <f>Risk_Compensation!$B$1</f>
        <v xml:space="preserve">Risikoausgleich </v>
      </c>
      <c r="D5846" s="1743" t="str">
        <f>Risk_Compensation!$AJ$14</f>
        <v>geschätzte Risikoausgleichssätze, pro Monat in CHF (ohne Entlastung junge Erwachsene)</v>
      </c>
      <c r="E5846" s="1390">
        <f>Risk_Compensation!$AJ73</f>
        <v>56</v>
      </c>
      <c r="F5846" s="1390" t="str">
        <f>Risk_Compensation!$T$17</f>
        <v>NE</v>
      </c>
      <c r="G5846" s="1390"/>
      <c r="H5846" s="1077">
        <f>Risk_Compensation!$AW73</f>
        <v>90.4842403416785</v>
      </c>
    </row>
    <row r="5847" spans="1:8" x14ac:dyDescent="0.2">
      <c r="A5847" s="1027"/>
      <c r="B5847" s="1083">
        <f>Risk_Compensation!A$1</f>
        <v>36</v>
      </c>
      <c r="C5847" s="1390" t="str">
        <f>Risk_Compensation!$B$1</f>
        <v xml:space="preserve">Risikoausgleich </v>
      </c>
      <c r="D5847" s="1743" t="str">
        <f>Risk_Compensation!$AJ$14</f>
        <v>geschätzte Risikoausgleichssätze, pro Monat in CHF (ohne Entlastung junge Erwachsene)</v>
      </c>
      <c r="E5847" s="1390">
        <f>Risk_Compensation!$AJ74</f>
        <v>57</v>
      </c>
      <c r="F5847" s="1390" t="str">
        <f>Risk_Compensation!$T$17</f>
        <v>NE</v>
      </c>
      <c r="G5847" s="1390"/>
      <c r="H5847" s="1077">
        <f>Risk_Compensation!$AW74</f>
        <v>1685.6818225090201</v>
      </c>
    </row>
    <row r="5848" spans="1:8" x14ac:dyDescent="0.2">
      <c r="A5848" s="1027"/>
      <c r="B5848" s="1083">
        <f>Risk_Compensation!A$1</f>
        <v>36</v>
      </c>
      <c r="C5848" s="1390" t="str">
        <f>Risk_Compensation!$B$1</f>
        <v xml:space="preserve">Risikoausgleich </v>
      </c>
      <c r="D5848" s="1743" t="str">
        <f>Risk_Compensation!$AJ$14</f>
        <v>geschätzte Risikoausgleichssätze, pro Monat in CHF (ohne Entlastung junge Erwachsene)</v>
      </c>
      <c r="E5848" s="1390">
        <f>Risk_Compensation!$AJ75</f>
        <v>58</v>
      </c>
      <c r="F5848" s="1390" t="str">
        <f>Risk_Compensation!$T$17</f>
        <v>NE</v>
      </c>
      <c r="G5848" s="1390"/>
      <c r="H5848" s="1077">
        <f>Risk_Compensation!$AW75</f>
        <v>274.15144767053101</v>
      </c>
    </row>
    <row r="5849" spans="1:8" x14ac:dyDescent="0.2">
      <c r="A5849" s="1027"/>
      <c r="B5849" s="1083">
        <f>Risk_Compensation!A$1</f>
        <v>36</v>
      </c>
      <c r="C5849" s="1390" t="str">
        <f>Risk_Compensation!$B$1</f>
        <v xml:space="preserve">Risikoausgleich </v>
      </c>
      <c r="D5849" s="1743" t="str">
        <f>Risk_Compensation!$AJ$14</f>
        <v>geschätzte Risikoausgleichssätze, pro Monat in CHF (ohne Entlastung junge Erwachsene)</v>
      </c>
      <c r="E5849" s="1390">
        <f>Risk_Compensation!$AJ76</f>
        <v>59</v>
      </c>
      <c r="F5849" s="1390" t="str">
        <f>Risk_Compensation!$T$17</f>
        <v>NE</v>
      </c>
      <c r="G5849" s="1390"/>
      <c r="H5849" s="1077">
        <f>Risk_Compensation!$AW76</f>
        <v>2282.2759068749401</v>
      </c>
    </row>
    <row r="5850" spans="1:8" x14ac:dyDescent="0.2">
      <c r="A5850" s="1027"/>
      <c r="B5850" s="1083">
        <f>Risk_Compensation!A$1</f>
        <v>36</v>
      </c>
      <c r="C5850" s="1390" t="str">
        <f>Risk_Compensation!$B$1</f>
        <v xml:space="preserve">Risikoausgleich </v>
      </c>
      <c r="D5850" s="1743" t="str">
        <f>Risk_Compensation!$AJ$14</f>
        <v>geschätzte Risikoausgleichssätze, pro Monat in CHF (ohne Entlastung junge Erwachsene)</v>
      </c>
      <c r="E5850" s="1390">
        <f>Risk_Compensation!$AJ77</f>
        <v>60</v>
      </c>
      <c r="F5850" s="1390" t="str">
        <f>Risk_Compensation!$T$17</f>
        <v>NE</v>
      </c>
      <c r="G5850" s="1390"/>
      <c r="H5850" s="1077">
        <f>Risk_Compensation!$AW77</f>
        <v>607.88598642844397</v>
      </c>
    </row>
    <row r="5851" spans="1:8" x14ac:dyDescent="0.2">
      <c r="A5851" s="1027"/>
      <c r="B5851" s="2174"/>
      <c r="C5851" s="1390"/>
      <c r="D5851" s="2175"/>
      <c r="E5851" s="2176"/>
      <c r="F5851" s="1390"/>
      <c r="G5851" s="1390"/>
      <c r="H5851" s="1078"/>
    </row>
    <row r="5852" spans="1:8" x14ac:dyDescent="0.2">
      <c r="A5852" s="1027"/>
      <c r="B5852" s="1083">
        <f>Risk_Compensation!A$1</f>
        <v>36</v>
      </c>
      <c r="C5852" s="1390" t="str">
        <f>Risk_Compensation!$B$1</f>
        <v xml:space="preserve">Risikoausgleich </v>
      </c>
      <c r="D5852" s="1743" t="str">
        <f>Risk_Compensation!$AJ$14</f>
        <v>geschätzte Risikoausgleichssätze, pro Monat in CHF (ohne Entlastung junge Erwachsene)</v>
      </c>
      <c r="E5852" s="1390">
        <f>Risk_Compensation!$AJ18</f>
        <v>1</v>
      </c>
      <c r="F5852" s="1390" t="str">
        <f>Risk_Compensation!$U$17</f>
        <v>NW</v>
      </c>
      <c r="G5852" s="1390"/>
      <c r="H5852" s="1077">
        <f>Risk_Compensation!$AX18</f>
        <v>200.63003207276</v>
      </c>
    </row>
    <row r="5853" spans="1:8" x14ac:dyDescent="0.2">
      <c r="A5853" s="1027"/>
      <c r="B5853" s="1083">
        <f>Risk_Compensation!A$1</f>
        <v>36</v>
      </c>
      <c r="C5853" s="1390" t="str">
        <f>Risk_Compensation!$B$1</f>
        <v xml:space="preserve">Risikoausgleich </v>
      </c>
      <c r="D5853" s="1743" t="str">
        <f>Risk_Compensation!$AJ$14</f>
        <v>geschätzte Risikoausgleichssätze, pro Monat in CHF (ohne Entlastung junge Erwachsene)</v>
      </c>
      <c r="E5853" s="1390">
        <f>Risk_Compensation!$AJ19</f>
        <v>2</v>
      </c>
      <c r="F5853" s="1390" t="str">
        <f>Risk_Compensation!$U$17</f>
        <v>NW</v>
      </c>
      <c r="G5853" s="1390"/>
      <c r="H5853" s="1077">
        <f>Risk_Compensation!$AX19</f>
        <v>-254.25474532239599</v>
      </c>
    </row>
    <row r="5854" spans="1:8" x14ac:dyDescent="0.2">
      <c r="A5854" s="1027"/>
      <c r="B5854" s="1083">
        <f>Risk_Compensation!A$1</f>
        <v>36</v>
      </c>
      <c r="C5854" s="1390" t="str">
        <f>Risk_Compensation!$B$1</f>
        <v xml:space="preserve">Risikoausgleich </v>
      </c>
      <c r="D5854" s="1743" t="str">
        <f>Risk_Compensation!$AJ$14</f>
        <v>geschätzte Risikoausgleichssätze, pro Monat in CHF (ohne Entlastung junge Erwachsene)</v>
      </c>
      <c r="E5854" s="1390">
        <f>Risk_Compensation!$AJ20</f>
        <v>3</v>
      </c>
      <c r="F5854" s="1390" t="str">
        <f>Risk_Compensation!$U$17</f>
        <v>NW</v>
      </c>
      <c r="G5854" s="1390"/>
      <c r="H5854" s="1077">
        <f>Risk_Compensation!$AX20</f>
        <v>47.1703060191291</v>
      </c>
    </row>
    <row r="5855" spans="1:8" x14ac:dyDescent="0.2">
      <c r="A5855" s="1027"/>
      <c r="B5855" s="1083">
        <f>Risk_Compensation!A$1</f>
        <v>36</v>
      </c>
      <c r="C5855" s="1390" t="str">
        <f>Risk_Compensation!$B$1</f>
        <v xml:space="preserve">Risikoausgleich </v>
      </c>
      <c r="D5855" s="1743" t="str">
        <f>Risk_Compensation!$AJ$14</f>
        <v>geschätzte Risikoausgleichssätze, pro Monat in CHF (ohne Entlastung junge Erwachsene)</v>
      </c>
      <c r="E5855" s="1390">
        <f>Risk_Compensation!$AJ21</f>
        <v>4</v>
      </c>
      <c r="F5855" s="1390" t="str">
        <f>Risk_Compensation!$U$17</f>
        <v>NW</v>
      </c>
      <c r="G5855" s="1390"/>
      <c r="H5855" s="1077">
        <f>Risk_Compensation!$AX21</f>
        <v>-263.86135769225803</v>
      </c>
    </row>
    <row r="5856" spans="1:8" x14ac:dyDescent="0.2">
      <c r="A5856" s="1027"/>
      <c r="B5856" s="1083">
        <f>Risk_Compensation!A$1</f>
        <v>36</v>
      </c>
      <c r="C5856" s="1390" t="str">
        <f>Risk_Compensation!$B$1</f>
        <v xml:space="preserve">Risikoausgleich </v>
      </c>
      <c r="D5856" s="1743" t="str">
        <f>Risk_Compensation!$AJ$14</f>
        <v>geschätzte Risikoausgleichssätze, pro Monat in CHF (ohne Entlastung junge Erwachsene)</v>
      </c>
      <c r="E5856" s="1390">
        <f>Risk_Compensation!$AJ22</f>
        <v>5</v>
      </c>
      <c r="F5856" s="1390" t="str">
        <f>Risk_Compensation!$U$17</f>
        <v>NW</v>
      </c>
      <c r="G5856" s="1390"/>
      <c r="H5856" s="1077">
        <f>Risk_Compensation!$AX22</f>
        <v>-265.76033184616603</v>
      </c>
    </row>
    <row r="5857" spans="1:8" x14ac:dyDescent="0.2">
      <c r="A5857" s="1027"/>
      <c r="B5857" s="1083">
        <f>Risk_Compensation!A$1</f>
        <v>36</v>
      </c>
      <c r="C5857" s="1390" t="str">
        <f>Risk_Compensation!$B$1</f>
        <v xml:space="preserve">Risikoausgleich </v>
      </c>
      <c r="D5857" s="1743" t="str">
        <f>Risk_Compensation!$AJ$14</f>
        <v>geschätzte Risikoausgleichssätze, pro Monat in CHF (ohne Entlastung junge Erwachsene)</v>
      </c>
      <c r="E5857" s="1390">
        <f>Risk_Compensation!$AJ23</f>
        <v>6</v>
      </c>
      <c r="F5857" s="1390" t="str">
        <f>Risk_Compensation!$U$17</f>
        <v>NW</v>
      </c>
      <c r="G5857" s="1390"/>
      <c r="H5857" s="1077">
        <f>Risk_Compensation!$AX23</f>
        <v>-286.00194209449</v>
      </c>
    </row>
    <row r="5858" spans="1:8" x14ac:dyDescent="0.2">
      <c r="A5858" s="1027"/>
      <c r="B5858" s="1083">
        <f>Risk_Compensation!A$1</f>
        <v>36</v>
      </c>
      <c r="C5858" s="1390" t="str">
        <f>Risk_Compensation!$B$1</f>
        <v xml:space="preserve">Risikoausgleich </v>
      </c>
      <c r="D5858" s="1743" t="str">
        <f>Risk_Compensation!$AJ$14</f>
        <v>geschätzte Risikoausgleichssätze, pro Monat in CHF (ohne Entlastung junge Erwachsene)</v>
      </c>
      <c r="E5858" s="1390">
        <f>Risk_Compensation!$AJ24</f>
        <v>7</v>
      </c>
      <c r="F5858" s="1390" t="str">
        <f>Risk_Compensation!$U$17</f>
        <v>NW</v>
      </c>
      <c r="G5858" s="1390"/>
      <c r="H5858" s="1077">
        <f>Risk_Compensation!$AX24</f>
        <v>55.6092340749681</v>
      </c>
    </row>
    <row r="5859" spans="1:8" x14ac:dyDescent="0.2">
      <c r="A5859" s="1027"/>
      <c r="B5859" s="1083">
        <f>Risk_Compensation!A$1</f>
        <v>36</v>
      </c>
      <c r="C5859" s="1390" t="str">
        <f>Risk_Compensation!$B$1</f>
        <v xml:space="preserve">Risikoausgleich </v>
      </c>
      <c r="D5859" s="1743" t="str">
        <f>Risk_Compensation!$AJ$14</f>
        <v>geschätzte Risikoausgleichssätze, pro Monat in CHF (ohne Entlastung junge Erwachsene)</v>
      </c>
      <c r="E5859" s="1390">
        <f>Risk_Compensation!$AJ25</f>
        <v>8</v>
      </c>
      <c r="F5859" s="1390" t="str">
        <f>Risk_Compensation!$U$17</f>
        <v>NW</v>
      </c>
      <c r="G5859" s="1390"/>
      <c r="H5859" s="1077">
        <f>Risk_Compensation!$AX25</f>
        <v>-247.18097386134301</v>
      </c>
    </row>
    <row r="5860" spans="1:8" x14ac:dyDescent="0.2">
      <c r="A5860" s="1027"/>
      <c r="B5860" s="1083">
        <f>Risk_Compensation!A$1</f>
        <v>36</v>
      </c>
      <c r="C5860" s="1390" t="str">
        <f>Risk_Compensation!$B$1</f>
        <v xml:space="preserve">Risikoausgleich </v>
      </c>
      <c r="D5860" s="1743" t="str">
        <f>Risk_Compensation!$AJ$14</f>
        <v>geschätzte Risikoausgleichssätze, pro Monat in CHF (ohne Entlastung junge Erwachsene)</v>
      </c>
      <c r="E5860" s="1390">
        <f>Risk_Compensation!$AJ26</f>
        <v>9</v>
      </c>
      <c r="F5860" s="1390" t="str">
        <f>Risk_Compensation!$U$17</f>
        <v>NW</v>
      </c>
      <c r="G5860" s="1390"/>
      <c r="H5860" s="1077">
        <f>Risk_Compensation!$AX26</f>
        <v>92.931615948228298</v>
      </c>
    </row>
    <row r="5861" spans="1:8" x14ac:dyDescent="0.2">
      <c r="A5861" s="1027"/>
      <c r="B5861" s="1083">
        <f>Risk_Compensation!A$1</f>
        <v>36</v>
      </c>
      <c r="C5861" s="1390" t="str">
        <f>Risk_Compensation!$B$1</f>
        <v xml:space="preserve">Risikoausgleich </v>
      </c>
      <c r="D5861" s="1743" t="str">
        <f>Risk_Compensation!$AJ$14</f>
        <v>geschätzte Risikoausgleichssätze, pro Monat in CHF (ohne Entlastung junge Erwachsene)</v>
      </c>
      <c r="E5861" s="1390">
        <f>Risk_Compensation!$AJ27</f>
        <v>10</v>
      </c>
      <c r="F5861" s="1390" t="str">
        <f>Risk_Compensation!$U$17</f>
        <v>NW</v>
      </c>
      <c r="G5861" s="1390"/>
      <c r="H5861" s="1077">
        <f>Risk_Compensation!$AX27</f>
        <v>-248.022117883552</v>
      </c>
    </row>
    <row r="5862" spans="1:8" x14ac:dyDescent="0.2">
      <c r="A5862" s="1027"/>
      <c r="B5862" s="1083">
        <f>Risk_Compensation!A$1</f>
        <v>36</v>
      </c>
      <c r="C5862" s="1390" t="str">
        <f>Risk_Compensation!$B$1</f>
        <v xml:space="preserve">Risikoausgleich </v>
      </c>
      <c r="D5862" s="1743" t="str">
        <f>Risk_Compensation!$AJ$14</f>
        <v>geschätzte Risikoausgleichssätze, pro Monat in CHF (ohne Entlastung junge Erwachsene)</v>
      </c>
      <c r="E5862" s="1390">
        <f>Risk_Compensation!$AJ28</f>
        <v>11</v>
      </c>
      <c r="F5862" s="1390" t="str">
        <f>Risk_Compensation!$U$17</f>
        <v>NW</v>
      </c>
      <c r="G5862" s="1390"/>
      <c r="H5862" s="1077">
        <f>Risk_Compensation!$AX28</f>
        <v>195.877094349472</v>
      </c>
    </row>
    <row r="5863" spans="1:8" x14ac:dyDescent="0.2">
      <c r="A5863" s="1027"/>
      <c r="B5863" s="1083">
        <f>Risk_Compensation!A$1</f>
        <v>36</v>
      </c>
      <c r="C5863" s="1390" t="str">
        <f>Risk_Compensation!$B$1</f>
        <v xml:space="preserve">Risikoausgleich </v>
      </c>
      <c r="D5863" s="1743" t="str">
        <f>Risk_Compensation!$AJ$14</f>
        <v>geschätzte Risikoausgleichssätze, pro Monat in CHF (ohne Entlastung junge Erwachsene)</v>
      </c>
      <c r="E5863" s="1390">
        <f>Risk_Compensation!$AJ29</f>
        <v>12</v>
      </c>
      <c r="F5863" s="1390" t="str">
        <f>Risk_Compensation!$U$17</f>
        <v>NW</v>
      </c>
      <c r="G5863" s="1390"/>
      <c r="H5863" s="1077">
        <f>Risk_Compensation!$AX29</f>
        <v>-247.63794096997901</v>
      </c>
    </row>
    <row r="5864" spans="1:8" x14ac:dyDescent="0.2">
      <c r="A5864" s="1027"/>
      <c r="B5864" s="1083">
        <f>Risk_Compensation!A$1</f>
        <v>36</v>
      </c>
      <c r="C5864" s="1390" t="str">
        <f>Risk_Compensation!$B$1</f>
        <v xml:space="preserve">Risikoausgleich </v>
      </c>
      <c r="D5864" s="1743" t="str">
        <f>Risk_Compensation!$AJ$14</f>
        <v>geschätzte Risikoausgleichssätze, pro Monat in CHF (ohne Entlastung junge Erwachsene)</v>
      </c>
      <c r="E5864" s="1390">
        <f>Risk_Compensation!$AJ30</f>
        <v>13</v>
      </c>
      <c r="F5864" s="1390" t="str">
        <f>Risk_Compensation!$U$17</f>
        <v>NW</v>
      </c>
      <c r="G5864" s="1390"/>
      <c r="H5864" s="1077">
        <f>Risk_Compensation!$AX30</f>
        <v>85.788904026393197</v>
      </c>
    </row>
    <row r="5865" spans="1:8" x14ac:dyDescent="0.2">
      <c r="A5865" s="1027"/>
      <c r="B5865" s="1083">
        <f>Risk_Compensation!A$1</f>
        <v>36</v>
      </c>
      <c r="C5865" s="1390" t="str">
        <f>Risk_Compensation!$B$1</f>
        <v xml:space="preserve">Risikoausgleich </v>
      </c>
      <c r="D5865" s="1743" t="str">
        <f>Risk_Compensation!$AJ$14</f>
        <v>geschätzte Risikoausgleichssätze, pro Monat in CHF (ohne Entlastung junge Erwachsene)</v>
      </c>
      <c r="E5865" s="1390">
        <f>Risk_Compensation!$AJ31</f>
        <v>14</v>
      </c>
      <c r="F5865" s="1390" t="str">
        <f>Risk_Compensation!$U$17</f>
        <v>NW</v>
      </c>
      <c r="G5865" s="1390"/>
      <c r="H5865" s="1077">
        <f>Risk_Compensation!$AX31</f>
        <v>-207.43901131509901</v>
      </c>
    </row>
    <row r="5866" spans="1:8" x14ac:dyDescent="0.2">
      <c r="A5866" s="1027"/>
      <c r="B5866" s="1083">
        <f>Risk_Compensation!A$1</f>
        <v>36</v>
      </c>
      <c r="C5866" s="1390" t="str">
        <f>Risk_Compensation!$B$1</f>
        <v xml:space="preserve">Risikoausgleich </v>
      </c>
      <c r="D5866" s="1743" t="str">
        <f>Risk_Compensation!$AJ$14</f>
        <v>geschätzte Risikoausgleichssätze, pro Monat in CHF (ohne Entlastung junge Erwachsene)</v>
      </c>
      <c r="E5866" s="1390">
        <f>Risk_Compensation!$AJ32</f>
        <v>15</v>
      </c>
      <c r="F5866" s="1390" t="str">
        <f>Risk_Compensation!$U$17</f>
        <v>NW</v>
      </c>
      <c r="G5866" s="1390"/>
      <c r="H5866" s="1077">
        <f>Risk_Compensation!$AX32</f>
        <v>199.832517368943</v>
      </c>
    </row>
    <row r="5867" spans="1:8" x14ac:dyDescent="0.2">
      <c r="A5867" s="1027"/>
      <c r="B5867" s="1083">
        <f>Risk_Compensation!A$1</f>
        <v>36</v>
      </c>
      <c r="C5867" s="1390" t="str">
        <f>Risk_Compensation!$B$1</f>
        <v xml:space="preserve">Risikoausgleich </v>
      </c>
      <c r="D5867" s="1743" t="str">
        <f>Risk_Compensation!$AJ$14</f>
        <v>geschätzte Risikoausgleichssätze, pro Monat in CHF (ohne Entlastung junge Erwachsene)</v>
      </c>
      <c r="E5867" s="1390">
        <f>Risk_Compensation!$AJ33</f>
        <v>16</v>
      </c>
      <c r="F5867" s="1390" t="str">
        <f>Risk_Compensation!$U$17</f>
        <v>NW</v>
      </c>
      <c r="G5867" s="1390"/>
      <c r="H5867" s="1077">
        <f>Risk_Compensation!$AX33</f>
        <v>-192.962669240293</v>
      </c>
    </row>
    <row r="5868" spans="1:8" x14ac:dyDescent="0.2">
      <c r="A5868" s="1027"/>
      <c r="B5868" s="1083">
        <f>Risk_Compensation!A$1</f>
        <v>36</v>
      </c>
      <c r="C5868" s="1390" t="str">
        <f>Risk_Compensation!$B$1</f>
        <v xml:space="preserve">Risikoausgleich </v>
      </c>
      <c r="D5868" s="1743" t="str">
        <f>Risk_Compensation!$AJ$14</f>
        <v>geschätzte Risikoausgleichssätze, pro Monat in CHF (ohne Entlastung junge Erwachsene)</v>
      </c>
      <c r="E5868" s="1390">
        <f>Risk_Compensation!$AJ34</f>
        <v>17</v>
      </c>
      <c r="F5868" s="1390" t="str">
        <f>Risk_Compensation!$U$17</f>
        <v>NW</v>
      </c>
      <c r="G5868" s="1390"/>
      <c r="H5868" s="1077">
        <f>Risk_Compensation!$AX34</f>
        <v>704.72378546915797</v>
      </c>
    </row>
    <row r="5869" spans="1:8" x14ac:dyDescent="0.2">
      <c r="A5869" s="1027"/>
      <c r="B5869" s="1083">
        <f>Risk_Compensation!A$1</f>
        <v>36</v>
      </c>
      <c r="C5869" s="1390" t="str">
        <f>Risk_Compensation!$B$1</f>
        <v xml:space="preserve">Risikoausgleich </v>
      </c>
      <c r="D5869" s="1743" t="str">
        <f>Risk_Compensation!$AJ$14</f>
        <v>geschätzte Risikoausgleichssätze, pro Monat in CHF (ohne Entlastung junge Erwachsene)</v>
      </c>
      <c r="E5869" s="1390">
        <f>Risk_Compensation!$AJ35</f>
        <v>18</v>
      </c>
      <c r="F5869" s="1390" t="str">
        <f>Risk_Compensation!$U$17</f>
        <v>NW</v>
      </c>
      <c r="G5869" s="1390"/>
      <c r="H5869" s="1077">
        <f>Risk_Compensation!$AX35</f>
        <v>-169.332770824166</v>
      </c>
    </row>
    <row r="5870" spans="1:8" x14ac:dyDescent="0.2">
      <c r="A5870" s="1027"/>
      <c r="B5870" s="1083">
        <f>Risk_Compensation!A$1</f>
        <v>36</v>
      </c>
      <c r="C5870" s="1390" t="str">
        <f>Risk_Compensation!$B$1</f>
        <v xml:space="preserve">Risikoausgleich </v>
      </c>
      <c r="D5870" s="1743" t="str">
        <f>Risk_Compensation!$AJ$14</f>
        <v>geschätzte Risikoausgleichssätze, pro Monat in CHF (ohne Entlastung junge Erwachsene)</v>
      </c>
      <c r="E5870" s="1390">
        <f>Risk_Compensation!$AJ36</f>
        <v>19</v>
      </c>
      <c r="F5870" s="1390" t="str">
        <f>Risk_Compensation!$U$17</f>
        <v>NW</v>
      </c>
      <c r="G5870" s="1390"/>
      <c r="H5870" s="1077">
        <f>Risk_Compensation!$AX36</f>
        <v>628.04857666062901</v>
      </c>
    </row>
    <row r="5871" spans="1:8" x14ac:dyDescent="0.2">
      <c r="A5871" s="1027"/>
      <c r="B5871" s="1083">
        <f>Risk_Compensation!A$1</f>
        <v>36</v>
      </c>
      <c r="C5871" s="1390" t="str">
        <f>Risk_Compensation!$B$1</f>
        <v xml:space="preserve">Risikoausgleich </v>
      </c>
      <c r="D5871" s="1743" t="str">
        <f>Risk_Compensation!$AJ$14</f>
        <v>geschätzte Risikoausgleichssätze, pro Monat in CHF (ohne Entlastung junge Erwachsene)</v>
      </c>
      <c r="E5871" s="1390">
        <f>Risk_Compensation!$AJ37</f>
        <v>20</v>
      </c>
      <c r="F5871" s="1390" t="str">
        <f>Risk_Compensation!$U$17</f>
        <v>NW</v>
      </c>
      <c r="G5871" s="1390"/>
      <c r="H5871" s="1077">
        <f>Risk_Compensation!$AX37</f>
        <v>-46.687909385597301</v>
      </c>
    </row>
    <row r="5872" spans="1:8" x14ac:dyDescent="0.2">
      <c r="A5872" s="1027"/>
      <c r="B5872" s="1083">
        <f>Risk_Compensation!A$1</f>
        <v>36</v>
      </c>
      <c r="C5872" s="1390" t="str">
        <f>Risk_Compensation!$B$1</f>
        <v xml:space="preserve">Risikoausgleich </v>
      </c>
      <c r="D5872" s="1743" t="str">
        <f>Risk_Compensation!$AJ$14</f>
        <v>geschätzte Risikoausgleichssätze, pro Monat in CHF (ohne Entlastung junge Erwachsene)</v>
      </c>
      <c r="E5872" s="1390">
        <f>Risk_Compensation!$AJ38</f>
        <v>21</v>
      </c>
      <c r="F5872" s="1390" t="str">
        <f>Risk_Compensation!$U$17</f>
        <v>NW</v>
      </c>
      <c r="G5872" s="1390"/>
      <c r="H5872" s="1077">
        <f>Risk_Compensation!$AX38</f>
        <v>635.14597395242401</v>
      </c>
    </row>
    <row r="5873" spans="1:8" x14ac:dyDescent="0.2">
      <c r="A5873" s="1027"/>
      <c r="B5873" s="1083">
        <f>Risk_Compensation!A$1</f>
        <v>36</v>
      </c>
      <c r="C5873" s="1390" t="str">
        <f>Risk_Compensation!$B$1</f>
        <v xml:space="preserve">Risikoausgleich </v>
      </c>
      <c r="D5873" s="1743" t="str">
        <f>Risk_Compensation!$AJ$14</f>
        <v>geschätzte Risikoausgleichssätze, pro Monat in CHF (ohne Entlastung junge Erwachsene)</v>
      </c>
      <c r="E5873" s="1390">
        <f>Risk_Compensation!$AJ39</f>
        <v>22</v>
      </c>
      <c r="F5873" s="1390" t="str">
        <f>Risk_Compensation!$U$17</f>
        <v>NW</v>
      </c>
      <c r="G5873" s="1390"/>
      <c r="H5873" s="1077">
        <f>Risk_Compensation!$AX39</f>
        <v>14.887623178373101</v>
      </c>
    </row>
    <row r="5874" spans="1:8" x14ac:dyDescent="0.2">
      <c r="A5874" s="1027"/>
      <c r="B5874" s="1083">
        <f>Risk_Compensation!A$1</f>
        <v>36</v>
      </c>
      <c r="C5874" s="1390" t="str">
        <f>Risk_Compensation!$B$1</f>
        <v xml:space="preserve">Risikoausgleich </v>
      </c>
      <c r="D5874" s="1743" t="str">
        <f>Risk_Compensation!$AJ$14</f>
        <v>geschätzte Risikoausgleichssätze, pro Monat in CHF (ohne Entlastung junge Erwachsene)</v>
      </c>
      <c r="E5874" s="1390">
        <f>Risk_Compensation!$AJ40</f>
        <v>23</v>
      </c>
      <c r="F5874" s="1390" t="str">
        <f>Risk_Compensation!$U$17</f>
        <v>NW</v>
      </c>
      <c r="G5874" s="1390"/>
      <c r="H5874" s="1077">
        <f>Risk_Compensation!$AX40</f>
        <v>713.90975742505896</v>
      </c>
    </row>
    <row r="5875" spans="1:8" x14ac:dyDescent="0.2">
      <c r="A5875" s="1027"/>
      <c r="B5875" s="1083">
        <f>Risk_Compensation!A$1</f>
        <v>36</v>
      </c>
      <c r="C5875" s="1390" t="str">
        <f>Risk_Compensation!$B$1</f>
        <v xml:space="preserve">Risikoausgleich </v>
      </c>
      <c r="D5875" s="1743" t="str">
        <f>Risk_Compensation!$AJ$14</f>
        <v>geschätzte Risikoausgleichssätze, pro Monat in CHF (ohne Entlastung junge Erwachsene)</v>
      </c>
      <c r="E5875" s="1390">
        <f>Risk_Compensation!$AJ41</f>
        <v>24</v>
      </c>
      <c r="F5875" s="1390" t="str">
        <f>Risk_Compensation!$U$17</f>
        <v>NW</v>
      </c>
      <c r="G5875" s="1390"/>
      <c r="H5875" s="1077">
        <f>Risk_Compensation!$AX41</f>
        <v>10.0348775045703</v>
      </c>
    </row>
    <row r="5876" spans="1:8" x14ac:dyDescent="0.2">
      <c r="A5876" s="1027"/>
      <c r="B5876" s="1083">
        <f>Risk_Compensation!A$1</f>
        <v>36</v>
      </c>
      <c r="C5876" s="1390" t="str">
        <f>Risk_Compensation!$B$1</f>
        <v xml:space="preserve">Risikoausgleich </v>
      </c>
      <c r="D5876" s="1743" t="str">
        <f>Risk_Compensation!$AJ$14</f>
        <v>geschätzte Risikoausgleichssätze, pro Monat in CHF (ohne Entlastung junge Erwachsene)</v>
      </c>
      <c r="E5876" s="1390">
        <f>Risk_Compensation!$AJ42</f>
        <v>25</v>
      </c>
      <c r="F5876" s="1390" t="str">
        <f>Risk_Compensation!$U$17</f>
        <v>NW</v>
      </c>
      <c r="G5876" s="1390"/>
      <c r="H5876" s="1077">
        <f>Risk_Compensation!$AX42</f>
        <v>829.07666061071996</v>
      </c>
    </row>
    <row r="5877" spans="1:8" x14ac:dyDescent="0.2">
      <c r="A5877" s="1027"/>
      <c r="B5877" s="1083">
        <f>Risk_Compensation!A$1</f>
        <v>36</v>
      </c>
      <c r="C5877" s="1390" t="str">
        <f>Risk_Compensation!$B$1</f>
        <v xml:space="preserve">Risikoausgleich </v>
      </c>
      <c r="D5877" s="1743" t="str">
        <f>Risk_Compensation!$AJ$14</f>
        <v>geschätzte Risikoausgleichssätze, pro Monat in CHF (ohne Entlastung junge Erwachsene)</v>
      </c>
      <c r="E5877" s="1390">
        <f>Risk_Compensation!$AJ43</f>
        <v>26</v>
      </c>
      <c r="F5877" s="1390" t="str">
        <f>Risk_Compensation!$U$17</f>
        <v>NW</v>
      </c>
      <c r="G5877" s="1390"/>
      <c r="H5877" s="1077">
        <f>Risk_Compensation!$AX43</f>
        <v>107.680921887851</v>
      </c>
    </row>
    <row r="5878" spans="1:8" x14ac:dyDescent="0.2">
      <c r="A5878" s="1027"/>
      <c r="B5878" s="1083">
        <f>Risk_Compensation!A$1</f>
        <v>36</v>
      </c>
      <c r="C5878" s="1390" t="str">
        <f>Risk_Compensation!$B$1</f>
        <v xml:space="preserve">Risikoausgleich </v>
      </c>
      <c r="D5878" s="1743" t="str">
        <f>Risk_Compensation!$AJ$14</f>
        <v>geschätzte Risikoausgleichssätze, pro Monat in CHF (ohne Entlastung junge Erwachsene)</v>
      </c>
      <c r="E5878" s="1390">
        <f>Risk_Compensation!$AJ44</f>
        <v>27</v>
      </c>
      <c r="F5878" s="1390" t="str">
        <f>Risk_Compensation!$U$17</f>
        <v>NW</v>
      </c>
      <c r="G5878" s="1390"/>
      <c r="H5878" s="1077">
        <f>Risk_Compensation!$AX44</f>
        <v>832.36948473637699</v>
      </c>
    </row>
    <row r="5879" spans="1:8" x14ac:dyDescent="0.2">
      <c r="A5879" s="1027"/>
      <c r="B5879" s="1083">
        <f>Risk_Compensation!A$1</f>
        <v>36</v>
      </c>
      <c r="C5879" s="1390" t="str">
        <f>Risk_Compensation!$B$1</f>
        <v xml:space="preserve">Risikoausgleich </v>
      </c>
      <c r="D5879" s="1743" t="str">
        <f>Risk_Compensation!$AJ$14</f>
        <v>geschätzte Risikoausgleichssätze, pro Monat in CHF (ohne Entlastung junge Erwachsene)</v>
      </c>
      <c r="E5879" s="1390">
        <f>Risk_Compensation!$AJ45</f>
        <v>28</v>
      </c>
      <c r="F5879" s="1390" t="str">
        <f>Risk_Compensation!$U$17</f>
        <v>NW</v>
      </c>
      <c r="G5879" s="1390"/>
      <c r="H5879" s="1077">
        <f>Risk_Compensation!$AX45</f>
        <v>105.80814782108</v>
      </c>
    </row>
    <row r="5880" spans="1:8" x14ac:dyDescent="0.2">
      <c r="A5880" s="1027"/>
      <c r="B5880" s="1083">
        <f>Risk_Compensation!A$1</f>
        <v>36</v>
      </c>
      <c r="C5880" s="1390" t="str">
        <f>Risk_Compensation!$B$1</f>
        <v xml:space="preserve">Risikoausgleich </v>
      </c>
      <c r="D5880" s="1743" t="str">
        <f>Risk_Compensation!$AJ$14</f>
        <v>geschätzte Risikoausgleichssätze, pro Monat in CHF (ohne Entlastung junge Erwachsene)</v>
      </c>
      <c r="E5880" s="1390">
        <f>Risk_Compensation!$AJ46</f>
        <v>29</v>
      </c>
      <c r="F5880" s="1390" t="str">
        <f>Risk_Compensation!$U$17</f>
        <v>NW</v>
      </c>
      <c r="G5880" s="1390"/>
      <c r="H5880" s="1077">
        <f>Risk_Compensation!$AX46</f>
        <v>985.748881210484</v>
      </c>
    </row>
    <row r="5881" spans="1:8" x14ac:dyDescent="0.2">
      <c r="A5881" s="1027"/>
      <c r="B5881" s="1083">
        <f>Risk_Compensation!A$1</f>
        <v>36</v>
      </c>
      <c r="C5881" s="1390" t="str">
        <f>Risk_Compensation!$B$1</f>
        <v xml:space="preserve">Risikoausgleich </v>
      </c>
      <c r="D5881" s="1743" t="str">
        <f>Risk_Compensation!$AJ$14</f>
        <v>geschätzte Risikoausgleichssätze, pro Monat in CHF (ohne Entlastung junge Erwachsene)</v>
      </c>
      <c r="E5881" s="1390">
        <f>Risk_Compensation!$AJ47</f>
        <v>30</v>
      </c>
      <c r="F5881" s="1390" t="str">
        <f>Risk_Compensation!$U$17</f>
        <v>NW</v>
      </c>
      <c r="G5881" s="1390"/>
      <c r="H5881" s="1077">
        <f>Risk_Compensation!$AX47</f>
        <v>419.90717754524297</v>
      </c>
    </row>
    <row r="5882" spans="1:8" x14ac:dyDescent="0.2">
      <c r="A5882" s="1027"/>
      <c r="B5882" s="1083">
        <f>Risk_Compensation!A$1</f>
        <v>36</v>
      </c>
      <c r="C5882" s="1390" t="str">
        <f>Risk_Compensation!$B$1</f>
        <v xml:space="preserve">Risikoausgleich </v>
      </c>
      <c r="D5882" s="1743" t="str">
        <f>Risk_Compensation!$AJ$14</f>
        <v>geschätzte Risikoausgleichssätze, pro Monat in CHF (ohne Entlastung junge Erwachsene)</v>
      </c>
      <c r="E5882" s="1390">
        <f>Risk_Compensation!$AJ48</f>
        <v>31</v>
      </c>
      <c r="F5882" s="1390" t="str">
        <f>Risk_Compensation!$U$17</f>
        <v>NW</v>
      </c>
      <c r="G5882" s="1390"/>
      <c r="H5882" s="1077">
        <f>Risk_Compensation!$AX48</f>
        <v>500.84732508529299</v>
      </c>
    </row>
    <row r="5883" spans="1:8" x14ac:dyDescent="0.2">
      <c r="A5883" s="1027"/>
      <c r="B5883" s="1083">
        <f>Risk_Compensation!A$1</f>
        <v>36</v>
      </c>
      <c r="C5883" s="1390" t="str">
        <f>Risk_Compensation!$B$1</f>
        <v xml:space="preserve">Risikoausgleich </v>
      </c>
      <c r="D5883" s="1743" t="str">
        <f>Risk_Compensation!$AJ$14</f>
        <v>geschätzte Risikoausgleichssätze, pro Monat in CHF (ohne Entlastung junge Erwachsene)</v>
      </c>
      <c r="E5883" s="1390">
        <f>Risk_Compensation!$AJ49</f>
        <v>32</v>
      </c>
      <c r="F5883" s="1390" t="str">
        <f>Risk_Compensation!$U$17</f>
        <v>NW</v>
      </c>
      <c r="G5883" s="1390"/>
      <c r="H5883" s="1077">
        <f>Risk_Compensation!$AX49</f>
        <v>-216.10356108205599</v>
      </c>
    </row>
    <row r="5884" spans="1:8" x14ac:dyDescent="0.2">
      <c r="A5884" s="1027"/>
      <c r="B5884" s="1083">
        <f>Risk_Compensation!A$1</f>
        <v>36</v>
      </c>
      <c r="C5884" s="1390" t="str">
        <f>Risk_Compensation!$B$1</f>
        <v xml:space="preserve">Risikoausgleich </v>
      </c>
      <c r="D5884" s="1743" t="str">
        <f>Risk_Compensation!$AJ$14</f>
        <v>geschätzte Risikoausgleichssätze, pro Monat in CHF (ohne Entlastung junge Erwachsene)</v>
      </c>
      <c r="E5884" s="1390">
        <f>Risk_Compensation!$AJ50</f>
        <v>33</v>
      </c>
      <c r="F5884" s="1390" t="str">
        <f>Risk_Compensation!$U$17</f>
        <v>NW</v>
      </c>
      <c r="G5884" s="1390"/>
      <c r="H5884" s="1077">
        <f>Risk_Compensation!$AX50</f>
        <v>91.990442610044596</v>
      </c>
    </row>
    <row r="5885" spans="1:8" x14ac:dyDescent="0.2">
      <c r="A5885" s="1027"/>
      <c r="B5885" s="1083">
        <f>Risk_Compensation!A$1</f>
        <v>36</v>
      </c>
      <c r="C5885" s="1390" t="str">
        <f>Risk_Compensation!$B$1</f>
        <v xml:space="preserve">Risikoausgleich </v>
      </c>
      <c r="D5885" s="1743" t="str">
        <f>Risk_Compensation!$AJ$14</f>
        <v>geschätzte Risikoausgleichssätze, pro Monat in CHF (ohne Entlastung junge Erwachsene)</v>
      </c>
      <c r="E5885" s="1390">
        <f>Risk_Compensation!$AJ51</f>
        <v>34</v>
      </c>
      <c r="F5885" s="1390" t="str">
        <f>Risk_Compensation!$U$17</f>
        <v>NW</v>
      </c>
      <c r="G5885" s="1390"/>
      <c r="H5885" s="1077">
        <f>Risk_Compensation!$AX51</f>
        <v>-185.25549608085601</v>
      </c>
    </row>
    <row r="5886" spans="1:8" x14ac:dyDescent="0.2">
      <c r="A5886" s="1027"/>
      <c r="B5886" s="1083">
        <f>Risk_Compensation!A$1</f>
        <v>36</v>
      </c>
      <c r="C5886" s="1390" t="str">
        <f>Risk_Compensation!$B$1</f>
        <v xml:space="preserve">Risikoausgleich </v>
      </c>
      <c r="D5886" s="1743" t="str">
        <f>Risk_Compensation!$AJ$14</f>
        <v>geschätzte Risikoausgleichssätze, pro Monat in CHF (ohne Entlastung junge Erwachsene)</v>
      </c>
      <c r="E5886" s="1390">
        <f>Risk_Compensation!$AJ52</f>
        <v>35</v>
      </c>
      <c r="F5886" s="1390" t="str">
        <f>Risk_Compensation!$U$17</f>
        <v>NW</v>
      </c>
      <c r="G5886" s="1390"/>
      <c r="H5886" s="1077">
        <f>Risk_Compensation!$AX52</f>
        <v>7.2642621533041698</v>
      </c>
    </row>
    <row r="5887" spans="1:8" x14ac:dyDescent="0.2">
      <c r="A5887" s="1027"/>
      <c r="B5887" s="1083">
        <f>Risk_Compensation!A$1</f>
        <v>36</v>
      </c>
      <c r="C5887" s="1390" t="str">
        <f>Risk_Compensation!$B$1</f>
        <v xml:space="preserve">Risikoausgleich </v>
      </c>
      <c r="D5887" s="1743" t="str">
        <f>Risk_Compensation!$AJ$14</f>
        <v>geschätzte Risikoausgleichssätze, pro Monat in CHF (ohne Entlastung junge Erwachsene)</v>
      </c>
      <c r="E5887" s="1390">
        <f>Risk_Compensation!$AJ53</f>
        <v>36</v>
      </c>
      <c r="F5887" s="1390" t="str">
        <f>Risk_Compensation!$U$17</f>
        <v>NW</v>
      </c>
      <c r="G5887" s="1390"/>
      <c r="H5887" s="1077">
        <f>Risk_Compensation!$AX53</f>
        <v>-115.592661414696</v>
      </c>
    </row>
    <row r="5888" spans="1:8" x14ac:dyDescent="0.2">
      <c r="A5888" s="1027"/>
      <c r="B5888" s="1083">
        <f>Risk_Compensation!A$1</f>
        <v>36</v>
      </c>
      <c r="C5888" s="1390" t="str">
        <f>Risk_Compensation!$B$1</f>
        <v xml:space="preserve">Risikoausgleich </v>
      </c>
      <c r="D5888" s="1743" t="str">
        <f>Risk_Compensation!$AJ$14</f>
        <v>geschätzte Risikoausgleichssätze, pro Monat in CHF (ohne Entlastung junge Erwachsene)</v>
      </c>
      <c r="E5888" s="1390">
        <f>Risk_Compensation!$AJ54</f>
        <v>37</v>
      </c>
      <c r="F5888" s="1390" t="str">
        <f>Risk_Compensation!$U$17</f>
        <v>NW</v>
      </c>
      <c r="G5888" s="1390"/>
      <c r="H5888" s="1077">
        <f>Risk_Compensation!$AX54</f>
        <v>79.914593165263796</v>
      </c>
    </row>
    <row r="5889" spans="1:8" x14ac:dyDescent="0.2">
      <c r="A5889" s="1027"/>
      <c r="B5889" s="1083">
        <f>Risk_Compensation!A$1</f>
        <v>36</v>
      </c>
      <c r="C5889" s="1390" t="str">
        <f>Risk_Compensation!$B$1</f>
        <v xml:space="preserve">Risikoausgleich </v>
      </c>
      <c r="D5889" s="1743" t="str">
        <f>Risk_Compensation!$AJ$14</f>
        <v>geschätzte Risikoausgleichssätze, pro Monat in CHF (ohne Entlastung junge Erwachsene)</v>
      </c>
      <c r="E5889" s="1390">
        <f>Risk_Compensation!$AJ55</f>
        <v>38</v>
      </c>
      <c r="F5889" s="1390" t="str">
        <f>Risk_Compensation!$U$17</f>
        <v>NW</v>
      </c>
      <c r="G5889" s="1390"/>
      <c r="H5889" s="1077">
        <f>Risk_Compensation!$AX55</f>
        <v>-165.66233402407201</v>
      </c>
    </row>
    <row r="5890" spans="1:8" x14ac:dyDescent="0.2">
      <c r="A5890" s="1027"/>
      <c r="B5890" s="1083">
        <f>Risk_Compensation!A$1</f>
        <v>36</v>
      </c>
      <c r="C5890" s="1390" t="str">
        <f>Risk_Compensation!$B$1</f>
        <v xml:space="preserve">Risikoausgleich </v>
      </c>
      <c r="D5890" s="1743" t="str">
        <f>Risk_Compensation!$AJ$14</f>
        <v>geschätzte Risikoausgleichssätze, pro Monat in CHF (ohne Entlastung junge Erwachsene)</v>
      </c>
      <c r="E5890" s="1390">
        <f>Risk_Compensation!$AJ56</f>
        <v>39</v>
      </c>
      <c r="F5890" s="1390" t="str">
        <f>Risk_Compensation!$U$17</f>
        <v>NW</v>
      </c>
      <c r="G5890" s="1390"/>
      <c r="H5890" s="1077">
        <f>Risk_Compensation!$AX56</f>
        <v>128.63913785572399</v>
      </c>
    </row>
    <row r="5891" spans="1:8" x14ac:dyDescent="0.2">
      <c r="A5891" s="1027"/>
      <c r="B5891" s="1083">
        <f>Risk_Compensation!A$1</f>
        <v>36</v>
      </c>
      <c r="C5891" s="1390" t="str">
        <f>Risk_Compensation!$B$1</f>
        <v xml:space="preserve">Risikoausgleich </v>
      </c>
      <c r="D5891" s="1743" t="str">
        <f>Risk_Compensation!$AJ$14</f>
        <v>geschätzte Risikoausgleichssätze, pro Monat in CHF (ohne Entlastung junge Erwachsene)</v>
      </c>
      <c r="E5891" s="1390">
        <f>Risk_Compensation!$AJ57</f>
        <v>40</v>
      </c>
      <c r="F5891" s="1390" t="str">
        <f>Risk_Compensation!$U$17</f>
        <v>NW</v>
      </c>
      <c r="G5891" s="1390"/>
      <c r="H5891" s="1077">
        <f>Risk_Compensation!$AX57</f>
        <v>-212.79571425553101</v>
      </c>
    </row>
    <row r="5892" spans="1:8" x14ac:dyDescent="0.2">
      <c r="A5892" s="1027"/>
      <c r="B5892" s="1083">
        <f>Risk_Compensation!A$1</f>
        <v>36</v>
      </c>
      <c r="C5892" s="1390" t="str">
        <f>Risk_Compensation!$B$1</f>
        <v xml:space="preserve">Risikoausgleich </v>
      </c>
      <c r="D5892" s="1743" t="str">
        <f>Risk_Compensation!$AJ$14</f>
        <v>geschätzte Risikoausgleichssätze, pro Monat in CHF (ohne Entlastung junge Erwachsene)</v>
      </c>
      <c r="E5892" s="1390">
        <f>Risk_Compensation!$AJ58</f>
        <v>41</v>
      </c>
      <c r="F5892" s="1390" t="str">
        <f>Risk_Compensation!$U$17</f>
        <v>NW</v>
      </c>
      <c r="G5892" s="1390"/>
      <c r="H5892" s="1077">
        <f>Risk_Compensation!$AX58</f>
        <v>-89.366130244400296</v>
      </c>
    </row>
    <row r="5893" spans="1:8" x14ac:dyDescent="0.2">
      <c r="A5893" s="1027"/>
      <c r="B5893" s="1083">
        <f>Risk_Compensation!A$1</f>
        <v>36</v>
      </c>
      <c r="C5893" s="1390" t="str">
        <f>Risk_Compensation!$B$1</f>
        <v xml:space="preserve">Risikoausgleich </v>
      </c>
      <c r="D5893" s="1743" t="str">
        <f>Risk_Compensation!$AJ$14</f>
        <v>geschätzte Risikoausgleichssätze, pro Monat in CHF (ohne Entlastung junge Erwachsene)</v>
      </c>
      <c r="E5893" s="1390">
        <f>Risk_Compensation!$AJ59</f>
        <v>42</v>
      </c>
      <c r="F5893" s="1390" t="str">
        <f>Risk_Compensation!$U$17</f>
        <v>NW</v>
      </c>
      <c r="G5893" s="1390"/>
      <c r="H5893" s="1077">
        <f>Risk_Compensation!$AX59</f>
        <v>-215.19860551963501</v>
      </c>
    </row>
    <row r="5894" spans="1:8" x14ac:dyDescent="0.2">
      <c r="A5894" s="1027"/>
      <c r="B5894" s="1083">
        <f>Risk_Compensation!A$1</f>
        <v>36</v>
      </c>
      <c r="C5894" s="1390" t="str">
        <f>Risk_Compensation!$B$1</f>
        <v xml:space="preserve">Risikoausgleich </v>
      </c>
      <c r="D5894" s="1743" t="str">
        <f>Risk_Compensation!$AJ$14</f>
        <v>geschätzte Risikoausgleichssätze, pro Monat in CHF (ohne Entlastung junge Erwachsene)</v>
      </c>
      <c r="E5894" s="1390">
        <f>Risk_Compensation!$AJ60</f>
        <v>43</v>
      </c>
      <c r="F5894" s="1390" t="str">
        <f>Risk_Compensation!$U$17</f>
        <v>NW</v>
      </c>
      <c r="G5894" s="1390"/>
      <c r="H5894" s="1077">
        <f>Risk_Compensation!$AX60</f>
        <v>764.47617772915305</v>
      </c>
    </row>
    <row r="5895" spans="1:8" x14ac:dyDescent="0.2">
      <c r="A5895" s="1027"/>
      <c r="B5895" s="1083">
        <f>Risk_Compensation!A$1</f>
        <v>36</v>
      </c>
      <c r="C5895" s="1390" t="str">
        <f>Risk_Compensation!$B$1</f>
        <v xml:space="preserve">Risikoausgleich </v>
      </c>
      <c r="D5895" s="1743" t="str">
        <f>Risk_Compensation!$AJ$14</f>
        <v>geschätzte Risikoausgleichssätze, pro Monat in CHF (ohne Entlastung junge Erwachsene)</v>
      </c>
      <c r="E5895" s="1390">
        <f>Risk_Compensation!$AJ61</f>
        <v>44</v>
      </c>
      <c r="F5895" s="1390" t="str">
        <f>Risk_Compensation!$U$17</f>
        <v>NW</v>
      </c>
      <c r="G5895" s="1390"/>
      <c r="H5895" s="1077">
        <f>Risk_Compensation!$AX61</f>
        <v>-194.55551345806001</v>
      </c>
    </row>
    <row r="5896" spans="1:8" x14ac:dyDescent="0.2">
      <c r="A5896" s="1027"/>
      <c r="B5896" s="1083">
        <f>Risk_Compensation!A$1</f>
        <v>36</v>
      </c>
      <c r="C5896" s="1390" t="str">
        <f>Risk_Compensation!$B$1</f>
        <v xml:space="preserve">Risikoausgleich </v>
      </c>
      <c r="D5896" s="1743" t="str">
        <f>Risk_Compensation!$AJ$14</f>
        <v>geschätzte Risikoausgleichssätze, pro Monat in CHF (ohne Entlastung junge Erwachsene)</v>
      </c>
      <c r="E5896" s="1390">
        <f>Risk_Compensation!$AJ62</f>
        <v>45</v>
      </c>
      <c r="F5896" s="1390" t="str">
        <f>Risk_Compensation!$U$17</f>
        <v>NW</v>
      </c>
      <c r="G5896" s="1390"/>
      <c r="H5896" s="1077">
        <f>Risk_Compensation!$AX62</f>
        <v>514.43377787920599</v>
      </c>
    </row>
    <row r="5897" spans="1:8" x14ac:dyDescent="0.2">
      <c r="A5897" s="1027"/>
      <c r="B5897" s="1083">
        <f>Risk_Compensation!A$1</f>
        <v>36</v>
      </c>
      <c r="C5897" s="1390" t="str">
        <f>Risk_Compensation!$B$1</f>
        <v xml:space="preserve">Risikoausgleich </v>
      </c>
      <c r="D5897" s="1743" t="str">
        <f>Risk_Compensation!$AJ$14</f>
        <v>geschätzte Risikoausgleichssätze, pro Monat in CHF (ohne Entlastung junge Erwachsene)</v>
      </c>
      <c r="E5897" s="1390">
        <f>Risk_Compensation!$AJ63</f>
        <v>46</v>
      </c>
      <c r="F5897" s="1390" t="str">
        <f>Risk_Compensation!$U$17</f>
        <v>NW</v>
      </c>
      <c r="G5897" s="1390"/>
      <c r="H5897" s="1077">
        <f>Risk_Compensation!$AX63</f>
        <v>-165.78304330259999</v>
      </c>
    </row>
    <row r="5898" spans="1:8" x14ac:dyDescent="0.2">
      <c r="A5898" s="1027"/>
      <c r="B5898" s="1083">
        <f>Risk_Compensation!A$1</f>
        <v>36</v>
      </c>
      <c r="C5898" s="1390" t="str">
        <f>Risk_Compensation!$B$1</f>
        <v xml:space="preserve">Risikoausgleich </v>
      </c>
      <c r="D5898" s="1743" t="str">
        <f>Risk_Compensation!$AJ$14</f>
        <v>geschätzte Risikoausgleichssätze, pro Monat in CHF (ohne Entlastung junge Erwachsene)</v>
      </c>
      <c r="E5898" s="1390">
        <f>Risk_Compensation!$AJ64</f>
        <v>47</v>
      </c>
      <c r="F5898" s="1390" t="str">
        <f>Risk_Compensation!$U$17</f>
        <v>NW</v>
      </c>
      <c r="G5898" s="1390"/>
      <c r="H5898" s="1077">
        <f>Risk_Compensation!$AX64</f>
        <v>355.959114138232</v>
      </c>
    </row>
    <row r="5899" spans="1:8" x14ac:dyDescent="0.2">
      <c r="A5899" s="1027"/>
      <c r="B5899" s="1083">
        <f>Risk_Compensation!A$1</f>
        <v>36</v>
      </c>
      <c r="C5899" s="1390" t="str">
        <f>Risk_Compensation!$B$1</f>
        <v xml:space="preserve">Risikoausgleich </v>
      </c>
      <c r="D5899" s="1743" t="str">
        <f>Risk_Compensation!$AJ$14</f>
        <v>geschätzte Risikoausgleichssätze, pro Monat in CHF (ohne Entlastung junge Erwachsene)</v>
      </c>
      <c r="E5899" s="1390">
        <f>Risk_Compensation!$AJ65</f>
        <v>48</v>
      </c>
      <c r="F5899" s="1390" t="str">
        <f>Risk_Compensation!$U$17</f>
        <v>NW</v>
      </c>
      <c r="G5899" s="1390"/>
      <c r="H5899" s="1077">
        <f>Risk_Compensation!$AX65</f>
        <v>-165.85538700930499</v>
      </c>
    </row>
    <row r="5900" spans="1:8" x14ac:dyDescent="0.2">
      <c r="A5900" s="1027"/>
      <c r="B5900" s="1083">
        <f>Risk_Compensation!A$1</f>
        <v>36</v>
      </c>
      <c r="C5900" s="1390" t="str">
        <f>Risk_Compensation!$B$1</f>
        <v xml:space="preserve">Risikoausgleich </v>
      </c>
      <c r="D5900" s="1743" t="str">
        <f>Risk_Compensation!$AJ$14</f>
        <v>geschätzte Risikoausgleichssätze, pro Monat in CHF (ohne Entlastung junge Erwachsene)</v>
      </c>
      <c r="E5900" s="1390">
        <f>Risk_Compensation!$AJ66</f>
        <v>49</v>
      </c>
      <c r="F5900" s="1390" t="str">
        <f>Risk_Compensation!$U$17</f>
        <v>NW</v>
      </c>
      <c r="G5900" s="1390"/>
      <c r="H5900" s="1077">
        <f>Risk_Compensation!$AX66</f>
        <v>549.01274761367802</v>
      </c>
    </row>
    <row r="5901" spans="1:8" x14ac:dyDescent="0.2">
      <c r="A5901" s="1027"/>
      <c r="B5901" s="1083">
        <f>Risk_Compensation!A$1</f>
        <v>36</v>
      </c>
      <c r="C5901" s="1390" t="str">
        <f>Risk_Compensation!$B$1</f>
        <v xml:space="preserve">Risikoausgleich </v>
      </c>
      <c r="D5901" s="1743" t="str">
        <f>Risk_Compensation!$AJ$14</f>
        <v>geschätzte Risikoausgleichssätze, pro Monat in CHF (ohne Entlastung junge Erwachsene)</v>
      </c>
      <c r="E5901" s="1390">
        <f>Risk_Compensation!$AJ67</f>
        <v>50</v>
      </c>
      <c r="F5901" s="1390" t="str">
        <f>Risk_Compensation!$U$17</f>
        <v>NW</v>
      </c>
      <c r="G5901" s="1390"/>
      <c r="H5901" s="1077">
        <f>Risk_Compensation!$AX67</f>
        <v>-77.159159920015995</v>
      </c>
    </row>
    <row r="5902" spans="1:8" x14ac:dyDescent="0.2">
      <c r="A5902" s="1027"/>
      <c r="B5902" s="1083">
        <f>Risk_Compensation!A$1</f>
        <v>36</v>
      </c>
      <c r="C5902" s="1390" t="str">
        <f>Risk_Compensation!$B$1</f>
        <v xml:space="preserve">Risikoausgleich </v>
      </c>
      <c r="D5902" s="1743" t="str">
        <f>Risk_Compensation!$AJ$14</f>
        <v>geschätzte Risikoausgleichssätze, pro Monat in CHF (ohne Entlastung junge Erwachsene)</v>
      </c>
      <c r="E5902" s="1390">
        <f>Risk_Compensation!$AJ68</f>
        <v>51</v>
      </c>
      <c r="F5902" s="1390" t="str">
        <f>Risk_Compensation!$U$17</f>
        <v>NW</v>
      </c>
      <c r="G5902" s="1390"/>
      <c r="H5902" s="1077">
        <f>Risk_Compensation!$AX68</f>
        <v>407.110088576701</v>
      </c>
    </row>
    <row r="5903" spans="1:8" x14ac:dyDescent="0.2">
      <c r="A5903" s="1027"/>
      <c r="B5903" s="1083">
        <f>Risk_Compensation!A$1</f>
        <v>36</v>
      </c>
      <c r="C5903" s="1390" t="str">
        <f>Risk_Compensation!$B$1</f>
        <v xml:space="preserve">Risikoausgleich </v>
      </c>
      <c r="D5903" s="1743" t="str">
        <f>Risk_Compensation!$AJ$14</f>
        <v>geschätzte Risikoausgleichssätze, pro Monat in CHF (ohne Entlastung junge Erwachsene)</v>
      </c>
      <c r="E5903" s="1390">
        <f>Risk_Compensation!$AJ69</f>
        <v>52</v>
      </c>
      <c r="F5903" s="1390" t="str">
        <f>Risk_Compensation!$U$17</f>
        <v>NW</v>
      </c>
      <c r="G5903" s="1390"/>
      <c r="H5903" s="1077">
        <f>Risk_Compensation!$AX69</f>
        <v>-32.018084355730402</v>
      </c>
    </row>
    <row r="5904" spans="1:8" x14ac:dyDescent="0.2">
      <c r="A5904" s="1027"/>
      <c r="B5904" s="1083">
        <f>Risk_Compensation!A$1</f>
        <v>36</v>
      </c>
      <c r="C5904" s="1390" t="str">
        <f>Risk_Compensation!$B$1</f>
        <v xml:space="preserve">Risikoausgleich </v>
      </c>
      <c r="D5904" s="1743" t="str">
        <f>Risk_Compensation!$AJ$14</f>
        <v>geschätzte Risikoausgleichssätze, pro Monat in CHF (ohne Entlastung junge Erwachsene)</v>
      </c>
      <c r="E5904" s="1390">
        <f>Risk_Compensation!$AJ70</f>
        <v>53</v>
      </c>
      <c r="F5904" s="1390" t="str">
        <f>Risk_Compensation!$U$17</f>
        <v>NW</v>
      </c>
      <c r="G5904" s="1390"/>
      <c r="H5904" s="1077">
        <f>Risk_Compensation!$AX70</f>
        <v>890.91116288917306</v>
      </c>
    </row>
    <row r="5905" spans="1:8" x14ac:dyDescent="0.2">
      <c r="A5905" s="1027"/>
      <c r="B5905" s="1083">
        <f>Risk_Compensation!A$1</f>
        <v>36</v>
      </c>
      <c r="C5905" s="1390" t="str">
        <f>Risk_Compensation!$B$1</f>
        <v xml:space="preserve">Risikoausgleich </v>
      </c>
      <c r="D5905" s="1743" t="str">
        <f>Risk_Compensation!$AJ$14</f>
        <v>geschätzte Risikoausgleichssätze, pro Monat in CHF (ohne Entlastung junge Erwachsene)</v>
      </c>
      <c r="E5905" s="1390">
        <f>Risk_Compensation!$AJ71</f>
        <v>54</v>
      </c>
      <c r="F5905" s="1390" t="str">
        <f>Risk_Compensation!$U$17</f>
        <v>NW</v>
      </c>
      <c r="G5905" s="1390"/>
      <c r="H5905" s="1077">
        <f>Risk_Compensation!$AX71</f>
        <v>14.3046618607596</v>
      </c>
    </row>
    <row r="5906" spans="1:8" x14ac:dyDescent="0.2">
      <c r="A5906" s="1027"/>
      <c r="B5906" s="1083">
        <f>Risk_Compensation!A$1</f>
        <v>36</v>
      </c>
      <c r="C5906" s="1390" t="str">
        <f>Risk_Compensation!$B$1</f>
        <v xml:space="preserve">Risikoausgleich </v>
      </c>
      <c r="D5906" s="1743" t="str">
        <f>Risk_Compensation!$AJ$14</f>
        <v>geschätzte Risikoausgleichssätze, pro Monat in CHF (ohne Entlastung junge Erwachsene)</v>
      </c>
      <c r="E5906" s="1390">
        <f>Risk_Compensation!$AJ72</f>
        <v>55</v>
      </c>
      <c r="F5906" s="1390" t="str">
        <f>Risk_Compensation!$U$17</f>
        <v>NW</v>
      </c>
      <c r="G5906" s="1390"/>
      <c r="H5906" s="1077">
        <f>Risk_Compensation!$AX72</f>
        <v>894.26616235148697</v>
      </c>
    </row>
    <row r="5907" spans="1:8" x14ac:dyDescent="0.2">
      <c r="A5907" s="1027"/>
      <c r="B5907" s="1083">
        <f>Risk_Compensation!A$1</f>
        <v>36</v>
      </c>
      <c r="C5907" s="1390" t="str">
        <f>Risk_Compensation!$B$1</f>
        <v xml:space="preserve">Risikoausgleich </v>
      </c>
      <c r="D5907" s="1743" t="str">
        <f>Risk_Compensation!$AJ$14</f>
        <v>geschätzte Risikoausgleichssätze, pro Monat in CHF (ohne Entlastung junge Erwachsene)</v>
      </c>
      <c r="E5907" s="1390">
        <f>Risk_Compensation!$AJ73</f>
        <v>56</v>
      </c>
      <c r="F5907" s="1390" t="str">
        <f>Risk_Compensation!$U$17</f>
        <v>NW</v>
      </c>
      <c r="G5907" s="1390"/>
      <c r="H5907" s="1077">
        <f>Risk_Compensation!$AX73</f>
        <v>51.035241294508999</v>
      </c>
    </row>
    <row r="5908" spans="1:8" x14ac:dyDescent="0.2">
      <c r="A5908" s="1027"/>
      <c r="B5908" s="1083">
        <f>Risk_Compensation!A$1</f>
        <v>36</v>
      </c>
      <c r="C5908" s="1390" t="str">
        <f>Risk_Compensation!$B$1</f>
        <v xml:space="preserve">Risikoausgleich </v>
      </c>
      <c r="D5908" s="1743" t="str">
        <f>Risk_Compensation!$AJ$14</f>
        <v>geschätzte Risikoausgleichssätze, pro Monat in CHF (ohne Entlastung junge Erwachsene)</v>
      </c>
      <c r="E5908" s="1390">
        <f>Risk_Compensation!$AJ74</f>
        <v>57</v>
      </c>
      <c r="F5908" s="1390" t="str">
        <f>Risk_Compensation!$U$17</f>
        <v>NW</v>
      </c>
      <c r="G5908" s="1390"/>
      <c r="H5908" s="1077">
        <f>Risk_Compensation!$AX74</f>
        <v>1040.6328037471999</v>
      </c>
    </row>
    <row r="5909" spans="1:8" x14ac:dyDescent="0.2">
      <c r="A5909" s="1027"/>
      <c r="B5909" s="1083">
        <f>Risk_Compensation!A$1</f>
        <v>36</v>
      </c>
      <c r="C5909" s="1390" t="str">
        <f>Risk_Compensation!$B$1</f>
        <v xml:space="preserve">Risikoausgleich </v>
      </c>
      <c r="D5909" s="1743" t="str">
        <f>Risk_Compensation!$AJ$14</f>
        <v>geschätzte Risikoausgleichssätze, pro Monat in CHF (ohne Entlastung junge Erwachsene)</v>
      </c>
      <c r="E5909" s="1390">
        <f>Risk_Compensation!$AJ75</f>
        <v>58</v>
      </c>
      <c r="F5909" s="1390" t="str">
        <f>Risk_Compensation!$U$17</f>
        <v>NW</v>
      </c>
      <c r="G5909" s="1390"/>
      <c r="H5909" s="1077">
        <f>Risk_Compensation!$AX75</f>
        <v>210.817138368663</v>
      </c>
    </row>
    <row r="5910" spans="1:8" x14ac:dyDescent="0.2">
      <c r="A5910" s="1027"/>
      <c r="B5910" s="1083">
        <f>Risk_Compensation!A$1</f>
        <v>36</v>
      </c>
      <c r="C5910" s="1390" t="str">
        <f>Risk_Compensation!$B$1</f>
        <v xml:space="preserve">Risikoausgleich </v>
      </c>
      <c r="D5910" s="1743" t="str">
        <f>Risk_Compensation!$AJ$14</f>
        <v>geschätzte Risikoausgleichssätze, pro Monat in CHF (ohne Entlastung junge Erwachsene)</v>
      </c>
      <c r="E5910" s="1390">
        <f>Risk_Compensation!$AJ76</f>
        <v>59</v>
      </c>
      <c r="F5910" s="1390" t="str">
        <f>Risk_Compensation!$U$17</f>
        <v>NW</v>
      </c>
      <c r="G5910" s="1390"/>
      <c r="H5910" s="1077">
        <f>Risk_Compensation!$AX76</f>
        <v>1408.42714495363</v>
      </c>
    </row>
    <row r="5911" spans="1:8" x14ac:dyDescent="0.2">
      <c r="A5911" s="1027"/>
      <c r="B5911" s="1083">
        <f>Risk_Compensation!A$1</f>
        <v>36</v>
      </c>
      <c r="C5911" s="1390" t="str">
        <f>Risk_Compensation!$B$1</f>
        <v xml:space="preserve">Risikoausgleich </v>
      </c>
      <c r="D5911" s="1743" t="str">
        <f>Risk_Compensation!$AJ$14</f>
        <v>geschätzte Risikoausgleichssätze, pro Monat in CHF (ohne Entlastung junge Erwachsene)</v>
      </c>
      <c r="E5911" s="1390">
        <f>Risk_Compensation!$AJ77</f>
        <v>60</v>
      </c>
      <c r="F5911" s="1390" t="str">
        <f>Risk_Compensation!$U$17</f>
        <v>NW</v>
      </c>
      <c r="G5911" s="1390"/>
      <c r="H5911" s="1077">
        <f>Risk_Compensation!$AX77</f>
        <v>366.70527029767698</v>
      </c>
    </row>
    <row r="5912" spans="1:8" x14ac:dyDescent="0.2">
      <c r="A5912" s="1027"/>
      <c r="B5912" s="2174"/>
      <c r="C5912" s="1390"/>
      <c r="D5912" s="2175"/>
      <c r="E5912" s="2176"/>
      <c r="F5912" s="1390"/>
      <c r="G5912" s="1390"/>
      <c r="H5912" s="1078"/>
    </row>
    <row r="5913" spans="1:8" x14ac:dyDescent="0.2">
      <c r="A5913" s="1027"/>
      <c r="B5913" s="1083">
        <f>Risk_Compensation!A$1</f>
        <v>36</v>
      </c>
      <c r="C5913" s="1390" t="str">
        <f>Risk_Compensation!$B$1</f>
        <v xml:space="preserve">Risikoausgleich </v>
      </c>
      <c r="D5913" s="1743" t="str">
        <f>Risk_Compensation!$AJ$14</f>
        <v>geschätzte Risikoausgleichssätze, pro Monat in CHF (ohne Entlastung junge Erwachsene)</v>
      </c>
      <c r="E5913" s="1390">
        <f>Risk_Compensation!$AJ18</f>
        <v>1</v>
      </c>
      <c r="F5913" s="1390" t="str">
        <f>Risk_Compensation!$V$17</f>
        <v>OW</v>
      </c>
      <c r="G5913" s="1390"/>
      <c r="H5913" s="1077">
        <f>Risk_Compensation!$AY18</f>
        <v>680.53703438129003</v>
      </c>
    </row>
    <row r="5914" spans="1:8" x14ac:dyDescent="0.2">
      <c r="A5914" s="1027"/>
      <c r="B5914" s="1083">
        <f>Risk_Compensation!A$1</f>
        <v>36</v>
      </c>
      <c r="C5914" s="1390" t="str">
        <f>Risk_Compensation!$B$1</f>
        <v xml:space="preserve">Risikoausgleich </v>
      </c>
      <c r="D5914" s="1743" t="str">
        <f>Risk_Compensation!$AJ$14</f>
        <v>geschätzte Risikoausgleichssätze, pro Monat in CHF (ohne Entlastung junge Erwachsene)</v>
      </c>
      <c r="E5914" s="1390">
        <f>Risk_Compensation!$AJ19</f>
        <v>2</v>
      </c>
      <c r="F5914" s="1390" t="str">
        <f>Risk_Compensation!$V$17</f>
        <v>OW</v>
      </c>
      <c r="G5914" s="1390"/>
      <c r="H5914" s="1077">
        <f>Risk_Compensation!$AY19</f>
        <v>-236.53542828875001</v>
      </c>
    </row>
    <row r="5915" spans="1:8" x14ac:dyDescent="0.2">
      <c r="A5915" s="1027"/>
      <c r="B5915" s="1083">
        <f>Risk_Compensation!A$1</f>
        <v>36</v>
      </c>
      <c r="C5915" s="1390" t="str">
        <f>Risk_Compensation!$B$1</f>
        <v xml:space="preserve">Risikoausgleich </v>
      </c>
      <c r="D5915" s="1743" t="str">
        <f>Risk_Compensation!$AJ$14</f>
        <v>geschätzte Risikoausgleichssätze, pro Monat in CHF (ohne Entlastung junge Erwachsene)</v>
      </c>
      <c r="E5915" s="1390">
        <f>Risk_Compensation!$AJ20</f>
        <v>3</v>
      </c>
      <c r="F5915" s="1390" t="str">
        <f>Risk_Compensation!$V$17</f>
        <v>OW</v>
      </c>
      <c r="G5915" s="1390"/>
      <c r="H5915" s="1077">
        <f>Risk_Compensation!$AY20</f>
        <v>-236.35063895529899</v>
      </c>
    </row>
    <row r="5916" spans="1:8" x14ac:dyDescent="0.2">
      <c r="A5916" s="1027"/>
      <c r="B5916" s="1083">
        <f>Risk_Compensation!A$1</f>
        <v>36</v>
      </c>
      <c r="C5916" s="1390" t="str">
        <f>Risk_Compensation!$B$1</f>
        <v xml:space="preserve">Risikoausgleich </v>
      </c>
      <c r="D5916" s="1743" t="str">
        <f>Risk_Compensation!$AJ$14</f>
        <v>geschätzte Risikoausgleichssätze, pro Monat in CHF (ohne Entlastung junge Erwachsene)</v>
      </c>
      <c r="E5916" s="1390">
        <f>Risk_Compensation!$AJ21</f>
        <v>4</v>
      </c>
      <c r="F5916" s="1390" t="str">
        <f>Risk_Compensation!$V$17</f>
        <v>OW</v>
      </c>
      <c r="G5916" s="1390"/>
      <c r="H5916" s="1077">
        <f>Risk_Compensation!$AY21</f>
        <v>-246.287048613439</v>
      </c>
    </row>
    <row r="5917" spans="1:8" x14ac:dyDescent="0.2">
      <c r="A5917" s="1027"/>
      <c r="B5917" s="1083">
        <f>Risk_Compensation!A$1</f>
        <v>36</v>
      </c>
      <c r="C5917" s="1390" t="str">
        <f>Risk_Compensation!$B$1</f>
        <v xml:space="preserve">Risikoausgleich </v>
      </c>
      <c r="D5917" s="1743" t="str">
        <f>Risk_Compensation!$AJ$14</f>
        <v>geschätzte Risikoausgleichssätze, pro Monat in CHF (ohne Entlastung junge Erwachsene)</v>
      </c>
      <c r="E5917" s="1390">
        <f>Risk_Compensation!$AJ22</f>
        <v>5</v>
      </c>
      <c r="F5917" s="1390" t="str">
        <f>Risk_Compensation!$V$17</f>
        <v>OW</v>
      </c>
      <c r="G5917" s="1390"/>
      <c r="H5917" s="1077">
        <f>Risk_Compensation!$AY22</f>
        <v>163.77055112052199</v>
      </c>
    </row>
    <row r="5918" spans="1:8" x14ac:dyDescent="0.2">
      <c r="A5918" s="1027"/>
      <c r="B5918" s="1083">
        <f>Risk_Compensation!A$1</f>
        <v>36</v>
      </c>
      <c r="C5918" s="1390" t="str">
        <f>Risk_Compensation!$B$1</f>
        <v xml:space="preserve">Risikoausgleich </v>
      </c>
      <c r="D5918" s="1743" t="str">
        <f>Risk_Compensation!$AJ$14</f>
        <v>geschätzte Risikoausgleichssätze, pro Monat in CHF (ohne Entlastung junge Erwachsene)</v>
      </c>
      <c r="E5918" s="1390">
        <f>Risk_Compensation!$AJ23</f>
        <v>6</v>
      </c>
      <c r="F5918" s="1390" t="str">
        <f>Risk_Compensation!$V$17</f>
        <v>OW</v>
      </c>
      <c r="G5918" s="1390"/>
      <c r="H5918" s="1077">
        <f>Risk_Compensation!$AY23</f>
        <v>-265.01178349582</v>
      </c>
    </row>
    <row r="5919" spans="1:8" x14ac:dyDescent="0.2">
      <c r="A5919" s="1027"/>
      <c r="B5919" s="1083">
        <f>Risk_Compensation!A$1</f>
        <v>36</v>
      </c>
      <c r="C5919" s="1390" t="str">
        <f>Risk_Compensation!$B$1</f>
        <v xml:space="preserve">Risikoausgleich </v>
      </c>
      <c r="D5919" s="1743" t="str">
        <f>Risk_Compensation!$AJ$14</f>
        <v>geschätzte Risikoausgleichssätze, pro Monat in CHF (ohne Entlastung junge Erwachsene)</v>
      </c>
      <c r="E5919" s="1390">
        <f>Risk_Compensation!$AJ24</f>
        <v>7</v>
      </c>
      <c r="F5919" s="1390" t="str">
        <f>Risk_Compensation!$V$17</f>
        <v>OW</v>
      </c>
      <c r="G5919" s="1390"/>
      <c r="H5919" s="1077">
        <f>Risk_Compensation!$AY24</f>
        <v>-21.583966738210901</v>
      </c>
    </row>
    <row r="5920" spans="1:8" x14ac:dyDescent="0.2">
      <c r="A5920" s="1027"/>
      <c r="B5920" s="1083">
        <f>Risk_Compensation!A$1</f>
        <v>36</v>
      </c>
      <c r="C5920" s="1390" t="str">
        <f>Risk_Compensation!$B$1</f>
        <v xml:space="preserve">Risikoausgleich </v>
      </c>
      <c r="D5920" s="1743" t="str">
        <f>Risk_Compensation!$AJ$14</f>
        <v>geschätzte Risikoausgleichssätze, pro Monat in CHF (ohne Entlastung junge Erwachsene)</v>
      </c>
      <c r="E5920" s="1390">
        <f>Risk_Compensation!$AJ25</f>
        <v>8</v>
      </c>
      <c r="F5920" s="1390" t="str">
        <f>Risk_Compensation!$V$17</f>
        <v>OW</v>
      </c>
      <c r="G5920" s="1390"/>
      <c r="H5920" s="1077">
        <f>Risk_Compensation!$AY25</f>
        <v>-241.732673259682</v>
      </c>
    </row>
    <row r="5921" spans="1:8" x14ac:dyDescent="0.2">
      <c r="A5921" s="1027"/>
      <c r="B5921" s="1083">
        <f>Risk_Compensation!A$1</f>
        <v>36</v>
      </c>
      <c r="C5921" s="1390" t="str">
        <f>Risk_Compensation!$B$1</f>
        <v xml:space="preserve">Risikoausgleich </v>
      </c>
      <c r="D5921" s="1743" t="str">
        <f>Risk_Compensation!$AJ$14</f>
        <v>geschätzte Risikoausgleichssätze, pro Monat in CHF (ohne Entlastung junge Erwachsene)</v>
      </c>
      <c r="E5921" s="1390">
        <f>Risk_Compensation!$AJ26</f>
        <v>9</v>
      </c>
      <c r="F5921" s="1390" t="str">
        <f>Risk_Compensation!$V$17</f>
        <v>OW</v>
      </c>
      <c r="G5921" s="1390"/>
      <c r="H5921" s="1077">
        <f>Risk_Compensation!$AY26</f>
        <v>-210.55001422701301</v>
      </c>
    </row>
    <row r="5922" spans="1:8" x14ac:dyDescent="0.2">
      <c r="A5922" s="1027"/>
      <c r="B5922" s="1083">
        <f>Risk_Compensation!A$1</f>
        <v>36</v>
      </c>
      <c r="C5922" s="1390" t="str">
        <f>Risk_Compensation!$B$1</f>
        <v xml:space="preserve">Risikoausgleich </v>
      </c>
      <c r="D5922" s="1743" t="str">
        <f>Risk_Compensation!$AJ$14</f>
        <v>geschätzte Risikoausgleichssätze, pro Monat in CHF (ohne Entlastung junge Erwachsene)</v>
      </c>
      <c r="E5922" s="1390">
        <f>Risk_Compensation!$AJ27</f>
        <v>10</v>
      </c>
      <c r="F5922" s="1390" t="str">
        <f>Risk_Compensation!$V$17</f>
        <v>OW</v>
      </c>
      <c r="G5922" s="1390"/>
      <c r="H5922" s="1077">
        <f>Risk_Compensation!$AY27</f>
        <v>-248.395958394947</v>
      </c>
    </row>
    <row r="5923" spans="1:8" x14ac:dyDescent="0.2">
      <c r="A5923" s="1027"/>
      <c r="B5923" s="1083">
        <f>Risk_Compensation!A$1</f>
        <v>36</v>
      </c>
      <c r="C5923" s="1390" t="str">
        <f>Risk_Compensation!$B$1</f>
        <v xml:space="preserve">Risikoausgleich </v>
      </c>
      <c r="D5923" s="1743" t="str">
        <f>Risk_Compensation!$AJ$14</f>
        <v>geschätzte Risikoausgleichssätze, pro Monat in CHF (ohne Entlastung junge Erwachsene)</v>
      </c>
      <c r="E5923" s="1390">
        <f>Risk_Compensation!$AJ28</f>
        <v>11</v>
      </c>
      <c r="F5923" s="1390" t="str">
        <f>Risk_Compensation!$V$17</f>
        <v>OW</v>
      </c>
      <c r="G5923" s="1390"/>
      <c r="H5923" s="1077">
        <f>Risk_Compensation!$AY28</f>
        <v>524.651270236286</v>
      </c>
    </row>
    <row r="5924" spans="1:8" x14ac:dyDescent="0.2">
      <c r="A5924" s="1027"/>
      <c r="B5924" s="1083">
        <f>Risk_Compensation!A$1</f>
        <v>36</v>
      </c>
      <c r="C5924" s="1390" t="str">
        <f>Risk_Compensation!$B$1</f>
        <v xml:space="preserve">Risikoausgleich </v>
      </c>
      <c r="D5924" s="1743" t="str">
        <f>Risk_Compensation!$AJ$14</f>
        <v>geschätzte Risikoausgleichssätze, pro Monat in CHF (ohne Entlastung junge Erwachsene)</v>
      </c>
      <c r="E5924" s="1390">
        <f>Risk_Compensation!$AJ29</f>
        <v>12</v>
      </c>
      <c r="F5924" s="1390" t="str">
        <f>Risk_Compensation!$V$17</f>
        <v>OW</v>
      </c>
      <c r="G5924" s="1390"/>
      <c r="H5924" s="1077">
        <f>Risk_Compensation!$AY29</f>
        <v>-172.77639119568599</v>
      </c>
    </row>
    <row r="5925" spans="1:8" x14ac:dyDescent="0.2">
      <c r="A5925" s="1027"/>
      <c r="B5925" s="1083">
        <f>Risk_Compensation!A$1</f>
        <v>36</v>
      </c>
      <c r="C5925" s="1390" t="str">
        <f>Risk_Compensation!$B$1</f>
        <v xml:space="preserve">Risikoausgleich </v>
      </c>
      <c r="D5925" s="1743" t="str">
        <f>Risk_Compensation!$AJ$14</f>
        <v>geschätzte Risikoausgleichssätze, pro Monat in CHF (ohne Entlastung junge Erwachsene)</v>
      </c>
      <c r="E5925" s="1390">
        <f>Risk_Compensation!$AJ30</f>
        <v>13</v>
      </c>
      <c r="F5925" s="1390" t="str">
        <f>Risk_Compensation!$V$17</f>
        <v>OW</v>
      </c>
      <c r="G5925" s="1390"/>
      <c r="H5925" s="1077">
        <f>Risk_Compensation!$AY30</f>
        <v>112.772754821183</v>
      </c>
    </row>
    <row r="5926" spans="1:8" x14ac:dyDescent="0.2">
      <c r="A5926" s="1027"/>
      <c r="B5926" s="1083">
        <f>Risk_Compensation!A$1</f>
        <v>36</v>
      </c>
      <c r="C5926" s="1390" t="str">
        <f>Risk_Compensation!$B$1</f>
        <v xml:space="preserve">Risikoausgleich </v>
      </c>
      <c r="D5926" s="1743" t="str">
        <f>Risk_Compensation!$AJ$14</f>
        <v>geschätzte Risikoausgleichssätze, pro Monat in CHF (ohne Entlastung junge Erwachsene)</v>
      </c>
      <c r="E5926" s="1390">
        <f>Risk_Compensation!$AJ31</f>
        <v>14</v>
      </c>
      <c r="F5926" s="1390" t="str">
        <f>Risk_Compensation!$V$17</f>
        <v>OW</v>
      </c>
      <c r="G5926" s="1390"/>
      <c r="H5926" s="1077">
        <f>Risk_Compensation!$AY31</f>
        <v>-233.03624784194599</v>
      </c>
    </row>
    <row r="5927" spans="1:8" x14ac:dyDescent="0.2">
      <c r="A5927" s="1027"/>
      <c r="B5927" s="1083">
        <f>Risk_Compensation!A$1</f>
        <v>36</v>
      </c>
      <c r="C5927" s="1390" t="str">
        <f>Risk_Compensation!$B$1</f>
        <v xml:space="preserve">Risikoausgleich </v>
      </c>
      <c r="D5927" s="1743" t="str">
        <f>Risk_Compensation!$AJ$14</f>
        <v>geschätzte Risikoausgleichssätze, pro Monat in CHF (ohne Entlastung junge Erwachsene)</v>
      </c>
      <c r="E5927" s="1390">
        <f>Risk_Compensation!$AJ32</f>
        <v>15</v>
      </c>
      <c r="F5927" s="1390" t="str">
        <f>Risk_Compensation!$V$17</f>
        <v>OW</v>
      </c>
      <c r="G5927" s="1390"/>
      <c r="H5927" s="1077">
        <f>Risk_Compensation!$AY32</f>
        <v>149.13701121512401</v>
      </c>
    </row>
    <row r="5928" spans="1:8" x14ac:dyDescent="0.2">
      <c r="A5928" s="1027"/>
      <c r="B5928" s="1083">
        <f>Risk_Compensation!A$1</f>
        <v>36</v>
      </c>
      <c r="C5928" s="1390" t="str">
        <f>Risk_Compensation!$B$1</f>
        <v xml:space="preserve">Risikoausgleich </v>
      </c>
      <c r="D5928" s="1743" t="str">
        <f>Risk_Compensation!$AJ$14</f>
        <v>geschätzte Risikoausgleichssätze, pro Monat in CHF (ohne Entlastung junge Erwachsene)</v>
      </c>
      <c r="E5928" s="1390">
        <f>Risk_Compensation!$AJ33</f>
        <v>16</v>
      </c>
      <c r="F5928" s="1390" t="str">
        <f>Risk_Compensation!$V$17</f>
        <v>OW</v>
      </c>
      <c r="G5928" s="1390"/>
      <c r="H5928" s="1077">
        <f>Risk_Compensation!$AY33</f>
        <v>-171.26512039637501</v>
      </c>
    </row>
    <row r="5929" spans="1:8" x14ac:dyDescent="0.2">
      <c r="A5929" s="1027"/>
      <c r="B5929" s="1083">
        <f>Risk_Compensation!A$1</f>
        <v>36</v>
      </c>
      <c r="C5929" s="1390" t="str">
        <f>Risk_Compensation!$B$1</f>
        <v xml:space="preserve">Risikoausgleich </v>
      </c>
      <c r="D5929" s="1743" t="str">
        <f>Risk_Compensation!$AJ$14</f>
        <v>geschätzte Risikoausgleichssätze, pro Monat in CHF (ohne Entlastung junge Erwachsene)</v>
      </c>
      <c r="E5929" s="1390">
        <f>Risk_Compensation!$AJ34</f>
        <v>17</v>
      </c>
      <c r="F5929" s="1390" t="str">
        <f>Risk_Compensation!$V$17</f>
        <v>OW</v>
      </c>
      <c r="G5929" s="1390"/>
      <c r="H5929" s="1077">
        <f>Risk_Compensation!$AY34</f>
        <v>68.930775926262896</v>
      </c>
    </row>
    <row r="5930" spans="1:8" x14ac:dyDescent="0.2">
      <c r="A5930" s="1027"/>
      <c r="B5930" s="1083">
        <f>Risk_Compensation!A$1</f>
        <v>36</v>
      </c>
      <c r="C5930" s="1390" t="str">
        <f>Risk_Compensation!$B$1</f>
        <v xml:space="preserve">Risikoausgleich </v>
      </c>
      <c r="D5930" s="1743" t="str">
        <f>Risk_Compensation!$AJ$14</f>
        <v>geschätzte Risikoausgleichssätze, pro Monat in CHF (ohne Entlastung junge Erwachsene)</v>
      </c>
      <c r="E5930" s="1390">
        <f>Risk_Compensation!$AJ35</f>
        <v>18</v>
      </c>
      <c r="F5930" s="1390" t="str">
        <f>Risk_Compensation!$V$17</f>
        <v>OW</v>
      </c>
      <c r="G5930" s="1390"/>
      <c r="H5930" s="1077">
        <f>Risk_Compensation!$AY35</f>
        <v>-125.36635205113799</v>
      </c>
    </row>
    <row r="5931" spans="1:8" x14ac:dyDescent="0.2">
      <c r="A5931" s="1027"/>
      <c r="B5931" s="1083">
        <f>Risk_Compensation!A$1</f>
        <v>36</v>
      </c>
      <c r="C5931" s="1390" t="str">
        <f>Risk_Compensation!$B$1</f>
        <v xml:space="preserve">Risikoausgleich </v>
      </c>
      <c r="D5931" s="1743" t="str">
        <f>Risk_Compensation!$AJ$14</f>
        <v>geschätzte Risikoausgleichssätze, pro Monat in CHF (ohne Entlastung junge Erwachsene)</v>
      </c>
      <c r="E5931" s="1390">
        <f>Risk_Compensation!$AJ36</f>
        <v>19</v>
      </c>
      <c r="F5931" s="1390" t="str">
        <f>Risk_Compensation!$V$17</f>
        <v>OW</v>
      </c>
      <c r="G5931" s="1390"/>
      <c r="H5931" s="1077">
        <f>Risk_Compensation!$AY36</f>
        <v>53.044412697907703</v>
      </c>
    </row>
    <row r="5932" spans="1:8" x14ac:dyDescent="0.2">
      <c r="A5932" s="1027"/>
      <c r="B5932" s="1083">
        <f>Risk_Compensation!A$1</f>
        <v>36</v>
      </c>
      <c r="C5932" s="1390" t="str">
        <f>Risk_Compensation!$B$1</f>
        <v xml:space="preserve">Risikoausgleich </v>
      </c>
      <c r="D5932" s="1743" t="str">
        <f>Risk_Compensation!$AJ$14</f>
        <v>geschätzte Risikoausgleichssätze, pro Monat in CHF (ohne Entlastung junge Erwachsene)</v>
      </c>
      <c r="E5932" s="1390">
        <f>Risk_Compensation!$AJ37</f>
        <v>20</v>
      </c>
      <c r="F5932" s="1390" t="str">
        <f>Risk_Compensation!$V$17</f>
        <v>OW</v>
      </c>
      <c r="G5932" s="1390"/>
      <c r="H5932" s="1077">
        <f>Risk_Compensation!$AY37</f>
        <v>-80.0175662396571</v>
      </c>
    </row>
    <row r="5933" spans="1:8" x14ac:dyDescent="0.2">
      <c r="A5933" s="1027"/>
      <c r="B5933" s="1083">
        <f>Risk_Compensation!A$1</f>
        <v>36</v>
      </c>
      <c r="C5933" s="1390" t="str">
        <f>Risk_Compensation!$B$1</f>
        <v xml:space="preserve">Risikoausgleich </v>
      </c>
      <c r="D5933" s="1743" t="str">
        <f>Risk_Compensation!$AJ$14</f>
        <v>geschätzte Risikoausgleichssätze, pro Monat in CHF (ohne Entlastung junge Erwachsene)</v>
      </c>
      <c r="E5933" s="1390">
        <f>Risk_Compensation!$AJ38</f>
        <v>21</v>
      </c>
      <c r="F5933" s="1390" t="str">
        <f>Risk_Compensation!$V$17</f>
        <v>OW</v>
      </c>
      <c r="G5933" s="1390"/>
      <c r="H5933" s="1077">
        <f>Risk_Compensation!$AY38</f>
        <v>457.18703092943798</v>
      </c>
    </row>
    <row r="5934" spans="1:8" x14ac:dyDescent="0.2">
      <c r="A5934" s="1027"/>
      <c r="B5934" s="1083">
        <f>Risk_Compensation!A$1</f>
        <v>36</v>
      </c>
      <c r="C5934" s="1390" t="str">
        <f>Risk_Compensation!$B$1</f>
        <v xml:space="preserve">Risikoausgleich </v>
      </c>
      <c r="D5934" s="1743" t="str">
        <f>Risk_Compensation!$AJ$14</f>
        <v>geschätzte Risikoausgleichssätze, pro Monat in CHF (ohne Entlastung junge Erwachsene)</v>
      </c>
      <c r="E5934" s="1390">
        <f>Risk_Compensation!$AJ39</f>
        <v>22</v>
      </c>
      <c r="F5934" s="1390" t="str">
        <f>Risk_Compensation!$V$17</f>
        <v>OW</v>
      </c>
      <c r="G5934" s="1390"/>
      <c r="H5934" s="1077">
        <f>Risk_Compensation!$AY39</f>
        <v>47.5191754180007</v>
      </c>
    </row>
    <row r="5935" spans="1:8" x14ac:dyDescent="0.2">
      <c r="A5935" s="1027"/>
      <c r="B5935" s="1083">
        <f>Risk_Compensation!A$1</f>
        <v>36</v>
      </c>
      <c r="C5935" s="1390" t="str">
        <f>Risk_Compensation!$B$1</f>
        <v xml:space="preserve">Risikoausgleich </v>
      </c>
      <c r="D5935" s="1743" t="str">
        <f>Risk_Compensation!$AJ$14</f>
        <v>geschätzte Risikoausgleichssätze, pro Monat in CHF (ohne Entlastung junge Erwachsene)</v>
      </c>
      <c r="E5935" s="1390">
        <f>Risk_Compensation!$AJ40</f>
        <v>23</v>
      </c>
      <c r="F5935" s="1390" t="str">
        <f>Risk_Compensation!$V$17</f>
        <v>OW</v>
      </c>
      <c r="G5935" s="1390"/>
      <c r="H5935" s="1077">
        <f>Risk_Compensation!$AY40</f>
        <v>538.583490518144</v>
      </c>
    </row>
    <row r="5936" spans="1:8" x14ac:dyDescent="0.2">
      <c r="A5936" s="1027"/>
      <c r="B5936" s="1083">
        <f>Risk_Compensation!A$1</f>
        <v>36</v>
      </c>
      <c r="C5936" s="1390" t="str">
        <f>Risk_Compensation!$B$1</f>
        <v xml:space="preserve">Risikoausgleich </v>
      </c>
      <c r="D5936" s="1743" t="str">
        <f>Risk_Compensation!$AJ$14</f>
        <v>geschätzte Risikoausgleichssätze, pro Monat in CHF (ohne Entlastung junge Erwachsene)</v>
      </c>
      <c r="E5936" s="1390">
        <f>Risk_Compensation!$AJ41</f>
        <v>24</v>
      </c>
      <c r="F5936" s="1390" t="str">
        <f>Risk_Compensation!$V$17</f>
        <v>OW</v>
      </c>
      <c r="G5936" s="1390"/>
      <c r="H5936" s="1077">
        <f>Risk_Compensation!$AY41</f>
        <v>49.953447551031203</v>
      </c>
    </row>
    <row r="5937" spans="1:8" x14ac:dyDescent="0.2">
      <c r="A5937" s="1027"/>
      <c r="B5937" s="1083">
        <f>Risk_Compensation!A$1</f>
        <v>36</v>
      </c>
      <c r="C5937" s="1390" t="str">
        <f>Risk_Compensation!$B$1</f>
        <v xml:space="preserve">Risikoausgleich </v>
      </c>
      <c r="D5937" s="1743" t="str">
        <f>Risk_Compensation!$AJ$14</f>
        <v>geschätzte Risikoausgleichssätze, pro Monat in CHF (ohne Entlastung junge Erwachsene)</v>
      </c>
      <c r="E5937" s="1390">
        <f>Risk_Compensation!$AJ42</f>
        <v>25</v>
      </c>
      <c r="F5937" s="1390" t="str">
        <f>Risk_Compensation!$V$17</f>
        <v>OW</v>
      </c>
      <c r="G5937" s="1390"/>
      <c r="H5937" s="1077">
        <f>Risk_Compensation!$AY42</f>
        <v>686.43310395285596</v>
      </c>
    </row>
    <row r="5938" spans="1:8" x14ac:dyDescent="0.2">
      <c r="A5938" s="1027"/>
      <c r="B5938" s="1083">
        <f>Risk_Compensation!A$1</f>
        <v>36</v>
      </c>
      <c r="C5938" s="1390" t="str">
        <f>Risk_Compensation!$B$1</f>
        <v xml:space="preserve">Risikoausgleich </v>
      </c>
      <c r="D5938" s="1743" t="str">
        <f>Risk_Compensation!$AJ$14</f>
        <v>geschätzte Risikoausgleichssätze, pro Monat in CHF (ohne Entlastung junge Erwachsene)</v>
      </c>
      <c r="E5938" s="1390">
        <f>Risk_Compensation!$AJ43</f>
        <v>26</v>
      </c>
      <c r="F5938" s="1390" t="str">
        <f>Risk_Compensation!$V$17</f>
        <v>OW</v>
      </c>
      <c r="G5938" s="1390"/>
      <c r="H5938" s="1077">
        <f>Risk_Compensation!$AY43</f>
        <v>61.239732329177698</v>
      </c>
    </row>
    <row r="5939" spans="1:8" x14ac:dyDescent="0.2">
      <c r="A5939" s="1027"/>
      <c r="B5939" s="1083">
        <f>Risk_Compensation!A$1</f>
        <v>36</v>
      </c>
      <c r="C5939" s="1390" t="str">
        <f>Risk_Compensation!$B$1</f>
        <v xml:space="preserve">Risikoausgleich </v>
      </c>
      <c r="D5939" s="1743" t="str">
        <f>Risk_Compensation!$AJ$14</f>
        <v>geschätzte Risikoausgleichssätze, pro Monat in CHF (ohne Entlastung junge Erwachsene)</v>
      </c>
      <c r="E5939" s="1390">
        <f>Risk_Compensation!$AJ44</f>
        <v>27</v>
      </c>
      <c r="F5939" s="1390" t="str">
        <f>Risk_Compensation!$V$17</f>
        <v>OW</v>
      </c>
      <c r="G5939" s="1390"/>
      <c r="H5939" s="1077">
        <f>Risk_Compensation!$AY44</f>
        <v>977.46328018960901</v>
      </c>
    </row>
    <row r="5940" spans="1:8" x14ac:dyDescent="0.2">
      <c r="A5940" s="1027"/>
      <c r="B5940" s="1083">
        <f>Risk_Compensation!A$1</f>
        <v>36</v>
      </c>
      <c r="C5940" s="1390" t="str">
        <f>Risk_Compensation!$B$1</f>
        <v xml:space="preserve">Risikoausgleich </v>
      </c>
      <c r="D5940" s="1743" t="str">
        <f>Risk_Compensation!$AJ$14</f>
        <v>geschätzte Risikoausgleichssätze, pro Monat in CHF (ohne Entlastung junge Erwachsene)</v>
      </c>
      <c r="E5940" s="1390">
        <f>Risk_Compensation!$AJ45</f>
        <v>28</v>
      </c>
      <c r="F5940" s="1390" t="str">
        <f>Risk_Compensation!$V$17</f>
        <v>OW</v>
      </c>
      <c r="G5940" s="1390"/>
      <c r="H5940" s="1077">
        <f>Risk_Compensation!$AY45</f>
        <v>143.070616554276</v>
      </c>
    </row>
    <row r="5941" spans="1:8" x14ac:dyDescent="0.2">
      <c r="A5941" s="1027"/>
      <c r="B5941" s="1083">
        <f>Risk_Compensation!A$1</f>
        <v>36</v>
      </c>
      <c r="C5941" s="1390" t="str">
        <f>Risk_Compensation!$B$1</f>
        <v xml:space="preserve">Risikoausgleich </v>
      </c>
      <c r="D5941" s="1743" t="str">
        <f>Risk_Compensation!$AJ$14</f>
        <v>geschätzte Risikoausgleichssätze, pro Monat in CHF (ohne Entlastung junge Erwachsene)</v>
      </c>
      <c r="E5941" s="1390">
        <f>Risk_Compensation!$AJ46</f>
        <v>29</v>
      </c>
      <c r="F5941" s="1390" t="str">
        <f>Risk_Compensation!$V$17</f>
        <v>OW</v>
      </c>
      <c r="G5941" s="1390"/>
      <c r="H5941" s="1077">
        <f>Risk_Compensation!$AY46</f>
        <v>1056.43570469217</v>
      </c>
    </row>
    <row r="5942" spans="1:8" x14ac:dyDescent="0.2">
      <c r="A5942" s="1027"/>
      <c r="B5942" s="1083">
        <f>Risk_Compensation!A$1</f>
        <v>36</v>
      </c>
      <c r="C5942" s="1390" t="str">
        <f>Risk_Compensation!$B$1</f>
        <v xml:space="preserve">Risikoausgleich </v>
      </c>
      <c r="D5942" s="1743" t="str">
        <f>Risk_Compensation!$AJ$14</f>
        <v>geschätzte Risikoausgleichssätze, pro Monat in CHF (ohne Entlastung junge Erwachsene)</v>
      </c>
      <c r="E5942" s="1390">
        <f>Risk_Compensation!$AJ47</f>
        <v>30</v>
      </c>
      <c r="F5942" s="1390" t="str">
        <f>Risk_Compensation!$V$17</f>
        <v>OW</v>
      </c>
      <c r="G5942" s="1390"/>
      <c r="H5942" s="1077">
        <f>Risk_Compensation!$AY47</f>
        <v>356.89979281083902</v>
      </c>
    </row>
    <row r="5943" spans="1:8" x14ac:dyDescent="0.2">
      <c r="A5943" s="1027"/>
      <c r="B5943" s="1083">
        <f>Risk_Compensation!A$1</f>
        <v>36</v>
      </c>
      <c r="C5943" s="1390" t="str">
        <f>Risk_Compensation!$B$1</f>
        <v xml:space="preserve">Risikoausgleich </v>
      </c>
      <c r="D5943" s="1743" t="str">
        <f>Risk_Compensation!$AJ$14</f>
        <v>geschätzte Risikoausgleichssätze, pro Monat in CHF (ohne Entlastung junge Erwachsene)</v>
      </c>
      <c r="E5943" s="1390">
        <f>Risk_Compensation!$AJ48</f>
        <v>31</v>
      </c>
      <c r="F5943" s="1390" t="str">
        <f>Risk_Compensation!$V$17</f>
        <v>OW</v>
      </c>
      <c r="G5943" s="1390"/>
      <c r="H5943" s="1077">
        <f>Risk_Compensation!$AY48</f>
        <v>174.31731145272599</v>
      </c>
    </row>
    <row r="5944" spans="1:8" x14ac:dyDescent="0.2">
      <c r="A5944" s="1027"/>
      <c r="B5944" s="1083">
        <f>Risk_Compensation!A$1</f>
        <v>36</v>
      </c>
      <c r="C5944" s="1390" t="str">
        <f>Risk_Compensation!$B$1</f>
        <v xml:space="preserve">Risikoausgleich </v>
      </c>
      <c r="D5944" s="1743" t="str">
        <f>Risk_Compensation!$AJ$14</f>
        <v>geschätzte Risikoausgleichssätze, pro Monat in CHF (ohne Entlastung junge Erwachsene)</v>
      </c>
      <c r="E5944" s="1390">
        <f>Risk_Compensation!$AJ49</f>
        <v>32</v>
      </c>
      <c r="F5944" s="1390" t="str">
        <f>Risk_Compensation!$V$17</f>
        <v>OW</v>
      </c>
      <c r="G5944" s="1390"/>
      <c r="H5944" s="1077">
        <f>Risk_Compensation!$AY49</f>
        <v>-222.83950850716201</v>
      </c>
    </row>
    <row r="5945" spans="1:8" x14ac:dyDescent="0.2">
      <c r="A5945" s="1027"/>
      <c r="B5945" s="1083">
        <f>Risk_Compensation!A$1</f>
        <v>36</v>
      </c>
      <c r="C5945" s="1390" t="str">
        <f>Risk_Compensation!$B$1</f>
        <v xml:space="preserve">Risikoausgleich </v>
      </c>
      <c r="D5945" s="1743" t="str">
        <f>Risk_Compensation!$AJ$14</f>
        <v>geschätzte Risikoausgleichssätze, pro Monat in CHF (ohne Entlastung junge Erwachsene)</v>
      </c>
      <c r="E5945" s="1390">
        <f>Risk_Compensation!$AJ50</f>
        <v>33</v>
      </c>
      <c r="F5945" s="1390" t="str">
        <f>Risk_Compensation!$V$17</f>
        <v>OW</v>
      </c>
      <c r="G5945" s="1390"/>
      <c r="H5945" s="1077">
        <f>Risk_Compensation!$AY50</f>
        <v>329.26465393247003</v>
      </c>
    </row>
    <row r="5946" spans="1:8" x14ac:dyDescent="0.2">
      <c r="A5946" s="1027"/>
      <c r="B5946" s="1083">
        <f>Risk_Compensation!A$1</f>
        <v>36</v>
      </c>
      <c r="C5946" s="1390" t="str">
        <f>Risk_Compensation!$B$1</f>
        <v xml:space="preserve">Risikoausgleich </v>
      </c>
      <c r="D5946" s="1743" t="str">
        <f>Risk_Compensation!$AJ$14</f>
        <v>geschätzte Risikoausgleichssätze, pro Monat in CHF (ohne Entlastung junge Erwachsene)</v>
      </c>
      <c r="E5946" s="1390">
        <f>Risk_Compensation!$AJ51</f>
        <v>34</v>
      </c>
      <c r="F5946" s="1390" t="str">
        <f>Risk_Compensation!$V$17</f>
        <v>OW</v>
      </c>
      <c r="G5946" s="1390"/>
      <c r="H5946" s="1077">
        <f>Risk_Compensation!$AY51</f>
        <v>-155.97273348806701</v>
      </c>
    </row>
    <row r="5947" spans="1:8" x14ac:dyDescent="0.2">
      <c r="A5947" s="1027"/>
      <c r="B5947" s="1083">
        <f>Risk_Compensation!A$1</f>
        <v>36</v>
      </c>
      <c r="C5947" s="1390" t="str">
        <f>Risk_Compensation!$B$1</f>
        <v xml:space="preserve">Risikoausgleich </v>
      </c>
      <c r="D5947" s="1743" t="str">
        <f>Risk_Compensation!$AJ$14</f>
        <v>geschätzte Risikoausgleichssätze, pro Monat in CHF (ohne Entlastung junge Erwachsene)</v>
      </c>
      <c r="E5947" s="1390">
        <f>Risk_Compensation!$AJ52</f>
        <v>35</v>
      </c>
      <c r="F5947" s="1390" t="str">
        <f>Risk_Compensation!$V$17</f>
        <v>OW</v>
      </c>
      <c r="G5947" s="1390"/>
      <c r="H5947" s="1077">
        <f>Risk_Compensation!$AY52</f>
        <v>252.925079473468</v>
      </c>
    </row>
    <row r="5948" spans="1:8" x14ac:dyDescent="0.2">
      <c r="A5948" s="1027"/>
      <c r="B5948" s="1083">
        <f>Risk_Compensation!A$1</f>
        <v>36</v>
      </c>
      <c r="C5948" s="1390" t="str">
        <f>Risk_Compensation!$B$1</f>
        <v xml:space="preserve">Risikoausgleich </v>
      </c>
      <c r="D5948" s="1743" t="str">
        <f>Risk_Compensation!$AJ$14</f>
        <v>geschätzte Risikoausgleichssätze, pro Monat in CHF (ohne Entlastung junge Erwachsene)</v>
      </c>
      <c r="E5948" s="1390">
        <f>Risk_Compensation!$AJ53</f>
        <v>36</v>
      </c>
      <c r="F5948" s="1390" t="str">
        <f>Risk_Compensation!$V$17</f>
        <v>OW</v>
      </c>
      <c r="G5948" s="1390"/>
      <c r="H5948" s="1077">
        <f>Risk_Compensation!$AY53</f>
        <v>-132.16168778184999</v>
      </c>
    </row>
    <row r="5949" spans="1:8" x14ac:dyDescent="0.2">
      <c r="A5949" s="1027"/>
      <c r="B5949" s="1083">
        <f>Risk_Compensation!A$1</f>
        <v>36</v>
      </c>
      <c r="C5949" s="1390" t="str">
        <f>Risk_Compensation!$B$1</f>
        <v xml:space="preserve">Risikoausgleich </v>
      </c>
      <c r="D5949" s="1743" t="str">
        <f>Risk_Compensation!$AJ$14</f>
        <v>geschätzte Risikoausgleichssätze, pro Monat in CHF (ohne Entlastung junge Erwachsene)</v>
      </c>
      <c r="E5949" s="1390">
        <f>Risk_Compensation!$AJ54</f>
        <v>37</v>
      </c>
      <c r="F5949" s="1390" t="str">
        <f>Risk_Compensation!$V$17</f>
        <v>OW</v>
      </c>
      <c r="G5949" s="1390"/>
      <c r="H5949" s="1077">
        <f>Risk_Compensation!$AY54</f>
        <v>231.44605289766201</v>
      </c>
    </row>
    <row r="5950" spans="1:8" x14ac:dyDescent="0.2">
      <c r="A5950" s="1027"/>
      <c r="B5950" s="1083">
        <f>Risk_Compensation!A$1</f>
        <v>36</v>
      </c>
      <c r="C5950" s="1390" t="str">
        <f>Risk_Compensation!$B$1</f>
        <v xml:space="preserve">Risikoausgleich </v>
      </c>
      <c r="D5950" s="1743" t="str">
        <f>Risk_Compensation!$AJ$14</f>
        <v>geschätzte Risikoausgleichssätze, pro Monat in CHF (ohne Entlastung junge Erwachsene)</v>
      </c>
      <c r="E5950" s="1390">
        <f>Risk_Compensation!$AJ55</f>
        <v>38</v>
      </c>
      <c r="F5950" s="1390" t="str">
        <f>Risk_Compensation!$V$17</f>
        <v>OW</v>
      </c>
      <c r="G5950" s="1390"/>
      <c r="H5950" s="1077">
        <f>Risk_Compensation!$AY55</f>
        <v>-178.145152466783</v>
      </c>
    </row>
    <row r="5951" spans="1:8" x14ac:dyDescent="0.2">
      <c r="A5951" s="1027"/>
      <c r="B5951" s="1083">
        <f>Risk_Compensation!A$1</f>
        <v>36</v>
      </c>
      <c r="C5951" s="1390" t="str">
        <f>Risk_Compensation!$B$1</f>
        <v xml:space="preserve">Risikoausgleich </v>
      </c>
      <c r="D5951" s="1743" t="str">
        <f>Risk_Compensation!$AJ$14</f>
        <v>geschätzte Risikoausgleichssätze, pro Monat in CHF (ohne Entlastung junge Erwachsene)</v>
      </c>
      <c r="E5951" s="1390">
        <f>Risk_Compensation!$AJ56</f>
        <v>39</v>
      </c>
      <c r="F5951" s="1390" t="str">
        <f>Risk_Compensation!$V$17</f>
        <v>OW</v>
      </c>
      <c r="G5951" s="1390"/>
      <c r="H5951" s="1077">
        <f>Risk_Compensation!$AY56</f>
        <v>103.931113700297</v>
      </c>
    </row>
    <row r="5952" spans="1:8" x14ac:dyDescent="0.2">
      <c r="A5952" s="1027"/>
      <c r="B5952" s="1083">
        <f>Risk_Compensation!A$1</f>
        <v>36</v>
      </c>
      <c r="C5952" s="1390" t="str">
        <f>Risk_Compensation!$B$1</f>
        <v xml:space="preserve">Risikoausgleich </v>
      </c>
      <c r="D5952" s="1743" t="str">
        <f>Risk_Compensation!$AJ$14</f>
        <v>geschätzte Risikoausgleichssätze, pro Monat in CHF (ohne Entlastung junge Erwachsene)</v>
      </c>
      <c r="E5952" s="1390">
        <f>Risk_Compensation!$AJ57</f>
        <v>40</v>
      </c>
      <c r="F5952" s="1390" t="str">
        <f>Risk_Compensation!$V$17</f>
        <v>OW</v>
      </c>
      <c r="G5952" s="1390"/>
      <c r="H5952" s="1077">
        <f>Risk_Compensation!$AY57</f>
        <v>-214.33852321411001</v>
      </c>
    </row>
    <row r="5953" spans="1:8" x14ac:dyDescent="0.2">
      <c r="A5953" s="1027"/>
      <c r="B5953" s="1083">
        <f>Risk_Compensation!A$1</f>
        <v>36</v>
      </c>
      <c r="C5953" s="1390" t="str">
        <f>Risk_Compensation!$B$1</f>
        <v xml:space="preserve">Risikoausgleich </v>
      </c>
      <c r="D5953" s="1743" t="str">
        <f>Risk_Compensation!$AJ$14</f>
        <v>geschätzte Risikoausgleichssätze, pro Monat in CHF (ohne Entlastung junge Erwachsene)</v>
      </c>
      <c r="E5953" s="1390">
        <f>Risk_Compensation!$AJ58</f>
        <v>41</v>
      </c>
      <c r="F5953" s="1390" t="str">
        <f>Risk_Compensation!$V$17</f>
        <v>OW</v>
      </c>
      <c r="G5953" s="1390"/>
      <c r="H5953" s="1077">
        <f>Risk_Compensation!$AY58</f>
        <v>441.12910834440203</v>
      </c>
    </row>
    <row r="5954" spans="1:8" x14ac:dyDescent="0.2">
      <c r="A5954" s="1027"/>
      <c r="B5954" s="1083">
        <f>Risk_Compensation!A$1</f>
        <v>36</v>
      </c>
      <c r="C5954" s="1390" t="str">
        <f>Risk_Compensation!$B$1</f>
        <v xml:space="preserve">Risikoausgleich </v>
      </c>
      <c r="D5954" s="1743" t="str">
        <f>Risk_Compensation!$AJ$14</f>
        <v>geschätzte Risikoausgleichssätze, pro Monat in CHF (ohne Entlastung junge Erwachsene)</v>
      </c>
      <c r="E5954" s="1390">
        <f>Risk_Compensation!$AJ59</f>
        <v>42</v>
      </c>
      <c r="F5954" s="1390" t="str">
        <f>Risk_Compensation!$V$17</f>
        <v>OW</v>
      </c>
      <c r="G5954" s="1390"/>
      <c r="H5954" s="1077">
        <f>Risk_Compensation!$AY59</f>
        <v>-210.932783020286</v>
      </c>
    </row>
    <row r="5955" spans="1:8" x14ac:dyDescent="0.2">
      <c r="A5955" s="1027"/>
      <c r="B5955" s="1083">
        <f>Risk_Compensation!A$1</f>
        <v>36</v>
      </c>
      <c r="C5955" s="1390" t="str">
        <f>Risk_Compensation!$B$1</f>
        <v xml:space="preserve">Risikoausgleich </v>
      </c>
      <c r="D5955" s="1743" t="str">
        <f>Risk_Compensation!$AJ$14</f>
        <v>geschätzte Risikoausgleichssätze, pro Monat in CHF (ohne Entlastung junge Erwachsene)</v>
      </c>
      <c r="E5955" s="1390">
        <f>Risk_Compensation!$AJ60</f>
        <v>43</v>
      </c>
      <c r="F5955" s="1390" t="str">
        <f>Risk_Compensation!$V$17</f>
        <v>OW</v>
      </c>
      <c r="G5955" s="1390"/>
      <c r="H5955" s="1077">
        <f>Risk_Compensation!$AY60</f>
        <v>487.29402179814502</v>
      </c>
    </row>
    <row r="5956" spans="1:8" x14ac:dyDescent="0.2">
      <c r="A5956" s="1027"/>
      <c r="B5956" s="1083">
        <f>Risk_Compensation!A$1</f>
        <v>36</v>
      </c>
      <c r="C5956" s="1390" t="str">
        <f>Risk_Compensation!$B$1</f>
        <v xml:space="preserve">Risikoausgleich </v>
      </c>
      <c r="D5956" s="1743" t="str">
        <f>Risk_Compensation!$AJ$14</f>
        <v>geschätzte Risikoausgleichssätze, pro Monat in CHF (ohne Entlastung junge Erwachsene)</v>
      </c>
      <c r="E5956" s="1390">
        <f>Risk_Compensation!$AJ61</f>
        <v>44</v>
      </c>
      <c r="F5956" s="1390" t="str">
        <f>Risk_Compensation!$V$17</f>
        <v>OW</v>
      </c>
      <c r="G5956" s="1390"/>
      <c r="H5956" s="1077">
        <f>Risk_Compensation!$AY61</f>
        <v>-194.39259971545499</v>
      </c>
    </row>
    <row r="5957" spans="1:8" x14ac:dyDescent="0.2">
      <c r="A5957" s="1027"/>
      <c r="B5957" s="1083">
        <f>Risk_Compensation!A$1</f>
        <v>36</v>
      </c>
      <c r="C5957" s="1390" t="str">
        <f>Risk_Compensation!$B$1</f>
        <v xml:space="preserve">Risikoausgleich </v>
      </c>
      <c r="D5957" s="1743" t="str">
        <f>Risk_Compensation!$AJ$14</f>
        <v>geschätzte Risikoausgleichssätze, pro Monat in CHF (ohne Entlastung junge Erwachsene)</v>
      </c>
      <c r="E5957" s="1390">
        <f>Risk_Compensation!$AJ62</f>
        <v>45</v>
      </c>
      <c r="F5957" s="1390" t="str">
        <f>Risk_Compensation!$V$17</f>
        <v>OW</v>
      </c>
      <c r="G5957" s="1390"/>
      <c r="H5957" s="1077">
        <f>Risk_Compensation!$AY62</f>
        <v>385.29623083320098</v>
      </c>
    </row>
    <row r="5958" spans="1:8" x14ac:dyDescent="0.2">
      <c r="A5958" s="1027"/>
      <c r="B5958" s="1083">
        <f>Risk_Compensation!A$1</f>
        <v>36</v>
      </c>
      <c r="C5958" s="1390" t="str">
        <f>Risk_Compensation!$B$1</f>
        <v xml:space="preserve">Risikoausgleich </v>
      </c>
      <c r="D5958" s="1743" t="str">
        <f>Risk_Compensation!$AJ$14</f>
        <v>geschätzte Risikoausgleichssätze, pro Monat in CHF (ohne Entlastung junge Erwachsene)</v>
      </c>
      <c r="E5958" s="1390">
        <f>Risk_Compensation!$AJ63</f>
        <v>46</v>
      </c>
      <c r="F5958" s="1390" t="str">
        <f>Risk_Compensation!$V$17</f>
        <v>OW</v>
      </c>
      <c r="G5958" s="1390"/>
      <c r="H5958" s="1077">
        <f>Risk_Compensation!$AY63</f>
        <v>-163.58627957613399</v>
      </c>
    </row>
    <row r="5959" spans="1:8" x14ac:dyDescent="0.2">
      <c r="A5959" s="1027"/>
      <c r="B5959" s="1083">
        <f>Risk_Compensation!A$1</f>
        <v>36</v>
      </c>
      <c r="C5959" s="1390" t="str">
        <f>Risk_Compensation!$B$1</f>
        <v xml:space="preserve">Risikoausgleich </v>
      </c>
      <c r="D5959" s="1743" t="str">
        <f>Risk_Compensation!$AJ$14</f>
        <v>geschätzte Risikoausgleichssätze, pro Monat in CHF (ohne Entlastung junge Erwachsene)</v>
      </c>
      <c r="E5959" s="1390">
        <f>Risk_Compensation!$AJ64</f>
        <v>47</v>
      </c>
      <c r="F5959" s="1390" t="str">
        <f>Risk_Compensation!$V$17</f>
        <v>OW</v>
      </c>
      <c r="G5959" s="1390"/>
      <c r="H5959" s="1077">
        <f>Risk_Compensation!$AY64</f>
        <v>574.27197354660404</v>
      </c>
    </row>
    <row r="5960" spans="1:8" x14ac:dyDescent="0.2">
      <c r="A5960" s="1027"/>
      <c r="B5960" s="1083">
        <f>Risk_Compensation!A$1</f>
        <v>36</v>
      </c>
      <c r="C5960" s="1390" t="str">
        <f>Risk_Compensation!$B$1</f>
        <v xml:space="preserve">Risikoausgleich </v>
      </c>
      <c r="D5960" s="1743" t="str">
        <f>Risk_Compensation!$AJ$14</f>
        <v>geschätzte Risikoausgleichssätze, pro Monat in CHF (ohne Entlastung junge Erwachsene)</v>
      </c>
      <c r="E5960" s="1390">
        <f>Risk_Compensation!$AJ65</f>
        <v>48</v>
      </c>
      <c r="F5960" s="1390" t="str">
        <f>Risk_Compensation!$V$17</f>
        <v>OW</v>
      </c>
      <c r="G5960" s="1390"/>
      <c r="H5960" s="1077">
        <f>Risk_Compensation!$AY65</f>
        <v>-164.69467336484399</v>
      </c>
    </row>
    <row r="5961" spans="1:8" x14ac:dyDescent="0.2">
      <c r="A5961" s="1027"/>
      <c r="B5961" s="1083">
        <f>Risk_Compensation!A$1</f>
        <v>36</v>
      </c>
      <c r="C5961" s="1390" t="str">
        <f>Risk_Compensation!$B$1</f>
        <v xml:space="preserve">Risikoausgleich </v>
      </c>
      <c r="D5961" s="1743" t="str">
        <f>Risk_Compensation!$AJ$14</f>
        <v>geschätzte Risikoausgleichssätze, pro Monat in CHF (ohne Entlastung junge Erwachsene)</v>
      </c>
      <c r="E5961" s="1390">
        <f>Risk_Compensation!$AJ66</f>
        <v>49</v>
      </c>
      <c r="F5961" s="1390" t="str">
        <f>Risk_Compensation!$V$17</f>
        <v>OW</v>
      </c>
      <c r="G5961" s="1390"/>
      <c r="H5961" s="1077">
        <f>Risk_Compensation!$AY66</f>
        <v>175.104077250915</v>
      </c>
    </row>
    <row r="5962" spans="1:8" x14ac:dyDescent="0.2">
      <c r="A5962" s="1027"/>
      <c r="B5962" s="1083">
        <f>Risk_Compensation!A$1</f>
        <v>36</v>
      </c>
      <c r="C5962" s="1390" t="str">
        <f>Risk_Compensation!$B$1</f>
        <v xml:space="preserve">Risikoausgleich </v>
      </c>
      <c r="D5962" s="1743" t="str">
        <f>Risk_Compensation!$AJ$14</f>
        <v>geschätzte Risikoausgleichssätze, pro Monat in CHF (ohne Entlastung junge Erwachsene)</v>
      </c>
      <c r="E5962" s="1390">
        <f>Risk_Compensation!$AJ67</f>
        <v>50</v>
      </c>
      <c r="F5962" s="1390" t="str">
        <f>Risk_Compensation!$V$17</f>
        <v>OW</v>
      </c>
      <c r="G5962" s="1390"/>
      <c r="H5962" s="1077">
        <f>Risk_Compensation!$AY67</f>
        <v>-20.5227845430922</v>
      </c>
    </row>
    <row r="5963" spans="1:8" x14ac:dyDescent="0.2">
      <c r="A5963" s="1027"/>
      <c r="B5963" s="1083">
        <f>Risk_Compensation!A$1</f>
        <v>36</v>
      </c>
      <c r="C5963" s="1390" t="str">
        <f>Risk_Compensation!$B$1</f>
        <v xml:space="preserve">Risikoausgleich </v>
      </c>
      <c r="D5963" s="1743" t="str">
        <f>Risk_Compensation!$AJ$14</f>
        <v>geschätzte Risikoausgleichssätze, pro Monat in CHF (ohne Entlastung junge Erwachsene)</v>
      </c>
      <c r="E5963" s="1390">
        <f>Risk_Compensation!$AJ68</f>
        <v>51</v>
      </c>
      <c r="F5963" s="1390" t="str">
        <f>Risk_Compensation!$V$17</f>
        <v>OW</v>
      </c>
      <c r="G5963" s="1390"/>
      <c r="H5963" s="1077">
        <f>Risk_Compensation!$AY68</f>
        <v>513.527490423053</v>
      </c>
    </row>
    <row r="5964" spans="1:8" x14ac:dyDescent="0.2">
      <c r="A5964" s="1027"/>
      <c r="B5964" s="1083">
        <f>Risk_Compensation!A$1</f>
        <v>36</v>
      </c>
      <c r="C5964" s="1390" t="str">
        <f>Risk_Compensation!$B$1</f>
        <v xml:space="preserve">Risikoausgleich </v>
      </c>
      <c r="D5964" s="1743" t="str">
        <f>Risk_Compensation!$AJ$14</f>
        <v>geschätzte Risikoausgleichssätze, pro Monat in CHF (ohne Entlastung junge Erwachsene)</v>
      </c>
      <c r="E5964" s="1390">
        <f>Risk_Compensation!$AJ69</f>
        <v>52</v>
      </c>
      <c r="F5964" s="1390" t="str">
        <f>Risk_Compensation!$V$17</f>
        <v>OW</v>
      </c>
      <c r="G5964" s="1390"/>
      <c r="H5964" s="1077">
        <f>Risk_Compensation!$AY69</f>
        <v>-60.940633057320099</v>
      </c>
    </row>
    <row r="5965" spans="1:8" x14ac:dyDescent="0.2">
      <c r="A5965" s="1027"/>
      <c r="B5965" s="1083">
        <f>Risk_Compensation!A$1</f>
        <v>36</v>
      </c>
      <c r="C5965" s="1390" t="str">
        <f>Risk_Compensation!$B$1</f>
        <v xml:space="preserve">Risikoausgleich </v>
      </c>
      <c r="D5965" s="1743" t="str">
        <f>Risk_Compensation!$AJ$14</f>
        <v>geschätzte Risikoausgleichssätze, pro Monat in CHF (ohne Entlastung junge Erwachsene)</v>
      </c>
      <c r="E5965" s="1390">
        <f>Risk_Compensation!$AJ70</f>
        <v>53</v>
      </c>
      <c r="F5965" s="1390" t="str">
        <f>Risk_Compensation!$V$17</f>
        <v>OW</v>
      </c>
      <c r="G5965" s="1390"/>
      <c r="H5965" s="1077">
        <f>Risk_Compensation!$AY70</f>
        <v>458.94702325344502</v>
      </c>
    </row>
    <row r="5966" spans="1:8" x14ac:dyDescent="0.2">
      <c r="A5966" s="1027"/>
      <c r="B5966" s="1083">
        <f>Risk_Compensation!A$1</f>
        <v>36</v>
      </c>
      <c r="C5966" s="1390" t="str">
        <f>Risk_Compensation!$B$1</f>
        <v xml:space="preserve">Risikoausgleich </v>
      </c>
      <c r="D5966" s="1743" t="str">
        <f>Risk_Compensation!$AJ$14</f>
        <v>geschätzte Risikoausgleichssätze, pro Monat in CHF (ohne Entlastung junge Erwachsene)</v>
      </c>
      <c r="E5966" s="1390">
        <f>Risk_Compensation!$AJ71</f>
        <v>54</v>
      </c>
      <c r="F5966" s="1390" t="str">
        <f>Risk_Compensation!$V$17</f>
        <v>OW</v>
      </c>
      <c r="G5966" s="1390"/>
      <c r="H5966" s="1077">
        <f>Risk_Compensation!$AY71</f>
        <v>6.76922319876223</v>
      </c>
    </row>
    <row r="5967" spans="1:8" x14ac:dyDescent="0.2">
      <c r="A5967" s="1027"/>
      <c r="B5967" s="1083">
        <f>Risk_Compensation!A$1</f>
        <v>36</v>
      </c>
      <c r="C5967" s="1390" t="str">
        <f>Risk_Compensation!$B$1</f>
        <v xml:space="preserve">Risikoausgleich </v>
      </c>
      <c r="D5967" s="1743" t="str">
        <f>Risk_Compensation!$AJ$14</f>
        <v>geschätzte Risikoausgleichssätze, pro Monat in CHF (ohne Entlastung junge Erwachsene)</v>
      </c>
      <c r="E5967" s="1390">
        <f>Risk_Compensation!$AJ72</f>
        <v>55</v>
      </c>
      <c r="F5967" s="1390" t="str">
        <f>Risk_Compensation!$V$17</f>
        <v>OW</v>
      </c>
      <c r="G5967" s="1390"/>
      <c r="H5967" s="1077">
        <f>Risk_Compensation!$AY72</f>
        <v>716.634146622564</v>
      </c>
    </row>
    <row r="5968" spans="1:8" x14ac:dyDescent="0.2">
      <c r="A5968" s="1027"/>
      <c r="B5968" s="1083">
        <f>Risk_Compensation!A$1</f>
        <v>36</v>
      </c>
      <c r="C5968" s="1390" t="str">
        <f>Risk_Compensation!$B$1</f>
        <v xml:space="preserve">Risikoausgleich </v>
      </c>
      <c r="D5968" s="1743" t="str">
        <f>Risk_Compensation!$AJ$14</f>
        <v>geschätzte Risikoausgleichssätze, pro Monat in CHF (ohne Entlastung junge Erwachsene)</v>
      </c>
      <c r="E5968" s="1390">
        <f>Risk_Compensation!$AJ73</f>
        <v>56</v>
      </c>
      <c r="F5968" s="1390" t="str">
        <f>Risk_Compensation!$V$17</f>
        <v>OW</v>
      </c>
      <c r="G5968" s="1390"/>
      <c r="H5968" s="1077">
        <f>Risk_Compensation!$AY73</f>
        <v>100.06290668059</v>
      </c>
    </row>
    <row r="5969" spans="1:8" x14ac:dyDescent="0.2">
      <c r="A5969" s="1027"/>
      <c r="B5969" s="1083">
        <f>Risk_Compensation!A$1</f>
        <v>36</v>
      </c>
      <c r="C5969" s="1390" t="str">
        <f>Risk_Compensation!$B$1</f>
        <v xml:space="preserve">Risikoausgleich </v>
      </c>
      <c r="D5969" s="1743" t="str">
        <f>Risk_Compensation!$AJ$14</f>
        <v>geschätzte Risikoausgleichssätze, pro Monat in CHF (ohne Entlastung junge Erwachsene)</v>
      </c>
      <c r="E5969" s="1390">
        <f>Risk_Compensation!$AJ74</f>
        <v>57</v>
      </c>
      <c r="F5969" s="1390" t="str">
        <f>Risk_Compensation!$V$17</f>
        <v>OW</v>
      </c>
      <c r="G5969" s="1390"/>
      <c r="H5969" s="1077">
        <f>Risk_Compensation!$AY74</f>
        <v>1040.58404782755</v>
      </c>
    </row>
    <row r="5970" spans="1:8" x14ac:dyDescent="0.2">
      <c r="A5970" s="1027"/>
      <c r="B5970" s="1083">
        <f>Risk_Compensation!A$1</f>
        <v>36</v>
      </c>
      <c r="C5970" s="1390" t="str">
        <f>Risk_Compensation!$B$1</f>
        <v xml:space="preserve">Risikoausgleich </v>
      </c>
      <c r="D5970" s="1743" t="str">
        <f>Risk_Compensation!$AJ$14</f>
        <v>geschätzte Risikoausgleichssätze, pro Monat in CHF (ohne Entlastung junge Erwachsene)</v>
      </c>
      <c r="E5970" s="1390">
        <f>Risk_Compensation!$AJ75</f>
        <v>58</v>
      </c>
      <c r="F5970" s="1390" t="str">
        <f>Risk_Compensation!$V$17</f>
        <v>OW</v>
      </c>
      <c r="G5970" s="1390"/>
      <c r="H5970" s="1077">
        <f>Risk_Compensation!$AY75</f>
        <v>299.46792933706797</v>
      </c>
    </row>
    <row r="5971" spans="1:8" x14ac:dyDescent="0.2">
      <c r="A5971" s="1027"/>
      <c r="B5971" s="1083">
        <f>Risk_Compensation!A$1</f>
        <v>36</v>
      </c>
      <c r="C5971" s="1390" t="str">
        <f>Risk_Compensation!$B$1</f>
        <v xml:space="preserve">Risikoausgleich </v>
      </c>
      <c r="D5971" s="1743" t="str">
        <f>Risk_Compensation!$AJ$14</f>
        <v>geschätzte Risikoausgleichssätze, pro Monat in CHF (ohne Entlastung junge Erwachsene)</v>
      </c>
      <c r="E5971" s="1390">
        <f>Risk_Compensation!$AJ76</f>
        <v>59</v>
      </c>
      <c r="F5971" s="1390" t="str">
        <f>Risk_Compensation!$V$17</f>
        <v>OW</v>
      </c>
      <c r="G5971" s="1390"/>
      <c r="H5971" s="1077">
        <f>Risk_Compensation!$AY76</f>
        <v>1133.11646867329</v>
      </c>
    </row>
    <row r="5972" spans="1:8" x14ac:dyDescent="0.2">
      <c r="A5972" s="1027"/>
      <c r="B5972" s="1083">
        <f>Risk_Compensation!A$1</f>
        <v>36</v>
      </c>
      <c r="C5972" s="1390" t="str">
        <f>Risk_Compensation!$B$1</f>
        <v xml:space="preserve">Risikoausgleich </v>
      </c>
      <c r="D5972" s="1743" t="str">
        <f>Risk_Compensation!$AJ$14</f>
        <v>geschätzte Risikoausgleichssätze, pro Monat in CHF (ohne Entlastung junge Erwachsene)</v>
      </c>
      <c r="E5972" s="1390">
        <f>Risk_Compensation!$AJ77</f>
        <v>60</v>
      </c>
      <c r="F5972" s="1390" t="str">
        <f>Risk_Compensation!$V$17</f>
        <v>OW</v>
      </c>
      <c r="G5972" s="1390"/>
      <c r="H5972" s="1077">
        <f>Risk_Compensation!$AY77</f>
        <v>404.84464987526599</v>
      </c>
    </row>
    <row r="5973" spans="1:8" x14ac:dyDescent="0.2">
      <c r="A5973" s="1027"/>
      <c r="B5973" s="2174"/>
      <c r="C5973" s="1390"/>
      <c r="D5973" s="2175"/>
      <c r="E5973" s="2176"/>
      <c r="F5973" s="1390"/>
      <c r="G5973" s="1390"/>
      <c r="H5973" s="1078"/>
    </row>
    <row r="5974" spans="1:8" x14ac:dyDescent="0.2">
      <c r="A5974" s="1027"/>
      <c r="B5974" s="1083">
        <f>Risk_Compensation!A$1</f>
        <v>36</v>
      </c>
      <c r="C5974" s="1390" t="str">
        <f>Risk_Compensation!$B$1</f>
        <v xml:space="preserve">Risikoausgleich </v>
      </c>
      <c r="D5974" s="1743" t="str">
        <f>Risk_Compensation!$AJ$14</f>
        <v>geschätzte Risikoausgleichssätze, pro Monat in CHF (ohne Entlastung junge Erwachsene)</v>
      </c>
      <c r="E5974" s="1390">
        <f>Risk_Compensation!$AJ18</f>
        <v>1</v>
      </c>
      <c r="F5974" s="1390" t="str">
        <f>Risk_Compensation!$W$17</f>
        <v>SG</v>
      </c>
      <c r="G5974" s="1390"/>
      <c r="H5974" s="1077">
        <f>Risk_Compensation!$AZ18</f>
        <v>299.275960693169</v>
      </c>
    </row>
    <row r="5975" spans="1:8" x14ac:dyDescent="0.2">
      <c r="A5975" s="1027"/>
      <c r="B5975" s="1083">
        <f>Risk_Compensation!A$1</f>
        <v>36</v>
      </c>
      <c r="C5975" s="1390" t="str">
        <f>Risk_Compensation!$B$1</f>
        <v xml:space="preserve">Risikoausgleich </v>
      </c>
      <c r="D5975" s="1743" t="str">
        <f>Risk_Compensation!$AJ$14</f>
        <v>geschätzte Risikoausgleichssätze, pro Monat in CHF (ohne Entlastung junge Erwachsene)</v>
      </c>
      <c r="E5975" s="1390">
        <f>Risk_Compensation!$AJ19</f>
        <v>2</v>
      </c>
      <c r="F5975" s="1390" t="str">
        <f>Risk_Compensation!$W$17</f>
        <v>SG</v>
      </c>
      <c r="G5975" s="1390"/>
      <c r="H5975" s="1077">
        <f>Risk_Compensation!$AZ19</f>
        <v>-273.655753609393</v>
      </c>
    </row>
    <row r="5976" spans="1:8" x14ac:dyDescent="0.2">
      <c r="A5976" s="1027"/>
      <c r="B5976" s="1083">
        <f>Risk_Compensation!A$1</f>
        <v>36</v>
      </c>
      <c r="C5976" s="1390" t="str">
        <f>Risk_Compensation!$B$1</f>
        <v xml:space="preserve">Risikoausgleich </v>
      </c>
      <c r="D5976" s="1743" t="str">
        <f>Risk_Compensation!$AJ$14</f>
        <v>geschätzte Risikoausgleichssätze, pro Monat in CHF (ohne Entlastung junge Erwachsene)</v>
      </c>
      <c r="E5976" s="1390">
        <f>Risk_Compensation!$AJ20</f>
        <v>3</v>
      </c>
      <c r="F5976" s="1390" t="str">
        <f>Risk_Compensation!$W$17</f>
        <v>SG</v>
      </c>
      <c r="G5976" s="1390"/>
      <c r="H5976" s="1077">
        <f>Risk_Compensation!$AZ20</f>
        <v>463.92347323965998</v>
      </c>
    </row>
    <row r="5977" spans="1:8" x14ac:dyDescent="0.2">
      <c r="A5977" s="1027"/>
      <c r="B5977" s="1083">
        <f>Risk_Compensation!A$1</f>
        <v>36</v>
      </c>
      <c r="C5977" s="1390" t="str">
        <f>Risk_Compensation!$B$1</f>
        <v xml:space="preserve">Risikoausgleich </v>
      </c>
      <c r="D5977" s="1743" t="str">
        <f>Risk_Compensation!$AJ$14</f>
        <v>geschätzte Risikoausgleichssätze, pro Monat in CHF (ohne Entlastung junge Erwachsene)</v>
      </c>
      <c r="E5977" s="1390">
        <f>Risk_Compensation!$AJ21</f>
        <v>4</v>
      </c>
      <c r="F5977" s="1390" t="str">
        <f>Risk_Compensation!$W$17</f>
        <v>SG</v>
      </c>
      <c r="G5977" s="1390"/>
      <c r="H5977" s="1077">
        <f>Risk_Compensation!$AZ21</f>
        <v>-284.26912320152798</v>
      </c>
    </row>
    <row r="5978" spans="1:8" x14ac:dyDescent="0.2">
      <c r="A5978" s="1027"/>
      <c r="B5978" s="1083">
        <f>Risk_Compensation!A$1</f>
        <v>36</v>
      </c>
      <c r="C5978" s="1390" t="str">
        <f>Risk_Compensation!$B$1</f>
        <v xml:space="preserve">Risikoausgleich </v>
      </c>
      <c r="D5978" s="1743" t="str">
        <f>Risk_Compensation!$AJ$14</f>
        <v>geschätzte Risikoausgleichssätze, pro Monat in CHF (ohne Entlastung junge Erwachsene)</v>
      </c>
      <c r="E5978" s="1390">
        <f>Risk_Compensation!$AJ22</f>
        <v>5</v>
      </c>
      <c r="F5978" s="1390" t="str">
        <f>Risk_Compensation!$W$17</f>
        <v>SG</v>
      </c>
      <c r="G5978" s="1390"/>
      <c r="H5978" s="1077">
        <f>Risk_Compensation!$AZ22</f>
        <v>410.93897548455999</v>
      </c>
    </row>
    <row r="5979" spans="1:8" x14ac:dyDescent="0.2">
      <c r="A5979" s="1027"/>
      <c r="B5979" s="1083">
        <f>Risk_Compensation!A$1</f>
        <v>36</v>
      </c>
      <c r="C5979" s="1390" t="str">
        <f>Risk_Compensation!$B$1</f>
        <v xml:space="preserve">Risikoausgleich </v>
      </c>
      <c r="D5979" s="1743" t="str">
        <f>Risk_Compensation!$AJ$14</f>
        <v>geschätzte Risikoausgleichssätze, pro Monat in CHF (ohne Entlastung junge Erwachsene)</v>
      </c>
      <c r="E5979" s="1390">
        <f>Risk_Compensation!$AJ23</f>
        <v>6</v>
      </c>
      <c r="F5979" s="1390" t="str">
        <f>Risk_Compensation!$W$17</f>
        <v>SG</v>
      </c>
      <c r="G5979" s="1390"/>
      <c r="H5979" s="1077">
        <f>Risk_Compensation!$AZ23</f>
        <v>-284.31355549665301</v>
      </c>
    </row>
    <row r="5980" spans="1:8" x14ac:dyDescent="0.2">
      <c r="A5980" s="1027"/>
      <c r="B5980" s="1083">
        <f>Risk_Compensation!A$1</f>
        <v>36</v>
      </c>
      <c r="C5980" s="1390" t="str">
        <f>Risk_Compensation!$B$1</f>
        <v xml:space="preserve">Risikoausgleich </v>
      </c>
      <c r="D5980" s="1743" t="str">
        <f>Risk_Compensation!$AJ$14</f>
        <v>geschätzte Risikoausgleichssätze, pro Monat in CHF (ohne Entlastung junge Erwachsene)</v>
      </c>
      <c r="E5980" s="1390">
        <f>Risk_Compensation!$AJ24</f>
        <v>7</v>
      </c>
      <c r="F5980" s="1390" t="str">
        <f>Risk_Compensation!$W$17</f>
        <v>SG</v>
      </c>
      <c r="G5980" s="1390"/>
      <c r="H5980" s="1077">
        <f>Risk_Compensation!$AZ24</f>
        <v>522.56174355432199</v>
      </c>
    </row>
    <row r="5981" spans="1:8" x14ac:dyDescent="0.2">
      <c r="A5981" s="1027"/>
      <c r="B5981" s="1083">
        <f>Risk_Compensation!A$1</f>
        <v>36</v>
      </c>
      <c r="C5981" s="1390" t="str">
        <f>Risk_Compensation!$B$1</f>
        <v xml:space="preserve">Risikoausgleich </v>
      </c>
      <c r="D5981" s="1743" t="str">
        <f>Risk_Compensation!$AJ$14</f>
        <v>geschätzte Risikoausgleichssätze, pro Monat in CHF (ohne Entlastung junge Erwachsene)</v>
      </c>
      <c r="E5981" s="1390">
        <f>Risk_Compensation!$AJ25</f>
        <v>8</v>
      </c>
      <c r="F5981" s="1390" t="str">
        <f>Risk_Compensation!$W$17</f>
        <v>SG</v>
      </c>
      <c r="G5981" s="1390"/>
      <c r="H5981" s="1077">
        <f>Risk_Compensation!$AZ25</f>
        <v>-272.77096952114698</v>
      </c>
    </row>
    <row r="5982" spans="1:8" x14ac:dyDescent="0.2">
      <c r="A5982" s="1027"/>
      <c r="B5982" s="1083">
        <f>Risk_Compensation!A$1</f>
        <v>36</v>
      </c>
      <c r="C5982" s="1390" t="str">
        <f>Risk_Compensation!$B$1</f>
        <v xml:space="preserve">Risikoausgleich </v>
      </c>
      <c r="D5982" s="1743" t="str">
        <f>Risk_Compensation!$AJ$14</f>
        <v>geschätzte Risikoausgleichssätze, pro Monat in CHF (ohne Entlastung junge Erwachsene)</v>
      </c>
      <c r="E5982" s="1390">
        <f>Risk_Compensation!$AJ26</f>
        <v>9</v>
      </c>
      <c r="F5982" s="1390" t="str">
        <f>Risk_Compensation!$W$17</f>
        <v>SG</v>
      </c>
      <c r="G5982" s="1390"/>
      <c r="H5982" s="1077">
        <f>Risk_Compensation!$AZ26</f>
        <v>304.41727554070002</v>
      </c>
    </row>
    <row r="5983" spans="1:8" x14ac:dyDescent="0.2">
      <c r="A5983" s="1027"/>
      <c r="B5983" s="1083">
        <f>Risk_Compensation!A$1</f>
        <v>36</v>
      </c>
      <c r="C5983" s="1390" t="str">
        <f>Risk_Compensation!$B$1</f>
        <v xml:space="preserve">Risikoausgleich </v>
      </c>
      <c r="D5983" s="1743" t="str">
        <f>Risk_Compensation!$AJ$14</f>
        <v>geschätzte Risikoausgleichssätze, pro Monat in CHF (ohne Entlastung junge Erwachsene)</v>
      </c>
      <c r="E5983" s="1390">
        <f>Risk_Compensation!$AJ27</f>
        <v>10</v>
      </c>
      <c r="F5983" s="1390" t="str">
        <f>Risk_Compensation!$W$17</f>
        <v>SG</v>
      </c>
      <c r="G5983" s="1390"/>
      <c r="H5983" s="1077">
        <f>Risk_Compensation!$AZ27</f>
        <v>-268.59013559178197</v>
      </c>
    </row>
    <row r="5984" spans="1:8" x14ac:dyDescent="0.2">
      <c r="A5984" s="1027"/>
      <c r="B5984" s="1083">
        <f>Risk_Compensation!A$1</f>
        <v>36</v>
      </c>
      <c r="C5984" s="1390" t="str">
        <f>Risk_Compensation!$B$1</f>
        <v xml:space="preserve">Risikoausgleich </v>
      </c>
      <c r="D5984" s="1743" t="str">
        <f>Risk_Compensation!$AJ$14</f>
        <v>geschätzte Risikoausgleichssätze, pro Monat in CHF (ohne Entlastung junge Erwachsene)</v>
      </c>
      <c r="E5984" s="1390">
        <f>Risk_Compensation!$AJ28</f>
        <v>11</v>
      </c>
      <c r="F5984" s="1390" t="str">
        <f>Risk_Compensation!$W$17</f>
        <v>SG</v>
      </c>
      <c r="G5984" s="1390"/>
      <c r="H5984" s="1077">
        <f>Risk_Compensation!$AZ28</f>
        <v>356.12818956786901</v>
      </c>
    </row>
    <row r="5985" spans="1:8" x14ac:dyDescent="0.2">
      <c r="A5985" s="1027"/>
      <c r="B5985" s="1083">
        <f>Risk_Compensation!A$1</f>
        <v>36</v>
      </c>
      <c r="C5985" s="1390" t="str">
        <f>Risk_Compensation!$B$1</f>
        <v xml:space="preserve">Risikoausgleich </v>
      </c>
      <c r="D5985" s="1743" t="str">
        <f>Risk_Compensation!$AJ$14</f>
        <v>geschätzte Risikoausgleichssätze, pro Monat in CHF (ohne Entlastung junge Erwachsene)</v>
      </c>
      <c r="E5985" s="1390">
        <f>Risk_Compensation!$AJ29</f>
        <v>12</v>
      </c>
      <c r="F5985" s="1390" t="str">
        <f>Risk_Compensation!$W$17</f>
        <v>SG</v>
      </c>
      <c r="G5985" s="1390"/>
      <c r="H5985" s="1077">
        <f>Risk_Compensation!$AZ29</f>
        <v>-255.622230850953</v>
      </c>
    </row>
    <row r="5986" spans="1:8" x14ac:dyDescent="0.2">
      <c r="A5986" s="1027"/>
      <c r="B5986" s="1083">
        <f>Risk_Compensation!A$1</f>
        <v>36</v>
      </c>
      <c r="C5986" s="1390" t="str">
        <f>Risk_Compensation!$B$1</f>
        <v xml:space="preserve">Risikoausgleich </v>
      </c>
      <c r="D5986" s="1743" t="str">
        <f>Risk_Compensation!$AJ$14</f>
        <v>geschätzte Risikoausgleichssätze, pro Monat in CHF (ohne Entlastung junge Erwachsene)</v>
      </c>
      <c r="E5986" s="1390">
        <f>Risk_Compensation!$AJ30</f>
        <v>13</v>
      </c>
      <c r="F5986" s="1390" t="str">
        <f>Risk_Compensation!$W$17</f>
        <v>SG</v>
      </c>
      <c r="G5986" s="1390"/>
      <c r="H5986" s="1077">
        <f>Risk_Compensation!$AZ30</f>
        <v>419.00159613729898</v>
      </c>
    </row>
    <row r="5987" spans="1:8" x14ac:dyDescent="0.2">
      <c r="A5987" s="1027"/>
      <c r="B5987" s="1083">
        <f>Risk_Compensation!A$1</f>
        <v>36</v>
      </c>
      <c r="C5987" s="1390" t="str">
        <f>Risk_Compensation!$B$1</f>
        <v xml:space="preserve">Risikoausgleich </v>
      </c>
      <c r="D5987" s="1743" t="str">
        <f>Risk_Compensation!$AJ$14</f>
        <v>geschätzte Risikoausgleichssätze, pro Monat in CHF (ohne Entlastung junge Erwachsene)</v>
      </c>
      <c r="E5987" s="1390">
        <f>Risk_Compensation!$AJ31</f>
        <v>14</v>
      </c>
      <c r="F5987" s="1390" t="str">
        <f>Risk_Compensation!$W$17</f>
        <v>SG</v>
      </c>
      <c r="G5987" s="1390"/>
      <c r="H5987" s="1077">
        <f>Risk_Compensation!$AZ31</f>
        <v>-228.76047673970399</v>
      </c>
    </row>
    <row r="5988" spans="1:8" x14ac:dyDescent="0.2">
      <c r="A5988" s="1027"/>
      <c r="B5988" s="1083">
        <f>Risk_Compensation!A$1</f>
        <v>36</v>
      </c>
      <c r="C5988" s="1390" t="str">
        <f>Risk_Compensation!$B$1</f>
        <v xml:space="preserve">Risikoausgleich </v>
      </c>
      <c r="D5988" s="1743" t="str">
        <f>Risk_Compensation!$AJ$14</f>
        <v>geschätzte Risikoausgleichssätze, pro Monat in CHF (ohne Entlastung junge Erwachsene)</v>
      </c>
      <c r="E5988" s="1390">
        <f>Risk_Compensation!$AJ32</f>
        <v>15</v>
      </c>
      <c r="F5988" s="1390" t="str">
        <f>Risk_Compensation!$W$17</f>
        <v>SG</v>
      </c>
      <c r="G5988" s="1390"/>
      <c r="H5988" s="1077">
        <f>Risk_Compensation!$AZ32</f>
        <v>337.11185347302302</v>
      </c>
    </row>
    <row r="5989" spans="1:8" x14ac:dyDescent="0.2">
      <c r="A5989" s="1027"/>
      <c r="B5989" s="1083">
        <f>Risk_Compensation!A$1</f>
        <v>36</v>
      </c>
      <c r="C5989" s="1390" t="str">
        <f>Risk_Compensation!$B$1</f>
        <v xml:space="preserve">Risikoausgleich </v>
      </c>
      <c r="D5989" s="1743" t="str">
        <f>Risk_Compensation!$AJ$14</f>
        <v>geschätzte Risikoausgleichssätze, pro Monat in CHF (ohne Entlastung junge Erwachsene)</v>
      </c>
      <c r="E5989" s="1390">
        <f>Risk_Compensation!$AJ33</f>
        <v>16</v>
      </c>
      <c r="F5989" s="1390" t="str">
        <f>Risk_Compensation!$W$17</f>
        <v>SG</v>
      </c>
      <c r="G5989" s="1390"/>
      <c r="H5989" s="1077">
        <f>Risk_Compensation!$AZ33</f>
        <v>-189.55195542247901</v>
      </c>
    </row>
    <row r="5990" spans="1:8" x14ac:dyDescent="0.2">
      <c r="A5990" s="1027"/>
      <c r="B5990" s="1083">
        <f>Risk_Compensation!A$1</f>
        <v>36</v>
      </c>
      <c r="C5990" s="1390" t="str">
        <f>Risk_Compensation!$B$1</f>
        <v xml:space="preserve">Risikoausgleich </v>
      </c>
      <c r="D5990" s="1743" t="str">
        <f>Risk_Compensation!$AJ$14</f>
        <v>geschätzte Risikoausgleichssätze, pro Monat in CHF (ohne Entlastung junge Erwachsene)</v>
      </c>
      <c r="E5990" s="1390">
        <f>Risk_Compensation!$AJ34</f>
        <v>17</v>
      </c>
      <c r="F5990" s="1390" t="str">
        <f>Risk_Compensation!$W$17</f>
        <v>SG</v>
      </c>
      <c r="G5990" s="1390"/>
      <c r="H5990" s="1077">
        <f>Risk_Compensation!$AZ34</f>
        <v>492.97621457112001</v>
      </c>
    </row>
    <row r="5991" spans="1:8" x14ac:dyDescent="0.2">
      <c r="A5991" s="1027"/>
      <c r="B5991" s="1083">
        <f>Risk_Compensation!A$1</f>
        <v>36</v>
      </c>
      <c r="C5991" s="1390" t="str">
        <f>Risk_Compensation!$B$1</f>
        <v xml:space="preserve">Risikoausgleich </v>
      </c>
      <c r="D5991" s="1743" t="str">
        <f>Risk_Compensation!$AJ$14</f>
        <v>geschätzte Risikoausgleichssätze, pro Monat in CHF (ohne Entlastung junge Erwachsene)</v>
      </c>
      <c r="E5991" s="1390">
        <f>Risk_Compensation!$AJ35</f>
        <v>18</v>
      </c>
      <c r="F5991" s="1390" t="str">
        <f>Risk_Compensation!$W$17</f>
        <v>SG</v>
      </c>
      <c r="G5991" s="1390"/>
      <c r="H5991" s="1077">
        <f>Risk_Compensation!$AZ35</f>
        <v>-159.70472368252899</v>
      </c>
    </row>
    <row r="5992" spans="1:8" x14ac:dyDescent="0.2">
      <c r="A5992" s="1027"/>
      <c r="B5992" s="1083">
        <f>Risk_Compensation!A$1</f>
        <v>36</v>
      </c>
      <c r="C5992" s="1390" t="str">
        <f>Risk_Compensation!$B$1</f>
        <v xml:space="preserve">Risikoausgleich </v>
      </c>
      <c r="D5992" s="1743" t="str">
        <f>Risk_Compensation!$AJ$14</f>
        <v>geschätzte Risikoausgleichssätze, pro Monat in CHF (ohne Entlastung junge Erwachsene)</v>
      </c>
      <c r="E5992" s="1390">
        <f>Risk_Compensation!$AJ36</f>
        <v>19</v>
      </c>
      <c r="F5992" s="1390" t="str">
        <f>Risk_Compensation!$W$17</f>
        <v>SG</v>
      </c>
      <c r="G5992" s="1390"/>
      <c r="H5992" s="1077">
        <f>Risk_Compensation!$AZ36</f>
        <v>425.406594602452</v>
      </c>
    </row>
    <row r="5993" spans="1:8" x14ac:dyDescent="0.2">
      <c r="A5993" s="1027"/>
      <c r="B5993" s="1083">
        <f>Risk_Compensation!A$1</f>
        <v>36</v>
      </c>
      <c r="C5993" s="1390" t="str">
        <f>Risk_Compensation!$B$1</f>
        <v xml:space="preserve">Risikoausgleich </v>
      </c>
      <c r="D5993" s="1743" t="str">
        <f>Risk_Compensation!$AJ$14</f>
        <v>geschätzte Risikoausgleichssätze, pro Monat in CHF (ohne Entlastung junge Erwachsene)</v>
      </c>
      <c r="E5993" s="1390">
        <f>Risk_Compensation!$AJ37</f>
        <v>20</v>
      </c>
      <c r="F5993" s="1390" t="str">
        <f>Risk_Compensation!$W$17</f>
        <v>SG</v>
      </c>
      <c r="G5993" s="1390"/>
      <c r="H5993" s="1077">
        <f>Risk_Compensation!$AZ37</f>
        <v>-80.448116439318397</v>
      </c>
    </row>
    <row r="5994" spans="1:8" x14ac:dyDescent="0.2">
      <c r="A5994" s="1027"/>
      <c r="B5994" s="1083">
        <f>Risk_Compensation!A$1</f>
        <v>36</v>
      </c>
      <c r="C5994" s="1390" t="str">
        <f>Risk_Compensation!$B$1</f>
        <v xml:space="preserve">Risikoausgleich </v>
      </c>
      <c r="D5994" s="1743" t="str">
        <f>Risk_Compensation!$AJ$14</f>
        <v>geschätzte Risikoausgleichssätze, pro Monat in CHF (ohne Entlastung junge Erwachsene)</v>
      </c>
      <c r="E5994" s="1390">
        <f>Risk_Compensation!$AJ38</f>
        <v>21</v>
      </c>
      <c r="F5994" s="1390" t="str">
        <f>Risk_Compensation!$W$17</f>
        <v>SG</v>
      </c>
      <c r="G5994" s="1390"/>
      <c r="H5994" s="1077">
        <f>Risk_Compensation!$AZ38</f>
        <v>661.62355467727798</v>
      </c>
    </row>
    <row r="5995" spans="1:8" x14ac:dyDescent="0.2">
      <c r="A5995" s="1027"/>
      <c r="B5995" s="1083">
        <f>Risk_Compensation!A$1</f>
        <v>36</v>
      </c>
      <c r="C5995" s="1390" t="str">
        <f>Risk_Compensation!$B$1</f>
        <v xml:space="preserve">Risikoausgleich </v>
      </c>
      <c r="D5995" s="1743" t="str">
        <f>Risk_Compensation!$AJ$14</f>
        <v>geschätzte Risikoausgleichssätze, pro Monat in CHF (ohne Entlastung junge Erwachsene)</v>
      </c>
      <c r="E5995" s="1390">
        <f>Risk_Compensation!$AJ39</f>
        <v>22</v>
      </c>
      <c r="F5995" s="1390" t="str">
        <f>Risk_Compensation!$W$17</f>
        <v>SG</v>
      </c>
      <c r="G5995" s="1390"/>
      <c r="H5995" s="1077">
        <f>Risk_Compensation!$AZ39</f>
        <v>-9.5645982965842204</v>
      </c>
    </row>
    <row r="5996" spans="1:8" x14ac:dyDescent="0.2">
      <c r="A5996" s="1027"/>
      <c r="B5996" s="1083">
        <f>Risk_Compensation!A$1</f>
        <v>36</v>
      </c>
      <c r="C5996" s="1390" t="str">
        <f>Risk_Compensation!$B$1</f>
        <v xml:space="preserve">Risikoausgleich </v>
      </c>
      <c r="D5996" s="1743" t="str">
        <f>Risk_Compensation!$AJ$14</f>
        <v>geschätzte Risikoausgleichssätze, pro Monat in CHF (ohne Entlastung junge Erwachsene)</v>
      </c>
      <c r="E5996" s="1390">
        <f>Risk_Compensation!$AJ40</f>
        <v>23</v>
      </c>
      <c r="F5996" s="1390" t="str">
        <f>Risk_Compensation!$W$17</f>
        <v>SG</v>
      </c>
      <c r="G5996" s="1390"/>
      <c r="H5996" s="1077">
        <f>Risk_Compensation!$AZ40</f>
        <v>698.76058782649704</v>
      </c>
    </row>
    <row r="5997" spans="1:8" x14ac:dyDescent="0.2">
      <c r="A5997" s="1027"/>
      <c r="B5997" s="1083">
        <f>Risk_Compensation!A$1</f>
        <v>36</v>
      </c>
      <c r="C5997" s="1390" t="str">
        <f>Risk_Compensation!$B$1</f>
        <v xml:space="preserve">Risikoausgleich </v>
      </c>
      <c r="D5997" s="1743" t="str">
        <f>Risk_Compensation!$AJ$14</f>
        <v>geschätzte Risikoausgleichssätze, pro Monat in CHF (ohne Entlastung junge Erwachsene)</v>
      </c>
      <c r="E5997" s="1390">
        <f>Risk_Compensation!$AJ41</f>
        <v>24</v>
      </c>
      <c r="F5997" s="1390" t="str">
        <f>Risk_Compensation!$W$17</f>
        <v>SG</v>
      </c>
      <c r="G5997" s="1390"/>
      <c r="H5997" s="1077">
        <f>Risk_Compensation!$AZ41</f>
        <v>73.910184766148106</v>
      </c>
    </row>
    <row r="5998" spans="1:8" x14ac:dyDescent="0.2">
      <c r="A5998" s="1027"/>
      <c r="B5998" s="1083">
        <f>Risk_Compensation!A$1</f>
        <v>36</v>
      </c>
      <c r="C5998" s="1390" t="str">
        <f>Risk_Compensation!$B$1</f>
        <v xml:space="preserve">Risikoausgleich </v>
      </c>
      <c r="D5998" s="1743" t="str">
        <f>Risk_Compensation!$AJ$14</f>
        <v>geschätzte Risikoausgleichssätze, pro Monat in CHF (ohne Entlastung junge Erwachsene)</v>
      </c>
      <c r="E5998" s="1390">
        <f>Risk_Compensation!$AJ42</f>
        <v>25</v>
      </c>
      <c r="F5998" s="1390" t="str">
        <f>Risk_Compensation!$W$17</f>
        <v>SG</v>
      </c>
      <c r="G5998" s="1390"/>
      <c r="H5998" s="1077">
        <f>Risk_Compensation!$AZ42</f>
        <v>937.14439580142903</v>
      </c>
    </row>
    <row r="5999" spans="1:8" x14ac:dyDescent="0.2">
      <c r="A5999" s="1027"/>
      <c r="B5999" s="1083">
        <f>Risk_Compensation!A$1</f>
        <v>36</v>
      </c>
      <c r="C5999" s="1390" t="str">
        <f>Risk_Compensation!$B$1</f>
        <v xml:space="preserve">Risikoausgleich </v>
      </c>
      <c r="D5999" s="1743" t="str">
        <f>Risk_Compensation!$AJ$14</f>
        <v>geschätzte Risikoausgleichssätze, pro Monat in CHF (ohne Entlastung junge Erwachsene)</v>
      </c>
      <c r="E5999" s="1390">
        <f>Risk_Compensation!$AJ43</f>
        <v>26</v>
      </c>
      <c r="F5999" s="1390" t="str">
        <f>Risk_Compensation!$W$17</f>
        <v>SG</v>
      </c>
      <c r="G5999" s="1390"/>
      <c r="H5999" s="1077">
        <f>Risk_Compensation!$AZ43</f>
        <v>132.75792014286199</v>
      </c>
    </row>
    <row r="6000" spans="1:8" x14ac:dyDescent="0.2">
      <c r="A6000" s="1027"/>
      <c r="B6000" s="1083">
        <f>Risk_Compensation!A$1</f>
        <v>36</v>
      </c>
      <c r="C6000" s="1390" t="str">
        <f>Risk_Compensation!$B$1</f>
        <v xml:space="preserve">Risikoausgleich </v>
      </c>
      <c r="D6000" s="1743" t="str">
        <f>Risk_Compensation!$AJ$14</f>
        <v>geschätzte Risikoausgleichssätze, pro Monat in CHF (ohne Entlastung junge Erwachsene)</v>
      </c>
      <c r="E6000" s="1390">
        <f>Risk_Compensation!$AJ44</f>
        <v>27</v>
      </c>
      <c r="F6000" s="1390" t="str">
        <f>Risk_Compensation!$W$17</f>
        <v>SG</v>
      </c>
      <c r="G6000" s="1390"/>
      <c r="H6000" s="1077">
        <f>Risk_Compensation!$AZ44</f>
        <v>862.89146906738404</v>
      </c>
    </row>
    <row r="6001" spans="1:8" x14ac:dyDescent="0.2">
      <c r="A6001" s="1027"/>
      <c r="B6001" s="1083">
        <f>Risk_Compensation!A$1</f>
        <v>36</v>
      </c>
      <c r="C6001" s="1390" t="str">
        <f>Risk_Compensation!$B$1</f>
        <v xml:space="preserve">Risikoausgleich </v>
      </c>
      <c r="D6001" s="1743" t="str">
        <f>Risk_Compensation!$AJ$14</f>
        <v>geschätzte Risikoausgleichssätze, pro Monat in CHF (ohne Entlastung junge Erwachsene)</v>
      </c>
      <c r="E6001" s="1390">
        <f>Risk_Compensation!$AJ45</f>
        <v>28</v>
      </c>
      <c r="F6001" s="1390" t="str">
        <f>Risk_Compensation!$W$17</f>
        <v>SG</v>
      </c>
      <c r="G6001" s="1390"/>
      <c r="H6001" s="1077">
        <f>Risk_Compensation!$AZ45</f>
        <v>206.49721722699999</v>
      </c>
    </row>
    <row r="6002" spans="1:8" x14ac:dyDescent="0.2">
      <c r="A6002" s="1027"/>
      <c r="B6002" s="1083">
        <f>Risk_Compensation!A$1</f>
        <v>36</v>
      </c>
      <c r="C6002" s="1390" t="str">
        <f>Risk_Compensation!$B$1</f>
        <v xml:space="preserve">Risikoausgleich </v>
      </c>
      <c r="D6002" s="1743" t="str">
        <f>Risk_Compensation!$AJ$14</f>
        <v>geschätzte Risikoausgleichssätze, pro Monat in CHF (ohne Entlastung junge Erwachsene)</v>
      </c>
      <c r="E6002" s="1390">
        <f>Risk_Compensation!$AJ46</f>
        <v>29</v>
      </c>
      <c r="F6002" s="1390" t="str">
        <f>Risk_Compensation!$W$17</f>
        <v>SG</v>
      </c>
      <c r="G6002" s="1390"/>
      <c r="H6002" s="1077">
        <f>Risk_Compensation!$AZ46</f>
        <v>1154.6565345745</v>
      </c>
    </row>
    <row r="6003" spans="1:8" x14ac:dyDescent="0.2">
      <c r="A6003" s="1027"/>
      <c r="B6003" s="1083">
        <f>Risk_Compensation!A$1</f>
        <v>36</v>
      </c>
      <c r="C6003" s="1390" t="str">
        <f>Risk_Compensation!$B$1</f>
        <v xml:space="preserve">Risikoausgleich </v>
      </c>
      <c r="D6003" s="1743" t="str">
        <f>Risk_Compensation!$AJ$14</f>
        <v>geschätzte Risikoausgleichssätze, pro Monat in CHF (ohne Entlastung junge Erwachsene)</v>
      </c>
      <c r="E6003" s="1390">
        <f>Risk_Compensation!$AJ47</f>
        <v>30</v>
      </c>
      <c r="F6003" s="1390" t="str">
        <f>Risk_Compensation!$W$17</f>
        <v>SG</v>
      </c>
      <c r="G6003" s="1390"/>
      <c r="H6003" s="1077">
        <f>Risk_Compensation!$AZ47</f>
        <v>284.16908610316</v>
      </c>
    </row>
    <row r="6004" spans="1:8" x14ac:dyDescent="0.2">
      <c r="A6004" s="1027"/>
      <c r="B6004" s="1083">
        <f>Risk_Compensation!A$1</f>
        <v>36</v>
      </c>
      <c r="C6004" s="1390" t="str">
        <f>Risk_Compensation!$B$1</f>
        <v xml:space="preserve">Risikoausgleich </v>
      </c>
      <c r="D6004" s="1743" t="str">
        <f>Risk_Compensation!$AJ$14</f>
        <v>geschätzte Risikoausgleichssätze, pro Monat in CHF (ohne Entlastung junge Erwachsene)</v>
      </c>
      <c r="E6004" s="1390">
        <f>Risk_Compensation!$AJ48</f>
        <v>31</v>
      </c>
      <c r="F6004" s="1390" t="str">
        <f>Risk_Compensation!$W$17</f>
        <v>SG</v>
      </c>
      <c r="G6004" s="1390"/>
      <c r="H6004" s="1077">
        <f>Risk_Compensation!$AZ48</f>
        <v>434.84259461193</v>
      </c>
    </row>
    <row r="6005" spans="1:8" x14ac:dyDescent="0.2">
      <c r="A6005" s="1027"/>
      <c r="B6005" s="1083">
        <f>Risk_Compensation!A$1</f>
        <v>36</v>
      </c>
      <c r="C6005" s="1390" t="str">
        <f>Risk_Compensation!$B$1</f>
        <v xml:space="preserve">Risikoausgleich </v>
      </c>
      <c r="D6005" s="1743" t="str">
        <f>Risk_Compensation!$AJ$14</f>
        <v>geschätzte Risikoausgleichssätze, pro Monat in CHF (ohne Entlastung junge Erwachsene)</v>
      </c>
      <c r="E6005" s="1390">
        <f>Risk_Compensation!$AJ49</f>
        <v>32</v>
      </c>
      <c r="F6005" s="1390" t="str">
        <f>Risk_Compensation!$W$17</f>
        <v>SG</v>
      </c>
      <c r="G6005" s="1390"/>
      <c r="H6005" s="1077">
        <f>Risk_Compensation!$AZ49</f>
        <v>-222.463771821899</v>
      </c>
    </row>
    <row r="6006" spans="1:8" x14ac:dyDescent="0.2">
      <c r="A6006" s="1027"/>
      <c r="B6006" s="1083">
        <f>Risk_Compensation!A$1</f>
        <v>36</v>
      </c>
      <c r="C6006" s="1390" t="str">
        <f>Risk_Compensation!$B$1</f>
        <v xml:space="preserve">Risikoausgleich </v>
      </c>
      <c r="D6006" s="1743" t="str">
        <f>Risk_Compensation!$AJ$14</f>
        <v>geschätzte Risikoausgleichssätze, pro Monat in CHF (ohne Entlastung junge Erwachsene)</v>
      </c>
      <c r="E6006" s="1390">
        <f>Risk_Compensation!$AJ50</f>
        <v>33</v>
      </c>
      <c r="F6006" s="1390" t="str">
        <f>Risk_Compensation!$W$17</f>
        <v>SG</v>
      </c>
      <c r="G6006" s="1390"/>
      <c r="H6006" s="1077">
        <f>Risk_Compensation!$AZ50</f>
        <v>427.19305494572598</v>
      </c>
    </row>
    <row r="6007" spans="1:8" x14ac:dyDescent="0.2">
      <c r="A6007" s="1027"/>
      <c r="B6007" s="1083">
        <f>Risk_Compensation!A$1</f>
        <v>36</v>
      </c>
      <c r="C6007" s="1390" t="str">
        <f>Risk_Compensation!$B$1</f>
        <v xml:space="preserve">Risikoausgleich </v>
      </c>
      <c r="D6007" s="1743" t="str">
        <f>Risk_Compensation!$AJ$14</f>
        <v>geschätzte Risikoausgleichssätze, pro Monat in CHF (ohne Entlastung junge Erwachsene)</v>
      </c>
      <c r="E6007" s="1390">
        <f>Risk_Compensation!$AJ51</f>
        <v>34</v>
      </c>
      <c r="F6007" s="1390" t="str">
        <f>Risk_Compensation!$W$17</f>
        <v>SG</v>
      </c>
      <c r="G6007" s="1390"/>
      <c r="H6007" s="1077">
        <f>Risk_Compensation!$AZ51</f>
        <v>-165.89672452812499</v>
      </c>
    </row>
    <row r="6008" spans="1:8" x14ac:dyDescent="0.2">
      <c r="A6008" s="1027"/>
      <c r="B6008" s="1083">
        <f>Risk_Compensation!A$1</f>
        <v>36</v>
      </c>
      <c r="C6008" s="1390" t="str">
        <f>Risk_Compensation!$B$1</f>
        <v xml:space="preserve">Risikoausgleich </v>
      </c>
      <c r="D6008" s="1743" t="str">
        <f>Risk_Compensation!$AJ$14</f>
        <v>geschätzte Risikoausgleichssätze, pro Monat in CHF (ohne Entlastung junge Erwachsene)</v>
      </c>
      <c r="E6008" s="1390">
        <f>Risk_Compensation!$AJ52</f>
        <v>35</v>
      </c>
      <c r="F6008" s="1390" t="str">
        <f>Risk_Compensation!$W$17</f>
        <v>SG</v>
      </c>
      <c r="G6008" s="1390"/>
      <c r="H6008" s="1077">
        <f>Risk_Compensation!$AZ52</f>
        <v>428.83517162924699</v>
      </c>
    </row>
    <row r="6009" spans="1:8" x14ac:dyDescent="0.2">
      <c r="A6009" s="1027"/>
      <c r="B6009" s="1083">
        <f>Risk_Compensation!A$1</f>
        <v>36</v>
      </c>
      <c r="C6009" s="1390" t="str">
        <f>Risk_Compensation!$B$1</f>
        <v xml:space="preserve">Risikoausgleich </v>
      </c>
      <c r="D6009" s="1743" t="str">
        <f>Risk_Compensation!$AJ$14</f>
        <v>geschätzte Risikoausgleichssätze, pro Monat in CHF (ohne Entlastung junge Erwachsene)</v>
      </c>
      <c r="E6009" s="1390">
        <f>Risk_Compensation!$AJ53</f>
        <v>36</v>
      </c>
      <c r="F6009" s="1390" t="str">
        <f>Risk_Compensation!$W$17</f>
        <v>SG</v>
      </c>
      <c r="G6009" s="1390"/>
      <c r="H6009" s="1077">
        <f>Risk_Compensation!$AZ53</f>
        <v>-138.62999688292601</v>
      </c>
    </row>
    <row r="6010" spans="1:8" x14ac:dyDescent="0.2">
      <c r="A6010" s="1027"/>
      <c r="B6010" s="1083">
        <f>Risk_Compensation!A$1</f>
        <v>36</v>
      </c>
      <c r="C6010" s="1390" t="str">
        <f>Risk_Compensation!$B$1</f>
        <v xml:space="preserve">Risikoausgleich </v>
      </c>
      <c r="D6010" s="1743" t="str">
        <f>Risk_Compensation!$AJ$14</f>
        <v>geschätzte Risikoausgleichssätze, pro Monat in CHF (ohne Entlastung junge Erwachsene)</v>
      </c>
      <c r="E6010" s="1390">
        <f>Risk_Compensation!$AJ54</f>
        <v>37</v>
      </c>
      <c r="F6010" s="1390" t="str">
        <f>Risk_Compensation!$W$17</f>
        <v>SG</v>
      </c>
      <c r="G6010" s="1390"/>
      <c r="H6010" s="1077">
        <f>Risk_Compensation!$AZ54</f>
        <v>233.096376488212</v>
      </c>
    </row>
    <row r="6011" spans="1:8" x14ac:dyDescent="0.2">
      <c r="A6011" s="1027"/>
      <c r="B6011" s="1083">
        <f>Risk_Compensation!A$1</f>
        <v>36</v>
      </c>
      <c r="C6011" s="1390" t="str">
        <f>Risk_Compensation!$B$1</f>
        <v xml:space="preserve">Risikoausgleich </v>
      </c>
      <c r="D6011" s="1743" t="str">
        <f>Risk_Compensation!$AJ$14</f>
        <v>geschätzte Risikoausgleichssätze, pro Monat in CHF (ohne Entlastung junge Erwachsene)</v>
      </c>
      <c r="E6011" s="1390">
        <f>Risk_Compensation!$AJ55</f>
        <v>38</v>
      </c>
      <c r="F6011" s="1390" t="str">
        <f>Risk_Compensation!$W$17</f>
        <v>SG</v>
      </c>
      <c r="G6011" s="1390"/>
      <c r="H6011" s="1077">
        <f>Risk_Compensation!$AZ55</f>
        <v>-180.66343705552501</v>
      </c>
    </row>
    <row r="6012" spans="1:8" x14ac:dyDescent="0.2">
      <c r="A6012" s="1027"/>
      <c r="B6012" s="1083">
        <f>Risk_Compensation!A$1</f>
        <v>36</v>
      </c>
      <c r="C6012" s="1390" t="str">
        <f>Risk_Compensation!$B$1</f>
        <v xml:space="preserve">Risikoausgleich </v>
      </c>
      <c r="D6012" s="1743" t="str">
        <f>Risk_Compensation!$AJ$14</f>
        <v>geschätzte Risikoausgleichssätze, pro Monat in CHF (ohne Entlastung junge Erwachsene)</v>
      </c>
      <c r="E6012" s="1390">
        <f>Risk_Compensation!$AJ56</f>
        <v>39</v>
      </c>
      <c r="F6012" s="1390" t="str">
        <f>Risk_Compensation!$W$17</f>
        <v>SG</v>
      </c>
      <c r="G6012" s="1390"/>
      <c r="H6012" s="1077">
        <f>Risk_Compensation!$AZ56</f>
        <v>232.03170432260799</v>
      </c>
    </row>
    <row r="6013" spans="1:8" x14ac:dyDescent="0.2">
      <c r="A6013" s="1027"/>
      <c r="B6013" s="1083">
        <f>Risk_Compensation!A$1</f>
        <v>36</v>
      </c>
      <c r="C6013" s="1390" t="str">
        <f>Risk_Compensation!$B$1</f>
        <v xml:space="preserve">Risikoausgleich </v>
      </c>
      <c r="D6013" s="1743" t="str">
        <f>Risk_Compensation!$AJ$14</f>
        <v>geschätzte Risikoausgleichssätze, pro Monat in CHF (ohne Entlastung junge Erwachsene)</v>
      </c>
      <c r="E6013" s="1390">
        <f>Risk_Compensation!$AJ57</f>
        <v>40</v>
      </c>
      <c r="F6013" s="1390" t="str">
        <f>Risk_Compensation!$W$17</f>
        <v>SG</v>
      </c>
      <c r="G6013" s="1390"/>
      <c r="H6013" s="1077">
        <f>Risk_Compensation!$AZ57</f>
        <v>-215.174628902965</v>
      </c>
    </row>
    <row r="6014" spans="1:8" x14ac:dyDescent="0.2">
      <c r="A6014" s="1027"/>
      <c r="B6014" s="1083">
        <f>Risk_Compensation!A$1</f>
        <v>36</v>
      </c>
      <c r="C6014" s="1390" t="str">
        <f>Risk_Compensation!$B$1</f>
        <v xml:space="preserve">Risikoausgleich </v>
      </c>
      <c r="D6014" s="1743" t="str">
        <f>Risk_Compensation!$AJ$14</f>
        <v>geschätzte Risikoausgleichssätze, pro Monat in CHF (ohne Entlastung junge Erwachsene)</v>
      </c>
      <c r="E6014" s="1390">
        <f>Risk_Compensation!$AJ58</f>
        <v>41</v>
      </c>
      <c r="F6014" s="1390" t="str">
        <f>Risk_Compensation!$W$17</f>
        <v>SG</v>
      </c>
      <c r="G6014" s="1390"/>
      <c r="H6014" s="1077">
        <f>Risk_Compensation!$AZ58</f>
        <v>305.558527297632</v>
      </c>
    </row>
    <row r="6015" spans="1:8" x14ac:dyDescent="0.2">
      <c r="A6015" s="1027"/>
      <c r="B6015" s="1083">
        <f>Risk_Compensation!A$1</f>
        <v>36</v>
      </c>
      <c r="C6015" s="1390" t="str">
        <f>Risk_Compensation!$B$1</f>
        <v xml:space="preserve">Risikoausgleich </v>
      </c>
      <c r="D6015" s="1743" t="str">
        <f>Risk_Compensation!$AJ$14</f>
        <v>geschätzte Risikoausgleichssätze, pro Monat in CHF (ohne Entlastung junge Erwachsene)</v>
      </c>
      <c r="E6015" s="1390">
        <f>Risk_Compensation!$AJ59</f>
        <v>42</v>
      </c>
      <c r="F6015" s="1390" t="str">
        <f>Risk_Compensation!$W$17</f>
        <v>SG</v>
      </c>
      <c r="G6015" s="1390"/>
      <c r="H6015" s="1077">
        <f>Risk_Compensation!$AZ59</f>
        <v>-207.380625433853</v>
      </c>
    </row>
    <row r="6016" spans="1:8" x14ac:dyDescent="0.2">
      <c r="A6016" s="1027"/>
      <c r="B6016" s="1083">
        <f>Risk_Compensation!A$1</f>
        <v>36</v>
      </c>
      <c r="C6016" s="1390" t="str">
        <f>Risk_Compensation!$B$1</f>
        <v xml:space="preserve">Risikoausgleich </v>
      </c>
      <c r="D6016" s="1743" t="str">
        <f>Risk_Compensation!$AJ$14</f>
        <v>geschätzte Risikoausgleichssätze, pro Monat in CHF (ohne Entlastung junge Erwachsene)</v>
      </c>
      <c r="E6016" s="1390">
        <f>Risk_Compensation!$AJ60</f>
        <v>43</v>
      </c>
      <c r="F6016" s="1390" t="str">
        <f>Risk_Compensation!$W$17</f>
        <v>SG</v>
      </c>
      <c r="G6016" s="1390"/>
      <c r="H6016" s="1077">
        <f>Risk_Compensation!$AZ60</f>
        <v>421.11096956298098</v>
      </c>
    </row>
    <row r="6017" spans="1:8" x14ac:dyDescent="0.2">
      <c r="A6017" s="1027"/>
      <c r="B6017" s="1083">
        <f>Risk_Compensation!A$1</f>
        <v>36</v>
      </c>
      <c r="C6017" s="1390" t="str">
        <f>Risk_Compensation!$B$1</f>
        <v xml:space="preserve">Risikoausgleich </v>
      </c>
      <c r="D6017" s="1743" t="str">
        <f>Risk_Compensation!$AJ$14</f>
        <v>geschätzte Risikoausgleichssätze, pro Monat in CHF (ohne Entlastung junge Erwachsene)</v>
      </c>
      <c r="E6017" s="1390">
        <f>Risk_Compensation!$AJ61</f>
        <v>44</v>
      </c>
      <c r="F6017" s="1390" t="str">
        <f>Risk_Compensation!$W$17</f>
        <v>SG</v>
      </c>
      <c r="G6017" s="1390"/>
      <c r="H6017" s="1077">
        <f>Risk_Compensation!$AZ61</f>
        <v>-190.00963010950201</v>
      </c>
    </row>
    <row r="6018" spans="1:8" x14ac:dyDescent="0.2">
      <c r="A6018" s="1027"/>
      <c r="B6018" s="1083">
        <f>Risk_Compensation!A$1</f>
        <v>36</v>
      </c>
      <c r="C6018" s="1390" t="str">
        <f>Risk_Compensation!$B$1</f>
        <v xml:space="preserve">Risikoausgleich </v>
      </c>
      <c r="D6018" s="1743" t="str">
        <f>Risk_Compensation!$AJ$14</f>
        <v>geschätzte Risikoausgleichssätze, pro Monat in CHF (ohne Entlastung junge Erwachsene)</v>
      </c>
      <c r="E6018" s="1390">
        <f>Risk_Compensation!$AJ62</f>
        <v>45</v>
      </c>
      <c r="F6018" s="1390" t="str">
        <f>Risk_Compensation!$W$17</f>
        <v>SG</v>
      </c>
      <c r="G6018" s="1390"/>
      <c r="H6018" s="1077">
        <f>Risk_Compensation!$AZ62</f>
        <v>259.41548704201102</v>
      </c>
    </row>
    <row r="6019" spans="1:8" x14ac:dyDescent="0.2">
      <c r="A6019" s="1027"/>
      <c r="B6019" s="1083">
        <f>Risk_Compensation!A$1</f>
        <v>36</v>
      </c>
      <c r="C6019" s="1390" t="str">
        <f>Risk_Compensation!$B$1</f>
        <v xml:space="preserve">Risikoausgleich </v>
      </c>
      <c r="D6019" s="1743" t="str">
        <f>Risk_Compensation!$AJ$14</f>
        <v>geschätzte Risikoausgleichssätze, pro Monat in CHF (ohne Entlastung junge Erwachsene)</v>
      </c>
      <c r="E6019" s="1390">
        <f>Risk_Compensation!$AJ63</f>
        <v>46</v>
      </c>
      <c r="F6019" s="1390" t="str">
        <f>Risk_Compensation!$W$17</f>
        <v>SG</v>
      </c>
      <c r="G6019" s="1390"/>
      <c r="H6019" s="1077">
        <f>Risk_Compensation!$AZ63</f>
        <v>-191.607357024121</v>
      </c>
    </row>
    <row r="6020" spans="1:8" x14ac:dyDescent="0.2">
      <c r="A6020" s="1027"/>
      <c r="B6020" s="1083">
        <f>Risk_Compensation!A$1</f>
        <v>36</v>
      </c>
      <c r="C6020" s="1390" t="str">
        <f>Risk_Compensation!$B$1</f>
        <v xml:space="preserve">Risikoausgleich </v>
      </c>
      <c r="D6020" s="1743" t="str">
        <f>Risk_Compensation!$AJ$14</f>
        <v>geschätzte Risikoausgleichssätze, pro Monat in CHF (ohne Entlastung junge Erwachsene)</v>
      </c>
      <c r="E6020" s="1390">
        <f>Risk_Compensation!$AJ64</f>
        <v>47</v>
      </c>
      <c r="F6020" s="1390" t="str">
        <f>Risk_Compensation!$W$17</f>
        <v>SG</v>
      </c>
      <c r="G6020" s="1390"/>
      <c r="H6020" s="1077">
        <f>Risk_Compensation!$AZ64</f>
        <v>429.00667663532198</v>
      </c>
    </row>
    <row r="6021" spans="1:8" x14ac:dyDescent="0.2">
      <c r="A6021" s="1027"/>
      <c r="B6021" s="1083">
        <f>Risk_Compensation!A$1</f>
        <v>36</v>
      </c>
      <c r="C6021" s="1390" t="str">
        <f>Risk_Compensation!$B$1</f>
        <v xml:space="preserve">Risikoausgleich </v>
      </c>
      <c r="D6021" s="1743" t="str">
        <f>Risk_Compensation!$AJ$14</f>
        <v>geschätzte Risikoausgleichssätze, pro Monat in CHF (ohne Entlastung junge Erwachsene)</v>
      </c>
      <c r="E6021" s="1390">
        <f>Risk_Compensation!$AJ65</f>
        <v>48</v>
      </c>
      <c r="F6021" s="1390" t="str">
        <f>Risk_Compensation!$W$17</f>
        <v>SG</v>
      </c>
      <c r="G6021" s="1390"/>
      <c r="H6021" s="1077">
        <f>Risk_Compensation!$AZ65</f>
        <v>-149.12658501302499</v>
      </c>
    </row>
    <row r="6022" spans="1:8" x14ac:dyDescent="0.2">
      <c r="A6022" s="1027"/>
      <c r="B6022" s="1083">
        <f>Risk_Compensation!A$1</f>
        <v>36</v>
      </c>
      <c r="C6022" s="1390" t="str">
        <f>Risk_Compensation!$B$1</f>
        <v xml:space="preserve">Risikoausgleich </v>
      </c>
      <c r="D6022" s="1743" t="str">
        <f>Risk_Compensation!$AJ$14</f>
        <v>geschätzte Risikoausgleichssätze, pro Monat in CHF (ohne Entlastung junge Erwachsene)</v>
      </c>
      <c r="E6022" s="1390">
        <f>Risk_Compensation!$AJ66</f>
        <v>49</v>
      </c>
      <c r="F6022" s="1390" t="str">
        <f>Risk_Compensation!$W$17</f>
        <v>SG</v>
      </c>
      <c r="G6022" s="1390"/>
      <c r="H6022" s="1077">
        <f>Risk_Compensation!$AZ66</f>
        <v>397.961942719533</v>
      </c>
    </row>
    <row r="6023" spans="1:8" x14ac:dyDescent="0.2">
      <c r="A6023" s="1027"/>
      <c r="B6023" s="1083">
        <f>Risk_Compensation!A$1</f>
        <v>36</v>
      </c>
      <c r="C6023" s="1390" t="str">
        <f>Risk_Compensation!$B$1</f>
        <v xml:space="preserve">Risikoausgleich </v>
      </c>
      <c r="D6023" s="1743" t="str">
        <f>Risk_Compensation!$AJ$14</f>
        <v>geschätzte Risikoausgleichssätze, pro Monat in CHF (ohne Entlastung junge Erwachsene)</v>
      </c>
      <c r="E6023" s="1390">
        <f>Risk_Compensation!$AJ67</f>
        <v>50</v>
      </c>
      <c r="F6023" s="1390" t="str">
        <f>Risk_Compensation!$W$17</f>
        <v>SG</v>
      </c>
      <c r="G6023" s="1390"/>
      <c r="H6023" s="1077">
        <f>Risk_Compensation!$AZ67</f>
        <v>-104.67009854742901</v>
      </c>
    </row>
    <row r="6024" spans="1:8" x14ac:dyDescent="0.2">
      <c r="A6024" s="1027"/>
      <c r="B6024" s="1083">
        <f>Risk_Compensation!A$1</f>
        <v>36</v>
      </c>
      <c r="C6024" s="1390" t="str">
        <f>Risk_Compensation!$B$1</f>
        <v xml:space="preserve">Risikoausgleich </v>
      </c>
      <c r="D6024" s="1743" t="str">
        <f>Risk_Compensation!$AJ$14</f>
        <v>geschätzte Risikoausgleichssätze, pro Monat in CHF (ohne Entlastung junge Erwachsene)</v>
      </c>
      <c r="E6024" s="1390">
        <f>Risk_Compensation!$AJ68</f>
        <v>51</v>
      </c>
      <c r="F6024" s="1390" t="str">
        <f>Risk_Compensation!$W$17</f>
        <v>SG</v>
      </c>
      <c r="G6024" s="1390"/>
      <c r="H6024" s="1077">
        <f>Risk_Compensation!$AZ68</f>
        <v>591.89167117835996</v>
      </c>
    </row>
    <row r="6025" spans="1:8" x14ac:dyDescent="0.2">
      <c r="A6025" s="1027"/>
      <c r="B6025" s="1083">
        <f>Risk_Compensation!A$1</f>
        <v>36</v>
      </c>
      <c r="C6025" s="1390" t="str">
        <f>Risk_Compensation!$B$1</f>
        <v xml:space="preserve">Risikoausgleich </v>
      </c>
      <c r="D6025" s="1743" t="str">
        <f>Risk_Compensation!$AJ$14</f>
        <v>geschätzte Risikoausgleichssätze, pro Monat in CHF (ohne Entlastung junge Erwachsene)</v>
      </c>
      <c r="E6025" s="1390">
        <f>Risk_Compensation!$AJ69</f>
        <v>52</v>
      </c>
      <c r="F6025" s="1390" t="str">
        <f>Risk_Compensation!$W$17</f>
        <v>SG</v>
      </c>
      <c r="G6025" s="1390"/>
      <c r="H6025" s="1077">
        <f>Risk_Compensation!$AZ69</f>
        <v>-44.917745616673898</v>
      </c>
    </row>
    <row r="6026" spans="1:8" x14ac:dyDescent="0.2">
      <c r="A6026" s="1027"/>
      <c r="B6026" s="1083">
        <f>Risk_Compensation!A$1</f>
        <v>36</v>
      </c>
      <c r="C6026" s="1390" t="str">
        <f>Risk_Compensation!$B$1</f>
        <v xml:space="preserve">Risikoausgleich </v>
      </c>
      <c r="D6026" s="1743" t="str">
        <f>Risk_Compensation!$AJ$14</f>
        <v>geschätzte Risikoausgleichssätze, pro Monat in CHF (ohne Entlastung junge Erwachsene)</v>
      </c>
      <c r="E6026" s="1390">
        <f>Risk_Compensation!$AJ70</f>
        <v>53</v>
      </c>
      <c r="F6026" s="1390" t="str">
        <f>Risk_Compensation!$W$17</f>
        <v>SG</v>
      </c>
      <c r="G6026" s="1390"/>
      <c r="H6026" s="1077">
        <f>Risk_Compensation!$AZ70</f>
        <v>634.33955632858294</v>
      </c>
    </row>
    <row r="6027" spans="1:8" x14ac:dyDescent="0.2">
      <c r="A6027" s="1027"/>
      <c r="B6027" s="1083">
        <f>Risk_Compensation!A$1</f>
        <v>36</v>
      </c>
      <c r="C6027" s="1390" t="str">
        <f>Risk_Compensation!$B$1</f>
        <v xml:space="preserve">Risikoausgleich </v>
      </c>
      <c r="D6027" s="1743" t="str">
        <f>Risk_Compensation!$AJ$14</f>
        <v>geschätzte Risikoausgleichssätze, pro Monat in CHF (ohne Entlastung junge Erwachsene)</v>
      </c>
      <c r="E6027" s="1390">
        <f>Risk_Compensation!$AJ71</f>
        <v>54</v>
      </c>
      <c r="F6027" s="1390" t="str">
        <f>Risk_Compensation!$W$17</f>
        <v>SG</v>
      </c>
      <c r="G6027" s="1390"/>
      <c r="H6027" s="1077">
        <f>Risk_Compensation!$AZ71</f>
        <v>39.399047989272397</v>
      </c>
    </row>
    <row r="6028" spans="1:8" x14ac:dyDescent="0.2">
      <c r="A6028" s="1027"/>
      <c r="B6028" s="1083">
        <f>Risk_Compensation!A$1</f>
        <v>36</v>
      </c>
      <c r="C6028" s="1390" t="str">
        <f>Risk_Compensation!$B$1</f>
        <v xml:space="preserve">Risikoausgleich </v>
      </c>
      <c r="D6028" s="1743" t="str">
        <f>Risk_Compensation!$AJ$14</f>
        <v>geschätzte Risikoausgleichssätze, pro Monat in CHF (ohne Entlastung junge Erwachsene)</v>
      </c>
      <c r="E6028" s="1390">
        <f>Risk_Compensation!$AJ72</f>
        <v>55</v>
      </c>
      <c r="F6028" s="1390" t="str">
        <f>Risk_Compensation!$W$17</f>
        <v>SG</v>
      </c>
      <c r="G6028" s="1390"/>
      <c r="H6028" s="1077">
        <f>Risk_Compensation!$AZ72</f>
        <v>866.07145931832804</v>
      </c>
    </row>
    <row r="6029" spans="1:8" x14ac:dyDescent="0.2">
      <c r="A6029" s="1027"/>
      <c r="B6029" s="1083">
        <f>Risk_Compensation!A$1</f>
        <v>36</v>
      </c>
      <c r="C6029" s="1390" t="str">
        <f>Risk_Compensation!$B$1</f>
        <v xml:space="preserve">Risikoausgleich </v>
      </c>
      <c r="D6029" s="1743" t="str">
        <f>Risk_Compensation!$AJ$14</f>
        <v>geschätzte Risikoausgleichssätze, pro Monat in CHF (ohne Entlastung junge Erwachsene)</v>
      </c>
      <c r="E6029" s="1390">
        <f>Risk_Compensation!$AJ73</f>
        <v>56</v>
      </c>
      <c r="F6029" s="1390" t="str">
        <f>Risk_Compensation!$W$17</f>
        <v>SG</v>
      </c>
      <c r="G6029" s="1390"/>
      <c r="H6029" s="1077">
        <f>Risk_Compensation!$AZ73</f>
        <v>107.05295058646</v>
      </c>
    </row>
    <row r="6030" spans="1:8" x14ac:dyDescent="0.2">
      <c r="A6030" s="1027"/>
      <c r="B6030" s="1083">
        <f>Risk_Compensation!A$1</f>
        <v>36</v>
      </c>
      <c r="C6030" s="1390" t="str">
        <f>Risk_Compensation!$B$1</f>
        <v xml:space="preserve">Risikoausgleich </v>
      </c>
      <c r="D6030" s="1743" t="str">
        <f>Risk_Compensation!$AJ$14</f>
        <v>geschätzte Risikoausgleichssätze, pro Monat in CHF (ohne Entlastung junge Erwachsene)</v>
      </c>
      <c r="E6030" s="1390">
        <f>Risk_Compensation!$AJ74</f>
        <v>57</v>
      </c>
      <c r="F6030" s="1390" t="str">
        <f>Risk_Compensation!$W$17</f>
        <v>SG</v>
      </c>
      <c r="G6030" s="1390"/>
      <c r="H6030" s="1077">
        <f>Risk_Compensation!$AZ74</f>
        <v>1078.91868478743</v>
      </c>
    </row>
    <row r="6031" spans="1:8" x14ac:dyDescent="0.2">
      <c r="A6031" s="1027"/>
      <c r="B6031" s="1083">
        <f>Risk_Compensation!A$1</f>
        <v>36</v>
      </c>
      <c r="C6031" s="1390" t="str">
        <f>Risk_Compensation!$B$1</f>
        <v xml:space="preserve">Risikoausgleich </v>
      </c>
      <c r="D6031" s="1743" t="str">
        <f>Risk_Compensation!$AJ$14</f>
        <v>geschätzte Risikoausgleichssätze, pro Monat in CHF (ohne Entlastung junge Erwachsene)</v>
      </c>
      <c r="E6031" s="1390">
        <f>Risk_Compensation!$AJ75</f>
        <v>58</v>
      </c>
      <c r="F6031" s="1390" t="str">
        <f>Risk_Compensation!$W$17</f>
        <v>SG</v>
      </c>
      <c r="G6031" s="1390"/>
      <c r="H6031" s="1077">
        <f>Risk_Compensation!$AZ75</f>
        <v>179.13078002087201</v>
      </c>
    </row>
    <row r="6032" spans="1:8" x14ac:dyDescent="0.2">
      <c r="A6032" s="1027"/>
      <c r="B6032" s="1083">
        <f>Risk_Compensation!A$1</f>
        <v>36</v>
      </c>
      <c r="C6032" s="1390" t="str">
        <f>Risk_Compensation!$B$1</f>
        <v xml:space="preserve">Risikoausgleich </v>
      </c>
      <c r="D6032" s="1743" t="str">
        <f>Risk_Compensation!$AJ$14</f>
        <v>geschätzte Risikoausgleichssätze, pro Monat in CHF (ohne Entlastung junge Erwachsene)</v>
      </c>
      <c r="E6032" s="1390">
        <f>Risk_Compensation!$AJ76</f>
        <v>59</v>
      </c>
      <c r="F6032" s="1390" t="str">
        <f>Risk_Compensation!$W$17</f>
        <v>SG</v>
      </c>
      <c r="G6032" s="1390"/>
      <c r="H6032" s="1077">
        <f>Risk_Compensation!$AZ76</f>
        <v>1342.8239058105801</v>
      </c>
    </row>
    <row r="6033" spans="1:8" x14ac:dyDescent="0.2">
      <c r="A6033" s="1027"/>
      <c r="B6033" s="1083">
        <f>Risk_Compensation!A$1</f>
        <v>36</v>
      </c>
      <c r="C6033" s="1390" t="str">
        <f>Risk_Compensation!$B$1</f>
        <v xml:space="preserve">Risikoausgleich </v>
      </c>
      <c r="D6033" s="1743" t="str">
        <f>Risk_Compensation!$AJ$14</f>
        <v>geschätzte Risikoausgleichssätze, pro Monat in CHF (ohne Entlastung junge Erwachsene)</v>
      </c>
      <c r="E6033" s="1390">
        <f>Risk_Compensation!$AJ77</f>
        <v>60</v>
      </c>
      <c r="F6033" s="1390" t="str">
        <f>Risk_Compensation!$W$17</f>
        <v>SG</v>
      </c>
      <c r="G6033" s="1390"/>
      <c r="H6033" s="1077">
        <f>Risk_Compensation!$AZ77</f>
        <v>384.05643901536303</v>
      </c>
    </row>
    <row r="6034" spans="1:8" x14ac:dyDescent="0.2">
      <c r="A6034" s="1027"/>
      <c r="B6034" s="2174"/>
      <c r="C6034" s="1390"/>
      <c r="D6034" s="2175"/>
      <c r="E6034" s="2176"/>
      <c r="F6034" s="1390"/>
      <c r="G6034" s="1390"/>
      <c r="H6034" s="1078"/>
    </row>
    <row r="6035" spans="1:8" x14ac:dyDescent="0.2">
      <c r="A6035" s="1027"/>
      <c r="B6035" s="1083">
        <f>Risk_Compensation!A$1</f>
        <v>36</v>
      </c>
      <c r="C6035" s="1390" t="str">
        <f>Risk_Compensation!$B$1</f>
        <v xml:space="preserve">Risikoausgleich </v>
      </c>
      <c r="D6035" s="1743" t="str">
        <f>Risk_Compensation!$AJ$14</f>
        <v>geschätzte Risikoausgleichssätze, pro Monat in CHF (ohne Entlastung junge Erwachsene)</v>
      </c>
      <c r="E6035" s="1390">
        <f>Risk_Compensation!$AJ18</f>
        <v>1</v>
      </c>
      <c r="F6035" s="1390" t="str">
        <f>Risk_Compensation!$X$17</f>
        <v>SH</v>
      </c>
      <c r="G6035" s="1390"/>
      <c r="H6035" s="1077">
        <f>Risk_Compensation!$BA18</f>
        <v>459.19197034298202</v>
      </c>
    </row>
    <row r="6036" spans="1:8" x14ac:dyDescent="0.2">
      <c r="A6036" s="1027"/>
      <c r="B6036" s="1083">
        <f>Risk_Compensation!A$1</f>
        <v>36</v>
      </c>
      <c r="C6036" s="1390" t="str">
        <f>Risk_Compensation!$B$1</f>
        <v xml:space="preserve">Risikoausgleich </v>
      </c>
      <c r="D6036" s="1743" t="str">
        <f>Risk_Compensation!$AJ$14</f>
        <v>geschätzte Risikoausgleichssätze, pro Monat in CHF (ohne Entlastung junge Erwachsene)</v>
      </c>
      <c r="E6036" s="1390">
        <f>Risk_Compensation!$AJ19</f>
        <v>2</v>
      </c>
      <c r="F6036" s="1390" t="str">
        <f>Risk_Compensation!$X$17</f>
        <v>SH</v>
      </c>
      <c r="G6036" s="1390"/>
      <c r="H6036" s="1077">
        <f>Risk_Compensation!$BA19</f>
        <v>-320.569718242357</v>
      </c>
    </row>
    <row r="6037" spans="1:8" x14ac:dyDescent="0.2">
      <c r="A6037" s="1027"/>
      <c r="B6037" s="1083">
        <f>Risk_Compensation!A$1</f>
        <v>36</v>
      </c>
      <c r="C6037" s="1390" t="str">
        <f>Risk_Compensation!$B$1</f>
        <v xml:space="preserve">Risikoausgleich </v>
      </c>
      <c r="D6037" s="1743" t="str">
        <f>Risk_Compensation!$AJ$14</f>
        <v>geschätzte Risikoausgleichssätze, pro Monat in CHF (ohne Entlastung junge Erwachsene)</v>
      </c>
      <c r="E6037" s="1390">
        <f>Risk_Compensation!$AJ20</f>
        <v>3</v>
      </c>
      <c r="F6037" s="1390" t="str">
        <f>Risk_Compensation!$X$17</f>
        <v>SH</v>
      </c>
      <c r="G6037" s="1390"/>
      <c r="H6037" s="1077">
        <f>Risk_Compensation!$BA20</f>
        <v>26.988084085127099</v>
      </c>
    </row>
    <row r="6038" spans="1:8" x14ac:dyDescent="0.2">
      <c r="A6038" s="1027"/>
      <c r="B6038" s="1083">
        <f>Risk_Compensation!A$1</f>
        <v>36</v>
      </c>
      <c r="C6038" s="1390" t="str">
        <f>Risk_Compensation!$B$1</f>
        <v xml:space="preserve">Risikoausgleich </v>
      </c>
      <c r="D6038" s="1743" t="str">
        <f>Risk_Compensation!$AJ$14</f>
        <v>geschätzte Risikoausgleichssätze, pro Monat in CHF (ohne Entlastung junge Erwachsene)</v>
      </c>
      <c r="E6038" s="1390">
        <f>Risk_Compensation!$AJ21</f>
        <v>4</v>
      </c>
      <c r="F6038" s="1390" t="str">
        <f>Risk_Compensation!$X$17</f>
        <v>SH</v>
      </c>
      <c r="G6038" s="1390"/>
      <c r="H6038" s="1077">
        <f>Risk_Compensation!$BA21</f>
        <v>-317.68540932939101</v>
      </c>
    </row>
    <row r="6039" spans="1:8" x14ac:dyDescent="0.2">
      <c r="A6039" s="1027"/>
      <c r="B6039" s="1083">
        <f>Risk_Compensation!A$1</f>
        <v>36</v>
      </c>
      <c r="C6039" s="1390" t="str">
        <f>Risk_Compensation!$B$1</f>
        <v xml:space="preserve">Risikoausgleich </v>
      </c>
      <c r="D6039" s="1743" t="str">
        <f>Risk_Compensation!$AJ$14</f>
        <v>geschätzte Risikoausgleichssätze, pro Monat in CHF (ohne Entlastung junge Erwachsene)</v>
      </c>
      <c r="E6039" s="1390">
        <f>Risk_Compensation!$AJ22</f>
        <v>5</v>
      </c>
      <c r="F6039" s="1390" t="str">
        <f>Risk_Compensation!$X$17</f>
        <v>SH</v>
      </c>
      <c r="G6039" s="1390"/>
      <c r="H6039" s="1077">
        <f>Risk_Compensation!$BA22</f>
        <v>167.979981778813</v>
      </c>
    </row>
    <row r="6040" spans="1:8" x14ac:dyDescent="0.2">
      <c r="A6040" s="1027"/>
      <c r="B6040" s="1083">
        <f>Risk_Compensation!A$1</f>
        <v>36</v>
      </c>
      <c r="C6040" s="1390" t="str">
        <f>Risk_Compensation!$B$1</f>
        <v xml:space="preserve">Risikoausgleich </v>
      </c>
      <c r="D6040" s="1743" t="str">
        <f>Risk_Compensation!$AJ$14</f>
        <v>geschätzte Risikoausgleichssätze, pro Monat in CHF (ohne Entlastung junge Erwachsene)</v>
      </c>
      <c r="E6040" s="1390">
        <f>Risk_Compensation!$AJ23</f>
        <v>6</v>
      </c>
      <c r="F6040" s="1390" t="str">
        <f>Risk_Compensation!$X$17</f>
        <v>SH</v>
      </c>
      <c r="G6040" s="1390"/>
      <c r="H6040" s="1077">
        <f>Risk_Compensation!$BA23</f>
        <v>-316.62239834382501</v>
      </c>
    </row>
    <row r="6041" spans="1:8" x14ac:dyDescent="0.2">
      <c r="A6041" s="1027"/>
      <c r="B6041" s="1083">
        <f>Risk_Compensation!A$1</f>
        <v>36</v>
      </c>
      <c r="C6041" s="1390" t="str">
        <f>Risk_Compensation!$B$1</f>
        <v xml:space="preserve">Risikoausgleich </v>
      </c>
      <c r="D6041" s="1743" t="str">
        <f>Risk_Compensation!$AJ$14</f>
        <v>geschätzte Risikoausgleichssätze, pro Monat in CHF (ohne Entlastung junge Erwachsene)</v>
      </c>
      <c r="E6041" s="1390">
        <f>Risk_Compensation!$AJ24</f>
        <v>7</v>
      </c>
      <c r="F6041" s="1390" t="str">
        <f>Risk_Compensation!$X$17</f>
        <v>SH</v>
      </c>
      <c r="G6041" s="1390"/>
      <c r="H6041" s="1077">
        <f>Risk_Compensation!$BA24</f>
        <v>282.50242936124903</v>
      </c>
    </row>
    <row r="6042" spans="1:8" x14ac:dyDescent="0.2">
      <c r="A6042" s="1027"/>
      <c r="B6042" s="1083">
        <f>Risk_Compensation!A$1</f>
        <v>36</v>
      </c>
      <c r="C6042" s="1390" t="str">
        <f>Risk_Compensation!$B$1</f>
        <v xml:space="preserve">Risikoausgleich </v>
      </c>
      <c r="D6042" s="1743" t="str">
        <f>Risk_Compensation!$AJ$14</f>
        <v>geschätzte Risikoausgleichssätze, pro Monat in CHF (ohne Entlastung junge Erwachsene)</v>
      </c>
      <c r="E6042" s="1390">
        <f>Risk_Compensation!$AJ25</f>
        <v>8</v>
      </c>
      <c r="F6042" s="1390" t="str">
        <f>Risk_Compensation!$X$17</f>
        <v>SH</v>
      </c>
      <c r="G6042" s="1390"/>
      <c r="H6042" s="1077">
        <f>Risk_Compensation!$BA25</f>
        <v>-310.86995433246</v>
      </c>
    </row>
    <row r="6043" spans="1:8" x14ac:dyDescent="0.2">
      <c r="A6043" s="1027"/>
      <c r="B6043" s="1083">
        <f>Risk_Compensation!A$1</f>
        <v>36</v>
      </c>
      <c r="C6043" s="1390" t="str">
        <f>Risk_Compensation!$B$1</f>
        <v xml:space="preserve">Risikoausgleich </v>
      </c>
      <c r="D6043" s="1743" t="str">
        <f>Risk_Compensation!$AJ$14</f>
        <v>geschätzte Risikoausgleichssätze, pro Monat in CHF (ohne Entlastung junge Erwachsene)</v>
      </c>
      <c r="E6043" s="1390">
        <f>Risk_Compensation!$AJ26</f>
        <v>9</v>
      </c>
      <c r="F6043" s="1390" t="str">
        <f>Risk_Compensation!$X$17</f>
        <v>SH</v>
      </c>
      <c r="G6043" s="1390"/>
      <c r="H6043" s="1077">
        <f>Risk_Compensation!$BA26</f>
        <v>328.22888179705802</v>
      </c>
    </row>
    <row r="6044" spans="1:8" x14ac:dyDescent="0.2">
      <c r="A6044" s="1027"/>
      <c r="B6044" s="1083">
        <f>Risk_Compensation!A$1</f>
        <v>36</v>
      </c>
      <c r="C6044" s="1390" t="str">
        <f>Risk_Compensation!$B$1</f>
        <v xml:space="preserve">Risikoausgleich </v>
      </c>
      <c r="D6044" s="1743" t="str">
        <f>Risk_Compensation!$AJ$14</f>
        <v>geschätzte Risikoausgleichssätze, pro Monat in CHF (ohne Entlastung junge Erwachsene)</v>
      </c>
      <c r="E6044" s="1390">
        <f>Risk_Compensation!$AJ27</f>
        <v>10</v>
      </c>
      <c r="F6044" s="1390" t="str">
        <f>Risk_Compensation!$X$17</f>
        <v>SH</v>
      </c>
      <c r="G6044" s="1390"/>
      <c r="H6044" s="1077">
        <f>Risk_Compensation!$BA27</f>
        <v>-307.56537857583697</v>
      </c>
    </row>
    <row r="6045" spans="1:8" x14ac:dyDescent="0.2">
      <c r="A6045" s="1027"/>
      <c r="B6045" s="1083">
        <f>Risk_Compensation!A$1</f>
        <v>36</v>
      </c>
      <c r="C6045" s="1390" t="str">
        <f>Risk_Compensation!$B$1</f>
        <v xml:space="preserve">Risikoausgleich </v>
      </c>
      <c r="D6045" s="1743" t="str">
        <f>Risk_Compensation!$AJ$14</f>
        <v>geschätzte Risikoausgleichssätze, pro Monat in CHF (ohne Entlastung junge Erwachsene)</v>
      </c>
      <c r="E6045" s="1390">
        <f>Risk_Compensation!$AJ28</f>
        <v>11</v>
      </c>
      <c r="F6045" s="1390" t="str">
        <f>Risk_Compensation!$X$17</f>
        <v>SH</v>
      </c>
      <c r="G6045" s="1390"/>
      <c r="H6045" s="1077">
        <f>Risk_Compensation!$BA28</f>
        <v>840.21579630735505</v>
      </c>
    </row>
    <row r="6046" spans="1:8" x14ac:dyDescent="0.2">
      <c r="A6046" s="1027"/>
      <c r="B6046" s="1083">
        <f>Risk_Compensation!A$1</f>
        <v>36</v>
      </c>
      <c r="C6046" s="1390" t="str">
        <f>Risk_Compensation!$B$1</f>
        <v xml:space="preserve">Risikoausgleich </v>
      </c>
      <c r="D6046" s="1743" t="str">
        <f>Risk_Compensation!$AJ$14</f>
        <v>geschätzte Risikoausgleichssätze, pro Monat in CHF (ohne Entlastung junge Erwachsene)</v>
      </c>
      <c r="E6046" s="1390">
        <f>Risk_Compensation!$AJ29</f>
        <v>12</v>
      </c>
      <c r="F6046" s="1390" t="str">
        <f>Risk_Compensation!$X$17</f>
        <v>SH</v>
      </c>
      <c r="G6046" s="1390"/>
      <c r="H6046" s="1077">
        <f>Risk_Compensation!$BA29</f>
        <v>-293.92102364616301</v>
      </c>
    </row>
    <row r="6047" spans="1:8" x14ac:dyDescent="0.2">
      <c r="A6047" s="1027"/>
      <c r="B6047" s="1083">
        <f>Risk_Compensation!A$1</f>
        <v>36</v>
      </c>
      <c r="C6047" s="1390" t="str">
        <f>Risk_Compensation!$B$1</f>
        <v xml:space="preserve">Risikoausgleich </v>
      </c>
      <c r="D6047" s="1743" t="str">
        <f>Risk_Compensation!$AJ$14</f>
        <v>geschätzte Risikoausgleichssätze, pro Monat in CHF (ohne Entlastung junge Erwachsene)</v>
      </c>
      <c r="E6047" s="1390">
        <f>Risk_Compensation!$AJ30</f>
        <v>13</v>
      </c>
      <c r="F6047" s="1390" t="str">
        <f>Risk_Compensation!$X$17</f>
        <v>SH</v>
      </c>
      <c r="G6047" s="1390"/>
      <c r="H6047" s="1077">
        <f>Risk_Compensation!$BA30</f>
        <v>299.23021258298201</v>
      </c>
    </row>
    <row r="6048" spans="1:8" x14ac:dyDescent="0.2">
      <c r="A6048" s="1027"/>
      <c r="B6048" s="1083">
        <f>Risk_Compensation!A$1</f>
        <v>36</v>
      </c>
      <c r="C6048" s="1390" t="str">
        <f>Risk_Compensation!$B$1</f>
        <v xml:space="preserve">Risikoausgleich </v>
      </c>
      <c r="D6048" s="1743" t="str">
        <f>Risk_Compensation!$AJ$14</f>
        <v>geschätzte Risikoausgleichssätze, pro Monat in CHF (ohne Entlastung junge Erwachsene)</v>
      </c>
      <c r="E6048" s="1390">
        <f>Risk_Compensation!$AJ31</f>
        <v>14</v>
      </c>
      <c r="F6048" s="1390" t="str">
        <f>Risk_Compensation!$X$17</f>
        <v>SH</v>
      </c>
      <c r="G6048" s="1390"/>
      <c r="H6048" s="1077">
        <f>Risk_Compensation!$BA31</f>
        <v>-254.21862261470099</v>
      </c>
    </row>
    <row r="6049" spans="1:8" x14ac:dyDescent="0.2">
      <c r="A6049" s="1027"/>
      <c r="B6049" s="1083">
        <f>Risk_Compensation!A$1</f>
        <v>36</v>
      </c>
      <c r="C6049" s="1390" t="str">
        <f>Risk_Compensation!$B$1</f>
        <v xml:space="preserve">Risikoausgleich </v>
      </c>
      <c r="D6049" s="1743" t="str">
        <f>Risk_Compensation!$AJ$14</f>
        <v>geschätzte Risikoausgleichssätze, pro Monat in CHF (ohne Entlastung junge Erwachsene)</v>
      </c>
      <c r="E6049" s="1390">
        <f>Risk_Compensation!$AJ32</f>
        <v>15</v>
      </c>
      <c r="F6049" s="1390" t="str">
        <f>Risk_Compensation!$X$17</f>
        <v>SH</v>
      </c>
      <c r="G6049" s="1390"/>
      <c r="H6049" s="1077">
        <f>Risk_Compensation!$BA32</f>
        <v>597.61783135297605</v>
      </c>
    </row>
    <row r="6050" spans="1:8" x14ac:dyDescent="0.2">
      <c r="A6050" s="1027"/>
      <c r="B6050" s="1083">
        <f>Risk_Compensation!A$1</f>
        <v>36</v>
      </c>
      <c r="C6050" s="1390" t="str">
        <f>Risk_Compensation!$B$1</f>
        <v xml:space="preserve">Risikoausgleich </v>
      </c>
      <c r="D6050" s="1743" t="str">
        <f>Risk_Compensation!$AJ$14</f>
        <v>geschätzte Risikoausgleichssätze, pro Monat in CHF (ohne Entlastung junge Erwachsene)</v>
      </c>
      <c r="E6050" s="1390">
        <f>Risk_Compensation!$AJ33</f>
        <v>16</v>
      </c>
      <c r="F6050" s="1390" t="str">
        <f>Risk_Compensation!$X$17</f>
        <v>SH</v>
      </c>
      <c r="G6050" s="1390"/>
      <c r="H6050" s="1077">
        <f>Risk_Compensation!$BA33</f>
        <v>-231.78408462156301</v>
      </c>
    </row>
    <row r="6051" spans="1:8" x14ac:dyDescent="0.2">
      <c r="A6051" s="1027"/>
      <c r="B6051" s="1083">
        <f>Risk_Compensation!A$1</f>
        <v>36</v>
      </c>
      <c r="C6051" s="1390" t="str">
        <f>Risk_Compensation!$B$1</f>
        <v xml:space="preserve">Risikoausgleich </v>
      </c>
      <c r="D6051" s="1743" t="str">
        <f>Risk_Compensation!$AJ$14</f>
        <v>geschätzte Risikoausgleichssätze, pro Monat in CHF (ohne Entlastung junge Erwachsene)</v>
      </c>
      <c r="E6051" s="1390">
        <f>Risk_Compensation!$AJ34</f>
        <v>17</v>
      </c>
      <c r="F6051" s="1390" t="str">
        <f>Risk_Compensation!$X$17</f>
        <v>SH</v>
      </c>
      <c r="G6051" s="1390"/>
      <c r="H6051" s="1077">
        <f>Risk_Compensation!$BA34</f>
        <v>461.38118985395698</v>
      </c>
    </row>
    <row r="6052" spans="1:8" x14ac:dyDescent="0.2">
      <c r="A6052" s="1027"/>
      <c r="B6052" s="1083">
        <f>Risk_Compensation!A$1</f>
        <v>36</v>
      </c>
      <c r="C6052" s="1390" t="str">
        <f>Risk_Compensation!$B$1</f>
        <v xml:space="preserve">Risikoausgleich </v>
      </c>
      <c r="D6052" s="1743" t="str">
        <f>Risk_Compensation!$AJ$14</f>
        <v>geschätzte Risikoausgleichssätze, pro Monat in CHF (ohne Entlastung junge Erwachsene)</v>
      </c>
      <c r="E6052" s="1390">
        <f>Risk_Compensation!$AJ35</f>
        <v>18</v>
      </c>
      <c r="F6052" s="1390" t="str">
        <f>Risk_Compensation!$X$17</f>
        <v>SH</v>
      </c>
      <c r="G6052" s="1390"/>
      <c r="H6052" s="1077">
        <f>Risk_Compensation!$BA35</f>
        <v>-185.58986569938099</v>
      </c>
    </row>
    <row r="6053" spans="1:8" x14ac:dyDescent="0.2">
      <c r="A6053" s="1027"/>
      <c r="B6053" s="1083">
        <f>Risk_Compensation!A$1</f>
        <v>36</v>
      </c>
      <c r="C6053" s="1390" t="str">
        <f>Risk_Compensation!$B$1</f>
        <v xml:space="preserve">Risikoausgleich </v>
      </c>
      <c r="D6053" s="1743" t="str">
        <f>Risk_Compensation!$AJ$14</f>
        <v>geschätzte Risikoausgleichssätze, pro Monat in CHF (ohne Entlastung junge Erwachsene)</v>
      </c>
      <c r="E6053" s="1390">
        <f>Risk_Compensation!$AJ36</f>
        <v>19</v>
      </c>
      <c r="F6053" s="1390" t="str">
        <f>Risk_Compensation!$X$17</f>
        <v>SH</v>
      </c>
      <c r="G6053" s="1390"/>
      <c r="H6053" s="1077">
        <f>Risk_Compensation!$BA36</f>
        <v>365.44474561271397</v>
      </c>
    </row>
    <row r="6054" spans="1:8" x14ac:dyDescent="0.2">
      <c r="A6054" s="1027"/>
      <c r="B6054" s="1083">
        <f>Risk_Compensation!A$1</f>
        <v>36</v>
      </c>
      <c r="C6054" s="1390" t="str">
        <f>Risk_Compensation!$B$1</f>
        <v xml:space="preserve">Risikoausgleich </v>
      </c>
      <c r="D6054" s="1743" t="str">
        <f>Risk_Compensation!$AJ$14</f>
        <v>geschätzte Risikoausgleichssätze, pro Monat in CHF (ohne Entlastung junge Erwachsene)</v>
      </c>
      <c r="E6054" s="1390">
        <f>Risk_Compensation!$AJ37</f>
        <v>20</v>
      </c>
      <c r="F6054" s="1390" t="str">
        <f>Risk_Compensation!$X$17</f>
        <v>SH</v>
      </c>
      <c r="G6054" s="1390"/>
      <c r="H6054" s="1077">
        <f>Risk_Compensation!$BA37</f>
        <v>-130.08790528684</v>
      </c>
    </row>
    <row r="6055" spans="1:8" x14ac:dyDescent="0.2">
      <c r="A6055" s="1027"/>
      <c r="B6055" s="1083">
        <f>Risk_Compensation!A$1</f>
        <v>36</v>
      </c>
      <c r="C6055" s="1390" t="str">
        <f>Risk_Compensation!$B$1</f>
        <v xml:space="preserve">Risikoausgleich </v>
      </c>
      <c r="D6055" s="1743" t="str">
        <f>Risk_Compensation!$AJ$14</f>
        <v>geschätzte Risikoausgleichssätze, pro Monat in CHF (ohne Entlastung junge Erwachsene)</v>
      </c>
      <c r="E6055" s="1390">
        <f>Risk_Compensation!$AJ38</f>
        <v>21</v>
      </c>
      <c r="F6055" s="1390" t="str">
        <f>Risk_Compensation!$X$17</f>
        <v>SH</v>
      </c>
      <c r="G6055" s="1390"/>
      <c r="H6055" s="1077">
        <f>Risk_Compensation!$BA38</f>
        <v>498.73940248533398</v>
      </c>
    </row>
    <row r="6056" spans="1:8" x14ac:dyDescent="0.2">
      <c r="A6056" s="1027"/>
      <c r="B6056" s="1083">
        <f>Risk_Compensation!A$1</f>
        <v>36</v>
      </c>
      <c r="C6056" s="1390" t="str">
        <f>Risk_Compensation!$B$1</f>
        <v xml:space="preserve">Risikoausgleich </v>
      </c>
      <c r="D6056" s="1743" t="str">
        <f>Risk_Compensation!$AJ$14</f>
        <v>geschätzte Risikoausgleichssätze, pro Monat in CHF (ohne Entlastung junge Erwachsene)</v>
      </c>
      <c r="E6056" s="1390">
        <f>Risk_Compensation!$AJ39</f>
        <v>22</v>
      </c>
      <c r="F6056" s="1390" t="str">
        <f>Risk_Compensation!$X$17</f>
        <v>SH</v>
      </c>
      <c r="G6056" s="1390"/>
      <c r="H6056" s="1077">
        <f>Risk_Compensation!$BA39</f>
        <v>-49.363589647175097</v>
      </c>
    </row>
    <row r="6057" spans="1:8" x14ac:dyDescent="0.2">
      <c r="A6057" s="1027"/>
      <c r="B6057" s="1083">
        <f>Risk_Compensation!A$1</f>
        <v>36</v>
      </c>
      <c r="C6057" s="1390" t="str">
        <f>Risk_Compensation!$B$1</f>
        <v xml:space="preserve">Risikoausgleich </v>
      </c>
      <c r="D6057" s="1743" t="str">
        <f>Risk_Compensation!$AJ$14</f>
        <v>geschätzte Risikoausgleichssätze, pro Monat in CHF (ohne Entlastung junge Erwachsene)</v>
      </c>
      <c r="E6057" s="1390">
        <f>Risk_Compensation!$AJ40</f>
        <v>23</v>
      </c>
      <c r="F6057" s="1390" t="str">
        <f>Risk_Compensation!$X$17</f>
        <v>SH</v>
      </c>
      <c r="G6057" s="1390"/>
      <c r="H6057" s="1077">
        <f>Risk_Compensation!$BA40</f>
        <v>734.57475705124295</v>
      </c>
    </row>
    <row r="6058" spans="1:8" x14ac:dyDescent="0.2">
      <c r="A6058" s="1027"/>
      <c r="B6058" s="1083">
        <f>Risk_Compensation!A$1</f>
        <v>36</v>
      </c>
      <c r="C6058" s="1390" t="str">
        <f>Risk_Compensation!$B$1</f>
        <v xml:space="preserve">Risikoausgleich </v>
      </c>
      <c r="D6058" s="1743" t="str">
        <f>Risk_Compensation!$AJ$14</f>
        <v>geschätzte Risikoausgleichssätze, pro Monat in CHF (ohne Entlastung junge Erwachsene)</v>
      </c>
      <c r="E6058" s="1390">
        <f>Risk_Compensation!$AJ41</f>
        <v>24</v>
      </c>
      <c r="F6058" s="1390" t="str">
        <f>Risk_Compensation!$X$17</f>
        <v>SH</v>
      </c>
      <c r="G6058" s="1390"/>
      <c r="H6058" s="1077">
        <f>Risk_Compensation!$BA41</f>
        <v>119.571244817878</v>
      </c>
    </row>
    <row r="6059" spans="1:8" x14ac:dyDescent="0.2">
      <c r="A6059" s="1027"/>
      <c r="B6059" s="1083">
        <f>Risk_Compensation!A$1</f>
        <v>36</v>
      </c>
      <c r="C6059" s="1390" t="str">
        <f>Risk_Compensation!$B$1</f>
        <v xml:space="preserve">Risikoausgleich </v>
      </c>
      <c r="D6059" s="1743" t="str">
        <f>Risk_Compensation!$AJ$14</f>
        <v>geschätzte Risikoausgleichssätze, pro Monat in CHF (ohne Entlastung junge Erwachsene)</v>
      </c>
      <c r="E6059" s="1390">
        <f>Risk_Compensation!$AJ42</f>
        <v>25</v>
      </c>
      <c r="F6059" s="1390" t="str">
        <f>Risk_Compensation!$X$17</f>
        <v>SH</v>
      </c>
      <c r="G6059" s="1390"/>
      <c r="H6059" s="1077">
        <f>Risk_Compensation!$BA42</f>
        <v>643.99350787135904</v>
      </c>
    </row>
    <row r="6060" spans="1:8" x14ac:dyDescent="0.2">
      <c r="A6060" s="1027"/>
      <c r="B6060" s="1083">
        <f>Risk_Compensation!A$1</f>
        <v>36</v>
      </c>
      <c r="C6060" s="1390" t="str">
        <f>Risk_Compensation!$B$1</f>
        <v xml:space="preserve">Risikoausgleich </v>
      </c>
      <c r="D6060" s="1743" t="str">
        <f>Risk_Compensation!$AJ$14</f>
        <v>geschätzte Risikoausgleichssätze, pro Monat in CHF (ohne Entlastung junge Erwachsene)</v>
      </c>
      <c r="E6060" s="1390">
        <f>Risk_Compensation!$AJ43</f>
        <v>26</v>
      </c>
      <c r="F6060" s="1390" t="str">
        <f>Risk_Compensation!$X$17</f>
        <v>SH</v>
      </c>
      <c r="G6060" s="1390"/>
      <c r="H6060" s="1077">
        <f>Risk_Compensation!$BA43</f>
        <v>112.69172925703801</v>
      </c>
    </row>
    <row r="6061" spans="1:8" x14ac:dyDescent="0.2">
      <c r="A6061" s="1027"/>
      <c r="B6061" s="1083">
        <f>Risk_Compensation!A$1</f>
        <v>36</v>
      </c>
      <c r="C6061" s="1390" t="str">
        <f>Risk_Compensation!$B$1</f>
        <v xml:space="preserve">Risikoausgleich </v>
      </c>
      <c r="D6061" s="1743" t="str">
        <f>Risk_Compensation!$AJ$14</f>
        <v>geschätzte Risikoausgleichssätze, pro Monat in CHF (ohne Entlastung junge Erwachsene)</v>
      </c>
      <c r="E6061" s="1390">
        <f>Risk_Compensation!$AJ44</f>
        <v>27</v>
      </c>
      <c r="F6061" s="1390" t="str">
        <f>Risk_Compensation!$X$17</f>
        <v>SH</v>
      </c>
      <c r="G6061" s="1390"/>
      <c r="H6061" s="1077">
        <f>Risk_Compensation!$BA44</f>
        <v>621.44741822037304</v>
      </c>
    </row>
    <row r="6062" spans="1:8" x14ac:dyDescent="0.2">
      <c r="A6062" s="1027"/>
      <c r="B6062" s="1083">
        <f>Risk_Compensation!A$1</f>
        <v>36</v>
      </c>
      <c r="C6062" s="1390" t="str">
        <f>Risk_Compensation!$B$1</f>
        <v xml:space="preserve">Risikoausgleich </v>
      </c>
      <c r="D6062" s="1743" t="str">
        <f>Risk_Compensation!$AJ$14</f>
        <v>geschätzte Risikoausgleichssätze, pro Monat in CHF (ohne Entlastung junge Erwachsene)</v>
      </c>
      <c r="E6062" s="1390">
        <f>Risk_Compensation!$AJ45</f>
        <v>28</v>
      </c>
      <c r="F6062" s="1390" t="str">
        <f>Risk_Compensation!$X$17</f>
        <v>SH</v>
      </c>
      <c r="G6062" s="1390"/>
      <c r="H6062" s="1077">
        <f>Risk_Compensation!$BA45</f>
        <v>181.79932979772801</v>
      </c>
    </row>
    <row r="6063" spans="1:8" x14ac:dyDescent="0.2">
      <c r="A6063" s="1027"/>
      <c r="B6063" s="1083">
        <f>Risk_Compensation!A$1</f>
        <v>36</v>
      </c>
      <c r="C6063" s="1390" t="str">
        <f>Risk_Compensation!$B$1</f>
        <v xml:space="preserve">Risikoausgleich </v>
      </c>
      <c r="D6063" s="1743" t="str">
        <f>Risk_Compensation!$AJ$14</f>
        <v>geschätzte Risikoausgleichssätze, pro Monat in CHF (ohne Entlastung junge Erwachsene)</v>
      </c>
      <c r="E6063" s="1390">
        <f>Risk_Compensation!$AJ46</f>
        <v>29</v>
      </c>
      <c r="F6063" s="1390" t="str">
        <f>Risk_Compensation!$X$17</f>
        <v>SH</v>
      </c>
      <c r="G6063" s="1390"/>
      <c r="H6063" s="1077">
        <f>Risk_Compensation!$BA46</f>
        <v>1242.85725447961</v>
      </c>
    </row>
    <row r="6064" spans="1:8" x14ac:dyDescent="0.2">
      <c r="A6064" s="1027"/>
      <c r="B6064" s="1083">
        <f>Risk_Compensation!A$1</f>
        <v>36</v>
      </c>
      <c r="C6064" s="1390" t="str">
        <f>Risk_Compensation!$B$1</f>
        <v xml:space="preserve">Risikoausgleich </v>
      </c>
      <c r="D6064" s="1743" t="str">
        <f>Risk_Compensation!$AJ$14</f>
        <v>geschätzte Risikoausgleichssätze, pro Monat in CHF (ohne Entlastung junge Erwachsene)</v>
      </c>
      <c r="E6064" s="1390">
        <f>Risk_Compensation!$AJ47</f>
        <v>30</v>
      </c>
      <c r="F6064" s="1390" t="str">
        <f>Risk_Compensation!$X$17</f>
        <v>SH</v>
      </c>
      <c r="G6064" s="1390"/>
      <c r="H6064" s="1077">
        <f>Risk_Compensation!$BA47</f>
        <v>339.38720900853002</v>
      </c>
    </row>
    <row r="6065" spans="1:8" x14ac:dyDescent="0.2">
      <c r="A6065" s="1027"/>
      <c r="B6065" s="1083">
        <f>Risk_Compensation!A$1</f>
        <v>36</v>
      </c>
      <c r="C6065" s="1390" t="str">
        <f>Risk_Compensation!$B$1</f>
        <v xml:space="preserve">Risikoausgleich </v>
      </c>
      <c r="D6065" s="1743" t="str">
        <f>Risk_Compensation!$AJ$14</f>
        <v>geschätzte Risikoausgleichssätze, pro Monat in CHF (ohne Entlastung junge Erwachsene)</v>
      </c>
      <c r="E6065" s="1390">
        <f>Risk_Compensation!$AJ48</f>
        <v>31</v>
      </c>
      <c r="F6065" s="1390" t="str">
        <f>Risk_Compensation!$X$17</f>
        <v>SH</v>
      </c>
      <c r="G6065" s="1390"/>
      <c r="H6065" s="1077">
        <f>Risk_Compensation!$BA48</f>
        <v>308.52133907195702</v>
      </c>
    </row>
    <row r="6066" spans="1:8" x14ac:dyDescent="0.2">
      <c r="A6066" s="1027"/>
      <c r="B6066" s="1083">
        <f>Risk_Compensation!A$1</f>
        <v>36</v>
      </c>
      <c r="C6066" s="1390" t="str">
        <f>Risk_Compensation!$B$1</f>
        <v xml:space="preserve">Risikoausgleich </v>
      </c>
      <c r="D6066" s="1743" t="str">
        <f>Risk_Compensation!$AJ$14</f>
        <v>geschätzte Risikoausgleichssätze, pro Monat in CHF (ohne Entlastung junge Erwachsene)</v>
      </c>
      <c r="E6066" s="1390">
        <f>Risk_Compensation!$AJ49</f>
        <v>32</v>
      </c>
      <c r="F6066" s="1390" t="str">
        <f>Risk_Compensation!$X$17</f>
        <v>SH</v>
      </c>
      <c r="G6066" s="1390"/>
      <c r="H6066" s="1077">
        <f>Risk_Compensation!$BA49</f>
        <v>-250.15559231687601</v>
      </c>
    </row>
    <row r="6067" spans="1:8" x14ac:dyDescent="0.2">
      <c r="A6067" s="1027"/>
      <c r="B6067" s="1083">
        <f>Risk_Compensation!A$1</f>
        <v>36</v>
      </c>
      <c r="C6067" s="1390" t="str">
        <f>Risk_Compensation!$B$1</f>
        <v xml:space="preserve">Risikoausgleich </v>
      </c>
      <c r="D6067" s="1743" t="str">
        <f>Risk_Compensation!$AJ$14</f>
        <v>geschätzte Risikoausgleichssätze, pro Monat in CHF (ohne Entlastung junge Erwachsene)</v>
      </c>
      <c r="E6067" s="1390">
        <f>Risk_Compensation!$AJ50</f>
        <v>33</v>
      </c>
      <c r="F6067" s="1390" t="str">
        <f>Risk_Compensation!$X$17</f>
        <v>SH</v>
      </c>
      <c r="G6067" s="1390"/>
      <c r="H6067" s="1077">
        <f>Risk_Compensation!$BA50</f>
        <v>896.65798910166598</v>
      </c>
    </row>
    <row r="6068" spans="1:8" x14ac:dyDescent="0.2">
      <c r="A6068" s="1027"/>
      <c r="B6068" s="1083">
        <f>Risk_Compensation!A$1</f>
        <v>36</v>
      </c>
      <c r="C6068" s="1390" t="str">
        <f>Risk_Compensation!$B$1</f>
        <v xml:space="preserve">Risikoausgleich </v>
      </c>
      <c r="D6068" s="1743" t="str">
        <f>Risk_Compensation!$AJ$14</f>
        <v>geschätzte Risikoausgleichssätze, pro Monat in CHF (ohne Entlastung junge Erwachsene)</v>
      </c>
      <c r="E6068" s="1390">
        <f>Risk_Compensation!$AJ51</f>
        <v>34</v>
      </c>
      <c r="F6068" s="1390" t="str">
        <f>Risk_Compensation!$X$17</f>
        <v>SH</v>
      </c>
      <c r="G6068" s="1390"/>
      <c r="H6068" s="1077">
        <f>Risk_Compensation!$BA51</f>
        <v>-211.87668613791399</v>
      </c>
    </row>
    <row r="6069" spans="1:8" x14ac:dyDescent="0.2">
      <c r="A6069" s="1027"/>
      <c r="B6069" s="1083">
        <f>Risk_Compensation!A$1</f>
        <v>36</v>
      </c>
      <c r="C6069" s="1390" t="str">
        <f>Risk_Compensation!$B$1</f>
        <v xml:space="preserve">Risikoausgleich </v>
      </c>
      <c r="D6069" s="1743" t="str">
        <f>Risk_Compensation!$AJ$14</f>
        <v>geschätzte Risikoausgleichssätze, pro Monat in CHF (ohne Entlastung junge Erwachsene)</v>
      </c>
      <c r="E6069" s="1390">
        <f>Risk_Compensation!$AJ52</f>
        <v>35</v>
      </c>
      <c r="F6069" s="1390" t="str">
        <f>Risk_Compensation!$X$17</f>
        <v>SH</v>
      </c>
      <c r="G6069" s="1390"/>
      <c r="H6069" s="1077">
        <f>Risk_Compensation!$BA52</f>
        <v>394.67968397706801</v>
      </c>
    </row>
    <row r="6070" spans="1:8" x14ac:dyDescent="0.2">
      <c r="A6070" s="1027"/>
      <c r="B6070" s="1083">
        <f>Risk_Compensation!A$1</f>
        <v>36</v>
      </c>
      <c r="C6070" s="1390" t="str">
        <f>Risk_Compensation!$B$1</f>
        <v xml:space="preserve">Risikoausgleich </v>
      </c>
      <c r="D6070" s="1743" t="str">
        <f>Risk_Compensation!$AJ$14</f>
        <v>geschätzte Risikoausgleichssätze, pro Monat in CHF (ohne Entlastung junge Erwachsene)</v>
      </c>
      <c r="E6070" s="1390">
        <f>Risk_Compensation!$AJ53</f>
        <v>36</v>
      </c>
      <c r="F6070" s="1390" t="str">
        <f>Risk_Compensation!$X$17</f>
        <v>SH</v>
      </c>
      <c r="G6070" s="1390"/>
      <c r="H6070" s="1077">
        <f>Risk_Compensation!$BA53</f>
        <v>-172.693413014371</v>
      </c>
    </row>
    <row r="6071" spans="1:8" x14ac:dyDescent="0.2">
      <c r="A6071" s="1027"/>
      <c r="B6071" s="1083">
        <f>Risk_Compensation!A$1</f>
        <v>36</v>
      </c>
      <c r="C6071" s="1390" t="str">
        <f>Risk_Compensation!$B$1</f>
        <v xml:space="preserve">Risikoausgleich </v>
      </c>
      <c r="D6071" s="1743" t="str">
        <f>Risk_Compensation!$AJ$14</f>
        <v>geschätzte Risikoausgleichssätze, pro Monat in CHF (ohne Entlastung junge Erwachsene)</v>
      </c>
      <c r="E6071" s="1390">
        <f>Risk_Compensation!$AJ54</f>
        <v>37</v>
      </c>
      <c r="F6071" s="1390" t="str">
        <f>Risk_Compensation!$X$17</f>
        <v>SH</v>
      </c>
      <c r="G6071" s="1390"/>
      <c r="H6071" s="1077">
        <f>Risk_Compensation!$BA54</f>
        <v>356.37222079007103</v>
      </c>
    </row>
    <row r="6072" spans="1:8" x14ac:dyDescent="0.2">
      <c r="A6072" s="1027"/>
      <c r="B6072" s="1083">
        <f>Risk_Compensation!A$1</f>
        <v>36</v>
      </c>
      <c r="C6072" s="1390" t="str">
        <f>Risk_Compensation!$B$1</f>
        <v xml:space="preserve">Risikoausgleich </v>
      </c>
      <c r="D6072" s="1743" t="str">
        <f>Risk_Compensation!$AJ$14</f>
        <v>geschätzte Risikoausgleichssätze, pro Monat in CHF (ohne Entlastung junge Erwachsene)</v>
      </c>
      <c r="E6072" s="1390">
        <f>Risk_Compensation!$AJ55</f>
        <v>38</v>
      </c>
      <c r="F6072" s="1390" t="str">
        <f>Risk_Compensation!$X$17</f>
        <v>SH</v>
      </c>
      <c r="G6072" s="1390"/>
      <c r="H6072" s="1077">
        <f>Risk_Compensation!$BA55</f>
        <v>-217.72077702763301</v>
      </c>
    </row>
    <row r="6073" spans="1:8" x14ac:dyDescent="0.2">
      <c r="A6073" s="1027"/>
      <c r="B6073" s="1083">
        <f>Risk_Compensation!A$1</f>
        <v>36</v>
      </c>
      <c r="C6073" s="1390" t="str">
        <f>Risk_Compensation!$B$1</f>
        <v xml:space="preserve">Risikoausgleich </v>
      </c>
      <c r="D6073" s="1743" t="str">
        <f>Risk_Compensation!$AJ$14</f>
        <v>geschätzte Risikoausgleichssätze, pro Monat in CHF (ohne Entlastung junge Erwachsene)</v>
      </c>
      <c r="E6073" s="1390">
        <f>Risk_Compensation!$AJ56</f>
        <v>39</v>
      </c>
      <c r="F6073" s="1390" t="str">
        <f>Risk_Compensation!$X$17</f>
        <v>SH</v>
      </c>
      <c r="G6073" s="1390"/>
      <c r="H6073" s="1077">
        <f>Risk_Compensation!$BA56</f>
        <v>221.733193514482</v>
      </c>
    </row>
    <row r="6074" spans="1:8" x14ac:dyDescent="0.2">
      <c r="A6074" s="1027"/>
      <c r="B6074" s="1083">
        <f>Risk_Compensation!A$1</f>
        <v>36</v>
      </c>
      <c r="C6074" s="1390" t="str">
        <f>Risk_Compensation!$B$1</f>
        <v xml:space="preserve">Risikoausgleich </v>
      </c>
      <c r="D6074" s="1743" t="str">
        <f>Risk_Compensation!$AJ$14</f>
        <v>geschätzte Risikoausgleichssätze, pro Monat in CHF (ohne Entlastung junge Erwachsene)</v>
      </c>
      <c r="E6074" s="1390">
        <f>Risk_Compensation!$AJ57</f>
        <v>40</v>
      </c>
      <c r="F6074" s="1390" t="str">
        <f>Risk_Compensation!$X$17</f>
        <v>SH</v>
      </c>
      <c r="G6074" s="1390"/>
      <c r="H6074" s="1077">
        <f>Risk_Compensation!$BA57</f>
        <v>-232.61342500406101</v>
      </c>
    </row>
    <row r="6075" spans="1:8" x14ac:dyDescent="0.2">
      <c r="A6075" s="1027"/>
      <c r="B6075" s="1083">
        <f>Risk_Compensation!A$1</f>
        <v>36</v>
      </c>
      <c r="C6075" s="1390" t="str">
        <f>Risk_Compensation!$B$1</f>
        <v xml:space="preserve">Risikoausgleich </v>
      </c>
      <c r="D6075" s="1743" t="str">
        <f>Risk_Compensation!$AJ$14</f>
        <v>geschätzte Risikoausgleichssätze, pro Monat in CHF (ohne Entlastung junge Erwachsene)</v>
      </c>
      <c r="E6075" s="1390">
        <f>Risk_Compensation!$AJ58</f>
        <v>41</v>
      </c>
      <c r="F6075" s="1390" t="str">
        <f>Risk_Compensation!$X$17</f>
        <v>SH</v>
      </c>
      <c r="G6075" s="1390"/>
      <c r="H6075" s="1077">
        <f>Risk_Compensation!$BA58</f>
        <v>77.258254350706906</v>
      </c>
    </row>
    <row r="6076" spans="1:8" x14ac:dyDescent="0.2">
      <c r="A6076" s="1027"/>
      <c r="B6076" s="1083">
        <f>Risk_Compensation!A$1</f>
        <v>36</v>
      </c>
      <c r="C6076" s="1390" t="str">
        <f>Risk_Compensation!$B$1</f>
        <v xml:space="preserve">Risikoausgleich </v>
      </c>
      <c r="D6076" s="1743" t="str">
        <f>Risk_Compensation!$AJ$14</f>
        <v>geschätzte Risikoausgleichssätze, pro Monat in CHF (ohne Entlastung junge Erwachsene)</v>
      </c>
      <c r="E6076" s="1390">
        <f>Risk_Compensation!$AJ59</f>
        <v>42</v>
      </c>
      <c r="F6076" s="1390" t="str">
        <f>Risk_Compensation!$X$17</f>
        <v>SH</v>
      </c>
      <c r="G6076" s="1390"/>
      <c r="H6076" s="1077">
        <f>Risk_Compensation!$BA59</f>
        <v>-249.53728426715901</v>
      </c>
    </row>
    <row r="6077" spans="1:8" x14ac:dyDescent="0.2">
      <c r="A6077" s="1027"/>
      <c r="B6077" s="1083">
        <f>Risk_Compensation!A$1</f>
        <v>36</v>
      </c>
      <c r="C6077" s="1390" t="str">
        <f>Risk_Compensation!$B$1</f>
        <v xml:space="preserve">Risikoausgleich </v>
      </c>
      <c r="D6077" s="1743" t="str">
        <f>Risk_Compensation!$AJ$14</f>
        <v>geschätzte Risikoausgleichssätze, pro Monat in CHF (ohne Entlastung junge Erwachsene)</v>
      </c>
      <c r="E6077" s="1390">
        <f>Risk_Compensation!$AJ60</f>
        <v>43</v>
      </c>
      <c r="F6077" s="1390" t="str">
        <f>Risk_Compensation!$X$17</f>
        <v>SH</v>
      </c>
      <c r="G6077" s="1390"/>
      <c r="H6077" s="1077">
        <f>Risk_Compensation!$BA60</f>
        <v>371.63507444748001</v>
      </c>
    </row>
    <row r="6078" spans="1:8" x14ac:dyDescent="0.2">
      <c r="A6078" s="1027"/>
      <c r="B6078" s="1083">
        <f>Risk_Compensation!A$1</f>
        <v>36</v>
      </c>
      <c r="C6078" s="1390" t="str">
        <f>Risk_Compensation!$B$1</f>
        <v xml:space="preserve">Risikoausgleich </v>
      </c>
      <c r="D6078" s="1743" t="str">
        <f>Risk_Compensation!$AJ$14</f>
        <v>geschätzte Risikoausgleichssätze, pro Monat in CHF (ohne Entlastung junge Erwachsene)</v>
      </c>
      <c r="E6078" s="1390">
        <f>Risk_Compensation!$AJ61</f>
        <v>44</v>
      </c>
      <c r="F6078" s="1390" t="str">
        <f>Risk_Compensation!$X$17</f>
        <v>SH</v>
      </c>
      <c r="G6078" s="1390"/>
      <c r="H6078" s="1077">
        <f>Risk_Compensation!$BA61</f>
        <v>-218.73691468099099</v>
      </c>
    </row>
    <row r="6079" spans="1:8" x14ac:dyDescent="0.2">
      <c r="A6079" s="1027"/>
      <c r="B6079" s="1083">
        <f>Risk_Compensation!A$1</f>
        <v>36</v>
      </c>
      <c r="C6079" s="1390" t="str">
        <f>Risk_Compensation!$B$1</f>
        <v xml:space="preserve">Risikoausgleich </v>
      </c>
      <c r="D6079" s="1743" t="str">
        <f>Risk_Compensation!$AJ$14</f>
        <v>geschätzte Risikoausgleichssätze, pro Monat in CHF (ohne Entlastung junge Erwachsene)</v>
      </c>
      <c r="E6079" s="1390">
        <f>Risk_Compensation!$AJ62</f>
        <v>45</v>
      </c>
      <c r="F6079" s="1390" t="str">
        <f>Risk_Compensation!$X$17</f>
        <v>SH</v>
      </c>
      <c r="G6079" s="1390"/>
      <c r="H6079" s="1077">
        <f>Risk_Compensation!$BA62</f>
        <v>97.244183931437504</v>
      </c>
    </row>
    <row r="6080" spans="1:8" x14ac:dyDescent="0.2">
      <c r="A6080" s="1027"/>
      <c r="B6080" s="1083">
        <f>Risk_Compensation!A$1</f>
        <v>36</v>
      </c>
      <c r="C6080" s="1390" t="str">
        <f>Risk_Compensation!$B$1</f>
        <v xml:space="preserve">Risikoausgleich </v>
      </c>
      <c r="D6080" s="1743" t="str">
        <f>Risk_Compensation!$AJ$14</f>
        <v>geschätzte Risikoausgleichssätze, pro Monat in CHF (ohne Entlastung junge Erwachsene)</v>
      </c>
      <c r="E6080" s="1390">
        <f>Risk_Compensation!$AJ63</f>
        <v>46</v>
      </c>
      <c r="F6080" s="1390" t="str">
        <f>Risk_Compensation!$X$17</f>
        <v>SH</v>
      </c>
      <c r="G6080" s="1390"/>
      <c r="H6080" s="1077">
        <f>Risk_Compensation!$BA63</f>
        <v>-208.143180078564</v>
      </c>
    </row>
    <row r="6081" spans="1:8" x14ac:dyDescent="0.2">
      <c r="A6081" s="1027"/>
      <c r="B6081" s="1083">
        <f>Risk_Compensation!A$1</f>
        <v>36</v>
      </c>
      <c r="C6081" s="1390" t="str">
        <f>Risk_Compensation!$B$1</f>
        <v xml:space="preserve">Risikoausgleich </v>
      </c>
      <c r="D6081" s="1743" t="str">
        <f>Risk_Compensation!$AJ$14</f>
        <v>geschätzte Risikoausgleichssätze, pro Monat in CHF (ohne Entlastung junge Erwachsene)</v>
      </c>
      <c r="E6081" s="1390">
        <f>Risk_Compensation!$AJ64</f>
        <v>47</v>
      </c>
      <c r="F6081" s="1390" t="str">
        <f>Risk_Compensation!$X$17</f>
        <v>SH</v>
      </c>
      <c r="G6081" s="1390"/>
      <c r="H6081" s="1077">
        <f>Risk_Compensation!$BA64</f>
        <v>226.44580454915101</v>
      </c>
    </row>
    <row r="6082" spans="1:8" x14ac:dyDescent="0.2">
      <c r="A6082" s="1027"/>
      <c r="B6082" s="1083">
        <f>Risk_Compensation!A$1</f>
        <v>36</v>
      </c>
      <c r="C6082" s="1390" t="str">
        <f>Risk_Compensation!$B$1</f>
        <v xml:space="preserve">Risikoausgleich </v>
      </c>
      <c r="D6082" s="1743" t="str">
        <f>Risk_Compensation!$AJ$14</f>
        <v>geschätzte Risikoausgleichssätze, pro Monat in CHF (ohne Entlastung junge Erwachsene)</v>
      </c>
      <c r="E6082" s="1390">
        <f>Risk_Compensation!$AJ65</f>
        <v>48</v>
      </c>
      <c r="F6082" s="1390" t="str">
        <f>Risk_Compensation!$X$17</f>
        <v>SH</v>
      </c>
      <c r="G6082" s="1390"/>
      <c r="H6082" s="1077">
        <f>Risk_Compensation!$BA65</f>
        <v>-188.27324739390201</v>
      </c>
    </row>
    <row r="6083" spans="1:8" x14ac:dyDescent="0.2">
      <c r="A6083" s="1027"/>
      <c r="B6083" s="1083">
        <f>Risk_Compensation!A$1</f>
        <v>36</v>
      </c>
      <c r="C6083" s="1390" t="str">
        <f>Risk_Compensation!$B$1</f>
        <v xml:space="preserve">Risikoausgleich </v>
      </c>
      <c r="D6083" s="1743" t="str">
        <f>Risk_Compensation!$AJ$14</f>
        <v>geschätzte Risikoausgleichssätze, pro Monat in CHF (ohne Entlastung junge Erwachsene)</v>
      </c>
      <c r="E6083" s="1390">
        <f>Risk_Compensation!$AJ66</f>
        <v>49</v>
      </c>
      <c r="F6083" s="1390" t="str">
        <f>Risk_Compensation!$X$17</f>
        <v>SH</v>
      </c>
      <c r="G6083" s="1390"/>
      <c r="H6083" s="1077">
        <f>Risk_Compensation!$BA66</f>
        <v>485.67679965392801</v>
      </c>
    </row>
    <row r="6084" spans="1:8" x14ac:dyDescent="0.2">
      <c r="A6084" s="1027"/>
      <c r="B6084" s="1083">
        <f>Risk_Compensation!A$1</f>
        <v>36</v>
      </c>
      <c r="C6084" s="1390" t="str">
        <f>Risk_Compensation!$B$1</f>
        <v xml:space="preserve">Risikoausgleich </v>
      </c>
      <c r="D6084" s="1743" t="str">
        <f>Risk_Compensation!$AJ$14</f>
        <v>geschätzte Risikoausgleichssätze, pro Monat in CHF (ohne Entlastung junge Erwachsene)</v>
      </c>
      <c r="E6084" s="1390">
        <f>Risk_Compensation!$AJ67</f>
        <v>50</v>
      </c>
      <c r="F6084" s="1390" t="str">
        <f>Risk_Compensation!$X$17</f>
        <v>SH</v>
      </c>
      <c r="G6084" s="1390"/>
      <c r="H6084" s="1077">
        <f>Risk_Compensation!$BA67</f>
        <v>-140.47882848522599</v>
      </c>
    </row>
    <row r="6085" spans="1:8" x14ac:dyDescent="0.2">
      <c r="A6085" s="1027"/>
      <c r="B6085" s="1083">
        <f>Risk_Compensation!A$1</f>
        <v>36</v>
      </c>
      <c r="C6085" s="1390" t="str">
        <f>Risk_Compensation!$B$1</f>
        <v xml:space="preserve">Risikoausgleich </v>
      </c>
      <c r="D6085" s="1743" t="str">
        <f>Risk_Compensation!$AJ$14</f>
        <v>geschätzte Risikoausgleichssätze, pro Monat in CHF (ohne Entlastung junge Erwachsene)</v>
      </c>
      <c r="E6085" s="1390">
        <f>Risk_Compensation!$AJ68</f>
        <v>51</v>
      </c>
      <c r="F6085" s="1390" t="str">
        <f>Risk_Compensation!$X$17</f>
        <v>SH</v>
      </c>
      <c r="G6085" s="1390"/>
      <c r="H6085" s="1077">
        <f>Risk_Compensation!$BA68</f>
        <v>451.77608806429703</v>
      </c>
    </row>
    <row r="6086" spans="1:8" x14ac:dyDescent="0.2">
      <c r="A6086" s="1027"/>
      <c r="B6086" s="1083">
        <f>Risk_Compensation!A$1</f>
        <v>36</v>
      </c>
      <c r="C6086" s="1390" t="str">
        <f>Risk_Compensation!$B$1</f>
        <v xml:space="preserve">Risikoausgleich </v>
      </c>
      <c r="D6086" s="1743" t="str">
        <f>Risk_Compensation!$AJ$14</f>
        <v>geschätzte Risikoausgleichssätze, pro Monat in CHF (ohne Entlastung junge Erwachsene)</v>
      </c>
      <c r="E6086" s="1390">
        <f>Risk_Compensation!$AJ69</f>
        <v>52</v>
      </c>
      <c r="F6086" s="1390" t="str">
        <f>Risk_Compensation!$X$17</f>
        <v>SH</v>
      </c>
      <c r="G6086" s="1390"/>
      <c r="H6086" s="1077">
        <f>Risk_Compensation!$BA69</f>
        <v>-73.053338691820599</v>
      </c>
    </row>
    <row r="6087" spans="1:8" x14ac:dyDescent="0.2">
      <c r="A6087" s="1027"/>
      <c r="B6087" s="1083">
        <f>Risk_Compensation!A$1</f>
        <v>36</v>
      </c>
      <c r="C6087" s="1390" t="str">
        <f>Risk_Compensation!$B$1</f>
        <v xml:space="preserve">Risikoausgleich </v>
      </c>
      <c r="D6087" s="1743" t="str">
        <f>Risk_Compensation!$AJ$14</f>
        <v>geschätzte Risikoausgleichssätze, pro Monat in CHF (ohne Entlastung junge Erwachsene)</v>
      </c>
      <c r="E6087" s="1390">
        <f>Risk_Compensation!$AJ70</f>
        <v>53</v>
      </c>
      <c r="F6087" s="1390" t="str">
        <f>Risk_Compensation!$X$17</f>
        <v>SH</v>
      </c>
      <c r="G6087" s="1390"/>
      <c r="H6087" s="1077">
        <f>Risk_Compensation!$BA70</f>
        <v>735.16248937003502</v>
      </c>
    </row>
    <row r="6088" spans="1:8" x14ac:dyDescent="0.2">
      <c r="A6088" s="1027"/>
      <c r="B6088" s="1083">
        <f>Risk_Compensation!A$1</f>
        <v>36</v>
      </c>
      <c r="C6088" s="1390" t="str">
        <f>Risk_Compensation!$B$1</f>
        <v xml:space="preserve">Risikoausgleich </v>
      </c>
      <c r="D6088" s="1743" t="str">
        <f>Risk_Compensation!$AJ$14</f>
        <v>geschätzte Risikoausgleichssätze, pro Monat in CHF (ohne Entlastung junge Erwachsene)</v>
      </c>
      <c r="E6088" s="1390">
        <f>Risk_Compensation!$AJ71</f>
        <v>54</v>
      </c>
      <c r="F6088" s="1390" t="str">
        <f>Risk_Compensation!$X$17</f>
        <v>SH</v>
      </c>
      <c r="G6088" s="1390"/>
      <c r="H6088" s="1077">
        <f>Risk_Compensation!$BA71</f>
        <v>9.5347407674196294</v>
      </c>
    </row>
    <row r="6089" spans="1:8" x14ac:dyDescent="0.2">
      <c r="A6089" s="1027"/>
      <c r="B6089" s="1083">
        <f>Risk_Compensation!A$1</f>
        <v>36</v>
      </c>
      <c r="C6089" s="1390" t="str">
        <f>Risk_Compensation!$B$1</f>
        <v xml:space="preserve">Risikoausgleich </v>
      </c>
      <c r="D6089" s="1743" t="str">
        <f>Risk_Compensation!$AJ$14</f>
        <v>geschätzte Risikoausgleichssätze, pro Monat in CHF (ohne Entlastung junge Erwachsene)</v>
      </c>
      <c r="E6089" s="1390">
        <f>Risk_Compensation!$AJ72</f>
        <v>55</v>
      </c>
      <c r="F6089" s="1390" t="str">
        <f>Risk_Compensation!$X$17</f>
        <v>SH</v>
      </c>
      <c r="G6089" s="1390"/>
      <c r="H6089" s="1077">
        <f>Risk_Compensation!$BA72</f>
        <v>849.90090653027096</v>
      </c>
    </row>
    <row r="6090" spans="1:8" x14ac:dyDescent="0.2">
      <c r="A6090" s="1027"/>
      <c r="B6090" s="1083">
        <f>Risk_Compensation!A$1</f>
        <v>36</v>
      </c>
      <c r="C6090" s="1390" t="str">
        <f>Risk_Compensation!$B$1</f>
        <v xml:space="preserve">Risikoausgleich </v>
      </c>
      <c r="D6090" s="1743" t="str">
        <f>Risk_Compensation!$AJ$14</f>
        <v>geschätzte Risikoausgleichssätze, pro Monat in CHF (ohne Entlastung junge Erwachsene)</v>
      </c>
      <c r="E6090" s="1390">
        <f>Risk_Compensation!$AJ73</f>
        <v>56</v>
      </c>
      <c r="F6090" s="1390" t="str">
        <f>Risk_Compensation!$X$17</f>
        <v>SH</v>
      </c>
      <c r="G6090" s="1390"/>
      <c r="H6090" s="1077">
        <f>Risk_Compensation!$BA73</f>
        <v>88.644963421186205</v>
      </c>
    </row>
    <row r="6091" spans="1:8" x14ac:dyDescent="0.2">
      <c r="A6091" s="1027"/>
      <c r="B6091" s="1083">
        <f>Risk_Compensation!A$1</f>
        <v>36</v>
      </c>
      <c r="C6091" s="1390" t="str">
        <f>Risk_Compensation!$B$1</f>
        <v xml:space="preserve">Risikoausgleich </v>
      </c>
      <c r="D6091" s="1743" t="str">
        <f>Risk_Compensation!$AJ$14</f>
        <v>geschätzte Risikoausgleichssätze, pro Monat in CHF (ohne Entlastung junge Erwachsene)</v>
      </c>
      <c r="E6091" s="1390">
        <f>Risk_Compensation!$AJ74</f>
        <v>57</v>
      </c>
      <c r="F6091" s="1390" t="str">
        <f>Risk_Compensation!$X$17</f>
        <v>SH</v>
      </c>
      <c r="G6091" s="1390"/>
      <c r="H6091" s="1077">
        <f>Risk_Compensation!$BA74</f>
        <v>921.80206771076701</v>
      </c>
    </row>
    <row r="6092" spans="1:8" x14ac:dyDescent="0.2">
      <c r="A6092" s="1027"/>
      <c r="B6092" s="1083">
        <f>Risk_Compensation!A$1</f>
        <v>36</v>
      </c>
      <c r="C6092" s="1390" t="str">
        <f>Risk_Compensation!$B$1</f>
        <v xml:space="preserve">Risikoausgleich </v>
      </c>
      <c r="D6092" s="1743" t="str">
        <f>Risk_Compensation!$AJ$14</f>
        <v>geschätzte Risikoausgleichssätze, pro Monat in CHF (ohne Entlastung junge Erwachsene)</v>
      </c>
      <c r="E6092" s="1390">
        <f>Risk_Compensation!$AJ75</f>
        <v>58</v>
      </c>
      <c r="F6092" s="1390" t="str">
        <f>Risk_Compensation!$X$17</f>
        <v>SH</v>
      </c>
      <c r="G6092" s="1390"/>
      <c r="H6092" s="1077">
        <f>Risk_Compensation!$BA75</f>
        <v>272.50169184079698</v>
      </c>
    </row>
    <row r="6093" spans="1:8" x14ac:dyDescent="0.2">
      <c r="A6093" s="1027"/>
      <c r="B6093" s="1083">
        <f>Risk_Compensation!A$1</f>
        <v>36</v>
      </c>
      <c r="C6093" s="1390" t="str">
        <f>Risk_Compensation!$B$1</f>
        <v xml:space="preserve">Risikoausgleich </v>
      </c>
      <c r="D6093" s="1743" t="str">
        <f>Risk_Compensation!$AJ$14</f>
        <v>geschätzte Risikoausgleichssätze, pro Monat in CHF (ohne Entlastung junge Erwachsene)</v>
      </c>
      <c r="E6093" s="1390">
        <f>Risk_Compensation!$AJ76</f>
        <v>59</v>
      </c>
      <c r="F6093" s="1390" t="str">
        <f>Risk_Compensation!$X$17</f>
        <v>SH</v>
      </c>
      <c r="G6093" s="1390"/>
      <c r="H6093" s="1077">
        <f>Risk_Compensation!$BA76</f>
        <v>1183.9588797773799</v>
      </c>
    </row>
    <row r="6094" spans="1:8" x14ac:dyDescent="0.2">
      <c r="A6094" s="1027"/>
      <c r="B6094" s="1083">
        <f>Risk_Compensation!A$1</f>
        <v>36</v>
      </c>
      <c r="C6094" s="1390" t="str">
        <f>Risk_Compensation!$B$1</f>
        <v xml:space="preserve">Risikoausgleich </v>
      </c>
      <c r="D6094" s="1743" t="str">
        <f>Risk_Compensation!$AJ$14</f>
        <v>geschätzte Risikoausgleichssätze, pro Monat in CHF (ohne Entlastung junge Erwachsene)</v>
      </c>
      <c r="E6094" s="1390">
        <f>Risk_Compensation!$AJ77</f>
        <v>60</v>
      </c>
      <c r="F6094" s="1390" t="str">
        <f>Risk_Compensation!$X$17</f>
        <v>SH</v>
      </c>
      <c r="G6094" s="1390"/>
      <c r="H6094" s="1077">
        <f>Risk_Compensation!$BA77</f>
        <v>359.61345917267198</v>
      </c>
    </row>
    <row r="6095" spans="1:8" x14ac:dyDescent="0.2">
      <c r="A6095" s="1027"/>
      <c r="B6095" s="2174"/>
      <c r="C6095" s="1390"/>
      <c r="D6095" s="2175"/>
      <c r="E6095" s="2176"/>
      <c r="F6095" s="1390"/>
      <c r="G6095" s="1390"/>
      <c r="H6095" s="1078"/>
    </row>
    <row r="6096" spans="1:8" x14ac:dyDescent="0.2">
      <c r="A6096" s="1027"/>
      <c r="B6096" s="1083">
        <f>Risk_Compensation!A$1</f>
        <v>36</v>
      </c>
      <c r="C6096" s="1390" t="str">
        <f>Risk_Compensation!$B$1</f>
        <v xml:space="preserve">Risikoausgleich </v>
      </c>
      <c r="D6096" s="1743" t="str">
        <f>Risk_Compensation!$AJ$14</f>
        <v>geschätzte Risikoausgleichssätze, pro Monat in CHF (ohne Entlastung junge Erwachsene)</v>
      </c>
      <c r="E6096" s="1390">
        <f>Risk_Compensation!$AJ18</f>
        <v>1</v>
      </c>
      <c r="F6096" s="1390" t="str">
        <f>Risk_Compensation!$Y$17</f>
        <v>SO</v>
      </c>
      <c r="G6096" s="1390"/>
      <c r="H6096" s="1077">
        <f>Risk_Compensation!$BB18</f>
        <v>274.23158139186398</v>
      </c>
    </row>
    <row r="6097" spans="1:8" x14ac:dyDescent="0.2">
      <c r="A6097" s="1027"/>
      <c r="B6097" s="1083">
        <f>Risk_Compensation!A$1</f>
        <v>36</v>
      </c>
      <c r="C6097" s="1390" t="str">
        <f>Risk_Compensation!$B$1</f>
        <v xml:space="preserve">Risikoausgleich </v>
      </c>
      <c r="D6097" s="1743" t="str">
        <f>Risk_Compensation!$AJ$14</f>
        <v>geschätzte Risikoausgleichssätze, pro Monat in CHF (ohne Entlastung junge Erwachsene)</v>
      </c>
      <c r="E6097" s="1390">
        <f>Risk_Compensation!$AJ19</f>
        <v>2</v>
      </c>
      <c r="F6097" s="1390" t="str">
        <f>Risk_Compensation!$Y$17</f>
        <v>SO</v>
      </c>
      <c r="G6097" s="1390"/>
      <c r="H6097" s="1077">
        <f>Risk_Compensation!$BB19</f>
        <v>-327.80206550195402</v>
      </c>
    </row>
    <row r="6098" spans="1:8" x14ac:dyDescent="0.2">
      <c r="A6098" s="1027"/>
      <c r="B6098" s="1083">
        <f>Risk_Compensation!A$1</f>
        <v>36</v>
      </c>
      <c r="C6098" s="1390" t="str">
        <f>Risk_Compensation!$B$1</f>
        <v xml:space="preserve">Risikoausgleich </v>
      </c>
      <c r="D6098" s="1743" t="str">
        <f>Risk_Compensation!$AJ$14</f>
        <v>geschätzte Risikoausgleichssätze, pro Monat in CHF (ohne Entlastung junge Erwachsene)</v>
      </c>
      <c r="E6098" s="1390">
        <f>Risk_Compensation!$AJ20</f>
        <v>3</v>
      </c>
      <c r="F6098" s="1390" t="str">
        <f>Risk_Compensation!$Y$17</f>
        <v>SO</v>
      </c>
      <c r="G6098" s="1390"/>
      <c r="H6098" s="1077">
        <f>Risk_Compensation!$BB20</f>
        <v>306.91749666247</v>
      </c>
    </row>
    <row r="6099" spans="1:8" x14ac:dyDescent="0.2">
      <c r="A6099" s="1027"/>
      <c r="B6099" s="1083">
        <f>Risk_Compensation!A$1</f>
        <v>36</v>
      </c>
      <c r="C6099" s="1390" t="str">
        <f>Risk_Compensation!$B$1</f>
        <v xml:space="preserve">Risikoausgleich </v>
      </c>
      <c r="D6099" s="1743" t="str">
        <f>Risk_Compensation!$AJ$14</f>
        <v>geschätzte Risikoausgleichssätze, pro Monat in CHF (ohne Entlastung junge Erwachsene)</v>
      </c>
      <c r="E6099" s="1390">
        <f>Risk_Compensation!$AJ21</f>
        <v>4</v>
      </c>
      <c r="F6099" s="1390" t="str">
        <f>Risk_Compensation!$Y$17</f>
        <v>SO</v>
      </c>
      <c r="G6099" s="1390"/>
      <c r="H6099" s="1077">
        <f>Risk_Compensation!$BB21</f>
        <v>-323.59373412999298</v>
      </c>
    </row>
    <row r="6100" spans="1:8" x14ac:dyDescent="0.2">
      <c r="A6100" s="1027"/>
      <c r="B6100" s="1083">
        <f>Risk_Compensation!A$1</f>
        <v>36</v>
      </c>
      <c r="C6100" s="1390" t="str">
        <f>Risk_Compensation!$B$1</f>
        <v xml:space="preserve">Risikoausgleich </v>
      </c>
      <c r="D6100" s="1743" t="str">
        <f>Risk_Compensation!$AJ$14</f>
        <v>geschätzte Risikoausgleichssätze, pro Monat in CHF (ohne Entlastung junge Erwachsene)</v>
      </c>
      <c r="E6100" s="1390">
        <f>Risk_Compensation!$AJ22</f>
        <v>5</v>
      </c>
      <c r="F6100" s="1390" t="str">
        <f>Risk_Compensation!$Y$17</f>
        <v>SO</v>
      </c>
      <c r="G6100" s="1390"/>
      <c r="H6100" s="1077">
        <f>Risk_Compensation!$BB22</f>
        <v>289.464777123099</v>
      </c>
    </row>
    <row r="6101" spans="1:8" x14ac:dyDescent="0.2">
      <c r="A6101" s="1027"/>
      <c r="B6101" s="1083">
        <f>Risk_Compensation!A$1</f>
        <v>36</v>
      </c>
      <c r="C6101" s="1390" t="str">
        <f>Risk_Compensation!$B$1</f>
        <v xml:space="preserve">Risikoausgleich </v>
      </c>
      <c r="D6101" s="1743" t="str">
        <f>Risk_Compensation!$AJ$14</f>
        <v>geschätzte Risikoausgleichssätze, pro Monat in CHF (ohne Entlastung junge Erwachsene)</v>
      </c>
      <c r="E6101" s="1390">
        <f>Risk_Compensation!$AJ23</f>
        <v>6</v>
      </c>
      <c r="F6101" s="1390" t="str">
        <f>Risk_Compensation!$Y$17</f>
        <v>SO</v>
      </c>
      <c r="G6101" s="1390"/>
      <c r="H6101" s="1077">
        <f>Risk_Compensation!$BB23</f>
        <v>-325.79852122870102</v>
      </c>
    </row>
    <row r="6102" spans="1:8" x14ac:dyDescent="0.2">
      <c r="A6102" s="1027"/>
      <c r="B6102" s="1083">
        <f>Risk_Compensation!A$1</f>
        <v>36</v>
      </c>
      <c r="C6102" s="1390" t="str">
        <f>Risk_Compensation!$B$1</f>
        <v xml:space="preserve">Risikoausgleich </v>
      </c>
      <c r="D6102" s="1743" t="str">
        <f>Risk_Compensation!$AJ$14</f>
        <v>geschätzte Risikoausgleichssätze, pro Monat in CHF (ohne Entlastung junge Erwachsene)</v>
      </c>
      <c r="E6102" s="1390">
        <f>Risk_Compensation!$AJ24</f>
        <v>7</v>
      </c>
      <c r="F6102" s="1390" t="str">
        <f>Risk_Compensation!$Y$17</f>
        <v>SO</v>
      </c>
      <c r="G6102" s="1390"/>
      <c r="H6102" s="1077">
        <f>Risk_Compensation!$BB24</f>
        <v>199.073150270469</v>
      </c>
    </row>
    <row r="6103" spans="1:8" x14ac:dyDescent="0.2">
      <c r="A6103" s="1027"/>
      <c r="B6103" s="1083">
        <f>Risk_Compensation!A$1</f>
        <v>36</v>
      </c>
      <c r="C6103" s="1390" t="str">
        <f>Risk_Compensation!$B$1</f>
        <v xml:space="preserve">Risikoausgleich </v>
      </c>
      <c r="D6103" s="1743" t="str">
        <f>Risk_Compensation!$AJ$14</f>
        <v>geschätzte Risikoausgleichssätze, pro Monat in CHF (ohne Entlastung junge Erwachsene)</v>
      </c>
      <c r="E6103" s="1390">
        <f>Risk_Compensation!$AJ25</f>
        <v>8</v>
      </c>
      <c r="F6103" s="1390" t="str">
        <f>Risk_Compensation!$Y$17</f>
        <v>SO</v>
      </c>
      <c r="G6103" s="1390"/>
      <c r="H6103" s="1077">
        <f>Risk_Compensation!$BB25</f>
        <v>-318.540355408246</v>
      </c>
    </row>
    <row r="6104" spans="1:8" x14ac:dyDescent="0.2">
      <c r="A6104" s="1027"/>
      <c r="B6104" s="1083">
        <f>Risk_Compensation!A$1</f>
        <v>36</v>
      </c>
      <c r="C6104" s="1390" t="str">
        <f>Risk_Compensation!$B$1</f>
        <v xml:space="preserve">Risikoausgleich </v>
      </c>
      <c r="D6104" s="1743" t="str">
        <f>Risk_Compensation!$AJ$14</f>
        <v>geschätzte Risikoausgleichssätze, pro Monat in CHF (ohne Entlastung junge Erwachsene)</v>
      </c>
      <c r="E6104" s="1390">
        <f>Risk_Compensation!$AJ26</f>
        <v>9</v>
      </c>
      <c r="F6104" s="1390" t="str">
        <f>Risk_Compensation!$Y$17</f>
        <v>SO</v>
      </c>
      <c r="G6104" s="1390"/>
      <c r="H6104" s="1077">
        <f>Risk_Compensation!$BB26</f>
        <v>234.881031786384</v>
      </c>
    </row>
    <row r="6105" spans="1:8" x14ac:dyDescent="0.2">
      <c r="A6105" s="1027"/>
      <c r="B6105" s="1083">
        <f>Risk_Compensation!A$1</f>
        <v>36</v>
      </c>
      <c r="C6105" s="1390" t="str">
        <f>Risk_Compensation!$B$1</f>
        <v xml:space="preserve">Risikoausgleich </v>
      </c>
      <c r="D6105" s="1743" t="str">
        <f>Risk_Compensation!$AJ$14</f>
        <v>geschätzte Risikoausgleichssätze, pro Monat in CHF (ohne Entlastung junge Erwachsene)</v>
      </c>
      <c r="E6105" s="1390">
        <f>Risk_Compensation!$AJ27</f>
        <v>10</v>
      </c>
      <c r="F6105" s="1390" t="str">
        <f>Risk_Compensation!$Y$17</f>
        <v>SO</v>
      </c>
      <c r="G6105" s="1390"/>
      <c r="H6105" s="1077">
        <f>Risk_Compensation!$BB27</f>
        <v>-303.86487948189802</v>
      </c>
    </row>
    <row r="6106" spans="1:8" x14ac:dyDescent="0.2">
      <c r="A6106" s="1027"/>
      <c r="B6106" s="1083">
        <f>Risk_Compensation!A$1</f>
        <v>36</v>
      </c>
      <c r="C6106" s="1390" t="str">
        <f>Risk_Compensation!$B$1</f>
        <v xml:space="preserve">Risikoausgleich </v>
      </c>
      <c r="D6106" s="1743" t="str">
        <f>Risk_Compensation!$AJ$14</f>
        <v>geschätzte Risikoausgleichssätze, pro Monat in CHF (ohne Entlastung junge Erwachsene)</v>
      </c>
      <c r="E6106" s="1390">
        <f>Risk_Compensation!$AJ28</f>
        <v>11</v>
      </c>
      <c r="F6106" s="1390" t="str">
        <f>Risk_Compensation!$Y$17</f>
        <v>SO</v>
      </c>
      <c r="G6106" s="1390"/>
      <c r="H6106" s="1077">
        <f>Risk_Compensation!$BB28</f>
        <v>104.724138155457</v>
      </c>
    </row>
    <row r="6107" spans="1:8" x14ac:dyDescent="0.2">
      <c r="A6107" s="1027"/>
      <c r="B6107" s="1083">
        <f>Risk_Compensation!A$1</f>
        <v>36</v>
      </c>
      <c r="C6107" s="1390" t="str">
        <f>Risk_Compensation!$B$1</f>
        <v xml:space="preserve">Risikoausgleich </v>
      </c>
      <c r="D6107" s="1743" t="str">
        <f>Risk_Compensation!$AJ$14</f>
        <v>geschätzte Risikoausgleichssätze, pro Monat in CHF (ohne Entlastung junge Erwachsene)</v>
      </c>
      <c r="E6107" s="1390">
        <f>Risk_Compensation!$AJ29</f>
        <v>12</v>
      </c>
      <c r="F6107" s="1390" t="str">
        <f>Risk_Compensation!$Y$17</f>
        <v>SO</v>
      </c>
      <c r="G6107" s="1390"/>
      <c r="H6107" s="1077">
        <f>Risk_Compensation!$BB29</f>
        <v>-297.63773406728899</v>
      </c>
    </row>
    <row r="6108" spans="1:8" x14ac:dyDescent="0.2">
      <c r="A6108" s="1027"/>
      <c r="B6108" s="1083">
        <f>Risk_Compensation!A$1</f>
        <v>36</v>
      </c>
      <c r="C6108" s="1390" t="str">
        <f>Risk_Compensation!$B$1</f>
        <v xml:space="preserve">Risikoausgleich </v>
      </c>
      <c r="D6108" s="1743" t="str">
        <f>Risk_Compensation!$AJ$14</f>
        <v>geschätzte Risikoausgleichssätze, pro Monat in CHF (ohne Entlastung junge Erwachsene)</v>
      </c>
      <c r="E6108" s="1390">
        <f>Risk_Compensation!$AJ30</f>
        <v>13</v>
      </c>
      <c r="F6108" s="1390" t="str">
        <f>Risk_Compensation!$Y$17</f>
        <v>SO</v>
      </c>
      <c r="G6108" s="1390"/>
      <c r="H6108" s="1077">
        <f>Risk_Compensation!$BB30</f>
        <v>244.42744021189401</v>
      </c>
    </row>
    <row r="6109" spans="1:8" x14ac:dyDescent="0.2">
      <c r="A6109" s="1027"/>
      <c r="B6109" s="1083">
        <f>Risk_Compensation!A$1</f>
        <v>36</v>
      </c>
      <c r="C6109" s="1390" t="str">
        <f>Risk_Compensation!$B$1</f>
        <v xml:space="preserve">Risikoausgleich </v>
      </c>
      <c r="D6109" s="1743" t="str">
        <f>Risk_Compensation!$AJ$14</f>
        <v>geschätzte Risikoausgleichssätze, pro Monat in CHF (ohne Entlastung junge Erwachsene)</v>
      </c>
      <c r="E6109" s="1390">
        <f>Risk_Compensation!$AJ31</f>
        <v>14</v>
      </c>
      <c r="F6109" s="1390" t="str">
        <f>Risk_Compensation!$Y$17</f>
        <v>SO</v>
      </c>
      <c r="G6109" s="1390"/>
      <c r="H6109" s="1077">
        <f>Risk_Compensation!$BB31</f>
        <v>-271.08517059373099</v>
      </c>
    </row>
    <row r="6110" spans="1:8" x14ac:dyDescent="0.2">
      <c r="A6110" s="1027"/>
      <c r="B6110" s="1083">
        <f>Risk_Compensation!A$1</f>
        <v>36</v>
      </c>
      <c r="C6110" s="1390" t="str">
        <f>Risk_Compensation!$B$1</f>
        <v xml:space="preserve">Risikoausgleich </v>
      </c>
      <c r="D6110" s="1743" t="str">
        <f>Risk_Compensation!$AJ$14</f>
        <v>geschätzte Risikoausgleichssätze, pro Monat in CHF (ohne Entlastung junge Erwachsene)</v>
      </c>
      <c r="E6110" s="1390">
        <f>Risk_Compensation!$AJ32</f>
        <v>15</v>
      </c>
      <c r="F6110" s="1390" t="str">
        <f>Risk_Compensation!$Y$17</f>
        <v>SO</v>
      </c>
      <c r="G6110" s="1390"/>
      <c r="H6110" s="1077">
        <f>Risk_Compensation!$BB32</f>
        <v>373.94703120693498</v>
      </c>
    </row>
    <row r="6111" spans="1:8" x14ac:dyDescent="0.2">
      <c r="A6111" s="1027"/>
      <c r="B6111" s="1083">
        <f>Risk_Compensation!A$1</f>
        <v>36</v>
      </c>
      <c r="C6111" s="1390" t="str">
        <f>Risk_Compensation!$B$1</f>
        <v xml:space="preserve">Risikoausgleich </v>
      </c>
      <c r="D6111" s="1743" t="str">
        <f>Risk_Compensation!$AJ$14</f>
        <v>geschätzte Risikoausgleichssätze, pro Monat in CHF (ohne Entlastung junge Erwachsene)</v>
      </c>
      <c r="E6111" s="1390">
        <f>Risk_Compensation!$AJ33</f>
        <v>16</v>
      </c>
      <c r="F6111" s="1390" t="str">
        <f>Risk_Compensation!$Y$17</f>
        <v>SO</v>
      </c>
      <c r="G6111" s="1390"/>
      <c r="H6111" s="1077">
        <f>Risk_Compensation!$BB33</f>
        <v>-243.506209622109</v>
      </c>
    </row>
    <row r="6112" spans="1:8" x14ac:dyDescent="0.2">
      <c r="A6112" s="1027"/>
      <c r="B6112" s="1083">
        <f>Risk_Compensation!A$1</f>
        <v>36</v>
      </c>
      <c r="C6112" s="1390" t="str">
        <f>Risk_Compensation!$B$1</f>
        <v xml:space="preserve">Risikoausgleich </v>
      </c>
      <c r="D6112" s="1743" t="str">
        <f>Risk_Compensation!$AJ$14</f>
        <v>geschätzte Risikoausgleichssätze, pro Monat in CHF (ohne Entlastung junge Erwachsene)</v>
      </c>
      <c r="E6112" s="1390">
        <f>Risk_Compensation!$AJ34</f>
        <v>17</v>
      </c>
      <c r="F6112" s="1390" t="str">
        <f>Risk_Compensation!$Y$17</f>
        <v>SO</v>
      </c>
      <c r="G6112" s="1390"/>
      <c r="H6112" s="1077">
        <f>Risk_Compensation!$BB34</f>
        <v>272.78142950945102</v>
      </c>
    </row>
    <row r="6113" spans="1:8" x14ac:dyDescent="0.2">
      <c r="A6113" s="1027"/>
      <c r="B6113" s="1083">
        <f>Risk_Compensation!A$1</f>
        <v>36</v>
      </c>
      <c r="C6113" s="1390" t="str">
        <f>Risk_Compensation!$B$1</f>
        <v xml:space="preserve">Risikoausgleich </v>
      </c>
      <c r="D6113" s="1743" t="str">
        <f>Risk_Compensation!$AJ$14</f>
        <v>geschätzte Risikoausgleichssätze, pro Monat in CHF (ohne Entlastung junge Erwachsene)</v>
      </c>
      <c r="E6113" s="1390">
        <f>Risk_Compensation!$AJ35</f>
        <v>18</v>
      </c>
      <c r="F6113" s="1390" t="str">
        <f>Risk_Compensation!$Y$17</f>
        <v>SO</v>
      </c>
      <c r="G6113" s="1390"/>
      <c r="H6113" s="1077">
        <f>Risk_Compensation!$BB35</f>
        <v>-161.577104608415</v>
      </c>
    </row>
    <row r="6114" spans="1:8" x14ac:dyDescent="0.2">
      <c r="A6114" s="1027"/>
      <c r="B6114" s="1083">
        <f>Risk_Compensation!A$1</f>
        <v>36</v>
      </c>
      <c r="C6114" s="1390" t="str">
        <f>Risk_Compensation!$B$1</f>
        <v xml:space="preserve">Risikoausgleich </v>
      </c>
      <c r="D6114" s="1743" t="str">
        <f>Risk_Compensation!$AJ$14</f>
        <v>geschätzte Risikoausgleichssätze, pro Monat in CHF (ohne Entlastung junge Erwachsene)</v>
      </c>
      <c r="E6114" s="1390">
        <f>Risk_Compensation!$AJ36</f>
        <v>19</v>
      </c>
      <c r="F6114" s="1390" t="str">
        <f>Risk_Compensation!$Y$17</f>
        <v>SO</v>
      </c>
      <c r="G6114" s="1390"/>
      <c r="H6114" s="1077">
        <f>Risk_Compensation!$BB36</f>
        <v>677.43074312501506</v>
      </c>
    </row>
    <row r="6115" spans="1:8" x14ac:dyDescent="0.2">
      <c r="A6115" s="1027"/>
      <c r="B6115" s="1083">
        <f>Risk_Compensation!A$1</f>
        <v>36</v>
      </c>
      <c r="C6115" s="1390" t="str">
        <f>Risk_Compensation!$B$1</f>
        <v xml:space="preserve">Risikoausgleich </v>
      </c>
      <c r="D6115" s="1743" t="str">
        <f>Risk_Compensation!$AJ$14</f>
        <v>geschätzte Risikoausgleichssätze, pro Monat in CHF (ohne Entlastung junge Erwachsene)</v>
      </c>
      <c r="E6115" s="1390">
        <f>Risk_Compensation!$AJ37</f>
        <v>20</v>
      </c>
      <c r="F6115" s="1390" t="str">
        <f>Risk_Compensation!$Y$17</f>
        <v>SO</v>
      </c>
      <c r="G6115" s="1390"/>
      <c r="H6115" s="1077">
        <f>Risk_Compensation!$BB37</f>
        <v>-122.23526876000901</v>
      </c>
    </row>
    <row r="6116" spans="1:8" x14ac:dyDescent="0.2">
      <c r="A6116" s="1027"/>
      <c r="B6116" s="1083">
        <f>Risk_Compensation!A$1</f>
        <v>36</v>
      </c>
      <c r="C6116" s="1390" t="str">
        <f>Risk_Compensation!$B$1</f>
        <v xml:space="preserve">Risikoausgleich </v>
      </c>
      <c r="D6116" s="1743" t="str">
        <f>Risk_Compensation!$AJ$14</f>
        <v>geschätzte Risikoausgleichssätze, pro Monat in CHF (ohne Entlastung junge Erwachsene)</v>
      </c>
      <c r="E6116" s="1390">
        <f>Risk_Compensation!$AJ38</f>
        <v>21</v>
      </c>
      <c r="F6116" s="1390" t="str">
        <f>Risk_Compensation!$Y$17</f>
        <v>SO</v>
      </c>
      <c r="G6116" s="1390"/>
      <c r="H6116" s="1077">
        <f>Risk_Compensation!$BB38</f>
        <v>679.93950272122299</v>
      </c>
    </row>
    <row r="6117" spans="1:8" x14ac:dyDescent="0.2">
      <c r="A6117" s="1027"/>
      <c r="B6117" s="1083">
        <f>Risk_Compensation!A$1</f>
        <v>36</v>
      </c>
      <c r="C6117" s="1390" t="str">
        <f>Risk_Compensation!$B$1</f>
        <v xml:space="preserve">Risikoausgleich </v>
      </c>
      <c r="D6117" s="1743" t="str">
        <f>Risk_Compensation!$AJ$14</f>
        <v>geschätzte Risikoausgleichssätze, pro Monat in CHF (ohne Entlastung junge Erwachsene)</v>
      </c>
      <c r="E6117" s="1390">
        <f>Risk_Compensation!$AJ39</f>
        <v>22</v>
      </c>
      <c r="F6117" s="1390" t="str">
        <f>Risk_Compensation!$Y$17</f>
        <v>SO</v>
      </c>
      <c r="G6117" s="1390"/>
      <c r="H6117" s="1077">
        <f>Risk_Compensation!$BB39</f>
        <v>-26.358499729731999</v>
      </c>
    </row>
    <row r="6118" spans="1:8" x14ac:dyDescent="0.2">
      <c r="A6118" s="1027"/>
      <c r="B6118" s="1083">
        <f>Risk_Compensation!A$1</f>
        <v>36</v>
      </c>
      <c r="C6118" s="1390" t="str">
        <f>Risk_Compensation!$B$1</f>
        <v xml:space="preserve">Risikoausgleich </v>
      </c>
      <c r="D6118" s="1743" t="str">
        <f>Risk_Compensation!$AJ$14</f>
        <v>geschätzte Risikoausgleichssätze, pro Monat in CHF (ohne Entlastung junge Erwachsene)</v>
      </c>
      <c r="E6118" s="1390">
        <f>Risk_Compensation!$AJ40</f>
        <v>23</v>
      </c>
      <c r="F6118" s="1390" t="str">
        <f>Risk_Compensation!$Y$17</f>
        <v>SO</v>
      </c>
      <c r="G6118" s="1390"/>
      <c r="H6118" s="1077">
        <f>Risk_Compensation!$BB40</f>
        <v>987.51251308572103</v>
      </c>
    </row>
    <row r="6119" spans="1:8" x14ac:dyDescent="0.2">
      <c r="A6119" s="1027"/>
      <c r="B6119" s="1083">
        <f>Risk_Compensation!A$1</f>
        <v>36</v>
      </c>
      <c r="C6119" s="1390" t="str">
        <f>Risk_Compensation!$B$1</f>
        <v xml:space="preserve">Risikoausgleich </v>
      </c>
      <c r="D6119" s="1743" t="str">
        <f>Risk_Compensation!$AJ$14</f>
        <v>geschätzte Risikoausgleichssätze, pro Monat in CHF (ohne Entlastung junge Erwachsene)</v>
      </c>
      <c r="E6119" s="1390">
        <f>Risk_Compensation!$AJ41</f>
        <v>24</v>
      </c>
      <c r="F6119" s="1390" t="str">
        <f>Risk_Compensation!$Y$17</f>
        <v>SO</v>
      </c>
      <c r="G6119" s="1390"/>
      <c r="H6119" s="1077">
        <f>Risk_Compensation!$BB41</f>
        <v>89.528239157151702</v>
      </c>
    </row>
    <row r="6120" spans="1:8" x14ac:dyDescent="0.2">
      <c r="A6120" s="1027"/>
      <c r="B6120" s="1083">
        <f>Risk_Compensation!A$1</f>
        <v>36</v>
      </c>
      <c r="C6120" s="1390" t="str">
        <f>Risk_Compensation!$B$1</f>
        <v xml:space="preserve">Risikoausgleich </v>
      </c>
      <c r="D6120" s="1743" t="str">
        <f>Risk_Compensation!$AJ$14</f>
        <v>geschätzte Risikoausgleichssätze, pro Monat in CHF (ohne Entlastung junge Erwachsene)</v>
      </c>
      <c r="E6120" s="1390">
        <f>Risk_Compensation!$AJ42</f>
        <v>25</v>
      </c>
      <c r="F6120" s="1390" t="str">
        <f>Risk_Compensation!$Y$17</f>
        <v>SO</v>
      </c>
      <c r="G6120" s="1390"/>
      <c r="H6120" s="1077">
        <f>Risk_Compensation!$BB42</f>
        <v>941.99120852132103</v>
      </c>
    </row>
    <row r="6121" spans="1:8" x14ac:dyDescent="0.2">
      <c r="A6121" s="1027"/>
      <c r="B6121" s="1083">
        <f>Risk_Compensation!A$1</f>
        <v>36</v>
      </c>
      <c r="C6121" s="1390" t="str">
        <f>Risk_Compensation!$B$1</f>
        <v xml:space="preserve">Risikoausgleich </v>
      </c>
      <c r="D6121" s="1743" t="str">
        <f>Risk_Compensation!$AJ$14</f>
        <v>geschätzte Risikoausgleichssätze, pro Monat in CHF (ohne Entlastung junge Erwachsene)</v>
      </c>
      <c r="E6121" s="1390">
        <f>Risk_Compensation!$AJ43</f>
        <v>26</v>
      </c>
      <c r="F6121" s="1390" t="str">
        <f>Risk_Compensation!$Y$17</f>
        <v>SO</v>
      </c>
      <c r="G6121" s="1390"/>
      <c r="H6121" s="1077">
        <f>Risk_Compensation!$BB43</f>
        <v>114.478843853577</v>
      </c>
    </row>
    <row r="6122" spans="1:8" x14ac:dyDescent="0.2">
      <c r="A6122" s="1027"/>
      <c r="B6122" s="1083">
        <f>Risk_Compensation!A$1</f>
        <v>36</v>
      </c>
      <c r="C6122" s="1390" t="str">
        <f>Risk_Compensation!$B$1</f>
        <v xml:space="preserve">Risikoausgleich </v>
      </c>
      <c r="D6122" s="1743" t="str">
        <f>Risk_Compensation!$AJ$14</f>
        <v>geschätzte Risikoausgleichssätze, pro Monat in CHF (ohne Entlastung junge Erwachsene)</v>
      </c>
      <c r="E6122" s="1390">
        <f>Risk_Compensation!$AJ44</f>
        <v>27</v>
      </c>
      <c r="F6122" s="1390" t="str">
        <f>Risk_Compensation!$Y$17</f>
        <v>SO</v>
      </c>
      <c r="G6122" s="1390"/>
      <c r="H6122" s="1077">
        <f>Risk_Compensation!$BB44</f>
        <v>1039.6611605319199</v>
      </c>
    </row>
    <row r="6123" spans="1:8" x14ac:dyDescent="0.2">
      <c r="A6123" s="1027"/>
      <c r="B6123" s="1083">
        <f>Risk_Compensation!A$1</f>
        <v>36</v>
      </c>
      <c r="C6123" s="1390" t="str">
        <f>Risk_Compensation!$B$1</f>
        <v xml:space="preserve">Risikoausgleich </v>
      </c>
      <c r="D6123" s="1743" t="str">
        <f>Risk_Compensation!$AJ$14</f>
        <v>geschätzte Risikoausgleichssätze, pro Monat in CHF (ohne Entlastung junge Erwachsene)</v>
      </c>
      <c r="E6123" s="1390">
        <f>Risk_Compensation!$AJ45</f>
        <v>28</v>
      </c>
      <c r="F6123" s="1390" t="str">
        <f>Risk_Compensation!$Y$17</f>
        <v>SO</v>
      </c>
      <c r="G6123" s="1390"/>
      <c r="H6123" s="1077">
        <f>Risk_Compensation!$BB45</f>
        <v>173.48396660009499</v>
      </c>
    </row>
    <row r="6124" spans="1:8" x14ac:dyDescent="0.2">
      <c r="A6124" s="1027"/>
      <c r="B6124" s="1083">
        <f>Risk_Compensation!A$1</f>
        <v>36</v>
      </c>
      <c r="C6124" s="1390" t="str">
        <f>Risk_Compensation!$B$1</f>
        <v xml:space="preserve">Risikoausgleich </v>
      </c>
      <c r="D6124" s="1743" t="str">
        <f>Risk_Compensation!$AJ$14</f>
        <v>geschätzte Risikoausgleichssätze, pro Monat in CHF (ohne Entlastung junge Erwachsene)</v>
      </c>
      <c r="E6124" s="1390">
        <f>Risk_Compensation!$AJ46</f>
        <v>29</v>
      </c>
      <c r="F6124" s="1390" t="str">
        <f>Risk_Compensation!$Y$17</f>
        <v>SO</v>
      </c>
      <c r="G6124" s="1390"/>
      <c r="H6124" s="1077">
        <f>Risk_Compensation!$BB46</f>
        <v>1444.81186097614</v>
      </c>
    </row>
    <row r="6125" spans="1:8" x14ac:dyDescent="0.2">
      <c r="A6125" s="1027"/>
      <c r="B6125" s="1083">
        <f>Risk_Compensation!A$1</f>
        <v>36</v>
      </c>
      <c r="C6125" s="1390" t="str">
        <f>Risk_Compensation!$B$1</f>
        <v xml:space="preserve">Risikoausgleich </v>
      </c>
      <c r="D6125" s="1743" t="str">
        <f>Risk_Compensation!$AJ$14</f>
        <v>geschätzte Risikoausgleichssätze, pro Monat in CHF (ohne Entlastung junge Erwachsene)</v>
      </c>
      <c r="E6125" s="1390">
        <f>Risk_Compensation!$AJ47</f>
        <v>30</v>
      </c>
      <c r="F6125" s="1390" t="str">
        <f>Risk_Compensation!$Y$17</f>
        <v>SO</v>
      </c>
      <c r="G6125" s="1390"/>
      <c r="H6125" s="1077">
        <f>Risk_Compensation!$BB47</f>
        <v>397.98936333654098</v>
      </c>
    </row>
    <row r="6126" spans="1:8" x14ac:dyDescent="0.2">
      <c r="A6126" s="1027"/>
      <c r="B6126" s="1083">
        <f>Risk_Compensation!A$1</f>
        <v>36</v>
      </c>
      <c r="C6126" s="1390" t="str">
        <f>Risk_Compensation!$B$1</f>
        <v xml:space="preserve">Risikoausgleich </v>
      </c>
      <c r="D6126" s="1743" t="str">
        <f>Risk_Compensation!$AJ$14</f>
        <v>geschätzte Risikoausgleichssätze, pro Monat in CHF (ohne Entlastung junge Erwachsene)</v>
      </c>
      <c r="E6126" s="1390">
        <f>Risk_Compensation!$AJ48</f>
        <v>31</v>
      </c>
      <c r="F6126" s="1390" t="str">
        <f>Risk_Compensation!$Y$17</f>
        <v>SO</v>
      </c>
      <c r="G6126" s="1390"/>
      <c r="H6126" s="1077">
        <f>Risk_Compensation!$BB48</f>
        <v>300.41187088528602</v>
      </c>
    </row>
    <row r="6127" spans="1:8" x14ac:dyDescent="0.2">
      <c r="A6127" s="1027"/>
      <c r="B6127" s="1083">
        <f>Risk_Compensation!A$1</f>
        <v>36</v>
      </c>
      <c r="C6127" s="1390" t="str">
        <f>Risk_Compensation!$B$1</f>
        <v xml:space="preserve">Risikoausgleich </v>
      </c>
      <c r="D6127" s="1743" t="str">
        <f>Risk_Compensation!$AJ$14</f>
        <v>geschätzte Risikoausgleichssätze, pro Monat in CHF (ohne Entlastung junge Erwachsene)</v>
      </c>
      <c r="E6127" s="1390">
        <f>Risk_Compensation!$AJ49</f>
        <v>32</v>
      </c>
      <c r="F6127" s="1390" t="str">
        <f>Risk_Compensation!$Y$17</f>
        <v>SO</v>
      </c>
      <c r="G6127" s="1390"/>
      <c r="H6127" s="1077">
        <f>Risk_Compensation!$BB49</f>
        <v>-254.19360090199501</v>
      </c>
    </row>
    <row r="6128" spans="1:8" x14ac:dyDescent="0.2">
      <c r="A6128" s="1027"/>
      <c r="B6128" s="1083">
        <f>Risk_Compensation!A$1</f>
        <v>36</v>
      </c>
      <c r="C6128" s="1390" t="str">
        <f>Risk_Compensation!$B$1</f>
        <v xml:space="preserve">Risikoausgleich </v>
      </c>
      <c r="D6128" s="1743" t="str">
        <f>Risk_Compensation!$AJ$14</f>
        <v>geschätzte Risikoausgleichssätze, pro Monat in CHF (ohne Entlastung junge Erwachsene)</v>
      </c>
      <c r="E6128" s="1390">
        <f>Risk_Compensation!$AJ50</f>
        <v>33</v>
      </c>
      <c r="F6128" s="1390" t="str">
        <f>Risk_Compensation!$Y$17</f>
        <v>SO</v>
      </c>
      <c r="G6128" s="1390"/>
      <c r="H6128" s="1077">
        <f>Risk_Compensation!$BB50</f>
        <v>354.12406062476902</v>
      </c>
    </row>
    <row r="6129" spans="1:8" x14ac:dyDescent="0.2">
      <c r="A6129" s="1027"/>
      <c r="B6129" s="1083">
        <f>Risk_Compensation!A$1</f>
        <v>36</v>
      </c>
      <c r="C6129" s="1390" t="str">
        <f>Risk_Compensation!$B$1</f>
        <v xml:space="preserve">Risikoausgleich </v>
      </c>
      <c r="D6129" s="1743" t="str">
        <f>Risk_Compensation!$AJ$14</f>
        <v>geschätzte Risikoausgleichssätze, pro Monat in CHF (ohne Entlastung junge Erwachsene)</v>
      </c>
      <c r="E6129" s="1390">
        <f>Risk_Compensation!$AJ51</f>
        <v>34</v>
      </c>
      <c r="F6129" s="1390" t="str">
        <f>Risk_Compensation!$Y$17</f>
        <v>SO</v>
      </c>
      <c r="G6129" s="1390"/>
      <c r="H6129" s="1077">
        <f>Risk_Compensation!$BB51</f>
        <v>-195.95084786586401</v>
      </c>
    </row>
    <row r="6130" spans="1:8" x14ac:dyDescent="0.2">
      <c r="A6130" s="1027"/>
      <c r="B6130" s="1083">
        <f>Risk_Compensation!A$1</f>
        <v>36</v>
      </c>
      <c r="C6130" s="1390" t="str">
        <f>Risk_Compensation!$B$1</f>
        <v xml:space="preserve">Risikoausgleich </v>
      </c>
      <c r="D6130" s="1743" t="str">
        <f>Risk_Compensation!$AJ$14</f>
        <v>geschätzte Risikoausgleichssätze, pro Monat in CHF (ohne Entlastung junge Erwachsene)</v>
      </c>
      <c r="E6130" s="1390">
        <f>Risk_Compensation!$AJ52</f>
        <v>35</v>
      </c>
      <c r="F6130" s="1390" t="str">
        <f>Risk_Compensation!$Y$17</f>
        <v>SO</v>
      </c>
      <c r="G6130" s="1390"/>
      <c r="H6130" s="1077">
        <f>Risk_Compensation!$BB52</f>
        <v>356.66475390889201</v>
      </c>
    </row>
    <row r="6131" spans="1:8" x14ac:dyDescent="0.2">
      <c r="A6131" s="1027"/>
      <c r="B6131" s="1083">
        <f>Risk_Compensation!A$1</f>
        <v>36</v>
      </c>
      <c r="C6131" s="1390" t="str">
        <f>Risk_Compensation!$B$1</f>
        <v xml:space="preserve">Risikoausgleich </v>
      </c>
      <c r="D6131" s="1743" t="str">
        <f>Risk_Compensation!$AJ$14</f>
        <v>geschätzte Risikoausgleichssätze, pro Monat in CHF (ohne Entlastung junge Erwachsene)</v>
      </c>
      <c r="E6131" s="1390">
        <f>Risk_Compensation!$AJ53</f>
        <v>36</v>
      </c>
      <c r="F6131" s="1390" t="str">
        <f>Risk_Compensation!$Y$17</f>
        <v>SO</v>
      </c>
      <c r="G6131" s="1390"/>
      <c r="H6131" s="1077">
        <f>Risk_Compensation!$BB53</f>
        <v>-174.14490758029299</v>
      </c>
    </row>
    <row r="6132" spans="1:8" x14ac:dyDescent="0.2">
      <c r="A6132" s="1027"/>
      <c r="B6132" s="1083">
        <f>Risk_Compensation!A$1</f>
        <v>36</v>
      </c>
      <c r="C6132" s="1390" t="str">
        <f>Risk_Compensation!$B$1</f>
        <v xml:space="preserve">Risikoausgleich </v>
      </c>
      <c r="D6132" s="1743" t="str">
        <f>Risk_Compensation!$AJ$14</f>
        <v>geschätzte Risikoausgleichssätze, pro Monat in CHF (ohne Entlastung junge Erwachsene)</v>
      </c>
      <c r="E6132" s="1390">
        <f>Risk_Compensation!$AJ54</f>
        <v>37</v>
      </c>
      <c r="F6132" s="1390" t="str">
        <f>Risk_Compensation!$Y$17</f>
        <v>SO</v>
      </c>
      <c r="G6132" s="1390"/>
      <c r="H6132" s="1077">
        <f>Risk_Compensation!$BB54</f>
        <v>55.207403081362997</v>
      </c>
    </row>
    <row r="6133" spans="1:8" x14ac:dyDescent="0.2">
      <c r="A6133" s="1027"/>
      <c r="B6133" s="1083">
        <f>Risk_Compensation!A$1</f>
        <v>36</v>
      </c>
      <c r="C6133" s="1390" t="str">
        <f>Risk_Compensation!$B$1</f>
        <v xml:space="preserve">Risikoausgleich </v>
      </c>
      <c r="D6133" s="1743" t="str">
        <f>Risk_Compensation!$AJ$14</f>
        <v>geschätzte Risikoausgleichssätze, pro Monat in CHF (ohne Entlastung junge Erwachsene)</v>
      </c>
      <c r="E6133" s="1390">
        <f>Risk_Compensation!$AJ55</f>
        <v>38</v>
      </c>
      <c r="F6133" s="1390" t="str">
        <f>Risk_Compensation!$Y$17</f>
        <v>SO</v>
      </c>
      <c r="G6133" s="1390"/>
      <c r="H6133" s="1077">
        <f>Risk_Compensation!$BB55</f>
        <v>-228.30661264685901</v>
      </c>
    </row>
    <row r="6134" spans="1:8" x14ac:dyDescent="0.2">
      <c r="A6134" s="1027"/>
      <c r="B6134" s="1083">
        <f>Risk_Compensation!A$1</f>
        <v>36</v>
      </c>
      <c r="C6134" s="1390" t="str">
        <f>Risk_Compensation!$B$1</f>
        <v xml:space="preserve">Risikoausgleich </v>
      </c>
      <c r="D6134" s="1743" t="str">
        <f>Risk_Compensation!$AJ$14</f>
        <v>geschätzte Risikoausgleichssätze, pro Monat in CHF (ohne Entlastung junge Erwachsene)</v>
      </c>
      <c r="E6134" s="1390">
        <f>Risk_Compensation!$AJ56</f>
        <v>39</v>
      </c>
      <c r="F6134" s="1390" t="str">
        <f>Risk_Compensation!$Y$17</f>
        <v>SO</v>
      </c>
      <c r="G6134" s="1390"/>
      <c r="H6134" s="1077">
        <f>Risk_Compensation!$BB56</f>
        <v>348.70970170101498</v>
      </c>
    </row>
    <row r="6135" spans="1:8" x14ac:dyDescent="0.2">
      <c r="A6135" s="1027"/>
      <c r="B6135" s="1083">
        <f>Risk_Compensation!A$1</f>
        <v>36</v>
      </c>
      <c r="C6135" s="1390" t="str">
        <f>Risk_Compensation!$B$1</f>
        <v xml:space="preserve">Risikoausgleich </v>
      </c>
      <c r="D6135" s="1743" t="str">
        <f>Risk_Compensation!$AJ$14</f>
        <v>geschätzte Risikoausgleichssätze, pro Monat in CHF (ohne Entlastung junge Erwachsene)</v>
      </c>
      <c r="E6135" s="1390">
        <f>Risk_Compensation!$AJ57</f>
        <v>40</v>
      </c>
      <c r="F6135" s="1390" t="str">
        <f>Risk_Compensation!$Y$17</f>
        <v>SO</v>
      </c>
      <c r="G6135" s="1390"/>
      <c r="H6135" s="1077">
        <f>Risk_Compensation!$BB57</f>
        <v>-258.24948834404</v>
      </c>
    </row>
    <row r="6136" spans="1:8" x14ac:dyDescent="0.2">
      <c r="A6136" s="1027"/>
      <c r="B6136" s="1083">
        <f>Risk_Compensation!A$1</f>
        <v>36</v>
      </c>
      <c r="C6136" s="1390" t="str">
        <f>Risk_Compensation!$B$1</f>
        <v xml:space="preserve">Risikoausgleich </v>
      </c>
      <c r="D6136" s="1743" t="str">
        <f>Risk_Compensation!$AJ$14</f>
        <v>geschätzte Risikoausgleichssätze, pro Monat in CHF (ohne Entlastung junge Erwachsene)</v>
      </c>
      <c r="E6136" s="1390">
        <f>Risk_Compensation!$AJ58</f>
        <v>41</v>
      </c>
      <c r="F6136" s="1390" t="str">
        <f>Risk_Compensation!$Y$17</f>
        <v>SO</v>
      </c>
      <c r="G6136" s="1390"/>
      <c r="H6136" s="1077">
        <f>Risk_Compensation!$BB58</f>
        <v>187.32730483463101</v>
      </c>
    </row>
    <row r="6137" spans="1:8" x14ac:dyDescent="0.2">
      <c r="A6137" s="1027"/>
      <c r="B6137" s="1083">
        <f>Risk_Compensation!A$1</f>
        <v>36</v>
      </c>
      <c r="C6137" s="1390" t="str">
        <f>Risk_Compensation!$B$1</f>
        <v xml:space="preserve">Risikoausgleich </v>
      </c>
      <c r="D6137" s="1743" t="str">
        <f>Risk_Compensation!$AJ$14</f>
        <v>geschätzte Risikoausgleichssätze, pro Monat in CHF (ohne Entlastung junge Erwachsene)</v>
      </c>
      <c r="E6137" s="1390">
        <f>Risk_Compensation!$AJ59</f>
        <v>42</v>
      </c>
      <c r="F6137" s="1390" t="str">
        <f>Risk_Compensation!$Y$17</f>
        <v>SO</v>
      </c>
      <c r="G6137" s="1390"/>
      <c r="H6137" s="1077">
        <f>Risk_Compensation!$BB59</f>
        <v>-247.34402855123099</v>
      </c>
    </row>
    <row r="6138" spans="1:8" x14ac:dyDescent="0.2">
      <c r="A6138" s="1027"/>
      <c r="B6138" s="1083">
        <f>Risk_Compensation!A$1</f>
        <v>36</v>
      </c>
      <c r="C6138" s="1390" t="str">
        <f>Risk_Compensation!$B$1</f>
        <v xml:space="preserve">Risikoausgleich </v>
      </c>
      <c r="D6138" s="1743" t="str">
        <f>Risk_Compensation!$AJ$14</f>
        <v>geschätzte Risikoausgleichssätze, pro Monat in CHF (ohne Entlastung junge Erwachsene)</v>
      </c>
      <c r="E6138" s="1390">
        <f>Risk_Compensation!$AJ60</f>
        <v>43</v>
      </c>
      <c r="F6138" s="1390" t="str">
        <f>Risk_Compensation!$Y$17</f>
        <v>SO</v>
      </c>
      <c r="G6138" s="1390"/>
      <c r="H6138" s="1077">
        <f>Risk_Compensation!$BB60</f>
        <v>257.95803188627201</v>
      </c>
    </row>
    <row r="6139" spans="1:8" x14ac:dyDescent="0.2">
      <c r="A6139" s="1027"/>
      <c r="B6139" s="1083">
        <f>Risk_Compensation!A$1</f>
        <v>36</v>
      </c>
      <c r="C6139" s="1390" t="str">
        <f>Risk_Compensation!$B$1</f>
        <v xml:space="preserve">Risikoausgleich </v>
      </c>
      <c r="D6139" s="1743" t="str">
        <f>Risk_Compensation!$AJ$14</f>
        <v>geschätzte Risikoausgleichssätze, pro Monat in CHF (ohne Entlastung junge Erwachsene)</v>
      </c>
      <c r="E6139" s="1390">
        <f>Risk_Compensation!$AJ61</f>
        <v>44</v>
      </c>
      <c r="F6139" s="1390" t="str">
        <f>Risk_Compensation!$Y$17</f>
        <v>SO</v>
      </c>
      <c r="G6139" s="1390"/>
      <c r="H6139" s="1077">
        <f>Risk_Compensation!$BB61</f>
        <v>-238.598598182594</v>
      </c>
    </row>
    <row r="6140" spans="1:8" x14ac:dyDescent="0.2">
      <c r="A6140" s="1027"/>
      <c r="B6140" s="1083">
        <f>Risk_Compensation!A$1</f>
        <v>36</v>
      </c>
      <c r="C6140" s="1390" t="str">
        <f>Risk_Compensation!$B$1</f>
        <v xml:space="preserve">Risikoausgleich </v>
      </c>
      <c r="D6140" s="1743" t="str">
        <f>Risk_Compensation!$AJ$14</f>
        <v>geschätzte Risikoausgleichssätze, pro Monat in CHF (ohne Entlastung junge Erwachsene)</v>
      </c>
      <c r="E6140" s="1390">
        <f>Risk_Compensation!$AJ62</f>
        <v>45</v>
      </c>
      <c r="F6140" s="1390" t="str">
        <f>Risk_Compensation!$Y$17</f>
        <v>SO</v>
      </c>
      <c r="G6140" s="1390"/>
      <c r="H6140" s="1077">
        <f>Risk_Compensation!$BB62</f>
        <v>358.56375511810802</v>
      </c>
    </row>
    <row r="6141" spans="1:8" x14ac:dyDescent="0.2">
      <c r="A6141" s="1027"/>
      <c r="B6141" s="1083">
        <f>Risk_Compensation!A$1</f>
        <v>36</v>
      </c>
      <c r="C6141" s="1390" t="str">
        <f>Risk_Compensation!$B$1</f>
        <v xml:space="preserve">Risikoausgleich </v>
      </c>
      <c r="D6141" s="1743" t="str">
        <f>Risk_Compensation!$AJ$14</f>
        <v>geschätzte Risikoausgleichssätze, pro Monat in CHF (ohne Entlastung junge Erwachsene)</v>
      </c>
      <c r="E6141" s="1390">
        <f>Risk_Compensation!$AJ63</f>
        <v>46</v>
      </c>
      <c r="F6141" s="1390" t="str">
        <f>Risk_Compensation!$Y$17</f>
        <v>SO</v>
      </c>
      <c r="G6141" s="1390"/>
      <c r="H6141" s="1077">
        <f>Risk_Compensation!$BB63</f>
        <v>-223.392964900398</v>
      </c>
    </row>
    <row r="6142" spans="1:8" x14ac:dyDescent="0.2">
      <c r="A6142" s="1027"/>
      <c r="B6142" s="1083">
        <f>Risk_Compensation!A$1</f>
        <v>36</v>
      </c>
      <c r="C6142" s="1390" t="str">
        <f>Risk_Compensation!$B$1</f>
        <v xml:space="preserve">Risikoausgleich </v>
      </c>
      <c r="D6142" s="1743" t="str">
        <f>Risk_Compensation!$AJ$14</f>
        <v>geschätzte Risikoausgleichssätze, pro Monat in CHF (ohne Entlastung junge Erwachsene)</v>
      </c>
      <c r="E6142" s="1390">
        <f>Risk_Compensation!$AJ64</f>
        <v>47</v>
      </c>
      <c r="F6142" s="1390" t="str">
        <f>Risk_Compensation!$Y$17</f>
        <v>SO</v>
      </c>
      <c r="G6142" s="1390"/>
      <c r="H6142" s="1077">
        <f>Risk_Compensation!$BB64</f>
        <v>287.53596467871103</v>
      </c>
    </row>
    <row r="6143" spans="1:8" x14ac:dyDescent="0.2">
      <c r="A6143" s="1027"/>
      <c r="B6143" s="1083">
        <f>Risk_Compensation!A$1</f>
        <v>36</v>
      </c>
      <c r="C6143" s="1390" t="str">
        <f>Risk_Compensation!$B$1</f>
        <v xml:space="preserve">Risikoausgleich </v>
      </c>
      <c r="D6143" s="1743" t="str">
        <f>Risk_Compensation!$AJ$14</f>
        <v>geschätzte Risikoausgleichssätze, pro Monat in CHF (ohne Entlastung junge Erwachsene)</v>
      </c>
      <c r="E6143" s="1390">
        <f>Risk_Compensation!$AJ65</f>
        <v>48</v>
      </c>
      <c r="F6143" s="1390" t="str">
        <f>Risk_Compensation!$Y$17</f>
        <v>SO</v>
      </c>
      <c r="G6143" s="1390"/>
      <c r="H6143" s="1077">
        <f>Risk_Compensation!$BB65</f>
        <v>-210.449688157525</v>
      </c>
    </row>
    <row r="6144" spans="1:8" x14ac:dyDescent="0.2">
      <c r="A6144" s="1027"/>
      <c r="B6144" s="1083">
        <f>Risk_Compensation!A$1</f>
        <v>36</v>
      </c>
      <c r="C6144" s="1390" t="str">
        <f>Risk_Compensation!$B$1</f>
        <v xml:space="preserve">Risikoausgleich </v>
      </c>
      <c r="D6144" s="1743" t="str">
        <f>Risk_Compensation!$AJ$14</f>
        <v>geschätzte Risikoausgleichssätze, pro Monat in CHF (ohne Entlastung junge Erwachsene)</v>
      </c>
      <c r="E6144" s="1390">
        <f>Risk_Compensation!$AJ66</f>
        <v>49</v>
      </c>
      <c r="F6144" s="1390" t="str">
        <f>Risk_Compensation!$Y$17</f>
        <v>SO</v>
      </c>
      <c r="G6144" s="1390"/>
      <c r="H6144" s="1077">
        <f>Risk_Compensation!$BB66</f>
        <v>426.987135553982</v>
      </c>
    </row>
    <row r="6145" spans="1:8" x14ac:dyDescent="0.2">
      <c r="A6145" s="1027"/>
      <c r="B6145" s="1083">
        <f>Risk_Compensation!A$1</f>
        <v>36</v>
      </c>
      <c r="C6145" s="1390" t="str">
        <f>Risk_Compensation!$B$1</f>
        <v xml:space="preserve">Risikoausgleich </v>
      </c>
      <c r="D6145" s="1743" t="str">
        <f>Risk_Compensation!$AJ$14</f>
        <v>geschätzte Risikoausgleichssätze, pro Monat in CHF (ohne Entlastung junge Erwachsene)</v>
      </c>
      <c r="E6145" s="1390">
        <f>Risk_Compensation!$AJ67</f>
        <v>50</v>
      </c>
      <c r="F6145" s="1390" t="str">
        <f>Risk_Compensation!$Y$17</f>
        <v>SO</v>
      </c>
      <c r="G6145" s="1390"/>
      <c r="H6145" s="1077">
        <f>Risk_Compensation!$BB67</f>
        <v>-160.66749757561999</v>
      </c>
    </row>
    <row r="6146" spans="1:8" x14ac:dyDescent="0.2">
      <c r="A6146" s="1027"/>
      <c r="B6146" s="1083">
        <f>Risk_Compensation!A$1</f>
        <v>36</v>
      </c>
      <c r="C6146" s="1390" t="str">
        <f>Risk_Compensation!$B$1</f>
        <v xml:space="preserve">Risikoausgleich </v>
      </c>
      <c r="D6146" s="1743" t="str">
        <f>Risk_Compensation!$AJ$14</f>
        <v>geschätzte Risikoausgleichssätze, pro Monat in CHF (ohne Entlastung junge Erwachsene)</v>
      </c>
      <c r="E6146" s="1390">
        <f>Risk_Compensation!$AJ68</f>
        <v>51</v>
      </c>
      <c r="F6146" s="1390" t="str">
        <f>Risk_Compensation!$Y$17</f>
        <v>SO</v>
      </c>
      <c r="G6146" s="1390"/>
      <c r="H6146" s="1077">
        <f>Risk_Compensation!$BB68</f>
        <v>688.38337415883302</v>
      </c>
    </row>
    <row r="6147" spans="1:8" x14ac:dyDescent="0.2">
      <c r="A6147" s="1027"/>
      <c r="B6147" s="1083">
        <f>Risk_Compensation!A$1</f>
        <v>36</v>
      </c>
      <c r="C6147" s="1390" t="str">
        <f>Risk_Compensation!$B$1</f>
        <v xml:space="preserve">Risikoausgleich </v>
      </c>
      <c r="D6147" s="1743" t="str">
        <f>Risk_Compensation!$AJ$14</f>
        <v>geschätzte Risikoausgleichssätze, pro Monat in CHF (ohne Entlastung junge Erwachsene)</v>
      </c>
      <c r="E6147" s="1390">
        <f>Risk_Compensation!$AJ69</f>
        <v>52</v>
      </c>
      <c r="F6147" s="1390" t="str">
        <f>Risk_Compensation!$Y$17</f>
        <v>SO</v>
      </c>
      <c r="G6147" s="1390"/>
      <c r="H6147" s="1077">
        <f>Risk_Compensation!$BB69</f>
        <v>-87.478240145364595</v>
      </c>
    </row>
    <row r="6148" spans="1:8" x14ac:dyDescent="0.2">
      <c r="A6148" s="1027"/>
      <c r="B6148" s="1083">
        <f>Risk_Compensation!A$1</f>
        <v>36</v>
      </c>
      <c r="C6148" s="1390" t="str">
        <f>Risk_Compensation!$B$1</f>
        <v xml:space="preserve">Risikoausgleich </v>
      </c>
      <c r="D6148" s="1743" t="str">
        <f>Risk_Compensation!$AJ$14</f>
        <v>geschätzte Risikoausgleichssätze, pro Monat in CHF (ohne Entlastung junge Erwachsene)</v>
      </c>
      <c r="E6148" s="1390">
        <f>Risk_Compensation!$AJ70</f>
        <v>53</v>
      </c>
      <c r="F6148" s="1390" t="str">
        <f>Risk_Compensation!$Y$17</f>
        <v>SO</v>
      </c>
      <c r="G6148" s="1390"/>
      <c r="H6148" s="1077">
        <f>Risk_Compensation!$BB70</f>
        <v>841.92223604118306</v>
      </c>
    </row>
    <row r="6149" spans="1:8" x14ac:dyDescent="0.2">
      <c r="A6149" s="1027"/>
      <c r="B6149" s="1083">
        <f>Risk_Compensation!A$1</f>
        <v>36</v>
      </c>
      <c r="C6149" s="1390" t="str">
        <f>Risk_Compensation!$B$1</f>
        <v xml:space="preserve">Risikoausgleich </v>
      </c>
      <c r="D6149" s="1743" t="str">
        <f>Risk_Compensation!$AJ$14</f>
        <v>geschätzte Risikoausgleichssätze, pro Monat in CHF (ohne Entlastung junge Erwachsene)</v>
      </c>
      <c r="E6149" s="1390">
        <f>Risk_Compensation!$AJ71</f>
        <v>54</v>
      </c>
      <c r="F6149" s="1390" t="str">
        <f>Risk_Compensation!$Y$17</f>
        <v>SO</v>
      </c>
      <c r="G6149" s="1390"/>
      <c r="H6149" s="1077">
        <f>Risk_Compensation!$BB71</f>
        <v>-13.5103999210837</v>
      </c>
    </row>
    <row r="6150" spans="1:8" x14ac:dyDescent="0.2">
      <c r="A6150" s="1027"/>
      <c r="B6150" s="1083">
        <f>Risk_Compensation!A$1</f>
        <v>36</v>
      </c>
      <c r="C6150" s="1390" t="str">
        <f>Risk_Compensation!$B$1</f>
        <v xml:space="preserve">Risikoausgleich </v>
      </c>
      <c r="D6150" s="1743" t="str">
        <f>Risk_Compensation!$AJ$14</f>
        <v>geschätzte Risikoausgleichssätze, pro Monat in CHF (ohne Entlastung junge Erwachsene)</v>
      </c>
      <c r="E6150" s="1390">
        <f>Risk_Compensation!$AJ72</f>
        <v>55</v>
      </c>
      <c r="F6150" s="1390" t="str">
        <f>Risk_Compensation!$Y$17</f>
        <v>SO</v>
      </c>
      <c r="G6150" s="1390"/>
      <c r="H6150" s="1077">
        <f>Risk_Compensation!$BB72</f>
        <v>956.17987419283997</v>
      </c>
    </row>
    <row r="6151" spans="1:8" x14ac:dyDescent="0.2">
      <c r="A6151" s="1027"/>
      <c r="B6151" s="1083">
        <f>Risk_Compensation!A$1</f>
        <v>36</v>
      </c>
      <c r="C6151" s="1390" t="str">
        <f>Risk_Compensation!$B$1</f>
        <v xml:space="preserve">Risikoausgleich </v>
      </c>
      <c r="D6151" s="1743" t="str">
        <f>Risk_Compensation!$AJ$14</f>
        <v>geschätzte Risikoausgleichssätze, pro Monat in CHF (ohne Entlastung junge Erwachsene)</v>
      </c>
      <c r="E6151" s="1390">
        <f>Risk_Compensation!$AJ73</f>
        <v>56</v>
      </c>
      <c r="F6151" s="1390" t="str">
        <f>Risk_Compensation!$Y$17</f>
        <v>SO</v>
      </c>
      <c r="G6151" s="1390"/>
      <c r="H6151" s="1077">
        <f>Risk_Compensation!$BB73</f>
        <v>83.327418245774297</v>
      </c>
    </row>
    <row r="6152" spans="1:8" x14ac:dyDescent="0.2">
      <c r="A6152" s="1027"/>
      <c r="B6152" s="1083">
        <f>Risk_Compensation!A$1</f>
        <v>36</v>
      </c>
      <c r="C6152" s="1390" t="str">
        <f>Risk_Compensation!$B$1</f>
        <v xml:space="preserve">Risikoausgleich </v>
      </c>
      <c r="D6152" s="1743" t="str">
        <f>Risk_Compensation!$AJ$14</f>
        <v>geschätzte Risikoausgleichssätze, pro Monat in CHF (ohne Entlastung junge Erwachsene)</v>
      </c>
      <c r="E6152" s="1390">
        <f>Risk_Compensation!$AJ74</f>
        <v>57</v>
      </c>
      <c r="F6152" s="1390" t="str">
        <f>Risk_Compensation!$Y$17</f>
        <v>SO</v>
      </c>
      <c r="G6152" s="1390"/>
      <c r="H6152" s="1077">
        <f>Risk_Compensation!$BB74</f>
        <v>1203.2774448192199</v>
      </c>
    </row>
    <row r="6153" spans="1:8" x14ac:dyDescent="0.2">
      <c r="A6153" s="1027"/>
      <c r="B6153" s="1083">
        <f>Risk_Compensation!A$1</f>
        <v>36</v>
      </c>
      <c r="C6153" s="1390" t="str">
        <f>Risk_Compensation!$B$1</f>
        <v xml:space="preserve">Risikoausgleich </v>
      </c>
      <c r="D6153" s="1743" t="str">
        <f>Risk_Compensation!$AJ$14</f>
        <v>geschätzte Risikoausgleichssätze, pro Monat in CHF (ohne Entlastung junge Erwachsene)</v>
      </c>
      <c r="E6153" s="1390">
        <f>Risk_Compensation!$AJ75</f>
        <v>58</v>
      </c>
      <c r="F6153" s="1390" t="str">
        <f>Risk_Compensation!$Y$17</f>
        <v>SO</v>
      </c>
      <c r="G6153" s="1390"/>
      <c r="H6153" s="1077">
        <f>Risk_Compensation!$BB75</f>
        <v>215.03791754263199</v>
      </c>
    </row>
    <row r="6154" spans="1:8" x14ac:dyDescent="0.2">
      <c r="A6154" s="1027"/>
      <c r="B6154" s="1083">
        <f>Risk_Compensation!A$1</f>
        <v>36</v>
      </c>
      <c r="C6154" s="1390" t="str">
        <f>Risk_Compensation!$B$1</f>
        <v xml:space="preserve">Risikoausgleich </v>
      </c>
      <c r="D6154" s="1743" t="str">
        <f>Risk_Compensation!$AJ$14</f>
        <v>geschätzte Risikoausgleichssätze, pro Monat in CHF (ohne Entlastung junge Erwachsene)</v>
      </c>
      <c r="E6154" s="1390">
        <f>Risk_Compensation!$AJ76</f>
        <v>59</v>
      </c>
      <c r="F6154" s="1390" t="str">
        <f>Risk_Compensation!$Y$17</f>
        <v>SO</v>
      </c>
      <c r="G6154" s="1390"/>
      <c r="H6154" s="1077">
        <f>Risk_Compensation!$BB76</f>
        <v>1449.00908687579</v>
      </c>
    </row>
    <row r="6155" spans="1:8" x14ac:dyDescent="0.2">
      <c r="A6155" s="1027"/>
      <c r="B6155" s="1083">
        <f>Risk_Compensation!A$1</f>
        <v>36</v>
      </c>
      <c r="C6155" s="1390" t="str">
        <f>Risk_Compensation!$B$1</f>
        <v xml:space="preserve">Risikoausgleich </v>
      </c>
      <c r="D6155" s="1743" t="str">
        <f>Risk_Compensation!$AJ$14</f>
        <v>geschätzte Risikoausgleichssätze, pro Monat in CHF (ohne Entlastung junge Erwachsene)</v>
      </c>
      <c r="E6155" s="1390">
        <f>Risk_Compensation!$AJ77</f>
        <v>60</v>
      </c>
      <c r="F6155" s="1390" t="str">
        <f>Risk_Compensation!$Y$17</f>
        <v>SO</v>
      </c>
      <c r="G6155" s="1390"/>
      <c r="H6155" s="1077">
        <f>Risk_Compensation!$BB77</f>
        <v>424.585761354407</v>
      </c>
    </row>
    <row r="6156" spans="1:8" x14ac:dyDescent="0.2">
      <c r="A6156" s="1027"/>
      <c r="B6156" s="2174"/>
      <c r="C6156" s="1390"/>
      <c r="D6156" s="2175"/>
      <c r="E6156" s="2176"/>
      <c r="F6156" s="1390"/>
      <c r="G6156" s="1390"/>
      <c r="H6156" s="1078"/>
    </row>
    <row r="6157" spans="1:8" x14ac:dyDescent="0.2">
      <c r="A6157" s="1027"/>
      <c r="B6157" s="1083">
        <f>Risk_Compensation!A$1</f>
        <v>36</v>
      </c>
      <c r="C6157" s="1390" t="str">
        <f>Risk_Compensation!$B$1</f>
        <v xml:space="preserve">Risikoausgleich </v>
      </c>
      <c r="D6157" s="1743" t="str">
        <f>Risk_Compensation!$AJ$14</f>
        <v>geschätzte Risikoausgleichssätze, pro Monat in CHF (ohne Entlastung junge Erwachsene)</v>
      </c>
      <c r="E6157" s="1390">
        <f>Risk_Compensation!$AJ18</f>
        <v>1</v>
      </c>
      <c r="F6157" s="1390" t="str">
        <f>Risk_Compensation!$Z$17</f>
        <v>SZ</v>
      </c>
      <c r="G6157" s="1390"/>
      <c r="H6157" s="1077">
        <f>Risk_Compensation!$BC18</f>
        <v>950.97450559910897</v>
      </c>
    </row>
    <row r="6158" spans="1:8" x14ac:dyDescent="0.2">
      <c r="A6158" s="1027"/>
      <c r="B6158" s="1083">
        <f>Risk_Compensation!A$1</f>
        <v>36</v>
      </c>
      <c r="C6158" s="1390" t="str">
        <f>Risk_Compensation!$B$1</f>
        <v xml:space="preserve">Risikoausgleich </v>
      </c>
      <c r="D6158" s="1743" t="str">
        <f>Risk_Compensation!$AJ$14</f>
        <v>geschätzte Risikoausgleichssätze, pro Monat in CHF (ohne Entlastung junge Erwachsene)</v>
      </c>
      <c r="E6158" s="1390">
        <f>Risk_Compensation!$AJ19</f>
        <v>2</v>
      </c>
      <c r="F6158" s="1390" t="str">
        <f>Risk_Compensation!$Z$17</f>
        <v>SZ</v>
      </c>
      <c r="G6158" s="1390"/>
      <c r="H6158" s="1077">
        <f>Risk_Compensation!$BC19</f>
        <v>-272.21318502947798</v>
      </c>
    </row>
    <row r="6159" spans="1:8" x14ac:dyDescent="0.2">
      <c r="A6159" s="1027"/>
      <c r="B6159" s="1083">
        <f>Risk_Compensation!A$1</f>
        <v>36</v>
      </c>
      <c r="C6159" s="1390" t="str">
        <f>Risk_Compensation!$B$1</f>
        <v xml:space="preserve">Risikoausgleich </v>
      </c>
      <c r="D6159" s="1743" t="str">
        <f>Risk_Compensation!$AJ$14</f>
        <v>geschätzte Risikoausgleichssätze, pro Monat in CHF (ohne Entlastung junge Erwachsene)</v>
      </c>
      <c r="E6159" s="1390">
        <f>Risk_Compensation!$AJ20</f>
        <v>3</v>
      </c>
      <c r="F6159" s="1390" t="str">
        <f>Risk_Compensation!$Z$17</f>
        <v>SZ</v>
      </c>
      <c r="G6159" s="1390"/>
      <c r="H6159" s="1077">
        <f>Risk_Compensation!$BC20</f>
        <v>115.68671529343101</v>
      </c>
    </row>
    <row r="6160" spans="1:8" x14ac:dyDescent="0.2">
      <c r="A6160" s="1027"/>
      <c r="B6160" s="1083">
        <f>Risk_Compensation!A$1</f>
        <v>36</v>
      </c>
      <c r="C6160" s="1390" t="str">
        <f>Risk_Compensation!$B$1</f>
        <v xml:space="preserve">Risikoausgleich </v>
      </c>
      <c r="D6160" s="1743" t="str">
        <f>Risk_Compensation!$AJ$14</f>
        <v>geschätzte Risikoausgleichssätze, pro Monat in CHF (ohne Entlastung junge Erwachsene)</v>
      </c>
      <c r="E6160" s="1390">
        <f>Risk_Compensation!$AJ21</f>
        <v>4</v>
      </c>
      <c r="F6160" s="1390" t="str">
        <f>Risk_Compensation!$Z$17</f>
        <v>SZ</v>
      </c>
      <c r="G6160" s="1390"/>
      <c r="H6160" s="1077">
        <f>Risk_Compensation!$BC21</f>
        <v>-283.81198590860299</v>
      </c>
    </row>
    <row r="6161" spans="1:8" x14ac:dyDescent="0.2">
      <c r="A6161" s="1027"/>
      <c r="B6161" s="1083">
        <f>Risk_Compensation!A$1</f>
        <v>36</v>
      </c>
      <c r="C6161" s="1390" t="str">
        <f>Risk_Compensation!$B$1</f>
        <v xml:space="preserve">Risikoausgleich </v>
      </c>
      <c r="D6161" s="1743" t="str">
        <f>Risk_Compensation!$AJ$14</f>
        <v>geschätzte Risikoausgleichssätze, pro Monat in CHF (ohne Entlastung junge Erwachsene)</v>
      </c>
      <c r="E6161" s="1390">
        <f>Risk_Compensation!$AJ22</f>
        <v>5</v>
      </c>
      <c r="F6161" s="1390" t="str">
        <f>Risk_Compensation!$Z$17</f>
        <v>SZ</v>
      </c>
      <c r="G6161" s="1390"/>
      <c r="H6161" s="1077">
        <f>Risk_Compensation!$BC22</f>
        <v>139.66763272378901</v>
      </c>
    </row>
    <row r="6162" spans="1:8" x14ac:dyDescent="0.2">
      <c r="A6162" s="1027"/>
      <c r="B6162" s="1083">
        <f>Risk_Compensation!A$1</f>
        <v>36</v>
      </c>
      <c r="C6162" s="1390" t="str">
        <f>Risk_Compensation!$B$1</f>
        <v xml:space="preserve">Risikoausgleich </v>
      </c>
      <c r="D6162" s="1743" t="str">
        <f>Risk_Compensation!$AJ$14</f>
        <v>geschätzte Risikoausgleichssätze, pro Monat in CHF (ohne Entlastung junge Erwachsene)</v>
      </c>
      <c r="E6162" s="1390">
        <f>Risk_Compensation!$AJ23</f>
        <v>6</v>
      </c>
      <c r="F6162" s="1390" t="str">
        <f>Risk_Compensation!$Z$17</f>
        <v>SZ</v>
      </c>
      <c r="G6162" s="1390"/>
      <c r="H6162" s="1077">
        <f>Risk_Compensation!$BC23</f>
        <v>-281.79476642381701</v>
      </c>
    </row>
    <row r="6163" spans="1:8" x14ac:dyDescent="0.2">
      <c r="A6163" s="1027"/>
      <c r="B6163" s="1083">
        <f>Risk_Compensation!A$1</f>
        <v>36</v>
      </c>
      <c r="C6163" s="1390" t="str">
        <f>Risk_Compensation!$B$1</f>
        <v xml:space="preserve">Risikoausgleich </v>
      </c>
      <c r="D6163" s="1743" t="str">
        <f>Risk_Compensation!$AJ$14</f>
        <v>geschätzte Risikoausgleichssätze, pro Monat in CHF (ohne Entlastung junge Erwachsene)</v>
      </c>
      <c r="E6163" s="1390">
        <f>Risk_Compensation!$AJ24</f>
        <v>7</v>
      </c>
      <c r="F6163" s="1390" t="str">
        <f>Risk_Compensation!$Z$17</f>
        <v>SZ</v>
      </c>
      <c r="G6163" s="1390"/>
      <c r="H6163" s="1077">
        <f>Risk_Compensation!$BC24</f>
        <v>94.503540835135496</v>
      </c>
    </row>
    <row r="6164" spans="1:8" x14ac:dyDescent="0.2">
      <c r="A6164" s="1027"/>
      <c r="B6164" s="1083">
        <f>Risk_Compensation!A$1</f>
        <v>36</v>
      </c>
      <c r="C6164" s="1390" t="str">
        <f>Risk_Compensation!$B$1</f>
        <v xml:space="preserve">Risikoausgleich </v>
      </c>
      <c r="D6164" s="1743" t="str">
        <f>Risk_Compensation!$AJ$14</f>
        <v>geschätzte Risikoausgleichssätze, pro Monat in CHF (ohne Entlastung junge Erwachsene)</v>
      </c>
      <c r="E6164" s="1390">
        <f>Risk_Compensation!$AJ25</f>
        <v>8</v>
      </c>
      <c r="F6164" s="1390" t="str">
        <f>Risk_Compensation!$Z$17</f>
        <v>SZ</v>
      </c>
      <c r="G6164" s="1390"/>
      <c r="H6164" s="1077">
        <f>Risk_Compensation!$BC25</f>
        <v>-279.26782035120698</v>
      </c>
    </row>
    <row r="6165" spans="1:8" x14ac:dyDescent="0.2">
      <c r="A6165" s="1027"/>
      <c r="B6165" s="1083">
        <f>Risk_Compensation!A$1</f>
        <v>36</v>
      </c>
      <c r="C6165" s="1390" t="str">
        <f>Risk_Compensation!$B$1</f>
        <v xml:space="preserve">Risikoausgleich </v>
      </c>
      <c r="D6165" s="1743" t="str">
        <f>Risk_Compensation!$AJ$14</f>
        <v>geschätzte Risikoausgleichssätze, pro Monat in CHF (ohne Entlastung junge Erwachsene)</v>
      </c>
      <c r="E6165" s="1390">
        <f>Risk_Compensation!$AJ26</f>
        <v>9</v>
      </c>
      <c r="F6165" s="1390" t="str">
        <f>Risk_Compensation!$Z$17</f>
        <v>SZ</v>
      </c>
      <c r="G6165" s="1390"/>
      <c r="H6165" s="1077">
        <f>Risk_Compensation!$BC26</f>
        <v>388.91225364794701</v>
      </c>
    </row>
    <row r="6166" spans="1:8" x14ac:dyDescent="0.2">
      <c r="A6166" s="1027"/>
      <c r="B6166" s="1083">
        <f>Risk_Compensation!A$1</f>
        <v>36</v>
      </c>
      <c r="C6166" s="1390" t="str">
        <f>Risk_Compensation!$B$1</f>
        <v xml:space="preserve">Risikoausgleich </v>
      </c>
      <c r="D6166" s="1743" t="str">
        <f>Risk_Compensation!$AJ$14</f>
        <v>geschätzte Risikoausgleichssätze, pro Monat in CHF (ohne Entlastung junge Erwachsene)</v>
      </c>
      <c r="E6166" s="1390">
        <f>Risk_Compensation!$AJ27</f>
        <v>10</v>
      </c>
      <c r="F6166" s="1390" t="str">
        <f>Risk_Compensation!$Z$17</f>
        <v>SZ</v>
      </c>
      <c r="G6166" s="1390"/>
      <c r="H6166" s="1077">
        <f>Risk_Compensation!$BC27</f>
        <v>-262.21486352574999</v>
      </c>
    </row>
    <row r="6167" spans="1:8" x14ac:dyDescent="0.2">
      <c r="A6167" s="1027"/>
      <c r="B6167" s="1083">
        <f>Risk_Compensation!A$1</f>
        <v>36</v>
      </c>
      <c r="C6167" s="1390" t="str">
        <f>Risk_Compensation!$B$1</f>
        <v xml:space="preserve">Risikoausgleich </v>
      </c>
      <c r="D6167" s="1743" t="str">
        <f>Risk_Compensation!$AJ$14</f>
        <v>geschätzte Risikoausgleichssätze, pro Monat in CHF (ohne Entlastung junge Erwachsene)</v>
      </c>
      <c r="E6167" s="1390">
        <f>Risk_Compensation!$AJ28</f>
        <v>11</v>
      </c>
      <c r="F6167" s="1390" t="str">
        <f>Risk_Compensation!$Z$17</f>
        <v>SZ</v>
      </c>
      <c r="G6167" s="1390"/>
      <c r="H6167" s="1077">
        <f>Risk_Compensation!$BC28</f>
        <v>580.490917938964</v>
      </c>
    </row>
    <row r="6168" spans="1:8" x14ac:dyDescent="0.2">
      <c r="A6168" s="1027"/>
      <c r="B6168" s="1083">
        <f>Risk_Compensation!A$1</f>
        <v>36</v>
      </c>
      <c r="C6168" s="1390" t="str">
        <f>Risk_Compensation!$B$1</f>
        <v xml:space="preserve">Risikoausgleich </v>
      </c>
      <c r="D6168" s="1743" t="str">
        <f>Risk_Compensation!$AJ$14</f>
        <v>geschätzte Risikoausgleichssätze, pro Monat in CHF (ohne Entlastung junge Erwachsene)</v>
      </c>
      <c r="E6168" s="1390">
        <f>Risk_Compensation!$AJ29</f>
        <v>12</v>
      </c>
      <c r="F6168" s="1390" t="str">
        <f>Risk_Compensation!$Z$17</f>
        <v>SZ</v>
      </c>
      <c r="G6168" s="1390"/>
      <c r="H6168" s="1077">
        <f>Risk_Compensation!$BC29</f>
        <v>-260.87431384189</v>
      </c>
    </row>
    <row r="6169" spans="1:8" x14ac:dyDescent="0.2">
      <c r="A6169" s="1027"/>
      <c r="B6169" s="1083">
        <f>Risk_Compensation!A$1</f>
        <v>36</v>
      </c>
      <c r="C6169" s="1390" t="str">
        <f>Risk_Compensation!$B$1</f>
        <v xml:space="preserve">Risikoausgleich </v>
      </c>
      <c r="D6169" s="1743" t="str">
        <f>Risk_Compensation!$AJ$14</f>
        <v>geschätzte Risikoausgleichssätze, pro Monat in CHF (ohne Entlastung junge Erwachsene)</v>
      </c>
      <c r="E6169" s="1390">
        <f>Risk_Compensation!$AJ30</f>
        <v>13</v>
      </c>
      <c r="F6169" s="1390" t="str">
        <f>Risk_Compensation!$Z$17</f>
        <v>SZ</v>
      </c>
      <c r="G6169" s="1390"/>
      <c r="H6169" s="1077">
        <f>Risk_Compensation!$BC30</f>
        <v>147.52155337775599</v>
      </c>
    </row>
    <row r="6170" spans="1:8" x14ac:dyDescent="0.2">
      <c r="A6170" s="1027"/>
      <c r="B6170" s="1083">
        <f>Risk_Compensation!A$1</f>
        <v>36</v>
      </c>
      <c r="C6170" s="1390" t="str">
        <f>Risk_Compensation!$B$1</f>
        <v xml:space="preserve">Risikoausgleich </v>
      </c>
      <c r="D6170" s="1743" t="str">
        <f>Risk_Compensation!$AJ$14</f>
        <v>geschätzte Risikoausgleichssätze, pro Monat in CHF (ohne Entlastung junge Erwachsene)</v>
      </c>
      <c r="E6170" s="1390">
        <f>Risk_Compensation!$AJ31</f>
        <v>14</v>
      </c>
      <c r="F6170" s="1390" t="str">
        <f>Risk_Compensation!$Z$17</f>
        <v>SZ</v>
      </c>
      <c r="G6170" s="1390"/>
      <c r="H6170" s="1077">
        <f>Risk_Compensation!$BC31</f>
        <v>-220.55677237793</v>
      </c>
    </row>
    <row r="6171" spans="1:8" x14ac:dyDescent="0.2">
      <c r="A6171" s="1027"/>
      <c r="B6171" s="1083">
        <f>Risk_Compensation!A$1</f>
        <v>36</v>
      </c>
      <c r="C6171" s="1390" t="str">
        <f>Risk_Compensation!$B$1</f>
        <v xml:space="preserve">Risikoausgleich </v>
      </c>
      <c r="D6171" s="1743" t="str">
        <f>Risk_Compensation!$AJ$14</f>
        <v>geschätzte Risikoausgleichssätze, pro Monat in CHF (ohne Entlastung junge Erwachsene)</v>
      </c>
      <c r="E6171" s="1390">
        <f>Risk_Compensation!$AJ32</f>
        <v>15</v>
      </c>
      <c r="F6171" s="1390" t="str">
        <f>Risk_Compensation!$Z$17</f>
        <v>SZ</v>
      </c>
      <c r="G6171" s="1390"/>
      <c r="H6171" s="1077">
        <f>Risk_Compensation!$BC32</f>
        <v>587.07812154757596</v>
      </c>
    </row>
    <row r="6172" spans="1:8" x14ac:dyDescent="0.2">
      <c r="A6172" s="1027"/>
      <c r="B6172" s="1083">
        <f>Risk_Compensation!A$1</f>
        <v>36</v>
      </c>
      <c r="C6172" s="1390" t="str">
        <f>Risk_Compensation!$B$1</f>
        <v xml:space="preserve">Risikoausgleich </v>
      </c>
      <c r="D6172" s="1743" t="str">
        <f>Risk_Compensation!$AJ$14</f>
        <v>geschätzte Risikoausgleichssätze, pro Monat in CHF (ohne Entlastung junge Erwachsene)</v>
      </c>
      <c r="E6172" s="1390">
        <f>Risk_Compensation!$AJ33</f>
        <v>16</v>
      </c>
      <c r="F6172" s="1390" t="str">
        <f>Risk_Compensation!$Z$17</f>
        <v>SZ</v>
      </c>
      <c r="G6172" s="1390"/>
      <c r="H6172" s="1077">
        <f>Risk_Compensation!$BC33</f>
        <v>-182.04932317276399</v>
      </c>
    </row>
    <row r="6173" spans="1:8" x14ac:dyDescent="0.2">
      <c r="A6173" s="1027"/>
      <c r="B6173" s="1083">
        <f>Risk_Compensation!A$1</f>
        <v>36</v>
      </c>
      <c r="C6173" s="1390" t="str">
        <f>Risk_Compensation!$B$1</f>
        <v xml:space="preserve">Risikoausgleich </v>
      </c>
      <c r="D6173" s="1743" t="str">
        <f>Risk_Compensation!$AJ$14</f>
        <v>geschätzte Risikoausgleichssätze, pro Monat in CHF (ohne Entlastung junge Erwachsene)</v>
      </c>
      <c r="E6173" s="1390">
        <f>Risk_Compensation!$AJ34</f>
        <v>17</v>
      </c>
      <c r="F6173" s="1390" t="str">
        <f>Risk_Compensation!$Z$17</f>
        <v>SZ</v>
      </c>
      <c r="G6173" s="1390"/>
      <c r="H6173" s="1077">
        <f>Risk_Compensation!$BC34</f>
        <v>333.91734506471403</v>
      </c>
    </row>
    <row r="6174" spans="1:8" x14ac:dyDescent="0.2">
      <c r="A6174" s="1027"/>
      <c r="B6174" s="1083">
        <f>Risk_Compensation!A$1</f>
        <v>36</v>
      </c>
      <c r="C6174" s="1390" t="str">
        <f>Risk_Compensation!$B$1</f>
        <v xml:space="preserve">Risikoausgleich </v>
      </c>
      <c r="D6174" s="1743" t="str">
        <f>Risk_Compensation!$AJ$14</f>
        <v>geschätzte Risikoausgleichssätze, pro Monat in CHF (ohne Entlastung junge Erwachsene)</v>
      </c>
      <c r="E6174" s="1390">
        <f>Risk_Compensation!$AJ35</f>
        <v>18</v>
      </c>
      <c r="F6174" s="1390" t="str">
        <f>Risk_Compensation!$Z$17</f>
        <v>SZ</v>
      </c>
      <c r="G6174" s="1390"/>
      <c r="H6174" s="1077">
        <f>Risk_Compensation!$BC35</f>
        <v>-121.13972030904399</v>
      </c>
    </row>
    <row r="6175" spans="1:8" x14ac:dyDescent="0.2">
      <c r="A6175" s="1027"/>
      <c r="B6175" s="1083">
        <f>Risk_Compensation!A$1</f>
        <v>36</v>
      </c>
      <c r="C6175" s="1390" t="str">
        <f>Risk_Compensation!$B$1</f>
        <v xml:space="preserve">Risikoausgleich </v>
      </c>
      <c r="D6175" s="1743" t="str">
        <f>Risk_Compensation!$AJ$14</f>
        <v>geschätzte Risikoausgleichssätze, pro Monat in CHF (ohne Entlastung junge Erwachsene)</v>
      </c>
      <c r="E6175" s="1390">
        <f>Risk_Compensation!$AJ36</f>
        <v>19</v>
      </c>
      <c r="F6175" s="1390" t="str">
        <f>Risk_Compensation!$Z$17</f>
        <v>SZ</v>
      </c>
      <c r="G6175" s="1390"/>
      <c r="H6175" s="1077">
        <f>Risk_Compensation!$BC36</f>
        <v>477.829670240653</v>
      </c>
    </row>
    <row r="6176" spans="1:8" x14ac:dyDescent="0.2">
      <c r="A6176" s="1027"/>
      <c r="B6176" s="1083">
        <f>Risk_Compensation!A$1</f>
        <v>36</v>
      </c>
      <c r="C6176" s="1390" t="str">
        <f>Risk_Compensation!$B$1</f>
        <v xml:space="preserve">Risikoausgleich </v>
      </c>
      <c r="D6176" s="1743" t="str">
        <f>Risk_Compensation!$AJ$14</f>
        <v>geschätzte Risikoausgleichssätze, pro Monat in CHF (ohne Entlastung junge Erwachsene)</v>
      </c>
      <c r="E6176" s="1390">
        <f>Risk_Compensation!$AJ37</f>
        <v>20</v>
      </c>
      <c r="F6176" s="1390" t="str">
        <f>Risk_Compensation!$Z$17</f>
        <v>SZ</v>
      </c>
      <c r="G6176" s="1390"/>
      <c r="H6176" s="1077">
        <f>Risk_Compensation!$BC37</f>
        <v>-39.721828009177301</v>
      </c>
    </row>
    <row r="6177" spans="1:8" x14ac:dyDescent="0.2">
      <c r="A6177" s="1027"/>
      <c r="B6177" s="1083">
        <f>Risk_Compensation!A$1</f>
        <v>36</v>
      </c>
      <c r="C6177" s="1390" t="str">
        <f>Risk_Compensation!$B$1</f>
        <v xml:space="preserve">Risikoausgleich </v>
      </c>
      <c r="D6177" s="1743" t="str">
        <f>Risk_Compensation!$AJ$14</f>
        <v>geschätzte Risikoausgleichssätze, pro Monat in CHF (ohne Entlastung junge Erwachsene)</v>
      </c>
      <c r="E6177" s="1390">
        <f>Risk_Compensation!$AJ38</f>
        <v>21</v>
      </c>
      <c r="F6177" s="1390" t="str">
        <f>Risk_Compensation!$Z$17</f>
        <v>SZ</v>
      </c>
      <c r="G6177" s="1390"/>
      <c r="H6177" s="1077">
        <f>Risk_Compensation!$BC38</f>
        <v>527.03066695291898</v>
      </c>
    </row>
    <row r="6178" spans="1:8" x14ac:dyDescent="0.2">
      <c r="A6178" s="1027"/>
      <c r="B6178" s="1083">
        <f>Risk_Compensation!A$1</f>
        <v>36</v>
      </c>
      <c r="C6178" s="1390" t="str">
        <f>Risk_Compensation!$B$1</f>
        <v xml:space="preserve">Risikoausgleich </v>
      </c>
      <c r="D6178" s="1743" t="str">
        <f>Risk_Compensation!$AJ$14</f>
        <v>geschätzte Risikoausgleichssätze, pro Monat in CHF (ohne Entlastung junge Erwachsene)</v>
      </c>
      <c r="E6178" s="1390">
        <f>Risk_Compensation!$AJ39</f>
        <v>22</v>
      </c>
      <c r="F6178" s="1390" t="str">
        <f>Risk_Compensation!$Z$17</f>
        <v>SZ</v>
      </c>
      <c r="G6178" s="1390"/>
      <c r="H6178" s="1077">
        <f>Risk_Compensation!$BC39</f>
        <v>24.237108603737301</v>
      </c>
    </row>
    <row r="6179" spans="1:8" x14ac:dyDescent="0.2">
      <c r="A6179" s="1027"/>
      <c r="B6179" s="1083">
        <f>Risk_Compensation!A$1</f>
        <v>36</v>
      </c>
      <c r="C6179" s="1390" t="str">
        <f>Risk_Compensation!$B$1</f>
        <v xml:space="preserve">Risikoausgleich </v>
      </c>
      <c r="D6179" s="1743" t="str">
        <f>Risk_Compensation!$AJ$14</f>
        <v>geschätzte Risikoausgleichssätze, pro Monat in CHF (ohne Entlastung junge Erwachsene)</v>
      </c>
      <c r="E6179" s="1390">
        <f>Risk_Compensation!$AJ40</f>
        <v>23</v>
      </c>
      <c r="F6179" s="1390" t="str">
        <f>Risk_Compensation!$Z$17</f>
        <v>SZ</v>
      </c>
      <c r="G6179" s="1390"/>
      <c r="H6179" s="1077">
        <f>Risk_Compensation!$BC40</f>
        <v>873.185427153055</v>
      </c>
    </row>
    <row r="6180" spans="1:8" x14ac:dyDescent="0.2">
      <c r="A6180" s="1027"/>
      <c r="B6180" s="1083">
        <f>Risk_Compensation!A$1</f>
        <v>36</v>
      </c>
      <c r="C6180" s="1390" t="str">
        <f>Risk_Compensation!$B$1</f>
        <v xml:space="preserve">Risikoausgleich </v>
      </c>
      <c r="D6180" s="1743" t="str">
        <f>Risk_Compensation!$AJ$14</f>
        <v>geschätzte Risikoausgleichssätze, pro Monat in CHF (ohne Entlastung junge Erwachsene)</v>
      </c>
      <c r="E6180" s="1390">
        <f>Risk_Compensation!$AJ41</f>
        <v>24</v>
      </c>
      <c r="F6180" s="1390" t="str">
        <f>Risk_Compensation!$Z$17</f>
        <v>SZ</v>
      </c>
      <c r="G6180" s="1390"/>
      <c r="H6180" s="1077">
        <f>Risk_Compensation!$BC41</f>
        <v>75.569287930181503</v>
      </c>
    </row>
    <row r="6181" spans="1:8" x14ac:dyDescent="0.2">
      <c r="A6181" s="1027"/>
      <c r="B6181" s="1083">
        <f>Risk_Compensation!A$1</f>
        <v>36</v>
      </c>
      <c r="C6181" s="1390" t="str">
        <f>Risk_Compensation!$B$1</f>
        <v xml:space="preserve">Risikoausgleich </v>
      </c>
      <c r="D6181" s="1743" t="str">
        <f>Risk_Compensation!$AJ$14</f>
        <v>geschätzte Risikoausgleichssätze, pro Monat in CHF (ohne Entlastung junge Erwachsene)</v>
      </c>
      <c r="E6181" s="1390">
        <f>Risk_Compensation!$AJ42</f>
        <v>25</v>
      </c>
      <c r="F6181" s="1390" t="str">
        <f>Risk_Compensation!$Z$17</f>
        <v>SZ</v>
      </c>
      <c r="G6181" s="1390"/>
      <c r="H6181" s="1077">
        <f>Risk_Compensation!$BC42</f>
        <v>1055.27605265225</v>
      </c>
    </row>
    <row r="6182" spans="1:8" x14ac:dyDescent="0.2">
      <c r="A6182" s="1027"/>
      <c r="B6182" s="1083">
        <f>Risk_Compensation!A$1</f>
        <v>36</v>
      </c>
      <c r="C6182" s="1390" t="str">
        <f>Risk_Compensation!$B$1</f>
        <v xml:space="preserve">Risikoausgleich </v>
      </c>
      <c r="D6182" s="1743" t="str">
        <f>Risk_Compensation!$AJ$14</f>
        <v>geschätzte Risikoausgleichssätze, pro Monat in CHF (ohne Entlastung junge Erwachsene)</v>
      </c>
      <c r="E6182" s="1390">
        <f>Risk_Compensation!$AJ43</f>
        <v>26</v>
      </c>
      <c r="F6182" s="1390" t="str">
        <f>Risk_Compensation!$Z$17</f>
        <v>SZ</v>
      </c>
      <c r="G6182" s="1390"/>
      <c r="H6182" s="1077">
        <f>Risk_Compensation!$BC43</f>
        <v>150.68952699581001</v>
      </c>
    </row>
    <row r="6183" spans="1:8" x14ac:dyDescent="0.2">
      <c r="A6183" s="1027"/>
      <c r="B6183" s="1083">
        <f>Risk_Compensation!A$1</f>
        <v>36</v>
      </c>
      <c r="C6183" s="1390" t="str">
        <f>Risk_Compensation!$B$1</f>
        <v xml:space="preserve">Risikoausgleich </v>
      </c>
      <c r="D6183" s="1743" t="str">
        <f>Risk_Compensation!$AJ$14</f>
        <v>geschätzte Risikoausgleichssätze, pro Monat in CHF (ohne Entlastung junge Erwachsene)</v>
      </c>
      <c r="E6183" s="1390">
        <f>Risk_Compensation!$AJ44</f>
        <v>27</v>
      </c>
      <c r="F6183" s="1390" t="str">
        <f>Risk_Compensation!$Z$17</f>
        <v>SZ</v>
      </c>
      <c r="G6183" s="1390"/>
      <c r="H6183" s="1077">
        <f>Risk_Compensation!$BC44</f>
        <v>1140.54777569156</v>
      </c>
    </row>
    <row r="6184" spans="1:8" x14ac:dyDescent="0.2">
      <c r="A6184" s="1027"/>
      <c r="B6184" s="1083">
        <f>Risk_Compensation!A$1</f>
        <v>36</v>
      </c>
      <c r="C6184" s="1390" t="str">
        <f>Risk_Compensation!$B$1</f>
        <v xml:space="preserve">Risikoausgleich </v>
      </c>
      <c r="D6184" s="1743" t="str">
        <f>Risk_Compensation!$AJ$14</f>
        <v>geschätzte Risikoausgleichssätze, pro Monat in CHF (ohne Entlastung junge Erwachsene)</v>
      </c>
      <c r="E6184" s="1390">
        <f>Risk_Compensation!$AJ45</f>
        <v>28</v>
      </c>
      <c r="F6184" s="1390" t="str">
        <f>Risk_Compensation!$Z$17</f>
        <v>SZ</v>
      </c>
      <c r="G6184" s="1390"/>
      <c r="H6184" s="1077">
        <f>Risk_Compensation!$BC45</f>
        <v>346.71873147393001</v>
      </c>
    </row>
    <row r="6185" spans="1:8" x14ac:dyDescent="0.2">
      <c r="A6185" s="1027"/>
      <c r="B6185" s="1083">
        <f>Risk_Compensation!A$1</f>
        <v>36</v>
      </c>
      <c r="C6185" s="1390" t="str">
        <f>Risk_Compensation!$B$1</f>
        <v xml:space="preserve">Risikoausgleich </v>
      </c>
      <c r="D6185" s="1743" t="str">
        <f>Risk_Compensation!$AJ$14</f>
        <v>geschätzte Risikoausgleichssätze, pro Monat in CHF (ohne Entlastung junge Erwachsene)</v>
      </c>
      <c r="E6185" s="1390">
        <f>Risk_Compensation!$AJ46</f>
        <v>29</v>
      </c>
      <c r="F6185" s="1390" t="str">
        <f>Risk_Compensation!$Z$17</f>
        <v>SZ</v>
      </c>
      <c r="G6185" s="1390"/>
      <c r="H6185" s="1077">
        <f>Risk_Compensation!$BC46</f>
        <v>1307.9127983630401</v>
      </c>
    </row>
    <row r="6186" spans="1:8" x14ac:dyDescent="0.2">
      <c r="A6186" s="1027"/>
      <c r="B6186" s="1083">
        <f>Risk_Compensation!A$1</f>
        <v>36</v>
      </c>
      <c r="C6186" s="1390" t="str">
        <f>Risk_Compensation!$B$1</f>
        <v xml:space="preserve">Risikoausgleich </v>
      </c>
      <c r="D6186" s="1743" t="str">
        <f>Risk_Compensation!$AJ$14</f>
        <v>geschätzte Risikoausgleichssätze, pro Monat in CHF (ohne Entlastung junge Erwachsene)</v>
      </c>
      <c r="E6186" s="1390">
        <f>Risk_Compensation!$AJ47</f>
        <v>30</v>
      </c>
      <c r="F6186" s="1390" t="str">
        <f>Risk_Compensation!$Z$17</f>
        <v>SZ</v>
      </c>
      <c r="G6186" s="1390"/>
      <c r="H6186" s="1077">
        <f>Risk_Compensation!$BC47</f>
        <v>393.93556970628703</v>
      </c>
    </row>
    <row r="6187" spans="1:8" x14ac:dyDescent="0.2">
      <c r="A6187" s="1027"/>
      <c r="B6187" s="1083">
        <f>Risk_Compensation!A$1</f>
        <v>36</v>
      </c>
      <c r="C6187" s="1390" t="str">
        <f>Risk_Compensation!$B$1</f>
        <v xml:space="preserve">Risikoausgleich </v>
      </c>
      <c r="D6187" s="1743" t="str">
        <f>Risk_Compensation!$AJ$14</f>
        <v>geschätzte Risikoausgleichssätze, pro Monat in CHF (ohne Entlastung junge Erwachsene)</v>
      </c>
      <c r="E6187" s="1390">
        <f>Risk_Compensation!$AJ48</f>
        <v>31</v>
      </c>
      <c r="F6187" s="1390" t="str">
        <f>Risk_Compensation!$Z$17</f>
        <v>SZ</v>
      </c>
      <c r="G6187" s="1390"/>
      <c r="H6187" s="1077">
        <f>Risk_Compensation!$BC48</f>
        <v>442.557815613039</v>
      </c>
    </row>
    <row r="6188" spans="1:8" x14ac:dyDescent="0.2">
      <c r="A6188" s="1027"/>
      <c r="B6188" s="1083">
        <f>Risk_Compensation!A$1</f>
        <v>36</v>
      </c>
      <c r="C6188" s="1390" t="str">
        <f>Risk_Compensation!$B$1</f>
        <v xml:space="preserve">Risikoausgleich </v>
      </c>
      <c r="D6188" s="1743" t="str">
        <f>Risk_Compensation!$AJ$14</f>
        <v>geschätzte Risikoausgleichssätze, pro Monat in CHF (ohne Entlastung junge Erwachsene)</v>
      </c>
      <c r="E6188" s="1390">
        <f>Risk_Compensation!$AJ49</f>
        <v>32</v>
      </c>
      <c r="F6188" s="1390" t="str">
        <f>Risk_Compensation!$Z$17</f>
        <v>SZ</v>
      </c>
      <c r="G6188" s="1390"/>
      <c r="H6188" s="1077">
        <f>Risk_Compensation!$BC49</f>
        <v>-223.98983715860899</v>
      </c>
    </row>
    <row r="6189" spans="1:8" x14ac:dyDescent="0.2">
      <c r="A6189" s="1027"/>
      <c r="B6189" s="1083">
        <f>Risk_Compensation!A$1</f>
        <v>36</v>
      </c>
      <c r="C6189" s="1390" t="str">
        <f>Risk_Compensation!$B$1</f>
        <v xml:space="preserve">Risikoausgleich </v>
      </c>
      <c r="D6189" s="1743" t="str">
        <f>Risk_Compensation!$AJ$14</f>
        <v>geschätzte Risikoausgleichssätze, pro Monat in CHF (ohne Entlastung junge Erwachsene)</v>
      </c>
      <c r="E6189" s="1390">
        <f>Risk_Compensation!$AJ50</f>
        <v>33</v>
      </c>
      <c r="F6189" s="1390" t="str">
        <f>Risk_Compensation!$Z$17</f>
        <v>SZ</v>
      </c>
      <c r="G6189" s="1390"/>
      <c r="H6189" s="1077">
        <f>Risk_Compensation!$BC50</f>
        <v>258.459057083228</v>
      </c>
    </row>
    <row r="6190" spans="1:8" x14ac:dyDescent="0.2">
      <c r="A6190" s="1027"/>
      <c r="B6190" s="1083">
        <f>Risk_Compensation!A$1</f>
        <v>36</v>
      </c>
      <c r="C6190" s="1390" t="str">
        <f>Risk_Compensation!$B$1</f>
        <v xml:space="preserve">Risikoausgleich </v>
      </c>
      <c r="D6190" s="1743" t="str">
        <f>Risk_Compensation!$AJ$14</f>
        <v>geschätzte Risikoausgleichssätze, pro Monat in CHF (ohne Entlastung junge Erwachsene)</v>
      </c>
      <c r="E6190" s="1390">
        <f>Risk_Compensation!$AJ51</f>
        <v>34</v>
      </c>
      <c r="F6190" s="1390" t="str">
        <f>Risk_Compensation!$Z$17</f>
        <v>SZ</v>
      </c>
      <c r="G6190" s="1390"/>
      <c r="H6190" s="1077">
        <f>Risk_Compensation!$BC51</f>
        <v>-159.93653183509801</v>
      </c>
    </row>
    <row r="6191" spans="1:8" x14ac:dyDescent="0.2">
      <c r="A6191" s="1027"/>
      <c r="B6191" s="1083">
        <f>Risk_Compensation!A$1</f>
        <v>36</v>
      </c>
      <c r="C6191" s="1390" t="str">
        <f>Risk_Compensation!$B$1</f>
        <v xml:space="preserve">Risikoausgleich </v>
      </c>
      <c r="D6191" s="1743" t="str">
        <f>Risk_Compensation!$AJ$14</f>
        <v>geschätzte Risikoausgleichssätze, pro Monat in CHF (ohne Entlastung junge Erwachsene)</v>
      </c>
      <c r="E6191" s="1390">
        <f>Risk_Compensation!$AJ52</f>
        <v>35</v>
      </c>
      <c r="F6191" s="1390" t="str">
        <f>Risk_Compensation!$Z$17</f>
        <v>SZ</v>
      </c>
      <c r="G6191" s="1390"/>
      <c r="H6191" s="1077">
        <f>Risk_Compensation!$BC52</f>
        <v>119.296596340508</v>
      </c>
    </row>
    <row r="6192" spans="1:8" x14ac:dyDescent="0.2">
      <c r="A6192" s="1027"/>
      <c r="B6192" s="1083">
        <f>Risk_Compensation!A$1</f>
        <v>36</v>
      </c>
      <c r="C6192" s="1390" t="str">
        <f>Risk_Compensation!$B$1</f>
        <v xml:space="preserve">Risikoausgleich </v>
      </c>
      <c r="D6192" s="1743" t="str">
        <f>Risk_Compensation!$AJ$14</f>
        <v>geschätzte Risikoausgleichssätze, pro Monat in CHF (ohne Entlastung junge Erwachsene)</v>
      </c>
      <c r="E6192" s="1390">
        <f>Risk_Compensation!$AJ53</f>
        <v>36</v>
      </c>
      <c r="F6192" s="1390" t="str">
        <f>Risk_Compensation!$Z$17</f>
        <v>SZ</v>
      </c>
      <c r="G6192" s="1390"/>
      <c r="H6192" s="1077">
        <f>Risk_Compensation!$BC53</f>
        <v>-113.12178873127</v>
      </c>
    </row>
    <row r="6193" spans="1:8" x14ac:dyDescent="0.2">
      <c r="A6193" s="1027"/>
      <c r="B6193" s="1083">
        <f>Risk_Compensation!A$1</f>
        <v>36</v>
      </c>
      <c r="C6193" s="1390" t="str">
        <f>Risk_Compensation!$B$1</f>
        <v xml:space="preserve">Risikoausgleich </v>
      </c>
      <c r="D6193" s="1743" t="str">
        <f>Risk_Compensation!$AJ$14</f>
        <v>geschätzte Risikoausgleichssätze, pro Monat in CHF (ohne Entlastung junge Erwachsene)</v>
      </c>
      <c r="E6193" s="1390">
        <f>Risk_Compensation!$AJ54</f>
        <v>37</v>
      </c>
      <c r="F6193" s="1390" t="str">
        <f>Risk_Compensation!$Z$17</f>
        <v>SZ</v>
      </c>
      <c r="G6193" s="1390"/>
      <c r="H6193" s="1077">
        <f>Risk_Compensation!$BC54</f>
        <v>102.469388214576</v>
      </c>
    </row>
    <row r="6194" spans="1:8" x14ac:dyDescent="0.2">
      <c r="A6194" s="1027"/>
      <c r="B6194" s="1083">
        <f>Risk_Compensation!A$1</f>
        <v>36</v>
      </c>
      <c r="C6194" s="1390" t="str">
        <f>Risk_Compensation!$B$1</f>
        <v xml:space="preserve">Risikoausgleich </v>
      </c>
      <c r="D6194" s="1743" t="str">
        <f>Risk_Compensation!$AJ$14</f>
        <v>geschätzte Risikoausgleichssätze, pro Monat in CHF (ohne Entlastung junge Erwachsene)</v>
      </c>
      <c r="E6194" s="1390">
        <f>Risk_Compensation!$AJ55</f>
        <v>38</v>
      </c>
      <c r="F6194" s="1390" t="str">
        <f>Risk_Compensation!$Z$17</f>
        <v>SZ</v>
      </c>
      <c r="G6194" s="1390"/>
      <c r="H6194" s="1077">
        <f>Risk_Compensation!$BC55</f>
        <v>-170.749159451515</v>
      </c>
    </row>
    <row r="6195" spans="1:8" x14ac:dyDescent="0.2">
      <c r="A6195" s="1027"/>
      <c r="B6195" s="1083">
        <f>Risk_Compensation!A$1</f>
        <v>36</v>
      </c>
      <c r="C6195" s="1390" t="str">
        <f>Risk_Compensation!$B$1</f>
        <v xml:space="preserve">Risikoausgleich </v>
      </c>
      <c r="D6195" s="1743" t="str">
        <f>Risk_Compensation!$AJ$14</f>
        <v>geschätzte Risikoausgleichssätze, pro Monat in CHF (ohne Entlastung junge Erwachsene)</v>
      </c>
      <c r="E6195" s="1390">
        <f>Risk_Compensation!$AJ56</f>
        <v>39</v>
      </c>
      <c r="F6195" s="1390" t="str">
        <f>Risk_Compensation!$Z$17</f>
        <v>SZ</v>
      </c>
      <c r="G6195" s="1390"/>
      <c r="H6195" s="1077">
        <f>Risk_Compensation!$BC56</f>
        <v>255.74650223955399</v>
      </c>
    </row>
    <row r="6196" spans="1:8" x14ac:dyDescent="0.2">
      <c r="A6196" s="1027"/>
      <c r="B6196" s="1083">
        <f>Risk_Compensation!A$1</f>
        <v>36</v>
      </c>
      <c r="C6196" s="1390" t="str">
        <f>Risk_Compensation!$B$1</f>
        <v xml:space="preserve">Risikoausgleich </v>
      </c>
      <c r="D6196" s="1743" t="str">
        <f>Risk_Compensation!$AJ$14</f>
        <v>geschätzte Risikoausgleichssätze, pro Monat in CHF (ohne Entlastung junge Erwachsene)</v>
      </c>
      <c r="E6196" s="1390">
        <f>Risk_Compensation!$AJ57</f>
        <v>40</v>
      </c>
      <c r="F6196" s="1390" t="str">
        <f>Risk_Compensation!$Z$17</f>
        <v>SZ</v>
      </c>
      <c r="G6196" s="1390"/>
      <c r="H6196" s="1077">
        <f>Risk_Compensation!$BC57</f>
        <v>-209.10895174718601</v>
      </c>
    </row>
    <row r="6197" spans="1:8" x14ac:dyDescent="0.2">
      <c r="A6197" s="1027"/>
      <c r="B6197" s="1083">
        <f>Risk_Compensation!A$1</f>
        <v>36</v>
      </c>
      <c r="C6197" s="1390" t="str">
        <f>Risk_Compensation!$B$1</f>
        <v xml:space="preserve">Risikoausgleich </v>
      </c>
      <c r="D6197" s="1743" t="str">
        <f>Risk_Compensation!$AJ$14</f>
        <v>geschätzte Risikoausgleichssätze, pro Monat in CHF (ohne Entlastung junge Erwachsene)</v>
      </c>
      <c r="E6197" s="1390">
        <f>Risk_Compensation!$AJ58</f>
        <v>41</v>
      </c>
      <c r="F6197" s="1390" t="str">
        <f>Risk_Compensation!$Z$17</f>
        <v>SZ</v>
      </c>
      <c r="G6197" s="1390"/>
      <c r="H6197" s="1077">
        <f>Risk_Compensation!$BC58</f>
        <v>245.37607275177399</v>
      </c>
    </row>
    <row r="6198" spans="1:8" x14ac:dyDescent="0.2">
      <c r="A6198" s="1027"/>
      <c r="B6198" s="1083">
        <f>Risk_Compensation!A$1</f>
        <v>36</v>
      </c>
      <c r="C6198" s="1390" t="str">
        <f>Risk_Compensation!$B$1</f>
        <v xml:space="preserve">Risikoausgleich </v>
      </c>
      <c r="D6198" s="1743" t="str">
        <f>Risk_Compensation!$AJ$14</f>
        <v>geschätzte Risikoausgleichssätze, pro Monat in CHF (ohne Entlastung junge Erwachsene)</v>
      </c>
      <c r="E6198" s="1390">
        <f>Risk_Compensation!$AJ59</f>
        <v>42</v>
      </c>
      <c r="F6198" s="1390" t="str">
        <f>Risk_Compensation!$Z$17</f>
        <v>SZ</v>
      </c>
      <c r="G6198" s="1390"/>
      <c r="H6198" s="1077">
        <f>Risk_Compensation!$BC59</f>
        <v>-204.452984297781</v>
      </c>
    </row>
    <row r="6199" spans="1:8" x14ac:dyDescent="0.2">
      <c r="A6199" s="1027"/>
      <c r="B6199" s="1083">
        <f>Risk_Compensation!A$1</f>
        <v>36</v>
      </c>
      <c r="C6199" s="1390" t="str">
        <f>Risk_Compensation!$B$1</f>
        <v xml:space="preserve">Risikoausgleich </v>
      </c>
      <c r="D6199" s="1743" t="str">
        <f>Risk_Compensation!$AJ$14</f>
        <v>geschätzte Risikoausgleichssätze, pro Monat in CHF (ohne Entlastung junge Erwachsene)</v>
      </c>
      <c r="E6199" s="1390">
        <f>Risk_Compensation!$AJ60</f>
        <v>43</v>
      </c>
      <c r="F6199" s="1390" t="str">
        <f>Risk_Compensation!$Z$17</f>
        <v>SZ</v>
      </c>
      <c r="G6199" s="1390"/>
      <c r="H6199" s="1077">
        <f>Risk_Compensation!$BC60</f>
        <v>453.61729618282999</v>
      </c>
    </row>
    <row r="6200" spans="1:8" x14ac:dyDescent="0.2">
      <c r="A6200" s="1027"/>
      <c r="B6200" s="1083">
        <f>Risk_Compensation!A$1</f>
        <v>36</v>
      </c>
      <c r="C6200" s="1390" t="str">
        <f>Risk_Compensation!$B$1</f>
        <v xml:space="preserve">Risikoausgleich </v>
      </c>
      <c r="D6200" s="1743" t="str">
        <f>Risk_Compensation!$AJ$14</f>
        <v>geschätzte Risikoausgleichssätze, pro Monat in CHF (ohne Entlastung junge Erwachsene)</v>
      </c>
      <c r="E6200" s="1390">
        <f>Risk_Compensation!$AJ61</f>
        <v>44</v>
      </c>
      <c r="F6200" s="1390" t="str">
        <f>Risk_Compensation!$Z$17</f>
        <v>SZ</v>
      </c>
      <c r="G6200" s="1390"/>
      <c r="H6200" s="1077">
        <f>Risk_Compensation!$BC61</f>
        <v>-186.68068958489701</v>
      </c>
    </row>
    <row r="6201" spans="1:8" x14ac:dyDescent="0.2">
      <c r="A6201" s="1027"/>
      <c r="B6201" s="1083">
        <f>Risk_Compensation!A$1</f>
        <v>36</v>
      </c>
      <c r="C6201" s="1390" t="str">
        <f>Risk_Compensation!$B$1</f>
        <v xml:space="preserve">Risikoausgleich </v>
      </c>
      <c r="D6201" s="1743" t="str">
        <f>Risk_Compensation!$AJ$14</f>
        <v>geschätzte Risikoausgleichssätze, pro Monat in CHF (ohne Entlastung junge Erwachsene)</v>
      </c>
      <c r="E6201" s="1390">
        <f>Risk_Compensation!$AJ62</f>
        <v>45</v>
      </c>
      <c r="F6201" s="1390" t="str">
        <f>Risk_Compensation!$Z$17</f>
        <v>SZ</v>
      </c>
      <c r="G6201" s="1390"/>
      <c r="H6201" s="1077">
        <f>Risk_Compensation!$BC62</f>
        <v>284.12192147827898</v>
      </c>
    </row>
    <row r="6202" spans="1:8" x14ac:dyDescent="0.2">
      <c r="A6202" s="1027"/>
      <c r="B6202" s="1083">
        <f>Risk_Compensation!A$1</f>
        <v>36</v>
      </c>
      <c r="C6202" s="1390" t="str">
        <f>Risk_Compensation!$B$1</f>
        <v xml:space="preserve">Risikoausgleich </v>
      </c>
      <c r="D6202" s="1743" t="str">
        <f>Risk_Compensation!$AJ$14</f>
        <v>geschätzte Risikoausgleichssätze, pro Monat in CHF (ohne Entlastung junge Erwachsene)</v>
      </c>
      <c r="E6202" s="1390">
        <f>Risk_Compensation!$AJ63</f>
        <v>46</v>
      </c>
      <c r="F6202" s="1390" t="str">
        <f>Risk_Compensation!$Z$17</f>
        <v>SZ</v>
      </c>
      <c r="G6202" s="1390"/>
      <c r="H6202" s="1077">
        <f>Risk_Compensation!$BC63</f>
        <v>-177.775041952284</v>
      </c>
    </row>
    <row r="6203" spans="1:8" x14ac:dyDescent="0.2">
      <c r="A6203" s="1027"/>
      <c r="B6203" s="1083">
        <f>Risk_Compensation!A$1</f>
        <v>36</v>
      </c>
      <c r="C6203" s="1390" t="str">
        <f>Risk_Compensation!$B$1</f>
        <v xml:space="preserve">Risikoausgleich </v>
      </c>
      <c r="D6203" s="1743" t="str">
        <f>Risk_Compensation!$AJ$14</f>
        <v>geschätzte Risikoausgleichssätze, pro Monat in CHF (ohne Entlastung junge Erwachsene)</v>
      </c>
      <c r="E6203" s="1390">
        <f>Risk_Compensation!$AJ64</f>
        <v>47</v>
      </c>
      <c r="F6203" s="1390" t="str">
        <f>Risk_Compensation!$Z$17</f>
        <v>SZ</v>
      </c>
      <c r="G6203" s="1390"/>
      <c r="H6203" s="1077">
        <f>Risk_Compensation!$BC64</f>
        <v>207.78281579459201</v>
      </c>
    </row>
    <row r="6204" spans="1:8" x14ac:dyDescent="0.2">
      <c r="A6204" s="1027"/>
      <c r="B6204" s="1083">
        <f>Risk_Compensation!A$1</f>
        <v>36</v>
      </c>
      <c r="C6204" s="1390" t="str">
        <f>Risk_Compensation!$B$1</f>
        <v xml:space="preserve">Risikoausgleich </v>
      </c>
      <c r="D6204" s="1743" t="str">
        <f>Risk_Compensation!$AJ$14</f>
        <v>geschätzte Risikoausgleichssätze, pro Monat in CHF (ohne Entlastung junge Erwachsene)</v>
      </c>
      <c r="E6204" s="1390">
        <f>Risk_Compensation!$AJ65</f>
        <v>48</v>
      </c>
      <c r="F6204" s="1390" t="str">
        <f>Risk_Compensation!$Z$17</f>
        <v>SZ</v>
      </c>
      <c r="G6204" s="1390"/>
      <c r="H6204" s="1077">
        <f>Risk_Compensation!$BC65</f>
        <v>-139.68985694156001</v>
      </c>
    </row>
    <row r="6205" spans="1:8" x14ac:dyDescent="0.2">
      <c r="A6205" s="1027"/>
      <c r="B6205" s="1083">
        <f>Risk_Compensation!A$1</f>
        <v>36</v>
      </c>
      <c r="C6205" s="1390" t="str">
        <f>Risk_Compensation!$B$1</f>
        <v xml:space="preserve">Risikoausgleich </v>
      </c>
      <c r="D6205" s="1743" t="str">
        <f>Risk_Compensation!$AJ$14</f>
        <v>geschätzte Risikoausgleichssätze, pro Monat in CHF (ohne Entlastung junge Erwachsene)</v>
      </c>
      <c r="E6205" s="1390">
        <f>Risk_Compensation!$AJ66</f>
        <v>49</v>
      </c>
      <c r="F6205" s="1390" t="str">
        <f>Risk_Compensation!$Z$17</f>
        <v>SZ</v>
      </c>
      <c r="G6205" s="1390"/>
      <c r="H6205" s="1077">
        <f>Risk_Compensation!$BC66</f>
        <v>538.23250402042095</v>
      </c>
    </row>
    <row r="6206" spans="1:8" x14ac:dyDescent="0.2">
      <c r="A6206" s="1027"/>
      <c r="B6206" s="1083">
        <f>Risk_Compensation!A$1</f>
        <v>36</v>
      </c>
      <c r="C6206" s="1390" t="str">
        <f>Risk_Compensation!$B$1</f>
        <v xml:space="preserve">Risikoausgleich </v>
      </c>
      <c r="D6206" s="1743" t="str">
        <f>Risk_Compensation!$AJ$14</f>
        <v>geschätzte Risikoausgleichssätze, pro Monat in CHF (ohne Entlastung junge Erwachsene)</v>
      </c>
      <c r="E6206" s="1390">
        <f>Risk_Compensation!$AJ67</f>
        <v>50</v>
      </c>
      <c r="F6206" s="1390" t="str">
        <f>Risk_Compensation!$Z$17</f>
        <v>SZ</v>
      </c>
      <c r="G6206" s="1390"/>
      <c r="H6206" s="1077">
        <f>Risk_Compensation!$BC67</f>
        <v>-106.27536329121899</v>
      </c>
    </row>
    <row r="6207" spans="1:8" x14ac:dyDescent="0.2">
      <c r="A6207" s="1027"/>
      <c r="B6207" s="1083">
        <f>Risk_Compensation!A$1</f>
        <v>36</v>
      </c>
      <c r="C6207" s="1390" t="str">
        <f>Risk_Compensation!$B$1</f>
        <v xml:space="preserve">Risikoausgleich </v>
      </c>
      <c r="D6207" s="1743" t="str">
        <f>Risk_Compensation!$AJ$14</f>
        <v>geschätzte Risikoausgleichssätze, pro Monat in CHF (ohne Entlastung junge Erwachsene)</v>
      </c>
      <c r="E6207" s="1390">
        <f>Risk_Compensation!$AJ68</f>
        <v>51</v>
      </c>
      <c r="F6207" s="1390" t="str">
        <f>Risk_Compensation!$Z$17</f>
        <v>SZ</v>
      </c>
      <c r="G6207" s="1390"/>
      <c r="H6207" s="1077">
        <f>Risk_Compensation!$BC68</f>
        <v>623.407456026163</v>
      </c>
    </row>
    <row r="6208" spans="1:8" x14ac:dyDescent="0.2">
      <c r="A6208" s="1027"/>
      <c r="B6208" s="1083">
        <f>Risk_Compensation!A$1</f>
        <v>36</v>
      </c>
      <c r="C6208" s="1390" t="str">
        <f>Risk_Compensation!$B$1</f>
        <v xml:space="preserve">Risikoausgleich </v>
      </c>
      <c r="D6208" s="1743" t="str">
        <f>Risk_Compensation!$AJ$14</f>
        <v>geschätzte Risikoausgleichssätze, pro Monat in CHF (ohne Entlastung junge Erwachsene)</v>
      </c>
      <c r="E6208" s="1390">
        <f>Risk_Compensation!$AJ69</f>
        <v>52</v>
      </c>
      <c r="F6208" s="1390" t="str">
        <f>Risk_Compensation!$Z$17</f>
        <v>SZ</v>
      </c>
      <c r="G6208" s="1390"/>
      <c r="H6208" s="1077">
        <f>Risk_Compensation!$BC69</f>
        <v>-48.604134630822699</v>
      </c>
    </row>
    <row r="6209" spans="1:8" x14ac:dyDescent="0.2">
      <c r="A6209" s="1027"/>
      <c r="B6209" s="1083">
        <f>Risk_Compensation!A$1</f>
        <v>36</v>
      </c>
      <c r="C6209" s="1390" t="str">
        <f>Risk_Compensation!$B$1</f>
        <v xml:space="preserve">Risikoausgleich </v>
      </c>
      <c r="D6209" s="1743" t="str">
        <f>Risk_Compensation!$AJ$14</f>
        <v>geschätzte Risikoausgleichssätze, pro Monat in CHF (ohne Entlastung junge Erwachsene)</v>
      </c>
      <c r="E6209" s="1390">
        <f>Risk_Compensation!$AJ70</f>
        <v>53</v>
      </c>
      <c r="F6209" s="1390" t="str">
        <f>Risk_Compensation!$Z$17</f>
        <v>SZ</v>
      </c>
      <c r="G6209" s="1390"/>
      <c r="H6209" s="1077">
        <f>Risk_Compensation!$BC70</f>
        <v>849.19422768356105</v>
      </c>
    </row>
    <row r="6210" spans="1:8" x14ac:dyDescent="0.2">
      <c r="A6210" s="1027"/>
      <c r="B6210" s="1083">
        <f>Risk_Compensation!A$1</f>
        <v>36</v>
      </c>
      <c r="C6210" s="1390" t="str">
        <f>Risk_Compensation!$B$1</f>
        <v xml:space="preserve">Risikoausgleich </v>
      </c>
      <c r="D6210" s="1743" t="str">
        <f>Risk_Compensation!$AJ$14</f>
        <v>geschätzte Risikoausgleichssätze, pro Monat in CHF (ohne Entlastung junge Erwachsene)</v>
      </c>
      <c r="E6210" s="1390">
        <f>Risk_Compensation!$AJ71</f>
        <v>54</v>
      </c>
      <c r="F6210" s="1390" t="str">
        <f>Risk_Compensation!$Z$17</f>
        <v>SZ</v>
      </c>
      <c r="G6210" s="1390"/>
      <c r="H6210" s="1077">
        <f>Risk_Compensation!$BC71</f>
        <v>55.609901195926398</v>
      </c>
    </row>
    <row r="6211" spans="1:8" x14ac:dyDescent="0.2">
      <c r="A6211" s="1027"/>
      <c r="B6211" s="1083">
        <f>Risk_Compensation!A$1</f>
        <v>36</v>
      </c>
      <c r="C6211" s="1390" t="str">
        <f>Risk_Compensation!$B$1</f>
        <v xml:space="preserve">Risikoausgleich </v>
      </c>
      <c r="D6211" s="1743" t="str">
        <f>Risk_Compensation!$AJ$14</f>
        <v>geschätzte Risikoausgleichssätze, pro Monat in CHF (ohne Entlastung junge Erwachsene)</v>
      </c>
      <c r="E6211" s="1390">
        <f>Risk_Compensation!$AJ72</f>
        <v>55</v>
      </c>
      <c r="F6211" s="1390" t="str">
        <f>Risk_Compensation!$Z$17</f>
        <v>SZ</v>
      </c>
      <c r="G6211" s="1390"/>
      <c r="H6211" s="1077">
        <f>Risk_Compensation!$BC72</f>
        <v>944.33957226570794</v>
      </c>
    </row>
    <row r="6212" spans="1:8" x14ac:dyDescent="0.2">
      <c r="A6212" s="1027"/>
      <c r="B6212" s="1083">
        <f>Risk_Compensation!A$1</f>
        <v>36</v>
      </c>
      <c r="C6212" s="1390" t="str">
        <f>Risk_Compensation!$B$1</f>
        <v xml:space="preserve">Risikoausgleich </v>
      </c>
      <c r="D6212" s="1743" t="str">
        <f>Risk_Compensation!$AJ$14</f>
        <v>geschätzte Risikoausgleichssätze, pro Monat in CHF (ohne Entlastung junge Erwachsene)</v>
      </c>
      <c r="E6212" s="1390">
        <f>Risk_Compensation!$AJ73</f>
        <v>56</v>
      </c>
      <c r="F6212" s="1390" t="str">
        <f>Risk_Compensation!$Z$17</f>
        <v>SZ</v>
      </c>
      <c r="G6212" s="1390"/>
      <c r="H6212" s="1077">
        <f>Risk_Compensation!$BC73</f>
        <v>111.368511739068</v>
      </c>
    </row>
    <row r="6213" spans="1:8" x14ac:dyDescent="0.2">
      <c r="A6213" s="1027"/>
      <c r="B6213" s="1083">
        <f>Risk_Compensation!A$1</f>
        <v>36</v>
      </c>
      <c r="C6213" s="1390" t="str">
        <f>Risk_Compensation!$B$1</f>
        <v xml:space="preserve">Risikoausgleich </v>
      </c>
      <c r="D6213" s="1743" t="str">
        <f>Risk_Compensation!$AJ$14</f>
        <v>geschätzte Risikoausgleichssätze, pro Monat in CHF (ohne Entlastung junge Erwachsene)</v>
      </c>
      <c r="E6213" s="1390">
        <f>Risk_Compensation!$AJ74</f>
        <v>57</v>
      </c>
      <c r="F6213" s="1390" t="str">
        <f>Risk_Compensation!$Z$17</f>
        <v>SZ</v>
      </c>
      <c r="G6213" s="1390"/>
      <c r="H6213" s="1077">
        <f>Risk_Compensation!$BC74</f>
        <v>1136.4079981357299</v>
      </c>
    </row>
    <row r="6214" spans="1:8" x14ac:dyDescent="0.2">
      <c r="A6214" s="1027"/>
      <c r="B6214" s="1083">
        <f>Risk_Compensation!A$1</f>
        <v>36</v>
      </c>
      <c r="C6214" s="1390" t="str">
        <f>Risk_Compensation!$B$1</f>
        <v xml:space="preserve">Risikoausgleich </v>
      </c>
      <c r="D6214" s="1743" t="str">
        <f>Risk_Compensation!$AJ$14</f>
        <v>geschätzte Risikoausgleichssätze, pro Monat in CHF (ohne Entlastung junge Erwachsene)</v>
      </c>
      <c r="E6214" s="1390">
        <f>Risk_Compensation!$AJ75</f>
        <v>58</v>
      </c>
      <c r="F6214" s="1390" t="str">
        <f>Risk_Compensation!$Z$17</f>
        <v>SZ</v>
      </c>
      <c r="G6214" s="1390"/>
      <c r="H6214" s="1077">
        <f>Risk_Compensation!$BC75</f>
        <v>231.89917660898499</v>
      </c>
    </row>
    <row r="6215" spans="1:8" x14ac:dyDescent="0.2">
      <c r="A6215" s="1027"/>
      <c r="B6215" s="1083">
        <f>Risk_Compensation!A$1</f>
        <v>36</v>
      </c>
      <c r="C6215" s="1390" t="str">
        <f>Risk_Compensation!$B$1</f>
        <v xml:space="preserve">Risikoausgleich </v>
      </c>
      <c r="D6215" s="1743" t="str">
        <f>Risk_Compensation!$AJ$14</f>
        <v>geschätzte Risikoausgleichssätze, pro Monat in CHF (ohne Entlastung junge Erwachsene)</v>
      </c>
      <c r="E6215" s="1390">
        <f>Risk_Compensation!$AJ76</f>
        <v>59</v>
      </c>
      <c r="F6215" s="1390" t="str">
        <f>Risk_Compensation!$Z$17</f>
        <v>SZ</v>
      </c>
      <c r="G6215" s="1390"/>
      <c r="H6215" s="1077">
        <f>Risk_Compensation!$BC76</f>
        <v>1497.83868010177</v>
      </c>
    </row>
    <row r="6216" spans="1:8" x14ac:dyDescent="0.2">
      <c r="A6216" s="1027"/>
      <c r="B6216" s="1083">
        <f>Risk_Compensation!A$1</f>
        <v>36</v>
      </c>
      <c r="C6216" s="1390" t="str">
        <f>Risk_Compensation!$B$1</f>
        <v xml:space="preserve">Risikoausgleich </v>
      </c>
      <c r="D6216" s="1743" t="str">
        <f>Risk_Compensation!$AJ$14</f>
        <v>geschätzte Risikoausgleichssätze, pro Monat in CHF (ohne Entlastung junge Erwachsene)</v>
      </c>
      <c r="E6216" s="1390">
        <f>Risk_Compensation!$AJ77</f>
        <v>60</v>
      </c>
      <c r="F6216" s="1390" t="str">
        <f>Risk_Compensation!$Z$17</f>
        <v>SZ</v>
      </c>
      <c r="G6216" s="1390"/>
      <c r="H6216" s="1077">
        <f>Risk_Compensation!$BC77</f>
        <v>374.45436128747298</v>
      </c>
    </row>
    <row r="6217" spans="1:8" x14ac:dyDescent="0.2">
      <c r="A6217" s="1027"/>
      <c r="B6217" s="2174"/>
      <c r="C6217" s="1390"/>
      <c r="D6217" s="2175"/>
      <c r="E6217" s="2176"/>
      <c r="F6217" s="1390"/>
      <c r="G6217" s="1390"/>
      <c r="H6217" s="1078"/>
    </row>
    <row r="6218" spans="1:8" x14ac:dyDescent="0.2">
      <c r="A6218" s="1027"/>
      <c r="B6218" s="1083">
        <f>Risk_Compensation!A$1</f>
        <v>36</v>
      </c>
      <c r="C6218" s="1390" t="str">
        <f>Risk_Compensation!$B$1</f>
        <v xml:space="preserve">Risikoausgleich </v>
      </c>
      <c r="D6218" s="1743" t="str">
        <f>Risk_Compensation!$AJ$14</f>
        <v>geschätzte Risikoausgleichssätze, pro Monat in CHF (ohne Entlastung junge Erwachsene)</v>
      </c>
      <c r="E6218" s="1390">
        <f>Risk_Compensation!$AJ18</f>
        <v>1</v>
      </c>
      <c r="F6218" s="1390" t="str">
        <f>Risk_Compensation!$AA$17</f>
        <v>TG</v>
      </c>
      <c r="G6218" s="1390"/>
      <c r="H6218" s="1077">
        <f>Risk_Compensation!$BD18</f>
        <v>292.99534448485798</v>
      </c>
    </row>
    <row r="6219" spans="1:8" x14ac:dyDescent="0.2">
      <c r="A6219" s="1027"/>
      <c r="B6219" s="1083">
        <f>Risk_Compensation!A$1</f>
        <v>36</v>
      </c>
      <c r="C6219" s="1390" t="str">
        <f>Risk_Compensation!$B$1</f>
        <v xml:space="preserve">Risikoausgleich </v>
      </c>
      <c r="D6219" s="1743" t="str">
        <f>Risk_Compensation!$AJ$14</f>
        <v>geschätzte Risikoausgleichssätze, pro Monat in CHF (ohne Entlastung junge Erwachsene)</v>
      </c>
      <c r="E6219" s="1390">
        <f>Risk_Compensation!$AJ19</f>
        <v>2</v>
      </c>
      <c r="F6219" s="1390" t="str">
        <f>Risk_Compensation!$AA$17</f>
        <v>TG</v>
      </c>
      <c r="G6219" s="1390"/>
      <c r="H6219" s="1077">
        <f>Risk_Compensation!$BD19</f>
        <v>-280.33172150407802</v>
      </c>
    </row>
    <row r="6220" spans="1:8" x14ac:dyDescent="0.2">
      <c r="A6220" s="1027"/>
      <c r="B6220" s="1083">
        <f>Risk_Compensation!A$1</f>
        <v>36</v>
      </c>
      <c r="C6220" s="1390" t="str">
        <f>Risk_Compensation!$B$1</f>
        <v xml:space="preserve">Risikoausgleich </v>
      </c>
      <c r="D6220" s="1743" t="str">
        <f>Risk_Compensation!$AJ$14</f>
        <v>geschätzte Risikoausgleichssätze, pro Monat in CHF (ohne Entlastung junge Erwachsene)</v>
      </c>
      <c r="E6220" s="1390">
        <f>Risk_Compensation!$AJ20</f>
        <v>3</v>
      </c>
      <c r="F6220" s="1390" t="str">
        <f>Risk_Compensation!$AA$17</f>
        <v>TG</v>
      </c>
      <c r="G6220" s="1390"/>
      <c r="H6220" s="1077">
        <f>Risk_Compensation!$BD20</f>
        <v>330.59073386916998</v>
      </c>
    </row>
    <row r="6221" spans="1:8" x14ac:dyDescent="0.2">
      <c r="A6221" s="1027"/>
      <c r="B6221" s="1083">
        <f>Risk_Compensation!A$1</f>
        <v>36</v>
      </c>
      <c r="C6221" s="1390" t="str">
        <f>Risk_Compensation!$B$1</f>
        <v xml:space="preserve">Risikoausgleich </v>
      </c>
      <c r="D6221" s="1743" t="str">
        <f>Risk_Compensation!$AJ$14</f>
        <v>geschätzte Risikoausgleichssätze, pro Monat in CHF (ohne Entlastung junge Erwachsene)</v>
      </c>
      <c r="E6221" s="1390">
        <f>Risk_Compensation!$AJ21</f>
        <v>4</v>
      </c>
      <c r="F6221" s="1390" t="str">
        <f>Risk_Compensation!$AA$17</f>
        <v>TG</v>
      </c>
      <c r="G6221" s="1390"/>
      <c r="H6221" s="1077">
        <f>Risk_Compensation!$BD21</f>
        <v>-285.78783880201399</v>
      </c>
    </row>
    <row r="6222" spans="1:8" x14ac:dyDescent="0.2">
      <c r="A6222" s="1027"/>
      <c r="B6222" s="1083">
        <f>Risk_Compensation!A$1</f>
        <v>36</v>
      </c>
      <c r="C6222" s="1390" t="str">
        <f>Risk_Compensation!$B$1</f>
        <v xml:space="preserve">Risikoausgleich </v>
      </c>
      <c r="D6222" s="1743" t="str">
        <f>Risk_Compensation!$AJ$14</f>
        <v>geschätzte Risikoausgleichssätze, pro Monat in CHF (ohne Entlastung junge Erwachsene)</v>
      </c>
      <c r="E6222" s="1390">
        <f>Risk_Compensation!$AJ22</f>
        <v>5</v>
      </c>
      <c r="F6222" s="1390" t="str">
        <f>Risk_Compensation!$AA$17</f>
        <v>TG</v>
      </c>
      <c r="G6222" s="1390"/>
      <c r="H6222" s="1077">
        <f>Risk_Compensation!$BD22</f>
        <v>394.35514723978901</v>
      </c>
    </row>
    <row r="6223" spans="1:8" x14ac:dyDescent="0.2">
      <c r="A6223" s="1027"/>
      <c r="B6223" s="1083">
        <f>Risk_Compensation!A$1</f>
        <v>36</v>
      </c>
      <c r="C6223" s="1390" t="str">
        <f>Risk_Compensation!$B$1</f>
        <v xml:space="preserve">Risikoausgleich </v>
      </c>
      <c r="D6223" s="1743" t="str">
        <f>Risk_Compensation!$AJ$14</f>
        <v>geschätzte Risikoausgleichssätze, pro Monat in CHF (ohne Entlastung junge Erwachsene)</v>
      </c>
      <c r="E6223" s="1390">
        <f>Risk_Compensation!$AJ23</f>
        <v>6</v>
      </c>
      <c r="F6223" s="1390" t="str">
        <f>Risk_Compensation!$AA$17</f>
        <v>TG</v>
      </c>
      <c r="G6223" s="1390"/>
      <c r="H6223" s="1077">
        <f>Risk_Compensation!$BD23</f>
        <v>-294.44396924301998</v>
      </c>
    </row>
    <row r="6224" spans="1:8" x14ac:dyDescent="0.2">
      <c r="A6224" s="1027"/>
      <c r="B6224" s="1083">
        <f>Risk_Compensation!A$1</f>
        <v>36</v>
      </c>
      <c r="C6224" s="1390" t="str">
        <f>Risk_Compensation!$B$1</f>
        <v xml:space="preserve">Risikoausgleich </v>
      </c>
      <c r="D6224" s="1743" t="str">
        <f>Risk_Compensation!$AJ$14</f>
        <v>geschätzte Risikoausgleichssätze, pro Monat in CHF (ohne Entlastung junge Erwachsene)</v>
      </c>
      <c r="E6224" s="1390">
        <f>Risk_Compensation!$AJ24</f>
        <v>7</v>
      </c>
      <c r="F6224" s="1390" t="str">
        <f>Risk_Compensation!$AA$17</f>
        <v>TG</v>
      </c>
      <c r="G6224" s="1390"/>
      <c r="H6224" s="1077">
        <f>Risk_Compensation!$BD24</f>
        <v>326.16810553550903</v>
      </c>
    </row>
    <row r="6225" spans="1:8" x14ac:dyDescent="0.2">
      <c r="A6225" s="1027"/>
      <c r="B6225" s="1083">
        <f>Risk_Compensation!A$1</f>
        <v>36</v>
      </c>
      <c r="C6225" s="1390" t="str">
        <f>Risk_Compensation!$B$1</f>
        <v xml:space="preserve">Risikoausgleich </v>
      </c>
      <c r="D6225" s="1743" t="str">
        <f>Risk_Compensation!$AJ$14</f>
        <v>geschätzte Risikoausgleichssätze, pro Monat in CHF (ohne Entlastung junge Erwachsene)</v>
      </c>
      <c r="E6225" s="1390">
        <f>Risk_Compensation!$AJ25</f>
        <v>8</v>
      </c>
      <c r="F6225" s="1390" t="str">
        <f>Risk_Compensation!$AA$17</f>
        <v>TG</v>
      </c>
      <c r="G6225" s="1390"/>
      <c r="H6225" s="1077">
        <f>Risk_Compensation!$BD25</f>
        <v>-280.300513128288</v>
      </c>
    </row>
    <row r="6226" spans="1:8" x14ac:dyDescent="0.2">
      <c r="A6226" s="1027"/>
      <c r="B6226" s="1083">
        <f>Risk_Compensation!A$1</f>
        <v>36</v>
      </c>
      <c r="C6226" s="1390" t="str">
        <f>Risk_Compensation!$B$1</f>
        <v xml:space="preserve">Risikoausgleich </v>
      </c>
      <c r="D6226" s="1743" t="str">
        <f>Risk_Compensation!$AJ$14</f>
        <v>geschätzte Risikoausgleichssätze, pro Monat in CHF (ohne Entlastung junge Erwachsene)</v>
      </c>
      <c r="E6226" s="1390">
        <f>Risk_Compensation!$AJ26</f>
        <v>9</v>
      </c>
      <c r="F6226" s="1390" t="str">
        <f>Risk_Compensation!$AA$17</f>
        <v>TG</v>
      </c>
      <c r="G6226" s="1390"/>
      <c r="H6226" s="1077">
        <f>Risk_Compensation!$BD26</f>
        <v>307.32445066560302</v>
      </c>
    </row>
    <row r="6227" spans="1:8" x14ac:dyDescent="0.2">
      <c r="A6227" s="1027"/>
      <c r="B6227" s="1083">
        <f>Risk_Compensation!A$1</f>
        <v>36</v>
      </c>
      <c r="C6227" s="1390" t="str">
        <f>Risk_Compensation!$B$1</f>
        <v xml:space="preserve">Risikoausgleich </v>
      </c>
      <c r="D6227" s="1743" t="str">
        <f>Risk_Compensation!$AJ$14</f>
        <v>geschätzte Risikoausgleichssätze, pro Monat in CHF (ohne Entlastung junge Erwachsene)</v>
      </c>
      <c r="E6227" s="1390">
        <f>Risk_Compensation!$AJ27</f>
        <v>10</v>
      </c>
      <c r="F6227" s="1390" t="str">
        <f>Risk_Compensation!$AA$17</f>
        <v>TG</v>
      </c>
      <c r="G6227" s="1390"/>
      <c r="H6227" s="1077">
        <f>Risk_Compensation!$BD27</f>
        <v>-277.07822243820902</v>
      </c>
    </row>
    <row r="6228" spans="1:8" x14ac:dyDescent="0.2">
      <c r="A6228" s="1027"/>
      <c r="B6228" s="1083">
        <f>Risk_Compensation!A$1</f>
        <v>36</v>
      </c>
      <c r="C6228" s="1390" t="str">
        <f>Risk_Compensation!$B$1</f>
        <v xml:space="preserve">Risikoausgleich </v>
      </c>
      <c r="D6228" s="1743" t="str">
        <f>Risk_Compensation!$AJ$14</f>
        <v>geschätzte Risikoausgleichssätze, pro Monat in CHF (ohne Entlastung junge Erwachsene)</v>
      </c>
      <c r="E6228" s="1390">
        <f>Risk_Compensation!$AJ28</f>
        <v>11</v>
      </c>
      <c r="F6228" s="1390" t="str">
        <f>Risk_Compensation!$AA$17</f>
        <v>TG</v>
      </c>
      <c r="G6228" s="1390"/>
      <c r="H6228" s="1077">
        <f>Risk_Compensation!$BD28</f>
        <v>375.506153205521</v>
      </c>
    </row>
    <row r="6229" spans="1:8" x14ac:dyDescent="0.2">
      <c r="A6229" s="1027"/>
      <c r="B6229" s="1083">
        <f>Risk_Compensation!A$1</f>
        <v>36</v>
      </c>
      <c r="C6229" s="1390" t="str">
        <f>Risk_Compensation!$B$1</f>
        <v xml:space="preserve">Risikoausgleich </v>
      </c>
      <c r="D6229" s="1743" t="str">
        <f>Risk_Compensation!$AJ$14</f>
        <v>geschätzte Risikoausgleichssätze, pro Monat in CHF (ohne Entlastung junge Erwachsene)</v>
      </c>
      <c r="E6229" s="1390">
        <f>Risk_Compensation!$AJ29</f>
        <v>12</v>
      </c>
      <c r="F6229" s="1390" t="str">
        <f>Risk_Compensation!$AA$17</f>
        <v>TG</v>
      </c>
      <c r="G6229" s="1390"/>
      <c r="H6229" s="1077">
        <f>Risk_Compensation!$BD29</f>
        <v>-249.60378493472399</v>
      </c>
    </row>
    <row r="6230" spans="1:8" x14ac:dyDescent="0.2">
      <c r="A6230" s="1027"/>
      <c r="B6230" s="1083">
        <f>Risk_Compensation!A$1</f>
        <v>36</v>
      </c>
      <c r="C6230" s="1390" t="str">
        <f>Risk_Compensation!$B$1</f>
        <v xml:space="preserve">Risikoausgleich </v>
      </c>
      <c r="D6230" s="1743" t="str">
        <f>Risk_Compensation!$AJ$14</f>
        <v>geschätzte Risikoausgleichssätze, pro Monat in CHF (ohne Entlastung junge Erwachsene)</v>
      </c>
      <c r="E6230" s="1390">
        <f>Risk_Compensation!$AJ30</f>
        <v>13</v>
      </c>
      <c r="F6230" s="1390" t="str">
        <f>Risk_Compensation!$AA$17</f>
        <v>TG</v>
      </c>
      <c r="G6230" s="1390"/>
      <c r="H6230" s="1077">
        <f>Risk_Compensation!$BD30</f>
        <v>469.68266445547499</v>
      </c>
    </row>
    <row r="6231" spans="1:8" x14ac:dyDescent="0.2">
      <c r="A6231" s="1027"/>
      <c r="B6231" s="1083">
        <f>Risk_Compensation!A$1</f>
        <v>36</v>
      </c>
      <c r="C6231" s="1390" t="str">
        <f>Risk_Compensation!$B$1</f>
        <v xml:space="preserve">Risikoausgleich </v>
      </c>
      <c r="D6231" s="1743" t="str">
        <f>Risk_Compensation!$AJ$14</f>
        <v>geschätzte Risikoausgleichssätze, pro Monat in CHF (ohne Entlastung junge Erwachsene)</v>
      </c>
      <c r="E6231" s="1390">
        <f>Risk_Compensation!$AJ31</f>
        <v>14</v>
      </c>
      <c r="F6231" s="1390" t="str">
        <f>Risk_Compensation!$AA$17</f>
        <v>TG</v>
      </c>
      <c r="G6231" s="1390"/>
      <c r="H6231" s="1077">
        <f>Risk_Compensation!$BD31</f>
        <v>-235.10907757699201</v>
      </c>
    </row>
    <row r="6232" spans="1:8" x14ac:dyDescent="0.2">
      <c r="A6232" s="1027"/>
      <c r="B6232" s="1083">
        <f>Risk_Compensation!A$1</f>
        <v>36</v>
      </c>
      <c r="C6232" s="1390" t="str">
        <f>Risk_Compensation!$B$1</f>
        <v xml:space="preserve">Risikoausgleich </v>
      </c>
      <c r="D6232" s="1743" t="str">
        <f>Risk_Compensation!$AJ$14</f>
        <v>geschätzte Risikoausgleichssätze, pro Monat in CHF (ohne Entlastung junge Erwachsene)</v>
      </c>
      <c r="E6232" s="1390">
        <f>Risk_Compensation!$AJ32</f>
        <v>15</v>
      </c>
      <c r="F6232" s="1390" t="str">
        <f>Risk_Compensation!$AA$17</f>
        <v>TG</v>
      </c>
      <c r="G6232" s="1390"/>
      <c r="H6232" s="1077">
        <f>Risk_Compensation!$BD32</f>
        <v>343.87072747404198</v>
      </c>
    </row>
    <row r="6233" spans="1:8" x14ac:dyDescent="0.2">
      <c r="A6233" s="1027"/>
      <c r="B6233" s="1083">
        <f>Risk_Compensation!A$1</f>
        <v>36</v>
      </c>
      <c r="C6233" s="1390" t="str">
        <f>Risk_Compensation!$B$1</f>
        <v xml:space="preserve">Risikoausgleich </v>
      </c>
      <c r="D6233" s="1743" t="str">
        <f>Risk_Compensation!$AJ$14</f>
        <v>geschätzte Risikoausgleichssätze, pro Monat in CHF (ohne Entlastung junge Erwachsene)</v>
      </c>
      <c r="E6233" s="1390">
        <f>Risk_Compensation!$AJ33</f>
        <v>16</v>
      </c>
      <c r="F6233" s="1390" t="str">
        <f>Risk_Compensation!$AA$17</f>
        <v>TG</v>
      </c>
      <c r="G6233" s="1390"/>
      <c r="H6233" s="1077">
        <f>Risk_Compensation!$BD33</f>
        <v>-198.03712637827499</v>
      </c>
    </row>
    <row r="6234" spans="1:8" x14ac:dyDescent="0.2">
      <c r="A6234" s="1027"/>
      <c r="B6234" s="1083">
        <f>Risk_Compensation!A$1</f>
        <v>36</v>
      </c>
      <c r="C6234" s="1390" t="str">
        <f>Risk_Compensation!$B$1</f>
        <v xml:space="preserve">Risikoausgleich </v>
      </c>
      <c r="D6234" s="1743" t="str">
        <f>Risk_Compensation!$AJ$14</f>
        <v>geschätzte Risikoausgleichssätze, pro Monat in CHF (ohne Entlastung junge Erwachsene)</v>
      </c>
      <c r="E6234" s="1390">
        <f>Risk_Compensation!$AJ34</f>
        <v>17</v>
      </c>
      <c r="F6234" s="1390" t="str">
        <f>Risk_Compensation!$AA$17</f>
        <v>TG</v>
      </c>
      <c r="G6234" s="1390"/>
      <c r="H6234" s="1077">
        <f>Risk_Compensation!$BD34</f>
        <v>327.62953169966801</v>
      </c>
    </row>
    <row r="6235" spans="1:8" x14ac:dyDescent="0.2">
      <c r="A6235" s="1027"/>
      <c r="B6235" s="1083">
        <f>Risk_Compensation!A$1</f>
        <v>36</v>
      </c>
      <c r="C6235" s="1390" t="str">
        <f>Risk_Compensation!$B$1</f>
        <v xml:space="preserve">Risikoausgleich </v>
      </c>
      <c r="D6235" s="1743" t="str">
        <f>Risk_Compensation!$AJ$14</f>
        <v>geschätzte Risikoausgleichssätze, pro Monat in CHF (ohne Entlastung junge Erwachsene)</v>
      </c>
      <c r="E6235" s="1390">
        <f>Risk_Compensation!$AJ35</f>
        <v>18</v>
      </c>
      <c r="F6235" s="1390" t="str">
        <f>Risk_Compensation!$AA$17</f>
        <v>TG</v>
      </c>
      <c r="G6235" s="1390"/>
      <c r="H6235" s="1077">
        <f>Risk_Compensation!$BD35</f>
        <v>-151.70855336761599</v>
      </c>
    </row>
    <row r="6236" spans="1:8" x14ac:dyDescent="0.2">
      <c r="A6236" s="1027"/>
      <c r="B6236" s="1083">
        <f>Risk_Compensation!A$1</f>
        <v>36</v>
      </c>
      <c r="C6236" s="1390" t="str">
        <f>Risk_Compensation!$B$1</f>
        <v xml:space="preserve">Risikoausgleich </v>
      </c>
      <c r="D6236" s="1743" t="str">
        <f>Risk_Compensation!$AJ$14</f>
        <v>geschätzte Risikoausgleichssätze, pro Monat in CHF (ohne Entlastung junge Erwachsene)</v>
      </c>
      <c r="E6236" s="1390">
        <f>Risk_Compensation!$AJ36</f>
        <v>19</v>
      </c>
      <c r="F6236" s="1390" t="str">
        <f>Risk_Compensation!$AA$17</f>
        <v>TG</v>
      </c>
      <c r="G6236" s="1390"/>
      <c r="H6236" s="1077">
        <f>Risk_Compensation!$BD36</f>
        <v>482.22506141512002</v>
      </c>
    </row>
    <row r="6237" spans="1:8" x14ac:dyDescent="0.2">
      <c r="A6237" s="1027"/>
      <c r="B6237" s="1083">
        <f>Risk_Compensation!A$1</f>
        <v>36</v>
      </c>
      <c r="C6237" s="1390" t="str">
        <f>Risk_Compensation!$B$1</f>
        <v xml:space="preserve">Risikoausgleich </v>
      </c>
      <c r="D6237" s="1743" t="str">
        <f>Risk_Compensation!$AJ$14</f>
        <v>geschätzte Risikoausgleichssätze, pro Monat in CHF (ohne Entlastung junge Erwachsene)</v>
      </c>
      <c r="E6237" s="1390">
        <f>Risk_Compensation!$AJ37</f>
        <v>20</v>
      </c>
      <c r="F6237" s="1390" t="str">
        <f>Risk_Compensation!$AA$17</f>
        <v>TG</v>
      </c>
      <c r="G6237" s="1390"/>
      <c r="H6237" s="1077">
        <f>Risk_Compensation!$BD37</f>
        <v>-71.107835856676502</v>
      </c>
    </row>
    <row r="6238" spans="1:8" x14ac:dyDescent="0.2">
      <c r="A6238" s="1027"/>
      <c r="B6238" s="1083">
        <f>Risk_Compensation!A$1</f>
        <v>36</v>
      </c>
      <c r="C6238" s="1390" t="str">
        <f>Risk_Compensation!$B$1</f>
        <v xml:space="preserve">Risikoausgleich </v>
      </c>
      <c r="D6238" s="1743" t="str">
        <f>Risk_Compensation!$AJ$14</f>
        <v>geschätzte Risikoausgleichssätze, pro Monat in CHF (ohne Entlastung junge Erwachsene)</v>
      </c>
      <c r="E6238" s="1390">
        <f>Risk_Compensation!$AJ38</f>
        <v>21</v>
      </c>
      <c r="F6238" s="1390" t="str">
        <f>Risk_Compensation!$AA$17</f>
        <v>TG</v>
      </c>
      <c r="G6238" s="1390"/>
      <c r="H6238" s="1077">
        <f>Risk_Compensation!$BD38</f>
        <v>722.874020317391</v>
      </c>
    </row>
    <row r="6239" spans="1:8" x14ac:dyDescent="0.2">
      <c r="A6239" s="1027"/>
      <c r="B6239" s="1083">
        <f>Risk_Compensation!A$1</f>
        <v>36</v>
      </c>
      <c r="C6239" s="1390" t="str">
        <f>Risk_Compensation!$B$1</f>
        <v xml:space="preserve">Risikoausgleich </v>
      </c>
      <c r="D6239" s="1743" t="str">
        <f>Risk_Compensation!$AJ$14</f>
        <v>geschätzte Risikoausgleichssätze, pro Monat in CHF (ohne Entlastung junge Erwachsene)</v>
      </c>
      <c r="E6239" s="1390">
        <f>Risk_Compensation!$AJ39</f>
        <v>22</v>
      </c>
      <c r="F6239" s="1390" t="str">
        <f>Risk_Compensation!$AA$17</f>
        <v>TG</v>
      </c>
      <c r="G6239" s="1390"/>
      <c r="H6239" s="1077">
        <f>Risk_Compensation!$BD39</f>
        <v>27.5499626733945</v>
      </c>
    </row>
    <row r="6240" spans="1:8" x14ac:dyDescent="0.2">
      <c r="A6240" s="1027"/>
      <c r="B6240" s="1083">
        <f>Risk_Compensation!A$1</f>
        <v>36</v>
      </c>
      <c r="C6240" s="1390" t="str">
        <f>Risk_Compensation!$B$1</f>
        <v xml:space="preserve">Risikoausgleich </v>
      </c>
      <c r="D6240" s="1743" t="str">
        <f>Risk_Compensation!$AJ$14</f>
        <v>geschätzte Risikoausgleichssätze, pro Monat in CHF (ohne Entlastung junge Erwachsene)</v>
      </c>
      <c r="E6240" s="1390">
        <f>Risk_Compensation!$AJ40</f>
        <v>23</v>
      </c>
      <c r="F6240" s="1390" t="str">
        <f>Risk_Compensation!$AA$17</f>
        <v>TG</v>
      </c>
      <c r="G6240" s="1390"/>
      <c r="H6240" s="1077">
        <f>Risk_Compensation!$BD40</f>
        <v>931.43438532011203</v>
      </c>
    </row>
    <row r="6241" spans="1:8" x14ac:dyDescent="0.2">
      <c r="A6241" s="1027"/>
      <c r="B6241" s="1083">
        <f>Risk_Compensation!A$1</f>
        <v>36</v>
      </c>
      <c r="C6241" s="1390" t="str">
        <f>Risk_Compensation!$B$1</f>
        <v xml:space="preserve">Risikoausgleich </v>
      </c>
      <c r="D6241" s="1743" t="str">
        <f>Risk_Compensation!$AJ$14</f>
        <v>geschätzte Risikoausgleichssätze, pro Monat in CHF (ohne Entlastung junge Erwachsene)</v>
      </c>
      <c r="E6241" s="1390">
        <f>Risk_Compensation!$AJ41</f>
        <v>24</v>
      </c>
      <c r="F6241" s="1390" t="str">
        <f>Risk_Compensation!$AA$17</f>
        <v>TG</v>
      </c>
      <c r="G6241" s="1390"/>
      <c r="H6241" s="1077">
        <f>Risk_Compensation!$BD41</f>
        <v>89.510604279775507</v>
      </c>
    </row>
    <row r="6242" spans="1:8" x14ac:dyDescent="0.2">
      <c r="A6242" s="1027"/>
      <c r="B6242" s="1083">
        <f>Risk_Compensation!A$1</f>
        <v>36</v>
      </c>
      <c r="C6242" s="1390" t="str">
        <f>Risk_Compensation!$B$1</f>
        <v xml:space="preserve">Risikoausgleich </v>
      </c>
      <c r="D6242" s="1743" t="str">
        <f>Risk_Compensation!$AJ$14</f>
        <v>geschätzte Risikoausgleichssätze, pro Monat in CHF (ohne Entlastung junge Erwachsene)</v>
      </c>
      <c r="E6242" s="1390">
        <f>Risk_Compensation!$AJ42</f>
        <v>25</v>
      </c>
      <c r="F6242" s="1390" t="str">
        <f>Risk_Compensation!$AA$17</f>
        <v>TG</v>
      </c>
      <c r="G6242" s="1390"/>
      <c r="H6242" s="1077">
        <f>Risk_Compensation!$BD42</f>
        <v>1051.1043775856899</v>
      </c>
    </row>
    <row r="6243" spans="1:8" x14ac:dyDescent="0.2">
      <c r="A6243" s="1027"/>
      <c r="B6243" s="1083">
        <f>Risk_Compensation!A$1</f>
        <v>36</v>
      </c>
      <c r="C6243" s="1390" t="str">
        <f>Risk_Compensation!$B$1</f>
        <v xml:space="preserve">Risikoausgleich </v>
      </c>
      <c r="D6243" s="1743" t="str">
        <f>Risk_Compensation!$AJ$14</f>
        <v>geschätzte Risikoausgleichssätze, pro Monat in CHF (ohne Entlastung junge Erwachsene)</v>
      </c>
      <c r="E6243" s="1390">
        <f>Risk_Compensation!$AJ43</f>
        <v>26</v>
      </c>
      <c r="F6243" s="1390" t="str">
        <f>Risk_Compensation!$AA$17</f>
        <v>TG</v>
      </c>
      <c r="G6243" s="1390"/>
      <c r="H6243" s="1077">
        <f>Risk_Compensation!$BD43</f>
        <v>166.981153636453</v>
      </c>
    </row>
    <row r="6244" spans="1:8" x14ac:dyDescent="0.2">
      <c r="A6244" s="1027"/>
      <c r="B6244" s="1083">
        <f>Risk_Compensation!A$1</f>
        <v>36</v>
      </c>
      <c r="C6244" s="1390" t="str">
        <f>Risk_Compensation!$B$1</f>
        <v xml:space="preserve">Risikoausgleich </v>
      </c>
      <c r="D6244" s="1743" t="str">
        <f>Risk_Compensation!$AJ$14</f>
        <v>geschätzte Risikoausgleichssätze, pro Monat in CHF (ohne Entlastung junge Erwachsene)</v>
      </c>
      <c r="E6244" s="1390">
        <f>Risk_Compensation!$AJ44</f>
        <v>27</v>
      </c>
      <c r="F6244" s="1390" t="str">
        <f>Risk_Compensation!$AA$17</f>
        <v>TG</v>
      </c>
      <c r="G6244" s="1390"/>
      <c r="H6244" s="1077">
        <f>Risk_Compensation!$BD44</f>
        <v>1169.14534429833</v>
      </c>
    </row>
    <row r="6245" spans="1:8" x14ac:dyDescent="0.2">
      <c r="A6245" s="1027"/>
      <c r="B6245" s="1083">
        <f>Risk_Compensation!A$1</f>
        <v>36</v>
      </c>
      <c r="C6245" s="1390" t="str">
        <f>Risk_Compensation!$B$1</f>
        <v xml:space="preserve">Risikoausgleich </v>
      </c>
      <c r="D6245" s="1743" t="str">
        <f>Risk_Compensation!$AJ$14</f>
        <v>geschätzte Risikoausgleichssätze, pro Monat in CHF (ohne Entlastung junge Erwachsene)</v>
      </c>
      <c r="E6245" s="1390">
        <f>Risk_Compensation!$AJ45</f>
        <v>28</v>
      </c>
      <c r="F6245" s="1390" t="str">
        <f>Risk_Compensation!$AA$17</f>
        <v>TG</v>
      </c>
      <c r="G6245" s="1390"/>
      <c r="H6245" s="1077">
        <f>Risk_Compensation!$BD45</f>
        <v>214.67657250175401</v>
      </c>
    </row>
    <row r="6246" spans="1:8" x14ac:dyDescent="0.2">
      <c r="A6246" s="1027"/>
      <c r="B6246" s="1083">
        <f>Risk_Compensation!A$1</f>
        <v>36</v>
      </c>
      <c r="C6246" s="1390" t="str">
        <f>Risk_Compensation!$B$1</f>
        <v xml:space="preserve">Risikoausgleich </v>
      </c>
      <c r="D6246" s="1743" t="str">
        <f>Risk_Compensation!$AJ$14</f>
        <v>geschätzte Risikoausgleichssätze, pro Monat in CHF (ohne Entlastung junge Erwachsene)</v>
      </c>
      <c r="E6246" s="1390">
        <f>Risk_Compensation!$AJ46</f>
        <v>29</v>
      </c>
      <c r="F6246" s="1390" t="str">
        <f>Risk_Compensation!$AA$17</f>
        <v>TG</v>
      </c>
      <c r="G6246" s="1390"/>
      <c r="H6246" s="1077">
        <f>Risk_Compensation!$BD46</f>
        <v>1395.4866602129</v>
      </c>
    </row>
    <row r="6247" spans="1:8" x14ac:dyDescent="0.2">
      <c r="A6247" s="1027"/>
      <c r="B6247" s="1083">
        <f>Risk_Compensation!A$1</f>
        <v>36</v>
      </c>
      <c r="C6247" s="1390" t="str">
        <f>Risk_Compensation!$B$1</f>
        <v xml:space="preserve">Risikoausgleich </v>
      </c>
      <c r="D6247" s="1743" t="str">
        <f>Risk_Compensation!$AJ$14</f>
        <v>geschätzte Risikoausgleichssätze, pro Monat in CHF (ohne Entlastung junge Erwachsene)</v>
      </c>
      <c r="E6247" s="1390">
        <f>Risk_Compensation!$AJ47</f>
        <v>30</v>
      </c>
      <c r="F6247" s="1390" t="str">
        <f>Risk_Compensation!$AA$17</f>
        <v>TG</v>
      </c>
      <c r="G6247" s="1390"/>
      <c r="H6247" s="1077">
        <f>Risk_Compensation!$BD47</f>
        <v>318.14646331843397</v>
      </c>
    </row>
    <row r="6248" spans="1:8" x14ac:dyDescent="0.2">
      <c r="A6248" s="1027"/>
      <c r="B6248" s="1083">
        <f>Risk_Compensation!A$1</f>
        <v>36</v>
      </c>
      <c r="C6248" s="1390" t="str">
        <f>Risk_Compensation!$B$1</f>
        <v xml:space="preserve">Risikoausgleich </v>
      </c>
      <c r="D6248" s="1743" t="str">
        <f>Risk_Compensation!$AJ$14</f>
        <v>geschätzte Risikoausgleichssätze, pro Monat in CHF (ohne Entlastung junge Erwachsene)</v>
      </c>
      <c r="E6248" s="1390">
        <f>Risk_Compensation!$AJ48</f>
        <v>31</v>
      </c>
      <c r="F6248" s="1390" t="str">
        <f>Risk_Compensation!$AA$17</f>
        <v>TG</v>
      </c>
      <c r="G6248" s="1390"/>
      <c r="H6248" s="1077">
        <f>Risk_Compensation!$BD48</f>
        <v>521.43096617279502</v>
      </c>
    </row>
    <row r="6249" spans="1:8" x14ac:dyDescent="0.2">
      <c r="A6249" s="1027"/>
      <c r="B6249" s="1083">
        <f>Risk_Compensation!A$1</f>
        <v>36</v>
      </c>
      <c r="C6249" s="1390" t="str">
        <f>Risk_Compensation!$B$1</f>
        <v xml:space="preserve">Risikoausgleich </v>
      </c>
      <c r="D6249" s="1743" t="str">
        <f>Risk_Compensation!$AJ$14</f>
        <v>geschätzte Risikoausgleichssätze, pro Monat in CHF (ohne Entlastung junge Erwachsene)</v>
      </c>
      <c r="E6249" s="1390">
        <f>Risk_Compensation!$AJ49</f>
        <v>32</v>
      </c>
      <c r="F6249" s="1390" t="str">
        <f>Risk_Compensation!$AA$17</f>
        <v>TG</v>
      </c>
      <c r="G6249" s="1390"/>
      <c r="H6249" s="1077">
        <f>Risk_Compensation!$BD49</f>
        <v>-225.18744575238301</v>
      </c>
    </row>
    <row r="6250" spans="1:8" x14ac:dyDescent="0.2">
      <c r="A6250" s="1027"/>
      <c r="B6250" s="1083">
        <f>Risk_Compensation!A$1</f>
        <v>36</v>
      </c>
      <c r="C6250" s="1390" t="str">
        <f>Risk_Compensation!$B$1</f>
        <v xml:space="preserve">Risikoausgleich </v>
      </c>
      <c r="D6250" s="1743" t="str">
        <f>Risk_Compensation!$AJ$14</f>
        <v>geschätzte Risikoausgleichssätze, pro Monat in CHF (ohne Entlastung junge Erwachsene)</v>
      </c>
      <c r="E6250" s="1390">
        <f>Risk_Compensation!$AJ50</f>
        <v>33</v>
      </c>
      <c r="F6250" s="1390" t="str">
        <f>Risk_Compensation!$AA$17</f>
        <v>TG</v>
      </c>
      <c r="G6250" s="1390"/>
      <c r="H6250" s="1077">
        <f>Risk_Compensation!$BD50</f>
        <v>378.74539364898197</v>
      </c>
    </row>
    <row r="6251" spans="1:8" x14ac:dyDescent="0.2">
      <c r="A6251" s="1027"/>
      <c r="B6251" s="1083">
        <f>Risk_Compensation!A$1</f>
        <v>36</v>
      </c>
      <c r="C6251" s="1390" t="str">
        <f>Risk_Compensation!$B$1</f>
        <v xml:space="preserve">Risikoausgleich </v>
      </c>
      <c r="D6251" s="1743" t="str">
        <f>Risk_Compensation!$AJ$14</f>
        <v>geschätzte Risikoausgleichssätze, pro Monat in CHF (ohne Entlastung junge Erwachsene)</v>
      </c>
      <c r="E6251" s="1390">
        <f>Risk_Compensation!$AJ51</f>
        <v>34</v>
      </c>
      <c r="F6251" s="1390" t="str">
        <f>Risk_Compensation!$AA$17</f>
        <v>TG</v>
      </c>
      <c r="G6251" s="1390"/>
      <c r="H6251" s="1077">
        <f>Risk_Compensation!$BD51</f>
        <v>-164.23777898479901</v>
      </c>
    </row>
    <row r="6252" spans="1:8" x14ac:dyDescent="0.2">
      <c r="A6252" s="1027"/>
      <c r="B6252" s="1083">
        <f>Risk_Compensation!A$1</f>
        <v>36</v>
      </c>
      <c r="C6252" s="1390" t="str">
        <f>Risk_Compensation!$B$1</f>
        <v xml:space="preserve">Risikoausgleich </v>
      </c>
      <c r="D6252" s="1743" t="str">
        <f>Risk_Compensation!$AJ$14</f>
        <v>geschätzte Risikoausgleichssätze, pro Monat in CHF (ohne Entlastung junge Erwachsene)</v>
      </c>
      <c r="E6252" s="1390">
        <f>Risk_Compensation!$AJ52</f>
        <v>35</v>
      </c>
      <c r="F6252" s="1390" t="str">
        <f>Risk_Compensation!$AA$17</f>
        <v>TG</v>
      </c>
      <c r="G6252" s="1390"/>
      <c r="H6252" s="1077">
        <f>Risk_Compensation!$BD52</f>
        <v>124.41042618482599</v>
      </c>
    </row>
    <row r="6253" spans="1:8" x14ac:dyDescent="0.2">
      <c r="A6253" s="1027"/>
      <c r="B6253" s="1083">
        <f>Risk_Compensation!A$1</f>
        <v>36</v>
      </c>
      <c r="C6253" s="1390" t="str">
        <f>Risk_Compensation!$B$1</f>
        <v xml:space="preserve">Risikoausgleich </v>
      </c>
      <c r="D6253" s="1743" t="str">
        <f>Risk_Compensation!$AJ$14</f>
        <v>geschätzte Risikoausgleichssätze, pro Monat in CHF (ohne Entlastung junge Erwachsene)</v>
      </c>
      <c r="E6253" s="1390">
        <f>Risk_Compensation!$AJ53</f>
        <v>36</v>
      </c>
      <c r="F6253" s="1390" t="str">
        <f>Risk_Compensation!$AA$17</f>
        <v>TG</v>
      </c>
      <c r="G6253" s="1390"/>
      <c r="H6253" s="1077">
        <f>Risk_Compensation!$BD53</f>
        <v>-142.041037988716</v>
      </c>
    </row>
    <row r="6254" spans="1:8" x14ac:dyDescent="0.2">
      <c r="A6254" s="1027"/>
      <c r="B6254" s="1083">
        <f>Risk_Compensation!A$1</f>
        <v>36</v>
      </c>
      <c r="C6254" s="1390" t="str">
        <f>Risk_Compensation!$B$1</f>
        <v xml:space="preserve">Risikoausgleich </v>
      </c>
      <c r="D6254" s="1743" t="str">
        <f>Risk_Compensation!$AJ$14</f>
        <v>geschätzte Risikoausgleichssätze, pro Monat in CHF (ohne Entlastung junge Erwachsene)</v>
      </c>
      <c r="E6254" s="1390">
        <f>Risk_Compensation!$AJ54</f>
        <v>37</v>
      </c>
      <c r="F6254" s="1390" t="str">
        <f>Risk_Compensation!$AA$17</f>
        <v>TG</v>
      </c>
      <c r="G6254" s="1390"/>
      <c r="H6254" s="1077">
        <f>Risk_Compensation!$BD54</f>
        <v>322.74732290012201</v>
      </c>
    </row>
    <row r="6255" spans="1:8" x14ac:dyDescent="0.2">
      <c r="A6255" s="1027"/>
      <c r="B6255" s="1083">
        <f>Risk_Compensation!A$1</f>
        <v>36</v>
      </c>
      <c r="C6255" s="1390" t="str">
        <f>Risk_Compensation!$B$1</f>
        <v xml:space="preserve">Risikoausgleich </v>
      </c>
      <c r="D6255" s="1743" t="str">
        <f>Risk_Compensation!$AJ$14</f>
        <v>geschätzte Risikoausgleichssätze, pro Monat in CHF (ohne Entlastung junge Erwachsene)</v>
      </c>
      <c r="E6255" s="1390">
        <f>Risk_Compensation!$AJ55</f>
        <v>38</v>
      </c>
      <c r="F6255" s="1390" t="str">
        <f>Risk_Compensation!$AA$17</f>
        <v>TG</v>
      </c>
      <c r="G6255" s="1390"/>
      <c r="H6255" s="1077">
        <f>Risk_Compensation!$BD55</f>
        <v>-192.709287807397</v>
      </c>
    </row>
    <row r="6256" spans="1:8" x14ac:dyDescent="0.2">
      <c r="A6256" s="1027"/>
      <c r="B6256" s="1083">
        <f>Risk_Compensation!A$1</f>
        <v>36</v>
      </c>
      <c r="C6256" s="1390" t="str">
        <f>Risk_Compensation!$B$1</f>
        <v xml:space="preserve">Risikoausgleich </v>
      </c>
      <c r="D6256" s="1743" t="str">
        <f>Risk_Compensation!$AJ$14</f>
        <v>geschätzte Risikoausgleichssätze, pro Monat in CHF (ohne Entlastung junge Erwachsene)</v>
      </c>
      <c r="E6256" s="1390">
        <f>Risk_Compensation!$AJ56</f>
        <v>39</v>
      </c>
      <c r="F6256" s="1390" t="str">
        <f>Risk_Compensation!$AA$17</f>
        <v>TG</v>
      </c>
      <c r="G6256" s="1390"/>
      <c r="H6256" s="1077">
        <f>Risk_Compensation!$BD56</f>
        <v>386.13135379903099</v>
      </c>
    </row>
    <row r="6257" spans="1:8" x14ac:dyDescent="0.2">
      <c r="A6257" s="1027"/>
      <c r="B6257" s="1083">
        <f>Risk_Compensation!A$1</f>
        <v>36</v>
      </c>
      <c r="C6257" s="1390" t="str">
        <f>Risk_Compensation!$B$1</f>
        <v xml:space="preserve">Risikoausgleich </v>
      </c>
      <c r="D6257" s="1743" t="str">
        <f>Risk_Compensation!$AJ$14</f>
        <v>geschätzte Risikoausgleichssätze, pro Monat in CHF (ohne Entlastung junge Erwachsene)</v>
      </c>
      <c r="E6257" s="1390">
        <f>Risk_Compensation!$AJ57</f>
        <v>40</v>
      </c>
      <c r="F6257" s="1390" t="str">
        <f>Risk_Compensation!$AA$17</f>
        <v>TG</v>
      </c>
      <c r="G6257" s="1390"/>
      <c r="H6257" s="1077">
        <f>Risk_Compensation!$BD57</f>
        <v>-214.14888112131101</v>
      </c>
    </row>
    <row r="6258" spans="1:8" x14ac:dyDescent="0.2">
      <c r="A6258" s="1027"/>
      <c r="B6258" s="1083">
        <f>Risk_Compensation!A$1</f>
        <v>36</v>
      </c>
      <c r="C6258" s="1390" t="str">
        <f>Risk_Compensation!$B$1</f>
        <v xml:space="preserve">Risikoausgleich </v>
      </c>
      <c r="D6258" s="1743" t="str">
        <f>Risk_Compensation!$AJ$14</f>
        <v>geschätzte Risikoausgleichssätze, pro Monat in CHF (ohne Entlastung junge Erwachsene)</v>
      </c>
      <c r="E6258" s="1390">
        <f>Risk_Compensation!$AJ58</f>
        <v>41</v>
      </c>
      <c r="F6258" s="1390" t="str">
        <f>Risk_Compensation!$AA$17</f>
        <v>TG</v>
      </c>
      <c r="G6258" s="1390"/>
      <c r="H6258" s="1077">
        <f>Risk_Compensation!$BD58</f>
        <v>381.55526611490802</v>
      </c>
    </row>
    <row r="6259" spans="1:8" x14ac:dyDescent="0.2">
      <c r="A6259" s="1027"/>
      <c r="B6259" s="1083">
        <f>Risk_Compensation!A$1</f>
        <v>36</v>
      </c>
      <c r="C6259" s="1390" t="str">
        <f>Risk_Compensation!$B$1</f>
        <v xml:space="preserve">Risikoausgleich </v>
      </c>
      <c r="D6259" s="1743" t="str">
        <f>Risk_Compensation!$AJ$14</f>
        <v>geschätzte Risikoausgleichssätze, pro Monat in CHF (ohne Entlastung junge Erwachsene)</v>
      </c>
      <c r="E6259" s="1390">
        <f>Risk_Compensation!$AJ59</f>
        <v>42</v>
      </c>
      <c r="F6259" s="1390" t="str">
        <f>Risk_Compensation!$AA$17</f>
        <v>TG</v>
      </c>
      <c r="G6259" s="1390"/>
      <c r="H6259" s="1077">
        <f>Risk_Compensation!$BD59</f>
        <v>-219.388567354283</v>
      </c>
    </row>
    <row r="6260" spans="1:8" x14ac:dyDescent="0.2">
      <c r="A6260" s="1027"/>
      <c r="B6260" s="1083">
        <f>Risk_Compensation!A$1</f>
        <v>36</v>
      </c>
      <c r="C6260" s="1390" t="str">
        <f>Risk_Compensation!$B$1</f>
        <v xml:space="preserve">Risikoausgleich </v>
      </c>
      <c r="D6260" s="1743" t="str">
        <f>Risk_Compensation!$AJ$14</f>
        <v>geschätzte Risikoausgleichssätze, pro Monat in CHF (ohne Entlastung junge Erwachsene)</v>
      </c>
      <c r="E6260" s="1390">
        <f>Risk_Compensation!$AJ60</f>
        <v>43</v>
      </c>
      <c r="F6260" s="1390" t="str">
        <f>Risk_Compensation!$AA$17</f>
        <v>TG</v>
      </c>
      <c r="G6260" s="1390"/>
      <c r="H6260" s="1077">
        <f>Risk_Compensation!$BD60</f>
        <v>350.394774626654</v>
      </c>
    </row>
    <row r="6261" spans="1:8" x14ac:dyDescent="0.2">
      <c r="A6261" s="1027"/>
      <c r="B6261" s="1083">
        <f>Risk_Compensation!A$1</f>
        <v>36</v>
      </c>
      <c r="C6261" s="1390" t="str">
        <f>Risk_Compensation!$B$1</f>
        <v xml:space="preserve">Risikoausgleich </v>
      </c>
      <c r="D6261" s="1743" t="str">
        <f>Risk_Compensation!$AJ$14</f>
        <v>geschätzte Risikoausgleichssätze, pro Monat in CHF (ohne Entlastung junge Erwachsene)</v>
      </c>
      <c r="E6261" s="1390">
        <f>Risk_Compensation!$AJ61</f>
        <v>44</v>
      </c>
      <c r="F6261" s="1390" t="str">
        <f>Risk_Compensation!$AA$17</f>
        <v>TG</v>
      </c>
      <c r="G6261" s="1390"/>
      <c r="H6261" s="1077">
        <f>Risk_Compensation!$BD61</f>
        <v>-201.36361484997499</v>
      </c>
    </row>
    <row r="6262" spans="1:8" x14ac:dyDescent="0.2">
      <c r="A6262" s="1027"/>
      <c r="B6262" s="1083">
        <f>Risk_Compensation!A$1</f>
        <v>36</v>
      </c>
      <c r="C6262" s="1390" t="str">
        <f>Risk_Compensation!$B$1</f>
        <v xml:space="preserve">Risikoausgleich </v>
      </c>
      <c r="D6262" s="1743" t="str">
        <f>Risk_Compensation!$AJ$14</f>
        <v>geschätzte Risikoausgleichssätze, pro Monat in CHF (ohne Entlastung junge Erwachsene)</v>
      </c>
      <c r="E6262" s="1390">
        <f>Risk_Compensation!$AJ62</f>
        <v>45</v>
      </c>
      <c r="F6262" s="1390" t="str">
        <f>Risk_Compensation!$AA$17</f>
        <v>TG</v>
      </c>
      <c r="G6262" s="1390"/>
      <c r="H6262" s="1077">
        <f>Risk_Compensation!$BD62</f>
        <v>499.67562984755</v>
      </c>
    </row>
    <row r="6263" spans="1:8" x14ac:dyDescent="0.2">
      <c r="A6263" s="1027"/>
      <c r="B6263" s="1083">
        <f>Risk_Compensation!A$1</f>
        <v>36</v>
      </c>
      <c r="C6263" s="1390" t="str">
        <f>Risk_Compensation!$B$1</f>
        <v xml:space="preserve">Risikoausgleich </v>
      </c>
      <c r="D6263" s="1743" t="str">
        <f>Risk_Compensation!$AJ$14</f>
        <v>geschätzte Risikoausgleichssätze, pro Monat in CHF (ohne Entlastung junge Erwachsene)</v>
      </c>
      <c r="E6263" s="1390">
        <f>Risk_Compensation!$AJ63</f>
        <v>46</v>
      </c>
      <c r="F6263" s="1390" t="str">
        <f>Risk_Compensation!$AA$17</f>
        <v>TG</v>
      </c>
      <c r="G6263" s="1390"/>
      <c r="H6263" s="1077">
        <f>Risk_Compensation!$BD63</f>
        <v>-179.034165152692</v>
      </c>
    </row>
    <row r="6264" spans="1:8" x14ac:dyDescent="0.2">
      <c r="A6264" s="1027"/>
      <c r="B6264" s="1083">
        <f>Risk_Compensation!A$1</f>
        <v>36</v>
      </c>
      <c r="C6264" s="1390" t="str">
        <f>Risk_Compensation!$B$1</f>
        <v xml:space="preserve">Risikoausgleich </v>
      </c>
      <c r="D6264" s="1743" t="str">
        <f>Risk_Compensation!$AJ$14</f>
        <v>geschätzte Risikoausgleichssätze, pro Monat in CHF (ohne Entlastung junge Erwachsene)</v>
      </c>
      <c r="E6264" s="1390">
        <f>Risk_Compensation!$AJ64</f>
        <v>47</v>
      </c>
      <c r="F6264" s="1390" t="str">
        <f>Risk_Compensation!$AA$17</f>
        <v>TG</v>
      </c>
      <c r="G6264" s="1390"/>
      <c r="H6264" s="1077">
        <f>Risk_Compensation!$BD64</f>
        <v>450.86915637015801</v>
      </c>
    </row>
    <row r="6265" spans="1:8" x14ac:dyDescent="0.2">
      <c r="A6265" s="1027"/>
      <c r="B6265" s="1083">
        <f>Risk_Compensation!A$1</f>
        <v>36</v>
      </c>
      <c r="C6265" s="1390" t="str">
        <f>Risk_Compensation!$B$1</f>
        <v xml:space="preserve">Risikoausgleich </v>
      </c>
      <c r="D6265" s="1743" t="str">
        <f>Risk_Compensation!$AJ$14</f>
        <v>geschätzte Risikoausgleichssätze, pro Monat in CHF (ohne Entlastung junge Erwachsene)</v>
      </c>
      <c r="E6265" s="1390">
        <f>Risk_Compensation!$AJ65</f>
        <v>48</v>
      </c>
      <c r="F6265" s="1390" t="str">
        <f>Risk_Compensation!$AA$17</f>
        <v>TG</v>
      </c>
      <c r="G6265" s="1390"/>
      <c r="H6265" s="1077">
        <f>Risk_Compensation!$BD65</f>
        <v>-151.32942417548301</v>
      </c>
    </row>
    <row r="6266" spans="1:8" x14ac:dyDescent="0.2">
      <c r="A6266" s="1027"/>
      <c r="B6266" s="1083">
        <f>Risk_Compensation!A$1</f>
        <v>36</v>
      </c>
      <c r="C6266" s="1390" t="str">
        <f>Risk_Compensation!$B$1</f>
        <v xml:space="preserve">Risikoausgleich </v>
      </c>
      <c r="D6266" s="1743" t="str">
        <f>Risk_Compensation!$AJ$14</f>
        <v>geschätzte Risikoausgleichssätze, pro Monat in CHF (ohne Entlastung junge Erwachsene)</v>
      </c>
      <c r="E6266" s="1390">
        <f>Risk_Compensation!$AJ66</f>
        <v>49</v>
      </c>
      <c r="F6266" s="1390" t="str">
        <f>Risk_Compensation!$AA$17</f>
        <v>TG</v>
      </c>
      <c r="G6266" s="1390"/>
      <c r="H6266" s="1077">
        <f>Risk_Compensation!$BD66</f>
        <v>505.280361936102</v>
      </c>
    </row>
    <row r="6267" spans="1:8" x14ac:dyDescent="0.2">
      <c r="A6267" s="1027"/>
      <c r="B6267" s="1083">
        <f>Risk_Compensation!A$1</f>
        <v>36</v>
      </c>
      <c r="C6267" s="1390" t="str">
        <f>Risk_Compensation!$B$1</f>
        <v xml:space="preserve">Risikoausgleich </v>
      </c>
      <c r="D6267" s="1743" t="str">
        <f>Risk_Compensation!$AJ$14</f>
        <v>geschätzte Risikoausgleichssätze, pro Monat in CHF (ohne Entlastung junge Erwachsene)</v>
      </c>
      <c r="E6267" s="1390">
        <f>Risk_Compensation!$AJ67</f>
        <v>50</v>
      </c>
      <c r="F6267" s="1390" t="str">
        <f>Risk_Compensation!$AA$17</f>
        <v>TG</v>
      </c>
      <c r="G6267" s="1390"/>
      <c r="H6267" s="1077">
        <f>Risk_Compensation!$BD67</f>
        <v>-101.256986587443</v>
      </c>
    </row>
    <row r="6268" spans="1:8" x14ac:dyDescent="0.2">
      <c r="A6268" s="1027"/>
      <c r="B6268" s="1083">
        <f>Risk_Compensation!A$1</f>
        <v>36</v>
      </c>
      <c r="C6268" s="1390" t="str">
        <f>Risk_Compensation!$B$1</f>
        <v xml:space="preserve">Risikoausgleich </v>
      </c>
      <c r="D6268" s="1743" t="str">
        <f>Risk_Compensation!$AJ$14</f>
        <v>geschätzte Risikoausgleichssätze, pro Monat in CHF (ohne Entlastung junge Erwachsene)</v>
      </c>
      <c r="E6268" s="1390">
        <f>Risk_Compensation!$AJ68</f>
        <v>51</v>
      </c>
      <c r="F6268" s="1390" t="str">
        <f>Risk_Compensation!$AA$17</f>
        <v>TG</v>
      </c>
      <c r="G6268" s="1390"/>
      <c r="H6268" s="1077">
        <f>Risk_Compensation!$BD68</f>
        <v>671.36205059094402</v>
      </c>
    </row>
    <row r="6269" spans="1:8" x14ac:dyDescent="0.2">
      <c r="A6269" s="1027"/>
      <c r="B6269" s="1083">
        <f>Risk_Compensation!A$1</f>
        <v>36</v>
      </c>
      <c r="C6269" s="1390" t="str">
        <f>Risk_Compensation!$B$1</f>
        <v xml:space="preserve">Risikoausgleich </v>
      </c>
      <c r="D6269" s="1743" t="str">
        <f>Risk_Compensation!$AJ$14</f>
        <v>geschätzte Risikoausgleichssätze, pro Monat in CHF (ohne Entlastung junge Erwachsene)</v>
      </c>
      <c r="E6269" s="1390">
        <f>Risk_Compensation!$AJ69</f>
        <v>52</v>
      </c>
      <c r="F6269" s="1390" t="str">
        <f>Risk_Compensation!$AA$17</f>
        <v>TG</v>
      </c>
      <c r="G6269" s="1390"/>
      <c r="H6269" s="1077">
        <f>Risk_Compensation!$BD69</f>
        <v>-72.482641671697607</v>
      </c>
    </row>
    <row r="6270" spans="1:8" x14ac:dyDescent="0.2">
      <c r="A6270" s="1027"/>
      <c r="B6270" s="1083">
        <f>Risk_Compensation!A$1</f>
        <v>36</v>
      </c>
      <c r="C6270" s="1390" t="str">
        <f>Risk_Compensation!$B$1</f>
        <v xml:space="preserve">Risikoausgleich </v>
      </c>
      <c r="D6270" s="1743" t="str">
        <f>Risk_Compensation!$AJ$14</f>
        <v>geschätzte Risikoausgleichssätze, pro Monat in CHF (ohne Entlastung junge Erwachsene)</v>
      </c>
      <c r="E6270" s="1390">
        <f>Risk_Compensation!$AJ70</f>
        <v>53</v>
      </c>
      <c r="F6270" s="1390" t="str">
        <f>Risk_Compensation!$AA$17</f>
        <v>TG</v>
      </c>
      <c r="G6270" s="1390"/>
      <c r="H6270" s="1077">
        <f>Risk_Compensation!$BD70</f>
        <v>782.90618085727101</v>
      </c>
    </row>
    <row r="6271" spans="1:8" x14ac:dyDescent="0.2">
      <c r="A6271" s="1027"/>
      <c r="B6271" s="1083">
        <f>Risk_Compensation!A$1</f>
        <v>36</v>
      </c>
      <c r="C6271" s="1390" t="str">
        <f>Risk_Compensation!$B$1</f>
        <v xml:space="preserve">Risikoausgleich </v>
      </c>
      <c r="D6271" s="1743" t="str">
        <f>Risk_Compensation!$AJ$14</f>
        <v>geschätzte Risikoausgleichssätze, pro Monat in CHF (ohne Entlastung junge Erwachsene)</v>
      </c>
      <c r="E6271" s="1390">
        <f>Risk_Compensation!$AJ71</f>
        <v>54</v>
      </c>
      <c r="F6271" s="1390" t="str">
        <f>Risk_Compensation!$AA$17</f>
        <v>TG</v>
      </c>
      <c r="G6271" s="1390"/>
      <c r="H6271" s="1077">
        <f>Risk_Compensation!$BD71</f>
        <v>33.645873540046502</v>
      </c>
    </row>
    <row r="6272" spans="1:8" x14ac:dyDescent="0.2">
      <c r="A6272" s="1027"/>
      <c r="B6272" s="1083">
        <f>Risk_Compensation!A$1</f>
        <v>36</v>
      </c>
      <c r="C6272" s="1390" t="str">
        <f>Risk_Compensation!$B$1</f>
        <v xml:space="preserve">Risikoausgleich </v>
      </c>
      <c r="D6272" s="1743" t="str">
        <f>Risk_Compensation!$AJ$14</f>
        <v>geschätzte Risikoausgleichssätze, pro Monat in CHF (ohne Entlastung junge Erwachsene)</v>
      </c>
      <c r="E6272" s="1390">
        <f>Risk_Compensation!$AJ72</f>
        <v>55</v>
      </c>
      <c r="F6272" s="1390" t="str">
        <f>Risk_Compensation!$AA$17</f>
        <v>TG</v>
      </c>
      <c r="G6272" s="1390"/>
      <c r="H6272" s="1077">
        <f>Risk_Compensation!$BD72</f>
        <v>855.87578093994796</v>
      </c>
    </row>
    <row r="6273" spans="1:8" x14ac:dyDescent="0.2">
      <c r="A6273" s="1027"/>
      <c r="B6273" s="1083">
        <f>Risk_Compensation!A$1</f>
        <v>36</v>
      </c>
      <c r="C6273" s="1390" t="str">
        <f>Risk_Compensation!$B$1</f>
        <v xml:space="preserve">Risikoausgleich </v>
      </c>
      <c r="D6273" s="1743" t="str">
        <f>Risk_Compensation!$AJ$14</f>
        <v>geschätzte Risikoausgleichssätze, pro Monat in CHF (ohne Entlastung junge Erwachsene)</v>
      </c>
      <c r="E6273" s="1390">
        <f>Risk_Compensation!$AJ73</f>
        <v>56</v>
      </c>
      <c r="F6273" s="1390" t="str">
        <f>Risk_Compensation!$AA$17</f>
        <v>TG</v>
      </c>
      <c r="G6273" s="1390"/>
      <c r="H6273" s="1077">
        <f>Risk_Compensation!$BD73</f>
        <v>138.28227791911999</v>
      </c>
    </row>
    <row r="6274" spans="1:8" x14ac:dyDescent="0.2">
      <c r="A6274" s="1027"/>
      <c r="B6274" s="1083">
        <f>Risk_Compensation!A$1</f>
        <v>36</v>
      </c>
      <c r="C6274" s="1390" t="str">
        <f>Risk_Compensation!$B$1</f>
        <v xml:space="preserve">Risikoausgleich </v>
      </c>
      <c r="D6274" s="1743" t="str">
        <f>Risk_Compensation!$AJ$14</f>
        <v>geschätzte Risikoausgleichssätze, pro Monat in CHF (ohne Entlastung junge Erwachsene)</v>
      </c>
      <c r="E6274" s="1390">
        <f>Risk_Compensation!$AJ74</f>
        <v>57</v>
      </c>
      <c r="F6274" s="1390" t="str">
        <f>Risk_Compensation!$AA$17</f>
        <v>TG</v>
      </c>
      <c r="G6274" s="1390"/>
      <c r="H6274" s="1077">
        <f>Risk_Compensation!$BD74</f>
        <v>1097.89209886034</v>
      </c>
    </row>
    <row r="6275" spans="1:8" x14ac:dyDescent="0.2">
      <c r="A6275" s="1027"/>
      <c r="B6275" s="1083">
        <f>Risk_Compensation!A$1</f>
        <v>36</v>
      </c>
      <c r="C6275" s="1390" t="str">
        <f>Risk_Compensation!$B$1</f>
        <v xml:space="preserve">Risikoausgleich </v>
      </c>
      <c r="D6275" s="1743" t="str">
        <f>Risk_Compensation!$AJ$14</f>
        <v>geschätzte Risikoausgleichssätze, pro Monat in CHF (ohne Entlastung junge Erwachsene)</v>
      </c>
      <c r="E6275" s="1390">
        <f>Risk_Compensation!$AJ75</f>
        <v>58</v>
      </c>
      <c r="F6275" s="1390" t="str">
        <f>Risk_Compensation!$AA$17</f>
        <v>TG</v>
      </c>
      <c r="G6275" s="1390"/>
      <c r="H6275" s="1077">
        <f>Risk_Compensation!$BD75</f>
        <v>235.16267464101799</v>
      </c>
    </row>
    <row r="6276" spans="1:8" x14ac:dyDescent="0.2">
      <c r="A6276" s="1027"/>
      <c r="B6276" s="1083">
        <f>Risk_Compensation!A$1</f>
        <v>36</v>
      </c>
      <c r="C6276" s="1390" t="str">
        <f>Risk_Compensation!$B$1</f>
        <v xml:space="preserve">Risikoausgleich </v>
      </c>
      <c r="D6276" s="1743" t="str">
        <f>Risk_Compensation!$AJ$14</f>
        <v>geschätzte Risikoausgleichssätze, pro Monat in CHF (ohne Entlastung junge Erwachsene)</v>
      </c>
      <c r="E6276" s="1390">
        <f>Risk_Compensation!$AJ76</f>
        <v>59</v>
      </c>
      <c r="F6276" s="1390" t="str">
        <f>Risk_Compensation!$AA$17</f>
        <v>TG</v>
      </c>
      <c r="G6276" s="1390"/>
      <c r="H6276" s="1077">
        <f>Risk_Compensation!$BD76</f>
        <v>1358.8081978611999</v>
      </c>
    </row>
    <row r="6277" spans="1:8" x14ac:dyDescent="0.2">
      <c r="A6277" s="1027"/>
      <c r="B6277" s="1083">
        <f>Risk_Compensation!A$1</f>
        <v>36</v>
      </c>
      <c r="C6277" s="1390" t="str">
        <f>Risk_Compensation!$B$1</f>
        <v xml:space="preserve">Risikoausgleich </v>
      </c>
      <c r="D6277" s="1743" t="str">
        <f>Risk_Compensation!$AJ$14</f>
        <v>geschätzte Risikoausgleichssätze, pro Monat in CHF (ohne Entlastung junge Erwachsene)</v>
      </c>
      <c r="E6277" s="1390">
        <f>Risk_Compensation!$AJ77</f>
        <v>60</v>
      </c>
      <c r="F6277" s="1390" t="str">
        <f>Risk_Compensation!$AA$17</f>
        <v>TG</v>
      </c>
      <c r="G6277" s="1390"/>
      <c r="H6277" s="1077">
        <f>Risk_Compensation!$BD77</f>
        <v>420.61372830662998</v>
      </c>
    </row>
    <row r="6278" spans="1:8" x14ac:dyDescent="0.2">
      <c r="A6278" s="1027"/>
      <c r="B6278" s="2174"/>
      <c r="C6278" s="1390"/>
      <c r="D6278" s="2175"/>
      <c r="E6278" s="2176"/>
      <c r="F6278" s="1390"/>
      <c r="G6278" s="1390"/>
      <c r="H6278" s="1078"/>
    </row>
    <row r="6279" spans="1:8" x14ac:dyDescent="0.2">
      <c r="A6279" s="1027"/>
      <c r="B6279" s="1083">
        <f>Risk_Compensation!A$1</f>
        <v>36</v>
      </c>
      <c r="C6279" s="1390" t="str">
        <f>Risk_Compensation!$B$1</f>
        <v xml:space="preserve">Risikoausgleich </v>
      </c>
      <c r="D6279" s="1743" t="str">
        <f>Risk_Compensation!$AJ$14</f>
        <v>geschätzte Risikoausgleichssätze, pro Monat in CHF (ohne Entlastung junge Erwachsene)</v>
      </c>
      <c r="E6279" s="1390">
        <f>Risk_Compensation!$AJ18</f>
        <v>1</v>
      </c>
      <c r="F6279" s="1390" t="str">
        <f>Risk_Compensation!$AB$17</f>
        <v>TI</v>
      </c>
      <c r="G6279" s="1390"/>
      <c r="H6279" s="1077">
        <f>Risk_Compensation!$BE18</f>
        <v>143.87062239634</v>
      </c>
    </row>
    <row r="6280" spans="1:8" x14ac:dyDescent="0.2">
      <c r="A6280" s="1027"/>
      <c r="B6280" s="1083">
        <f>Risk_Compensation!A$1</f>
        <v>36</v>
      </c>
      <c r="C6280" s="1390" t="str">
        <f>Risk_Compensation!$B$1</f>
        <v xml:space="preserve">Risikoausgleich </v>
      </c>
      <c r="D6280" s="1743" t="str">
        <f>Risk_Compensation!$AJ$14</f>
        <v>geschätzte Risikoausgleichssätze, pro Monat in CHF (ohne Entlastung junge Erwachsene)</v>
      </c>
      <c r="E6280" s="1390">
        <f>Risk_Compensation!$AJ19</f>
        <v>2</v>
      </c>
      <c r="F6280" s="1390" t="str">
        <f>Risk_Compensation!$AB$17</f>
        <v>TI</v>
      </c>
      <c r="G6280" s="1390"/>
      <c r="H6280" s="1077">
        <f>Risk_Compensation!$BE19</f>
        <v>-380.90964089190601</v>
      </c>
    </row>
    <row r="6281" spans="1:8" x14ac:dyDescent="0.2">
      <c r="A6281" s="1027"/>
      <c r="B6281" s="1083">
        <f>Risk_Compensation!A$1</f>
        <v>36</v>
      </c>
      <c r="C6281" s="1390" t="str">
        <f>Risk_Compensation!$B$1</f>
        <v xml:space="preserve">Risikoausgleich </v>
      </c>
      <c r="D6281" s="1743" t="str">
        <f>Risk_Compensation!$AJ$14</f>
        <v>geschätzte Risikoausgleichssätze, pro Monat in CHF (ohne Entlastung junge Erwachsene)</v>
      </c>
      <c r="E6281" s="1390">
        <f>Risk_Compensation!$AJ20</f>
        <v>3</v>
      </c>
      <c r="F6281" s="1390" t="str">
        <f>Risk_Compensation!$AB$17</f>
        <v>TI</v>
      </c>
      <c r="G6281" s="1390"/>
      <c r="H6281" s="1077">
        <f>Risk_Compensation!$BE20</f>
        <v>615.76629514587501</v>
      </c>
    </row>
    <row r="6282" spans="1:8" x14ac:dyDescent="0.2">
      <c r="A6282" s="1027"/>
      <c r="B6282" s="1083">
        <f>Risk_Compensation!A$1</f>
        <v>36</v>
      </c>
      <c r="C6282" s="1390" t="str">
        <f>Risk_Compensation!$B$1</f>
        <v xml:space="preserve">Risikoausgleich </v>
      </c>
      <c r="D6282" s="1743" t="str">
        <f>Risk_Compensation!$AJ$14</f>
        <v>geschätzte Risikoausgleichssätze, pro Monat in CHF (ohne Entlastung junge Erwachsene)</v>
      </c>
      <c r="E6282" s="1390">
        <f>Risk_Compensation!$AJ21</f>
        <v>4</v>
      </c>
      <c r="F6282" s="1390" t="str">
        <f>Risk_Compensation!$AB$17</f>
        <v>TI</v>
      </c>
      <c r="G6282" s="1390"/>
      <c r="H6282" s="1077">
        <f>Risk_Compensation!$BE21</f>
        <v>-410.376937371069</v>
      </c>
    </row>
    <row r="6283" spans="1:8" x14ac:dyDescent="0.2">
      <c r="A6283" s="1027"/>
      <c r="B6283" s="1083">
        <f>Risk_Compensation!A$1</f>
        <v>36</v>
      </c>
      <c r="C6283" s="1390" t="str">
        <f>Risk_Compensation!$B$1</f>
        <v xml:space="preserve">Risikoausgleich </v>
      </c>
      <c r="D6283" s="1743" t="str">
        <f>Risk_Compensation!$AJ$14</f>
        <v>geschätzte Risikoausgleichssätze, pro Monat in CHF (ohne Entlastung junge Erwachsene)</v>
      </c>
      <c r="E6283" s="1390">
        <f>Risk_Compensation!$AJ22</f>
        <v>5</v>
      </c>
      <c r="F6283" s="1390" t="str">
        <f>Risk_Compensation!$AB$17</f>
        <v>TI</v>
      </c>
      <c r="G6283" s="1390"/>
      <c r="H6283" s="1077">
        <f>Risk_Compensation!$BE22</f>
        <v>244.035791783131</v>
      </c>
    </row>
    <row r="6284" spans="1:8" x14ac:dyDescent="0.2">
      <c r="A6284" s="1027"/>
      <c r="B6284" s="1083">
        <f>Risk_Compensation!A$1</f>
        <v>36</v>
      </c>
      <c r="C6284" s="1390" t="str">
        <f>Risk_Compensation!$B$1</f>
        <v xml:space="preserve">Risikoausgleich </v>
      </c>
      <c r="D6284" s="1743" t="str">
        <f>Risk_Compensation!$AJ$14</f>
        <v>geschätzte Risikoausgleichssätze, pro Monat in CHF (ohne Entlastung junge Erwachsene)</v>
      </c>
      <c r="E6284" s="1390">
        <f>Risk_Compensation!$AJ23</f>
        <v>6</v>
      </c>
      <c r="F6284" s="1390" t="str">
        <f>Risk_Compensation!$AB$17</f>
        <v>TI</v>
      </c>
      <c r="G6284" s="1390"/>
      <c r="H6284" s="1077">
        <f>Risk_Compensation!$BE23</f>
        <v>-409.58913014538399</v>
      </c>
    </row>
    <row r="6285" spans="1:8" x14ac:dyDescent="0.2">
      <c r="A6285" s="1027"/>
      <c r="B6285" s="1083">
        <f>Risk_Compensation!A$1</f>
        <v>36</v>
      </c>
      <c r="C6285" s="1390" t="str">
        <f>Risk_Compensation!$B$1</f>
        <v xml:space="preserve">Risikoausgleich </v>
      </c>
      <c r="D6285" s="1743" t="str">
        <f>Risk_Compensation!$AJ$14</f>
        <v>geschätzte Risikoausgleichssätze, pro Monat in CHF (ohne Entlastung junge Erwachsene)</v>
      </c>
      <c r="E6285" s="1390">
        <f>Risk_Compensation!$AJ24</f>
        <v>7</v>
      </c>
      <c r="F6285" s="1390" t="str">
        <f>Risk_Compensation!$AB$17</f>
        <v>TI</v>
      </c>
      <c r="G6285" s="1390"/>
      <c r="H6285" s="1077">
        <f>Risk_Compensation!$BE24</f>
        <v>136.64228977495699</v>
      </c>
    </row>
    <row r="6286" spans="1:8" x14ac:dyDescent="0.2">
      <c r="A6286" s="1027"/>
      <c r="B6286" s="1083">
        <f>Risk_Compensation!A$1</f>
        <v>36</v>
      </c>
      <c r="C6286" s="1390" t="str">
        <f>Risk_Compensation!$B$1</f>
        <v xml:space="preserve">Risikoausgleich </v>
      </c>
      <c r="D6286" s="1743" t="str">
        <f>Risk_Compensation!$AJ$14</f>
        <v>geschätzte Risikoausgleichssätze, pro Monat in CHF (ohne Entlastung junge Erwachsene)</v>
      </c>
      <c r="E6286" s="1390">
        <f>Risk_Compensation!$AJ25</f>
        <v>8</v>
      </c>
      <c r="F6286" s="1390" t="str">
        <f>Risk_Compensation!$AB$17</f>
        <v>TI</v>
      </c>
      <c r="G6286" s="1390"/>
      <c r="H6286" s="1077">
        <f>Risk_Compensation!$BE25</f>
        <v>-404.15718157128202</v>
      </c>
    </row>
    <row r="6287" spans="1:8" x14ac:dyDescent="0.2">
      <c r="A6287" s="1027"/>
      <c r="B6287" s="1083">
        <f>Risk_Compensation!A$1</f>
        <v>36</v>
      </c>
      <c r="C6287" s="1390" t="str">
        <f>Risk_Compensation!$B$1</f>
        <v xml:space="preserve">Risikoausgleich </v>
      </c>
      <c r="D6287" s="1743" t="str">
        <f>Risk_Compensation!$AJ$14</f>
        <v>geschätzte Risikoausgleichssätze, pro Monat in CHF (ohne Entlastung junge Erwachsene)</v>
      </c>
      <c r="E6287" s="1390">
        <f>Risk_Compensation!$AJ26</f>
        <v>9</v>
      </c>
      <c r="F6287" s="1390" t="str">
        <f>Risk_Compensation!$AB$17</f>
        <v>TI</v>
      </c>
      <c r="G6287" s="1390"/>
      <c r="H6287" s="1077">
        <f>Risk_Compensation!$BE26</f>
        <v>397.74515972668399</v>
      </c>
    </row>
    <row r="6288" spans="1:8" x14ac:dyDescent="0.2">
      <c r="A6288" s="1027"/>
      <c r="B6288" s="1083">
        <f>Risk_Compensation!A$1</f>
        <v>36</v>
      </c>
      <c r="C6288" s="1390" t="str">
        <f>Risk_Compensation!$B$1</f>
        <v xml:space="preserve">Risikoausgleich </v>
      </c>
      <c r="D6288" s="1743" t="str">
        <f>Risk_Compensation!$AJ$14</f>
        <v>geschätzte Risikoausgleichssätze, pro Monat in CHF (ohne Entlastung junge Erwachsene)</v>
      </c>
      <c r="E6288" s="1390">
        <f>Risk_Compensation!$AJ27</f>
        <v>10</v>
      </c>
      <c r="F6288" s="1390" t="str">
        <f>Risk_Compensation!$AB$17</f>
        <v>TI</v>
      </c>
      <c r="G6288" s="1390"/>
      <c r="H6288" s="1077">
        <f>Risk_Compensation!$BE27</f>
        <v>-394.60328450357201</v>
      </c>
    </row>
    <row r="6289" spans="1:8" x14ac:dyDescent="0.2">
      <c r="A6289" s="1027"/>
      <c r="B6289" s="1083">
        <f>Risk_Compensation!A$1</f>
        <v>36</v>
      </c>
      <c r="C6289" s="1390" t="str">
        <f>Risk_Compensation!$B$1</f>
        <v xml:space="preserve">Risikoausgleich </v>
      </c>
      <c r="D6289" s="1743" t="str">
        <f>Risk_Compensation!$AJ$14</f>
        <v>geschätzte Risikoausgleichssätze, pro Monat in CHF (ohne Entlastung junge Erwachsene)</v>
      </c>
      <c r="E6289" s="1390">
        <f>Risk_Compensation!$AJ28</f>
        <v>11</v>
      </c>
      <c r="F6289" s="1390" t="str">
        <f>Risk_Compensation!$AB$17</f>
        <v>TI</v>
      </c>
      <c r="G6289" s="1390"/>
      <c r="H6289" s="1077">
        <f>Risk_Compensation!$BE28</f>
        <v>286.96009073909602</v>
      </c>
    </row>
    <row r="6290" spans="1:8" x14ac:dyDescent="0.2">
      <c r="A6290" s="1027"/>
      <c r="B6290" s="1083">
        <f>Risk_Compensation!A$1</f>
        <v>36</v>
      </c>
      <c r="C6290" s="1390" t="str">
        <f>Risk_Compensation!$B$1</f>
        <v xml:space="preserve">Risikoausgleich </v>
      </c>
      <c r="D6290" s="1743" t="str">
        <f>Risk_Compensation!$AJ$14</f>
        <v>geschätzte Risikoausgleichssätze, pro Monat in CHF (ohne Entlastung junge Erwachsene)</v>
      </c>
      <c r="E6290" s="1390">
        <f>Risk_Compensation!$AJ29</f>
        <v>12</v>
      </c>
      <c r="F6290" s="1390" t="str">
        <f>Risk_Compensation!$AB$17</f>
        <v>TI</v>
      </c>
      <c r="G6290" s="1390"/>
      <c r="H6290" s="1077">
        <f>Risk_Compensation!$BE29</f>
        <v>-379.665830902148</v>
      </c>
    </row>
    <row r="6291" spans="1:8" x14ac:dyDescent="0.2">
      <c r="A6291" s="1027"/>
      <c r="B6291" s="1083">
        <f>Risk_Compensation!A$1</f>
        <v>36</v>
      </c>
      <c r="C6291" s="1390" t="str">
        <f>Risk_Compensation!$B$1</f>
        <v xml:space="preserve">Risikoausgleich </v>
      </c>
      <c r="D6291" s="1743" t="str">
        <f>Risk_Compensation!$AJ$14</f>
        <v>geschätzte Risikoausgleichssätze, pro Monat in CHF (ohne Entlastung junge Erwachsene)</v>
      </c>
      <c r="E6291" s="1390">
        <f>Risk_Compensation!$AJ30</f>
        <v>13</v>
      </c>
      <c r="F6291" s="1390" t="str">
        <f>Risk_Compensation!$AB$17</f>
        <v>TI</v>
      </c>
      <c r="G6291" s="1390"/>
      <c r="H6291" s="1077">
        <f>Risk_Compensation!$BE30</f>
        <v>374.56610242899097</v>
      </c>
    </row>
    <row r="6292" spans="1:8" x14ac:dyDescent="0.2">
      <c r="A6292" s="1027"/>
      <c r="B6292" s="1083">
        <f>Risk_Compensation!A$1</f>
        <v>36</v>
      </c>
      <c r="C6292" s="1390" t="str">
        <f>Risk_Compensation!$B$1</f>
        <v xml:space="preserve">Risikoausgleich </v>
      </c>
      <c r="D6292" s="1743" t="str">
        <f>Risk_Compensation!$AJ$14</f>
        <v>geschätzte Risikoausgleichssätze, pro Monat in CHF (ohne Entlastung junge Erwachsene)</v>
      </c>
      <c r="E6292" s="1390">
        <f>Risk_Compensation!$AJ31</f>
        <v>14</v>
      </c>
      <c r="F6292" s="1390" t="str">
        <f>Risk_Compensation!$AB$17</f>
        <v>TI</v>
      </c>
      <c r="G6292" s="1390"/>
      <c r="H6292" s="1077">
        <f>Risk_Compensation!$BE31</f>
        <v>-338.30632960173102</v>
      </c>
    </row>
    <row r="6293" spans="1:8" x14ac:dyDescent="0.2">
      <c r="A6293" s="1027"/>
      <c r="B6293" s="1083">
        <f>Risk_Compensation!A$1</f>
        <v>36</v>
      </c>
      <c r="C6293" s="1390" t="str">
        <f>Risk_Compensation!$B$1</f>
        <v xml:space="preserve">Risikoausgleich </v>
      </c>
      <c r="D6293" s="1743" t="str">
        <f>Risk_Compensation!$AJ$14</f>
        <v>geschätzte Risikoausgleichssätze, pro Monat in CHF (ohne Entlastung junge Erwachsene)</v>
      </c>
      <c r="E6293" s="1390">
        <f>Risk_Compensation!$AJ32</f>
        <v>15</v>
      </c>
      <c r="F6293" s="1390" t="str">
        <f>Risk_Compensation!$AB$17</f>
        <v>TI</v>
      </c>
      <c r="G6293" s="1390"/>
      <c r="H6293" s="1077">
        <f>Risk_Compensation!$BE32</f>
        <v>371.87828583329201</v>
      </c>
    </row>
    <row r="6294" spans="1:8" x14ac:dyDescent="0.2">
      <c r="A6294" s="1027"/>
      <c r="B6294" s="1083">
        <f>Risk_Compensation!A$1</f>
        <v>36</v>
      </c>
      <c r="C6294" s="1390" t="str">
        <f>Risk_Compensation!$B$1</f>
        <v xml:space="preserve">Risikoausgleich </v>
      </c>
      <c r="D6294" s="1743" t="str">
        <f>Risk_Compensation!$AJ$14</f>
        <v>geschätzte Risikoausgleichssätze, pro Monat in CHF (ohne Entlastung junge Erwachsene)</v>
      </c>
      <c r="E6294" s="1390">
        <f>Risk_Compensation!$AJ33</f>
        <v>16</v>
      </c>
      <c r="F6294" s="1390" t="str">
        <f>Risk_Compensation!$AB$17</f>
        <v>TI</v>
      </c>
      <c r="G6294" s="1390"/>
      <c r="H6294" s="1077">
        <f>Risk_Compensation!$BE33</f>
        <v>-292.95571169493201</v>
      </c>
    </row>
    <row r="6295" spans="1:8" x14ac:dyDescent="0.2">
      <c r="A6295" s="1027"/>
      <c r="B6295" s="1083">
        <f>Risk_Compensation!A$1</f>
        <v>36</v>
      </c>
      <c r="C6295" s="1390" t="str">
        <f>Risk_Compensation!$B$1</f>
        <v xml:space="preserve">Risikoausgleich </v>
      </c>
      <c r="D6295" s="1743" t="str">
        <f>Risk_Compensation!$AJ$14</f>
        <v>geschätzte Risikoausgleichssätze, pro Monat in CHF (ohne Entlastung junge Erwachsene)</v>
      </c>
      <c r="E6295" s="1390">
        <f>Risk_Compensation!$AJ34</f>
        <v>17</v>
      </c>
      <c r="F6295" s="1390" t="str">
        <f>Risk_Compensation!$AB$17</f>
        <v>TI</v>
      </c>
      <c r="G6295" s="1390"/>
      <c r="H6295" s="1077">
        <f>Risk_Compensation!$BE34</f>
        <v>621.47032725420297</v>
      </c>
    </row>
    <row r="6296" spans="1:8" x14ac:dyDescent="0.2">
      <c r="A6296" s="1027"/>
      <c r="B6296" s="1083">
        <f>Risk_Compensation!A$1</f>
        <v>36</v>
      </c>
      <c r="C6296" s="1390" t="str">
        <f>Risk_Compensation!$B$1</f>
        <v xml:space="preserve">Risikoausgleich </v>
      </c>
      <c r="D6296" s="1743" t="str">
        <f>Risk_Compensation!$AJ$14</f>
        <v>geschätzte Risikoausgleichssätze, pro Monat in CHF (ohne Entlastung junge Erwachsene)</v>
      </c>
      <c r="E6296" s="1390">
        <f>Risk_Compensation!$AJ35</f>
        <v>18</v>
      </c>
      <c r="F6296" s="1390" t="str">
        <f>Risk_Compensation!$AB$17</f>
        <v>TI</v>
      </c>
      <c r="G6296" s="1390"/>
      <c r="H6296" s="1077">
        <f>Risk_Compensation!$BE35</f>
        <v>-238.77572796513499</v>
      </c>
    </row>
    <row r="6297" spans="1:8" x14ac:dyDescent="0.2">
      <c r="A6297" s="1027"/>
      <c r="B6297" s="1083">
        <f>Risk_Compensation!A$1</f>
        <v>36</v>
      </c>
      <c r="C6297" s="1390" t="str">
        <f>Risk_Compensation!$B$1</f>
        <v xml:space="preserve">Risikoausgleich </v>
      </c>
      <c r="D6297" s="1743" t="str">
        <f>Risk_Compensation!$AJ$14</f>
        <v>geschätzte Risikoausgleichssätze, pro Monat in CHF (ohne Entlastung junge Erwachsene)</v>
      </c>
      <c r="E6297" s="1390">
        <f>Risk_Compensation!$AJ36</f>
        <v>19</v>
      </c>
      <c r="F6297" s="1390" t="str">
        <f>Risk_Compensation!$AB$17</f>
        <v>TI</v>
      </c>
      <c r="G6297" s="1390"/>
      <c r="H6297" s="1077">
        <f>Risk_Compensation!$BE36</f>
        <v>538.10344710485106</v>
      </c>
    </row>
    <row r="6298" spans="1:8" x14ac:dyDescent="0.2">
      <c r="A6298" s="1027"/>
      <c r="B6298" s="1083">
        <f>Risk_Compensation!A$1</f>
        <v>36</v>
      </c>
      <c r="C6298" s="1390" t="str">
        <f>Risk_Compensation!$B$1</f>
        <v xml:space="preserve">Risikoausgleich </v>
      </c>
      <c r="D6298" s="1743" t="str">
        <f>Risk_Compensation!$AJ$14</f>
        <v>geschätzte Risikoausgleichssätze, pro Monat in CHF (ohne Entlastung junge Erwachsene)</v>
      </c>
      <c r="E6298" s="1390">
        <f>Risk_Compensation!$AJ37</f>
        <v>20</v>
      </c>
      <c r="F6298" s="1390" t="str">
        <f>Risk_Compensation!$AB$17</f>
        <v>TI</v>
      </c>
      <c r="G6298" s="1390"/>
      <c r="H6298" s="1077">
        <f>Risk_Compensation!$BE37</f>
        <v>-153.212935530393</v>
      </c>
    </row>
    <row r="6299" spans="1:8" x14ac:dyDescent="0.2">
      <c r="A6299" s="1027"/>
      <c r="B6299" s="1083">
        <f>Risk_Compensation!A$1</f>
        <v>36</v>
      </c>
      <c r="C6299" s="1390" t="str">
        <f>Risk_Compensation!$B$1</f>
        <v xml:space="preserve">Risikoausgleich </v>
      </c>
      <c r="D6299" s="1743" t="str">
        <f>Risk_Compensation!$AJ$14</f>
        <v>geschätzte Risikoausgleichssätze, pro Monat in CHF (ohne Entlastung junge Erwachsene)</v>
      </c>
      <c r="E6299" s="1390">
        <f>Risk_Compensation!$AJ38</f>
        <v>21</v>
      </c>
      <c r="F6299" s="1390" t="str">
        <f>Risk_Compensation!$AB$17</f>
        <v>TI</v>
      </c>
      <c r="G6299" s="1390"/>
      <c r="H6299" s="1077">
        <f>Risk_Compensation!$BE38</f>
        <v>915.01015022100205</v>
      </c>
    </row>
    <row r="6300" spans="1:8" x14ac:dyDescent="0.2">
      <c r="A6300" s="1027"/>
      <c r="B6300" s="1083">
        <f>Risk_Compensation!A$1</f>
        <v>36</v>
      </c>
      <c r="C6300" s="1390" t="str">
        <f>Risk_Compensation!$B$1</f>
        <v xml:space="preserve">Risikoausgleich </v>
      </c>
      <c r="D6300" s="1743" t="str">
        <f>Risk_Compensation!$AJ$14</f>
        <v>geschätzte Risikoausgleichssätze, pro Monat in CHF (ohne Entlastung junge Erwachsene)</v>
      </c>
      <c r="E6300" s="1390">
        <f>Risk_Compensation!$AJ39</f>
        <v>22</v>
      </c>
      <c r="F6300" s="1390" t="str">
        <f>Risk_Compensation!$AB$17</f>
        <v>TI</v>
      </c>
      <c r="G6300" s="1390"/>
      <c r="H6300" s="1077">
        <f>Risk_Compensation!$BE39</f>
        <v>-42.227942915952902</v>
      </c>
    </row>
    <row r="6301" spans="1:8" x14ac:dyDescent="0.2">
      <c r="A6301" s="1027"/>
      <c r="B6301" s="1083">
        <f>Risk_Compensation!A$1</f>
        <v>36</v>
      </c>
      <c r="C6301" s="1390" t="str">
        <f>Risk_Compensation!$B$1</f>
        <v xml:space="preserve">Risikoausgleich </v>
      </c>
      <c r="D6301" s="1743" t="str">
        <f>Risk_Compensation!$AJ$14</f>
        <v>geschätzte Risikoausgleichssätze, pro Monat in CHF (ohne Entlastung junge Erwachsene)</v>
      </c>
      <c r="E6301" s="1390">
        <f>Risk_Compensation!$AJ40</f>
        <v>23</v>
      </c>
      <c r="F6301" s="1390" t="str">
        <f>Risk_Compensation!$AB$17</f>
        <v>TI</v>
      </c>
      <c r="G6301" s="1390"/>
      <c r="H6301" s="1077">
        <f>Risk_Compensation!$BE40</f>
        <v>1132.20733156643</v>
      </c>
    </row>
    <row r="6302" spans="1:8" x14ac:dyDescent="0.2">
      <c r="A6302" s="1027"/>
      <c r="B6302" s="1083">
        <f>Risk_Compensation!A$1</f>
        <v>36</v>
      </c>
      <c r="C6302" s="1390" t="str">
        <f>Risk_Compensation!$B$1</f>
        <v xml:space="preserve">Risikoausgleich </v>
      </c>
      <c r="D6302" s="1743" t="str">
        <f>Risk_Compensation!$AJ$14</f>
        <v>geschätzte Risikoausgleichssätze, pro Monat in CHF (ohne Entlastung junge Erwachsene)</v>
      </c>
      <c r="E6302" s="1390">
        <f>Risk_Compensation!$AJ41</f>
        <v>24</v>
      </c>
      <c r="F6302" s="1390" t="str">
        <f>Risk_Compensation!$AB$17</f>
        <v>TI</v>
      </c>
      <c r="G6302" s="1390"/>
      <c r="H6302" s="1077">
        <f>Risk_Compensation!$BE41</f>
        <v>47.003569667240299</v>
      </c>
    </row>
    <row r="6303" spans="1:8" x14ac:dyDescent="0.2">
      <c r="A6303" s="1027"/>
      <c r="B6303" s="1083">
        <f>Risk_Compensation!A$1</f>
        <v>36</v>
      </c>
      <c r="C6303" s="1390" t="str">
        <f>Risk_Compensation!$B$1</f>
        <v xml:space="preserve">Risikoausgleich </v>
      </c>
      <c r="D6303" s="1743" t="str">
        <f>Risk_Compensation!$AJ$14</f>
        <v>geschätzte Risikoausgleichssätze, pro Monat in CHF (ohne Entlastung junge Erwachsene)</v>
      </c>
      <c r="E6303" s="1390">
        <f>Risk_Compensation!$AJ42</f>
        <v>25</v>
      </c>
      <c r="F6303" s="1390" t="str">
        <f>Risk_Compensation!$AB$17</f>
        <v>TI</v>
      </c>
      <c r="G6303" s="1390"/>
      <c r="H6303" s="1077">
        <f>Risk_Compensation!$BE42</f>
        <v>1350.5827292149099</v>
      </c>
    </row>
    <row r="6304" spans="1:8" x14ac:dyDescent="0.2">
      <c r="A6304" s="1027"/>
      <c r="B6304" s="1083">
        <f>Risk_Compensation!A$1</f>
        <v>36</v>
      </c>
      <c r="C6304" s="1390" t="str">
        <f>Risk_Compensation!$B$1</f>
        <v xml:space="preserve">Risikoausgleich </v>
      </c>
      <c r="D6304" s="1743" t="str">
        <f>Risk_Compensation!$AJ$14</f>
        <v>geschätzte Risikoausgleichssätze, pro Monat in CHF (ohne Entlastung junge Erwachsene)</v>
      </c>
      <c r="E6304" s="1390">
        <f>Risk_Compensation!$AJ43</f>
        <v>26</v>
      </c>
      <c r="F6304" s="1390" t="str">
        <f>Risk_Compensation!$AB$17</f>
        <v>TI</v>
      </c>
      <c r="G6304" s="1390"/>
      <c r="H6304" s="1077">
        <f>Risk_Compensation!$BE43</f>
        <v>200.17802914650699</v>
      </c>
    </row>
    <row r="6305" spans="1:8" x14ac:dyDescent="0.2">
      <c r="A6305" s="1027"/>
      <c r="B6305" s="1083">
        <f>Risk_Compensation!A$1</f>
        <v>36</v>
      </c>
      <c r="C6305" s="1390" t="str">
        <f>Risk_Compensation!$B$1</f>
        <v xml:space="preserve">Risikoausgleich </v>
      </c>
      <c r="D6305" s="1743" t="str">
        <f>Risk_Compensation!$AJ$14</f>
        <v>geschätzte Risikoausgleichssätze, pro Monat in CHF (ohne Entlastung junge Erwachsene)</v>
      </c>
      <c r="E6305" s="1390">
        <f>Risk_Compensation!$AJ44</f>
        <v>27</v>
      </c>
      <c r="F6305" s="1390" t="str">
        <f>Risk_Compensation!$AB$17</f>
        <v>TI</v>
      </c>
      <c r="G6305" s="1390"/>
      <c r="H6305" s="1077">
        <f>Risk_Compensation!$BE44</f>
        <v>1549.8247254015</v>
      </c>
    </row>
    <row r="6306" spans="1:8" x14ac:dyDescent="0.2">
      <c r="A6306" s="1027"/>
      <c r="B6306" s="1083">
        <f>Risk_Compensation!A$1</f>
        <v>36</v>
      </c>
      <c r="C6306" s="1390" t="str">
        <f>Risk_Compensation!$B$1</f>
        <v xml:space="preserve">Risikoausgleich </v>
      </c>
      <c r="D6306" s="1743" t="str">
        <f>Risk_Compensation!$AJ$14</f>
        <v>geschätzte Risikoausgleichssätze, pro Monat in CHF (ohne Entlastung junge Erwachsene)</v>
      </c>
      <c r="E6306" s="1390">
        <f>Risk_Compensation!$AJ45</f>
        <v>28</v>
      </c>
      <c r="F6306" s="1390" t="str">
        <f>Risk_Compensation!$AB$17</f>
        <v>TI</v>
      </c>
      <c r="G6306" s="1390"/>
      <c r="H6306" s="1077">
        <f>Risk_Compensation!$BE45</f>
        <v>389.38848088462498</v>
      </c>
    </row>
    <row r="6307" spans="1:8" x14ac:dyDescent="0.2">
      <c r="A6307" s="1027"/>
      <c r="B6307" s="1083">
        <f>Risk_Compensation!A$1</f>
        <v>36</v>
      </c>
      <c r="C6307" s="1390" t="str">
        <f>Risk_Compensation!$B$1</f>
        <v xml:space="preserve">Risikoausgleich </v>
      </c>
      <c r="D6307" s="1743" t="str">
        <f>Risk_Compensation!$AJ$14</f>
        <v>geschätzte Risikoausgleichssätze, pro Monat in CHF (ohne Entlastung junge Erwachsene)</v>
      </c>
      <c r="E6307" s="1390">
        <f>Risk_Compensation!$AJ46</f>
        <v>29</v>
      </c>
      <c r="F6307" s="1390" t="str">
        <f>Risk_Compensation!$AB$17</f>
        <v>TI</v>
      </c>
      <c r="G6307" s="1390"/>
      <c r="H6307" s="1077">
        <f>Risk_Compensation!$BE46</f>
        <v>2018.1293626935999</v>
      </c>
    </row>
    <row r="6308" spans="1:8" x14ac:dyDescent="0.2">
      <c r="A6308" s="1027"/>
      <c r="B6308" s="1083">
        <f>Risk_Compensation!A$1</f>
        <v>36</v>
      </c>
      <c r="C6308" s="1390" t="str">
        <f>Risk_Compensation!$B$1</f>
        <v xml:space="preserve">Risikoausgleich </v>
      </c>
      <c r="D6308" s="1743" t="str">
        <f>Risk_Compensation!$AJ$14</f>
        <v>geschätzte Risikoausgleichssätze, pro Monat in CHF (ohne Entlastung junge Erwachsene)</v>
      </c>
      <c r="E6308" s="1390">
        <f>Risk_Compensation!$AJ47</f>
        <v>30</v>
      </c>
      <c r="F6308" s="1390" t="str">
        <f>Risk_Compensation!$AB$17</f>
        <v>TI</v>
      </c>
      <c r="G6308" s="1390"/>
      <c r="H6308" s="1077">
        <f>Risk_Compensation!$BE47</f>
        <v>586.445791219424</v>
      </c>
    </row>
    <row r="6309" spans="1:8" x14ac:dyDescent="0.2">
      <c r="A6309" s="1027"/>
      <c r="B6309" s="1083">
        <f>Risk_Compensation!A$1</f>
        <v>36</v>
      </c>
      <c r="C6309" s="1390" t="str">
        <f>Risk_Compensation!$B$1</f>
        <v xml:space="preserve">Risikoausgleich </v>
      </c>
      <c r="D6309" s="1743" t="str">
        <f>Risk_Compensation!$AJ$14</f>
        <v>geschätzte Risikoausgleichssätze, pro Monat in CHF (ohne Entlastung junge Erwachsene)</v>
      </c>
      <c r="E6309" s="1390">
        <f>Risk_Compensation!$AJ48</f>
        <v>31</v>
      </c>
      <c r="F6309" s="1390" t="str">
        <f>Risk_Compensation!$AB$17</f>
        <v>TI</v>
      </c>
      <c r="G6309" s="1390"/>
      <c r="H6309" s="1077">
        <f>Risk_Compensation!$BE48</f>
        <v>250.37214004989499</v>
      </c>
    </row>
    <row r="6310" spans="1:8" x14ac:dyDescent="0.2">
      <c r="A6310" s="1027"/>
      <c r="B6310" s="1083">
        <f>Risk_Compensation!A$1</f>
        <v>36</v>
      </c>
      <c r="C6310" s="1390" t="str">
        <f>Risk_Compensation!$B$1</f>
        <v xml:space="preserve">Risikoausgleich </v>
      </c>
      <c r="D6310" s="1743" t="str">
        <f>Risk_Compensation!$AJ$14</f>
        <v>geschätzte Risikoausgleichssätze, pro Monat in CHF (ohne Entlastung junge Erwachsene)</v>
      </c>
      <c r="E6310" s="1390">
        <f>Risk_Compensation!$AJ49</f>
        <v>32</v>
      </c>
      <c r="F6310" s="1390" t="str">
        <f>Risk_Compensation!$AB$17</f>
        <v>TI</v>
      </c>
      <c r="G6310" s="1390"/>
      <c r="H6310" s="1077">
        <f>Risk_Compensation!$BE49</f>
        <v>-345.17880946872702</v>
      </c>
    </row>
    <row r="6311" spans="1:8" x14ac:dyDescent="0.2">
      <c r="A6311" s="1027"/>
      <c r="B6311" s="1083">
        <f>Risk_Compensation!A$1</f>
        <v>36</v>
      </c>
      <c r="C6311" s="1390" t="str">
        <f>Risk_Compensation!$B$1</f>
        <v xml:space="preserve">Risikoausgleich </v>
      </c>
      <c r="D6311" s="1743" t="str">
        <f>Risk_Compensation!$AJ$14</f>
        <v>geschätzte Risikoausgleichssätze, pro Monat in CHF (ohne Entlastung junge Erwachsene)</v>
      </c>
      <c r="E6311" s="1390">
        <f>Risk_Compensation!$AJ50</f>
        <v>33</v>
      </c>
      <c r="F6311" s="1390" t="str">
        <f>Risk_Compensation!$AB$17</f>
        <v>TI</v>
      </c>
      <c r="G6311" s="1390"/>
      <c r="H6311" s="1077">
        <f>Risk_Compensation!$BE50</f>
        <v>259.752397037349</v>
      </c>
    </row>
    <row r="6312" spans="1:8" x14ac:dyDescent="0.2">
      <c r="A6312" s="1027"/>
      <c r="B6312" s="1083">
        <f>Risk_Compensation!A$1</f>
        <v>36</v>
      </c>
      <c r="C6312" s="1390" t="str">
        <f>Risk_Compensation!$B$1</f>
        <v xml:space="preserve">Risikoausgleich </v>
      </c>
      <c r="D6312" s="1743" t="str">
        <f>Risk_Compensation!$AJ$14</f>
        <v>geschätzte Risikoausgleichssätze, pro Monat in CHF (ohne Entlastung junge Erwachsene)</v>
      </c>
      <c r="E6312" s="1390">
        <f>Risk_Compensation!$AJ51</f>
        <v>34</v>
      </c>
      <c r="F6312" s="1390" t="str">
        <f>Risk_Compensation!$AB$17</f>
        <v>TI</v>
      </c>
      <c r="G6312" s="1390"/>
      <c r="H6312" s="1077">
        <f>Risk_Compensation!$BE51</f>
        <v>-303.19801364479099</v>
      </c>
    </row>
    <row r="6313" spans="1:8" x14ac:dyDescent="0.2">
      <c r="A6313" s="1027"/>
      <c r="B6313" s="1083">
        <f>Risk_Compensation!A$1</f>
        <v>36</v>
      </c>
      <c r="C6313" s="1390" t="str">
        <f>Risk_Compensation!$B$1</f>
        <v xml:space="preserve">Risikoausgleich </v>
      </c>
      <c r="D6313" s="1743" t="str">
        <f>Risk_Compensation!$AJ$14</f>
        <v>geschätzte Risikoausgleichssätze, pro Monat in CHF (ohne Entlastung junge Erwachsene)</v>
      </c>
      <c r="E6313" s="1390">
        <f>Risk_Compensation!$AJ52</f>
        <v>35</v>
      </c>
      <c r="F6313" s="1390" t="str">
        <f>Risk_Compensation!$AB$17</f>
        <v>TI</v>
      </c>
      <c r="G6313" s="1390"/>
      <c r="H6313" s="1077">
        <f>Risk_Compensation!$BE52</f>
        <v>30.634434872987999</v>
      </c>
    </row>
    <row r="6314" spans="1:8" x14ac:dyDescent="0.2">
      <c r="A6314" s="1027"/>
      <c r="B6314" s="1083">
        <f>Risk_Compensation!A$1</f>
        <v>36</v>
      </c>
      <c r="C6314" s="1390" t="str">
        <f>Risk_Compensation!$B$1</f>
        <v xml:space="preserve">Risikoausgleich </v>
      </c>
      <c r="D6314" s="1743" t="str">
        <f>Risk_Compensation!$AJ$14</f>
        <v>geschätzte Risikoausgleichssätze, pro Monat in CHF (ohne Entlastung junge Erwachsene)</v>
      </c>
      <c r="E6314" s="1390">
        <f>Risk_Compensation!$AJ53</f>
        <v>36</v>
      </c>
      <c r="F6314" s="1390" t="str">
        <f>Risk_Compensation!$AB$17</f>
        <v>TI</v>
      </c>
      <c r="G6314" s="1390"/>
      <c r="H6314" s="1077">
        <f>Risk_Compensation!$BE53</f>
        <v>-249.448007198097</v>
      </c>
    </row>
    <row r="6315" spans="1:8" x14ac:dyDescent="0.2">
      <c r="A6315" s="1027"/>
      <c r="B6315" s="1083">
        <f>Risk_Compensation!A$1</f>
        <v>36</v>
      </c>
      <c r="C6315" s="1390" t="str">
        <f>Risk_Compensation!$B$1</f>
        <v xml:space="preserve">Risikoausgleich </v>
      </c>
      <c r="D6315" s="1743" t="str">
        <f>Risk_Compensation!$AJ$14</f>
        <v>geschätzte Risikoausgleichssätze, pro Monat in CHF (ohne Entlastung junge Erwachsene)</v>
      </c>
      <c r="E6315" s="1390">
        <f>Risk_Compensation!$AJ54</f>
        <v>37</v>
      </c>
      <c r="F6315" s="1390" t="str">
        <f>Risk_Compensation!$AB$17</f>
        <v>TI</v>
      </c>
      <c r="G6315" s="1390"/>
      <c r="H6315" s="1077">
        <f>Risk_Compensation!$BE54</f>
        <v>207.23211852373899</v>
      </c>
    </row>
    <row r="6316" spans="1:8" x14ac:dyDescent="0.2">
      <c r="A6316" s="1027"/>
      <c r="B6316" s="1083">
        <f>Risk_Compensation!A$1</f>
        <v>36</v>
      </c>
      <c r="C6316" s="1390" t="str">
        <f>Risk_Compensation!$B$1</f>
        <v xml:space="preserve">Risikoausgleich </v>
      </c>
      <c r="D6316" s="1743" t="str">
        <f>Risk_Compensation!$AJ$14</f>
        <v>geschätzte Risikoausgleichssätze, pro Monat in CHF (ohne Entlastung junge Erwachsene)</v>
      </c>
      <c r="E6316" s="1390">
        <f>Risk_Compensation!$AJ55</f>
        <v>38</v>
      </c>
      <c r="F6316" s="1390" t="str">
        <f>Risk_Compensation!$AB$17</f>
        <v>TI</v>
      </c>
      <c r="G6316" s="1390"/>
      <c r="H6316" s="1077">
        <f>Risk_Compensation!$BE55</f>
        <v>-278.54832485571399</v>
      </c>
    </row>
    <row r="6317" spans="1:8" x14ac:dyDescent="0.2">
      <c r="A6317" s="1027"/>
      <c r="B6317" s="1083">
        <f>Risk_Compensation!A$1</f>
        <v>36</v>
      </c>
      <c r="C6317" s="1390" t="str">
        <f>Risk_Compensation!$B$1</f>
        <v xml:space="preserve">Risikoausgleich </v>
      </c>
      <c r="D6317" s="1743" t="str">
        <f>Risk_Compensation!$AJ$14</f>
        <v>geschätzte Risikoausgleichssätze, pro Monat in CHF (ohne Entlastung junge Erwachsene)</v>
      </c>
      <c r="E6317" s="1390">
        <f>Risk_Compensation!$AJ56</f>
        <v>39</v>
      </c>
      <c r="F6317" s="1390" t="str">
        <f>Risk_Compensation!$AB$17</f>
        <v>TI</v>
      </c>
      <c r="G6317" s="1390"/>
      <c r="H6317" s="1077">
        <f>Risk_Compensation!$BE56</f>
        <v>225.82464535328299</v>
      </c>
    </row>
    <row r="6318" spans="1:8" x14ac:dyDescent="0.2">
      <c r="A6318" s="1027"/>
      <c r="B6318" s="1083">
        <f>Risk_Compensation!A$1</f>
        <v>36</v>
      </c>
      <c r="C6318" s="1390" t="str">
        <f>Risk_Compensation!$B$1</f>
        <v xml:space="preserve">Risikoausgleich </v>
      </c>
      <c r="D6318" s="1743" t="str">
        <f>Risk_Compensation!$AJ$14</f>
        <v>geschätzte Risikoausgleichssätze, pro Monat in CHF (ohne Entlastung junge Erwachsene)</v>
      </c>
      <c r="E6318" s="1390">
        <f>Risk_Compensation!$AJ57</f>
        <v>40</v>
      </c>
      <c r="F6318" s="1390" t="str">
        <f>Risk_Compensation!$AB$17</f>
        <v>TI</v>
      </c>
      <c r="G6318" s="1390"/>
      <c r="H6318" s="1077">
        <f>Risk_Compensation!$BE57</f>
        <v>-311.247608785941</v>
      </c>
    </row>
    <row r="6319" spans="1:8" x14ac:dyDescent="0.2">
      <c r="A6319" s="1027"/>
      <c r="B6319" s="1083">
        <f>Risk_Compensation!A$1</f>
        <v>36</v>
      </c>
      <c r="C6319" s="1390" t="str">
        <f>Risk_Compensation!$B$1</f>
        <v xml:space="preserve">Risikoausgleich </v>
      </c>
      <c r="D6319" s="1743" t="str">
        <f>Risk_Compensation!$AJ$14</f>
        <v>geschätzte Risikoausgleichssätze, pro Monat in CHF (ohne Entlastung junge Erwachsene)</v>
      </c>
      <c r="E6319" s="1390">
        <f>Risk_Compensation!$AJ58</f>
        <v>41</v>
      </c>
      <c r="F6319" s="1390" t="str">
        <f>Risk_Compensation!$AB$17</f>
        <v>TI</v>
      </c>
      <c r="G6319" s="1390"/>
      <c r="H6319" s="1077">
        <f>Risk_Compensation!$BE58</f>
        <v>203.53630099599999</v>
      </c>
    </row>
    <row r="6320" spans="1:8" x14ac:dyDescent="0.2">
      <c r="A6320" s="1027"/>
      <c r="B6320" s="1083">
        <f>Risk_Compensation!A$1</f>
        <v>36</v>
      </c>
      <c r="C6320" s="1390" t="str">
        <f>Risk_Compensation!$B$1</f>
        <v xml:space="preserve">Risikoausgleich </v>
      </c>
      <c r="D6320" s="1743" t="str">
        <f>Risk_Compensation!$AJ$14</f>
        <v>geschätzte Risikoausgleichssätze, pro Monat in CHF (ohne Entlastung junge Erwachsene)</v>
      </c>
      <c r="E6320" s="1390">
        <f>Risk_Compensation!$AJ59</f>
        <v>42</v>
      </c>
      <c r="F6320" s="1390" t="str">
        <f>Risk_Compensation!$AB$17</f>
        <v>TI</v>
      </c>
      <c r="G6320" s="1390"/>
      <c r="H6320" s="1077">
        <f>Risk_Compensation!$BE59</f>
        <v>-295.53283366327503</v>
      </c>
    </row>
    <row r="6321" spans="1:8" x14ac:dyDescent="0.2">
      <c r="A6321" s="1027"/>
      <c r="B6321" s="1083">
        <f>Risk_Compensation!A$1</f>
        <v>36</v>
      </c>
      <c r="C6321" s="1390" t="str">
        <f>Risk_Compensation!$B$1</f>
        <v xml:space="preserve">Risikoausgleich </v>
      </c>
      <c r="D6321" s="1743" t="str">
        <f>Risk_Compensation!$AJ$14</f>
        <v>geschätzte Risikoausgleichssätze, pro Monat in CHF (ohne Entlastung junge Erwachsene)</v>
      </c>
      <c r="E6321" s="1390">
        <f>Risk_Compensation!$AJ60</f>
        <v>43</v>
      </c>
      <c r="F6321" s="1390" t="str">
        <f>Risk_Compensation!$AB$17</f>
        <v>TI</v>
      </c>
      <c r="G6321" s="1390"/>
      <c r="H6321" s="1077">
        <f>Risk_Compensation!$BE60</f>
        <v>270.66004549803398</v>
      </c>
    </row>
    <row r="6322" spans="1:8" x14ac:dyDescent="0.2">
      <c r="A6322" s="1027"/>
      <c r="B6322" s="1083">
        <f>Risk_Compensation!A$1</f>
        <v>36</v>
      </c>
      <c r="C6322" s="1390" t="str">
        <f>Risk_Compensation!$B$1</f>
        <v xml:space="preserve">Risikoausgleich </v>
      </c>
      <c r="D6322" s="1743" t="str">
        <f>Risk_Compensation!$AJ$14</f>
        <v>geschätzte Risikoausgleichssätze, pro Monat in CHF (ohne Entlastung junge Erwachsene)</v>
      </c>
      <c r="E6322" s="1390">
        <f>Risk_Compensation!$AJ61</f>
        <v>44</v>
      </c>
      <c r="F6322" s="1390" t="str">
        <f>Risk_Compensation!$AB$17</f>
        <v>TI</v>
      </c>
      <c r="G6322" s="1390"/>
      <c r="H6322" s="1077">
        <f>Risk_Compensation!$BE61</f>
        <v>-276.05797872756699</v>
      </c>
    </row>
    <row r="6323" spans="1:8" x14ac:dyDescent="0.2">
      <c r="A6323" s="1027"/>
      <c r="B6323" s="1083">
        <f>Risk_Compensation!A$1</f>
        <v>36</v>
      </c>
      <c r="C6323" s="1390" t="str">
        <f>Risk_Compensation!$B$1</f>
        <v xml:space="preserve">Risikoausgleich </v>
      </c>
      <c r="D6323" s="1743" t="str">
        <f>Risk_Compensation!$AJ$14</f>
        <v>geschätzte Risikoausgleichssätze, pro Monat in CHF (ohne Entlastung junge Erwachsene)</v>
      </c>
      <c r="E6323" s="1390">
        <f>Risk_Compensation!$AJ62</f>
        <v>45</v>
      </c>
      <c r="F6323" s="1390" t="str">
        <f>Risk_Compensation!$AB$17</f>
        <v>TI</v>
      </c>
      <c r="G6323" s="1390"/>
      <c r="H6323" s="1077">
        <f>Risk_Compensation!$BE62</f>
        <v>403.62306083643102</v>
      </c>
    </row>
    <row r="6324" spans="1:8" x14ac:dyDescent="0.2">
      <c r="A6324" s="1027"/>
      <c r="B6324" s="1083">
        <f>Risk_Compensation!A$1</f>
        <v>36</v>
      </c>
      <c r="C6324" s="1390" t="str">
        <f>Risk_Compensation!$B$1</f>
        <v xml:space="preserve">Risikoausgleich </v>
      </c>
      <c r="D6324" s="1743" t="str">
        <f>Risk_Compensation!$AJ$14</f>
        <v>geschätzte Risikoausgleichssätze, pro Monat in CHF (ohne Entlastung junge Erwachsene)</v>
      </c>
      <c r="E6324" s="1390">
        <f>Risk_Compensation!$AJ63</f>
        <v>46</v>
      </c>
      <c r="F6324" s="1390" t="str">
        <f>Risk_Compensation!$AB$17</f>
        <v>TI</v>
      </c>
      <c r="G6324" s="1390"/>
      <c r="H6324" s="1077">
        <f>Risk_Compensation!$BE63</f>
        <v>-260.82258655676901</v>
      </c>
    </row>
    <row r="6325" spans="1:8" x14ac:dyDescent="0.2">
      <c r="A6325" s="1027"/>
      <c r="B6325" s="1083">
        <f>Risk_Compensation!A$1</f>
        <v>36</v>
      </c>
      <c r="C6325" s="1390" t="str">
        <f>Risk_Compensation!$B$1</f>
        <v xml:space="preserve">Risikoausgleich </v>
      </c>
      <c r="D6325" s="1743" t="str">
        <f>Risk_Compensation!$AJ$14</f>
        <v>geschätzte Risikoausgleichssätze, pro Monat in CHF (ohne Entlastung junge Erwachsene)</v>
      </c>
      <c r="E6325" s="1390">
        <f>Risk_Compensation!$AJ64</f>
        <v>47</v>
      </c>
      <c r="F6325" s="1390" t="str">
        <f>Risk_Compensation!$AB$17</f>
        <v>TI</v>
      </c>
      <c r="G6325" s="1390"/>
      <c r="H6325" s="1077">
        <f>Risk_Compensation!$BE64</f>
        <v>463.19704728287297</v>
      </c>
    </row>
    <row r="6326" spans="1:8" x14ac:dyDescent="0.2">
      <c r="A6326" s="1027"/>
      <c r="B6326" s="1083">
        <f>Risk_Compensation!A$1</f>
        <v>36</v>
      </c>
      <c r="C6326" s="1390" t="str">
        <f>Risk_Compensation!$B$1</f>
        <v xml:space="preserve">Risikoausgleich </v>
      </c>
      <c r="D6326" s="1743" t="str">
        <f>Risk_Compensation!$AJ$14</f>
        <v>geschätzte Risikoausgleichssätze, pro Monat in CHF (ohne Entlastung junge Erwachsene)</v>
      </c>
      <c r="E6326" s="1390">
        <f>Risk_Compensation!$AJ65</f>
        <v>48</v>
      </c>
      <c r="F6326" s="1390" t="str">
        <f>Risk_Compensation!$AB$17</f>
        <v>TI</v>
      </c>
      <c r="G6326" s="1390"/>
      <c r="H6326" s="1077">
        <f>Risk_Compensation!$BE65</f>
        <v>-225.171100739362</v>
      </c>
    </row>
    <row r="6327" spans="1:8" x14ac:dyDescent="0.2">
      <c r="A6327" s="1027"/>
      <c r="B6327" s="1083">
        <f>Risk_Compensation!A$1</f>
        <v>36</v>
      </c>
      <c r="C6327" s="1390" t="str">
        <f>Risk_Compensation!$B$1</f>
        <v xml:space="preserve">Risikoausgleich </v>
      </c>
      <c r="D6327" s="1743" t="str">
        <f>Risk_Compensation!$AJ$14</f>
        <v>geschätzte Risikoausgleichssätze, pro Monat in CHF (ohne Entlastung junge Erwachsene)</v>
      </c>
      <c r="E6327" s="1390">
        <f>Risk_Compensation!$AJ66</f>
        <v>49</v>
      </c>
      <c r="F6327" s="1390" t="str">
        <f>Risk_Compensation!$AB$17</f>
        <v>TI</v>
      </c>
      <c r="G6327" s="1390"/>
      <c r="H6327" s="1077">
        <f>Risk_Compensation!$BE66</f>
        <v>649.99318431856796</v>
      </c>
    </row>
    <row r="6328" spans="1:8" x14ac:dyDescent="0.2">
      <c r="A6328" s="1027"/>
      <c r="B6328" s="1083">
        <f>Risk_Compensation!A$1</f>
        <v>36</v>
      </c>
      <c r="C6328" s="1390" t="str">
        <f>Risk_Compensation!$B$1</f>
        <v xml:space="preserve">Risikoausgleich </v>
      </c>
      <c r="D6328" s="1743" t="str">
        <f>Risk_Compensation!$AJ$14</f>
        <v>geschätzte Risikoausgleichssätze, pro Monat in CHF (ohne Entlastung junge Erwachsene)</v>
      </c>
      <c r="E6328" s="1390">
        <f>Risk_Compensation!$AJ67</f>
        <v>50</v>
      </c>
      <c r="F6328" s="1390" t="str">
        <f>Risk_Compensation!$AB$17</f>
        <v>TI</v>
      </c>
      <c r="G6328" s="1390"/>
      <c r="H6328" s="1077">
        <f>Risk_Compensation!$BE67</f>
        <v>-166.55339807311699</v>
      </c>
    </row>
    <row r="6329" spans="1:8" x14ac:dyDescent="0.2">
      <c r="A6329" s="1027"/>
      <c r="B6329" s="1083">
        <f>Risk_Compensation!A$1</f>
        <v>36</v>
      </c>
      <c r="C6329" s="1390" t="str">
        <f>Risk_Compensation!$B$1</f>
        <v xml:space="preserve">Risikoausgleich </v>
      </c>
      <c r="D6329" s="1743" t="str">
        <f>Risk_Compensation!$AJ$14</f>
        <v>geschätzte Risikoausgleichssätze, pro Monat in CHF (ohne Entlastung junge Erwachsene)</v>
      </c>
      <c r="E6329" s="1390">
        <f>Risk_Compensation!$AJ68</f>
        <v>51</v>
      </c>
      <c r="F6329" s="1390" t="str">
        <f>Risk_Compensation!$AB$17</f>
        <v>TI</v>
      </c>
      <c r="G6329" s="1390"/>
      <c r="H6329" s="1077">
        <f>Risk_Compensation!$BE68</f>
        <v>717.90699800523998</v>
      </c>
    </row>
    <row r="6330" spans="1:8" x14ac:dyDescent="0.2">
      <c r="A6330" s="1027"/>
      <c r="B6330" s="1083">
        <f>Risk_Compensation!A$1</f>
        <v>36</v>
      </c>
      <c r="C6330" s="1390" t="str">
        <f>Risk_Compensation!$B$1</f>
        <v xml:space="preserve">Risikoausgleich </v>
      </c>
      <c r="D6330" s="1743" t="str">
        <f>Risk_Compensation!$AJ$14</f>
        <v>geschätzte Risikoausgleichssätze, pro Monat in CHF (ohne Entlastung junge Erwachsene)</v>
      </c>
      <c r="E6330" s="1390">
        <f>Risk_Compensation!$AJ69</f>
        <v>52</v>
      </c>
      <c r="F6330" s="1390" t="str">
        <f>Risk_Compensation!$AB$17</f>
        <v>TI</v>
      </c>
      <c r="G6330" s="1390"/>
      <c r="H6330" s="1077">
        <f>Risk_Compensation!$BE69</f>
        <v>-127.384749761249</v>
      </c>
    </row>
    <row r="6331" spans="1:8" x14ac:dyDescent="0.2">
      <c r="A6331" s="1027"/>
      <c r="B6331" s="1083">
        <f>Risk_Compensation!A$1</f>
        <v>36</v>
      </c>
      <c r="C6331" s="1390" t="str">
        <f>Risk_Compensation!$B$1</f>
        <v xml:space="preserve">Risikoausgleich </v>
      </c>
      <c r="D6331" s="1743" t="str">
        <f>Risk_Compensation!$AJ$14</f>
        <v>geschätzte Risikoausgleichssätze, pro Monat in CHF (ohne Entlastung junge Erwachsene)</v>
      </c>
      <c r="E6331" s="1390">
        <f>Risk_Compensation!$AJ70</f>
        <v>53</v>
      </c>
      <c r="F6331" s="1390" t="str">
        <f>Risk_Compensation!$AB$17</f>
        <v>TI</v>
      </c>
      <c r="G6331" s="1390"/>
      <c r="H6331" s="1077">
        <f>Risk_Compensation!$BE70</f>
        <v>1062.420192091</v>
      </c>
    </row>
    <row r="6332" spans="1:8" x14ac:dyDescent="0.2">
      <c r="A6332" s="1027"/>
      <c r="B6332" s="1083">
        <f>Risk_Compensation!A$1</f>
        <v>36</v>
      </c>
      <c r="C6332" s="1390" t="str">
        <f>Risk_Compensation!$B$1</f>
        <v xml:space="preserve">Risikoausgleich </v>
      </c>
      <c r="D6332" s="1743" t="str">
        <f>Risk_Compensation!$AJ$14</f>
        <v>geschätzte Risikoausgleichssätze, pro Monat in CHF (ohne Entlastung junge Erwachsene)</v>
      </c>
      <c r="E6332" s="1390">
        <f>Risk_Compensation!$AJ71</f>
        <v>54</v>
      </c>
      <c r="F6332" s="1390" t="str">
        <f>Risk_Compensation!$AB$17</f>
        <v>TI</v>
      </c>
      <c r="G6332" s="1390"/>
      <c r="H6332" s="1077">
        <f>Risk_Compensation!$BE71</f>
        <v>-28.754258006752099</v>
      </c>
    </row>
    <row r="6333" spans="1:8" x14ac:dyDescent="0.2">
      <c r="A6333" s="1027"/>
      <c r="B6333" s="1083">
        <f>Risk_Compensation!A$1</f>
        <v>36</v>
      </c>
      <c r="C6333" s="1390" t="str">
        <f>Risk_Compensation!$B$1</f>
        <v xml:space="preserve">Risikoausgleich </v>
      </c>
      <c r="D6333" s="1743" t="str">
        <f>Risk_Compensation!$AJ$14</f>
        <v>geschätzte Risikoausgleichssätze, pro Monat in CHF (ohne Entlastung junge Erwachsene)</v>
      </c>
      <c r="E6333" s="1390">
        <f>Risk_Compensation!$AJ72</f>
        <v>55</v>
      </c>
      <c r="F6333" s="1390" t="str">
        <f>Risk_Compensation!$AB$17</f>
        <v>TI</v>
      </c>
      <c r="G6333" s="1390"/>
      <c r="H6333" s="1077">
        <f>Risk_Compensation!$BE72</f>
        <v>1350.50214822518</v>
      </c>
    </row>
    <row r="6334" spans="1:8" x14ac:dyDescent="0.2">
      <c r="A6334" s="1027"/>
      <c r="B6334" s="1083">
        <f>Risk_Compensation!A$1</f>
        <v>36</v>
      </c>
      <c r="C6334" s="1390" t="str">
        <f>Risk_Compensation!$B$1</f>
        <v xml:space="preserve">Risikoausgleich </v>
      </c>
      <c r="D6334" s="1743" t="str">
        <f>Risk_Compensation!$AJ$14</f>
        <v>geschätzte Risikoausgleichssätze, pro Monat in CHF (ohne Entlastung junge Erwachsene)</v>
      </c>
      <c r="E6334" s="1390">
        <f>Risk_Compensation!$AJ73</f>
        <v>56</v>
      </c>
      <c r="F6334" s="1390" t="str">
        <f>Risk_Compensation!$AB$17</f>
        <v>TI</v>
      </c>
      <c r="G6334" s="1390"/>
      <c r="H6334" s="1077">
        <f>Risk_Compensation!$BE73</f>
        <v>129.265551348212</v>
      </c>
    </row>
    <row r="6335" spans="1:8" x14ac:dyDescent="0.2">
      <c r="A6335" s="1027"/>
      <c r="B6335" s="1083">
        <f>Risk_Compensation!A$1</f>
        <v>36</v>
      </c>
      <c r="C6335" s="1390" t="str">
        <f>Risk_Compensation!$B$1</f>
        <v xml:space="preserve">Risikoausgleich </v>
      </c>
      <c r="D6335" s="1743" t="str">
        <f>Risk_Compensation!$AJ$14</f>
        <v>geschätzte Risikoausgleichssätze, pro Monat in CHF (ohne Entlastung junge Erwachsene)</v>
      </c>
      <c r="E6335" s="1390">
        <f>Risk_Compensation!$AJ74</f>
        <v>57</v>
      </c>
      <c r="F6335" s="1390" t="str">
        <f>Risk_Compensation!$AB$17</f>
        <v>TI</v>
      </c>
      <c r="G6335" s="1390"/>
      <c r="H6335" s="1077">
        <f>Risk_Compensation!$BE74</f>
        <v>1632.0894578990501</v>
      </c>
    </row>
    <row r="6336" spans="1:8" x14ac:dyDescent="0.2">
      <c r="A6336" s="1027"/>
      <c r="B6336" s="1083">
        <f>Risk_Compensation!A$1</f>
        <v>36</v>
      </c>
      <c r="C6336" s="1390" t="str">
        <f>Risk_Compensation!$B$1</f>
        <v xml:space="preserve">Risikoausgleich </v>
      </c>
      <c r="D6336" s="1743" t="str">
        <f>Risk_Compensation!$AJ$14</f>
        <v>geschätzte Risikoausgleichssätze, pro Monat in CHF (ohne Entlastung junge Erwachsene)</v>
      </c>
      <c r="E6336" s="1390">
        <f>Risk_Compensation!$AJ75</f>
        <v>58</v>
      </c>
      <c r="F6336" s="1390" t="str">
        <f>Risk_Compensation!$AB$17</f>
        <v>TI</v>
      </c>
      <c r="G6336" s="1390"/>
      <c r="H6336" s="1077">
        <f>Risk_Compensation!$BE75</f>
        <v>280.20359240125902</v>
      </c>
    </row>
    <row r="6337" spans="1:8" x14ac:dyDescent="0.2">
      <c r="A6337" s="1027"/>
      <c r="B6337" s="1083">
        <f>Risk_Compensation!A$1</f>
        <v>36</v>
      </c>
      <c r="C6337" s="1390" t="str">
        <f>Risk_Compensation!$B$1</f>
        <v xml:space="preserve">Risikoausgleich </v>
      </c>
      <c r="D6337" s="1743" t="str">
        <f>Risk_Compensation!$AJ$14</f>
        <v>geschätzte Risikoausgleichssätze, pro Monat in CHF (ohne Entlastung junge Erwachsene)</v>
      </c>
      <c r="E6337" s="1390">
        <f>Risk_Compensation!$AJ76</f>
        <v>59</v>
      </c>
      <c r="F6337" s="1390" t="str">
        <f>Risk_Compensation!$AB$17</f>
        <v>TI</v>
      </c>
      <c r="G6337" s="1390"/>
      <c r="H6337" s="1077">
        <f>Risk_Compensation!$BE76</f>
        <v>1994.8858334904901</v>
      </c>
    </row>
    <row r="6338" spans="1:8" x14ac:dyDescent="0.2">
      <c r="A6338" s="1027"/>
      <c r="B6338" s="1083">
        <f>Risk_Compensation!A$1</f>
        <v>36</v>
      </c>
      <c r="C6338" s="1390" t="str">
        <f>Risk_Compensation!$B$1</f>
        <v xml:space="preserve">Risikoausgleich </v>
      </c>
      <c r="D6338" s="1743" t="str">
        <f>Risk_Compensation!$AJ$14</f>
        <v>geschätzte Risikoausgleichssätze, pro Monat in CHF (ohne Entlastung junge Erwachsene)</v>
      </c>
      <c r="E6338" s="1390">
        <f>Risk_Compensation!$AJ77</f>
        <v>60</v>
      </c>
      <c r="F6338" s="1390" t="str">
        <f>Risk_Compensation!$AB$17</f>
        <v>TI</v>
      </c>
      <c r="G6338" s="1390"/>
      <c r="H6338" s="1077">
        <f>Risk_Compensation!$BE77</f>
        <v>626.06659188510901</v>
      </c>
    </row>
    <row r="6339" spans="1:8" x14ac:dyDescent="0.2">
      <c r="A6339" s="1027"/>
      <c r="B6339" s="2174"/>
      <c r="C6339" s="1390"/>
      <c r="D6339" s="2175"/>
      <c r="E6339" s="2176"/>
      <c r="F6339" s="1390"/>
      <c r="G6339" s="1390"/>
      <c r="H6339" s="1078"/>
    </row>
    <row r="6340" spans="1:8" x14ac:dyDescent="0.2">
      <c r="A6340" s="1027"/>
      <c r="B6340" s="1083">
        <f>Risk_Compensation!A$1</f>
        <v>36</v>
      </c>
      <c r="C6340" s="1390" t="str">
        <f>Risk_Compensation!$B$1</f>
        <v xml:space="preserve">Risikoausgleich </v>
      </c>
      <c r="D6340" s="1743" t="str">
        <f>Risk_Compensation!$AJ$14</f>
        <v>geschätzte Risikoausgleichssätze, pro Monat in CHF (ohne Entlastung junge Erwachsene)</v>
      </c>
      <c r="E6340" s="1390">
        <f>Risk_Compensation!$AJ18</f>
        <v>1</v>
      </c>
      <c r="F6340" s="1390" t="str">
        <f>Risk_Compensation!$AC$17</f>
        <v>UR</v>
      </c>
      <c r="G6340" s="1390"/>
      <c r="H6340" s="1077">
        <f>Risk_Compensation!$BF18</f>
        <v>575.17097759763703</v>
      </c>
    </row>
    <row r="6341" spans="1:8" x14ac:dyDescent="0.2">
      <c r="A6341" s="1027"/>
      <c r="B6341" s="1083">
        <f>Risk_Compensation!A$1</f>
        <v>36</v>
      </c>
      <c r="C6341" s="1390" t="str">
        <f>Risk_Compensation!$B$1</f>
        <v xml:space="preserve">Risikoausgleich </v>
      </c>
      <c r="D6341" s="1743" t="str">
        <f>Risk_Compensation!$AJ$14</f>
        <v>geschätzte Risikoausgleichssätze, pro Monat in CHF (ohne Entlastung junge Erwachsene)</v>
      </c>
      <c r="E6341" s="1390">
        <f>Risk_Compensation!$AJ19</f>
        <v>2</v>
      </c>
      <c r="F6341" s="1390" t="str">
        <f>Risk_Compensation!$AC$17</f>
        <v>UR</v>
      </c>
      <c r="G6341" s="1390"/>
      <c r="H6341" s="1077">
        <f>Risk_Compensation!$BF19</f>
        <v>-260.881209967892</v>
      </c>
    </row>
    <row r="6342" spans="1:8" x14ac:dyDescent="0.2">
      <c r="A6342" s="1027"/>
      <c r="B6342" s="1083">
        <f>Risk_Compensation!A$1</f>
        <v>36</v>
      </c>
      <c r="C6342" s="1390" t="str">
        <f>Risk_Compensation!$B$1</f>
        <v xml:space="preserve">Risikoausgleich </v>
      </c>
      <c r="D6342" s="1743" t="str">
        <f>Risk_Compensation!$AJ$14</f>
        <v>geschätzte Risikoausgleichssätze, pro Monat in CHF (ohne Entlastung junge Erwachsene)</v>
      </c>
      <c r="E6342" s="1390">
        <f>Risk_Compensation!$AJ20</f>
        <v>3</v>
      </c>
      <c r="F6342" s="1390" t="str">
        <f>Risk_Compensation!$AC$17</f>
        <v>UR</v>
      </c>
      <c r="G6342" s="1390"/>
      <c r="H6342" s="1077">
        <f>Risk_Compensation!$BF20</f>
        <v>-243.05318622692701</v>
      </c>
    </row>
    <row r="6343" spans="1:8" x14ac:dyDescent="0.2">
      <c r="A6343" s="1027"/>
      <c r="B6343" s="1083">
        <f>Risk_Compensation!A$1</f>
        <v>36</v>
      </c>
      <c r="C6343" s="1390" t="str">
        <f>Risk_Compensation!$B$1</f>
        <v xml:space="preserve">Risikoausgleich </v>
      </c>
      <c r="D6343" s="1743" t="str">
        <f>Risk_Compensation!$AJ$14</f>
        <v>geschätzte Risikoausgleichssätze, pro Monat in CHF (ohne Entlastung junge Erwachsene)</v>
      </c>
      <c r="E6343" s="1390">
        <f>Risk_Compensation!$AJ21</f>
        <v>4</v>
      </c>
      <c r="F6343" s="1390" t="str">
        <f>Risk_Compensation!$AC$17</f>
        <v>UR</v>
      </c>
      <c r="G6343" s="1390"/>
      <c r="H6343" s="1077">
        <f>Risk_Compensation!$BF21</f>
        <v>-231.646800258974</v>
      </c>
    </row>
    <row r="6344" spans="1:8" x14ac:dyDescent="0.2">
      <c r="A6344" s="1027"/>
      <c r="B6344" s="1083">
        <f>Risk_Compensation!A$1</f>
        <v>36</v>
      </c>
      <c r="C6344" s="1390" t="str">
        <f>Risk_Compensation!$B$1</f>
        <v xml:space="preserve">Risikoausgleich </v>
      </c>
      <c r="D6344" s="1743" t="str">
        <f>Risk_Compensation!$AJ$14</f>
        <v>geschätzte Risikoausgleichssätze, pro Monat in CHF (ohne Entlastung junge Erwachsene)</v>
      </c>
      <c r="E6344" s="1390">
        <f>Risk_Compensation!$AJ22</f>
        <v>5</v>
      </c>
      <c r="F6344" s="1390" t="str">
        <f>Risk_Compensation!$AC$17</f>
        <v>UR</v>
      </c>
      <c r="G6344" s="1390"/>
      <c r="H6344" s="1077">
        <f>Risk_Compensation!$BF22</f>
        <v>394.10016497477898</v>
      </c>
    </row>
    <row r="6345" spans="1:8" x14ac:dyDescent="0.2">
      <c r="A6345" s="1027"/>
      <c r="B6345" s="1083">
        <f>Risk_Compensation!A$1</f>
        <v>36</v>
      </c>
      <c r="C6345" s="1390" t="str">
        <f>Risk_Compensation!$B$1</f>
        <v xml:space="preserve">Risikoausgleich </v>
      </c>
      <c r="D6345" s="1743" t="str">
        <f>Risk_Compensation!$AJ$14</f>
        <v>geschätzte Risikoausgleichssätze, pro Monat in CHF (ohne Entlastung junge Erwachsene)</v>
      </c>
      <c r="E6345" s="1390">
        <f>Risk_Compensation!$AJ23</f>
        <v>6</v>
      </c>
      <c r="F6345" s="1390" t="str">
        <f>Risk_Compensation!$AC$17</f>
        <v>UR</v>
      </c>
      <c r="G6345" s="1390"/>
      <c r="H6345" s="1077">
        <f>Risk_Compensation!$BF23</f>
        <v>-271.22635988523803</v>
      </c>
    </row>
    <row r="6346" spans="1:8" x14ac:dyDescent="0.2">
      <c r="A6346" s="1027"/>
      <c r="B6346" s="1083">
        <f>Risk_Compensation!A$1</f>
        <v>36</v>
      </c>
      <c r="C6346" s="1390" t="str">
        <f>Risk_Compensation!$B$1</f>
        <v xml:space="preserve">Risikoausgleich </v>
      </c>
      <c r="D6346" s="1743" t="str">
        <f>Risk_Compensation!$AJ$14</f>
        <v>geschätzte Risikoausgleichssätze, pro Monat in CHF (ohne Entlastung junge Erwachsene)</v>
      </c>
      <c r="E6346" s="1390">
        <f>Risk_Compensation!$AJ24</f>
        <v>7</v>
      </c>
      <c r="F6346" s="1390" t="str">
        <f>Risk_Compensation!$AC$17</f>
        <v>UR</v>
      </c>
      <c r="G6346" s="1390"/>
      <c r="H6346" s="1077">
        <f>Risk_Compensation!$BF24</f>
        <v>531.939984511342</v>
      </c>
    </row>
    <row r="6347" spans="1:8" x14ac:dyDescent="0.2">
      <c r="A6347" s="1027"/>
      <c r="B6347" s="1083">
        <f>Risk_Compensation!A$1</f>
        <v>36</v>
      </c>
      <c r="C6347" s="1390" t="str">
        <f>Risk_Compensation!$B$1</f>
        <v xml:space="preserve">Risikoausgleich </v>
      </c>
      <c r="D6347" s="1743" t="str">
        <f>Risk_Compensation!$AJ$14</f>
        <v>geschätzte Risikoausgleichssätze, pro Monat in CHF (ohne Entlastung junge Erwachsene)</v>
      </c>
      <c r="E6347" s="1390">
        <f>Risk_Compensation!$AJ25</f>
        <v>8</v>
      </c>
      <c r="F6347" s="1390" t="str">
        <f>Risk_Compensation!$AC$17</f>
        <v>UR</v>
      </c>
      <c r="G6347" s="1390"/>
      <c r="H6347" s="1077">
        <f>Risk_Compensation!$BF25</f>
        <v>-272.82973566596002</v>
      </c>
    </row>
    <row r="6348" spans="1:8" x14ac:dyDescent="0.2">
      <c r="A6348" s="1027"/>
      <c r="B6348" s="1083">
        <f>Risk_Compensation!A$1</f>
        <v>36</v>
      </c>
      <c r="C6348" s="1390" t="str">
        <f>Risk_Compensation!$B$1</f>
        <v xml:space="preserve">Risikoausgleich </v>
      </c>
      <c r="D6348" s="1743" t="str">
        <f>Risk_Compensation!$AJ$14</f>
        <v>geschätzte Risikoausgleichssätze, pro Monat in CHF (ohne Entlastung junge Erwachsene)</v>
      </c>
      <c r="E6348" s="1390">
        <f>Risk_Compensation!$AJ26</f>
        <v>9</v>
      </c>
      <c r="F6348" s="1390" t="str">
        <f>Risk_Compensation!$AC$17</f>
        <v>UR</v>
      </c>
      <c r="G6348" s="1390"/>
      <c r="H6348" s="1077">
        <f>Risk_Compensation!$BF26</f>
        <v>493.02855647902499</v>
      </c>
    </row>
    <row r="6349" spans="1:8" x14ac:dyDescent="0.2">
      <c r="A6349" s="1027"/>
      <c r="B6349" s="1083">
        <f>Risk_Compensation!A$1</f>
        <v>36</v>
      </c>
      <c r="C6349" s="1390" t="str">
        <f>Risk_Compensation!$B$1</f>
        <v xml:space="preserve">Risikoausgleich </v>
      </c>
      <c r="D6349" s="1743" t="str">
        <f>Risk_Compensation!$AJ$14</f>
        <v>geschätzte Risikoausgleichssätze, pro Monat in CHF (ohne Entlastung junge Erwachsene)</v>
      </c>
      <c r="E6349" s="1390">
        <f>Risk_Compensation!$AJ27</f>
        <v>10</v>
      </c>
      <c r="F6349" s="1390" t="str">
        <f>Risk_Compensation!$AC$17</f>
        <v>UR</v>
      </c>
      <c r="G6349" s="1390"/>
      <c r="H6349" s="1077">
        <f>Risk_Compensation!$BF27</f>
        <v>-256.14016477096999</v>
      </c>
    </row>
    <row r="6350" spans="1:8" x14ac:dyDescent="0.2">
      <c r="A6350" s="1027"/>
      <c r="B6350" s="1083">
        <f>Risk_Compensation!A$1</f>
        <v>36</v>
      </c>
      <c r="C6350" s="1390" t="str">
        <f>Risk_Compensation!$B$1</f>
        <v xml:space="preserve">Risikoausgleich </v>
      </c>
      <c r="D6350" s="1743" t="str">
        <f>Risk_Compensation!$AJ$14</f>
        <v>geschätzte Risikoausgleichssätze, pro Monat in CHF (ohne Entlastung junge Erwachsene)</v>
      </c>
      <c r="E6350" s="1390">
        <f>Risk_Compensation!$AJ28</f>
        <v>11</v>
      </c>
      <c r="F6350" s="1390" t="str">
        <f>Risk_Compensation!$AC$17</f>
        <v>UR</v>
      </c>
      <c r="G6350" s="1390"/>
      <c r="H6350" s="1077">
        <f>Risk_Compensation!$BF28</f>
        <v>317.45881944281501</v>
      </c>
    </row>
    <row r="6351" spans="1:8" x14ac:dyDescent="0.2">
      <c r="A6351" s="1027"/>
      <c r="B6351" s="1083">
        <f>Risk_Compensation!A$1</f>
        <v>36</v>
      </c>
      <c r="C6351" s="1390" t="str">
        <f>Risk_Compensation!$B$1</f>
        <v xml:space="preserve">Risikoausgleich </v>
      </c>
      <c r="D6351" s="1743" t="str">
        <f>Risk_Compensation!$AJ$14</f>
        <v>geschätzte Risikoausgleichssätze, pro Monat in CHF (ohne Entlastung junge Erwachsene)</v>
      </c>
      <c r="E6351" s="1390">
        <f>Risk_Compensation!$AJ29</f>
        <v>12</v>
      </c>
      <c r="F6351" s="1390" t="str">
        <f>Risk_Compensation!$AC$17</f>
        <v>UR</v>
      </c>
      <c r="G6351" s="1390"/>
      <c r="H6351" s="1077">
        <f>Risk_Compensation!$BF29</f>
        <v>-226.35204390699499</v>
      </c>
    </row>
    <row r="6352" spans="1:8" x14ac:dyDescent="0.2">
      <c r="A6352" s="1027"/>
      <c r="B6352" s="1083">
        <f>Risk_Compensation!A$1</f>
        <v>36</v>
      </c>
      <c r="C6352" s="1390" t="str">
        <f>Risk_Compensation!$B$1</f>
        <v xml:space="preserve">Risikoausgleich </v>
      </c>
      <c r="D6352" s="1743" t="str">
        <f>Risk_Compensation!$AJ$14</f>
        <v>geschätzte Risikoausgleichssätze, pro Monat in CHF (ohne Entlastung junge Erwachsene)</v>
      </c>
      <c r="E6352" s="1390">
        <f>Risk_Compensation!$AJ30</f>
        <v>13</v>
      </c>
      <c r="F6352" s="1390" t="str">
        <f>Risk_Compensation!$AC$17</f>
        <v>UR</v>
      </c>
      <c r="G6352" s="1390"/>
      <c r="H6352" s="1077">
        <f>Risk_Compensation!$BF30</f>
        <v>310.00910703384</v>
      </c>
    </row>
    <row r="6353" spans="1:8" x14ac:dyDescent="0.2">
      <c r="A6353" s="1027"/>
      <c r="B6353" s="1083">
        <f>Risk_Compensation!A$1</f>
        <v>36</v>
      </c>
      <c r="C6353" s="1390" t="str">
        <f>Risk_Compensation!$B$1</f>
        <v xml:space="preserve">Risikoausgleich </v>
      </c>
      <c r="D6353" s="1743" t="str">
        <f>Risk_Compensation!$AJ$14</f>
        <v>geschätzte Risikoausgleichssätze, pro Monat in CHF (ohne Entlastung junge Erwachsene)</v>
      </c>
      <c r="E6353" s="1390">
        <f>Risk_Compensation!$AJ31</f>
        <v>14</v>
      </c>
      <c r="F6353" s="1390" t="str">
        <f>Risk_Compensation!$AC$17</f>
        <v>UR</v>
      </c>
      <c r="G6353" s="1390"/>
      <c r="H6353" s="1077">
        <f>Risk_Compensation!$BF31</f>
        <v>-212.07608889073899</v>
      </c>
    </row>
    <row r="6354" spans="1:8" x14ac:dyDescent="0.2">
      <c r="A6354" s="1027"/>
      <c r="B6354" s="1083">
        <f>Risk_Compensation!A$1</f>
        <v>36</v>
      </c>
      <c r="C6354" s="1390" t="str">
        <f>Risk_Compensation!$B$1</f>
        <v xml:space="preserve">Risikoausgleich </v>
      </c>
      <c r="D6354" s="1743" t="str">
        <f>Risk_Compensation!$AJ$14</f>
        <v>geschätzte Risikoausgleichssätze, pro Monat in CHF (ohne Entlastung junge Erwachsene)</v>
      </c>
      <c r="E6354" s="1390">
        <f>Risk_Compensation!$AJ32</f>
        <v>15</v>
      </c>
      <c r="F6354" s="1390" t="str">
        <f>Risk_Compensation!$AC$17</f>
        <v>UR</v>
      </c>
      <c r="G6354" s="1390"/>
      <c r="H6354" s="1077">
        <f>Risk_Compensation!$BF32</f>
        <v>502.053110852278</v>
      </c>
    </row>
    <row r="6355" spans="1:8" x14ac:dyDescent="0.2">
      <c r="A6355" s="1027"/>
      <c r="B6355" s="1083">
        <f>Risk_Compensation!A$1</f>
        <v>36</v>
      </c>
      <c r="C6355" s="1390" t="str">
        <f>Risk_Compensation!$B$1</f>
        <v xml:space="preserve">Risikoausgleich </v>
      </c>
      <c r="D6355" s="1743" t="str">
        <f>Risk_Compensation!$AJ$14</f>
        <v>geschätzte Risikoausgleichssätze, pro Monat in CHF (ohne Entlastung junge Erwachsene)</v>
      </c>
      <c r="E6355" s="1390">
        <f>Risk_Compensation!$AJ33</f>
        <v>16</v>
      </c>
      <c r="F6355" s="1390" t="str">
        <f>Risk_Compensation!$AC$17</f>
        <v>UR</v>
      </c>
      <c r="G6355" s="1390"/>
      <c r="H6355" s="1077">
        <f>Risk_Compensation!$BF33</f>
        <v>-197.94352891801299</v>
      </c>
    </row>
    <row r="6356" spans="1:8" x14ac:dyDescent="0.2">
      <c r="A6356" s="1027"/>
      <c r="B6356" s="1083">
        <f>Risk_Compensation!A$1</f>
        <v>36</v>
      </c>
      <c r="C6356" s="1390" t="str">
        <f>Risk_Compensation!$B$1</f>
        <v xml:space="preserve">Risikoausgleich </v>
      </c>
      <c r="D6356" s="1743" t="str">
        <f>Risk_Compensation!$AJ$14</f>
        <v>geschätzte Risikoausgleichssätze, pro Monat in CHF (ohne Entlastung junge Erwachsene)</v>
      </c>
      <c r="E6356" s="1390">
        <f>Risk_Compensation!$AJ34</f>
        <v>17</v>
      </c>
      <c r="F6356" s="1390" t="str">
        <f>Risk_Compensation!$AC$17</f>
        <v>UR</v>
      </c>
      <c r="G6356" s="1390"/>
      <c r="H6356" s="1077">
        <f>Risk_Compensation!$BF34</f>
        <v>319.060938781819</v>
      </c>
    </row>
    <row r="6357" spans="1:8" x14ac:dyDescent="0.2">
      <c r="A6357" s="1027"/>
      <c r="B6357" s="1083">
        <f>Risk_Compensation!A$1</f>
        <v>36</v>
      </c>
      <c r="C6357" s="1390" t="str">
        <f>Risk_Compensation!$B$1</f>
        <v xml:space="preserve">Risikoausgleich </v>
      </c>
      <c r="D6357" s="1743" t="str">
        <f>Risk_Compensation!$AJ$14</f>
        <v>geschätzte Risikoausgleichssätze, pro Monat in CHF (ohne Entlastung junge Erwachsene)</v>
      </c>
      <c r="E6357" s="1390">
        <f>Risk_Compensation!$AJ35</f>
        <v>18</v>
      </c>
      <c r="F6357" s="1390" t="str">
        <f>Risk_Compensation!$AC$17</f>
        <v>UR</v>
      </c>
      <c r="G6357" s="1390"/>
      <c r="H6357" s="1077">
        <f>Risk_Compensation!$BF35</f>
        <v>-131.58762520582101</v>
      </c>
    </row>
    <row r="6358" spans="1:8" x14ac:dyDescent="0.2">
      <c r="A6358" s="1027"/>
      <c r="B6358" s="1083">
        <f>Risk_Compensation!A$1</f>
        <v>36</v>
      </c>
      <c r="C6358" s="1390" t="str">
        <f>Risk_Compensation!$B$1</f>
        <v xml:space="preserve">Risikoausgleich </v>
      </c>
      <c r="D6358" s="1743" t="str">
        <f>Risk_Compensation!$AJ$14</f>
        <v>geschätzte Risikoausgleichssätze, pro Monat in CHF (ohne Entlastung junge Erwachsene)</v>
      </c>
      <c r="E6358" s="1390">
        <f>Risk_Compensation!$AJ36</f>
        <v>19</v>
      </c>
      <c r="F6358" s="1390" t="str">
        <f>Risk_Compensation!$AC$17</f>
        <v>UR</v>
      </c>
      <c r="G6358" s="1390"/>
      <c r="H6358" s="1077">
        <f>Risk_Compensation!$BF36</f>
        <v>845.15875296642105</v>
      </c>
    </row>
    <row r="6359" spans="1:8" x14ac:dyDescent="0.2">
      <c r="A6359" s="1027"/>
      <c r="B6359" s="1083">
        <f>Risk_Compensation!A$1</f>
        <v>36</v>
      </c>
      <c r="C6359" s="1390" t="str">
        <f>Risk_Compensation!$B$1</f>
        <v xml:space="preserve">Risikoausgleich </v>
      </c>
      <c r="D6359" s="1743" t="str">
        <f>Risk_Compensation!$AJ$14</f>
        <v>geschätzte Risikoausgleichssätze, pro Monat in CHF (ohne Entlastung junge Erwachsene)</v>
      </c>
      <c r="E6359" s="1390">
        <f>Risk_Compensation!$AJ37</f>
        <v>20</v>
      </c>
      <c r="F6359" s="1390" t="str">
        <f>Risk_Compensation!$AC$17</f>
        <v>UR</v>
      </c>
      <c r="G6359" s="1390"/>
      <c r="H6359" s="1077">
        <f>Risk_Compensation!$BF37</f>
        <v>-76.141122701088605</v>
      </c>
    </row>
    <row r="6360" spans="1:8" x14ac:dyDescent="0.2">
      <c r="A6360" s="1027"/>
      <c r="B6360" s="1083">
        <f>Risk_Compensation!A$1</f>
        <v>36</v>
      </c>
      <c r="C6360" s="1390" t="str">
        <f>Risk_Compensation!$B$1</f>
        <v xml:space="preserve">Risikoausgleich </v>
      </c>
      <c r="D6360" s="1743" t="str">
        <f>Risk_Compensation!$AJ$14</f>
        <v>geschätzte Risikoausgleichssätze, pro Monat in CHF (ohne Entlastung junge Erwachsene)</v>
      </c>
      <c r="E6360" s="1390">
        <f>Risk_Compensation!$AJ38</f>
        <v>21</v>
      </c>
      <c r="F6360" s="1390" t="str">
        <f>Risk_Compensation!$AC$17</f>
        <v>UR</v>
      </c>
      <c r="G6360" s="1390"/>
      <c r="H6360" s="1077">
        <f>Risk_Compensation!$BF38</f>
        <v>468.37883385605602</v>
      </c>
    </row>
    <row r="6361" spans="1:8" x14ac:dyDescent="0.2">
      <c r="A6361" s="1027"/>
      <c r="B6361" s="1083">
        <f>Risk_Compensation!A$1</f>
        <v>36</v>
      </c>
      <c r="C6361" s="1390" t="str">
        <f>Risk_Compensation!$B$1</f>
        <v xml:space="preserve">Risikoausgleich </v>
      </c>
      <c r="D6361" s="1743" t="str">
        <f>Risk_Compensation!$AJ$14</f>
        <v>geschätzte Risikoausgleichssätze, pro Monat in CHF (ohne Entlastung junge Erwachsene)</v>
      </c>
      <c r="E6361" s="1390">
        <f>Risk_Compensation!$AJ39</f>
        <v>22</v>
      </c>
      <c r="F6361" s="1390" t="str">
        <f>Risk_Compensation!$AC$17</f>
        <v>UR</v>
      </c>
      <c r="G6361" s="1390"/>
      <c r="H6361" s="1077">
        <f>Risk_Compensation!$BF39</f>
        <v>2.4477821936586701</v>
      </c>
    </row>
    <row r="6362" spans="1:8" x14ac:dyDescent="0.2">
      <c r="A6362" s="1027"/>
      <c r="B6362" s="1083">
        <f>Risk_Compensation!A$1</f>
        <v>36</v>
      </c>
      <c r="C6362" s="1390" t="str">
        <f>Risk_Compensation!$B$1</f>
        <v xml:space="preserve">Risikoausgleich </v>
      </c>
      <c r="D6362" s="1743" t="str">
        <f>Risk_Compensation!$AJ$14</f>
        <v>geschätzte Risikoausgleichssätze, pro Monat in CHF (ohne Entlastung junge Erwachsene)</v>
      </c>
      <c r="E6362" s="1390">
        <f>Risk_Compensation!$AJ40</f>
        <v>23</v>
      </c>
      <c r="F6362" s="1390" t="str">
        <f>Risk_Compensation!$AC$17</f>
        <v>UR</v>
      </c>
      <c r="G6362" s="1390"/>
      <c r="H6362" s="1077">
        <f>Risk_Compensation!$BF40</f>
        <v>1004.61890779433</v>
      </c>
    </row>
    <row r="6363" spans="1:8" x14ac:dyDescent="0.2">
      <c r="A6363" s="1027"/>
      <c r="B6363" s="1083">
        <f>Risk_Compensation!A$1</f>
        <v>36</v>
      </c>
      <c r="C6363" s="1390" t="str">
        <f>Risk_Compensation!$B$1</f>
        <v xml:space="preserve">Risikoausgleich </v>
      </c>
      <c r="D6363" s="1743" t="str">
        <f>Risk_Compensation!$AJ$14</f>
        <v>geschätzte Risikoausgleichssätze, pro Monat in CHF (ohne Entlastung junge Erwachsene)</v>
      </c>
      <c r="E6363" s="1390">
        <f>Risk_Compensation!$AJ41</f>
        <v>24</v>
      </c>
      <c r="F6363" s="1390" t="str">
        <f>Risk_Compensation!$AC$17</f>
        <v>UR</v>
      </c>
      <c r="G6363" s="1390"/>
      <c r="H6363" s="1077">
        <f>Risk_Compensation!$BF41</f>
        <v>95.812675862344904</v>
      </c>
    </row>
    <row r="6364" spans="1:8" x14ac:dyDescent="0.2">
      <c r="A6364" s="1027"/>
      <c r="B6364" s="1083">
        <f>Risk_Compensation!A$1</f>
        <v>36</v>
      </c>
      <c r="C6364" s="1390" t="str">
        <f>Risk_Compensation!$B$1</f>
        <v xml:space="preserve">Risikoausgleich </v>
      </c>
      <c r="D6364" s="1743" t="str">
        <f>Risk_Compensation!$AJ$14</f>
        <v>geschätzte Risikoausgleichssätze, pro Monat in CHF (ohne Entlastung junge Erwachsene)</v>
      </c>
      <c r="E6364" s="1390">
        <f>Risk_Compensation!$AJ42</f>
        <v>25</v>
      </c>
      <c r="F6364" s="1390" t="str">
        <f>Risk_Compensation!$AC$17</f>
        <v>UR</v>
      </c>
      <c r="G6364" s="1390"/>
      <c r="H6364" s="1077">
        <f>Risk_Compensation!$BF42</f>
        <v>619.02860212239204</v>
      </c>
    </row>
    <row r="6365" spans="1:8" x14ac:dyDescent="0.2">
      <c r="A6365" s="1027"/>
      <c r="B6365" s="1083">
        <f>Risk_Compensation!A$1</f>
        <v>36</v>
      </c>
      <c r="C6365" s="1390" t="str">
        <f>Risk_Compensation!$B$1</f>
        <v xml:space="preserve">Risikoausgleich </v>
      </c>
      <c r="D6365" s="1743" t="str">
        <f>Risk_Compensation!$AJ$14</f>
        <v>geschätzte Risikoausgleichssätze, pro Monat in CHF (ohne Entlastung junge Erwachsene)</v>
      </c>
      <c r="E6365" s="1390">
        <f>Risk_Compensation!$AJ43</f>
        <v>26</v>
      </c>
      <c r="F6365" s="1390" t="str">
        <f>Risk_Compensation!$AC$17</f>
        <v>UR</v>
      </c>
      <c r="G6365" s="1390"/>
      <c r="H6365" s="1077">
        <f>Risk_Compensation!$BF43</f>
        <v>118.442494821493</v>
      </c>
    </row>
    <row r="6366" spans="1:8" x14ac:dyDescent="0.2">
      <c r="A6366" s="1027"/>
      <c r="B6366" s="1083">
        <f>Risk_Compensation!A$1</f>
        <v>36</v>
      </c>
      <c r="C6366" s="1390" t="str">
        <f>Risk_Compensation!$B$1</f>
        <v xml:space="preserve">Risikoausgleich </v>
      </c>
      <c r="D6366" s="1743" t="str">
        <f>Risk_Compensation!$AJ$14</f>
        <v>geschätzte Risikoausgleichssätze, pro Monat in CHF (ohne Entlastung junge Erwachsene)</v>
      </c>
      <c r="E6366" s="1390">
        <f>Risk_Compensation!$AJ44</f>
        <v>27</v>
      </c>
      <c r="F6366" s="1390" t="str">
        <f>Risk_Compensation!$AC$17</f>
        <v>UR</v>
      </c>
      <c r="G6366" s="1390"/>
      <c r="H6366" s="1077">
        <f>Risk_Compensation!$BF44</f>
        <v>809.11963894644305</v>
      </c>
    </row>
    <row r="6367" spans="1:8" x14ac:dyDescent="0.2">
      <c r="A6367" s="1027"/>
      <c r="B6367" s="1083">
        <f>Risk_Compensation!A$1</f>
        <v>36</v>
      </c>
      <c r="C6367" s="1390" t="str">
        <f>Risk_Compensation!$B$1</f>
        <v xml:space="preserve">Risikoausgleich </v>
      </c>
      <c r="D6367" s="1743" t="str">
        <f>Risk_Compensation!$AJ$14</f>
        <v>geschätzte Risikoausgleichssätze, pro Monat in CHF (ohne Entlastung junge Erwachsene)</v>
      </c>
      <c r="E6367" s="1390">
        <f>Risk_Compensation!$AJ45</f>
        <v>28</v>
      </c>
      <c r="F6367" s="1390" t="str">
        <f>Risk_Compensation!$AC$17</f>
        <v>UR</v>
      </c>
      <c r="G6367" s="1390"/>
      <c r="H6367" s="1077">
        <f>Risk_Compensation!$BF45</f>
        <v>194.58835237289699</v>
      </c>
    </row>
    <row r="6368" spans="1:8" x14ac:dyDescent="0.2">
      <c r="A6368" s="1027"/>
      <c r="B6368" s="1083">
        <f>Risk_Compensation!A$1</f>
        <v>36</v>
      </c>
      <c r="C6368" s="1390" t="str">
        <f>Risk_Compensation!$B$1</f>
        <v xml:space="preserve">Risikoausgleich </v>
      </c>
      <c r="D6368" s="1743" t="str">
        <f>Risk_Compensation!$AJ$14</f>
        <v>geschätzte Risikoausgleichssätze, pro Monat in CHF (ohne Entlastung junge Erwachsene)</v>
      </c>
      <c r="E6368" s="1390">
        <f>Risk_Compensation!$AJ46</f>
        <v>29</v>
      </c>
      <c r="F6368" s="1390" t="str">
        <f>Risk_Compensation!$AC$17</f>
        <v>UR</v>
      </c>
      <c r="G6368" s="1390"/>
      <c r="H6368" s="1077">
        <f>Risk_Compensation!$BF46</f>
        <v>1074.7435683242099</v>
      </c>
    </row>
    <row r="6369" spans="1:8" x14ac:dyDescent="0.2">
      <c r="A6369" s="1027"/>
      <c r="B6369" s="1083">
        <f>Risk_Compensation!A$1</f>
        <v>36</v>
      </c>
      <c r="C6369" s="1390" t="str">
        <f>Risk_Compensation!$B$1</f>
        <v xml:space="preserve">Risikoausgleich </v>
      </c>
      <c r="D6369" s="1743" t="str">
        <f>Risk_Compensation!$AJ$14</f>
        <v>geschätzte Risikoausgleichssätze, pro Monat in CHF (ohne Entlastung junge Erwachsene)</v>
      </c>
      <c r="E6369" s="1390">
        <f>Risk_Compensation!$AJ47</f>
        <v>30</v>
      </c>
      <c r="F6369" s="1390" t="str">
        <f>Risk_Compensation!$AC$17</f>
        <v>UR</v>
      </c>
      <c r="G6369" s="1390"/>
      <c r="H6369" s="1077">
        <f>Risk_Compensation!$BF47</f>
        <v>185.741938701431</v>
      </c>
    </row>
    <row r="6370" spans="1:8" x14ac:dyDescent="0.2">
      <c r="A6370" s="1027"/>
      <c r="B6370" s="1083">
        <f>Risk_Compensation!A$1</f>
        <v>36</v>
      </c>
      <c r="C6370" s="1390" t="str">
        <f>Risk_Compensation!$B$1</f>
        <v xml:space="preserve">Risikoausgleich </v>
      </c>
      <c r="D6370" s="1743" t="str">
        <f>Risk_Compensation!$AJ$14</f>
        <v>geschätzte Risikoausgleichssätze, pro Monat in CHF (ohne Entlastung junge Erwachsene)</v>
      </c>
      <c r="E6370" s="1390">
        <f>Risk_Compensation!$AJ48</f>
        <v>31</v>
      </c>
      <c r="F6370" s="1390" t="str">
        <f>Risk_Compensation!$AC$17</f>
        <v>UR</v>
      </c>
      <c r="G6370" s="1390"/>
      <c r="H6370" s="1077">
        <f>Risk_Compensation!$BF48</f>
        <v>215.024955360235</v>
      </c>
    </row>
    <row r="6371" spans="1:8" x14ac:dyDescent="0.2">
      <c r="A6371" s="1027"/>
      <c r="B6371" s="1083">
        <f>Risk_Compensation!A$1</f>
        <v>36</v>
      </c>
      <c r="C6371" s="1390" t="str">
        <f>Risk_Compensation!$B$1</f>
        <v xml:space="preserve">Risikoausgleich </v>
      </c>
      <c r="D6371" s="1743" t="str">
        <f>Risk_Compensation!$AJ$14</f>
        <v>geschätzte Risikoausgleichssätze, pro Monat in CHF (ohne Entlastung junge Erwachsene)</v>
      </c>
      <c r="E6371" s="1390">
        <f>Risk_Compensation!$AJ49</f>
        <v>32</v>
      </c>
      <c r="F6371" s="1390" t="str">
        <f>Risk_Compensation!$AC$17</f>
        <v>UR</v>
      </c>
      <c r="G6371" s="1390"/>
      <c r="H6371" s="1077">
        <f>Risk_Compensation!$BF49</f>
        <v>-228.61506717282401</v>
      </c>
    </row>
    <row r="6372" spans="1:8" x14ac:dyDescent="0.2">
      <c r="A6372" s="1027"/>
      <c r="B6372" s="1083">
        <f>Risk_Compensation!A$1</f>
        <v>36</v>
      </c>
      <c r="C6372" s="1390" t="str">
        <f>Risk_Compensation!$B$1</f>
        <v xml:space="preserve">Risikoausgleich </v>
      </c>
      <c r="D6372" s="1743" t="str">
        <f>Risk_Compensation!$AJ$14</f>
        <v>geschätzte Risikoausgleichssätze, pro Monat in CHF (ohne Entlastung junge Erwachsene)</v>
      </c>
      <c r="E6372" s="1390">
        <f>Risk_Compensation!$AJ50</f>
        <v>33</v>
      </c>
      <c r="F6372" s="1390" t="str">
        <f>Risk_Compensation!$AC$17</f>
        <v>UR</v>
      </c>
      <c r="G6372" s="1390"/>
      <c r="H6372" s="1077">
        <f>Risk_Compensation!$BF50</f>
        <v>525.3755887323</v>
      </c>
    </row>
    <row r="6373" spans="1:8" x14ac:dyDescent="0.2">
      <c r="A6373" s="1027"/>
      <c r="B6373" s="1083">
        <f>Risk_Compensation!A$1</f>
        <v>36</v>
      </c>
      <c r="C6373" s="1390" t="str">
        <f>Risk_Compensation!$B$1</f>
        <v xml:space="preserve">Risikoausgleich </v>
      </c>
      <c r="D6373" s="1743" t="str">
        <f>Risk_Compensation!$AJ$14</f>
        <v>geschätzte Risikoausgleichssätze, pro Monat in CHF (ohne Entlastung junge Erwachsene)</v>
      </c>
      <c r="E6373" s="1390">
        <f>Risk_Compensation!$AJ51</f>
        <v>34</v>
      </c>
      <c r="F6373" s="1390" t="str">
        <f>Risk_Compensation!$AC$17</f>
        <v>UR</v>
      </c>
      <c r="G6373" s="1390"/>
      <c r="H6373" s="1077">
        <f>Risk_Compensation!$BF51</f>
        <v>-176.879173142192</v>
      </c>
    </row>
    <row r="6374" spans="1:8" x14ac:dyDescent="0.2">
      <c r="A6374" s="1027"/>
      <c r="B6374" s="1083">
        <f>Risk_Compensation!A$1</f>
        <v>36</v>
      </c>
      <c r="C6374" s="1390" t="str">
        <f>Risk_Compensation!$B$1</f>
        <v xml:space="preserve">Risikoausgleich </v>
      </c>
      <c r="D6374" s="1743" t="str">
        <f>Risk_Compensation!$AJ$14</f>
        <v>geschätzte Risikoausgleichssätze, pro Monat in CHF (ohne Entlastung junge Erwachsene)</v>
      </c>
      <c r="E6374" s="1390">
        <f>Risk_Compensation!$AJ52</f>
        <v>35</v>
      </c>
      <c r="F6374" s="1390" t="str">
        <f>Risk_Compensation!$AC$17</f>
        <v>UR</v>
      </c>
      <c r="G6374" s="1390"/>
      <c r="H6374" s="1077">
        <f>Risk_Compensation!$BF52</f>
        <v>227.946083683149</v>
      </c>
    </row>
    <row r="6375" spans="1:8" x14ac:dyDescent="0.2">
      <c r="A6375" s="1027"/>
      <c r="B6375" s="1083">
        <f>Risk_Compensation!A$1</f>
        <v>36</v>
      </c>
      <c r="C6375" s="1390" t="str">
        <f>Risk_Compensation!$B$1</f>
        <v xml:space="preserve">Risikoausgleich </v>
      </c>
      <c r="D6375" s="1743" t="str">
        <f>Risk_Compensation!$AJ$14</f>
        <v>geschätzte Risikoausgleichssätze, pro Monat in CHF (ohne Entlastung junge Erwachsene)</v>
      </c>
      <c r="E6375" s="1390">
        <f>Risk_Compensation!$AJ53</f>
        <v>36</v>
      </c>
      <c r="F6375" s="1390" t="str">
        <f>Risk_Compensation!$AC$17</f>
        <v>UR</v>
      </c>
      <c r="G6375" s="1390"/>
      <c r="H6375" s="1077">
        <f>Risk_Compensation!$BF53</f>
        <v>-128.70758538849299</v>
      </c>
    </row>
    <row r="6376" spans="1:8" x14ac:dyDescent="0.2">
      <c r="A6376" s="1027"/>
      <c r="B6376" s="1083">
        <f>Risk_Compensation!A$1</f>
        <v>36</v>
      </c>
      <c r="C6376" s="1390" t="str">
        <f>Risk_Compensation!$B$1</f>
        <v xml:space="preserve">Risikoausgleich </v>
      </c>
      <c r="D6376" s="1743" t="str">
        <f>Risk_Compensation!$AJ$14</f>
        <v>geschätzte Risikoausgleichssätze, pro Monat in CHF (ohne Entlastung junge Erwachsene)</v>
      </c>
      <c r="E6376" s="1390">
        <f>Risk_Compensation!$AJ54</f>
        <v>37</v>
      </c>
      <c r="F6376" s="1390" t="str">
        <f>Risk_Compensation!$AC$17</f>
        <v>UR</v>
      </c>
      <c r="G6376" s="1390"/>
      <c r="H6376" s="1077">
        <f>Risk_Compensation!$BF54</f>
        <v>2.6274165193421499</v>
      </c>
    </row>
    <row r="6377" spans="1:8" x14ac:dyDescent="0.2">
      <c r="A6377" s="1027"/>
      <c r="B6377" s="1083">
        <f>Risk_Compensation!A$1</f>
        <v>36</v>
      </c>
      <c r="C6377" s="1390" t="str">
        <f>Risk_Compensation!$B$1</f>
        <v xml:space="preserve">Risikoausgleich </v>
      </c>
      <c r="D6377" s="1743" t="str">
        <f>Risk_Compensation!$AJ$14</f>
        <v>geschätzte Risikoausgleichssätze, pro Monat in CHF (ohne Entlastung junge Erwachsene)</v>
      </c>
      <c r="E6377" s="1390">
        <f>Risk_Compensation!$AJ55</f>
        <v>38</v>
      </c>
      <c r="F6377" s="1390" t="str">
        <f>Risk_Compensation!$AC$17</f>
        <v>UR</v>
      </c>
      <c r="G6377" s="1390"/>
      <c r="H6377" s="1077">
        <f>Risk_Compensation!$BF55</f>
        <v>-197.83444852643399</v>
      </c>
    </row>
    <row r="6378" spans="1:8" x14ac:dyDescent="0.2">
      <c r="A6378" s="1027"/>
      <c r="B6378" s="1083">
        <f>Risk_Compensation!A$1</f>
        <v>36</v>
      </c>
      <c r="C6378" s="1390" t="str">
        <f>Risk_Compensation!$B$1</f>
        <v xml:space="preserve">Risikoausgleich </v>
      </c>
      <c r="D6378" s="1743" t="str">
        <f>Risk_Compensation!$AJ$14</f>
        <v>geschätzte Risikoausgleichssätze, pro Monat in CHF (ohne Entlastung junge Erwachsene)</v>
      </c>
      <c r="E6378" s="1390">
        <f>Risk_Compensation!$AJ56</f>
        <v>39</v>
      </c>
      <c r="F6378" s="1390" t="str">
        <f>Risk_Compensation!$AC$17</f>
        <v>UR</v>
      </c>
      <c r="G6378" s="1390"/>
      <c r="H6378" s="1077">
        <f>Risk_Compensation!$BF56</f>
        <v>447.59436884125103</v>
      </c>
    </row>
    <row r="6379" spans="1:8" x14ac:dyDescent="0.2">
      <c r="A6379" s="1027"/>
      <c r="B6379" s="1083">
        <f>Risk_Compensation!A$1</f>
        <v>36</v>
      </c>
      <c r="C6379" s="1390" t="str">
        <f>Risk_Compensation!$B$1</f>
        <v xml:space="preserve">Risikoausgleich </v>
      </c>
      <c r="D6379" s="1743" t="str">
        <f>Risk_Compensation!$AJ$14</f>
        <v>geschätzte Risikoausgleichssätze, pro Monat in CHF (ohne Entlastung junge Erwachsene)</v>
      </c>
      <c r="E6379" s="1390">
        <f>Risk_Compensation!$AJ57</f>
        <v>40</v>
      </c>
      <c r="F6379" s="1390" t="str">
        <f>Risk_Compensation!$AC$17</f>
        <v>UR</v>
      </c>
      <c r="G6379" s="1390"/>
      <c r="H6379" s="1077">
        <f>Risk_Compensation!$BF57</f>
        <v>-226.05924862982801</v>
      </c>
    </row>
    <row r="6380" spans="1:8" x14ac:dyDescent="0.2">
      <c r="A6380" s="1027"/>
      <c r="B6380" s="1083">
        <f>Risk_Compensation!A$1</f>
        <v>36</v>
      </c>
      <c r="C6380" s="1390" t="str">
        <f>Risk_Compensation!$B$1</f>
        <v xml:space="preserve">Risikoausgleich </v>
      </c>
      <c r="D6380" s="1743" t="str">
        <f>Risk_Compensation!$AJ$14</f>
        <v>geschätzte Risikoausgleichssätze, pro Monat in CHF (ohne Entlastung junge Erwachsene)</v>
      </c>
      <c r="E6380" s="1390">
        <f>Risk_Compensation!$AJ58</f>
        <v>41</v>
      </c>
      <c r="F6380" s="1390" t="str">
        <f>Risk_Compensation!$AC$17</f>
        <v>UR</v>
      </c>
      <c r="G6380" s="1390"/>
      <c r="H6380" s="1077">
        <f>Risk_Compensation!$BF58</f>
        <v>261.08590364305201</v>
      </c>
    </row>
    <row r="6381" spans="1:8" x14ac:dyDescent="0.2">
      <c r="A6381" s="1027"/>
      <c r="B6381" s="1083">
        <f>Risk_Compensation!A$1</f>
        <v>36</v>
      </c>
      <c r="C6381" s="1390" t="str">
        <f>Risk_Compensation!$B$1</f>
        <v xml:space="preserve">Risikoausgleich </v>
      </c>
      <c r="D6381" s="1743" t="str">
        <f>Risk_Compensation!$AJ$14</f>
        <v>geschätzte Risikoausgleichssätze, pro Monat in CHF (ohne Entlastung junge Erwachsene)</v>
      </c>
      <c r="E6381" s="1390">
        <f>Risk_Compensation!$AJ59</f>
        <v>42</v>
      </c>
      <c r="F6381" s="1390" t="str">
        <f>Risk_Compensation!$AC$17</f>
        <v>UR</v>
      </c>
      <c r="G6381" s="1390"/>
      <c r="H6381" s="1077">
        <f>Risk_Compensation!$BF59</f>
        <v>-236.98143877907901</v>
      </c>
    </row>
    <row r="6382" spans="1:8" x14ac:dyDescent="0.2">
      <c r="A6382" s="1027"/>
      <c r="B6382" s="1083">
        <f>Risk_Compensation!A$1</f>
        <v>36</v>
      </c>
      <c r="C6382" s="1390" t="str">
        <f>Risk_Compensation!$B$1</f>
        <v xml:space="preserve">Risikoausgleich </v>
      </c>
      <c r="D6382" s="1743" t="str">
        <f>Risk_Compensation!$AJ$14</f>
        <v>geschätzte Risikoausgleichssätze, pro Monat in CHF (ohne Entlastung junge Erwachsene)</v>
      </c>
      <c r="E6382" s="1390">
        <f>Risk_Compensation!$AJ60</f>
        <v>43</v>
      </c>
      <c r="F6382" s="1390" t="str">
        <f>Risk_Compensation!$AC$17</f>
        <v>UR</v>
      </c>
      <c r="G6382" s="1390"/>
      <c r="H6382" s="1077">
        <f>Risk_Compensation!$BF60</f>
        <v>509.912348423644</v>
      </c>
    </row>
    <row r="6383" spans="1:8" x14ac:dyDescent="0.2">
      <c r="A6383" s="1027"/>
      <c r="B6383" s="1083">
        <f>Risk_Compensation!A$1</f>
        <v>36</v>
      </c>
      <c r="C6383" s="1390" t="str">
        <f>Risk_Compensation!$B$1</f>
        <v xml:space="preserve">Risikoausgleich </v>
      </c>
      <c r="D6383" s="1743" t="str">
        <f>Risk_Compensation!$AJ$14</f>
        <v>geschätzte Risikoausgleichssätze, pro Monat in CHF (ohne Entlastung junge Erwachsene)</v>
      </c>
      <c r="E6383" s="1390">
        <f>Risk_Compensation!$AJ61</f>
        <v>44</v>
      </c>
      <c r="F6383" s="1390" t="str">
        <f>Risk_Compensation!$AC$17</f>
        <v>UR</v>
      </c>
      <c r="G6383" s="1390"/>
      <c r="H6383" s="1077">
        <f>Risk_Compensation!$BF61</f>
        <v>-186.829288781722</v>
      </c>
    </row>
    <row r="6384" spans="1:8" x14ac:dyDescent="0.2">
      <c r="A6384" s="1027"/>
      <c r="B6384" s="1083">
        <f>Risk_Compensation!A$1</f>
        <v>36</v>
      </c>
      <c r="C6384" s="1390" t="str">
        <f>Risk_Compensation!$B$1</f>
        <v xml:space="preserve">Risikoausgleich </v>
      </c>
      <c r="D6384" s="1743" t="str">
        <f>Risk_Compensation!$AJ$14</f>
        <v>geschätzte Risikoausgleichssätze, pro Monat in CHF (ohne Entlastung junge Erwachsene)</v>
      </c>
      <c r="E6384" s="1390">
        <f>Risk_Compensation!$AJ62</f>
        <v>45</v>
      </c>
      <c r="F6384" s="1390" t="str">
        <f>Risk_Compensation!$AC$17</f>
        <v>UR</v>
      </c>
      <c r="G6384" s="1390"/>
      <c r="H6384" s="1077">
        <f>Risk_Compensation!$BF62</f>
        <v>42.910126997198098</v>
      </c>
    </row>
    <row r="6385" spans="1:8" x14ac:dyDescent="0.2">
      <c r="A6385" s="1027"/>
      <c r="B6385" s="1083">
        <f>Risk_Compensation!A$1</f>
        <v>36</v>
      </c>
      <c r="C6385" s="1390" t="str">
        <f>Risk_Compensation!$B$1</f>
        <v xml:space="preserve">Risikoausgleich </v>
      </c>
      <c r="D6385" s="1743" t="str">
        <f>Risk_Compensation!$AJ$14</f>
        <v>geschätzte Risikoausgleichssätze, pro Monat in CHF (ohne Entlastung junge Erwachsene)</v>
      </c>
      <c r="E6385" s="1390">
        <f>Risk_Compensation!$AJ63</f>
        <v>46</v>
      </c>
      <c r="F6385" s="1390" t="str">
        <f>Risk_Compensation!$AC$17</f>
        <v>UR</v>
      </c>
      <c r="G6385" s="1390"/>
      <c r="H6385" s="1077">
        <f>Risk_Compensation!$BF63</f>
        <v>-178.964981265652</v>
      </c>
    </row>
    <row r="6386" spans="1:8" x14ac:dyDescent="0.2">
      <c r="A6386" s="1027"/>
      <c r="B6386" s="1083">
        <f>Risk_Compensation!A$1</f>
        <v>36</v>
      </c>
      <c r="C6386" s="1390" t="str">
        <f>Risk_Compensation!$B$1</f>
        <v xml:space="preserve">Risikoausgleich </v>
      </c>
      <c r="D6386" s="1743" t="str">
        <f>Risk_Compensation!$AJ$14</f>
        <v>geschätzte Risikoausgleichssätze, pro Monat in CHF (ohne Entlastung junge Erwachsene)</v>
      </c>
      <c r="E6386" s="1390">
        <f>Risk_Compensation!$AJ64</f>
        <v>47</v>
      </c>
      <c r="F6386" s="1390" t="str">
        <f>Risk_Compensation!$AC$17</f>
        <v>UR</v>
      </c>
      <c r="G6386" s="1390"/>
      <c r="H6386" s="1077">
        <f>Risk_Compensation!$BF64</f>
        <v>410.28654005417098</v>
      </c>
    </row>
    <row r="6387" spans="1:8" x14ac:dyDescent="0.2">
      <c r="A6387" s="1027"/>
      <c r="B6387" s="1083">
        <f>Risk_Compensation!A$1</f>
        <v>36</v>
      </c>
      <c r="C6387" s="1390" t="str">
        <f>Risk_Compensation!$B$1</f>
        <v xml:space="preserve">Risikoausgleich </v>
      </c>
      <c r="D6387" s="1743" t="str">
        <f>Risk_Compensation!$AJ$14</f>
        <v>geschätzte Risikoausgleichssätze, pro Monat in CHF (ohne Entlastung junge Erwachsene)</v>
      </c>
      <c r="E6387" s="1390">
        <f>Risk_Compensation!$AJ65</f>
        <v>48</v>
      </c>
      <c r="F6387" s="1390" t="str">
        <f>Risk_Compensation!$AC$17</f>
        <v>UR</v>
      </c>
      <c r="G6387" s="1390"/>
      <c r="H6387" s="1077">
        <f>Risk_Compensation!$BF65</f>
        <v>-194.503675604948</v>
      </c>
    </row>
    <row r="6388" spans="1:8" x14ac:dyDescent="0.2">
      <c r="A6388" s="1027"/>
      <c r="B6388" s="1083">
        <f>Risk_Compensation!A$1</f>
        <v>36</v>
      </c>
      <c r="C6388" s="1390" t="str">
        <f>Risk_Compensation!$B$1</f>
        <v xml:space="preserve">Risikoausgleich </v>
      </c>
      <c r="D6388" s="1743" t="str">
        <f>Risk_Compensation!$AJ$14</f>
        <v>geschätzte Risikoausgleichssätze, pro Monat in CHF (ohne Entlastung junge Erwachsene)</v>
      </c>
      <c r="E6388" s="1390">
        <f>Risk_Compensation!$AJ66</f>
        <v>49</v>
      </c>
      <c r="F6388" s="1390" t="str">
        <f>Risk_Compensation!$AC$17</f>
        <v>UR</v>
      </c>
      <c r="G6388" s="1390"/>
      <c r="H6388" s="1077">
        <f>Risk_Compensation!$BF66</f>
        <v>446.20223087613101</v>
      </c>
    </row>
    <row r="6389" spans="1:8" x14ac:dyDescent="0.2">
      <c r="A6389" s="1027"/>
      <c r="B6389" s="1083">
        <f>Risk_Compensation!A$1</f>
        <v>36</v>
      </c>
      <c r="C6389" s="1390" t="str">
        <f>Risk_Compensation!$B$1</f>
        <v xml:space="preserve">Risikoausgleich </v>
      </c>
      <c r="D6389" s="1743" t="str">
        <f>Risk_Compensation!$AJ$14</f>
        <v>geschätzte Risikoausgleichssätze, pro Monat in CHF (ohne Entlastung junge Erwachsene)</v>
      </c>
      <c r="E6389" s="1390">
        <f>Risk_Compensation!$AJ67</f>
        <v>50</v>
      </c>
      <c r="F6389" s="1390" t="str">
        <f>Risk_Compensation!$AC$17</f>
        <v>UR</v>
      </c>
      <c r="G6389" s="1390"/>
      <c r="H6389" s="1077">
        <f>Risk_Compensation!$BF67</f>
        <v>-97.831140125812198</v>
      </c>
    </row>
    <row r="6390" spans="1:8" x14ac:dyDescent="0.2">
      <c r="A6390" s="1027"/>
      <c r="B6390" s="1083">
        <f>Risk_Compensation!A$1</f>
        <v>36</v>
      </c>
      <c r="C6390" s="1390" t="str">
        <f>Risk_Compensation!$B$1</f>
        <v xml:space="preserve">Risikoausgleich </v>
      </c>
      <c r="D6390" s="1743" t="str">
        <f>Risk_Compensation!$AJ$14</f>
        <v>geschätzte Risikoausgleichssätze, pro Monat in CHF (ohne Entlastung junge Erwachsene)</v>
      </c>
      <c r="E6390" s="1390">
        <f>Risk_Compensation!$AJ68</f>
        <v>51</v>
      </c>
      <c r="F6390" s="1390" t="str">
        <f>Risk_Compensation!$AC$17</f>
        <v>UR</v>
      </c>
      <c r="G6390" s="1390"/>
      <c r="H6390" s="1077">
        <f>Risk_Compensation!$BF68</f>
        <v>391.12157776339899</v>
      </c>
    </row>
    <row r="6391" spans="1:8" x14ac:dyDescent="0.2">
      <c r="A6391" s="1027"/>
      <c r="B6391" s="1083">
        <f>Risk_Compensation!A$1</f>
        <v>36</v>
      </c>
      <c r="C6391" s="1390" t="str">
        <f>Risk_Compensation!$B$1</f>
        <v xml:space="preserve">Risikoausgleich </v>
      </c>
      <c r="D6391" s="1743" t="str">
        <f>Risk_Compensation!$AJ$14</f>
        <v>geschätzte Risikoausgleichssätze, pro Monat in CHF (ohne Entlastung junge Erwachsene)</v>
      </c>
      <c r="E6391" s="1390">
        <f>Risk_Compensation!$AJ69</f>
        <v>52</v>
      </c>
      <c r="F6391" s="1390" t="str">
        <f>Risk_Compensation!$AC$17</f>
        <v>UR</v>
      </c>
      <c r="G6391" s="1390"/>
      <c r="H6391" s="1077">
        <f>Risk_Compensation!$BF69</f>
        <v>-75.779033185901298</v>
      </c>
    </row>
    <row r="6392" spans="1:8" x14ac:dyDescent="0.2">
      <c r="A6392" s="1027"/>
      <c r="B6392" s="1083">
        <f>Risk_Compensation!A$1</f>
        <v>36</v>
      </c>
      <c r="C6392" s="1390" t="str">
        <f>Risk_Compensation!$B$1</f>
        <v xml:space="preserve">Risikoausgleich </v>
      </c>
      <c r="D6392" s="1743" t="str">
        <f>Risk_Compensation!$AJ$14</f>
        <v>geschätzte Risikoausgleichssätze, pro Monat in CHF (ohne Entlastung junge Erwachsene)</v>
      </c>
      <c r="E6392" s="1390">
        <f>Risk_Compensation!$AJ70</f>
        <v>53</v>
      </c>
      <c r="F6392" s="1390" t="str">
        <f>Risk_Compensation!$AC$17</f>
        <v>UR</v>
      </c>
      <c r="G6392" s="1390"/>
      <c r="H6392" s="1077">
        <f>Risk_Compensation!$BF70</f>
        <v>649.363047228347</v>
      </c>
    </row>
    <row r="6393" spans="1:8" x14ac:dyDescent="0.2">
      <c r="A6393" s="1027"/>
      <c r="B6393" s="1083">
        <f>Risk_Compensation!A$1</f>
        <v>36</v>
      </c>
      <c r="C6393" s="1390" t="str">
        <f>Risk_Compensation!$B$1</f>
        <v xml:space="preserve">Risikoausgleich </v>
      </c>
      <c r="D6393" s="1743" t="str">
        <f>Risk_Compensation!$AJ$14</f>
        <v>geschätzte Risikoausgleichssätze, pro Monat in CHF (ohne Entlastung junge Erwachsene)</v>
      </c>
      <c r="E6393" s="1390">
        <f>Risk_Compensation!$AJ71</f>
        <v>54</v>
      </c>
      <c r="F6393" s="1390" t="str">
        <f>Risk_Compensation!$AC$17</f>
        <v>UR</v>
      </c>
      <c r="G6393" s="1390"/>
      <c r="H6393" s="1077">
        <f>Risk_Compensation!$BF71</f>
        <v>2.7061053491061702</v>
      </c>
    </row>
    <row r="6394" spans="1:8" x14ac:dyDescent="0.2">
      <c r="A6394" s="1027"/>
      <c r="B6394" s="1083">
        <f>Risk_Compensation!A$1</f>
        <v>36</v>
      </c>
      <c r="C6394" s="1390" t="str">
        <f>Risk_Compensation!$B$1</f>
        <v xml:space="preserve">Risikoausgleich </v>
      </c>
      <c r="D6394" s="1743" t="str">
        <f>Risk_Compensation!$AJ$14</f>
        <v>geschätzte Risikoausgleichssätze, pro Monat in CHF (ohne Entlastung junge Erwachsene)</v>
      </c>
      <c r="E6394" s="1390">
        <f>Risk_Compensation!$AJ72</f>
        <v>55</v>
      </c>
      <c r="F6394" s="1390" t="str">
        <f>Risk_Compensation!$AC$17</f>
        <v>UR</v>
      </c>
      <c r="G6394" s="1390"/>
      <c r="H6394" s="1077">
        <f>Risk_Compensation!$BF72</f>
        <v>924.63499026868601</v>
      </c>
    </row>
    <row r="6395" spans="1:8" x14ac:dyDescent="0.2">
      <c r="A6395" s="1027"/>
      <c r="B6395" s="1083">
        <f>Risk_Compensation!A$1</f>
        <v>36</v>
      </c>
      <c r="C6395" s="1390" t="str">
        <f>Risk_Compensation!$B$1</f>
        <v xml:space="preserve">Risikoausgleich </v>
      </c>
      <c r="D6395" s="1743" t="str">
        <f>Risk_Compensation!$AJ$14</f>
        <v>geschätzte Risikoausgleichssätze, pro Monat in CHF (ohne Entlastung junge Erwachsene)</v>
      </c>
      <c r="E6395" s="1390">
        <f>Risk_Compensation!$AJ73</f>
        <v>56</v>
      </c>
      <c r="F6395" s="1390" t="str">
        <f>Risk_Compensation!$AC$17</f>
        <v>UR</v>
      </c>
      <c r="G6395" s="1390"/>
      <c r="H6395" s="1077">
        <f>Risk_Compensation!$BF73</f>
        <v>47.880657079739798</v>
      </c>
    </row>
    <row r="6396" spans="1:8" x14ac:dyDescent="0.2">
      <c r="A6396" s="1027"/>
      <c r="B6396" s="1083">
        <f>Risk_Compensation!A$1</f>
        <v>36</v>
      </c>
      <c r="C6396" s="1390" t="str">
        <f>Risk_Compensation!$B$1</f>
        <v xml:space="preserve">Risikoausgleich </v>
      </c>
      <c r="D6396" s="1743" t="str">
        <f>Risk_Compensation!$AJ$14</f>
        <v>geschätzte Risikoausgleichssätze, pro Monat in CHF (ohne Entlastung junge Erwachsene)</v>
      </c>
      <c r="E6396" s="1390">
        <f>Risk_Compensation!$AJ74</f>
        <v>57</v>
      </c>
      <c r="F6396" s="1390" t="str">
        <f>Risk_Compensation!$AC$17</f>
        <v>UR</v>
      </c>
      <c r="G6396" s="1390"/>
      <c r="H6396" s="1077">
        <f>Risk_Compensation!$BF74</f>
        <v>1030.3193179688601</v>
      </c>
    </row>
    <row r="6397" spans="1:8" x14ac:dyDescent="0.2">
      <c r="A6397" s="1027"/>
      <c r="B6397" s="1083">
        <f>Risk_Compensation!A$1</f>
        <v>36</v>
      </c>
      <c r="C6397" s="1390" t="str">
        <f>Risk_Compensation!$B$1</f>
        <v xml:space="preserve">Risikoausgleich </v>
      </c>
      <c r="D6397" s="1743" t="str">
        <f>Risk_Compensation!$AJ$14</f>
        <v>geschätzte Risikoausgleichssätze, pro Monat in CHF (ohne Entlastung junge Erwachsene)</v>
      </c>
      <c r="E6397" s="1390">
        <f>Risk_Compensation!$AJ75</f>
        <v>58</v>
      </c>
      <c r="F6397" s="1390" t="str">
        <f>Risk_Compensation!$AC$17</f>
        <v>UR</v>
      </c>
      <c r="G6397" s="1390"/>
      <c r="H6397" s="1077">
        <f>Risk_Compensation!$BF75</f>
        <v>40.630041791022997</v>
      </c>
    </row>
    <row r="6398" spans="1:8" x14ac:dyDescent="0.2">
      <c r="A6398" s="1027"/>
      <c r="B6398" s="1083">
        <f>Risk_Compensation!A$1</f>
        <v>36</v>
      </c>
      <c r="C6398" s="1390" t="str">
        <f>Risk_Compensation!$B$1</f>
        <v xml:space="preserve">Risikoausgleich </v>
      </c>
      <c r="D6398" s="1743" t="str">
        <f>Risk_Compensation!$AJ$14</f>
        <v>geschätzte Risikoausgleichssätze, pro Monat in CHF (ohne Entlastung junge Erwachsene)</v>
      </c>
      <c r="E6398" s="1390">
        <f>Risk_Compensation!$AJ76</f>
        <v>59</v>
      </c>
      <c r="F6398" s="1390" t="str">
        <f>Risk_Compensation!$AC$17</f>
        <v>UR</v>
      </c>
      <c r="G6398" s="1390"/>
      <c r="H6398" s="1077">
        <f>Risk_Compensation!$BF76</f>
        <v>1303.66170762857</v>
      </c>
    </row>
    <row r="6399" spans="1:8" x14ac:dyDescent="0.2">
      <c r="A6399" s="1027"/>
      <c r="B6399" s="1083">
        <f>Risk_Compensation!A$1</f>
        <v>36</v>
      </c>
      <c r="C6399" s="1390" t="str">
        <f>Risk_Compensation!$B$1</f>
        <v xml:space="preserve">Risikoausgleich </v>
      </c>
      <c r="D6399" s="1743" t="str">
        <f>Risk_Compensation!$AJ$14</f>
        <v>geschätzte Risikoausgleichssätze, pro Monat in CHF (ohne Entlastung junge Erwachsene)</v>
      </c>
      <c r="E6399" s="1390">
        <f>Risk_Compensation!$AJ77</f>
        <v>60</v>
      </c>
      <c r="F6399" s="1390" t="str">
        <f>Risk_Compensation!$AC$17</f>
        <v>UR</v>
      </c>
      <c r="G6399" s="1390"/>
      <c r="H6399" s="1077">
        <f>Risk_Compensation!$BF77</f>
        <v>227.623774563556</v>
      </c>
    </row>
    <row r="6400" spans="1:8" x14ac:dyDescent="0.2">
      <c r="A6400" s="1027"/>
      <c r="B6400" s="2174"/>
      <c r="C6400" s="1390"/>
      <c r="D6400" s="2175"/>
      <c r="E6400" s="2176"/>
      <c r="F6400" s="1390"/>
      <c r="G6400" s="1390"/>
      <c r="H6400" s="1078"/>
    </row>
    <row r="6401" spans="1:8" x14ac:dyDescent="0.2">
      <c r="A6401" s="1027"/>
      <c r="B6401" s="1083">
        <f>Risk_Compensation!A$1</f>
        <v>36</v>
      </c>
      <c r="C6401" s="1390" t="str">
        <f>Risk_Compensation!$B$1</f>
        <v xml:space="preserve">Risikoausgleich </v>
      </c>
      <c r="D6401" s="1743" t="str">
        <f>Risk_Compensation!$AJ$14</f>
        <v>geschätzte Risikoausgleichssätze, pro Monat in CHF (ohne Entlastung junge Erwachsene)</v>
      </c>
      <c r="E6401" s="1390">
        <f>Risk_Compensation!$AJ18</f>
        <v>1</v>
      </c>
      <c r="F6401" s="1390" t="str">
        <f>Risk_Compensation!$AD$17</f>
        <v>VD</v>
      </c>
      <c r="G6401" s="1390"/>
      <c r="H6401" s="1077">
        <f>Risk_Compensation!$BG18</f>
        <v>705.33851387601601</v>
      </c>
    </row>
    <row r="6402" spans="1:8" x14ac:dyDescent="0.2">
      <c r="A6402" s="1027"/>
      <c r="B6402" s="1083">
        <f>Risk_Compensation!A$1</f>
        <v>36</v>
      </c>
      <c r="C6402" s="1390" t="str">
        <f>Risk_Compensation!$B$1</f>
        <v xml:space="preserve">Risikoausgleich </v>
      </c>
      <c r="D6402" s="1743" t="str">
        <f>Risk_Compensation!$AJ$14</f>
        <v>geschätzte Risikoausgleichssätze, pro Monat in CHF (ohne Entlastung junge Erwachsene)</v>
      </c>
      <c r="E6402" s="1390">
        <f>Risk_Compensation!$AJ19</f>
        <v>2</v>
      </c>
      <c r="F6402" s="1390" t="str">
        <f>Risk_Compensation!$AD$17</f>
        <v>VD</v>
      </c>
      <c r="G6402" s="1390"/>
      <c r="H6402" s="1077">
        <f>Risk_Compensation!$BG19</f>
        <v>-356.08278961447701</v>
      </c>
    </row>
    <row r="6403" spans="1:8" x14ac:dyDescent="0.2">
      <c r="A6403" s="1027"/>
      <c r="B6403" s="1083">
        <f>Risk_Compensation!A$1</f>
        <v>36</v>
      </c>
      <c r="C6403" s="1390" t="str">
        <f>Risk_Compensation!$B$1</f>
        <v xml:space="preserve">Risikoausgleich </v>
      </c>
      <c r="D6403" s="1743" t="str">
        <f>Risk_Compensation!$AJ$14</f>
        <v>geschätzte Risikoausgleichssätze, pro Monat in CHF (ohne Entlastung junge Erwachsene)</v>
      </c>
      <c r="E6403" s="1390">
        <f>Risk_Compensation!$AJ20</f>
        <v>3</v>
      </c>
      <c r="F6403" s="1390" t="str">
        <f>Risk_Compensation!$AD$17</f>
        <v>VD</v>
      </c>
      <c r="G6403" s="1390"/>
      <c r="H6403" s="1077">
        <f>Risk_Compensation!$BG20</f>
        <v>559.31811180435295</v>
      </c>
    </row>
    <row r="6404" spans="1:8" x14ac:dyDescent="0.2">
      <c r="A6404" s="1027"/>
      <c r="B6404" s="1083">
        <f>Risk_Compensation!A$1</f>
        <v>36</v>
      </c>
      <c r="C6404" s="1390" t="str">
        <f>Risk_Compensation!$B$1</f>
        <v xml:space="preserve">Risikoausgleich </v>
      </c>
      <c r="D6404" s="1743" t="str">
        <f>Risk_Compensation!$AJ$14</f>
        <v>geschätzte Risikoausgleichssätze, pro Monat in CHF (ohne Entlastung junge Erwachsene)</v>
      </c>
      <c r="E6404" s="1390">
        <f>Risk_Compensation!$AJ21</f>
        <v>4</v>
      </c>
      <c r="F6404" s="1390" t="str">
        <f>Risk_Compensation!$AD$17</f>
        <v>VD</v>
      </c>
      <c r="G6404" s="1390"/>
      <c r="H6404" s="1077">
        <f>Risk_Compensation!$BG21</f>
        <v>-367.650543091744</v>
      </c>
    </row>
    <row r="6405" spans="1:8" x14ac:dyDescent="0.2">
      <c r="A6405" s="1027"/>
      <c r="B6405" s="1083">
        <f>Risk_Compensation!A$1</f>
        <v>36</v>
      </c>
      <c r="C6405" s="1390" t="str">
        <f>Risk_Compensation!$B$1</f>
        <v xml:space="preserve">Risikoausgleich </v>
      </c>
      <c r="D6405" s="1743" t="str">
        <f>Risk_Compensation!$AJ$14</f>
        <v>geschätzte Risikoausgleichssätze, pro Monat in CHF (ohne Entlastung junge Erwachsene)</v>
      </c>
      <c r="E6405" s="1390">
        <f>Risk_Compensation!$AJ22</f>
        <v>5</v>
      </c>
      <c r="F6405" s="1390" t="str">
        <f>Risk_Compensation!$AD$17</f>
        <v>VD</v>
      </c>
      <c r="G6405" s="1390"/>
      <c r="H6405" s="1077">
        <f>Risk_Compensation!$BG22</f>
        <v>754.22663742027601</v>
      </c>
    </row>
    <row r="6406" spans="1:8" x14ac:dyDescent="0.2">
      <c r="A6406" s="1027"/>
      <c r="B6406" s="1083">
        <f>Risk_Compensation!A$1</f>
        <v>36</v>
      </c>
      <c r="C6406" s="1390" t="str">
        <f>Risk_Compensation!$B$1</f>
        <v xml:space="preserve">Risikoausgleich </v>
      </c>
      <c r="D6406" s="1743" t="str">
        <f>Risk_Compensation!$AJ$14</f>
        <v>geschätzte Risikoausgleichssätze, pro Monat in CHF (ohne Entlastung junge Erwachsene)</v>
      </c>
      <c r="E6406" s="1390">
        <f>Risk_Compensation!$AJ23</f>
        <v>6</v>
      </c>
      <c r="F6406" s="1390" t="str">
        <f>Risk_Compensation!$AD$17</f>
        <v>VD</v>
      </c>
      <c r="G6406" s="1390"/>
      <c r="H6406" s="1077">
        <f>Risk_Compensation!$BG23</f>
        <v>-360.85117835752999</v>
      </c>
    </row>
    <row r="6407" spans="1:8" x14ac:dyDescent="0.2">
      <c r="A6407" s="1027"/>
      <c r="B6407" s="1083">
        <f>Risk_Compensation!A$1</f>
        <v>36</v>
      </c>
      <c r="C6407" s="1390" t="str">
        <f>Risk_Compensation!$B$1</f>
        <v xml:space="preserve">Risikoausgleich </v>
      </c>
      <c r="D6407" s="1743" t="str">
        <f>Risk_Compensation!$AJ$14</f>
        <v>geschätzte Risikoausgleichssätze, pro Monat in CHF (ohne Entlastung junge Erwachsene)</v>
      </c>
      <c r="E6407" s="1390">
        <f>Risk_Compensation!$AJ24</f>
        <v>7</v>
      </c>
      <c r="F6407" s="1390" t="str">
        <f>Risk_Compensation!$AD$17</f>
        <v>VD</v>
      </c>
      <c r="G6407" s="1390"/>
      <c r="H6407" s="1077">
        <f>Risk_Compensation!$BG24</f>
        <v>545.11546439973301</v>
      </c>
    </row>
    <row r="6408" spans="1:8" x14ac:dyDescent="0.2">
      <c r="A6408" s="1027"/>
      <c r="B6408" s="1083">
        <f>Risk_Compensation!A$1</f>
        <v>36</v>
      </c>
      <c r="C6408" s="1390" t="str">
        <f>Risk_Compensation!$B$1</f>
        <v xml:space="preserve">Risikoausgleich </v>
      </c>
      <c r="D6408" s="1743" t="str">
        <f>Risk_Compensation!$AJ$14</f>
        <v>geschätzte Risikoausgleichssätze, pro Monat in CHF (ohne Entlastung junge Erwachsene)</v>
      </c>
      <c r="E6408" s="1390">
        <f>Risk_Compensation!$AJ25</f>
        <v>8</v>
      </c>
      <c r="F6408" s="1390" t="str">
        <f>Risk_Compensation!$AD$17</f>
        <v>VD</v>
      </c>
      <c r="G6408" s="1390"/>
      <c r="H6408" s="1077">
        <f>Risk_Compensation!$BG25</f>
        <v>-356.18649303440299</v>
      </c>
    </row>
    <row r="6409" spans="1:8" x14ac:dyDescent="0.2">
      <c r="A6409" s="1027"/>
      <c r="B6409" s="1083">
        <f>Risk_Compensation!A$1</f>
        <v>36</v>
      </c>
      <c r="C6409" s="1390" t="str">
        <f>Risk_Compensation!$B$1</f>
        <v xml:space="preserve">Risikoausgleich </v>
      </c>
      <c r="D6409" s="1743" t="str">
        <f>Risk_Compensation!$AJ$14</f>
        <v>geschätzte Risikoausgleichssätze, pro Monat in CHF (ohne Entlastung junge Erwachsene)</v>
      </c>
      <c r="E6409" s="1390">
        <f>Risk_Compensation!$AJ26</f>
        <v>9</v>
      </c>
      <c r="F6409" s="1390" t="str">
        <f>Risk_Compensation!$AD$17</f>
        <v>VD</v>
      </c>
      <c r="G6409" s="1390"/>
      <c r="H6409" s="1077">
        <f>Risk_Compensation!$BG26</f>
        <v>575.34157397918705</v>
      </c>
    </row>
    <row r="6410" spans="1:8" x14ac:dyDescent="0.2">
      <c r="A6410" s="1027"/>
      <c r="B6410" s="1083">
        <f>Risk_Compensation!A$1</f>
        <v>36</v>
      </c>
      <c r="C6410" s="1390" t="str">
        <f>Risk_Compensation!$B$1</f>
        <v xml:space="preserve">Risikoausgleich </v>
      </c>
      <c r="D6410" s="1743" t="str">
        <f>Risk_Compensation!$AJ$14</f>
        <v>geschätzte Risikoausgleichssätze, pro Monat in CHF (ohne Entlastung junge Erwachsene)</v>
      </c>
      <c r="E6410" s="1390">
        <f>Risk_Compensation!$AJ27</f>
        <v>10</v>
      </c>
      <c r="F6410" s="1390" t="str">
        <f>Risk_Compensation!$AD$17</f>
        <v>VD</v>
      </c>
      <c r="G6410" s="1390"/>
      <c r="H6410" s="1077">
        <f>Risk_Compensation!$BG27</f>
        <v>-340.94431663197599</v>
      </c>
    </row>
    <row r="6411" spans="1:8" x14ac:dyDescent="0.2">
      <c r="A6411" s="1027"/>
      <c r="B6411" s="1083">
        <f>Risk_Compensation!A$1</f>
        <v>36</v>
      </c>
      <c r="C6411" s="1390" t="str">
        <f>Risk_Compensation!$B$1</f>
        <v xml:space="preserve">Risikoausgleich </v>
      </c>
      <c r="D6411" s="1743" t="str">
        <f>Risk_Compensation!$AJ$14</f>
        <v>geschätzte Risikoausgleichssätze, pro Monat in CHF (ohne Entlastung junge Erwachsene)</v>
      </c>
      <c r="E6411" s="1390">
        <f>Risk_Compensation!$AJ28</f>
        <v>11</v>
      </c>
      <c r="F6411" s="1390" t="str">
        <f>Risk_Compensation!$AD$17</f>
        <v>VD</v>
      </c>
      <c r="G6411" s="1390"/>
      <c r="H6411" s="1077">
        <f>Risk_Compensation!$BG28</f>
        <v>629.48322413848996</v>
      </c>
    </row>
    <row r="6412" spans="1:8" x14ac:dyDescent="0.2">
      <c r="A6412" s="1027"/>
      <c r="B6412" s="1083">
        <f>Risk_Compensation!A$1</f>
        <v>36</v>
      </c>
      <c r="C6412" s="1390" t="str">
        <f>Risk_Compensation!$B$1</f>
        <v xml:space="preserve">Risikoausgleich </v>
      </c>
      <c r="D6412" s="1743" t="str">
        <f>Risk_Compensation!$AJ$14</f>
        <v>geschätzte Risikoausgleichssätze, pro Monat in CHF (ohne Entlastung junge Erwachsene)</v>
      </c>
      <c r="E6412" s="1390">
        <f>Risk_Compensation!$AJ29</f>
        <v>12</v>
      </c>
      <c r="F6412" s="1390" t="str">
        <f>Risk_Compensation!$AD$17</f>
        <v>VD</v>
      </c>
      <c r="G6412" s="1390"/>
      <c r="H6412" s="1077">
        <f>Risk_Compensation!$BG29</f>
        <v>-319.47471836614102</v>
      </c>
    </row>
    <row r="6413" spans="1:8" x14ac:dyDescent="0.2">
      <c r="A6413" s="1027"/>
      <c r="B6413" s="1083">
        <f>Risk_Compensation!A$1</f>
        <v>36</v>
      </c>
      <c r="C6413" s="1390" t="str">
        <f>Risk_Compensation!$B$1</f>
        <v xml:space="preserve">Risikoausgleich </v>
      </c>
      <c r="D6413" s="1743" t="str">
        <f>Risk_Compensation!$AJ$14</f>
        <v>geschätzte Risikoausgleichssätze, pro Monat in CHF (ohne Entlastung junge Erwachsene)</v>
      </c>
      <c r="E6413" s="1390">
        <f>Risk_Compensation!$AJ30</f>
        <v>13</v>
      </c>
      <c r="F6413" s="1390" t="str">
        <f>Risk_Compensation!$AD$17</f>
        <v>VD</v>
      </c>
      <c r="G6413" s="1390"/>
      <c r="H6413" s="1077">
        <f>Risk_Compensation!$BG30</f>
        <v>681.98408031653798</v>
      </c>
    </row>
    <row r="6414" spans="1:8" x14ac:dyDescent="0.2">
      <c r="A6414" s="1027"/>
      <c r="B6414" s="1083">
        <f>Risk_Compensation!A$1</f>
        <v>36</v>
      </c>
      <c r="C6414" s="1390" t="str">
        <f>Risk_Compensation!$B$1</f>
        <v xml:space="preserve">Risikoausgleich </v>
      </c>
      <c r="D6414" s="1743" t="str">
        <f>Risk_Compensation!$AJ$14</f>
        <v>geschätzte Risikoausgleichssätze, pro Monat in CHF (ohne Entlastung junge Erwachsene)</v>
      </c>
      <c r="E6414" s="1390">
        <f>Risk_Compensation!$AJ31</f>
        <v>14</v>
      </c>
      <c r="F6414" s="1390" t="str">
        <f>Risk_Compensation!$AD$17</f>
        <v>VD</v>
      </c>
      <c r="G6414" s="1390"/>
      <c r="H6414" s="1077">
        <f>Risk_Compensation!$BG31</f>
        <v>-289.467008089214</v>
      </c>
    </row>
    <row r="6415" spans="1:8" x14ac:dyDescent="0.2">
      <c r="A6415" s="1027"/>
      <c r="B6415" s="1083">
        <f>Risk_Compensation!A$1</f>
        <v>36</v>
      </c>
      <c r="C6415" s="1390" t="str">
        <f>Risk_Compensation!$B$1</f>
        <v xml:space="preserve">Risikoausgleich </v>
      </c>
      <c r="D6415" s="1743" t="str">
        <f>Risk_Compensation!$AJ$14</f>
        <v>geschätzte Risikoausgleichssätze, pro Monat in CHF (ohne Entlastung junge Erwachsene)</v>
      </c>
      <c r="E6415" s="1390">
        <f>Risk_Compensation!$AJ32</f>
        <v>15</v>
      </c>
      <c r="F6415" s="1390" t="str">
        <f>Risk_Compensation!$AD$17</f>
        <v>VD</v>
      </c>
      <c r="G6415" s="1390"/>
      <c r="H6415" s="1077">
        <f>Risk_Compensation!$BG32</f>
        <v>651.37576416305501</v>
      </c>
    </row>
    <row r="6416" spans="1:8" x14ac:dyDescent="0.2">
      <c r="A6416" s="1027"/>
      <c r="B6416" s="1083">
        <f>Risk_Compensation!A$1</f>
        <v>36</v>
      </c>
      <c r="C6416" s="1390" t="str">
        <f>Risk_Compensation!$B$1</f>
        <v xml:space="preserve">Risikoausgleich </v>
      </c>
      <c r="D6416" s="1743" t="str">
        <f>Risk_Compensation!$AJ$14</f>
        <v>geschätzte Risikoausgleichssätze, pro Monat in CHF (ohne Entlastung junge Erwachsene)</v>
      </c>
      <c r="E6416" s="1390">
        <f>Risk_Compensation!$AJ33</f>
        <v>16</v>
      </c>
      <c r="F6416" s="1390" t="str">
        <f>Risk_Compensation!$AD$17</f>
        <v>VD</v>
      </c>
      <c r="G6416" s="1390"/>
      <c r="H6416" s="1077">
        <f>Risk_Compensation!$BG33</f>
        <v>-235.95174218890699</v>
      </c>
    </row>
    <row r="6417" spans="1:8" x14ac:dyDescent="0.2">
      <c r="A6417" s="1027"/>
      <c r="B6417" s="1083">
        <f>Risk_Compensation!A$1</f>
        <v>36</v>
      </c>
      <c r="C6417" s="1390" t="str">
        <f>Risk_Compensation!$B$1</f>
        <v xml:space="preserve">Risikoausgleich </v>
      </c>
      <c r="D6417" s="1743" t="str">
        <f>Risk_Compensation!$AJ$14</f>
        <v>geschätzte Risikoausgleichssätze, pro Monat in CHF (ohne Entlastung junge Erwachsene)</v>
      </c>
      <c r="E6417" s="1390">
        <f>Risk_Compensation!$AJ34</f>
        <v>17</v>
      </c>
      <c r="F6417" s="1390" t="str">
        <f>Risk_Compensation!$AD$17</f>
        <v>VD</v>
      </c>
      <c r="G6417" s="1390"/>
      <c r="H6417" s="1077">
        <f>Risk_Compensation!$BG34</f>
        <v>825.07879946255002</v>
      </c>
    </row>
    <row r="6418" spans="1:8" x14ac:dyDescent="0.2">
      <c r="A6418" s="1027"/>
      <c r="B6418" s="1083">
        <f>Risk_Compensation!A$1</f>
        <v>36</v>
      </c>
      <c r="C6418" s="1390" t="str">
        <f>Risk_Compensation!$B$1</f>
        <v xml:space="preserve">Risikoausgleich </v>
      </c>
      <c r="D6418" s="1743" t="str">
        <f>Risk_Compensation!$AJ$14</f>
        <v>geschätzte Risikoausgleichssätze, pro Monat in CHF (ohne Entlastung junge Erwachsene)</v>
      </c>
      <c r="E6418" s="1390">
        <f>Risk_Compensation!$AJ35</f>
        <v>18</v>
      </c>
      <c r="F6418" s="1390" t="str">
        <f>Risk_Compensation!$AD$17</f>
        <v>VD</v>
      </c>
      <c r="G6418" s="1390"/>
      <c r="H6418" s="1077">
        <f>Risk_Compensation!$BG35</f>
        <v>-187.783976062455</v>
      </c>
    </row>
    <row r="6419" spans="1:8" x14ac:dyDescent="0.2">
      <c r="A6419" s="1027"/>
      <c r="B6419" s="1083">
        <f>Risk_Compensation!A$1</f>
        <v>36</v>
      </c>
      <c r="C6419" s="1390" t="str">
        <f>Risk_Compensation!$B$1</f>
        <v xml:space="preserve">Risikoausgleich </v>
      </c>
      <c r="D6419" s="1743" t="str">
        <f>Risk_Compensation!$AJ$14</f>
        <v>geschätzte Risikoausgleichssätze, pro Monat in CHF (ohne Entlastung junge Erwachsene)</v>
      </c>
      <c r="E6419" s="1390">
        <f>Risk_Compensation!$AJ36</f>
        <v>19</v>
      </c>
      <c r="F6419" s="1390" t="str">
        <f>Risk_Compensation!$AD$17</f>
        <v>VD</v>
      </c>
      <c r="G6419" s="1390"/>
      <c r="H6419" s="1077">
        <f>Risk_Compensation!$BG36</f>
        <v>1015.60877181305</v>
      </c>
    </row>
    <row r="6420" spans="1:8" x14ac:dyDescent="0.2">
      <c r="A6420" s="1027"/>
      <c r="B6420" s="1083">
        <f>Risk_Compensation!A$1</f>
        <v>36</v>
      </c>
      <c r="C6420" s="1390" t="str">
        <f>Risk_Compensation!$B$1</f>
        <v xml:space="preserve">Risikoausgleich </v>
      </c>
      <c r="D6420" s="1743" t="str">
        <f>Risk_Compensation!$AJ$14</f>
        <v>geschätzte Risikoausgleichssätze, pro Monat in CHF (ohne Entlastung junge Erwachsene)</v>
      </c>
      <c r="E6420" s="1390">
        <f>Risk_Compensation!$AJ37</f>
        <v>20</v>
      </c>
      <c r="F6420" s="1390" t="str">
        <f>Risk_Compensation!$AD$17</f>
        <v>VD</v>
      </c>
      <c r="G6420" s="1390"/>
      <c r="H6420" s="1077">
        <f>Risk_Compensation!$BG37</f>
        <v>-83.344181189412296</v>
      </c>
    </row>
    <row r="6421" spans="1:8" x14ac:dyDescent="0.2">
      <c r="A6421" s="1027"/>
      <c r="B6421" s="1083">
        <f>Risk_Compensation!A$1</f>
        <v>36</v>
      </c>
      <c r="C6421" s="1390" t="str">
        <f>Risk_Compensation!$B$1</f>
        <v xml:space="preserve">Risikoausgleich </v>
      </c>
      <c r="D6421" s="1743" t="str">
        <f>Risk_Compensation!$AJ$14</f>
        <v>geschätzte Risikoausgleichssätze, pro Monat in CHF (ohne Entlastung junge Erwachsene)</v>
      </c>
      <c r="E6421" s="1390">
        <f>Risk_Compensation!$AJ38</f>
        <v>21</v>
      </c>
      <c r="F6421" s="1390" t="str">
        <f>Risk_Compensation!$AD$17</f>
        <v>VD</v>
      </c>
      <c r="G6421" s="1390"/>
      <c r="H6421" s="1077">
        <f>Risk_Compensation!$BG38</f>
        <v>1023.97411130283</v>
      </c>
    </row>
    <row r="6422" spans="1:8" x14ac:dyDescent="0.2">
      <c r="A6422" s="1027"/>
      <c r="B6422" s="1083">
        <f>Risk_Compensation!A$1</f>
        <v>36</v>
      </c>
      <c r="C6422" s="1390" t="str">
        <f>Risk_Compensation!$B$1</f>
        <v xml:space="preserve">Risikoausgleich </v>
      </c>
      <c r="D6422" s="1743" t="str">
        <f>Risk_Compensation!$AJ$14</f>
        <v>geschätzte Risikoausgleichssätze, pro Monat in CHF (ohne Entlastung junge Erwachsene)</v>
      </c>
      <c r="E6422" s="1390">
        <f>Risk_Compensation!$AJ39</f>
        <v>22</v>
      </c>
      <c r="F6422" s="1390" t="str">
        <f>Risk_Compensation!$AD$17</f>
        <v>VD</v>
      </c>
      <c r="G6422" s="1390"/>
      <c r="H6422" s="1077">
        <f>Risk_Compensation!$BG39</f>
        <v>33.928879363349203</v>
      </c>
    </row>
    <row r="6423" spans="1:8" x14ac:dyDescent="0.2">
      <c r="A6423" s="1027"/>
      <c r="B6423" s="1083">
        <f>Risk_Compensation!A$1</f>
        <v>36</v>
      </c>
      <c r="C6423" s="1390" t="str">
        <f>Risk_Compensation!$B$1</f>
        <v xml:space="preserve">Risikoausgleich </v>
      </c>
      <c r="D6423" s="1743" t="str">
        <f>Risk_Compensation!$AJ$14</f>
        <v>geschätzte Risikoausgleichssätze, pro Monat in CHF (ohne Entlastung junge Erwachsene)</v>
      </c>
      <c r="E6423" s="1390">
        <f>Risk_Compensation!$AJ40</f>
        <v>23</v>
      </c>
      <c r="F6423" s="1390" t="str">
        <f>Risk_Compensation!$AD$17</f>
        <v>VD</v>
      </c>
      <c r="G6423" s="1390"/>
      <c r="H6423" s="1077">
        <f>Risk_Compensation!$BG40</f>
        <v>1389.6748635413001</v>
      </c>
    </row>
    <row r="6424" spans="1:8" x14ac:dyDescent="0.2">
      <c r="A6424" s="1027"/>
      <c r="B6424" s="1083">
        <f>Risk_Compensation!A$1</f>
        <v>36</v>
      </c>
      <c r="C6424" s="1390" t="str">
        <f>Risk_Compensation!$B$1</f>
        <v xml:space="preserve">Risikoausgleich </v>
      </c>
      <c r="D6424" s="1743" t="str">
        <f>Risk_Compensation!$AJ$14</f>
        <v>geschätzte Risikoausgleichssätze, pro Monat in CHF (ohne Entlastung junge Erwachsene)</v>
      </c>
      <c r="E6424" s="1390">
        <f>Risk_Compensation!$AJ41</f>
        <v>24</v>
      </c>
      <c r="F6424" s="1390" t="str">
        <f>Risk_Compensation!$AD$17</f>
        <v>VD</v>
      </c>
      <c r="G6424" s="1390"/>
      <c r="H6424" s="1077">
        <f>Risk_Compensation!$BG41</f>
        <v>135.75349275475401</v>
      </c>
    </row>
    <row r="6425" spans="1:8" x14ac:dyDescent="0.2">
      <c r="A6425" s="1027"/>
      <c r="B6425" s="1083">
        <f>Risk_Compensation!A$1</f>
        <v>36</v>
      </c>
      <c r="C6425" s="1390" t="str">
        <f>Risk_Compensation!$B$1</f>
        <v xml:space="preserve">Risikoausgleich </v>
      </c>
      <c r="D6425" s="1743" t="str">
        <f>Risk_Compensation!$AJ$14</f>
        <v>geschätzte Risikoausgleichssätze, pro Monat in CHF (ohne Entlastung junge Erwachsene)</v>
      </c>
      <c r="E6425" s="1390">
        <f>Risk_Compensation!$AJ42</f>
        <v>25</v>
      </c>
      <c r="F6425" s="1390" t="str">
        <f>Risk_Compensation!$AD$17</f>
        <v>VD</v>
      </c>
      <c r="G6425" s="1390"/>
      <c r="H6425" s="1077">
        <f>Risk_Compensation!$BG42</f>
        <v>1512.5602440479699</v>
      </c>
    </row>
    <row r="6426" spans="1:8" x14ac:dyDescent="0.2">
      <c r="A6426" s="1027"/>
      <c r="B6426" s="1083">
        <f>Risk_Compensation!A$1</f>
        <v>36</v>
      </c>
      <c r="C6426" s="1390" t="str">
        <f>Risk_Compensation!$B$1</f>
        <v xml:space="preserve">Risikoausgleich </v>
      </c>
      <c r="D6426" s="1743" t="str">
        <f>Risk_Compensation!$AJ$14</f>
        <v>geschätzte Risikoausgleichssätze, pro Monat in CHF (ohne Entlastung junge Erwachsene)</v>
      </c>
      <c r="E6426" s="1390">
        <f>Risk_Compensation!$AJ43</f>
        <v>26</v>
      </c>
      <c r="F6426" s="1390" t="str">
        <f>Risk_Compensation!$AD$17</f>
        <v>VD</v>
      </c>
      <c r="G6426" s="1390"/>
      <c r="H6426" s="1077">
        <f>Risk_Compensation!$BG43</f>
        <v>308.88151678082602</v>
      </c>
    </row>
    <row r="6427" spans="1:8" x14ac:dyDescent="0.2">
      <c r="A6427" s="1027"/>
      <c r="B6427" s="1083">
        <f>Risk_Compensation!A$1</f>
        <v>36</v>
      </c>
      <c r="C6427" s="1390" t="str">
        <f>Risk_Compensation!$B$1</f>
        <v xml:space="preserve">Risikoausgleich </v>
      </c>
      <c r="D6427" s="1743" t="str">
        <f>Risk_Compensation!$AJ$14</f>
        <v>geschätzte Risikoausgleichssätze, pro Monat in CHF (ohne Entlastung junge Erwachsene)</v>
      </c>
      <c r="E6427" s="1390">
        <f>Risk_Compensation!$AJ44</f>
        <v>27</v>
      </c>
      <c r="F6427" s="1390" t="str">
        <f>Risk_Compensation!$AD$17</f>
        <v>VD</v>
      </c>
      <c r="G6427" s="1390"/>
      <c r="H6427" s="1077">
        <f>Risk_Compensation!$BG44</f>
        <v>1886.76001905932</v>
      </c>
    </row>
    <row r="6428" spans="1:8" x14ac:dyDescent="0.2">
      <c r="A6428" s="1027"/>
      <c r="B6428" s="1083">
        <f>Risk_Compensation!A$1</f>
        <v>36</v>
      </c>
      <c r="C6428" s="1390" t="str">
        <f>Risk_Compensation!$B$1</f>
        <v xml:space="preserve">Risikoausgleich </v>
      </c>
      <c r="D6428" s="1743" t="str">
        <f>Risk_Compensation!$AJ$14</f>
        <v>geschätzte Risikoausgleichssätze, pro Monat in CHF (ohne Entlastung junge Erwachsene)</v>
      </c>
      <c r="E6428" s="1390">
        <f>Risk_Compensation!$AJ45</f>
        <v>28</v>
      </c>
      <c r="F6428" s="1390" t="str">
        <f>Risk_Compensation!$AD$17</f>
        <v>VD</v>
      </c>
      <c r="G6428" s="1390"/>
      <c r="H6428" s="1077">
        <f>Risk_Compensation!$BG45</f>
        <v>423.00257777866398</v>
      </c>
    </row>
    <row r="6429" spans="1:8" x14ac:dyDescent="0.2">
      <c r="A6429" s="1027"/>
      <c r="B6429" s="1083">
        <f>Risk_Compensation!A$1</f>
        <v>36</v>
      </c>
      <c r="C6429" s="1390" t="str">
        <f>Risk_Compensation!$B$1</f>
        <v xml:space="preserve">Risikoausgleich </v>
      </c>
      <c r="D6429" s="1743" t="str">
        <f>Risk_Compensation!$AJ$14</f>
        <v>geschätzte Risikoausgleichssätze, pro Monat in CHF (ohne Entlastung junge Erwachsene)</v>
      </c>
      <c r="E6429" s="1390">
        <f>Risk_Compensation!$AJ46</f>
        <v>29</v>
      </c>
      <c r="F6429" s="1390" t="str">
        <f>Risk_Compensation!$AD$17</f>
        <v>VD</v>
      </c>
      <c r="G6429" s="1390"/>
      <c r="H6429" s="1077">
        <f>Risk_Compensation!$BG46</f>
        <v>2268.32050960282</v>
      </c>
    </row>
    <row r="6430" spans="1:8" x14ac:dyDescent="0.2">
      <c r="A6430" s="1027"/>
      <c r="B6430" s="1083">
        <f>Risk_Compensation!A$1</f>
        <v>36</v>
      </c>
      <c r="C6430" s="1390" t="str">
        <f>Risk_Compensation!$B$1</f>
        <v xml:space="preserve">Risikoausgleich </v>
      </c>
      <c r="D6430" s="1743" t="str">
        <f>Risk_Compensation!$AJ$14</f>
        <v>geschätzte Risikoausgleichssätze, pro Monat in CHF (ohne Entlastung junge Erwachsene)</v>
      </c>
      <c r="E6430" s="1390">
        <f>Risk_Compensation!$AJ47</f>
        <v>30</v>
      </c>
      <c r="F6430" s="1390" t="str">
        <f>Risk_Compensation!$AD$17</f>
        <v>VD</v>
      </c>
      <c r="G6430" s="1390"/>
      <c r="H6430" s="1077">
        <f>Risk_Compensation!$BG47</f>
        <v>762.76279542034604</v>
      </c>
    </row>
    <row r="6431" spans="1:8" x14ac:dyDescent="0.2">
      <c r="A6431" s="1027"/>
      <c r="B6431" s="1083">
        <f>Risk_Compensation!A$1</f>
        <v>36</v>
      </c>
      <c r="C6431" s="1390" t="str">
        <f>Risk_Compensation!$B$1</f>
        <v xml:space="preserve">Risikoausgleich </v>
      </c>
      <c r="D6431" s="1743" t="str">
        <f>Risk_Compensation!$AJ$14</f>
        <v>geschätzte Risikoausgleichssätze, pro Monat in CHF (ohne Entlastung junge Erwachsene)</v>
      </c>
      <c r="E6431" s="1390">
        <f>Risk_Compensation!$AJ48</f>
        <v>31</v>
      </c>
      <c r="F6431" s="1390" t="str">
        <f>Risk_Compensation!$AD$17</f>
        <v>VD</v>
      </c>
      <c r="G6431" s="1390"/>
      <c r="H6431" s="1077">
        <f>Risk_Compensation!$BG48</f>
        <v>614.98277547949999</v>
      </c>
    </row>
    <row r="6432" spans="1:8" x14ac:dyDescent="0.2">
      <c r="A6432" s="1027"/>
      <c r="B6432" s="1083">
        <f>Risk_Compensation!A$1</f>
        <v>36</v>
      </c>
      <c r="C6432" s="1390" t="str">
        <f>Risk_Compensation!$B$1</f>
        <v xml:space="preserve">Risikoausgleich </v>
      </c>
      <c r="D6432" s="1743" t="str">
        <f>Risk_Compensation!$AJ$14</f>
        <v>geschätzte Risikoausgleichssätze, pro Monat in CHF (ohne Entlastung junge Erwachsene)</v>
      </c>
      <c r="E6432" s="1390">
        <f>Risk_Compensation!$AJ49</f>
        <v>32</v>
      </c>
      <c r="F6432" s="1390" t="str">
        <f>Risk_Compensation!$AD$17</f>
        <v>VD</v>
      </c>
      <c r="G6432" s="1390"/>
      <c r="H6432" s="1077">
        <f>Risk_Compensation!$BG49</f>
        <v>-283.97912940492199</v>
      </c>
    </row>
    <row r="6433" spans="1:8" x14ac:dyDescent="0.2">
      <c r="A6433" s="1027"/>
      <c r="B6433" s="1083">
        <f>Risk_Compensation!A$1</f>
        <v>36</v>
      </c>
      <c r="C6433" s="1390" t="str">
        <f>Risk_Compensation!$B$1</f>
        <v xml:space="preserve">Risikoausgleich </v>
      </c>
      <c r="D6433" s="1743" t="str">
        <f>Risk_Compensation!$AJ$14</f>
        <v>geschätzte Risikoausgleichssätze, pro Monat in CHF (ohne Entlastung junge Erwachsene)</v>
      </c>
      <c r="E6433" s="1390">
        <f>Risk_Compensation!$AJ50</f>
        <v>33</v>
      </c>
      <c r="F6433" s="1390" t="str">
        <f>Risk_Compensation!$AD$17</f>
        <v>VD</v>
      </c>
      <c r="G6433" s="1390"/>
      <c r="H6433" s="1077">
        <f>Risk_Compensation!$BG50</f>
        <v>676.730085951359</v>
      </c>
    </row>
    <row r="6434" spans="1:8" x14ac:dyDescent="0.2">
      <c r="A6434" s="1027"/>
      <c r="B6434" s="1083">
        <f>Risk_Compensation!A$1</f>
        <v>36</v>
      </c>
      <c r="C6434" s="1390" t="str">
        <f>Risk_Compensation!$B$1</f>
        <v xml:space="preserve">Risikoausgleich </v>
      </c>
      <c r="D6434" s="1743" t="str">
        <f>Risk_Compensation!$AJ$14</f>
        <v>geschätzte Risikoausgleichssätze, pro Monat in CHF (ohne Entlastung junge Erwachsene)</v>
      </c>
      <c r="E6434" s="1390">
        <f>Risk_Compensation!$AJ51</f>
        <v>34</v>
      </c>
      <c r="F6434" s="1390" t="str">
        <f>Risk_Compensation!$AD$17</f>
        <v>VD</v>
      </c>
      <c r="G6434" s="1390"/>
      <c r="H6434" s="1077">
        <f>Risk_Compensation!$BG51</f>
        <v>-236.760905334646</v>
      </c>
    </row>
    <row r="6435" spans="1:8" x14ac:dyDescent="0.2">
      <c r="A6435" s="1027"/>
      <c r="B6435" s="1083">
        <f>Risk_Compensation!A$1</f>
        <v>36</v>
      </c>
      <c r="C6435" s="1390" t="str">
        <f>Risk_Compensation!$B$1</f>
        <v xml:space="preserve">Risikoausgleich </v>
      </c>
      <c r="D6435" s="1743" t="str">
        <f>Risk_Compensation!$AJ$14</f>
        <v>geschätzte Risikoausgleichssätze, pro Monat in CHF (ohne Entlastung junge Erwachsene)</v>
      </c>
      <c r="E6435" s="1390">
        <f>Risk_Compensation!$AJ52</f>
        <v>35</v>
      </c>
      <c r="F6435" s="1390" t="str">
        <f>Risk_Compensation!$AD$17</f>
        <v>VD</v>
      </c>
      <c r="G6435" s="1390"/>
      <c r="H6435" s="1077">
        <f>Risk_Compensation!$BG52</f>
        <v>478.64775732048702</v>
      </c>
    </row>
    <row r="6436" spans="1:8" x14ac:dyDescent="0.2">
      <c r="A6436" s="1027"/>
      <c r="B6436" s="1083">
        <f>Risk_Compensation!A$1</f>
        <v>36</v>
      </c>
      <c r="C6436" s="1390" t="str">
        <f>Risk_Compensation!$B$1</f>
        <v xml:space="preserve">Risikoausgleich </v>
      </c>
      <c r="D6436" s="1743" t="str">
        <f>Risk_Compensation!$AJ$14</f>
        <v>geschätzte Risikoausgleichssätze, pro Monat in CHF (ohne Entlastung junge Erwachsene)</v>
      </c>
      <c r="E6436" s="1390">
        <f>Risk_Compensation!$AJ53</f>
        <v>36</v>
      </c>
      <c r="F6436" s="1390" t="str">
        <f>Risk_Compensation!$AD$17</f>
        <v>VD</v>
      </c>
      <c r="G6436" s="1390"/>
      <c r="H6436" s="1077">
        <f>Risk_Compensation!$BG53</f>
        <v>-190.75272955948401</v>
      </c>
    </row>
    <row r="6437" spans="1:8" x14ac:dyDescent="0.2">
      <c r="A6437" s="1027"/>
      <c r="B6437" s="1083">
        <f>Risk_Compensation!A$1</f>
        <v>36</v>
      </c>
      <c r="C6437" s="1390" t="str">
        <f>Risk_Compensation!$B$1</f>
        <v xml:space="preserve">Risikoausgleich </v>
      </c>
      <c r="D6437" s="1743" t="str">
        <f>Risk_Compensation!$AJ$14</f>
        <v>geschätzte Risikoausgleichssätze, pro Monat in CHF (ohne Entlastung junge Erwachsene)</v>
      </c>
      <c r="E6437" s="1390">
        <f>Risk_Compensation!$AJ54</f>
        <v>37</v>
      </c>
      <c r="F6437" s="1390" t="str">
        <f>Risk_Compensation!$AD$17</f>
        <v>VD</v>
      </c>
      <c r="G6437" s="1390"/>
      <c r="H6437" s="1077">
        <f>Risk_Compensation!$BG54</f>
        <v>303.36105082170798</v>
      </c>
    </row>
    <row r="6438" spans="1:8" x14ac:dyDescent="0.2">
      <c r="A6438" s="1027"/>
      <c r="B6438" s="1083">
        <f>Risk_Compensation!A$1</f>
        <v>36</v>
      </c>
      <c r="C6438" s="1390" t="str">
        <f>Risk_Compensation!$B$1</f>
        <v xml:space="preserve">Risikoausgleich </v>
      </c>
      <c r="D6438" s="1743" t="str">
        <f>Risk_Compensation!$AJ$14</f>
        <v>geschätzte Risikoausgleichssätze, pro Monat in CHF (ohne Entlastung junge Erwachsene)</v>
      </c>
      <c r="E6438" s="1390">
        <f>Risk_Compensation!$AJ55</f>
        <v>38</v>
      </c>
      <c r="F6438" s="1390" t="str">
        <f>Risk_Compensation!$AD$17</f>
        <v>VD</v>
      </c>
      <c r="G6438" s="1390"/>
      <c r="H6438" s="1077">
        <f>Risk_Compensation!$BG55</f>
        <v>-219.36648752708999</v>
      </c>
    </row>
    <row r="6439" spans="1:8" x14ac:dyDescent="0.2">
      <c r="A6439" s="1027"/>
      <c r="B6439" s="1083">
        <f>Risk_Compensation!A$1</f>
        <v>36</v>
      </c>
      <c r="C6439" s="1390" t="str">
        <f>Risk_Compensation!$B$1</f>
        <v xml:space="preserve">Risikoausgleich </v>
      </c>
      <c r="D6439" s="1743" t="str">
        <f>Risk_Compensation!$AJ$14</f>
        <v>geschätzte Risikoausgleichssätze, pro Monat in CHF (ohne Entlastung junge Erwachsene)</v>
      </c>
      <c r="E6439" s="1390">
        <f>Risk_Compensation!$AJ56</f>
        <v>39</v>
      </c>
      <c r="F6439" s="1390" t="str">
        <f>Risk_Compensation!$AD$17</f>
        <v>VD</v>
      </c>
      <c r="G6439" s="1390"/>
      <c r="H6439" s="1077">
        <f>Risk_Compensation!$BG56</f>
        <v>411.744297640041</v>
      </c>
    </row>
    <row r="6440" spans="1:8" x14ac:dyDescent="0.2">
      <c r="A6440" s="1027"/>
      <c r="B6440" s="1083">
        <f>Risk_Compensation!A$1</f>
        <v>36</v>
      </c>
      <c r="C6440" s="1390" t="str">
        <f>Risk_Compensation!$B$1</f>
        <v xml:space="preserve">Risikoausgleich </v>
      </c>
      <c r="D6440" s="1743" t="str">
        <f>Risk_Compensation!$AJ$14</f>
        <v>geschätzte Risikoausgleichssätze, pro Monat in CHF (ohne Entlastung junge Erwachsene)</v>
      </c>
      <c r="E6440" s="1390">
        <f>Risk_Compensation!$AJ57</f>
        <v>40</v>
      </c>
      <c r="F6440" s="1390" t="str">
        <f>Risk_Compensation!$AD$17</f>
        <v>VD</v>
      </c>
      <c r="G6440" s="1390"/>
      <c r="H6440" s="1077">
        <f>Risk_Compensation!$BG57</f>
        <v>-247.76303003279301</v>
      </c>
    </row>
    <row r="6441" spans="1:8" x14ac:dyDescent="0.2">
      <c r="A6441" s="1027"/>
      <c r="B6441" s="1083">
        <f>Risk_Compensation!A$1</f>
        <v>36</v>
      </c>
      <c r="C6441" s="1390" t="str">
        <f>Risk_Compensation!$B$1</f>
        <v xml:space="preserve">Risikoausgleich </v>
      </c>
      <c r="D6441" s="1743" t="str">
        <f>Risk_Compensation!$AJ$14</f>
        <v>geschätzte Risikoausgleichssätze, pro Monat in CHF (ohne Entlastung junge Erwachsene)</v>
      </c>
      <c r="E6441" s="1390">
        <f>Risk_Compensation!$AJ58</f>
        <v>41</v>
      </c>
      <c r="F6441" s="1390" t="str">
        <f>Risk_Compensation!$AD$17</f>
        <v>VD</v>
      </c>
      <c r="G6441" s="1390"/>
      <c r="H6441" s="1077">
        <f>Risk_Compensation!$BG58</f>
        <v>548.68388869033004</v>
      </c>
    </row>
    <row r="6442" spans="1:8" x14ac:dyDescent="0.2">
      <c r="A6442" s="1027"/>
      <c r="B6442" s="1083">
        <f>Risk_Compensation!A$1</f>
        <v>36</v>
      </c>
      <c r="C6442" s="1390" t="str">
        <f>Risk_Compensation!$B$1</f>
        <v xml:space="preserve">Risikoausgleich </v>
      </c>
      <c r="D6442" s="1743" t="str">
        <f>Risk_Compensation!$AJ$14</f>
        <v>geschätzte Risikoausgleichssätze, pro Monat in CHF (ohne Entlastung junge Erwachsene)</v>
      </c>
      <c r="E6442" s="1390">
        <f>Risk_Compensation!$AJ59</f>
        <v>42</v>
      </c>
      <c r="F6442" s="1390" t="str">
        <f>Risk_Compensation!$AD$17</f>
        <v>VD</v>
      </c>
      <c r="G6442" s="1390"/>
      <c r="H6442" s="1077">
        <f>Risk_Compensation!$BG59</f>
        <v>-247.58970248989101</v>
      </c>
    </row>
    <row r="6443" spans="1:8" x14ac:dyDescent="0.2">
      <c r="A6443" s="1027"/>
      <c r="B6443" s="1083">
        <f>Risk_Compensation!A$1</f>
        <v>36</v>
      </c>
      <c r="C6443" s="1390" t="str">
        <f>Risk_Compensation!$B$1</f>
        <v xml:space="preserve">Risikoausgleich </v>
      </c>
      <c r="D6443" s="1743" t="str">
        <f>Risk_Compensation!$AJ$14</f>
        <v>geschätzte Risikoausgleichssätze, pro Monat in CHF (ohne Entlastung junge Erwachsene)</v>
      </c>
      <c r="E6443" s="1390">
        <f>Risk_Compensation!$AJ60</f>
        <v>43</v>
      </c>
      <c r="F6443" s="1390" t="str">
        <f>Risk_Compensation!$AD$17</f>
        <v>VD</v>
      </c>
      <c r="G6443" s="1390"/>
      <c r="H6443" s="1077">
        <f>Risk_Compensation!$BG60</f>
        <v>576.93693268831896</v>
      </c>
    </row>
    <row r="6444" spans="1:8" x14ac:dyDescent="0.2">
      <c r="A6444" s="1027"/>
      <c r="B6444" s="1083">
        <f>Risk_Compensation!A$1</f>
        <v>36</v>
      </c>
      <c r="C6444" s="1390" t="str">
        <f>Risk_Compensation!$B$1</f>
        <v xml:space="preserve">Risikoausgleich </v>
      </c>
      <c r="D6444" s="1743" t="str">
        <f>Risk_Compensation!$AJ$14</f>
        <v>geschätzte Risikoausgleichssätze, pro Monat in CHF (ohne Entlastung junge Erwachsene)</v>
      </c>
      <c r="E6444" s="1390">
        <f>Risk_Compensation!$AJ61</f>
        <v>44</v>
      </c>
      <c r="F6444" s="1390" t="str">
        <f>Risk_Compensation!$AD$17</f>
        <v>VD</v>
      </c>
      <c r="G6444" s="1390"/>
      <c r="H6444" s="1077">
        <f>Risk_Compensation!$BG61</f>
        <v>-216.17816735009501</v>
      </c>
    </row>
    <row r="6445" spans="1:8" x14ac:dyDescent="0.2">
      <c r="A6445" s="1027"/>
      <c r="B6445" s="1083">
        <f>Risk_Compensation!A$1</f>
        <v>36</v>
      </c>
      <c r="C6445" s="1390" t="str">
        <f>Risk_Compensation!$B$1</f>
        <v xml:space="preserve">Risikoausgleich </v>
      </c>
      <c r="D6445" s="1743" t="str">
        <f>Risk_Compensation!$AJ$14</f>
        <v>geschätzte Risikoausgleichssätze, pro Monat in CHF (ohne Entlastung junge Erwachsene)</v>
      </c>
      <c r="E6445" s="1390">
        <f>Risk_Compensation!$AJ62</f>
        <v>45</v>
      </c>
      <c r="F6445" s="1390" t="str">
        <f>Risk_Compensation!$AD$17</f>
        <v>VD</v>
      </c>
      <c r="G6445" s="1390"/>
      <c r="H6445" s="1077">
        <f>Risk_Compensation!$BG62</f>
        <v>690.66761306711896</v>
      </c>
    </row>
    <row r="6446" spans="1:8" x14ac:dyDescent="0.2">
      <c r="A6446" s="1027"/>
      <c r="B6446" s="1083">
        <f>Risk_Compensation!A$1</f>
        <v>36</v>
      </c>
      <c r="C6446" s="1390" t="str">
        <f>Risk_Compensation!$B$1</f>
        <v xml:space="preserve">Risikoausgleich </v>
      </c>
      <c r="D6446" s="1743" t="str">
        <f>Risk_Compensation!$AJ$14</f>
        <v>geschätzte Risikoausgleichssätze, pro Monat in CHF (ohne Entlastung junge Erwachsene)</v>
      </c>
      <c r="E6446" s="1390">
        <f>Risk_Compensation!$AJ63</f>
        <v>46</v>
      </c>
      <c r="F6446" s="1390" t="str">
        <f>Risk_Compensation!$AD$17</f>
        <v>VD</v>
      </c>
      <c r="G6446" s="1390"/>
      <c r="H6446" s="1077">
        <f>Risk_Compensation!$BG63</f>
        <v>-208.669459221106</v>
      </c>
    </row>
    <row r="6447" spans="1:8" x14ac:dyDescent="0.2">
      <c r="A6447" s="1027"/>
      <c r="B6447" s="1083">
        <f>Risk_Compensation!A$1</f>
        <v>36</v>
      </c>
      <c r="C6447" s="1390" t="str">
        <f>Risk_Compensation!$B$1</f>
        <v xml:space="preserve">Risikoausgleich </v>
      </c>
      <c r="D6447" s="1743" t="str">
        <f>Risk_Compensation!$AJ$14</f>
        <v>geschätzte Risikoausgleichssätze, pro Monat in CHF (ohne Entlastung junge Erwachsene)</v>
      </c>
      <c r="E6447" s="1390">
        <f>Risk_Compensation!$AJ64</f>
        <v>47</v>
      </c>
      <c r="F6447" s="1390" t="str">
        <f>Risk_Compensation!$AD$17</f>
        <v>VD</v>
      </c>
      <c r="G6447" s="1390"/>
      <c r="H6447" s="1077">
        <f>Risk_Compensation!$BG64</f>
        <v>796.12053857616002</v>
      </c>
    </row>
    <row r="6448" spans="1:8" x14ac:dyDescent="0.2">
      <c r="A6448" s="1027"/>
      <c r="B6448" s="1083">
        <f>Risk_Compensation!A$1</f>
        <v>36</v>
      </c>
      <c r="C6448" s="1390" t="str">
        <f>Risk_Compensation!$B$1</f>
        <v xml:space="preserve">Risikoausgleich </v>
      </c>
      <c r="D6448" s="1743" t="str">
        <f>Risk_Compensation!$AJ$14</f>
        <v>geschätzte Risikoausgleichssätze, pro Monat in CHF (ohne Entlastung junge Erwachsene)</v>
      </c>
      <c r="E6448" s="1390">
        <f>Risk_Compensation!$AJ65</f>
        <v>48</v>
      </c>
      <c r="F6448" s="1390" t="str">
        <f>Risk_Compensation!$AD$17</f>
        <v>VD</v>
      </c>
      <c r="G6448" s="1390"/>
      <c r="H6448" s="1077">
        <f>Risk_Compensation!$BG65</f>
        <v>-180.32198661227801</v>
      </c>
    </row>
    <row r="6449" spans="1:8" x14ac:dyDescent="0.2">
      <c r="A6449" s="1027"/>
      <c r="B6449" s="1083">
        <f>Risk_Compensation!A$1</f>
        <v>36</v>
      </c>
      <c r="C6449" s="1390" t="str">
        <f>Risk_Compensation!$B$1</f>
        <v xml:space="preserve">Risikoausgleich </v>
      </c>
      <c r="D6449" s="1743" t="str">
        <f>Risk_Compensation!$AJ$14</f>
        <v>geschätzte Risikoausgleichssätze, pro Monat in CHF (ohne Entlastung junge Erwachsene)</v>
      </c>
      <c r="E6449" s="1390">
        <f>Risk_Compensation!$AJ66</f>
        <v>49</v>
      </c>
      <c r="F6449" s="1390" t="str">
        <f>Risk_Compensation!$AD$17</f>
        <v>VD</v>
      </c>
      <c r="G6449" s="1390"/>
      <c r="H6449" s="1077">
        <f>Risk_Compensation!$BG66</f>
        <v>927.64006208493299</v>
      </c>
    </row>
    <row r="6450" spans="1:8" x14ac:dyDescent="0.2">
      <c r="A6450" s="1027"/>
      <c r="B6450" s="1083">
        <f>Risk_Compensation!A$1</f>
        <v>36</v>
      </c>
      <c r="C6450" s="1390" t="str">
        <f>Risk_Compensation!$B$1</f>
        <v xml:space="preserve">Risikoausgleich </v>
      </c>
      <c r="D6450" s="1743" t="str">
        <f>Risk_Compensation!$AJ$14</f>
        <v>geschätzte Risikoausgleichssätze, pro Monat in CHF (ohne Entlastung junge Erwachsene)</v>
      </c>
      <c r="E6450" s="1390">
        <f>Risk_Compensation!$AJ67</f>
        <v>50</v>
      </c>
      <c r="F6450" s="1390" t="str">
        <f>Risk_Compensation!$AD$17</f>
        <v>VD</v>
      </c>
      <c r="G6450" s="1390"/>
      <c r="H6450" s="1077">
        <f>Risk_Compensation!$BG67</f>
        <v>-115.51563249066599</v>
      </c>
    </row>
    <row r="6451" spans="1:8" x14ac:dyDescent="0.2">
      <c r="A6451" s="1027"/>
      <c r="B6451" s="1083">
        <f>Risk_Compensation!A$1</f>
        <v>36</v>
      </c>
      <c r="C6451" s="1390" t="str">
        <f>Risk_Compensation!$B$1</f>
        <v xml:space="preserve">Risikoausgleich </v>
      </c>
      <c r="D6451" s="1743" t="str">
        <f>Risk_Compensation!$AJ$14</f>
        <v>geschätzte Risikoausgleichssätze, pro Monat in CHF (ohne Entlastung junge Erwachsene)</v>
      </c>
      <c r="E6451" s="1390">
        <f>Risk_Compensation!$AJ68</f>
        <v>51</v>
      </c>
      <c r="F6451" s="1390" t="str">
        <f>Risk_Compensation!$AD$17</f>
        <v>VD</v>
      </c>
      <c r="G6451" s="1390"/>
      <c r="H6451" s="1077">
        <f>Risk_Compensation!$BG68</f>
        <v>1005.01794077864</v>
      </c>
    </row>
    <row r="6452" spans="1:8" x14ac:dyDescent="0.2">
      <c r="A6452" s="1027"/>
      <c r="B6452" s="1083">
        <f>Risk_Compensation!A$1</f>
        <v>36</v>
      </c>
      <c r="C6452" s="1390" t="str">
        <f>Risk_Compensation!$B$1</f>
        <v xml:space="preserve">Risikoausgleich </v>
      </c>
      <c r="D6452" s="1743" t="str">
        <f>Risk_Compensation!$AJ$14</f>
        <v>geschätzte Risikoausgleichssätze, pro Monat in CHF (ohne Entlastung junge Erwachsene)</v>
      </c>
      <c r="E6452" s="1390">
        <f>Risk_Compensation!$AJ69</f>
        <v>52</v>
      </c>
      <c r="F6452" s="1390" t="str">
        <f>Risk_Compensation!$AD$17</f>
        <v>VD</v>
      </c>
      <c r="G6452" s="1390"/>
      <c r="H6452" s="1077">
        <f>Risk_Compensation!$BG69</f>
        <v>-32.884065673798403</v>
      </c>
    </row>
    <row r="6453" spans="1:8" x14ac:dyDescent="0.2">
      <c r="A6453" s="1027"/>
      <c r="B6453" s="1083">
        <f>Risk_Compensation!A$1</f>
        <v>36</v>
      </c>
      <c r="C6453" s="1390" t="str">
        <f>Risk_Compensation!$B$1</f>
        <v xml:space="preserve">Risikoausgleich </v>
      </c>
      <c r="D6453" s="1743" t="str">
        <f>Risk_Compensation!$AJ$14</f>
        <v>geschätzte Risikoausgleichssätze, pro Monat in CHF (ohne Entlastung junge Erwachsene)</v>
      </c>
      <c r="E6453" s="1390">
        <f>Risk_Compensation!$AJ70</f>
        <v>53</v>
      </c>
      <c r="F6453" s="1390" t="str">
        <f>Risk_Compensation!$AD$17</f>
        <v>VD</v>
      </c>
      <c r="G6453" s="1390"/>
      <c r="H6453" s="1077">
        <f>Risk_Compensation!$BG70</f>
        <v>1206.6691549903401</v>
      </c>
    </row>
    <row r="6454" spans="1:8" x14ac:dyDescent="0.2">
      <c r="A6454" s="1027"/>
      <c r="B6454" s="1083">
        <f>Risk_Compensation!A$1</f>
        <v>36</v>
      </c>
      <c r="C6454" s="1390" t="str">
        <f>Risk_Compensation!$B$1</f>
        <v xml:space="preserve">Risikoausgleich </v>
      </c>
      <c r="D6454" s="1743" t="str">
        <f>Risk_Compensation!$AJ$14</f>
        <v>geschätzte Risikoausgleichssätze, pro Monat in CHF (ohne Entlastung junge Erwachsene)</v>
      </c>
      <c r="E6454" s="1390">
        <f>Risk_Compensation!$AJ71</f>
        <v>54</v>
      </c>
      <c r="F6454" s="1390" t="str">
        <f>Risk_Compensation!$AD$17</f>
        <v>VD</v>
      </c>
      <c r="G6454" s="1390"/>
      <c r="H6454" s="1077">
        <f>Risk_Compensation!$BG71</f>
        <v>51.461938561508703</v>
      </c>
    </row>
    <row r="6455" spans="1:8" x14ac:dyDescent="0.2">
      <c r="A6455" s="1027"/>
      <c r="B6455" s="1083">
        <f>Risk_Compensation!A$1</f>
        <v>36</v>
      </c>
      <c r="C6455" s="1390" t="str">
        <f>Risk_Compensation!$B$1</f>
        <v xml:space="preserve">Risikoausgleich </v>
      </c>
      <c r="D6455" s="1743" t="str">
        <f>Risk_Compensation!$AJ$14</f>
        <v>geschätzte Risikoausgleichssätze, pro Monat in CHF (ohne Entlastung junge Erwachsene)</v>
      </c>
      <c r="E6455" s="1390">
        <f>Risk_Compensation!$AJ72</f>
        <v>55</v>
      </c>
      <c r="F6455" s="1390" t="str">
        <f>Risk_Compensation!$AD$17</f>
        <v>VD</v>
      </c>
      <c r="G6455" s="1390"/>
      <c r="H6455" s="1077">
        <f>Risk_Compensation!$BG72</f>
        <v>1559.6903313733601</v>
      </c>
    </row>
    <row r="6456" spans="1:8" x14ac:dyDescent="0.2">
      <c r="A6456" s="1027"/>
      <c r="B6456" s="1083">
        <f>Risk_Compensation!A$1</f>
        <v>36</v>
      </c>
      <c r="C6456" s="1390" t="str">
        <f>Risk_Compensation!$B$1</f>
        <v xml:space="preserve">Risikoausgleich </v>
      </c>
      <c r="D6456" s="1743" t="str">
        <f>Risk_Compensation!$AJ$14</f>
        <v>geschätzte Risikoausgleichssätze, pro Monat in CHF (ohne Entlastung junge Erwachsene)</v>
      </c>
      <c r="E6456" s="1390">
        <f>Risk_Compensation!$AJ73</f>
        <v>56</v>
      </c>
      <c r="F6456" s="1390" t="str">
        <f>Risk_Compensation!$AD$17</f>
        <v>VD</v>
      </c>
      <c r="G6456" s="1390"/>
      <c r="H6456" s="1077">
        <f>Risk_Compensation!$BG73</f>
        <v>215.7776521934</v>
      </c>
    </row>
    <row r="6457" spans="1:8" x14ac:dyDescent="0.2">
      <c r="A6457" s="1027"/>
      <c r="B6457" s="1083">
        <f>Risk_Compensation!A$1</f>
        <v>36</v>
      </c>
      <c r="C6457" s="1390" t="str">
        <f>Risk_Compensation!$B$1</f>
        <v xml:space="preserve">Risikoausgleich </v>
      </c>
      <c r="D6457" s="1743" t="str">
        <f>Risk_Compensation!$AJ$14</f>
        <v>geschätzte Risikoausgleichssätze, pro Monat in CHF (ohne Entlastung junge Erwachsene)</v>
      </c>
      <c r="E6457" s="1390">
        <f>Risk_Compensation!$AJ74</f>
        <v>57</v>
      </c>
      <c r="F6457" s="1390" t="str">
        <f>Risk_Compensation!$AD$17</f>
        <v>VD</v>
      </c>
      <c r="G6457" s="1390"/>
      <c r="H6457" s="1077">
        <f>Risk_Compensation!$BG74</f>
        <v>1886.0680090306</v>
      </c>
    </row>
    <row r="6458" spans="1:8" x14ac:dyDescent="0.2">
      <c r="A6458" s="1027"/>
      <c r="B6458" s="1083">
        <f>Risk_Compensation!A$1</f>
        <v>36</v>
      </c>
      <c r="C6458" s="1390" t="str">
        <f>Risk_Compensation!$B$1</f>
        <v xml:space="preserve">Risikoausgleich </v>
      </c>
      <c r="D6458" s="1743" t="str">
        <f>Risk_Compensation!$AJ$14</f>
        <v>geschätzte Risikoausgleichssätze, pro Monat in CHF (ohne Entlastung junge Erwachsene)</v>
      </c>
      <c r="E6458" s="1390">
        <f>Risk_Compensation!$AJ75</f>
        <v>58</v>
      </c>
      <c r="F6458" s="1390" t="str">
        <f>Risk_Compensation!$AD$17</f>
        <v>VD</v>
      </c>
      <c r="G6458" s="1390"/>
      <c r="H6458" s="1077">
        <f>Risk_Compensation!$BG75</f>
        <v>422.37172827142803</v>
      </c>
    </row>
    <row r="6459" spans="1:8" x14ac:dyDescent="0.2">
      <c r="A6459" s="1027"/>
      <c r="B6459" s="1083">
        <f>Risk_Compensation!A$1</f>
        <v>36</v>
      </c>
      <c r="C6459" s="1390" t="str">
        <f>Risk_Compensation!$B$1</f>
        <v xml:space="preserve">Risikoausgleich </v>
      </c>
      <c r="D6459" s="1743" t="str">
        <f>Risk_Compensation!$AJ$14</f>
        <v>geschätzte Risikoausgleichssätze, pro Monat in CHF (ohne Entlastung junge Erwachsene)</v>
      </c>
      <c r="E6459" s="1390">
        <f>Risk_Compensation!$AJ76</f>
        <v>59</v>
      </c>
      <c r="F6459" s="1390" t="str">
        <f>Risk_Compensation!$AD$17</f>
        <v>VD</v>
      </c>
      <c r="G6459" s="1390"/>
      <c r="H6459" s="1077">
        <f>Risk_Compensation!$BG76</f>
        <v>2430.5386963655601</v>
      </c>
    </row>
    <row r="6460" spans="1:8" x14ac:dyDescent="0.2">
      <c r="A6460" s="1027"/>
      <c r="B6460" s="1083">
        <f>Risk_Compensation!A$1</f>
        <v>36</v>
      </c>
      <c r="C6460" s="1390" t="str">
        <f>Risk_Compensation!$B$1</f>
        <v xml:space="preserve">Risikoausgleich </v>
      </c>
      <c r="D6460" s="1743" t="str">
        <f>Risk_Compensation!$AJ$14</f>
        <v>geschätzte Risikoausgleichssätze, pro Monat in CHF (ohne Entlastung junge Erwachsene)</v>
      </c>
      <c r="E6460" s="1390">
        <f>Risk_Compensation!$AJ77</f>
        <v>60</v>
      </c>
      <c r="F6460" s="1390" t="str">
        <f>Risk_Compensation!$AD$17</f>
        <v>VD</v>
      </c>
      <c r="G6460" s="1390"/>
      <c r="H6460" s="1077">
        <f>Risk_Compensation!$BG77</f>
        <v>768.49918005208099</v>
      </c>
    </row>
    <row r="6461" spans="1:8" x14ac:dyDescent="0.2">
      <c r="A6461" s="1027"/>
      <c r="B6461" s="2174"/>
      <c r="C6461" s="1390"/>
      <c r="D6461" s="2175"/>
      <c r="E6461" s="2176"/>
      <c r="F6461" s="1390"/>
      <c r="G6461" s="1390"/>
      <c r="H6461" s="1078"/>
    </row>
    <row r="6462" spans="1:8" x14ac:dyDescent="0.2">
      <c r="A6462" s="1027"/>
      <c r="B6462" s="1083">
        <f>Risk_Compensation!A$1</f>
        <v>36</v>
      </c>
      <c r="C6462" s="1390" t="str">
        <f>Risk_Compensation!$B$1</f>
        <v xml:space="preserve">Risikoausgleich </v>
      </c>
      <c r="D6462" s="1743" t="str">
        <f>Risk_Compensation!$AJ$14</f>
        <v>geschätzte Risikoausgleichssätze, pro Monat in CHF (ohne Entlastung junge Erwachsene)</v>
      </c>
      <c r="E6462" s="1390">
        <f>Risk_Compensation!$AJ18</f>
        <v>1</v>
      </c>
      <c r="F6462" s="1390" t="str">
        <f>Risk_Compensation!$AE$17</f>
        <v>VS</v>
      </c>
      <c r="G6462" s="1390"/>
      <c r="H6462" s="1077">
        <f>Risk_Compensation!$BH18</f>
        <v>426.98421358375299</v>
      </c>
    </row>
    <row r="6463" spans="1:8" x14ac:dyDescent="0.2">
      <c r="A6463" s="1027"/>
      <c r="B6463" s="1083">
        <f>Risk_Compensation!A$1</f>
        <v>36</v>
      </c>
      <c r="C6463" s="1390" t="str">
        <f>Risk_Compensation!$B$1</f>
        <v xml:space="preserve">Risikoausgleich </v>
      </c>
      <c r="D6463" s="1743" t="str">
        <f>Risk_Compensation!$AJ$14</f>
        <v>geschätzte Risikoausgleichssätze, pro Monat in CHF (ohne Entlastung junge Erwachsene)</v>
      </c>
      <c r="E6463" s="1390">
        <f>Risk_Compensation!$AJ19</f>
        <v>2</v>
      </c>
      <c r="F6463" s="1390" t="str">
        <f>Risk_Compensation!$AE$17</f>
        <v>VS</v>
      </c>
      <c r="G6463" s="1390"/>
      <c r="H6463" s="1077">
        <f>Risk_Compensation!$BH19</f>
        <v>-308.19967837846798</v>
      </c>
    </row>
    <row r="6464" spans="1:8" x14ac:dyDescent="0.2">
      <c r="A6464" s="1027"/>
      <c r="B6464" s="1083">
        <f>Risk_Compensation!A$1</f>
        <v>36</v>
      </c>
      <c r="C6464" s="1390" t="str">
        <f>Risk_Compensation!$B$1</f>
        <v xml:space="preserve">Risikoausgleich </v>
      </c>
      <c r="D6464" s="1743" t="str">
        <f>Risk_Compensation!$AJ$14</f>
        <v>geschätzte Risikoausgleichssätze, pro Monat in CHF (ohne Entlastung junge Erwachsene)</v>
      </c>
      <c r="E6464" s="1390">
        <f>Risk_Compensation!$AJ20</f>
        <v>3</v>
      </c>
      <c r="F6464" s="1390" t="str">
        <f>Risk_Compensation!$AE$17</f>
        <v>VS</v>
      </c>
      <c r="G6464" s="1390"/>
      <c r="H6464" s="1077">
        <f>Risk_Compensation!$BH20</f>
        <v>300.56055346299001</v>
      </c>
    </row>
    <row r="6465" spans="1:8" x14ac:dyDescent="0.2">
      <c r="A6465" s="1027"/>
      <c r="B6465" s="1083">
        <f>Risk_Compensation!A$1</f>
        <v>36</v>
      </c>
      <c r="C6465" s="1390" t="str">
        <f>Risk_Compensation!$B$1</f>
        <v xml:space="preserve">Risikoausgleich </v>
      </c>
      <c r="D6465" s="1743" t="str">
        <f>Risk_Compensation!$AJ$14</f>
        <v>geschätzte Risikoausgleichssätze, pro Monat in CHF (ohne Entlastung junge Erwachsene)</v>
      </c>
      <c r="E6465" s="1390">
        <f>Risk_Compensation!$AJ21</f>
        <v>4</v>
      </c>
      <c r="F6465" s="1390" t="str">
        <f>Risk_Compensation!$AE$17</f>
        <v>VS</v>
      </c>
      <c r="G6465" s="1390"/>
      <c r="H6465" s="1077">
        <f>Risk_Compensation!$BH21</f>
        <v>-316.60148255606703</v>
      </c>
    </row>
    <row r="6466" spans="1:8" x14ac:dyDescent="0.2">
      <c r="A6466" s="1027"/>
      <c r="B6466" s="1083">
        <f>Risk_Compensation!A$1</f>
        <v>36</v>
      </c>
      <c r="C6466" s="1390" t="str">
        <f>Risk_Compensation!$B$1</f>
        <v xml:space="preserve">Risikoausgleich </v>
      </c>
      <c r="D6466" s="1743" t="str">
        <f>Risk_Compensation!$AJ$14</f>
        <v>geschätzte Risikoausgleichssätze, pro Monat in CHF (ohne Entlastung junge Erwachsene)</v>
      </c>
      <c r="E6466" s="1390">
        <f>Risk_Compensation!$AJ22</f>
        <v>5</v>
      </c>
      <c r="F6466" s="1390" t="str">
        <f>Risk_Compensation!$AE$17</f>
        <v>VS</v>
      </c>
      <c r="G6466" s="1390"/>
      <c r="H6466" s="1077">
        <f>Risk_Compensation!$BH22</f>
        <v>491.89693017083403</v>
      </c>
    </row>
    <row r="6467" spans="1:8" x14ac:dyDescent="0.2">
      <c r="A6467" s="1027"/>
      <c r="B6467" s="1083">
        <f>Risk_Compensation!A$1</f>
        <v>36</v>
      </c>
      <c r="C6467" s="1390" t="str">
        <f>Risk_Compensation!$B$1</f>
        <v xml:space="preserve">Risikoausgleich </v>
      </c>
      <c r="D6467" s="1743" t="str">
        <f>Risk_Compensation!$AJ$14</f>
        <v>geschätzte Risikoausgleichssätze, pro Monat in CHF (ohne Entlastung junge Erwachsene)</v>
      </c>
      <c r="E6467" s="1390">
        <f>Risk_Compensation!$AJ23</f>
        <v>6</v>
      </c>
      <c r="F6467" s="1390" t="str">
        <f>Risk_Compensation!$AE$17</f>
        <v>VS</v>
      </c>
      <c r="G6467" s="1390"/>
      <c r="H6467" s="1077">
        <f>Risk_Compensation!$BH23</f>
        <v>-313.93552740857501</v>
      </c>
    </row>
    <row r="6468" spans="1:8" x14ac:dyDescent="0.2">
      <c r="A6468" s="1027"/>
      <c r="B6468" s="1083">
        <f>Risk_Compensation!A$1</f>
        <v>36</v>
      </c>
      <c r="C6468" s="1390" t="str">
        <f>Risk_Compensation!$B$1</f>
        <v xml:space="preserve">Risikoausgleich </v>
      </c>
      <c r="D6468" s="1743" t="str">
        <f>Risk_Compensation!$AJ$14</f>
        <v>geschätzte Risikoausgleichssätze, pro Monat in CHF (ohne Entlastung junge Erwachsene)</v>
      </c>
      <c r="E6468" s="1390">
        <f>Risk_Compensation!$AJ24</f>
        <v>7</v>
      </c>
      <c r="F6468" s="1390" t="str">
        <f>Risk_Compensation!$AE$17</f>
        <v>VS</v>
      </c>
      <c r="G6468" s="1390"/>
      <c r="H6468" s="1077">
        <f>Risk_Compensation!$BH24</f>
        <v>285.36660219961601</v>
      </c>
    </row>
    <row r="6469" spans="1:8" x14ac:dyDescent="0.2">
      <c r="A6469" s="1027"/>
      <c r="B6469" s="1083">
        <f>Risk_Compensation!A$1</f>
        <v>36</v>
      </c>
      <c r="C6469" s="1390" t="str">
        <f>Risk_Compensation!$B$1</f>
        <v xml:space="preserve">Risikoausgleich </v>
      </c>
      <c r="D6469" s="1743" t="str">
        <f>Risk_Compensation!$AJ$14</f>
        <v>geschätzte Risikoausgleichssätze, pro Monat in CHF (ohne Entlastung junge Erwachsene)</v>
      </c>
      <c r="E6469" s="1390">
        <f>Risk_Compensation!$AJ25</f>
        <v>8</v>
      </c>
      <c r="F6469" s="1390" t="str">
        <f>Risk_Compensation!$AE$17</f>
        <v>VS</v>
      </c>
      <c r="G6469" s="1390"/>
      <c r="H6469" s="1077">
        <f>Risk_Compensation!$BH25</f>
        <v>-311.850637986506</v>
      </c>
    </row>
    <row r="6470" spans="1:8" x14ac:dyDescent="0.2">
      <c r="A6470" s="1027"/>
      <c r="B6470" s="1083">
        <f>Risk_Compensation!A$1</f>
        <v>36</v>
      </c>
      <c r="C6470" s="1390" t="str">
        <f>Risk_Compensation!$B$1</f>
        <v xml:space="preserve">Risikoausgleich </v>
      </c>
      <c r="D6470" s="1743" t="str">
        <f>Risk_Compensation!$AJ$14</f>
        <v>geschätzte Risikoausgleichssätze, pro Monat in CHF (ohne Entlastung junge Erwachsene)</v>
      </c>
      <c r="E6470" s="1390">
        <f>Risk_Compensation!$AJ26</f>
        <v>9</v>
      </c>
      <c r="F6470" s="1390" t="str">
        <f>Risk_Compensation!$AE$17</f>
        <v>VS</v>
      </c>
      <c r="G6470" s="1390"/>
      <c r="H6470" s="1077">
        <f>Risk_Compensation!$BH26</f>
        <v>98.957169290342307</v>
      </c>
    </row>
    <row r="6471" spans="1:8" x14ac:dyDescent="0.2">
      <c r="A6471" s="1027"/>
      <c r="B6471" s="1083">
        <f>Risk_Compensation!A$1</f>
        <v>36</v>
      </c>
      <c r="C6471" s="1390" t="str">
        <f>Risk_Compensation!$B$1</f>
        <v xml:space="preserve">Risikoausgleich </v>
      </c>
      <c r="D6471" s="1743" t="str">
        <f>Risk_Compensation!$AJ$14</f>
        <v>geschätzte Risikoausgleichssätze, pro Monat in CHF (ohne Entlastung junge Erwachsene)</v>
      </c>
      <c r="E6471" s="1390">
        <f>Risk_Compensation!$AJ27</f>
        <v>10</v>
      </c>
      <c r="F6471" s="1390" t="str">
        <f>Risk_Compensation!$AE$17</f>
        <v>VS</v>
      </c>
      <c r="G6471" s="1390"/>
      <c r="H6471" s="1077">
        <f>Risk_Compensation!$BH27</f>
        <v>-296.10330598645402</v>
      </c>
    </row>
    <row r="6472" spans="1:8" x14ac:dyDescent="0.2">
      <c r="A6472" s="1027"/>
      <c r="B6472" s="1083">
        <f>Risk_Compensation!A$1</f>
        <v>36</v>
      </c>
      <c r="C6472" s="1390" t="str">
        <f>Risk_Compensation!$B$1</f>
        <v xml:space="preserve">Risikoausgleich </v>
      </c>
      <c r="D6472" s="1743" t="str">
        <f>Risk_Compensation!$AJ$14</f>
        <v>geschätzte Risikoausgleichssätze, pro Monat in CHF (ohne Entlastung junge Erwachsene)</v>
      </c>
      <c r="E6472" s="1390">
        <f>Risk_Compensation!$AJ28</f>
        <v>11</v>
      </c>
      <c r="F6472" s="1390" t="str">
        <f>Risk_Compensation!$AE$17</f>
        <v>VS</v>
      </c>
      <c r="G6472" s="1390"/>
      <c r="H6472" s="1077">
        <f>Risk_Compensation!$BH28</f>
        <v>399.70252321057501</v>
      </c>
    </row>
    <row r="6473" spans="1:8" x14ac:dyDescent="0.2">
      <c r="A6473" s="1027"/>
      <c r="B6473" s="1083">
        <f>Risk_Compensation!A$1</f>
        <v>36</v>
      </c>
      <c r="C6473" s="1390" t="str">
        <f>Risk_Compensation!$B$1</f>
        <v xml:space="preserve">Risikoausgleich </v>
      </c>
      <c r="D6473" s="1743" t="str">
        <f>Risk_Compensation!$AJ$14</f>
        <v>geschätzte Risikoausgleichssätze, pro Monat in CHF (ohne Entlastung junge Erwachsene)</v>
      </c>
      <c r="E6473" s="1390">
        <f>Risk_Compensation!$AJ29</f>
        <v>12</v>
      </c>
      <c r="F6473" s="1390" t="str">
        <f>Risk_Compensation!$AE$17</f>
        <v>VS</v>
      </c>
      <c r="G6473" s="1390"/>
      <c r="H6473" s="1077">
        <f>Risk_Compensation!$BH29</f>
        <v>-280.39025057461299</v>
      </c>
    </row>
    <row r="6474" spans="1:8" x14ac:dyDescent="0.2">
      <c r="A6474" s="1027"/>
      <c r="B6474" s="1083">
        <f>Risk_Compensation!A$1</f>
        <v>36</v>
      </c>
      <c r="C6474" s="1390" t="str">
        <f>Risk_Compensation!$B$1</f>
        <v xml:space="preserve">Risikoausgleich </v>
      </c>
      <c r="D6474" s="1743" t="str">
        <f>Risk_Compensation!$AJ$14</f>
        <v>geschätzte Risikoausgleichssätze, pro Monat in CHF (ohne Entlastung junge Erwachsene)</v>
      </c>
      <c r="E6474" s="1390">
        <f>Risk_Compensation!$AJ30</f>
        <v>13</v>
      </c>
      <c r="F6474" s="1390" t="str">
        <f>Risk_Compensation!$AE$17</f>
        <v>VS</v>
      </c>
      <c r="G6474" s="1390"/>
      <c r="H6474" s="1077">
        <f>Risk_Compensation!$BH30</f>
        <v>425.75587314939202</v>
      </c>
    </row>
    <row r="6475" spans="1:8" x14ac:dyDescent="0.2">
      <c r="A6475" s="1027"/>
      <c r="B6475" s="1083">
        <f>Risk_Compensation!A$1</f>
        <v>36</v>
      </c>
      <c r="C6475" s="1390" t="str">
        <f>Risk_Compensation!$B$1</f>
        <v xml:space="preserve">Risikoausgleich </v>
      </c>
      <c r="D6475" s="1743" t="str">
        <f>Risk_Compensation!$AJ$14</f>
        <v>geschätzte Risikoausgleichssätze, pro Monat in CHF (ohne Entlastung junge Erwachsene)</v>
      </c>
      <c r="E6475" s="1390">
        <f>Risk_Compensation!$AJ31</f>
        <v>14</v>
      </c>
      <c r="F6475" s="1390" t="str">
        <f>Risk_Compensation!$AE$17</f>
        <v>VS</v>
      </c>
      <c r="G6475" s="1390"/>
      <c r="H6475" s="1077">
        <f>Risk_Compensation!$BH31</f>
        <v>-247.14196685949901</v>
      </c>
    </row>
    <row r="6476" spans="1:8" x14ac:dyDescent="0.2">
      <c r="A6476" s="1027"/>
      <c r="B6476" s="1083">
        <f>Risk_Compensation!A$1</f>
        <v>36</v>
      </c>
      <c r="C6476" s="1390" t="str">
        <f>Risk_Compensation!$B$1</f>
        <v xml:space="preserve">Risikoausgleich </v>
      </c>
      <c r="D6476" s="1743" t="str">
        <f>Risk_Compensation!$AJ$14</f>
        <v>geschätzte Risikoausgleichssätze, pro Monat in CHF (ohne Entlastung junge Erwachsene)</v>
      </c>
      <c r="E6476" s="1390">
        <f>Risk_Compensation!$AJ32</f>
        <v>15</v>
      </c>
      <c r="F6476" s="1390" t="str">
        <f>Risk_Compensation!$AE$17</f>
        <v>VS</v>
      </c>
      <c r="G6476" s="1390"/>
      <c r="H6476" s="1077">
        <f>Risk_Compensation!$BH32</f>
        <v>546.56239733281802</v>
      </c>
    </row>
    <row r="6477" spans="1:8" x14ac:dyDescent="0.2">
      <c r="A6477" s="1027"/>
      <c r="B6477" s="1083">
        <f>Risk_Compensation!A$1</f>
        <v>36</v>
      </c>
      <c r="C6477" s="1390" t="str">
        <f>Risk_Compensation!$B$1</f>
        <v xml:space="preserve">Risikoausgleich </v>
      </c>
      <c r="D6477" s="1743" t="str">
        <f>Risk_Compensation!$AJ$14</f>
        <v>geschätzte Risikoausgleichssätze, pro Monat in CHF (ohne Entlastung junge Erwachsene)</v>
      </c>
      <c r="E6477" s="1390">
        <f>Risk_Compensation!$AJ33</f>
        <v>16</v>
      </c>
      <c r="F6477" s="1390" t="str">
        <f>Risk_Compensation!$AE$17</f>
        <v>VS</v>
      </c>
      <c r="G6477" s="1390"/>
      <c r="H6477" s="1077">
        <f>Risk_Compensation!$BH33</f>
        <v>-205.47063141132401</v>
      </c>
    </row>
    <row r="6478" spans="1:8" x14ac:dyDescent="0.2">
      <c r="A6478" s="1027"/>
      <c r="B6478" s="1083">
        <f>Risk_Compensation!A$1</f>
        <v>36</v>
      </c>
      <c r="C6478" s="1390" t="str">
        <f>Risk_Compensation!$B$1</f>
        <v xml:space="preserve">Risikoausgleich </v>
      </c>
      <c r="D6478" s="1743" t="str">
        <f>Risk_Compensation!$AJ$14</f>
        <v>geschätzte Risikoausgleichssätze, pro Monat in CHF (ohne Entlastung junge Erwachsene)</v>
      </c>
      <c r="E6478" s="1390">
        <f>Risk_Compensation!$AJ34</f>
        <v>17</v>
      </c>
      <c r="F6478" s="1390" t="str">
        <f>Risk_Compensation!$AE$17</f>
        <v>VS</v>
      </c>
      <c r="G6478" s="1390"/>
      <c r="H6478" s="1077">
        <f>Risk_Compensation!$BH34</f>
        <v>673.97426954555306</v>
      </c>
    </row>
    <row r="6479" spans="1:8" x14ac:dyDescent="0.2">
      <c r="A6479" s="1027"/>
      <c r="B6479" s="1083">
        <f>Risk_Compensation!A$1</f>
        <v>36</v>
      </c>
      <c r="C6479" s="1390" t="str">
        <f>Risk_Compensation!$B$1</f>
        <v xml:space="preserve">Risikoausgleich </v>
      </c>
      <c r="D6479" s="1743" t="str">
        <f>Risk_Compensation!$AJ$14</f>
        <v>geschätzte Risikoausgleichssätze, pro Monat in CHF (ohne Entlastung junge Erwachsene)</v>
      </c>
      <c r="E6479" s="1390">
        <f>Risk_Compensation!$AJ35</f>
        <v>18</v>
      </c>
      <c r="F6479" s="1390" t="str">
        <f>Risk_Compensation!$AE$17</f>
        <v>VS</v>
      </c>
      <c r="G6479" s="1390"/>
      <c r="H6479" s="1077">
        <f>Risk_Compensation!$BH35</f>
        <v>-150.76640483689701</v>
      </c>
    </row>
    <row r="6480" spans="1:8" x14ac:dyDescent="0.2">
      <c r="A6480" s="1027"/>
      <c r="B6480" s="1083">
        <f>Risk_Compensation!A$1</f>
        <v>36</v>
      </c>
      <c r="C6480" s="1390" t="str">
        <f>Risk_Compensation!$B$1</f>
        <v xml:space="preserve">Risikoausgleich </v>
      </c>
      <c r="D6480" s="1743" t="str">
        <f>Risk_Compensation!$AJ$14</f>
        <v>geschätzte Risikoausgleichssätze, pro Monat in CHF (ohne Entlastung junge Erwachsene)</v>
      </c>
      <c r="E6480" s="1390">
        <f>Risk_Compensation!$AJ36</f>
        <v>19</v>
      </c>
      <c r="F6480" s="1390" t="str">
        <f>Risk_Compensation!$AE$17</f>
        <v>VS</v>
      </c>
      <c r="G6480" s="1390"/>
      <c r="H6480" s="1077">
        <f>Risk_Compensation!$BH36</f>
        <v>569.53147341706904</v>
      </c>
    </row>
    <row r="6481" spans="1:8" x14ac:dyDescent="0.2">
      <c r="A6481" s="1027"/>
      <c r="B6481" s="1083">
        <f>Risk_Compensation!A$1</f>
        <v>36</v>
      </c>
      <c r="C6481" s="1390" t="str">
        <f>Risk_Compensation!$B$1</f>
        <v xml:space="preserve">Risikoausgleich </v>
      </c>
      <c r="D6481" s="1743" t="str">
        <f>Risk_Compensation!$AJ$14</f>
        <v>geschätzte Risikoausgleichssätze, pro Monat in CHF (ohne Entlastung junge Erwachsene)</v>
      </c>
      <c r="E6481" s="1390">
        <f>Risk_Compensation!$AJ37</f>
        <v>20</v>
      </c>
      <c r="F6481" s="1390" t="str">
        <f>Risk_Compensation!$AE$17</f>
        <v>VS</v>
      </c>
      <c r="G6481" s="1390"/>
      <c r="H6481" s="1077">
        <f>Risk_Compensation!$BH37</f>
        <v>-84.043622962090893</v>
      </c>
    </row>
    <row r="6482" spans="1:8" x14ac:dyDescent="0.2">
      <c r="A6482" s="1027"/>
      <c r="B6482" s="1083">
        <f>Risk_Compensation!A$1</f>
        <v>36</v>
      </c>
      <c r="C6482" s="1390" t="str">
        <f>Risk_Compensation!$B$1</f>
        <v xml:space="preserve">Risikoausgleich </v>
      </c>
      <c r="D6482" s="1743" t="str">
        <f>Risk_Compensation!$AJ$14</f>
        <v>geschätzte Risikoausgleichssätze, pro Monat in CHF (ohne Entlastung junge Erwachsene)</v>
      </c>
      <c r="E6482" s="1390">
        <f>Risk_Compensation!$AJ38</f>
        <v>21</v>
      </c>
      <c r="F6482" s="1390" t="str">
        <f>Risk_Compensation!$AE$17</f>
        <v>VS</v>
      </c>
      <c r="G6482" s="1390"/>
      <c r="H6482" s="1077">
        <f>Risk_Compensation!$BH38</f>
        <v>724.548814366393</v>
      </c>
    </row>
    <row r="6483" spans="1:8" x14ac:dyDescent="0.2">
      <c r="A6483" s="1027"/>
      <c r="B6483" s="1083">
        <f>Risk_Compensation!A$1</f>
        <v>36</v>
      </c>
      <c r="C6483" s="1390" t="str">
        <f>Risk_Compensation!$B$1</f>
        <v xml:space="preserve">Risikoausgleich </v>
      </c>
      <c r="D6483" s="1743" t="str">
        <f>Risk_Compensation!$AJ$14</f>
        <v>geschätzte Risikoausgleichssätze, pro Monat in CHF (ohne Entlastung junge Erwachsene)</v>
      </c>
      <c r="E6483" s="1390">
        <f>Risk_Compensation!$AJ39</f>
        <v>22</v>
      </c>
      <c r="F6483" s="1390" t="str">
        <f>Risk_Compensation!$AE$17</f>
        <v>VS</v>
      </c>
      <c r="G6483" s="1390"/>
      <c r="H6483" s="1077">
        <f>Risk_Compensation!$BH39</f>
        <v>24.6807497712173</v>
      </c>
    </row>
    <row r="6484" spans="1:8" x14ac:dyDescent="0.2">
      <c r="A6484" s="1027"/>
      <c r="B6484" s="1083">
        <f>Risk_Compensation!A$1</f>
        <v>36</v>
      </c>
      <c r="C6484" s="1390" t="str">
        <f>Risk_Compensation!$B$1</f>
        <v xml:space="preserve">Risikoausgleich </v>
      </c>
      <c r="D6484" s="1743" t="str">
        <f>Risk_Compensation!$AJ$14</f>
        <v>geschätzte Risikoausgleichssätze, pro Monat in CHF (ohne Entlastung junge Erwachsene)</v>
      </c>
      <c r="E6484" s="1390">
        <f>Risk_Compensation!$AJ40</f>
        <v>23</v>
      </c>
      <c r="F6484" s="1390" t="str">
        <f>Risk_Compensation!$AE$17</f>
        <v>VS</v>
      </c>
      <c r="G6484" s="1390"/>
      <c r="H6484" s="1077">
        <f>Risk_Compensation!$BH40</f>
        <v>932.74510325778601</v>
      </c>
    </row>
    <row r="6485" spans="1:8" x14ac:dyDescent="0.2">
      <c r="A6485" s="1027"/>
      <c r="B6485" s="1083">
        <f>Risk_Compensation!A$1</f>
        <v>36</v>
      </c>
      <c r="C6485" s="1390" t="str">
        <f>Risk_Compensation!$B$1</f>
        <v xml:space="preserve">Risikoausgleich </v>
      </c>
      <c r="D6485" s="1743" t="str">
        <f>Risk_Compensation!$AJ$14</f>
        <v>geschätzte Risikoausgleichssätze, pro Monat in CHF (ohne Entlastung junge Erwachsene)</v>
      </c>
      <c r="E6485" s="1390">
        <f>Risk_Compensation!$AJ41</f>
        <v>24</v>
      </c>
      <c r="F6485" s="1390" t="str">
        <f>Risk_Compensation!$AE$17</f>
        <v>VS</v>
      </c>
      <c r="G6485" s="1390"/>
      <c r="H6485" s="1077">
        <f>Risk_Compensation!$BH41</f>
        <v>100.116841345758</v>
      </c>
    </row>
    <row r="6486" spans="1:8" x14ac:dyDescent="0.2">
      <c r="A6486" s="1027"/>
      <c r="B6486" s="1083">
        <f>Risk_Compensation!A$1</f>
        <v>36</v>
      </c>
      <c r="C6486" s="1390" t="str">
        <f>Risk_Compensation!$B$1</f>
        <v xml:space="preserve">Risikoausgleich </v>
      </c>
      <c r="D6486" s="1743" t="str">
        <f>Risk_Compensation!$AJ$14</f>
        <v>geschätzte Risikoausgleichssätze, pro Monat in CHF (ohne Entlastung junge Erwachsene)</v>
      </c>
      <c r="E6486" s="1390">
        <f>Risk_Compensation!$AJ42</f>
        <v>25</v>
      </c>
      <c r="F6486" s="1390" t="str">
        <f>Risk_Compensation!$AE$17</f>
        <v>VS</v>
      </c>
      <c r="G6486" s="1390"/>
      <c r="H6486" s="1077">
        <f>Risk_Compensation!$BH42</f>
        <v>1103.7915748437299</v>
      </c>
    </row>
    <row r="6487" spans="1:8" x14ac:dyDescent="0.2">
      <c r="A6487" s="1027"/>
      <c r="B6487" s="1083">
        <f>Risk_Compensation!A$1</f>
        <v>36</v>
      </c>
      <c r="C6487" s="1390" t="str">
        <f>Risk_Compensation!$B$1</f>
        <v xml:space="preserve">Risikoausgleich </v>
      </c>
      <c r="D6487" s="1743" t="str">
        <f>Risk_Compensation!$AJ$14</f>
        <v>geschätzte Risikoausgleichssätze, pro Monat in CHF (ohne Entlastung junge Erwachsene)</v>
      </c>
      <c r="E6487" s="1390">
        <f>Risk_Compensation!$AJ43</f>
        <v>26</v>
      </c>
      <c r="F6487" s="1390" t="str">
        <f>Risk_Compensation!$AE$17</f>
        <v>VS</v>
      </c>
      <c r="G6487" s="1390"/>
      <c r="H6487" s="1077">
        <f>Risk_Compensation!$BH43</f>
        <v>154.32051868199301</v>
      </c>
    </row>
    <row r="6488" spans="1:8" x14ac:dyDescent="0.2">
      <c r="A6488" s="1027"/>
      <c r="B6488" s="1083">
        <f>Risk_Compensation!A$1</f>
        <v>36</v>
      </c>
      <c r="C6488" s="1390" t="str">
        <f>Risk_Compensation!$B$1</f>
        <v xml:space="preserve">Risikoausgleich </v>
      </c>
      <c r="D6488" s="1743" t="str">
        <f>Risk_Compensation!$AJ$14</f>
        <v>geschätzte Risikoausgleichssätze, pro Monat in CHF (ohne Entlastung junge Erwachsene)</v>
      </c>
      <c r="E6488" s="1390">
        <f>Risk_Compensation!$AJ44</f>
        <v>27</v>
      </c>
      <c r="F6488" s="1390" t="str">
        <f>Risk_Compensation!$AE$17</f>
        <v>VS</v>
      </c>
      <c r="G6488" s="1390"/>
      <c r="H6488" s="1077">
        <f>Risk_Compensation!$BH44</f>
        <v>1337.1998007858699</v>
      </c>
    </row>
    <row r="6489" spans="1:8" x14ac:dyDescent="0.2">
      <c r="A6489" s="1027"/>
      <c r="B6489" s="1083">
        <f>Risk_Compensation!A$1</f>
        <v>36</v>
      </c>
      <c r="C6489" s="1390" t="str">
        <f>Risk_Compensation!$B$1</f>
        <v xml:space="preserve">Risikoausgleich </v>
      </c>
      <c r="D6489" s="1743" t="str">
        <f>Risk_Compensation!$AJ$14</f>
        <v>geschätzte Risikoausgleichssätze, pro Monat in CHF (ohne Entlastung junge Erwachsene)</v>
      </c>
      <c r="E6489" s="1390">
        <f>Risk_Compensation!$AJ45</f>
        <v>28</v>
      </c>
      <c r="F6489" s="1390" t="str">
        <f>Risk_Compensation!$AE$17</f>
        <v>VS</v>
      </c>
      <c r="G6489" s="1390"/>
      <c r="H6489" s="1077">
        <f>Risk_Compensation!$BH45</f>
        <v>267.49863686175303</v>
      </c>
    </row>
    <row r="6490" spans="1:8" x14ac:dyDescent="0.2">
      <c r="A6490" s="1027"/>
      <c r="B6490" s="1083">
        <f>Risk_Compensation!A$1</f>
        <v>36</v>
      </c>
      <c r="C6490" s="1390" t="str">
        <f>Risk_Compensation!$B$1</f>
        <v xml:space="preserve">Risikoausgleich </v>
      </c>
      <c r="D6490" s="1743" t="str">
        <f>Risk_Compensation!$AJ$14</f>
        <v>geschätzte Risikoausgleichssätze, pro Monat in CHF (ohne Entlastung junge Erwachsene)</v>
      </c>
      <c r="E6490" s="1390">
        <f>Risk_Compensation!$AJ46</f>
        <v>29</v>
      </c>
      <c r="F6490" s="1390" t="str">
        <f>Risk_Compensation!$AE$17</f>
        <v>VS</v>
      </c>
      <c r="G6490" s="1390"/>
      <c r="H6490" s="1077">
        <f>Risk_Compensation!$BH46</f>
        <v>1653.3202374602699</v>
      </c>
    </row>
    <row r="6491" spans="1:8" x14ac:dyDescent="0.2">
      <c r="A6491" s="1027"/>
      <c r="B6491" s="1083">
        <f>Risk_Compensation!A$1</f>
        <v>36</v>
      </c>
      <c r="C6491" s="1390" t="str">
        <f>Risk_Compensation!$B$1</f>
        <v xml:space="preserve">Risikoausgleich </v>
      </c>
      <c r="D6491" s="1743" t="str">
        <f>Risk_Compensation!$AJ$14</f>
        <v>geschätzte Risikoausgleichssätze, pro Monat in CHF (ohne Entlastung junge Erwachsene)</v>
      </c>
      <c r="E6491" s="1390">
        <f>Risk_Compensation!$AJ47</f>
        <v>30</v>
      </c>
      <c r="F6491" s="1390" t="str">
        <f>Risk_Compensation!$AE$17</f>
        <v>VS</v>
      </c>
      <c r="G6491" s="1390"/>
      <c r="H6491" s="1077">
        <f>Risk_Compensation!$BH47</f>
        <v>393.90212437655202</v>
      </c>
    </row>
    <row r="6492" spans="1:8" x14ac:dyDescent="0.2">
      <c r="A6492" s="1027"/>
      <c r="B6492" s="1083">
        <f>Risk_Compensation!A$1</f>
        <v>36</v>
      </c>
      <c r="C6492" s="1390" t="str">
        <f>Risk_Compensation!$B$1</f>
        <v xml:space="preserve">Risikoausgleich </v>
      </c>
      <c r="D6492" s="1743" t="str">
        <f>Risk_Compensation!$AJ$14</f>
        <v>geschätzte Risikoausgleichssätze, pro Monat in CHF (ohne Entlastung junge Erwachsene)</v>
      </c>
      <c r="E6492" s="1390">
        <f>Risk_Compensation!$AJ48</f>
        <v>31</v>
      </c>
      <c r="F6492" s="1390" t="str">
        <f>Risk_Compensation!$AE$17</f>
        <v>VS</v>
      </c>
      <c r="G6492" s="1390"/>
      <c r="H6492" s="1077">
        <f>Risk_Compensation!$BH48</f>
        <v>441.98540040005702</v>
      </c>
    </row>
    <row r="6493" spans="1:8" x14ac:dyDescent="0.2">
      <c r="A6493" s="1027"/>
      <c r="B6493" s="1083">
        <f>Risk_Compensation!A$1</f>
        <v>36</v>
      </c>
      <c r="C6493" s="1390" t="str">
        <f>Risk_Compensation!$B$1</f>
        <v xml:space="preserve">Risikoausgleich </v>
      </c>
      <c r="D6493" s="1743" t="str">
        <f>Risk_Compensation!$AJ$14</f>
        <v>geschätzte Risikoausgleichssätze, pro Monat in CHF (ohne Entlastung junge Erwachsene)</v>
      </c>
      <c r="E6493" s="1390">
        <f>Risk_Compensation!$AJ49</f>
        <v>32</v>
      </c>
      <c r="F6493" s="1390" t="str">
        <f>Risk_Compensation!$AE$17</f>
        <v>VS</v>
      </c>
      <c r="G6493" s="1390"/>
      <c r="H6493" s="1077">
        <f>Risk_Compensation!$BH49</f>
        <v>-251.24978799267299</v>
      </c>
    </row>
    <row r="6494" spans="1:8" x14ac:dyDescent="0.2">
      <c r="A6494" s="1027"/>
      <c r="B6494" s="1083">
        <f>Risk_Compensation!A$1</f>
        <v>36</v>
      </c>
      <c r="C6494" s="1390" t="str">
        <f>Risk_Compensation!$B$1</f>
        <v xml:space="preserve">Risikoausgleich </v>
      </c>
      <c r="D6494" s="1743" t="str">
        <f>Risk_Compensation!$AJ$14</f>
        <v>geschätzte Risikoausgleichssätze, pro Monat in CHF (ohne Entlastung junge Erwachsene)</v>
      </c>
      <c r="E6494" s="1390">
        <f>Risk_Compensation!$AJ50</f>
        <v>33</v>
      </c>
      <c r="F6494" s="1390" t="str">
        <f>Risk_Compensation!$AE$17</f>
        <v>VS</v>
      </c>
      <c r="G6494" s="1390"/>
      <c r="H6494" s="1077">
        <f>Risk_Compensation!$BH50</f>
        <v>435.731455909945</v>
      </c>
    </row>
    <row r="6495" spans="1:8" x14ac:dyDescent="0.2">
      <c r="A6495" s="1027"/>
      <c r="B6495" s="1083">
        <f>Risk_Compensation!A$1</f>
        <v>36</v>
      </c>
      <c r="C6495" s="1390" t="str">
        <f>Risk_Compensation!$B$1</f>
        <v xml:space="preserve">Risikoausgleich </v>
      </c>
      <c r="D6495" s="1743" t="str">
        <f>Risk_Compensation!$AJ$14</f>
        <v>geschätzte Risikoausgleichssätze, pro Monat in CHF (ohne Entlastung junge Erwachsene)</v>
      </c>
      <c r="E6495" s="1390">
        <f>Risk_Compensation!$AJ51</f>
        <v>34</v>
      </c>
      <c r="F6495" s="1390" t="str">
        <f>Risk_Compensation!$AE$17</f>
        <v>VS</v>
      </c>
      <c r="G6495" s="1390"/>
      <c r="H6495" s="1077">
        <f>Risk_Compensation!$BH51</f>
        <v>-207.36734745407</v>
      </c>
    </row>
    <row r="6496" spans="1:8" x14ac:dyDescent="0.2">
      <c r="A6496" s="1027"/>
      <c r="B6496" s="1083">
        <f>Risk_Compensation!A$1</f>
        <v>36</v>
      </c>
      <c r="C6496" s="1390" t="str">
        <f>Risk_Compensation!$B$1</f>
        <v xml:space="preserve">Risikoausgleich </v>
      </c>
      <c r="D6496" s="1743" t="str">
        <f>Risk_Compensation!$AJ$14</f>
        <v>geschätzte Risikoausgleichssätze, pro Monat in CHF (ohne Entlastung junge Erwachsene)</v>
      </c>
      <c r="E6496" s="1390">
        <f>Risk_Compensation!$AJ52</f>
        <v>35</v>
      </c>
      <c r="F6496" s="1390" t="str">
        <f>Risk_Compensation!$AE$17</f>
        <v>VS</v>
      </c>
      <c r="G6496" s="1390"/>
      <c r="H6496" s="1077">
        <f>Risk_Compensation!$BH52</f>
        <v>203.086431249339</v>
      </c>
    </row>
    <row r="6497" spans="1:8" x14ac:dyDescent="0.2">
      <c r="A6497" s="1027"/>
      <c r="B6497" s="1083">
        <f>Risk_Compensation!A$1</f>
        <v>36</v>
      </c>
      <c r="C6497" s="1390" t="str">
        <f>Risk_Compensation!$B$1</f>
        <v xml:space="preserve">Risikoausgleich </v>
      </c>
      <c r="D6497" s="1743" t="str">
        <f>Risk_Compensation!$AJ$14</f>
        <v>geschätzte Risikoausgleichssätze, pro Monat in CHF (ohne Entlastung junge Erwachsene)</v>
      </c>
      <c r="E6497" s="1390">
        <f>Risk_Compensation!$AJ53</f>
        <v>36</v>
      </c>
      <c r="F6497" s="1390" t="str">
        <f>Risk_Compensation!$AE$17</f>
        <v>VS</v>
      </c>
      <c r="G6497" s="1390"/>
      <c r="H6497" s="1077">
        <f>Risk_Compensation!$BH53</f>
        <v>-180.307332399552</v>
      </c>
    </row>
    <row r="6498" spans="1:8" x14ac:dyDescent="0.2">
      <c r="A6498" s="1027"/>
      <c r="B6498" s="1083">
        <f>Risk_Compensation!A$1</f>
        <v>36</v>
      </c>
      <c r="C6498" s="1390" t="str">
        <f>Risk_Compensation!$B$1</f>
        <v xml:space="preserve">Risikoausgleich </v>
      </c>
      <c r="D6498" s="1743" t="str">
        <f>Risk_Compensation!$AJ$14</f>
        <v>geschätzte Risikoausgleichssätze, pro Monat in CHF (ohne Entlastung junge Erwachsene)</v>
      </c>
      <c r="E6498" s="1390">
        <f>Risk_Compensation!$AJ54</f>
        <v>37</v>
      </c>
      <c r="F6498" s="1390" t="str">
        <f>Risk_Compensation!$AE$17</f>
        <v>VS</v>
      </c>
      <c r="G6498" s="1390"/>
      <c r="H6498" s="1077">
        <f>Risk_Compensation!$BH54</f>
        <v>209.099275679116</v>
      </c>
    </row>
    <row r="6499" spans="1:8" x14ac:dyDescent="0.2">
      <c r="A6499" s="1027"/>
      <c r="B6499" s="1083">
        <f>Risk_Compensation!A$1</f>
        <v>36</v>
      </c>
      <c r="C6499" s="1390" t="str">
        <f>Risk_Compensation!$B$1</f>
        <v xml:space="preserve">Risikoausgleich </v>
      </c>
      <c r="D6499" s="1743" t="str">
        <f>Risk_Compensation!$AJ$14</f>
        <v>geschätzte Risikoausgleichssätze, pro Monat in CHF (ohne Entlastung junge Erwachsene)</v>
      </c>
      <c r="E6499" s="1390">
        <f>Risk_Compensation!$AJ55</f>
        <v>38</v>
      </c>
      <c r="F6499" s="1390" t="str">
        <f>Risk_Compensation!$AE$17</f>
        <v>VS</v>
      </c>
      <c r="G6499" s="1390"/>
      <c r="H6499" s="1077">
        <f>Risk_Compensation!$BH55</f>
        <v>-214.67808432789599</v>
      </c>
    </row>
    <row r="6500" spans="1:8" x14ac:dyDescent="0.2">
      <c r="A6500" s="1027"/>
      <c r="B6500" s="1083">
        <f>Risk_Compensation!A$1</f>
        <v>36</v>
      </c>
      <c r="C6500" s="1390" t="str">
        <f>Risk_Compensation!$B$1</f>
        <v xml:space="preserve">Risikoausgleich </v>
      </c>
      <c r="D6500" s="1743" t="str">
        <f>Risk_Compensation!$AJ$14</f>
        <v>geschätzte Risikoausgleichssätze, pro Monat in CHF (ohne Entlastung junge Erwachsene)</v>
      </c>
      <c r="E6500" s="1390">
        <f>Risk_Compensation!$AJ56</f>
        <v>39</v>
      </c>
      <c r="F6500" s="1390" t="str">
        <f>Risk_Compensation!$AE$17</f>
        <v>VS</v>
      </c>
      <c r="G6500" s="1390"/>
      <c r="H6500" s="1077">
        <f>Risk_Compensation!$BH56</f>
        <v>236.019882408385</v>
      </c>
    </row>
    <row r="6501" spans="1:8" x14ac:dyDescent="0.2">
      <c r="A6501" s="1027"/>
      <c r="B6501" s="1083">
        <f>Risk_Compensation!A$1</f>
        <v>36</v>
      </c>
      <c r="C6501" s="1390" t="str">
        <f>Risk_Compensation!$B$1</f>
        <v xml:space="preserve">Risikoausgleich </v>
      </c>
      <c r="D6501" s="1743" t="str">
        <f>Risk_Compensation!$AJ$14</f>
        <v>geschätzte Risikoausgleichssätze, pro Monat in CHF (ohne Entlastung junge Erwachsene)</v>
      </c>
      <c r="E6501" s="1390">
        <f>Risk_Compensation!$AJ57</f>
        <v>40</v>
      </c>
      <c r="F6501" s="1390" t="str">
        <f>Risk_Compensation!$AE$17</f>
        <v>VS</v>
      </c>
      <c r="G6501" s="1390"/>
      <c r="H6501" s="1077">
        <f>Risk_Compensation!$BH57</f>
        <v>-227.52155934742299</v>
      </c>
    </row>
    <row r="6502" spans="1:8" x14ac:dyDescent="0.2">
      <c r="A6502" s="1027"/>
      <c r="B6502" s="1083">
        <f>Risk_Compensation!A$1</f>
        <v>36</v>
      </c>
      <c r="C6502" s="1390" t="str">
        <f>Risk_Compensation!$B$1</f>
        <v xml:space="preserve">Risikoausgleich </v>
      </c>
      <c r="D6502" s="1743" t="str">
        <f>Risk_Compensation!$AJ$14</f>
        <v>geschätzte Risikoausgleichssätze, pro Monat in CHF (ohne Entlastung junge Erwachsene)</v>
      </c>
      <c r="E6502" s="1390">
        <f>Risk_Compensation!$AJ58</f>
        <v>41</v>
      </c>
      <c r="F6502" s="1390" t="str">
        <f>Risk_Compensation!$AE$17</f>
        <v>VS</v>
      </c>
      <c r="G6502" s="1390"/>
      <c r="H6502" s="1077">
        <f>Risk_Compensation!$BH58</f>
        <v>233.459364930438</v>
      </c>
    </row>
    <row r="6503" spans="1:8" x14ac:dyDescent="0.2">
      <c r="A6503" s="1027"/>
      <c r="B6503" s="1083">
        <f>Risk_Compensation!A$1</f>
        <v>36</v>
      </c>
      <c r="C6503" s="1390" t="str">
        <f>Risk_Compensation!$B$1</f>
        <v xml:space="preserve">Risikoausgleich </v>
      </c>
      <c r="D6503" s="1743" t="str">
        <f>Risk_Compensation!$AJ$14</f>
        <v>geschätzte Risikoausgleichssätze, pro Monat in CHF (ohne Entlastung junge Erwachsene)</v>
      </c>
      <c r="E6503" s="1390">
        <f>Risk_Compensation!$AJ59</f>
        <v>42</v>
      </c>
      <c r="F6503" s="1390" t="str">
        <f>Risk_Compensation!$AE$17</f>
        <v>VS</v>
      </c>
      <c r="G6503" s="1390"/>
      <c r="H6503" s="1077">
        <f>Risk_Compensation!$BH59</f>
        <v>-223.45601420743299</v>
      </c>
    </row>
    <row r="6504" spans="1:8" x14ac:dyDescent="0.2">
      <c r="A6504" s="1027"/>
      <c r="B6504" s="1083">
        <f>Risk_Compensation!A$1</f>
        <v>36</v>
      </c>
      <c r="C6504" s="1390" t="str">
        <f>Risk_Compensation!$B$1</f>
        <v xml:space="preserve">Risikoausgleich </v>
      </c>
      <c r="D6504" s="1743" t="str">
        <f>Risk_Compensation!$AJ$14</f>
        <v>geschätzte Risikoausgleichssätze, pro Monat in CHF (ohne Entlastung junge Erwachsene)</v>
      </c>
      <c r="E6504" s="1390">
        <f>Risk_Compensation!$AJ60</f>
        <v>43</v>
      </c>
      <c r="F6504" s="1390" t="str">
        <f>Risk_Compensation!$AE$17</f>
        <v>VS</v>
      </c>
      <c r="G6504" s="1390"/>
      <c r="H6504" s="1077">
        <f>Risk_Compensation!$BH60</f>
        <v>440.38449483946101</v>
      </c>
    </row>
    <row r="6505" spans="1:8" x14ac:dyDescent="0.2">
      <c r="A6505" s="1027"/>
      <c r="B6505" s="1083">
        <f>Risk_Compensation!A$1</f>
        <v>36</v>
      </c>
      <c r="C6505" s="1390" t="str">
        <f>Risk_Compensation!$B$1</f>
        <v xml:space="preserve">Risikoausgleich </v>
      </c>
      <c r="D6505" s="1743" t="str">
        <f>Risk_Compensation!$AJ$14</f>
        <v>geschätzte Risikoausgleichssätze, pro Monat in CHF (ohne Entlastung junge Erwachsene)</v>
      </c>
      <c r="E6505" s="1390">
        <f>Risk_Compensation!$AJ61</f>
        <v>44</v>
      </c>
      <c r="F6505" s="1390" t="str">
        <f>Risk_Compensation!$AE$17</f>
        <v>VS</v>
      </c>
      <c r="G6505" s="1390"/>
      <c r="H6505" s="1077">
        <f>Risk_Compensation!$BH61</f>
        <v>-205.96352993930799</v>
      </c>
    </row>
    <row r="6506" spans="1:8" x14ac:dyDescent="0.2">
      <c r="A6506" s="1027"/>
      <c r="B6506" s="1083">
        <f>Risk_Compensation!A$1</f>
        <v>36</v>
      </c>
      <c r="C6506" s="1390" t="str">
        <f>Risk_Compensation!$B$1</f>
        <v xml:space="preserve">Risikoausgleich </v>
      </c>
      <c r="D6506" s="1743" t="str">
        <f>Risk_Compensation!$AJ$14</f>
        <v>geschätzte Risikoausgleichssätze, pro Monat in CHF (ohne Entlastung junge Erwachsene)</v>
      </c>
      <c r="E6506" s="1390">
        <f>Risk_Compensation!$AJ62</f>
        <v>45</v>
      </c>
      <c r="F6506" s="1390" t="str">
        <f>Risk_Compensation!$AE$17</f>
        <v>VS</v>
      </c>
      <c r="G6506" s="1390"/>
      <c r="H6506" s="1077">
        <f>Risk_Compensation!$BH62</f>
        <v>515.57344825944006</v>
      </c>
    </row>
    <row r="6507" spans="1:8" x14ac:dyDescent="0.2">
      <c r="A6507" s="1027"/>
      <c r="B6507" s="1083">
        <f>Risk_Compensation!A$1</f>
        <v>36</v>
      </c>
      <c r="C6507" s="1390" t="str">
        <f>Risk_Compensation!$B$1</f>
        <v xml:space="preserve">Risikoausgleich </v>
      </c>
      <c r="D6507" s="1743" t="str">
        <f>Risk_Compensation!$AJ$14</f>
        <v>geschätzte Risikoausgleichssätze, pro Monat in CHF (ohne Entlastung junge Erwachsene)</v>
      </c>
      <c r="E6507" s="1390">
        <f>Risk_Compensation!$AJ63</f>
        <v>46</v>
      </c>
      <c r="F6507" s="1390" t="str">
        <f>Risk_Compensation!$AE$17</f>
        <v>VS</v>
      </c>
      <c r="G6507" s="1390"/>
      <c r="H6507" s="1077">
        <f>Risk_Compensation!$BH63</f>
        <v>-199.60528709424699</v>
      </c>
    </row>
    <row r="6508" spans="1:8" x14ac:dyDescent="0.2">
      <c r="A6508" s="1027"/>
      <c r="B6508" s="1083">
        <f>Risk_Compensation!A$1</f>
        <v>36</v>
      </c>
      <c r="C6508" s="1390" t="str">
        <f>Risk_Compensation!$B$1</f>
        <v xml:space="preserve">Risikoausgleich </v>
      </c>
      <c r="D6508" s="1743" t="str">
        <f>Risk_Compensation!$AJ$14</f>
        <v>geschätzte Risikoausgleichssätze, pro Monat in CHF (ohne Entlastung junge Erwachsene)</v>
      </c>
      <c r="E6508" s="1390">
        <f>Risk_Compensation!$AJ64</f>
        <v>47</v>
      </c>
      <c r="F6508" s="1390" t="str">
        <f>Risk_Compensation!$AE$17</f>
        <v>VS</v>
      </c>
      <c r="G6508" s="1390"/>
      <c r="H6508" s="1077">
        <f>Risk_Compensation!$BH64</f>
        <v>531.24118885212704</v>
      </c>
    </row>
    <row r="6509" spans="1:8" x14ac:dyDescent="0.2">
      <c r="A6509" s="1027"/>
      <c r="B6509" s="1083">
        <f>Risk_Compensation!A$1</f>
        <v>36</v>
      </c>
      <c r="C6509" s="1390" t="str">
        <f>Risk_Compensation!$B$1</f>
        <v xml:space="preserve">Risikoausgleich </v>
      </c>
      <c r="D6509" s="1743" t="str">
        <f>Risk_Compensation!$AJ$14</f>
        <v>geschätzte Risikoausgleichssätze, pro Monat in CHF (ohne Entlastung junge Erwachsene)</v>
      </c>
      <c r="E6509" s="1390">
        <f>Risk_Compensation!$AJ65</f>
        <v>48</v>
      </c>
      <c r="F6509" s="1390" t="str">
        <f>Risk_Compensation!$AE$17</f>
        <v>VS</v>
      </c>
      <c r="G6509" s="1390"/>
      <c r="H6509" s="1077">
        <f>Risk_Compensation!$BH65</f>
        <v>-178.60765706581799</v>
      </c>
    </row>
    <row r="6510" spans="1:8" x14ac:dyDescent="0.2">
      <c r="A6510" s="1027"/>
      <c r="B6510" s="1083">
        <f>Risk_Compensation!A$1</f>
        <v>36</v>
      </c>
      <c r="C6510" s="1390" t="str">
        <f>Risk_Compensation!$B$1</f>
        <v xml:space="preserve">Risikoausgleich </v>
      </c>
      <c r="D6510" s="1743" t="str">
        <f>Risk_Compensation!$AJ$14</f>
        <v>geschätzte Risikoausgleichssätze, pro Monat in CHF (ohne Entlastung junge Erwachsene)</v>
      </c>
      <c r="E6510" s="1390">
        <f>Risk_Compensation!$AJ66</f>
        <v>49</v>
      </c>
      <c r="F6510" s="1390" t="str">
        <f>Risk_Compensation!$AE$17</f>
        <v>VS</v>
      </c>
      <c r="G6510" s="1390"/>
      <c r="H6510" s="1077">
        <f>Risk_Compensation!$BH66</f>
        <v>651.041752232254</v>
      </c>
    </row>
    <row r="6511" spans="1:8" x14ac:dyDescent="0.2">
      <c r="A6511" s="1027"/>
      <c r="B6511" s="1083">
        <f>Risk_Compensation!A$1</f>
        <v>36</v>
      </c>
      <c r="C6511" s="1390" t="str">
        <f>Risk_Compensation!$B$1</f>
        <v xml:space="preserve">Risikoausgleich </v>
      </c>
      <c r="D6511" s="1743" t="str">
        <f>Risk_Compensation!$AJ$14</f>
        <v>geschätzte Risikoausgleichssätze, pro Monat in CHF (ohne Entlastung junge Erwachsene)</v>
      </c>
      <c r="E6511" s="1390">
        <f>Risk_Compensation!$AJ67</f>
        <v>50</v>
      </c>
      <c r="F6511" s="1390" t="str">
        <f>Risk_Compensation!$AE$17</f>
        <v>VS</v>
      </c>
      <c r="G6511" s="1390"/>
      <c r="H6511" s="1077">
        <f>Risk_Compensation!$BH67</f>
        <v>-122.655717195581</v>
      </c>
    </row>
    <row r="6512" spans="1:8" x14ac:dyDescent="0.2">
      <c r="A6512" s="1027"/>
      <c r="B6512" s="1083">
        <f>Risk_Compensation!A$1</f>
        <v>36</v>
      </c>
      <c r="C6512" s="1390" t="str">
        <f>Risk_Compensation!$B$1</f>
        <v xml:space="preserve">Risikoausgleich </v>
      </c>
      <c r="D6512" s="1743" t="str">
        <f>Risk_Compensation!$AJ$14</f>
        <v>geschätzte Risikoausgleichssätze, pro Monat in CHF (ohne Entlastung junge Erwachsene)</v>
      </c>
      <c r="E6512" s="1390">
        <f>Risk_Compensation!$AJ68</f>
        <v>51</v>
      </c>
      <c r="F6512" s="1390" t="str">
        <f>Risk_Compensation!$AE$17</f>
        <v>VS</v>
      </c>
      <c r="G6512" s="1390"/>
      <c r="H6512" s="1077">
        <f>Risk_Compensation!$BH68</f>
        <v>597.93060434956203</v>
      </c>
    </row>
    <row r="6513" spans="1:8" x14ac:dyDescent="0.2">
      <c r="A6513" s="1027"/>
      <c r="B6513" s="1083">
        <f>Risk_Compensation!A$1</f>
        <v>36</v>
      </c>
      <c r="C6513" s="1390" t="str">
        <f>Risk_Compensation!$B$1</f>
        <v xml:space="preserve">Risikoausgleich </v>
      </c>
      <c r="D6513" s="1743" t="str">
        <f>Risk_Compensation!$AJ$14</f>
        <v>geschätzte Risikoausgleichssätze, pro Monat in CHF (ohne Entlastung junge Erwachsene)</v>
      </c>
      <c r="E6513" s="1390">
        <f>Risk_Compensation!$AJ69</f>
        <v>52</v>
      </c>
      <c r="F6513" s="1390" t="str">
        <f>Risk_Compensation!$AE$17</f>
        <v>VS</v>
      </c>
      <c r="G6513" s="1390"/>
      <c r="H6513" s="1077">
        <f>Risk_Compensation!$BH69</f>
        <v>-73.174905850816899</v>
      </c>
    </row>
    <row r="6514" spans="1:8" x14ac:dyDescent="0.2">
      <c r="A6514" s="1027"/>
      <c r="B6514" s="1083">
        <f>Risk_Compensation!A$1</f>
        <v>36</v>
      </c>
      <c r="C6514" s="1390" t="str">
        <f>Risk_Compensation!$B$1</f>
        <v xml:space="preserve">Risikoausgleich </v>
      </c>
      <c r="D6514" s="1743" t="str">
        <f>Risk_Compensation!$AJ$14</f>
        <v>geschätzte Risikoausgleichssätze, pro Monat in CHF (ohne Entlastung junge Erwachsene)</v>
      </c>
      <c r="E6514" s="1390">
        <f>Risk_Compensation!$AJ70</f>
        <v>53</v>
      </c>
      <c r="F6514" s="1390" t="str">
        <f>Risk_Compensation!$AE$17</f>
        <v>VS</v>
      </c>
      <c r="G6514" s="1390"/>
      <c r="H6514" s="1077">
        <f>Risk_Compensation!$BH70</f>
        <v>903.87287075658605</v>
      </c>
    </row>
    <row r="6515" spans="1:8" x14ac:dyDescent="0.2">
      <c r="A6515" s="1027"/>
      <c r="B6515" s="1083">
        <f>Risk_Compensation!A$1</f>
        <v>36</v>
      </c>
      <c r="C6515" s="1390" t="str">
        <f>Risk_Compensation!$B$1</f>
        <v xml:space="preserve">Risikoausgleich </v>
      </c>
      <c r="D6515" s="1743" t="str">
        <f>Risk_Compensation!$AJ$14</f>
        <v>geschätzte Risikoausgleichssätze, pro Monat in CHF (ohne Entlastung junge Erwachsene)</v>
      </c>
      <c r="E6515" s="1390">
        <f>Risk_Compensation!$AJ71</f>
        <v>54</v>
      </c>
      <c r="F6515" s="1390" t="str">
        <f>Risk_Compensation!$AE$17</f>
        <v>VS</v>
      </c>
      <c r="G6515" s="1390"/>
      <c r="H6515" s="1077">
        <f>Risk_Compensation!$BH71</f>
        <v>-4.5805608568308598</v>
      </c>
    </row>
    <row r="6516" spans="1:8" x14ac:dyDescent="0.2">
      <c r="A6516" s="1027"/>
      <c r="B6516" s="1083">
        <f>Risk_Compensation!A$1</f>
        <v>36</v>
      </c>
      <c r="C6516" s="1390" t="str">
        <f>Risk_Compensation!$B$1</f>
        <v xml:space="preserve">Risikoausgleich </v>
      </c>
      <c r="D6516" s="1743" t="str">
        <f>Risk_Compensation!$AJ$14</f>
        <v>geschätzte Risikoausgleichssätze, pro Monat in CHF (ohne Entlastung junge Erwachsene)</v>
      </c>
      <c r="E6516" s="1390">
        <f>Risk_Compensation!$AJ72</f>
        <v>55</v>
      </c>
      <c r="F6516" s="1390" t="str">
        <f>Risk_Compensation!$AE$17</f>
        <v>VS</v>
      </c>
      <c r="G6516" s="1390"/>
      <c r="H6516" s="1077">
        <f>Risk_Compensation!$BH72</f>
        <v>1212.27614790901</v>
      </c>
    </row>
    <row r="6517" spans="1:8" x14ac:dyDescent="0.2">
      <c r="A6517" s="1027"/>
      <c r="B6517" s="1083">
        <f>Risk_Compensation!A$1</f>
        <v>36</v>
      </c>
      <c r="C6517" s="1390" t="str">
        <f>Risk_Compensation!$B$1</f>
        <v xml:space="preserve">Risikoausgleich </v>
      </c>
      <c r="D6517" s="1743" t="str">
        <f>Risk_Compensation!$AJ$14</f>
        <v>geschätzte Risikoausgleichssätze, pro Monat in CHF (ohne Entlastung junge Erwachsene)</v>
      </c>
      <c r="E6517" s="1390">
        <f>Risk_Compensation!$AJ73</f>
        <v>56</v>
      </c>
      <c r="F6517" s="1390" t="str">
        <f>Risk_Compensation!$AE$17</f>
        <v>VS</v>
      </c>
      <c r="G6517" s="1390"/>
      <c r="H6517" s="1077">
        <f>Risk_Compensation!$BH73</f>
        <v>128.112145147181</v>
      </c>
    </row>
    <row r="6518" spans="1:8" x14ac:dyDescent="0.2">
      <c r="A6518" s="1027"/>
      <c r="B6518" s="1083">
        <f>Risk_Compensation!A$1</f>
        <v>36</v>
      </c>
      <c r="C6518" s="1390" t="str">
        <f>Risk_Compensation!$B$1</f>
        <v xml:space="preserve">Risikoausgleich </v>
      </c>
      <c r="D6518" s="1743" t="str">
        <f>Risk_Compensation!$AJ$14</f>
        <v>geschätzte Risikoausgleichssätze, pro Monat in CHF (ohne Entlastung junge Erwachsene)</v>
      </c>
      <c r="E6518" s="1390">
        <f>Risk_Compensation!$AJ74</f>
        <v>57</v>
      </c>
      <c r="F6518" s="1390" t="str">
        <f>Risk_Compensation!$AE$17</f>
        <v>VS</v>
      </c>
      <c r="G6518" s="1390"/>
      <c r="H6518" s="1077">
        <f>Risk_Compensation!$BH74</f>
        <v>1495.95116220611</v>
      </c>
    </row>
    <row r="6519" spans="1:8" x14ac:dyDescent="0.2">
      <c r="A6519" s="1027"/>
      <c r="B6519" s="1083">
        <f>Risk_Compensation!A$1</f>
        <v>36</v>
      </c>
      <c r="C6519" s="1390" t="str">
        <f>Risk_Compensation!$B$1</f>
        <v xml:space="preserve">Risikoausgleich </v>
      </c>
      <c r="D6519" s="1743" t="str">
        <f>Risk_Compensation!$AJ$14</f>
        <v>geschätzte Risikoausgleichssätze, pro Monat in CHF (ohne Entlastung junge Erwachsene)</v>
      </c>
      <c r="E6519" s="1390">
        <f>Risk_Compensation!$AJ75</f>
        <v>58</v>
      </c>
      <c r="F6519" s="1390" t="str">
        <f>Risk_Compensation!$AE$17</f>
        <v>VS</v>
      </c>
      <c r="G6519" s="1390"/>
      <c r="H6519" s="1077">
        <f>Risk_Compensation!$BH75</f>
        <v>275.93573505458198</v>
      </c>
    </row>
    <row r="6520" spans="1:8" x14ac:dyDescent="0.2">
      <c r="A6520" s="1027"/>
      <c r="B6520" s="1083">
        <f>Risk_Compensation!A$1</f>
        <v>36</v>
      </c>
      <c r="C6520" s="1390" t="str">
        <f>Risk_Compensation!$B$1</f>
        <v xml:space="preserve">Risikoausgleich </v>
      </c>
      <c r="D6520" s="1743" t="str">
        <f>Risk_Compensation!$AJ$14</f>
        <v>geschätzte Risikoausgleichssätze, pro Monat in CHF (ohne Entlastung junge Erwachsene)</v>
      </c>
      <c r="E6520" s="1390">
        <f>Risk_Compensation!$AJ76</f>
        <v>59</v>
      </c>
      <c r="F6520" s="1390" t="str">
        <f>Risk_Compensation!$AE$17</f>
        <v>VS</v>
      </c>
      <c r="G6520" s="1390"/>
      <c r="H6520" s="1077">
        <f>Risk_Compensation!$BH76</f>
        <v>1850.4064023185099</v>
      </c>
    </row>
    <row r="6521" spans="1:8" x14ac:dyDescent="0.2">
      <c r="A6521" s="1027"/>
      <c r="B6521" s="1083">
        <f>Risk_Compensation!A$1</f>
        <v>36</v>
      </c>
      <c r="C6521" s="1390" t="str">
        <f>Risk_Compensation!$B$1</f>
        <v xml:space="preserve">Risikoausgleich </v>
      </c>
      <c r="D6521" s="1743" t="str">
        <f>Risk_Compensation!$AJ$14</f>
        <v>geschätzte Risikoausgleichssätze, pro Monat in CHF (ohne Entlastung junge Erwachsene)</v>
      </c>
      <c r="E6521" s="1390">
        <f>Risk_Compensation!$AJ77</f>
        <v>60</v>
      </c>
      <c r="F6521" s="1390" t="str">
        <f>Risk_Compensation!$AE$17</f>
        <v>VS</v>
      </c>
      <c r="G6521" s="1390"/>
      <c r="H6521" s="1077">
        <f>Risk_Compensation!$BH77</f>
        <v>583.78917522159304</v>
      </c>
    </row>
    <row r="6522" spans="1:8" x14ac:dyDescent="0.2">
      <c r="A6522" s="1027"/>
      <c r="B6522" s="2174"/>
      <c r="C6522" s="1390"/>
      <c r="D6522" s="2175"/>
      <c r="E6522" s="2176"/>
      <c r="F6522" s="1390"/>
      <c r="G6522" s="1390"/>
      <c r="H6522" s="1078"/>
    </row>
    <row r="6523" spans="1:8" x14ac:dyDescent="0.2">
      <c r="A6523" s="1027"/>
      <c r="B6523" s="1083">
        <f>Risk_Compensation!A$1</f>
        <v>36</v>
      </c>
      <c r="C6523" s="1390" t="str">
        <f>Risk_Compensation!$B$1</f>
        <v xml:space="preserve">Risikoausgleich </v>
      </c>
      <c r="D6523" s="1743" t="str">
        <f>Risk_Compensation!$AJ$14</f>
        <v>geschätzte Risikoausgleichssätze, pro Monat in CHF (ohne Entlastung junge Erwachsene)</v>
      </c>
      <c r="E6523" s="1390">
        <f>Risk_Compensation!$AJ18</f>
        <v>1</v>
      </c>
      <c r="F6523" s="1390" t="str">
        <f>Risk_Compensation!$AF$17</f>
        <v>ZG</v>
      </c>
      <c r="G6523" s="1390"/>
      <c r="H6523" s="1077">
        <f>Risk_Compensation!$BI18</f>
        <v>97.599147192785097</v>
      </c>
    </row>
    <row r="6524" spans="1:8" x14ac:dyDescent="0.2">
      <c r="A6524" s="1027"/>
      <c r="B6524" s="1083">
        <f>Risk_Compensation!A$1</f>
        <v>36</v>
      </c>
      <c r="C6524" s="1390" t="str">
        <f>Risk_Compensation!$B$1</f>
        <v xml:space="preserve">Risikoausgleich </v>
      </c>
      <c r="D6524" s="1743" t="str">
        <f>Risk_Compensation!$AJ$14</f>
        <v>geschätzte Risikoausgleichssätze, pro Monat in CHF (ohne Entlastung junge Erwachsene)</v>
      </c>
      <c r="E6524" s="1390">
        <f>Risk_Compensation!$AJ19</f>
        <v>2</v>
      </c>
      <c r="F6524" s="1390" t="str">
        <f>Risk_Compensation!$AF$17</f>
        <v>ZG</v>
      </c>
      <c r="G6524" s="1390"/>
      <c r="H6524" s="1077">
        <f>Risk_Compensation!$BI19</f>
        <v>-253.28041490650699</v>
      </c>
    </row>
    <row r="6525" spans="1:8" x14ac:dyDescent="0.2">
      <c r="A6525" s="1027"/>
      <c r="B6525" s="1083">
        <f>Risk_Compensation!A$1</f>
        <v>36</v>
      </c>
      <c r="C6525" s="1390" t="str">
        <f>Risk_Compensation!$B$1</f>
        <v xml:space="preserve">Risikoausgleich </v>
      </c>
      <c r="D6525" s="1743" t="str">
        <f>Risk_Compensation!$AJ$14</f>
        <v>geschätzte Risikoausgleichssätze, pro Monat in CHF (ohne Entlastung junge Erwachsene)</v>
      </c>
      <c r="E6525" s="1390">
        <f>Risk_Compensation!$AJ20</f>
        <v>3</v>
      </c>
      <c r="F6525" s="1390" t="str">
        <f>Risk_Compensation!$AF$17</f>
        <v>ZG</v>
      </c>
      <c r="G6525" s="1390"/>
      <c r="H6525" s="1077">
        <f>Risk_Compensation!$BI20</f>
        <v>16.778495307129798</v>
      </c>
    </row>
    <row r="6526" spans="1:8" x14ac:dyDescent="0.2">
      <c r="A6526" s="1027"/>
      <c r="B6526" s="1083">
        <f>Risk_Compensation!A$1</f>
        <v>36</v>
      </c>
      <c r="C6526" s="1390" t="str">
        <f>Risk_Compensation!$B$1</f>
        <v xml:space="preserve">Risikoausgleich </v>
      </c>
      <c r="D6526" s="1743" t="str">
        <f>Risk_Compensation!$AJ$14</f>
        <v>geschätzte Risikoausgleichssätze, pro Monat in CHF (ohne Entlastung junge Erwachsene)</v>
      </c>
      <c r="E6526" s="1390">
        <f>Risk_Compensation!$AJ21</f>
        <v>4</v>
      </c>
      <c r="F6526" s="1390" t="str">
        <f>Risk_Compensation!$AF$17</f>
        <v>ZG</v>
      </c>
      <c r="G6526" s="1390"/>
      <c r="H6526" s="1077">
        <f>Risk_Compensation!$BI21</f>
        <v>-252.667275252303</v>
      </c>
    </row>
    <row r="6527" spans="1:8" x14ac:dyDescent="0.2">
      <c r="A6527" s="1027"/>
      <c r="B6527" s="1083">
        <f>Risk_Compensation!A$1</f>
        <v>36</v>
      </c>
      <c r="C6527" s="1390" t="str">
        <f>Risk_Compensation!$B$1</f>
        <v xml:space="preserve">Risikoausgleich </v>
      </c>
      <c r="D6527" s="1743" t="str">
        <f>Risk_Compensation!$AJ$14</f>
        <v>geschätzte Risikoausgleichssätze, pro Monat in CHF (ohne Entlastung junge Erwachsene)</v>
      </c>
      <c r="E6527" s="1390">
        <f>Risk_Compensation!$AJ22</f>
        <v>5</v>
      </c>
      <c r="F6527" s="1390" t="str">
        <f>Risk_Compensation!$AF$17</f>
        <v>ZG</v>
      </c>
      <c r="G6527" s="1390"/>
      <c r="H6527" s="1077">
        <f>Risk_Compensation!$BI22</f>
        <v>127.430600399122</v>
      </c>
    </row>
    <row r="6528" spans="1:8" x14ac:dyDescent="0.2">
      <c r="A6528" s="1027"/>
      <c r="B6528" s="1083">
        <f>Risk_Compensation!A$1</f>
        <v>36</v>
      </c>
      <c r="C6528" s="1390" t="str">
        <f>Risk_Compensation!$B$1</f>
        <v xml:space="preserve">Risikoausgleich </v>
      </c>
      <c r="D6528" s="1743" t="str">
        <f>Risk_Compensation!$AJ$14</f>
        <v>geschätzte Risikoausgleichssätze, pro Monat in CHF (ohne Entlastung junge Erwachsene)</v>
      </c>
      <c r="E6528" s="1390">
        <f>Risk_Compensation!$AJ23</f>
        <v>6</v>
      </c>
      <c r="F6528" s="1390" t="str">
        <f>Risk_Compensation!$AF$17</f>
        <v>ZG</v>
      </c>
      <c r="G6528" s="1390"/>
      <c r="H6528" s="1077">
        <f>Risk_Compensation!$BI23</f>
        <v>-262.652146330395</v>
      </c>
    </row>
    <row r="6529" spans="1:8" x14ac:dyDescent="0.2">
      <c r="A6529" s="1027"/>
      <c r="B6529" s="1083">
        <f>Risk_Compensation!A$1</f>
        <v>36</v>
      </c>
      <c r="C6529" s="1390" t="str">
        <f>Risk_Compensation!$B$1</f>
        <v xml:space="preserve">Risikoausgleich </v>
      </c>
      <c r="D6529" s="1743" t="str">
        <f>Risk_Compensation!$AJ$14</f>
        <v>geschätzte Risikoausgleichssätze, pro Monat in CHF (ohne Entlastung junge Erwachsene)</v>
      </c>
      <c r="E6529" s="1390">
        <f>Risk_Compensation!$AJ24</f>
        <v>7</v>
      </c>
      <c r="F6529" s="1390" t="str">
        <f>Risk_Compensation!$AF$17</f>
        <v>ZG</v>
      </c>
      <c r="G6529" s="1390"/>
      <c r="H6529" s="1077">
        <f>Risk_Compensation!$BI24</f>
        <v>531.88668112855305</v>
      </c>
    </row>
    <row r="6530" spans="1:8" x14ac:dyDescent="0.2">
      <c r="A6530" s="1027"/>
      <c r="B6530" s="1083">
        <f>Risk_Compensation!A$1</f>
        <v>36</v>
      </c>
      <c r="C6530" s="1390" t="str">
        <f>Risk_Compensation!$B$1</f>
        <v xml:space="preserve">Risikoausgleich </v>
      </c>
      <c r="D6530" s="1743" t="str">
        <f>Risk_Compensation!$AJ$14</f>
        <v>geschätzte Risikoausgleichssätze, pro Monat in CHF (ohne Entlastung junge Erwachsene)</v>
      </c>
      <c r="E6530" s="1390">
        <f>Risk_Compensation!$AJ25</f>
        <v>8</v>
      </c>
      <c r="F6530" s="1390" t="str">
        <f>Risk_Compensation!$AF$17</f>
        <v>ZG</v>
      </c>
      <c r="G6530" s="1390"/>
      <c r="H6530" s="1077">
        <f>Risk_Compensation!$BI25</f>
        <v>-258.055492477131</v>
      </c>
    </row>
    <row r="6531" spans="1:8" x14ac:dyDescent="0.2">
      <c r="A6531" s="1027"/>
      <c r="B6531" s="1083">
        <f>Risk_Compensation!A$1</f>
        <v>36</v>
      </c>
      <c r="C6531" s="1390" t="str">
        <f>Risk_Compensation!$B$1</f>
        <v xml:space="preserve">Risikoausgleich </v>
      </c>
      <c r="D6531" s="1743" t="str">
        <f>Risk_Compensation!$AJ$14</f>
        <v>geschätzte Risikoausgleichssätze, pro Monat in CHF (ohne Entlastung junge Erwachsene)</v>
      </c>
      <c r="E6531" s="1390">
        <f>Risk_Compensation!$AJ26</f>
        <v>9</v>
      </c>
      <c r="F6531" s="1390" t="str">
        <f>Risk_Compensation!$AF$17</f>
        <v>ZG</v>
      </c>
      <c r="G6531" s="1390"/>
      <c r="H6531" s="1077">
        <f>Risk_Compensation!$BI26</f>
        <v>515.360968622511</v>
      </c>
    </row>
    <row r="6532" spans="1:8" x14ac:dyDescent="0.2">
      <c r="A6532" s="1027"/>
      <c r="B6532" s="1083">
        <f>Risk_Compensation!A$1</f>
        <v>36</v>
      </c>
      <c r="C6532" s="1390" t="str">
        <f>Risk_Compensation!$B$1</f>
        <v xml:space="preserve">Risikoausgleich </v>
      </c>
      <c r="D6532" s="1743" t="str">
        <f>Risk_Compensation!$AJ$14</f>
        <v>geschätzte Risikoausgleichssätze, pro Monat in CHF (ohne Entlastung junge Erwachsene)</v>
      </c>
      <c r="E6532" s="1390">
        <f>Risk_Compensation!$AJ27</f>
        <v>10</v>
      </c>
      <c r="F6532" s="1390" t="str">
        <f>Risk_Compensation!$AF$17</f>
        <v>ZG</v>
      </c>
      <c r="G6532" s="1390"/>
      <c r="H6532" s="1077">
        <f>Risk_Compensation!$BI27</f>
        <v>-243.77809102370799</v>
      </c>
    </row>
    <row r="6533" spans="1:8" x14ac:dyDescent="0.2">
      <c r="A6533" s="1027"/>
      <c r="B6533" s="1083">
        <f>Risk_Compensation!A$1</f>
        <v>36</v>
      </c>
      <c r="C6533" s="1390" t="str">
        <f>Risk_Compensation!$B$1</f>
        <v xml:space="preserve">Risikoausgleich </v>
      </c>
      <c r="D6533" s="1743" t="str">
        <f>Risk_Compensation!$AJ$14</f>
        <v>geschätzte Risikoausgleichssätze, pro Monat in CHF (ohne Entlastung junge Erwachsene)</v>
      </c>
      <c r="E6533" s="1390">
        <f>Risk_Compensation!$AJ28</f>
        <v>11</v>
      </c>
      <c r="F6533" s="1390" t="str">
        <f>Risk_Compensation!$AF$17</f>
        <v>ZG</v>
      </c>
      <c r="G6533" s="1390"/>
      <c r="H6533" s="1077">
        <f>Risk_Compensation!$BI28</f>
        <v>541.03601059251105</v>
      </c>
    </row>
    <row r="6534" spans="1:8" x14ac:dyDescent="0.2">
      <c r="A6534" s="1027"/>
      <c r="B6534" s="1083">
        <f>Risk_Compensation!A$1</f>
        <v>36</v>
      </c>
      <c r="C6534" s="1390" t="str">
        <f>Risk_Compensation!$B$1</f>
        <v xml:space="preserve">Risikoausgleich </v>
      </c>
      <c r="D6534" s="1743" t="str">
        <f>Risk_Compensation!$AJ$14</f>
        <v>geschätzte Risikoausgleichssätze, pro Monat in CHF (ohne Entlastung junge Erwachsene)</v>
      </c>
      <c r="E6534" s="1390">
        <f>Risk_Compensation!$AJ29</f>
        <v>12</v>
      </c>
      <c r="F6534" s="1390" t="str">
        <f>Risk_Compensation!$AF$17</f>
        <v>ZG</v>
      </c>
      <c r="G6534" s="1390"/>
      <c r="H6534" s="1077">
        <f>Risk_Compensation!$BI29</f>
        <v>-242.464719796232</v>
      </c>
    </row>
    <row r="6535" spans="1:8" x14ac:dyDescent="0.2">
      <c r="A6535" s="1027"/>
      <c r="B6535" s="1083">
        <f>Risk_Compensation!A$1</f>
        <v>36</v>
      </c>
      <c r="C6535" s="1390" t="str">
        <f>Risk_Compensation!$B$1</f>
        <v xml:space="preserve">Risikoausgleich </v>
      </c>
      <c r="D6535" s="1743" t="str">
        <f>Risk_Compensation!$AJ$14</f>
        <v>geschätzte Risikoausgleichssätze, pro Monat in CHF (ohne Entlastung junge Erwachsene)</v>
      </c>
      <c r="E6535" s="1390">
        <f>Risk_Compensation!$AJ30</f>
        <v>13</v>
      </c>
      <c r="F6535" s="1390" t="str">
        <f>Risk_Compensation!$AF$17</f>
        <v>ZG</v>
      </c>
      <c r="G6535" s="1390"/>
      <c r="H6535" s="1077">
        <f>Risk_Compensation!$BI30</f>
        <v>699.57061995414097</v>
      </c>
    </row>
    <row r="6536" spans="1:8" x14ac:dyDescent="0.2">
      <c r="A6536" s="1027"/>
      <c r="B6536" s="1083">
        <f>Risk_Compensation!A$1</f>
        <v>36</v>
      </c>
      <c r="C6536" s="1390" t="str">
        <f>Risk_Compensation!$B$1</f>
        <v xml:space="preserve">Risikoausgleich </v>
      </c>
      <c r="D6536" s="1743" t="str">
        <f>Risk_Compensation!$AJ$14</f>
        <v>geschätzte Risikoausgleichssätze, pro Monat in CHF (ohne Entlastung junge Erwachsene)</v>
      </c>
      <c r="E6536" s="1390">
        <f>Risk_Compensation!$AJ31</f>
        <v>14</v>
      </c>
      <c r="F6536" s="1390" t="str">
        <f>Risk_Compensation!$AF$17</f>
        <v>ZG</v>
      </c>
      <c r="G6536" s="1390"/>
      <c r="H6536" s="1077">
        <f>Risk_Compensation!$BI31</f>
        <v>-203.80468195199501</v>
      </c>
    </row>
    <row r="6537" spans="1:8" x14ac:dyDescent="0.2">
      <c r="A6537" s="1027"/>
      <c r="B6537" s="1083">
        <f>Risk_Compensation!A$1</f>
        <v>36</v>
      </c>
      <c r="C6537" s="1390" t="str">
        <f>Risk_Compensation!$B$1</f>
        <v xml:space="preserve">Risikoausgleich </v>
      </c>
      <c r="D6537" s="1743" t="str">
        <f>Risk_Compensation!$AJ$14</f>
        <v>geschätzte Risikoausgleichssätze, pro Monat in CHF (ohne Entlastung junge Erwachsene)</v>
      </c>
      <c r="E6537" s="1390">
        <f>Risk_Compensation!$AJ32</f>
        <v>15</v>
      </c>
      <c r="F6537" s="1390" t="str">
        <f>Risk_Compensation!$AF$17</f>
        <v>ZG</v>
      </c>
      <c r="G6537" s="1390"/>
      <c r="H6537" s="1077">
        <f>Risk_Compensation!$BI32</f>
        <v>247.57924188690399</v>
      </c>
    </row>
    <row r="6538" spans="1:8" x14ac:dyDescent="0.2">
      <c r="A6538" s="1027"/>
      <c r="B6538" s="1083">
        <f>Risk_Compensation!A$1</f>
        <v>36</v>
      </c>
      <c r="C6538" s="1390" t="str">
        <f>Risk_Compensation!$B$1</f>
        <v xml:space="preserve">Risikoausgleich </v>
      </c>
      <c r="D6538" s="1743" t="str">
        <f>Risk_Compensation!$AJ$14</f>
        <v>geschätzte Risikoausgleichssätze, pro Monat in CHF (ohne Entlastung junge Erwachsene)</v>
      </c>
      <c r="E6538" s="1390">
        <f>Risk_Compensation!$AJ33</f>
        <v>16</v>
      </c>
      <c r="F6538" s="1390" t="str">
        <f>Risk_Compensation!$AF$17</f>
        <v>ZG</v>
      </c>
      <c r="G6538" s="1390"/>
      <c r="H6538" s="1077">
        <f>Risk_Compensation!$BI33</f>
        <v>-165.99530728976001</v>
      </c>
    </row>
    <row r="6539" spans="1:8" x14ac:dyDescent="0.2">
      <c r="A6539" s="1027"/>
      <c r="B6539" s="1083">
        <f>Risk_Compensation!A$1</f>
        <v>36</v>
      </c>
      <c r="C6539" s="1390" t="str">
        <f>Risk_Compensation!$B$1</f>
        <v xml:space="preserve">Risikoausgleich </v>
      </c>
      <c r="D6539" s="1743" t="str">
        <f>Risk_Compensation!$AJ$14</f>
        <v>geschätzte Risikoausgleichssätze, pro Monat in CHF (ohne Entlastung junge Erwachsene)</v>
      </c>
      <c r="E6539" s="1390">
        <f>Risk_Compensation!$AJ34</f>
        <v>17</v>
      </c>
      <c r="F6539" s="1390" t="str">
        <f>Risk_Compensation!$AF$17</f>
        <v>ZG</v>
      </c>
      <c r="G6539" s="1390"/>
      <c r="H6539" s="1077">
        <f>Risk_Compensation!$BI34</f>
        <v>373.02568011136299</v>
      </c>
    </row>
    <row r="6540" spans="1:8" x14ac:dyDescent="0.2">
      <c r="A6540" s="1027"/>
      <c r="B6540" s="1083">
        <f>Risk_Compensation!A$1</f>
        <v>36</v>
      </c>
      <c r="C6540" s="1390" t="str">
        <f>Risk_Compensation!$B$1</f>
        <v xml:space="preserve">Risikoausgleich </v>
      </c>
      <c r="D6540" s="1743" t="str">
        <f>Risk_Compensation!$AJ$14</f>
        <v>geschätzte Risikoausgleichssätze, pro Monat in CHF (ohne Entlastung junge Erwachsene)</v>
      </c>
      <c r="E6540" s="1390">
        <f>Risk_Compensation!$AJ35</f>
        <v>18</v>
      </c>
      <c r="F6540" s="1390" t="str">
        <f>Risk_Compensation!$AF$17</f>
        <v>ZG</v>
      </c>
      <c r="G6540" s="1390"/>
      <c r="H6540" s="1077">
        <f>Risk_Compensation!$BI35</f>
        <v>-151.37116630515601</v>
      </c>
    </row>
    <row r="6541" spans="1:8" x14ac:dyDescent="0.2">
      <c r="A6541" s="1027"/>
      <c r="B6541" s="1083">
        <f>Risk_Compensation!A$1</f>
        <v>36</v>
      </c>
      <c r="C6541" s="1390" t="str">
        <f>Risk_Compensation!$B$1</f>
        <v xml:space="preserve">Risikoausgleich </v>
      </c>
      <c r="D6541" s="1743" t="str">
        <f>Risk_Compensation!$AJ$14</f>
        <v>geschätzte Risikoausgleichssätze, pro Monat in CHF (ohne Entlastung junge Erwachsene)</v>
      </c>
      <c r="E6541" s="1390">
        <f>Risk_Compensation!$AJ36</f>
        <v>19</v>
      </c>
      <c r="F6541" s="1390" t="str">
        <f>Risk_Compensation!$AF$17</f>
        <v>ZG</v>
      </c>
      <c r="G6541" s="1390"/>
      <c r="H6541" s="1077">
        <f>Risk_Compensation!$BI36</f>
        <v>308.93644777739701</v>
      </c>
    </row>
    <row r="6542" spans="1:8" x14ac:dyDescent="0.2">
      <c r="A6542" s="1027"/>
      <c r="B6542" s="1083">
        <f>Risk_Compensation!A$1</f>
        <v>36</v>
      </c>
      <c r="C6542" s="1390" t="str">
        <f>Risk_Compensation!$B$1</f>
        <v xml:space="preserve">Risikoausgleich </v>
      </c>
      <c r="D6542" s="1743" t="str">
        <f>Risk_Compensation!$AJ$14</f>
        <v>geschätzte Risikoausgleichssätze, pro Monat in CHF (ohne Entlastung junge Erwachsene)</v>
      </c>
      <c r="E6542" s="1390">
        <f>Risk_Compensation!$AJ37</f>
        <v>20</v>
      </c>
      <c r="F6542" s="1390" t="str">
        <f>Risk_Compensation!$AF$17</f>
        <v>ZG</v>
      </c>
      <c r="G6542" s="1390"/>
      <c r="H6542" s="1077">
        <f>Risk_Compensation!$BI37</f>
        <v>-70.294636809402206</v>
      </c>
    </row>
    <row r="6543" spans="1:8" x14ac:dyDescent="0.2">
      <c r="A6543" s="1027"/>
      <c r="B6543" s="1083">
        <f>Risk_Compensation!A$1</f>
        <v>36</v>
      </c>
      <c r="C6543" s="1390" t="str">
        <f>Risk_Compensation!$B$1</f>
        <v xml:space="preserve">Risikoausgleich </v>
      </c>
      <c r="D6543" s="1743" t="str">
        <f>Risk_Compensation!$AJ$14</f>
        <v>geschätzte Risikoausgleichssätze, pro Monat in CHF (ohne Entlastung junge Erwachsene)</v>
      </c>
      <c r="E6543" s="1390">
        <f>Risk_Compensation!$AJ38</f>
        <v>21</v>
      </c>
      <c r="F6543" s="1390" t="str">
        <f>Risk_Compensation!$AF$17</f>
        <v>ZG</v>
      </c>
      <c r="G6543" s="1390"/>
      <c r="H6543" s="1077">
        <f>Risk_Compensation!$BI38</f>
        <v>763.71333058142795</v>
      </c>
    </row>
    <row r="6544" spans="1:8" x14ac:dyDescent="0.2">
      <c r="A6544" s="1027"/>
      <c r="B6544" s="1083">
        <f>Risk_Compensation!A$1</f>
        <v>36</v>
      </c>
      <c r="C6544" s="1390" t="str">
        <f>Risk_Compensation!$B$1</f>
        <v xml:space="preserve">Risikoausgleich </v>
      </c>
      <c r="D6544" s="1743" t="str">
        <f>Risk_Compensation!$AJ$14</f>
        <v>geschätzte Risikoausgleichssätze, pro Monat in CHF (ohne Entlastung junge Erwachsene)</v>
      </c>
      <c r="E6544" s="1390">
        <f>Risk_Compensation!$AJ39</f>
        <v>22</v>
      </c>
      <c r="F6544" s="1390" t="str">
        <f>Risk_Compensation!$AF$17</f>
        <v>ZG</v>
      </c>
      <c r="G6544" s="1390"/>
      <c r="H6544" s="1077">
        <f>Risk_Compensation!$BI39</f>
        <v>-19.2572190833232</v>
      </c>
    </row>
    <row r="6545" spans="1:8" x14ac:dyDescent="0.2">
      <c r="A6545" s="1027"/>
      <c r="B6545" s="1083">
        <f>Risk_Compensation!A$1</f>
        <v>36</v>
      </c>
      <c r="C6545" s="1390" t="str">
        <f>Risk_Compensation!$B$1</f>
        <v xml:space="preserve">Risikoausgleich </v>
      </c>
      <c r="D6545" s="1743" t="str">
        <f>Risk_Compensation!$AJ$14</f>
        <v>geschätzte Risikoausgleichssätze, pro Monat in CHF (ohne Entlastung junge Erwachsene)</v>
      </c>
      <c r="E6545" s="1390">
        <f>Risk_Compensation!$AJ40</f>
        <v>23</v>
      </c>
      <c r="F6545" s="1390" t="str">
        <f>Risk_Compensation!$AF$17</f>
        <v>ZG</v>
      </c>
      <c r="G6545" s="1390"/>
      <c r="H6545" s="1077">
        <f>Risk_Compensation!$BI40</f>
        <v>842.29909085501004</v>
      </c>
    </row>
    <row r="6546" spans="1:8" x14ac:dyDescent="0.2">
      <c r="A6546" s="1027"/>
      <c r="B6546" s="1083">
        <f>Risk_Compensation!A$1</f>
        <v>36</v>
      </c>
      <c r="C6546" s="1390" t="str">
        <f>Risk_Compensation!$B$1</f>
        <v xml:space="preserve">Risikoausgleich </v>
      </c>
      <c r="D6546" s="1743" t="str">
        <f>Risk_Compensation!$AJ$14</f>
        <v>geschätzte Risikoausgleichssätze, pro Monat in CHF (ohne Entlastung junge Erwachsene)</v>
      </c>
      <c r="E6546" s="1390">
        <f>Risk_Compensation!$AJ41</f>
        <v>24</v>
      </c>
      <c r="F6546" s="1390" t="str">
        <f>Risk_Compensation!$AF$17</f>
        <v>ZG</v>
      </c>
      <c r="G6546" s="1390"/>
      <c r="H6546" s="1077">
        <f>Risk_Compensation!$BI41</f>
        <v>65.089411358037097</v>
      </c>
    </row>
    <row r="6547" spans="1:8" x14ac:dyDescent="0.2">
      <c r="A6547" s="1027"/>
      <c r="B6547" s="1083">
        <f>Risk_Compensation!A$1</f>
        <v>36</v>
      </c>
      <c r="C6547" s="1390" t="str">
        <f>Risk_Compensation!$B$1</f>
        <v xml:space="preserve">Risikoausgleich </v>
      </c>
      <c r="D6547" s="1743" t="str">
        <f>Risk_Compensation!$AJ$14</f>
        <v>geschätzte Risikoausgleichssätze, pro Monat in CHF (ohne Entlastung junge Erwachsene)</v>
      </c>
      <c r="E6547" s="1390">
        <f>Risk_Compensation!$AJ42</f>
        <v>25</v>
      </c>
      <c r="F6547" s="1390" t="str">
        <f>Risk_Compensation!$AF$17</f>
        <v>ZG</v>
      </c>
      <c r="G6547" s="1390"/>
      <c r="H6547" s="1077">
        <f>Risk_Compensation!$BI42</f>
        <v>1031.45108761083</v>
      </c>
    </row>
    <row r="6548" spans="1:8" x14ac:dyDescent="0.2">
      <c r="A6548" s="1027"/>
      <c r="B6548" s="1083">
        <f>Risk_Compensation!A$1</f>
        <v>36</v>
      </c>
      <c r="C6548" s="1390" t="str">
        <f>Risk_Compensation!$B$1</f>
        <v xml:space="preserve">Risikoausgleich </v>
      </c>
      <c r="D6548" s="1743" t="str">
        <f>Risk_Compensation!$AJ$14</f>
        <v>geschätzte Risikoausgleichssätze, pro Monat in CHF (ohne Entlastung junge Erwachsene)</v>
      </c>
      <c r="E6548" s="1390">
        <f>Risk_Compensation!$AJ43</f>
        <v>26</v>
      </c>
      <c r="F6548" s="1390" t="str">
        <f>Risk_Compensation!$AF$17</f>
        <v>ZG</v>
      </c>
      <c r="G6548" s="1390"/>
      <c r="H6548" s="1077">
        <f>Risk_Compensation!$BI43</f>
        <v>254.92399293847399</v>
      </c>
    </row>
    <row r="6549" spans="1:8" x14ac:dyDescent="0.2">
      <c r="A6549" s="1027"/>
      <c r="B6549" s="1083">
        <f>Risk_Compensation!A$1</f>
        <v>36</v>
      </c>
      <c r="C6549" s="1390" t="str">
        <f>Risk_Compensation!$B$1</f>
        <v xml:space="preserve">Risikoausgleich </v>
      </c>
      <c r="D6549" s="1743" t="str">
        <f>Risk_Compensation!$AJ$14</f>
        <v>geschätzte Risikoausgleichssätze, pro Monat in CHF (ohne Entlastung junge Erwachsene)</v>
      </c>
      <c r="E6549" s="1390">
        <f>Risk_Compensation!$AJ44</f>
        <v>27</v>
      </c>
      <c r="F6549" s="1390" t="str">
        <f>Risk_Compensation!$AF$17</f>
        <v>ZG</v>
      </c>
      <c r="G6549" s="1390"/>
      <c r="H6549" s="1077">
        <f>Risk_Compensation!$BI44</f>
        <v>1047.6163175774</v>
      </c>
    </row>
    <row r="6550" spans="1:8" x14ac:dyDescent="0.2">
      <c r="A6550" s="1027"/>
      <c r="B6550" s="1083">
        <f>Risk_Compensation!A$1</f>
        <v>36</v>
      </c>
      <c r="C6550" s="1390" t="str">
        <f>Risk_Compensation!$B$1</f>
        <v xml:space="preserve">Risikoausgleich </v>
      </c>
      <c r="D6550" s="1743" t="str">
        <f>Risk_Compensation!$AJ$14</f>
        <v>geschätzte Risikoausgleichssätze, pro Monat in CHF (ohne Entlastung junge Erwachsene)</v>
      </c>
      <c r="E6550" s="1390">
        <f>Risk_Compensation!$AJ45</f>
        <v>28</v>
      </c>
      <c r="F6550" s="1390" t="str">
        <f>Risk_Compensation!$AF$17</f>
        <v>ZG</v>
      </c>
      <c r="G6550" s="1390"/>
      <c r="H6550" s="1077">
        <f>Risk_Compensation!$BI45</f>
        <v>310.53065342237898</v>
      </c>
    </row>
    <row r="6551" spans="1:8" x14ac:dyDescent="0.2">
      <c r="A6551" s="1027"/>
      <c r="B6551" s="1083">
        <f>Risk_Compensation!A$1</f>
        <v>36</v>
      </c>
      <c r="C6551" s="1390" t="str">
        <f>Risk_Compensation!$B$1</f>
        <v xml:space="preserve">Risikoausgleich </v>
      </c>
      <c r="D6551" s="1743" t="str">
        <f>Risk_Compensation!$AJ$14</f>
        <v>geschätzte Risikoausgleichssätze, pro Monat in CHF (ohne Entlastung junge Erwachsene)</v>
      </c>
      <c r="E6551" s="1390">
        <f>Risk_Compensation!$AJ46</f>
        <v>29</v>
      </c>
      <c r="F6551" s="1390" t="str">
        <f>Risk_Compensation!$AF$17</f>
        <v>ZG</v>
      </c>
      <c r="G6551" s="1390"/>
      <c r="H6551" s="1077">
        <f>Risk_Compensation!$BI46</f>
        <v>1138.21329667182</v>
      </c>
    </row>
    <row r="6552" spans="1:8" x14ac:dyDescent="0.2">
      <c r="A6552" s="1027"/>
      <c r="B6552" s="1083">
        <f>Risk_Compensation!A$1</f>
        <v>36</v>
      </c>
      <c r="C6552" s="1390" t="str">
        <f>Risk_Compensation!$B$1</f>
        <v xml:space="preserve">Risikoausgleich </v>
      </c>
      <c r="D6552" s="1743" t="str">
        <f>Risk_Compensation!$AJ$14</f>
        <v>geschätzte Risikoausgleichssätze, pro Monat in CHF (ohne Entlastung junge Erwachsene)</v>
      </c>
      <c r="E6552" s="1390">
        <f>Risk_Compensation!$AJ47</f>
        <v>30</v>
      </c>
      <c r="F6552" s="1390" t="str">
        <f>Risk_Compensation!$AF$17</f>
        <v>ZG</v>
      </c>
      <c r="G6552" s="1390"/>
      <c r="H6552" s="1077">
        <f>Risk_Compensation!$BI47</f>
        <v>440.37766561317801</v>
      </c>
    </row>
    <row r="6553" spans="1:8" x14ac:dyDescent="0.2">
      <c r="A6553" s="1027"/>
      <c r="B6553" s="1083">
        <f>Risk_Compensation!A$1</f>
        <v>36</v>
      </c>
      <c r="C6553" s="1390" t="str">
        <f>Risk_Compensation!$B$1</f>
        <v xml:space="preserve">Risikoausgleich </v>
      </c>
      <c r="D6553" s="1743" t="str">
        <f>Risk_Compensation!$AJ$14</f>
        <v>geschätzte Risikoausgleichssätze, pro Monat in CHF (ohne Entlastung junge Erwachsene)</v>
      </c>
      <c r="E6553" s="1390">
        <f>Risk_Compensation!$AJ48</f>
        <v>31</v>
      </c>
      <c r="F6553" s="1390" t="str">
        <f>Risk_Compensation!$AF$17</f>
        <v>ZG</v>
      </c>
      <c r="G6553" s="1390"/>
      <c r="H6553" s="1077">
        <f>Risk_Compensation!$BI48</f>
        <v>236.43681994105401</v>
      </c>
    </row>
    <row r="6554" spans="1:8" x14ac:dyDescent="0.2">
      <c r="A6554" s="1027"/>
      <c r="B6554" s="1083">
        <f>Risk_Compensation!A$1</f>
        <v>36</v>
      </c>
      <c r="C6554" s="1390" t="str">
        <f>Risk_Compensation!$B$1</f>
        <v xml:space="preserve">Risikoausgleich </v>
      </c>
      <c r="D6554" s="1743" t="str">
        <f>Risk_Compensation!$AJ$14</f>
        <v>geschätzte Risikoausgleichssätze, pro Monat in CHF (ohne Entlastung junge Erwachsene)</v>
      </c>
      <c r="E6554" s="1390">
        <f>Risk_Compensation!$AJ49</f>
        <v>32</v>
      </c>
      <c r="F6554" s="1390" t="str">
        <f>Risk_Compensation!$AF$17</f>
        <v>ZG</v>
      </c>
      <c r="G6554" s="1390"/>
      <c r="H6554" s="1077">
        <f>Risk_Compensation!$BI49</f>
        <v>-197.38593715301701</v>
      </c>
    </row>
    <row r="6555" spans="1:8" x14ac:dyDescent="0.2">
      <c r="A6555" s="1027"/>
      <c r="B6555" s="1083">
        <f>Risk_Compensation!A$1</f>
        <v>36</v>
      </c>
      <c r="C6555" s="1390" t="str">
        <f>Risk_Compensation!$B$1</f>
        <v xml:space="preserve">Risikoausgleich </v>
      </c>
      <c r="D6555" s="1743" t="str">
        <f>Risk_Compensation!$AJ$14</f>
        <v>geschätzte Risikoausgleichssätze, pro Monat in CHF (ohne Entlastung junge Erwachsene)</v>
      </c>
      <c r="E6555" s="1390">
        <f>Risk_Compensation!$AJ50</f>
        <v>33</v>
      </c>
      <c r="F6555" s="1390" t="str">
        <f>Risk_Compensation!$AF$17</f>
        <v>ZG</v>
      </c>
      <c r="G6555" s="1390"/>
      <c r="H6555" s="1077">
        <f>Risk_Compensation!$BI50</f>
        <v>227.743495274125</v>
      </c>
    </row>
    <row r="6556" spans="1:8" x14ac:dyDescent="0.2">
      <c r="A6556" s="1027"/>
      <c r="B6556" s="1083">
        <f>Risk_Compensation!A$1</f>
        <v>36</v>
      </c>
      <c r="C6556" s="1390" t="str">
        <f>Risk_Compensation!$B$1</f>
        <v xml:space="preserve">Risikoausgleich </v>
      </c>
      <c r="D6556" s="1743" t="str">
        <f>Risk_Compensation!$AJ$14</f>
        <v>geschätzte Risikoausgleichssätze, pro Monat in CHF (ohne Entlastung junge Erwachsene)</v>
      </c>
      <c r="E6556" s="1390">
        <f>Risk_Compensation!$AJ51</f>
        <v>34</v>
      </c>
      <c r="F6556" s="1390" t="str">
        <f>Risk_Compensation!$AF$17</f>
        <v>ZG</v>
      </c>
      <c r="G6556" s="1390"/>
      <c r="H6556" s="1077">
        <f>Risk_Compensation!$BI51</f>
        <v>-148.04725198860001</v>
      </c>
    </row>
    <row r="6557" spans="1:8" x14ac:dyDescent="0.2">
      <c r="A6557" s="1027"/>
      <c r="B6557" s="1083">
        <f>Risk_Compensation!A$1</f>
        <v>36</v>
      </c>
      <c r="C6557" s="1390" t="str">
        <f>Risk_Compensation!$B$1</f>
        <v xml:space="preserve">Risikoausgleich </v>
      </c>
      <c r="D6557" s="1743" t="str">
        <f>Risk_Compensation!$AJ$14</f>
        <v>geschätzte Risikoausgleichssätze, pro Monat in CHF (ohne Entlastung junge Erwachsene)</v>
      </c>
      <c r="E6557" s="1390">
        <f>Risk_Compensation!$AJ52</f>
        <v>35</v>
      </c>
      <c r="F6557" s="1390" t="str">
        <f>Risk_Compensation!$AF$17</f>
        <v>ZG</v>
      </c>
      <c r="G6557" s="1390"/>
      <c r="H6557" s="1077">
        <f>Risk_Compensation!$BI52</f>
        <v>49.839872158941098</v>
      </c>
    </row>
    <row r="6558" spans="1:8" x14ac:dyDescent="0.2">
      <c r="A6558" s="1027"/>
      <c r="B6558" s="1083">
        <f>Risk_Compensation!A$1</f>
        <v>36</v>
      </c>
      <c r="C6558" s="1390" t="str">
        <f>Risk_Compensation!$B$1</f>
        <v xml:space="preserve">Risikoausgleich </v>
      </c>
      <c r="D6558" s="1743" t="str">
        <f>Risk_Compensation!$AJ$14</f>
        <v>geschätzte Risikoausgleichssätze, pro Monat in CHF (ohne Entlastung junge Erwachsene)</v>
      </c>
      <c r="E6558" s="1390">
        <f>Risk_Compensation!$AJ53</f>
        <v>36</v>
      </c>
      <c r="F6558" s="1390" t="str">
        <f>Risk_Compensation!$AF$17</f>
        <v>ZG</v>
      </c>
      <c r="G6558" s="1390"/>
      <c r="H6558" s="1077">
        <f>Risk_Compensation!$BI53</f>
        <v>-104.75048366583501</v>
      </c>
    </row>
    <row r="6559" spans="1:8" x14ac:dyDescent="0.2">
      <c r="A6559" s="1027"/>
      <c r="B6559" s="1083">
        <f>Risk_Compensation!A$1</f>
        <v>36</v>
      </c>
      <c r="C6559" s="1390" t="str">
        <f>Risk_Compensation!$B$1</f>
        <v xml:space="preserve">Risikoausgleich </v>
      </c>
      <c r="D6559" s="1743" t="str">
        <f>Risk_Compensation!$AJ$14</f>
        <v>geschätzte Risikoausgleichssätze, pro Monat in CHF (ohne Entlastung junge Erwachsene)</v>
      </c>
      <c r="E6559" s="1390">
        <f>Risk_Compensation!$AJ54</f>
        <v>37</v>
      </c>
      <c r="F6559" s="1390" t="str">
        <f>Risk_Compensation!$AF$17</f>
        <v>ZG</v>
      </c>
      <c r="G6559" s="1390"/>
      <c r="H6559" s="1077">
        <f>Risk_Compensation!$BI54</f>
        <v>209.00750358221501</v>
      </c>
    </row>
    <row r="6560" spans="1:8" x14ac:dyDescent="0.2">
      <c r="A6560" s="1027"/>
      <c r="B6560" s="1083">
        <f>Risk_Compensation!A$1</f>
        <v>36</v>
      </c>
      <c r="C6560" s="1390" t="str">
        <f>Risk_Compensation!$B$1</f>
        <v xml:space="preserve">Risikoausgleich </v>
      </c>
      <c r="D6560" s="1743" t="str">
        <f>Risk_Compensation!$AJ$14</f>
        <v>geschätzte Risikoausgleichssätze, pro Monat in CHF (ohne Entlastung junge Erwachsene)</v>
      </c>
      <c r="E6560" s="1390">
        <f>Risk_Compensation!$AJ55</f>
        <v>38</v>
      </c>
      <c r="F6560" s="1390" t="str">
        <f>Risk_Compensation!$AF$17</f>
        <v>ZG</v>
      </c>
      <c r="G6560" s="1390"/>
      <c r="H6560" s="1077">
        <f>Risk_Compensation!$BI55</f>
        <v>-149.60910633879399</v>
      </c>
    </row>
    <row r="6561" spans="1:8" x14ac:dyDescent="0.2">
      <c r="A6561" s="1027"/>
      <c r="B6561" s="1083">
        <f>Risk_Compensation!A$1</f>
        <v>36</v>
      </c>
      <c r="C6561" s="1390" t="str">
        <f>Risk_Compensation!$B$1</f>
        <v xml:space="preserve">Risikoausgleich </v>
      </c>
      <c r="D6561" s="1743" t="str">
        <f>Risk_Compensation!$AJ$14</f>
        <v>geschätzte Risikoausgleichssätze, pro Monat in CHF (ohne Entlastung junge Erwachsene)</v>
      </c>
      <c r="E6561" s="1390">
        <f>Risk_Compensation!$AJ56</f>
        <v>39</v>
      </c>
      <c r="F6561" s="1390" t="str">
        <f>Risk_Compensation!$AF$17</f>
        <v>ZG</v>
      </c>
      <c r="G6561" s="1390"/>
      <c r="H6561" s="1077">
        <f>Risk_Compensation!$BI56</f>
        <v>259.44967466651298</v>
      </c>
    </row>
    <row r="6562" spans="1:8" x14ac:dyDescent="0.2">
      <c r="A6562" s="1027"/>
      <c r="B6562" s="1083">
        <f>Risk_Compensation!A$1</f>
        <v>36</v>
      </c>
      <c r="C6562" s="1390" t="str">
        <f>Risk_Compensation!$B$1</f>
        <v xml:space="preserve">Risikoausgleich </v>
      </c>
      <c r="D6562" s="1743" t="str">
        <f>Risk_Compensation!$AJ$14</f>
        <v>geschätzte Risikoausgleichssätze, pro Monat in CHF (ohne Entlastung junge Erwachsene)</v>
      </c>
      <c r="E6562" s="1390">
        <f>Risk_Compensation!$AJ57</f>
        <v>40</v>
      </c>
      <c r="F6562" s="1390" t="str">
        <f>Risk_Compensation!$AF$17</f>
        <v>ZG</v>
      </c>
      <c r="G6562" s="1390"/>
      <c r="H6562" s="1077">
        <f>Risk_Compensation!$BI57</f>
        <v>-178.45782664779301</v>
      </c>
    </row>
    <row r="6563" spans="1:8" x14ac:dyDescent="0.2">
      <c r="A6563" s="1027"/>
      <c r="B6563" s="1083">
        <f>Risk_Compensation!A$1</f>
        <v>36</v>
      </c>
      <c r="C6563" s="1390" t="str">
        <f>Risk_Compensation!$B$1</f>
        <v xml:space="preserve">Risikoausgleich </v>
      </c>
      <c r="D6563" s="1743" t="str">
        <f>Risk_Compensation!$AJ$14</f>
        <v>geschätzte Risikoausgleichssätze, pro Monat in CHF (ohne Entlastung junge Erwachsene)</v>
      </c>
      <c r="E6563" s="1390">
        <f>Risk_Compensation!$AJ58</f>
        <v>41</v>
      </c>
      <c r="F6563" s="1390" t="str">
        <f>Risk_Compensation!$AF$17</f>
        <v>ZG</v>
      </c>
      <c r="G6563" s="1390"/>
      <c r="H6563" s="1077">
        <f>Risk_Compensation!$BI58</f>
        <v>185.505538679311</v>
      </c>
    </row>
    <row r="6564" spans="1:8" x14ac:dyDescent="0.2">
      <c r="A6564" s="1027"/>
      <c r="B6564" s="1083">
        <f>Risk_Compensation!A$1</f>
        <v>36</v>
      </c>
      <c r="C6564" s="1390" t="str">
        <f>Risk_Compensation!$B$1</f>
        <v xml:space="preserve">Risikoausgleich </v>
      </c>
      <c r="D6564" s="1743" t="str">
        <f>Risk_Compensation!$AJ$14</f>
        <v>geschätzte Risikoausgleichssätze, pro Monat in CHF (ohne Entlastung junge Erwachsene)</v>
      </c>
      <c r="E6564" s="1390">
        <f>Risk_Compensation!$AJ59</f>
        <v>42</v>
      </c>
      <c r="F6564" s="1390" t="str">
        <f>Risk_Compensation!$AF$17</f>
        <v>ZG</v>
      </c>
      <c r="G6564" s="1390"/>
      <c r="H6564" s="1077">
        <f>Risk_Compensation!$BI59</f>
        <v>-190.447656331047</v>
      </c>
    </row>
    <row r="6565" spans="1:8" x14ac:dyDescent="0.2">
      <c r="A6565" s="1027"/>
      <c r="B6565" s="1083">
        <f>Risk_Compensation!A$1</f>
        <v>36</v>
      </c>
      <c r="C6565" s="1390" t="str">
        <f>Risk_Compensation!$B$1</f>
        <v xml:space="preserve">Risikoausgleich </v>
      </c>
      <c r="D6565" s="1743" t="str">
        <f>Risk_Compensation!$AJ$14</f>
        <v>geschätzte Risikoausgleichssätze, pro Monat in CHF (ohne Entlastung junge Erwachsene)</v>
      </c>
      <c r="E6565" s="1390">
        <f>Risk_Compensation!$AJ60</f>
        <v>43</v>
      </c>
      <c r="F6565" s="1390" t="str">
        <f>Risk_Compensation!$AF$17</f>
        <v>ZG</v>
      </c>
      <c r="G6565" s="1390"/>
      <c r="H6565" s="1077">
        <f>Risk_Compensation!$BI60</f>
        <v>124.651235378347</v>
      </c>
    </row>
    <row r="6566" spans="1:8" x14ac:dyDescent="0.2">
      <c r="A6566" s="1027"/>
      <c r="B6566" s="1083">
        <f>Risk_Compensation!A$1</f>
        <v>36</v>
      </c>
      <c r="C6566" s="1390" t="str">
        <f>Risk_Compensation!$B$1</f>
        <v xml:space="preserve">Risikoausgleich </v>
      </c>
      <c r="D6566" s="1743" t="str">
        <f>Risk_Compensation!$AJ$14</f>
        <v>geschätzte Risikoausgleichssätze, pro Monat in CHF (ohne Entlastung junge Erwachsene)</v>
      </c>
      <c r="E6566" s="1390">
        <f>Risk_Compensation!$AJ61</f>
        <v>44</v>
      </c>
      <c r="F6566" s="1390" t="str">
        <f>Risk_Compensation!$AF$17</f>
        <v>ZG</v>
      </c>
      <c r="G6566" s="1390"/>
      <c r="H6566" s="1077">
        <f>Risk_Compensation!$BI61</f>
        <v>-164.53477810843799</v>
      </c>
    </row>
    <row r="6567" spans="1:8" x14ac:dyDescent="0.2">
      <c r="A6567" s="1027"/>
      <c r="B6567" s="1083">
        <f>Risk_Compensation!A$1</f>
        <v>36</v>
      </c>
      <c r="C6567" s="1390" t="str">
        <f>Risk_Compensation!$B$1</f>
        <v xml:space="preserve">Risikoausgleich </v>
      </c>
      <c r="D6567" s="1743" t="str">
        <f>Risk_Compensation!$AJ$14</f>
        <v>geschätzte Risikoausgleichssätze, pro Monat in CHF (ohne Entlastung junge Erwachsene)</v>
      </c>
      <c r="E6567" s="1390">
        <f>Risk_Compensation!$AJ62</f>
        <v>45</v>
      </c>
      <c r="F6567" s="1390" t="str">
        <f>Risk_Compensation!$AF$17</f>
        <v>ZG</v>
      </c>
      <c r="G6567" s="1390"/>
      <c r="H6567" s="1077">
        <f>Risk_Compensation!$BI62</f>
        <v>656.40301587098804</v>
      </c>
    </row>
    <row r="6568" spans="1:8" x14ac:dyDescent="0.2">
      <c r="A6568" s="1027"/>
      <c r="B6568" s="1083">
        <f>Risk_Compensation!A$1</f>
        <v>36</v>
      </c>
      <c r="C6568" s="1390" t="str">
        <f>Risk_Compensation!$B$1</f>
        <v xml:space="preserve">Risikoausgleich </v>
      </c>
      <c r="D6568" s="1743" t="str">
        <f>Risk_Compensation!$AJ$14</f>
        <v>geschätzte Risikoausgleichssätze, pro Monat in CHF (ohne Entlastung junge Erwachsene)</v>
      </c>
      <c r="E6568" s="1390">
        <f>Risk_Compensation!$AJ63</f>
        <v>46</v>
      </c>
      <c r="F6568" s="1390" t="str">
        <f>Risk_Compensation!$AF$17</f>
        <v>ZG</v>
      </c>
      <c r="G6568" s="1390"/>
      <c r="H6568" s="1077">
        <f>Risk_Compensation!$BI63</f>
        <v>-166.68787014807199</v>
      </c>
    </row>
    <row r="6569" spans="1:8" x14ac:dyDescent="0.2">
      <c r="A6569" s="1027"/>
      <c r="B6569" s="1083">
        <f>Risk_Compensation!A$1</f>
        <v>36</v>
      </c>
      <c r="C6569" s="1390" t="str">
        <f>Risk_Compensation!$B$1</f>
        <v xml:space="preserve">Risikoausgleich </v>
      </c>
      <c r="D6569" s="1743" t="str">
        <f>Risk_Compensation!$AJ$14</f>
        <v>geschätzte Risikoausgleichssätze, pro Monat in CHF (ohne Entlastung junge Erwachsene)</v>
      </c>
      <c r="E6569" s="1390">
        <f>Risk_Compensation!$AJ64</f>
        <v>47</v>
      </c>
      <c r="F6569" s="1390" t="str">
        <f>Risk_Compensation!$AF$17</f>
        <v>ZG</v>
      </c>
      <c r="G6569" s="1390"/>
      <c r="H6569" s="1077">
        <f>Risk_Compensation!$BI64</f>
        <v>615.99511649116903</v>
      </c>
    </row>
    <row r="6570" spans="1:8" x14ac:dyDescent="0.2">
      <c r="A6570" s="1027"/>
      <c r="B6570" s="1083">
        <f>Risk_Compensation!A$1</f>
        <v>36</v>
      </c>
      <c r="C6570" s="1390" t="str">
        <f>Risk_Compensation!$B$1</f>
        <v xml:space="preserve">Risikoausgleich </v>
      </c>
      <c r="D6570" s="1743" t="str">
        <f>Risk_Compensation!$AJ$14</f>
        <v>geschätzte Risikoausgleichssätze, pro Monat in CHF (ohne Entlastung junge Erwachsene)</v>
      </c>
      <c r="E6570" s="1390">
        <f>Risk_Compensation!$AJ65</f>
        <v>48</v>
      </c>
      <c r="F6570" s="1390" t="str">
        <f>Risk_Compensation!$AF$17</f>
        <v>ZG</v>
      </c>
      <c r="G6570" s="1390"/>
      <c r="H6570" s="1077">
        <f>Risk_Compensation!$BI65</f>
        <v>-128.68696328467399</v>
      </c>
    </row>
    <row r="6571" spans="1:8" x14ac:dyDescent="0.2">
      <c r="A6571" s="1027"/>
      <c r="B6571" s="1083">
        <f>Risk_Compensation!A$1</f>
        <v>36</v>
      </c>
      <c r="C6571" s="1390" t="str">
        <f>Risk_Compensation!$B$1</f>
        <v xml:space="preserve">Risikoausgleich </v>
      </c>
      <c r="D6571" s="1743" t="str">
        <f>Risk_Compensation!$AJ$14</f>
        <v>geschätzte Risikoausgleichssätze, pro Monat in CHF (ohne Entlastung junge Erwachsene)</v>
      </c>
      <c r="E6571" s="1390">
        <f>Risk_Compensation!$AJ66</f>
        <v>49</v>
      </c>
      <c r="F6571" s="1390" t="str">
        <f>Risk_Compensation!$AF$17</f>
        <v>ZG</v>
      </c>
      <c r="G6571" s="1390"/>
      <c r="H6571" s="1077">
        <f>Risk_Compensation!$BI66</f>
        <v>327.79340486720997</v>
      </c>
    </row>
    <row r="6572" spans="1:8" x14ac:dyDescent="0.2">
      <c r="A6572" s="1027"/>
      <c r="B6572" s="1083">
        <f>Risk_Compensation!A$1</f>
        <v>36</v>
      </c>
      <c r="C6572" s="1390" t="str">
        <f>Risk_Compensation!$B$1</f>
        <v xml:space="preserve">Risikoausgleich </v>
      </c>
      <c r="D6572" s="1743" t="str">
        <f>Risk_Compensation!$AJ$14</f>
        <v>geschätzte Risikoausgleichssätze, pro Monat in CHF (ohne Entlastung junge Erwachsene)</v>
      </c>
      <c r="E6572" s="1390">
        <f>Risk_Compensation!$AJ67</f>
        <v>50</v>
      </c>
      <c r="F6572" s="1390" t="str">
        <f>Risk_Compensation!$AF$17</f>
        <v>ZG</v>
      </c>
      <c r="G6572" s="1390"/>
      <c r="H6572" s="1077">
        <f>Risk_Compensation!$BI67</f>
        <v>-97.116459487780503</v>
      </c>
    </row>
    <row r="6573" spans="1:8" x14ac:dyDescent="0.2">
      <c r="A6573" s="1027"/>
      <c r="B6573" s="1083">
        <f>Risk_Compensation!A$1</f>
        <v>36</v>
      </c>
      <c r="C6573" s="1390" t="str">
        <f>Risk_Compensation!$B$1</f>
        <v xml:space="preserve">Risikoausgleich </v>
      </c>
      <c r="D6573" s="1743" t="str">
        <f>Risk_Compensation!$AJ$14</f>
        <v>geschätzte Risikoausgleichssätze, pro Monat in CHF (ohne Entlastung junge Erwachsene)</v>
      </c>
      <c r="E6573" s="1390">
        <f>Risk_Compensation!$AJ68</f>
        <v>51</v>
      </c>
      <c r="F6573" s="1390" t="str">
        <f>Risk_Compensation!$AF$17</f>
        <v>ZG</v>
      </c>
      <c r="G6573" s="1390"/>
      <c r="H6573" s="1077">
        <f>Risk_Compensation!$BI68</f>
        <v>546.03644818006603</v>
      </c>
    </row>
    <row r="6574" spans="1:8" x14ac:dyDescent="0.2">
      <c r="A6574" s="1027"/>
      <c r="B6574" s="1083">
        <f>Risk_Compensation!A$1</f>
        <v>36</v>
      </c>
      <c r="C6574" s="1390" t="str">
        <f>Risk_Compensation!$B$1</f>
        <v xml:space="preserve">Risikoausgleich </v>
      </c>
      <c r="D6574" s="1743" t="str">
        <f>Risk_Compensation!$AJ$14</f>
        <v>geschätzte Risikoausgleichssätze, pro Monat in CHF (ohne Entlastung junge Erwachsene)</v>
      </c>
      <c r="E6574" s="1390">
        <f>Risk_Compensation!$AJ69</f>
        <v>52</v>
      </c>
      <c r="F6574" s="1390" t="str">
        <f>Risk_Compensation!$AF$17</f>
        <v>ZG</v>
      </c>
      <c r="G6574" s="1390"/>
      <c r="H6574" s="1077">
        <f>Risk_Compensation!$BI69</f>
        <v>-17.6700129755536</v>
      </c>
    </row>
    <row r="6575" spans="1:8" x14ac:dyDescent="0.2">
      <c r="A6575" s="1027"/>
      <c r="B6575" s="1083">
        <f>Risk_Compensation!A$1</f>
        <v>36</v>
      </c>
      <c r="C6575" s="1390" t="str">
        <f>Risk_Compensation!$B$1</f>
        <v xml:space="preserve">Risikoausgleich </v>
      </c>
      <c r="D6575" s="1743" t="str">
        <f>Risk_Compensation!$AJ$14</f>
        <v>geschätzte Risikoausgleichssätze, pro Monat in CHF (ohne Entlastung junge Erwachsene)</v>
      </c>
      <c r="E6575" s="1390">
        <f>Risk_Compensation!$AJ70</f>
        <v>53</v>
      </c>
      <c r="F6575" s="1390" t="str">
        <f>Risk_Compensation!$AF$17</f>
        <v>ZG</v>
      </c>
      <c r="G6575" s="1390"/>
      <c r="H6575" s="1077">
        <f>Risk_Compensation!$BI70</f>
        <v>737.42068758198195</v>
      </c>
    </row>
    <row r="6576" spans="1:8" x14ac:dyDescent="0.2">
      <c r="A6576" s="1027"/>
      <c r="B6576" s="1083">
        <f>Risk_Compensation!A$1</f>
        <v>36</v>
      </c>
      <c r="C6576" s="1390" t="str">
        <f>Risk_Compensation!$B$1</f>
        <v xml:space="preserve">Risikoausgleich </v>
      </c>
      <c r="D6576" s="1743" t="str">
        <f>Risk_Compensation!$AJ$14</f>
        <v>geschätzte Risikoausgleichssätze, pro Monat in CHF (ohne Entlastung junge Erwachsene)</v>
      </c>
      <c r="E6576" s="1390">
        <f>Risk_Compensation!$AJ71</f>
        <v>54</v>
      </c>
      <c r="F6576" s="1390" t="str">
        <f>Risk_Compensation!$AF$17</f>
        <v>ZG</v>
      </c>
      <c r="G6576" s="1390"/>
      <c r="H6576" s="1077">
        <f>Risk_Compensation!$BI71</f>
        <v>83.551236353572506</v>
      </c>
    </row>
    <row r="6577" spans="1:8" x14ac:dyDescent="0.2">
      <c r="A6577" s="1027"/>
      <c r="B6577" s="1083">
        <f>Risk_Compensation!A$1</f>
        <v>36</v>
      </c>
      <c r="C6577" s="1390" t="str">
        <f>Risk_Compensation!$B$1</f>
        <v xml:space="preserve">Risikoausgleich </v>
      </c>
      <c r="D6577" s="1743" t="str">
        <f>Risk_Compensation!$AJ$14</f>
        <v>geschätzte Risikoausgleichssätze, pro Monat in CHF (ohne Entlastung junge Erwachsene)</v>
      </c>
      <c r="E6577" s="1390">
        <f>Risk_Compensation!$AJ72</f>
        <v>55</v>
      </c>
      <c r="F6577" s="1390" t="str">
        <f>Risk_Compensation!$AF$17</f>
        <v>ZG</v>
      </c>
      <c r="G6577" s="1390"/>
      <c r="H6577" s="1077">
        <f>Risk_Compensation!$BI72</f>
        <v>953.86041141528005</v>
      </c>
    </row>
    <row r="6578" spans="1:8" x14ac:dyDescent="0.2">
      <c r="A6578" s="1027"/>
      <c r="B6578" s="1083">
        <f>Risk_Compensation!A$1</f>
        <v>36</v>
      </c>
      <c r="C6578" s="1390" t="str">
        <f>Risk_Compensation!$B$1</f>
        <v xml:space="preserve">Risikoausgleich </v>
      </c>
      <c r="D6578" s="1743" t="str">
        <f>Risk_Compensation!$AJ$14</f>
        <v>geschätzte Risikoausgleichssätze, pro Monat in CHF (ohne Entlastung junge Erwachsene)</v>
      </c>
      <c r="E6578" s="1390">
        <f>Risk_Compensation!$AJ73</f>
        <v>56</v>
      </c>
      <c r="F6578" s="1390" t="str">
        <f>Risk_Compensation!$AF$17</f>
        <v>ZG</v>
      </c>
      <c r="G6578" s="1390"/>
      <c r="H6578" s="1077">
        <f>Risk_Compensation!$BI73</f>
        <v>120.57468709352401</v>
      </c>
    </row>
    <row r="6579" spans="1:8" x14ac:dyDescent="0.2">
      <c r="A6579" s="1027"/>
      <c r="B6579" s="1083">
        <f>Risk_Compensation!A$1</f>
        <v>36</v>
      </c>
      <c r="C6579" s="1390" t="str">
        <f>Risk_Compensation!$B$1</f>
        <v xml:space="preserve">Risikoausgleich </v>
      </c>
      <c r="D6579" s="1743" t="str">
        <f>Risk_Compensation!$AJ$14</f>
        <v>geschätzte Risikoausgleichssätze, pro Monat in CHF (ohne Entlastung junge Erwachsene)</v>
      </c>
      <c r="E6579" s="1390">
        <f>Risk_Compensation!$AJ74</f>
        <v>57</v>
      </c>
      <c r="F6579" s="1390" t="str">
        <f>Risk_Compensation!$AF$17</f>
        <v>ZG</v>
      </c>
      <c r="G6579" s="1390"/>
      <c r="H6579" s="1077">
        <f>Risk_Compensation!$BI74</f>
        <v>1060.7403461420899</v>
      </c>
    </row>
    <row r="6580" spans="1:8" x14ac:dyDescent="0.2">
      <c r="A6580" s="1027"/>
      <c r="B6580" s="1083">
        <f>Risk_Compensation!A$1</f>
        <v>36</v>
      </c>
      <c r="C6580" s="1390" t="str">
        <f>Risk_Compensation!$B$1</f>
        <v xml:space="preserve">Risikoausgleich </v>
      </c>
      <c r="D6580" s="1743" t="str">
        <f>Risk_Compensation!$AJ$14</f>
        <v>geschätzte Risikoausgleichssätze, pro Monat in CHF (ohne Entlastung junge Erwachsene)</v>
      </c>
      <c r="E6580" s="1390">
        <f>Risk_Compensation!$AJ75</f>
        <v>58</v>
      </c>
      <c r="F6580" s="1390" t="str">
        <f>Risk_Compensation!$AF$17</f>
        <v>ZG</v>
      </c>
      <c r="G6580" s="1390"/>
      <c r="H6580" s="1077">
        <f>Risk_Compensation!$BI75</f>
        <v>245.59385005536001</v>
      </c>
    </row>
    <row r="6581" spans="1:8" x14ac:dyDescent="0.2">
      <c r="A6581" s="1027"/>
      <c r="B6581" s="1083">
        <f>Risk_Compensation!A$1</f>
        <v>36</v>
      </c>
      <c r="C6581" s="1390" t="str">
        <f>Risk_Compensation!$B$1</f>
        <v xml:space="preserve">Risikoausgleich </v>
      </c>
      <c r="D6581" s="1743" t="str">
        <f>Risk_Compensation!$AJ$14</f>
        <v>geschätzte Risikoausgleichssätze, pro Monat in CHF (ohne Entlastung junge Erwachsene)</v>
      </c>
      <c r="E6581" s="1390">
        <f>Risk_Compensation!$AJ76</f>
        <v>59</v>
      </c>
      <c r="F6581" s="1390" t="str">
        <f>Risk_Compensation!$AF$17</f>
        <v>ZG</v>
      </c>
      <c r="G6581" s="1390"/>
      <c r="H6581" s="1077">
        <f>Risk_Compensation!$BI76</f>
        <v>1249.0067475283099</v>
      </c>
    </row>
    <row r="6582" spans="1:8" x14ac:dyDescent="0.2">
      <c r="A6582" s="1027"/>
      <c r="B6582" s="1083">
        <f>Risk_Compensation!A$1</f>
        <v>36</v>
      </c>
      <c r="C6582" s="1390" t="str">
        <f>Risk_Compensation!$B$1</f>
        <v xml:space="preserve">Risikoausgleich </v>
      </c>
      <c r="D6582" s="1743" t="str">
        <f>Risk_Compensation!$AJ$14</f>
        <v>geschätzte Risikoausgleichssätze, pro Monat in CHF (ohne Entlastung junge Erwachsene)</v>
      </c>
      <c r="E6582" s="1390">
        <f>Risk_Compensation!$AJ77</f>
        <v>60</v>
      </c>
      <c r="F6582" s="1390" t="str">
        <f>Risk_Compensation!$AF$17</f>
        <v>ZG</v>
      </c>
      <c r="G6582" s="1390"/>
      <c r="H6582" s="1077">
        <f>Risk_Compensation!$BI77</f>
        <v>321.90454460168098</v>
      </c>
    </row>
    <row r="6583" spans="1:8" x14ac:dyDescent="0.2">
      <c r="A6583" s="1027"/>
      <c r="B6583" s="2174"/>
      <c r="C6583" s="1390"/>
      <c r="D6583" s="2175"/>
      <c r="E6583" s="2176"/>
      <c r="F6583" s="1390"/>
      <c r="G6583" s="1390"/>
      <c r="H6583" s="1078"/>
    </row>
    <row r="6584" spans="1:8" x14ac:dyDescent="0.2">
      <c r="A6584" s="1027"/>
      <c r="B6584" s="1083">
        <f>Risk_Compensation!A$1</f>
        <v>36</v>
      </c>
      <c r="C6584" s="1390" t="str">
        <f>Risk_Compensation!$B$1</f>
        <v xml:space="preserve">Risikoausgleich </v>
      </c>
      <c r="D6584" s="1743" t="str">
        <f>Risk_Compensation!$AJ$14</f>
        <v>geschätzte Risikoausgleichssätze, pro Monat in CHF (ohne Entlastung junge Erwachsene)</v>
      </c>
      <c r="E6584" s="1390">
        <f>Risk_Compensation!$AJ18</f>
        <v>1</v>
      </c>
      <c r="F6584" s="1390" t="str">
        <f>Risk_Compensation!$AG$17</f>
        <v>ZH</v>
      </c>
      <c r="G6584" s="1390"/>
      <c r="H6584" s="1077">
        <f>Risk_Compensation!$BJ18</f>
        <v>508.44689383951697</v>
      </c>
    </row>
    <row r="6585" spans="1:8" x14ac:dyDescent="0.2">
      <c r="A6585" s="1027"/>
      <c r="B6585" s="1083">
        <f>Risk_Compensation!A$1</f>
        <v>36</v>
      </c>
      <c r="C6585" s="1390" t="str">
        <f>Risk_Compensation!$B$1</f>
        <v xml:space="preserve">Risikoausgleich </v>
      </c>
      <c r="D6585" s="1743" t="str">
        <f>Risk_Compensation!$AJ$14</f>
        <v>geschätzte Risikoausgleichssätze, pro Monat in CHF (ohne Entlastung junge Erwachsene)</v>
      </c>
      <c r="E6585" s="1390">
        <f>Risk_Compensation!$AJ19</f>
        <v>2</v>
      </c>
      <c r="F6585" s="1390" t="str">
        <f>Risk_Compensation!$AG$17</f>
        <v>ZH</v>
      </c>
      <c r="G6585" s="1390"/>
      <c r="H6585" s="1077">
        <f>Risk_Compensation!$BJ19</f>
        <v>-292.45361445687098</v>
      </c>
    </row>
    <row r="6586" spans="1:8" x14ac:dyDescent="0.2">
      <c r="A6586" s="1027"/>
      <c r="B6586" s="1083">
        <f>Risk_Compensation!A$1</f>
        <v>36</v>
      </c>
      <c r="C6586" s="1390" t="str">
        <f>Risk_Compensation!$B$1</f>
        <v xml:space="preserve">Risikoausgleich </v>
      </c>
      <c r="D6586" s="1743" t="str">
        <f>Risk_Compensation!$AJ$14</f>
        <v>geschätzte Risikoausgleichssätze, pro Monat in CHF (ohne Entlastung junge Erwachsene)</v>
      </c>
      <c r="E6586" s="1390">
        <f>Risk_Compensation!$AJ20</f>
        <v>3</v>
      </c>
      <c r="F6586" s="1390" t="str">
        <f>Risk_Compensation!$AG$17</f>
        <v>ZH</v>
      </c>
      <c r="G6586" s="1390"/>
      <c r="H6586" s="1077">
        <f>Risk_Compensation!$BJ20</f>
        <v>511.21732257350999</v>
      </c>
    </row>
    <row r="6587" spans="1:8" x14ac:dyDescent="0.2">
      <c r="A6587" s="1027"/>
      <c r="B6587" s="1083">
        <f>Risk_Compensation!A$1</f>
        <v>36</v>
      </c>
      <c r="C6587" s="1390" t="str">
        <f>Risk_Compensation!$B$1</f>
        <v xml:space="preserve">Risikoausgleich </v>
      </c>
      <c r="D6587" s="1743" t="str">
        <f>Risk_Compensation!$AJ$14</f>
        <v>geschätzte Risikoausgleichssätze, pro Monat in CHF (ohne Entlastung junge Erwachsene)</v>
      </c>
      <c r="E6587" s="1390">
        <f>Risk_Compensation!$AJ21</f>
        <v>4</v>
      </c>
      <c r="F6587" s="1390" t="str">
        <f>Risk_Compensation!$AG$17</f>
        <v>ZH</v>
      </c>
      <c r="G6587" s="1390"/>
      <c r="H6587" s="1077">
        <f>Risk_Compensation!$BJ21</f>
        <v>-300.03271725027599</v>
      </c>
    </row>
    <row r="6588" spans="1:8" x14ac:dyDescent="0.2">
      <c r="A6588" s="1027"/>
      <c r="B6588" s="1083">
        <f>Risk_Compensation!A$1</f>
        <v>36</v>
      </c>
      <c r="C6588" s="1390" t="str">
        <f>Risk_Compensation!$B$1</f>
        <v xml:space="preserve">Risikoausgleich </v>
      </c>
      <c r="D6588" s="1743" t="str">
        <f>Risk_Compensation!$AJ$14</f>
        <v>geschätzte Risikoausgleichssätze, pro Monat in CHF (ohne Entlastung junge Erwachsene)</v>
      </c>
      <c r="E6588" s="1390">
        <f>Risk_Compensation!$AJ22</f>
        <v>5</v>
      </c>
      <c r="F6588" s="1390" t="str">
        <f>Risk_Compensation!$AG$17</f>
        <v>ZH</v>
      </c>
      <c r="G6588" s="1390"/>
      <c r="H6588" s="1077">
        <f>Risk_Compensation!$BJ22</f>
        <v>384.30788482361999</v>
      </c>
    </row>
    <row r="6589" spans="1:8" x14ac:dyDescent="0.2">
      <c r="A6589" s="1027"/>
      <c r="B6589" s="1083">
        <f>Risk_Compensation!A$1</f>
        <v>36</v>
      </c>
      <c r="C6589" s="1390" t="str">
        <f>Risk_Compensation!$B$1</f>
        <v xml:space="preserve">Risikoausgleich </v>
      </c>
      <c r="D6589" s="1743" t="str">
        <f>Risk_Compensation!$AJ$14</f>
        <v>geschätzte Risikoausgleichssätze, pro Monat in CHF (ohne Entlastung junge Erwachsene)</v>
      </c>
      <c r="E6589" s="1390">
        <f>Risk_Compensation!$AJ23</f>
        <v>6</v>
      </c>
      <c r="F6589" s="1390" t="str">
        <f>Risk_Compensation!$AG$17</f>
        <v>ZH</v>
      </c>
      <c r="G6589" s="1390"/>
      <c r="H6589" s="1077">
        <f>Risk_Compensation!$BJ23</f>
        <v>-297.177294244417</v>
      </c>
    </row>
    <row r="6590" spans="1:8" x14ac:dyDescent="0.2">
      <c r="A6590" s="1027"/>
      <c r="B6590" s="1083">
        <f>Risk_Compensation!A$1</f>
        <v>36</v>
      </c>
      <c r="C6590" s="1390" t="str">
        <f>Risk_Compensation!$B$1</f>
        <v xml:space="preserve">Risikoausgleich </v>
      </c>
      <c r="D6590" s="1743" t="str">
        <f>Risk_Compensation!$AJ$14</f>
        <v>geschätzte Risikoausgleichssätze, pro Monat in CHF (ohne Entlastung junge Erwachsene)</v>
      </c>
      <c r="E6590" s="1390">
        <f>Risk_Compensation!$AJ24</f>
        <v>7</v>
      </c>
      <c r="F6590" s="1390" t="str">
        <f>Risk_Compensation!$AG$17</f>
        <v>ZH</v>
      </c>
      <c r="G6590" s="1390"/>
      <c r="H6590" s="1077">
        <f>Risk_Compensation!$BJ24</f>
        <v>547.62496534843604</v>
      </c>
    </row>
    <row r="6591" spans="1:8" x14ac:dyDescent="0.2">
      <c r="A6591" s="1027"/>
      <c r="B6591" s="1083">
        <f>Risk_Compensation!A$1</f>
        <v>36</v>
      </c>
      <c r="C6591" s="1390" t="str">
        <f>Risk_Compensation!$B$1</f>
        <v xml:space="preserve">Risikoausgleich </v>
      </c>
      <c r="D6591" s="1743" t="str">
        <f>Risk_Compensation!$AJ$14</f>
        <v>geschätzte Risikoausgleichssätze, pro Monat in CHF (ohne Entlastung junge Erwachsene)</v>
      </c>
      <c r="E6591" s="1390">
        <f>Risk_Compensation!$AJ25</f>
        <v>8</v>
      </c>
      <c r="F6591" s="1390" t="str">
        <f>Risk_Compensation!$AG$17</f>
        <v>ZH</v>
      </c>
      <c r="G6591" s="1390"/>
      <c r="H6591" s="1077">
        <f>Risk_Compensation!$BJ25</f>
        <v>-297.00111955810303</v>
      </c>
    </row>
    <row r="6592" spans="1:8" x14ac:dyDescent="0.2">
      <c r="A6592" s="1027"/>
      <c r="B6592" s="1083">
        <f>Risk_Compensation!A$1</f>
        <v>36</v>
      </c>
      <c r="C6592" s="1390" t="str">
        <f>Risk_Compensation!$B$1</f>
        <v xml:space="preserve">Risikoausgleich </v>
      </c>
      <c r="D6592" s="1743" t="str">
        <f>Risk_Compensation!$AJ$14</f>
        <v>geschätzte Risikoausgleichssätze, pro Monat in CHF (ohne Entlastung junge Erwachsene)</v>
      </c>
      <c r="E6592" s="1390">
        <f>Risk_Compensation!$AJ26</f>
        <v>9</v>
      </c>
      <c r="F6592" s="1390" t="str">
        <f>Risk_Compensation!$AG$17</f>
        <v>ZH</v>
      </c>
      <c r="G6592" s="1390"/>
      <c r="H6592" s="1077">
        <f>Risk_Compensation!$BJ26</f>
        <v>467.28157787279298</v>
      </c>
    </row>
    <row r="6593" spans="1:8" x14ac:dyDescent="0.2">
      <c r="A6593" s="1027"/>
      <c r="B6593" s="1083">
        <f>Risk_Compensation!A$1</f>
        <v>36</v>
      </c>
      <c r="C6593" s="1390" t="str">
        <f>Risk_Compensation!$B$1</f>
        <v xml:space="preserve">Risikoausgleich </v>
      </c>
      <c r="D6593" s="1743" t="str">
        <f>Risk_Compensation!$AJ$14</f>
        <v>geschätzte Risikoausgleichssätze, pro Monat in CHF (ohne Entlastung junge Erwachsene)</v>
      </c>
      <c r="E6593" s="1390">
        <f>Risk_Compensation!$AJ27</f>
        <v>10</v>
      </c>
      <c r="F6593" s="1390" t="str">
        <f>Risk_Compensation!$AG$17</f>
        <v>ZH</v>
      </c>
      <c r="G6593" s="1390"/>
      <c r="H6593" s="1077">
        <f>Risk_Compensation!$BJ27</f>
        <v>-292.79011733183103</v>
      </c>
    </row>
    <row r="6594" spans="1:8" x14ac:dyDescent="0.2">
      <c r="A6594" s="1027"/>
      <c r="B6594" s="1083">
        <f>Risk_Compensation!A$1</f>
        <v>36</v>
      </c>
      <c r="C6594" s="1390" t="str">
        <f>Risk_Compensation!$B$1</f>
        <v xml:space="preserve">Risikoausgleich </v>
      </c>
      <c r="D6594" s="1743" t="str">
        <f>Risk_Compensation!$AJ$14</f>
        <v>geschätzte Risikoausgleichssätze, pro Monat in CHF (ohne Entlastung junge Erwachsene)</v>
      </c>
      <c r="E6594" s="1390">
        <f>Risk_Compensation!$AJ28</f>
        <v>11</v>
      </c>
      <c r="F6594" s="1390" t="str">
        <f>Risk_Compensation!$AG$17</f>
        <v>ZH</v>
      </c>
      <c r="G6594" s="1390"/>
      <c r="H6594" s="1077">
        <f>Risk_Compensation!$BJ28</f>
        <v>451.74710363141799</v>
      </c>
    </row>
    <row r="6595" spans="1:8" x14ac:dyDescent="0.2">
      <c r="A6595" s="1027"/>
      <c r="B6595" s="1083">
        <f>Risk_Compensation!A$1</f>
        <v>36</v>
      </c>
      <c r="C6595" s="1390" t="str">
        <f>Risk_Compensation!$B$1</f>
        <v xml:space="preserve">Risikoausgleich </v>
      </c>
      <c r="D6595" s="1743" t="str">
        <f>Risk_Compensation!$AJ$14</f>
        <v>geschätzte Risikoausgleichssätze, pro Monat in CHF (ohne Entlastung junge Erwachsene)</v>
      </c>
      <c r="E6595" s="1390">
        <f>Risk_Compensation!$AJ29</f>
        <v>12</v>
      </c>
      <c r="F6595" s="1390" t="str">
        <f>Risk_Compensation!$AG$17</f>
        <v>ZH</v>
      </c>
      <c r="G6595" s="1390"/>
      <c r="H6595" s="1077">
        <f>Risk_Compensation!$BJ29</f>
        <v>-266.78019000422</v>
      </c>
    </row>
    <row r="6596" spans="1:8" x14ac:dyDescent="0.2">
      <c r="A6596" s="1027"/>
      <c r="B6596" s="1083">
        <f>Risk_Compensation!A$1</f>
        <v>36</v>
      </c>
      <c r="C6596" s="1390" t="str">
        <f>Risk_Compensation!$B$1</f>
        <v xml:space="preserve">Risikoausgleich </v>
      </c>
      <c r="D6596" s="1743" t="str">
        <f>Risk_Compensation!$AJ$14</f>
        <v>geschätzte Risikoausgleichssätze, pro Monat in CHF (ohne Entlastung junge Erwachsene)</v>
      </c>
      <c r="E6596" s="1390">
        <f>Risk_Compensation!$AJ30</f>
        <v>13</v>
      </c>
      <c r="F6596" s="1390" t="str">
        <f>Risk_Compensation!$AG$17</f>
        <v>ZH</v>
      </c>
      <c r="G6596" s="1390"/>
      <c r="H6596" s="1077">
        <f>Risk_Compensation!$BJ30</f>
        <v>472.50455849558699</v>
      </c>
    </row>
    <row r="6597" spans="1:8" x14ac:dyDescent="0.2">
      <c r="A6597" s="1027"/>
      <c r="B6597" s="1083">
        <f>Risk_Compensation!A$1</f>
        <v>36</v>
      </c>
      <c r="C6597" s="1390" t="str">
        <f>Risk_Compensation!$B$1</f>
        <v xml:space="preserve">Risikoausgleich </v>
      </c>
      <c r="D6597" s="1743" t="str">
        <f>Risk_Compensation!$AJ$14</f>
        <v>geschätzte Risikoausgleichssätze, pro Monat in CHF (ohne Entlastung junge Erwachsene)</v>
      </c>
      <c r="E6597" s="1390">
        <f>Risk_Compensation!$AJ31</f>
        <v>14</v>
      </c>
      <c r="F6597" s="1390" t="str">
        <f>Risk_Compensation!$AG$17</f>
        <v>ZH</v>
      </c>
      <c r="G6597" s="1390"/>
      <c r="H6597" s="1077">
        <f>Risk_Compensation!$BJ31</f>
        <v>-243.254027550399</v>
      </c>
    </row>
    <row r="6598" spans="1:8" x14ac:dyDescent="0.2">
      <c r="A6598" s="1027"/>
      <c r="B6598" s="1083">
        <f>Risk_Compensation!A$1</f>
        <v>36</v>
      </c>
      <c r="C6598" s="1390" t="str">
        <f>Risk_Compensation!$B$1</f>
        <v xml:space="preserve">Risikoausgleich </v>
      </c>
      <c r="D6598" s="1743" t="str">
        <f>Risk_Compensation!$AJ$14</f>
        <v>geschätzte Risikoausgleichssätze, pro Monat in CHF (ohne Entlastung junge Erwachsene)</v>
      </c>
      <c r="E6598" s="1390">
        <f>Risk_Compensation!$AJ32</f>
        <v>15</v>
      </c>
      <c r="F6598" s="1390" t="str">
        <f>Risk_Compensation!$AG$17</f>
        <v>ZH</v>
      </c>
      <c r="G6598" s="1390"/>
      <c r="H6598" s="1077">
        <f>Risk_Compensation!$BJ32</f>
        <v>531.42600641616696</v>
      </c>
    </row>
    <row r="6599" spans="1:8" x14ac:dyDescent="0.2">
      <c r="A6599" s="1027"/>
      <c r="B6599" s="1083">
        <f>Risk_Compensation!A$1</f>
        <v>36</v>
      </c>
      <c r="C6599" s="1390" t="str">
        <f>Risk_Compensation!$B$1</f>
        <v xml:space="preserve">Risikoausgleich </v>
      </c>
      <c r="D6599" s="1743" t="str">
        <f>Risk_Compensation!$AJ$14</f>
        <v>geschätzte Risikoausgleichssätze, pro Monat in CHF (ohne Entlastung junge Erwachsene)</v>
      </c>
      <c r="E6599" s="1390">
        <f>Risk_Compensation!$AJ33</f>
        <v>16</v>
      </c>
      <c r="F6599" s="1390" t="str">
        <f>Risk_Compensation!$AG$17</f>
        <v>ZH</v>
      </c>
      <c r="G6599" s="1390"/>
      <c r="H6599" s="1077">
        <f>Risk_Compensation!$BJ33</f>
        <v>-205.988363883766</v>
      </c>
    </row>
    <row r="6600" spans="1:8" x14ac:dyDescent="0.2">
      <c r="A6600" s="1027"/>
      <c r="B6600" s="1083">
        <f>Risk_Compensation!A$1</f>
        <v>36</v>
      </c>
      <c r="C6600" s="1390" t="str">
        <f>Risk_Compensation!$B$1</f>
        <v xml:space="preserve">Risikoausgleich </v>
      </c>
      <c r="D6600" s="1743" t="str">
        <f>Risk_Compensation!$AJ$14</f>
        <v>geschätzte Risikoausgleichssätze, pro Monat in CHF (ohne Entlastung junge Erwachsene)</v>
      </c>
      <c r="E6600" s="1390">
        <f>Risk_Compensation!$AJ34</f>
        <v>17</v>
      </c>
      <c r="F6600" s="1390" t="str">
        <f>Risk_Compensation!$AG$17</f>
        <v>ZH</v>
      </c>
      <c r="G6600" s="1390"/>
      <c r="H6600" s="1077">
        <f>Risk_Compensation!$BJ34</f>
        <v>617.98620642696596</v>
      </c>
    </row>
    <row r="6601" spans="1:8" x14ac:dyDescent="0.2">
      <c r="A6601" s="1027"/>
      <c r="B6601" s="1083">
        <f>Risk_Compensation!A$1</f>
        <v>36</v>
      </c>
      <c r="C6601" s="1390" t="str">
        <f>Risk_Compensation!$B$1</f>
        <v xml:space="preserve">Risikoausgleich </v>
      </c>
      <c r="D6601" s="1743" t="str">
        <f>Risk_Compensation!$AJ$14</f>
        <v>geschätzte Risikoausgleichssätze, pro Monat in CHF (ohne Entlastung junge Erwachsene)</v>
      </c>
      <c r="E6601" s="1390">
        <f>Risk_Compensation!$AJ35</f>
        <v>18</v>
      </c>
      <c r="F6601" s="1390" t="str">
        <f>Risk_Compensation!$AG$17</f>
        <v>ZH</v>
      </c>
      <c r="G6601" s="1390"/>
      <c r="H6601" s="1077">
        <f>Risk_Compensation!$BJ35</f>
        <v>-149.76348246524</v>
      </c>
    </row>
    <row r="6602" spans="1:8" x14ac:dyDescent="0.2">
      <c r="A6602" s="1027"/>
      <c r="B6602" s="1083">
        <f>Risk_Compensation!A$1</f>
        <v>36</v>
      </c>
      <c r="C6602" s="1390" t="str">
        <f>Risk_Compensation!$B$1</f>
        <v xml:space="preserve">Risikoausgleich </v>
      </c>
      <c r="D6602" s="1743" t="str">
        <f>Risk_Compensation!$AJ$14</f>
        <v>geschätzte Risikoausgleichssätze, pro Monat in CHF (ohne Entlastung junge Erwachsene)</v>
      </c>
      <c r="E6602" s="1390">
        <f>Risk_Compensation!$AJ36</f>
        <v>19</v>
      </c>
      <c r="F6602" s="1390" t="str">
        <f>Risk_Compensation!$AG$17</f>
        <v>ZH</v>
      </c>
      <c r="G6602" s="1390"/>
      <c r="H6602" s="1077">
        <f>Risk_Compensation!$BJ36</f>
        <v>658.28761191300305</v>
      </c>
    </row>
    <row r="6603" spans="1:8" x14ac:dyDescent="0.2">
      <c r="A6603" s="1027"/>
      <c r="B6603" s="1083">
        <f>Risk_Compensation!A$1</f>
        <v>36</v>
      </c>
      <c r="C6603" s="1390" t="str">
        <f>Risk_Compensation!$B$1</f>
        <v xml:space="preserve">Risikoausgleich </v>
      </c>
      <c r="D6603" s="1743" t="str">
        <f>Risk_Compensation!$AJ$14</f>
        <v>geschätzte Risikoausgleichssätze, pro Monat in CHF (ohne Entlastung junge Erwachsene)</v>
      </c>
      <c r="E6603" s="1390">
        <f>Risk_Compensation!$AJ37</f>
        <v>20</v>
      </c>
      <c r="F6603" s="1390" t="str">
        <f>Risk_Compensation!$AG$17</f>
        <v>ZH</v>
      </c>
      <c r="G6603" s="1390"/>
      <c r="H6603" s="1077">
        <f>Risk_Compensation!$BJ37</f>
        <v>-81.189476618202903</v>
      </c>
    </row>
    <row r="6604" spans="1:8" x14ac:dyDescent="0.2">
      <c r="A6604" s="1027"/>
      <c r="B6604" s="1083">
        <f>Risk_Compensation!A$1</f>
        <v>36</v>
      </c>
      <c r="C6604" s="1390" t="str">
        <f>Risk_Compensation!$B$1</f>
        <v xml:space="preserve">Risikoausgleich </v>
      </c>
      <c r="D6604" s="1743" t="str">
        <f>Risk_Compensation!$AJ$14</f>
        <v>geschätzte Risikoausgleichssätze, pro Monat in CHF (ohne Entlastung junge Erwachsene)</v>
      </c>
      <c r="E6604" s="1390">
        <f>Risk_Compensation!$AJ38</f>
        <v>21</v>
      </c>
      <c r="F6604" s="1390" t="str">
        <f>Risk_Compensation!$AG$17</f>
        <v>ZH</v>
      </c>
      <c r="G6604" s="1390"/>
      <c r="H6604" s="1077">
        <f>Risk_Compensation!$BJ38</f>
        <v>825.47044665079795</v>
      </c>
    </row>
    <row r="6605" spans="1:8" x14ac:dyDescent="0.2">
      <c r="A6605" s="1027"/>
      <c r="B6605" s="1083">
        <f>Risk_Compensation!A$1</f>
        <v>36</v>
      </c>
      <c r="C6605" s="1390" t="str">
        <f>Risk_Compensation!$B$1</f>
        <v xml:space="preserve">Risikoausgleich </v>
      </c>
      <c r="D6605" s="1743" t="str">
        <f>Risk_Compensation!$AJ$14</f>
        <v>geschätzte Risikoausgleichssätze, pro Monat in CHF (ohne Entlastung junge Erwachsene)</v>
      </c>
      <c r="E6605" s="1390">
        <f>Risk_Compensation!$AJ39</f>
        <v>22</v>
      </c>
      <c r="F6605" s="1390" t="str">
        <f>Risk_Compensation!$AG$17</f>
        <v>ZH</v>
      </c>
      <c r="G6605" s="1390"/>
      <c r="H6605" s="1077">
        <f>Risk_Compensation!$BJ39</f>
        <v>4.2646496990075198</v>
      </c>
    </row>
    <row r="6606" spans="1:8" x14ac:dyDescent="0.2">
      <c r="A6606" s="1027"/>
      <c r="B6606" s="1083">
        <f>Risk_Compensation!A$1</f>
        <v>36</v>
      </c>
      <c r="C6606" s="1390" t="str">
        <f>Risk_Compensation!$B$1</f>
        <v xml:space="preserve">Risikoausgleich </v>
      </c>
      <c r="D6606" s="1743" t="str">
        <f>Risk_Compensation!$AJ$14</f>
        <v>geschätzte Risikoausgleichssätze, pro Monat in CHF (ohne Entlastung junge Erwachsene)</v>
      </c>
      <c r="E6606" s="1390">
        <f>Risk_Compensation!$AJ40</f>
        <v>23</v>
      </c>
      <c r="F6606" s="1390" t="str">
        <f>Risk_Compensation!$AG$17</f>
        <v>ZH</v>
      </c>
      <c r="G6606" s="1390"/>
      <c r="H6606" s="1077">
        <f>Risk_Compensation!$BJ40</f>
        <v>963.883688081895</v>
      </c>
    </row>
    <row r="6607" spans="1:8" x14ac:dyDescent="0.2">
      <c r="A6607" s="1027"/>
      <c r="B6607" s="1083">
        <f>Risk_Compensation!A$1</f>
        <v>36</v>
      </c>
      <c r="C6607" s="1390" t="str">
        <f>Risk_Compensation!$B$1</f>
        <v xml:space="preserve">Risikoausgleich </v>
      </c>
      <c r="D6607" s="1743" t="str">
        <f>Risk_Compensation!$AJ$14</f>
        <v>geschätzte Risikoausgleichssätze, pro Monat in CHF (ohne Entlastung junge Erwachsene)</v>
      </c>
      <c r="E6607" s="1390">
        <f>Risk_Compensation!$AJ41</f>
        <v>24</v>
      </c>
      <c r="F6607" s="1390" t="str">
        <f>Risk_Compensation!$AG$17</f>
        <v>ZH</v>
      </c>
      <c r="G6607" s="1390"/>
      <c r="H6607" s="1077">
        <f>Risk_Compensation!$BJ41</f>
        <v>112.290348231775</v>
      </c>
    </row>
    <row r="6608" spans="1:8" x14ac:dyDescent="0.2">
      <c r="A6608" s="1027"/>
      <c r="B6608" s="1083">
        <f>Risk_Compensation!A$1</f>
        <v>36</v>
      </c>
      <c r="C6608" s="1390" t="str">
        <f>Risk_Compensation!$B$1</f>
        <v xml:space="preserve">Risikoausgleich </v>
      </c>
      <c r="D6608" s="1743" t="str">
        <f>Risk_Compensation!$AJ$14</f>
        <v>geschätzte Risikoausgleichssätze, pro Monat in CHF (ohne Entlastung junge Erwachsene)</v>
      </c>
      <c r="E6608" s="1390">
        <f>Risk_Compensation!$AJ42</f>
        <v>25</v>
      </c>
      <c r="F6608" s="1390" t="str">
        <f>Risk_Compensation!$AG$17</f>
        <v>ZH</v>
      </c>
      <c r="G6608" s="1390"/>
      <c r="H6608" s="1077">
        <f>Risk_Compensation!$BJ42</f>
        <v>1129.57550118886</v>
      </c>
    </row>
    <row r="6609" spans="1:8" x14ac:dyDescent="0.2">
      <c r="A6609" s="1027"/>
      <c r="B6609" s="1083">
        <f>Risk_Compensation!A$1</f>
        <v>36</v>
      </c>
      <c r="C6609" s="1390" t="str">
        <f>Risk_Compensation!$B$1</f>
        <v xml:space="preserve">Risikoausgleich </v>
      </c>
      <c r="D6609" s="1743" t="str">
        <f>Risk_Compensation!$AJ$14</f>
        <v>geschätzte Risikoausgleichssätze, pro Monat in CHF (ohne Entlastung junge Erwachsene)</v>
      </c>
      <c r="E6609" s="1390">
        <f>Risk_Compensation!$AJ43</f>
        <v>26</v>
      </c>
      <c r="F6609" s="1390" t="str">
        <f>Risk_Compensation!$AG$17</f>
        <v>ZH</v>
      </c>
      <c r="G6609" s="1390"/>
      <c r="H6609" s="1077">
        <f>Risk_Compensation!$BJ43</f>
        <v>175.09496959795601</v>
      </c>
    </row>
    <row r="6610" spans="1:8" x14ac:dyDescent="0.2">
      <c r="A6610" s="1027"/>
      <c r="B6610" s="1083">
        <f>Risk_Compensation!A$1</f>
        <v>36</v>
      </c>
      <c r="C6610" s="1390" t="str">
        <f>Risk_Compensation!$B$1</f>
        <v xml:space="preserve">Risikoausgleich </v>
      </c>
      <c r="D6610" s="1743" t="str">
        <f>Risk_Compensation!$AJ$14</f>
        <v>geschätzte Risikoausgleichssätze, pro Monat in CHF (ohne Entlastung junge Erwachsene)</v>
      </c>
      <c r="E6610" s="1390">
        <f>Risk_Compensation!$AJ44</f>
        <v>27</v>
      </c>
      <c r="F6610" s="1390" t="str">
        <f>Risk_Compensation!$AG$17</f>
        <v>ZH</v>
      </c>
      <c r="G6610" s="1390"/>
      <c r="H6610" s="1077">
        <f>Risk_Compensation!$BJ44</f>
        <v>1299.7279121026299</v>
      </c>
    </row>
    <row r="6611" spans="1:8" x14ac:dyDescent="0.2">
      <c r="A6611" s="1027"/>
      <c r="B6611" s="1083">
        <f>Risk_Compensation!A$1</f>
        <v>36</v>
      </c>
      <c r="C6611" s="1390" t="str">
        <f>Risk_Compensation!$B$1</f>
        <v xml:space="preserve">Risikoausgleich </v>
      </c>
      <c r="D6611" s="1743" t="str">
        <f>Risk_Compensation!$AJ$14</f>
        <v>geschätzte Risikoausgleichssätze, pro Monat in CHF (ohne Entlastung junge Erwachsene)</v>
      </c>
      <c r="E6611" s="1390">
        <f>Risk_Compensation!$AJ45</f>
        <v>28</v>
      </c>
      <c r="F6611" s="1390" t="str">
        <f>Risk_Compensation!$AG$17</f>
        <v>ZH</v>
      </c>
      <c r="G6611" s="1390"/>
      <c r="H6611" s="1077">
        <f>Risk_Compensation!$BJ45</f>
        <v>262.64143179935297</v>
      </c>
    </row>
    <row r="6612" spans="1:8" x14ac:dyDescent="0.2">
      <c r="A6612" s="1027"/>
      <c r="B6612" s="1083">
        <f>Risk_Compensation!A$1</f>
        <v>36</v>
      </c>
      <c r="C6612" s="1390" t="str">
        <f>Risk_Compensation!$B$1</f>
        <v xml:space="preserve">Risikoausgleich </v>
      </c>
      <c r="D6612" s="1743" t="str">
        <f>Risk_Compensation!$AJ$14</f>
        <v>geschätzte Risikoausgleichssätze, pro Monat in CHF (ohne Entlastung junge Erwachsene)</v>
      </c>
      <c r="E6612" s="1390">
        <f>Risk_Compensation!$AJ46</f>
        <v>29</v>
      </c>
      <c r="F6612" s="1390" t="str">
        <f>Risk_Compensation!$AG$17</f>
        <v>ZH</v>
      </c>
      <c r="G6612" s="1390"/>
      <c r="H6612" s="1077">
        <f>Risk_Compensation!$BJ46</f>
        <v>1473.65272205778</v>
      </c>
    </row>
    <row r="6613" spans="1:8" x14ac:dyDescent="0.2">
      <c r="A6613" s="1027"/>
      <c r="B6613" s="1083">
        <f>Risk_Compensation!A$1</f>
        <v>36</v>
      </c>
      <c r="C6613" s="1390" t="str">
        <f>Risk_Compensation!$B$1</f>
        <v xml:space="preserve">Risikoausgleich </v>
      </c>
      <c r="D6613" s="1743" t="str">
        <f>Risk_Compensation!$AJ$14</f>
        <v>geschätzte Risikoausgleichssätze, pro Monat in CHF (ohne Entlastung junge Erwachsene)</v>
      </c>
      <c r="E6613" s="1390">
        <f>Risk_Compensation!$AJ47</f>
        <v>30</v>
      </c>
      <c r="F6613" s="1390" t="str">
        <f>Risk_Compensation!$AG$17</f>
        <v>ZH</v>
      </c>
      <c r="G6613" s="1390"/>
      <c r="H6613" s="1077">
        <f>Risk_Compensation!$BJ47</f>
        <v>484.131038262522</v>
      </c>
    </row>
    <row r="6614" spans="1:8" x14ac:dyDescent="0.2">
      <c r="A6614" s="1027"/>
      <c r="B6614" s="1083">
        <f>Risk_Compensation!A$1</f>
        <v>36</v>
      </c>
      <c r="C6614" s="1390" t="str">
        <f>Risk_Compensation!$B$1</f>
        <v xml:space="preserve">Risikoausgleich </v>
      </c>
      <c r="D6614" s="1743" t="str">
        <f>Risk_Compensation!$AJ$14</f>
        <v>geschätzte Risikoausgleichssätze, pro Monat in CHF (ohne Entlastung junge Erwachsene)</v>
      </c>
      <c r="E6614" s="1390">
        <f>Risk_Compensation!$AJ48</f>
        <v>31</v>
      </c>
      <c r="F6614" s="1390" t="str">
        <f>Risk_Compensation!$AG$17</f>
        <v>ZH</v>
      </c>
      <c r="G6614" s="1390"/>
      <c r="H6614" s="1077">
        <f>Risk_Compensation!$BJ48</f>
        <v>526.53745858743696</v>
      </c>
    </row>
    <row r="6615" spans="1:8" x14ac:dyDescent="0.2">
      <c r="A6615" s="1027"/>
      <c r="B6615" s="1083">
        <f>Risk_Compensation!A$1</f>
        <v>36</v>
      </c>
      <c r="C6615" s="1390" t="str">
        <f>Risk_Compensation!$B$1</f>
        <v xml:space="preserve">Risikoausgleich </v>
      </c>
      <c r="D6615" s="1743" t="str">
        <f>Risk_Compensation!$AJ$14</f>
        <v>geschätzte Risikoausgleichssätze, pro Monat in CHF (ohne Entlastung junge Erwachsene)</v>
      </c>
      <c r="E6615" s="1390">
        <f>Risk_Compensation!$AJ49</f>
        <v>32</v>
      </c>
      <c r="F6615" s="1390" t="str">
        <f>Risk_Compensation!$AG$17</f>
        <v>ZH</v>
      </c>
      <c r="G6615" s="1390"/>
      <c r="H6615" s="1077">
        <f>Risk_Compensation!$BJ49</f>
        <v>-232.18022337309199</v>
      </c>
    </row>
    <row r="6616" spans="1:8" x14ac:dyDescent="0.2">
      <c r="A6616" s="1027"/>
      <c r="B6616" s="1083">
        <f>Risk_Compensation!A$1</f>
        <v>36</v>
      </c>
      <c r="C6616" s="1390" t="str">
        <f>Risk_Compensation!$B$1</f>
        <v xml:space="preserve">Risikoausgleich </v>
      </c>
      <c r="D6616" s="1743" t="str">
        <f>Risk_Compensation!$AJ$14</f>
        <v>geschätzte Risikoausgleichssätze, pro Monat in CHF (ohne Entlastung junge Erwachsene)</v>
      </c>
      <c r="E6616" s="1390">
        <f>Risk_Compensation!$AJ50</f>
        <v>33</v>
      </c>
      <c r="F6616" s="1390" t="str">
        <f>Risk_Compensation!$AG$17</f>
        <v>ZH</v>
      </c>
      <c r="G6616" s="1390"/>
      <c r="H6616" s="1077">
        <f>Risk_Compensation!$BJ50</f>
        <v>438.20646511548</v>
      </c>
    </row>
    <row r="6617" spans="1:8" x14ac:dyDescent="0.2">
      <c r="A6617" s="1027"/>
      <c r="B6617" s="1083">
        <f>Risk_Compensation!A$1</f>
        <v>36</v>
      </c>
      <c r="C6617" s="1390" t="str">
        <f>Risk_Compensation!$B$1</f>
        <v xml:space="preserve">Risikoausgleich </v>
      </c>
      <c r="D6617" s="1743" t="str">
        <f>Risk_Compensation!$AJ$14</f>
        <v>geschätzte Risikoausgleichssätze, pro Monat in CHF (ohne Entlastung junge Erwachsene)</v>
      </c>
      <c r="E6617" s="1390">
        <f>Risk_Compensation!$AJ51</f>
        <v>34</v>
      </c>
      <c r="F6617" s="1390" t="str">
        <f>Risk_Compensation!$AG$17</f>
        <v>ZH</v>
      </c>
      <c r="G6617" s="1390"/>
      <c r="H6617" s="1077">
        <f>Risk_Compensation!$BJ51</f>
        <v>-199.984954550118</v>
      </c>
    </row>
    <row r="6618" spans="1:8" x14ac:dyDescent="0.2">
      <c r="A6618" s="1027"/>
      <c r="B6618" s="1083">
        <f>Risk_Compensation!A$1</f>
        <v>36</v>
      </c>
      <c r="C6618" s="1390" t="str">
        <f>Risk_Compensation!$B$1</f>
        <v xml:space="preserve">Risikoausgleich </v>
      </c>
      <c r="D6618" s="1743" t="str">
        <f>Risk_Compensation!$AJ$14</f>
        <v>geschätzte Risikoausgleichssätze, pro Monat in CHF (ohne Entlastung junge Erwachsene)</v>
      </c>
      <c r="E6618" s="1390">
        <f>Risk_Compensation!$AJ52</f>
        <v>35</v>
      </c>
      <c r="F6618" s="1390" t="str">
        <f>Risk_Compensation!$AG$17</f>
        <v>ZH</v>
      </c>
      <c r="G6618" s="1390"/>
      <c r="H6618" s="1077">
        <f>Risk_Compensation!$BJ52</f>
        <v>357.900505387838</v>
      </c>
    </row>
    <row r="6619" spans="1:8" x14ac:dyDescent="0.2">
      <c r="A6619" s="1027"/>
      <c r="B6619" s="1083">
        <f>Risk_Compensation!A$1</f>
        <v>36</v>
      </c>
      <c r="C6619" s="1390" t="str">
        <f>Risk_Compensation!$B$1</f>
        <v xml:space="preserve">Risikoausgleich </v>
      </c>
      <c r="D6619" s="1743" t="str">
        <f>Risk_Compensation!$AJ$14</f>
        <v>geschätzte Risikoausgleichssätze, pro Monat in CHF (ohne Entlastung junge Erwachsene)</v>
      </c>
      <c r="E6619" s="1390">
        <f>Risk_Compensation!$AJ53</f>
        <v>36</v>
      </c>
      <c r="F6619" s="1390" t="str">
        <f>Risk_Compensation!$AG$17</f>
        <v>ZH</v>
      </c>
      <c r="G6619" s="1390"/>
      <c r="H6619" s="1077">
        <f>Risk_Compensation!$BJ53</f>
        <v>-159.383887230103</v>
      </c>
    </row>
    <row r="6620" spans="1:8" x14ac:dyDescent="0.2">
      <c r="A6620" s="1027"/>
      <c r="B6620" s="1083">
        <f>Risk_Compensation!A$1</f>
        <v>36</v>
      </c>
      <c r="C6620" s="1390" t="str">
        <f>Risk_Compensation!$B$1</f>
        <v xml:space="preserve">Risikoausgleich </v>
      </c>
      <c r="D6620" s="1743" t="str">
        <f>Risk_Compensation!$AJ$14</f>
        <v>geschätzte Risikoausgleichssätze, pro Monat in CHF (ohne Entlastung junge Erwachsene)</v>
      </c>
      <c r="E6620" s="1390">
        <f>Risk_Compensation!$AJ54</f>
        <v>37</v>
      </c>
      <c r="F6620" s="1390" t="str">
        <f>Risk_Compensation!$AG$17</f>
        <v>ZH</v>
      </c>
      <c r="G6620" s="1390"/>
      <c r="H6620" s="1077">
        <f>Risk_Compensation!$BJ54</f>
        <v>388.28101485346099</v>
      </c>
    </row>
    <row r="6621" spans="1:8" x14ac:dyDescent="0.2">
      <c r="A6621" s="1027"/>
      <c r="B6621" s="1083">
        <f>Risk_Compensation!A$1</f>
        <v>36</v>
      </c>
      <c r="C6621" s="1390" t="str">
        <f>Risk_Compensation!$B$1</f>
        <v xml:space="preserve">Risikoausgleich </v>
      </c>
      <c r="D6621" s="1743" t="str">
        <f>Risk_Compensation!$AJ$14</f>
        <v>geschätzte Risikoausgleichssätze, pro Monat in CHF (ohne Entlastung junge Erwachsene)</v>
      </c>
      <c r="E6621" s="1390">
        <f>Risk_Compensation!$AJ55</f>
        <v>38</v>
      </c>
      <c r="F6621" s="1390" t="str">
        <f>Risk_Compensation!$AG$17</f>
        <v>ZH</v>
      </c>
      <c r="G6621" s="1390"/>
      <c r="H6621" s="1077">
        <f>Risk_Compensation!$BJ55</f>
        <v>-172.57346979984499</v>
      </c>
    </row>
    <row r="6622" spans="1:8" x14ac:dyDescent="0.2">
      <c r="A6622" s="1027"/>
      <c r="B6622" s="1083">
        <f>Risk_Compensation!A$1</f>
        <v>36</v>
      </c>
      <c r="C6622" s="1390" t="str">
        <f>Risk_Compensation!$B$1</f>
        <v xml:space="preserve">Risikoausgleich </v>
      </c>
      <c r="D6622" s="1743" t="str">
        <f>Risk_Compensation!$AJ$14</f>
        <v>geschätzte Risikoausgleichssätze, pro Monat in CHF (ohne Entlastung junge Erwachsene)</v>
      </c>
      <c r="E6622" s="1390">
        <f>Risk_Compensation!$AJ56</f>
        <v>39</v>
      </c>
      <c r="F6622" s="1390" t="str">
        <f>Risk_Compensation!$AG$17</f>
        <v>ZH</v>
      </c>
      <c r="G6622" s="1390"/>
      <c r="H6622" s="1077">
        <f>Risk_Compensation!$BJ56</f>
        <v>450.42863103745799</v>
      </c>
    </row>
    <row r="6623" spans="1:8" x14ac:dyDescent="0.2">
      <c r="A6623" s="1027"/>
      <c r="B6623" s="1083">
        <f>Risk_Compensation!A$1</f>
        <v>36</v>
      </c>
      <c r="C6623" s="1390" t="str">
        <f>Risk_Compensation!$B$1</f>
        <v xml:space="preserve">Risikoausgleich </v>
      </c>
      <c r="D6623" s="1743" t="str">
        <f>Risk_Compensation!$AJ$14</f>
        <v>geschätzte Risikoausgleichssätze, pro Monat in CHF (ohne Entlastung junge Erwachsene)</v>
      </c>
      <c r="E6623" s="1390">
        <f>Risk_Compensation!$AJ57</f>
        <v>40</v>
      </c>
      <c r="F6623" s="1390" t="str">
        <f>Risk_Compensation!$AG$17</f>
        <v>ZH</v>
      </c>
      <c r="G6623" s="1390"/>
      <c r="H6623" s="1077">
        <f>Risk_Compensation!$BJ57</f>
        <v>-211.400980742434</v>
      </c>
    </row>
    <row r="6624" spans="1:8" x14ac:dyDescent="0.2">
      <c r="A6624" s="1027"/>
      <c r="B6624" s="1083">
        <f>Risk_Compensation!A$1</f>
        <v>36</v>
      </c>
      <c r="C6624" s="1390" t="str">
        <f>Risk_Compensation!$B$1</f>
        <v xml:space="preserve">Risikoausgleich </v>
      </c>
      <c r="D6624" s="1743" t="str">
        <f>Risk_Compensation!$AJ$14</f>
        <v>geschätzte Risikoausgleichssätze, pro Monat in CHF (ohne Entlastung junge Erwachsene)</v>
      </c>
      <c r="E6624" s="1390">
        <f>Risk_Compensation!$AJ58</f>
        <v>41</v>
      </c>
      <c r="F6624" s="1390" t="str">
        <f>Risk_Compensation!$AG$17</f>
        <v>ZH</v>
      </c>
      <c r="G6624" s="1390"/>
      <c r="H6624" s="1077">
        <f>Risk_Compensation!$BJ58</f>
        <v>464.59009155803602</v>
      </c>
    </row>
    <row r="6625" spans="1:8" x14ac:dyDescent="0.2">
      <c r="A6625" s="1027"/>
      <c r="B6625" s="1083">
        <f>Risk_Compensation!A$1</f>
        <v>36</v>
      </c>
      <c r="C6625" s="1390" t="str">
        <f>Risk_Compensation!$B$1</f>
        <v xml:space="preserve">Risikoausgleich </v>
      </c>
      <c r="D6625" s="1743" t="str">
        <f>Risk_Compensation!$AJ$14</f>
        <v>geschätzte Risikoausgleichssätze, pro Monat in CHF (ohne Entlastung junge Erwachsene)</v>
      </c>
      <c r="E6625" s="1390">
        <f>Risk_Compensation!$AJ59</f>
        <v>42</v>
      </c>
      <c r="F6625" s="1390" t="str">
        <f>Risk_Compensation!$AG$17</f>
        <v>ZH</v>
      </c>
      <c r="G6625" s="1390"/>
      <c r="H6625" s="1077">
        <f>Risk_Compensation!$BJ59</f>
        <v>-208.108355808585</v>
      </c>
    </row>
    <row r="6626" spans="1:8" x14ac:dyDescent="0.2">
      <c r="A6626" s="1027"/>
      <c r="B6626" s="1083">
        <f>Risk_Compensation!A$1</f>
        <v>36</v>
      </c>
      <c r="C6626" s="1390" t="str">
        <f>Risk_Compensation!$B$1</f>
        <v xml:space="preserve">Risikoausgleich </v>
      </c>
      <c r="D6626" s="1743" t="str">
        <f>Risk_Compensation!$AJ$14</f>
        <v>geschätzte Risikoausgleichssätze, pro Monat in CHF (ohne Entlastung junge Erwachsene)</v>
      </c>
      <c r="E6626" s="1390">
        <f>Risk_Compensation!$AJ60</f>
        <v>43</v>
      </c>
      <c r="F6626" s="1390" t="str">
        <f>Risk_Compensation!$AG$17</f>
        <v>ZH</v>
      </c>
      <c r="G6626" s="1390"/>
      <c r="H6626" s="1077">
        <f>Risk_Compensation!$BJ60</f>
        <v>594.46915433627498</v>
      </c>
    </row>
    <row r="6627" spans="1:8" x14ac:dyDescent="0.2">
      <c r="A6627" s="1027"/>
      <c r="B6627" s="1083">
        <f>Risk_Compensation!A$1</f>
        <v>36</v>
      </c>
      <c r="C6627" s="1390" t="str">
        <f>Risk_Compensation!$B$1</f>
        <v xml:space="preserve">Risikoausgleich </v>
      </c>
      <c r="D6627" s="1743" t="str">
        <f>Risk_Compensation!$AJ$14</f>
        <v>geschätzte Risikoausgleichssätze, pro Monat in CHF (ohne Entlastung junge Erwachsene)</v>
      </c>
      <c r="E6627" s="1390">
        <f>Risk_Compensation!$AJ61</f>
        <v>44</v>
      </c>
      <c r="F6627" s="1390" t="str">
        <f>Risk_Compensation!$AG$17</f>
        <v>ZH</v>
      </c>
      <c r="G6627" s="1390"/>
      <c r="H6627" s="1077">
        <f>Risk_Compensation!$BJ61</f>
        <v>-188.604647622752</v>
      </c>
    </row>
    <row r="6628" spans="1:8" x14ac:dyDescent="0.2">
      <c r="A6628" s="1027"/>
      <c r="B6628" s="1083">
        <f>Risk_Compensation!A$1</f>
        <v>36</v>
      </c>
      <c r="C6628" s="1390" t="str">
        <f>Risk_Compensation!$B$1</f>
        <v xml:space="preserve">Risikoausgleich </v>
      </c>
      <c r="D6628" s="1743" t="str">
        <f>Risk_Compensation!$AJ$14</f>
        <v>geschätzte Risikoausgleichssätze, pro Monat in CHF (ohne Entlastung junge Erwachsene)</v>
      </c>
      <c r="E6628" s="1390">
        <f>Risk_Compensation!$AJ62</f>
        <v>45</v>
      </c>
      <c r="F6628" s="1390" t="str">
        <f>Risk_Compensation!$AG$17</f>
        <v>ZH</v>
      </c>
      <c r="G6628" s="1390"/>
      <c r="H6628" s="1077">
        <f>Risk_Compensation!$BJ62</f>
        <v>484.02549668637698</v>
      </c>
    </row>
    <row r="6629" spans="1:8" x14ac:dyDescent="0.2">
      <c r="A6629" s="1027"/>
      <c r="B6629" s="1083">
        <f>Risk_Compensation!A$1</f>
        <v>36</v>
      </c>
      <c r="C6629" s="1390" t="str">
        <f>Risk_Compensation!$B$1</f>
        <v xml:space="preserve">Risikoausgleich </v>
      </c>
      <c r="D6629" s="1743" t="str">
        <f>Risk_Compensation!$AJ$14</f>
        <v>geschätzte Risikoausgleichssätze, pro Monat in CHF (ohne Entlastung junge Erwachsene)</v>
      </c>
      <c r="E6629" s="1390">
        <f>Risk_Compensation!$AJ63</f>
        <v>46</v>
      </c>
      <c r="F6629" s="1390" t="str">
        <f>Risk_Compensation!$AG$17</f>
        <v>ZH</v>
      </c>
      <c r="G6629" s="1390"/>
      <c r="H6629" s="1077">
        <f>Risk_Compensation!$BJ63</f>
        <v>-173.28245051863701</v>
      </c>
    </row>
    <row r="6630" spans="1:8" x14ac:dyDescent="0.2">
      <c r="A6630" s="1027"/>
      <c r="B6630" s="1083">
        <f>Risk_Compensation!A$1</f>
        <v>36</v>
      </c>
      <c r="C6630" s="1390" t="str">
        <f>Risk_Compensation!$B$1</f>
        <v xml:space="preserve">Risikoausgleich </v>
      </c>
      <c r="D6630" s="1743" t="str">
        <f>Risk_Compensation!$AJ$14</f>
        <v>geschätzte Risikoausgleichssätze, pro Monat in CHF (ohne Entlastung junge Erwachsene)</v>
      </c>
      <c r="E6630" s="1390">
        <f>Risk_Compensation!$AJ64</f>
        <v>47</v>
      </c>
      <c r="F6630" s="1390" t="str">
        <f>Risk_Compensation!$AG$17</f>
        <v>ZH</v>
      </c>
      <c r="G6630" s="1390"/>
      <c r="H6630" s="1077">
        <f>Risk_Compensation!$BJ64</f>
        <v>617.60012054469598</v>
      </c>
    </row>
    <row r="6631" spans="1:8" x14ac:dyDescent="0.2">
      <c r="A6631" s="1027"/>
      <c r="B6631" s="1083">
        <f>Risk_Compensation!A$1</f>
        <v>36</v>
      </c>
      <c r="C6631" s="1390" t="str">
        <f>Risk_Compensation!$B$1</f>
        <v xml:space="preserve">Risikoausgleich </v>
      </c>
      <c r="D6631" s="1743" t="str">
        <f>Risk_Compensation!$AJ$14</f>
        <v>geschätzte Risikoausgleichssätze, pro Monat in CHF (ohne Entlastung junge Erwachsene)</v>
      </c>
      <c r="E6631" s="1390">
        <f>Risk_Compensation!$AJ65</f>
        <v>48</v>
      </c>
      <c r="F6631" s="1390" t="str">
        <f>Risk_Compensation!$AG$17</f>
        <v>ZH</v>
      </c>
      <c r="G6631" s="1390"/>
      <c r="H6631" s="1077">
        <f>Risk_Compensation!$BJ65</f>
        <v>-152.11386361488999</v>
      </c>
    </row>
    <row r="6632" spans="1:8" x14ac:dyDescent="0.2">
      <c r="A6632" s="1027"/>
      <c r="B6632" s="1083">
        <f>Risk_Compensation!A$1</f>
        <v>36</v>
      </c>
      <c r="C6632" s="1390" t="str">
        <f>Risk_Compensation!$B$1</f>
        <v xml:space="preserve">Risikoausgleich </v>
      </c>
      <c r="D6632" s="1743" t="str">
        <f>Risk_Compensation!$AJ$14</f>
        <v>geschätzte Risikoausgleichssätze, pro Monat in CHF (ohne Entlastung junge Erwachsene)</v>
      </c>
      <c r="E6632" s="1390">
        <f>Risk_Compensation!$AJ66</f>
        <v>49</v>
      </c>
      <c r="F6632" s="1390" t="str">
        <f>Risk_Compensation!$AG$17</f>
        <v>ZH</v>
      </c>
      <c r="G6632" s="1390"/>
      <c r="H6632" s="1077">
        <f>Risk_Compensation!$BJ66</f>
        <v>663.63480363378505</v>
      </c>
    </row>
    <row r="6633" spans="1:8" x14ac:dyDescent="0.2">
      <c r="A6633" s="1027"/>
      <c r="B6633" s="1083">
        <f>Risk_Compensation!A$1</f>
        <v>36</v>
      </c>
      <c r="C6633" s="1390" t="str">
        <f>Risk_Compensation!$B$1</f>
        <v xml:space="preserve">Risikoausgleich </v>
      </c>
      <c r="D6633" s="1743" t="str">
        <f>Risk_Compensation!$AJ$14</f>
        <v>geschätzte Risikoausgleichssätze, pro Monat in CHF (ohne Entlastung junge Erwachsene)</v>
      </c>
      <c r="E6633" s="1390">
        <f>Risk_Compensation!$AJ67</f>
        <v>50</v>
      </c>
      <c r="F6633" s="1390" t="str">
        <f>Risk_Compensation!$AG$17</f>
        <v>ZH</v>
      </c>
      <c r="G6633" s="1390"/>
      <c r="H6633" s="1077">
        <f>Risk_Compensation!$BJ67</f>
        <v>-78.433076792858401</v>
      </c>
    </row>
    <row r="6634" spans="1:8" x14ac:dyDescent="0.2">
      <c r="A6634" s="1027"/>
      <c r="B6634" s="1083">
        <f>Risk_Compensation!A$1</f>
        <v>36</v>
      </c>
      <c r="C6634" s="1390" t="str">
        <f>Risk_Compensation!$B$1</f>
        <v xml:space="preserve">Risikoausgleich </v>
      </c>
      <c r="D6634" s="1743" t="str">
        <f>Risk_Compensation!$AJ$14</f>
        <v>geschätzte Risikoausgleichssätze, pro Monat in CHF (ohne Entlastung junge Erwachsene)</v>
      </c>
      <c r="E6634" s="1390">
        <f>Risk_Compensation!$AJ68</f>
        <v>51</v>
      </c>
      <c r="F6634" s="1390" t="str">
        <f>Risk_Compensation!$AG$17</f>
        <v>ZH</v>
      </c>
      <c r="G6634" s="1390"/>
      <c r="H6634" s="1077">
        <f>Risk_Compensation!$BJ68</f>
        <v>754.57474906366997</v>
      </c>
    </row>
    <row r="6635" spans="1:8" x14ac:dyDescent="0.2">
      <c r="A6635" s="1027"/>
      <c r="B6635" s="1083">
        <f>Risk_Compensation!A$1</f>
        <v>36</v>
      </c>
      <c r="C6635" s="1390" t="str">
        <f>Risk_Compensation!$B$1</f>
        <v xml:space="preserve">Risikoausgleich </v>
      </c>
      <c r="D6635" s="1743" t="str">
        <f>Risk_Compensation!$AJ$14</f>
        <v>geschätzte Risikoausgleichssätze, pro Monat in CHF (ohne Entlastung junge Erwachsene)</v>
      </c>
      <c r="E6635" s="1390">
        <f>Risk_Compensation!$AJ69</f>
        <v>52</v>
      </c>
      <c r="F6635" s="1390" t="str">
        <f>Risk_Compensation!$AG$17</f>
        <v>ZH</v>
      </c>
      <c r="G6635" s="1390"/>
      <c r="H6635" s="1077">
        <f>Risk_Compensation!$BJ69</f>
        <v>-19.887723434144601</v>
      </c>
    </row>
    <row r="6636" spans="1:8" x14ac:dyDescent="0.2">
      <c r="A6636" s="1027"/>
      <c r="B6636" s="1083">
        <f>Risk_Compensation!A$1</f>
        <v>36</v>
      </c>
      <c r="C6636" s="1390" t="str">
        <f>Risk_Compensation!$B$1</f>
        <v xml:space="preserve">Risikoausgleich </v>
      </c>
      <c r="D6636" s="1743" t="str">
        <f>Risk_Compensation!$AJ$14</f>
        <v>geschätzte Risikoausgleichssätze, pro Monat in CHF (ohne Entlastung junge Erwachsene)</v>
      </c>
      <c r="E6636" s="1390">
        <f>Risk_Compensation!$AJ70</f>
        <v>53</v>
      </c>
      <c r="F6636" s="1390" t="str">
        <f>Risk_Compensation!$AG$17</f>
        <v>ZH</v>
      </c>
      <c r="G6636" s="1390"/>
      <c r="H6636" s="1077">
        <f>Risk_Compensation!$BJ70</f>
        <v>955.55931489441798</v>
      </c>
    </row>
    <row r="6637" spans="1:8" x14ac:dyDescent="0.2">
      <c r="A6637" s="1027"/>
      <c r="B6637" s="1083">
        <f>Risk_Compensation!A$1</f>
        <v>36</v>
      </c>
      <c r="C6637" s="1390" t="str">
        <f>Risk_Compensation!$B$1</f>
        <v xml:space="preserve">Risikoausgleich </v>
      </c>
      <c r="D6637" s="1743" t="str">
        <f>Risk_Compensation!$AJ$14</f>
        <v>geschätzte Risikoausgleichssätze, pro Monat in CHF (ohne Entlastung junge Erwachsene)</v>
      </c>
      <c r="E6637" s="1390">
        <f>Risk_Compensation!$AJ71</f>
        <v>54</v>
      </c>
      <c r="F6637" s="1390" t="str">
        <f>Risk_Compensation!$AG$17</f>
        <v>ZH</v>
      </c>
      <c r="G6637" s="1390"/>
      <c r="H6637" s="1077">
        <f>Risk_Compensation!$BJ71</f>
        <v>70.079857715739905</v>
      </c>
    </row>
    <row r="6638" spans="1:8" x14ac:dyDescent="0.2">
      <c r="A6638" s="1027"/>
      <c r="B6638" s="1083">
        <f>Risk_Compensation!A$1</f>
        <v>36</v>
      </c>
      <c r="C6638" s="1390" t="str">
        <f>Risk_Compensation!$B$1</f>
        <v xml:space="preserve">Risikoausgleich </v>
      </c>
      <c r="D6638" s="1743" t="str">
        <f>Risk_Compensation!$AJ$14</f>
        <v>geschätzte Risikoausgleichssätze, pro Monat in CHF (ohne Entlastung junge Erwachsene)</v>
      </c>
      <c r="E6638" s="1390">
        <f>Risk_Compensation!$AJ72</f>
        <v>55</v>
      </c>
      <c r="F6638" s="1390" t="str">
        <f>Risk_Compensation!$AG$17</f>
        <v>ZH</v>
      </c>
      <c r="G6638" s="1390"/>
      <c r="H6638" s="1077">
        <f>Risk_Compensation!$BJ72</f>
        <v>1136.8251711440601</v>
      </c>
    </row>
    <row r="6639" spans="1:8" x14ac:dyDescent="0.2">
      <c r="A6639" s="1027"/>
      <c r="B6639" s="1083">
        <f>Risk_Compensation!A$1</f>
        <v>36</v>
      </c>
      <c r="C6639" s="1390" t="str">
        <f>Risk_Compensation!$B$1</f>
        <v xml:space="preserve">Risikoausgleich </v>
      </c>
      <c r="D6639" s="1743" t="str">
        <f>Risk_Compensation!$AJ$14</f>
        <v>geschätzte Risikoausgleichssätze, pro Monat in CHF (ohne Entlastung junge Erwachsene)</v>
      </c>
      <c r="E6639" s="1390">
        <f>Risk_Compensation!$AJ73</f>
        <v>56</v>
      </c>
      <c r="F6639" s="1390" t="str">
        <f>Risk_Compensation!$AG$17</f>
        <v>ZH</v>
      </c>
      <c r="G6639" s="1390"/>
      <c r="H6639" s="1077">
        <f>Risk_Compensation!$BJ73</f>
        <v>189.760268734558</v>
      </c>
    </row>
    <row r="6640" spans="1:8" x14ac:dyDescent="0.2">
      <c r="A6640" s="1027"/>
      <c r="B6640" s="1083">
        <f>Risk_Compensation!A$1</f>
        <v>36</v>
      </c>
      <c r="C6640" s="1390" t="str">
        <f>Risk_Compensation!$B$1</f>
        <v xml:space="preserve">Risikoausgleich </v>
      </c>
      <c r="D6640" s="1743" t="str">
        <f>Risk_Compensation!$AJ$14</f>
        <v>geschätzte Risikoausgleichssätze, pro Monat in CHF (ohne Entlastung junge Erwachsene)</v>
      </c>
      <c r="E6640" s="1390">
        <f>Risk_Compensation!$AJ74</f>
        <v>57</v>
      </c>
      <c r="F6640" s="1390" t="str">
        <f>Risk_Compensation!$AG$17</f>
        <v>ZH</v>
      </c>
      <c r="G6640" s="1390"/>
      <c r="H6640" s="1077">
        <f>Risk_Compensation!$BJ74</f>
        <v>1320.79923120735</v>
      </c>
    </row>
    <row r="6641" spans="1:8" x14ac:dyDescent="0.2">
      <c r="A6641" s="1027"/>
      <c r="B6641" s="1083">
        <f>Risk_Compensation!A$1</f>
        <v>36</v>
      </c>
      <c r="C6641" s="1390" t="str">
        <f>Risk_Compensation!$B$1</f>
        <v xml:space="preserve">Risikoausgleich </v>
      </c>
      <c r="D6641" s="1743" t="str">
        <f>Risk_Compensation!$AJ$14</f>
        <v>geschätzte Risikoausgleichssätze, pro Monat in CHF (ohne Entlastung junge Erwachsene)</v>
      </c>
      <c r="E6641" s="1390">
        <f>Risk_Compensation!$AJ75</f>
        <v>58</v>
      </c>
      <c r="F6641" s="1390" t="str">
        <f>Risk_Compensation!$AG$17</f>
        <v>ZH</v>
      </c>
      <c r="G6641" s="1390"/>
      <c r="H6641" s="1077">
        <f>Risk_Compensation!$BJ75</f>
        <v>296.048012204099</v>
      </c>
    </row>
    <row r="6642" spans="1:8" x14ac:dyDescent="0.2">
      <c r="A6642" s="1027"/>
      <c r="B6642" s="1083">
        <f>Risk_Compensation!A$1</f>
        <v>36</v>
      </c>
      <c r="C6642" s="1390" t="str">
        <f>Risk_Compensation!$B$1</f>
        <v xml:space="preserve">Risikoausgleich </v>
      </c>
      <c r="D6642" s="1743" t="str">
        <f>Risk_Compensation!$AJ$14</f>
        <v>geschätzte Risikoausgleichssätze, pro Monat in CHF (ohne Entlastung junge Erwachsene)</v>
      </c>
      <c r="E6642" s="1390">
        <f>Risk_Compensation!$AJ76</f>
        <v>59</v>
      </c>
      <c r="F6642" s="1390" t="str">
        <f>Risk_Compensation!$AG$17</f>
        <v>ZH</v>
      </c>
      <c r="G6642" s="1390"/>
      <c r="H6642" s="1077">
        <f>Risk_Compensation!$BJ76</f>
        <v>1586.9172648333999</v>
      </c>
    </row>
    <row r="6643" spans="1:8" x14ac:dyDescent="0.2">
      <c r="A6643" s="1027"/>
      <c r="B6643" s="1083">
        <f>Risk_Compensation!A$1</f>
        <v>36</v>
      </c>
      <c r="C6643" s="1390" t="str">
        <f>Risk_Compensation!$B$1</f>
        <v xml:space="preserve">Risikoausgleich </v>
      </c>
      <c r="D6643" s="1743" t="str">
        <f>Risk_Compensation!$AJ$14</f>
        <v>geschätzte Risikoausgleichssätze, pro Monat in CHF (ohne Entlastung junge Erwachsene)</v>
      </c>
      <c r="E6643" s="1390">
        <f>Risk_Compensation!$AJ77</f>
        <v>60</v>
      </c>
      <c r="F6643" s="1390" t="str">
        <f>Risk_Compensation!$AG$17</f>
        <v>ZH</v>
      </c>
      <c r="G6643" s="1390"/>
      <c r="H6643" s="1077">
        <f>Risk_Compensation!$BJ77</f>
        <v>569.33419871056196</v>
      </c>
    </row>
    <row r="6644" spans="1:8" x14ac:dyDescent="0.2">
      <c r="A6644" s="1027"/>
      <c r="B6644" s="2174"/>
      <c r="C6644" s="1390"/>
      <c r="D6644" s="2175"/>
      <c r="E6644" s="2176"/>
      <c r="F6644" s="1390"/>
      <c r="G6644" s="1390"/>
      <c r="H6644" s="1078"/>
    </row>
    <row r="6645" spans="1:8" x14ac:dyDescent="0.2">
      <c r="A6645" s="1027"/>
      <c r="B6645" s="1083">
        <f>Risk_Compensation!A$1</f>
        <v>36</v>
      </c>
      <c r="C6645" s="1390" t="str">
        <f>Risk_Compensation!$B$1</f>
        <v xml:space="preserve">Risikoausgleich </v>
      </c>
      <c r="D6645" s="2206" t="s">
        <v>2573</v>
      </c>
      <c r="E6645" s="1390" t="str">
        <f>Risk_Compensation!$D87</f>
        <v>ABH</v>
      </c>
      <c r="F6645" s="1390" t="str">
        <f>Risk_Compensation!$H$86</f>
        <v>AG</v>
      </c>
      <c r="G6645" s="1390"/>
      <c r="H6645" s="1077">
        <f>Risk_Compensation!$H87</f>
        <v>0</v>
      </c>
    </row>
    <row r="6646" spans="1:8" x14ac:dyDescent="0.2">
      <c r="A6646" s="1027"/>
      <c r="B6646" s="1083">
        <f>Risk_Compensation!A$1</f>
        <v>36</v>
      </c>
      <c r="C6646" s="1390" t="str">
        <f>Risk_Compensation!$B$1</f>
        <v xml:space="preserve">Risikoausgleich </v>
      </c>
      <c r="D6646" s="2206" t="s">
        <v>2573</v>
      </c>
      <c r="E6646" s="1390" t="str">
        <f>Risk_Compensation!$D88</f>
        <v>ADH</v>
      </c>
      <c r="F6646" s="1390" t="str">
        <f>Risk_Compensation!$H$86</f>
        <v>AG</v>
      </c>
      <c r="G6646" s="1390"/>
      <c r="H6646" s="1077">
        <f>Risk_Compensation!$H88</f>
        <v>0</v>
      </c>
    </row>
    <row r="6647" spans="1:8" x14ac:dyDescent="0.2">
      <c r="A6647" s="1027"/>
      <c r="B6647" s="1083">
        <f>Risk_Compensation!A$1</f>
        <v>36</v>
      </c>
      <c r="C6647" s="1390" t="str">
        <f>Risk_Compensation!$B$1</f>
        <v xml:space="preserve">Risikoausgleich </v>
      </c>
      <c r="D6647" s="2206" t="s">
        <v>2573</v>
      </c>
      <c r="E6647" s="1390" t="str">
        <f>Risk_Compensation!$D89</f>
        <v>AIK</v>
      </c>
      <c r="F6647" s="1390" t="str">
        <f>Risk_Compensation!$H$86</f>
        <v>AG</v>
      </c>
      <c r="G6647" s="1390"/>
      <c r="H6647" s="1077">
        <f>Risk_Compensation!$H89</f>
        <v>0</v>
      </c>
    </row>
    <row r="6648" spans="1:8" x14ac:dyDescent="0.2">
      <c r="A6648" s="1027"/>
      <c r="B6648" s="1083">
        <f>Risk_Compensation!A$1</f>
        <v>36</v>
      </c>
      <c r="C6648" s="1390" t="str">
        <f>Risk_Compensation!$B$1</f>
        <v xml:space="preserve">Risikoausgleich </v>
      </c>
      <c r="D6648" s="2206" t="s">
        <v>2573</v>
      </c>
      <c r="E6648" s="1390" t="str">
        <f>Risk_Compensation!$D90</f>
        <v>ALZ</v>
      </c>
      <c r="F6648" s="1390" t="str">
        <f>Risk_Compensation!$H$86</f>
        <v>AG</v>
      </c>
      <c r="G6648" s="1390"/>
      <c r="H6648" s="1077">
        <f>Risk_Compensation!$H90</f>
        <v>0</v>
      </c>
    </row>
    <row r="6649" spans="1:8" x14ac:dyDescent="0.2">
      <c r="A6649" s="1027"/>
      <c r="B6649" s="1083">
        <f>Risk_Compensation!A$1</f>
        <v>36</v>
      </c>
      <c r="C6649" s="1390" t="str">
        <f>Risk_Compensation!$B$1</f>
        <v xml:space="preserve">Risikoausgleich </v>
      </c>
      <c r="D6649" s="2206" t="s">
        <v>2573</v>
      </c>
      <c r="E6649" s="1390" t="str">
        <f>Risk_Compensation!$D91</f>
        <v>AST</v>
      </c>
      <c r="F6649" s="1390" t="str">
        <f>Risk_Compensation!$H$86</f>
        <v>AG</v>
      </c>
      <c r="G6649" s="1390"/>
      <c r="H6649" s="1077">
        <f>Risk_Compensation!$H91</f>
        <v>0</v>
      </c>
    </row>
    <row r="6650" spans="1:8" x14ac:dyDescent="0.2">
      <c r="A6650" s="1027"/>
      <c r="B6650" s="1083">
        <f>Risk_Compensation!A$1</f>
        <v>36</v>
      </c>
      <c r="C6650" s="1390" t="str">
        <f>Risk_Compensation!$B$1</f>
        <v xml:space="preserve">Risikoausgleich </v>
      </c>
      <c r="D6650" s="2206" t="s">
        <v>2573</v>
      </c>
      <c r="E6650" s="1390" t="str">
        <f>Risk_Compensation!$D92</f>
        <v>BSR</v>
      </c>
      <c r="F6650" s="1390" t="str">
        <f>Risk_Compensation!$H$86</f>
        <v>AG</v>
      </c>
      <c r="G6650" s="1390"/>
      <c r="H6650" s="1077">
        <f>Risk_Compensation!$H92</f>
        <v>0</v>
      </c>
    </row>
    <row r="6651" spans="1:8" x14ac:dyDescent="0.2">
      <c r="A6651" s="1027"/>
      <c r="B6651" s="1083">
        <f>Risk_Compensation!A$1</f>
        <v>36</v>
      </c>
      <c r="C6651" s="1390" t="str">
        <f>Risk_Compensation!$B$1</f>
        <v xml:space="preserve">Risikoausgleich </v>
      </c>
      <c r="D6651" s="2206" t="s">
        <v>2573</v>
      </c>
      <c r="E6651" s="1390" t="str">
        <f>Risk_Compensation!$D93</f>
        <v>CAR</v>
      </c>
      <c r="F6651" s="1390" t="str">
        <f>Risk_Compensation!$H$86</f>
        <v>AG</v>
      </c>
      <c r="G6651" s="1390"/>
      <c r="H6651" s="1077">
        <f>Risk_Compensation!$H93</f>
        <v>0</v>
      </c>
    </row>
    <row r="6652" spans="1:8" x14ac:dyDescent="0.2">
      <c r="A6652" s="1027"/>
      <c r="B6652" s="1083">
        <f>Risk_Compensation!A$1</f>
        <v>36</v>
      </c>
      <c r="C6652" s="1390" t="str">
        <f>Risk_Compensation!$B$1</f>
        <v xml:space="preserve">Risikoausgleich </v>
      </c>
      <c r="D6652" s="2206" t="s">
        <v>2573</v>
      </c>
      <c r="E6652" s="1390" t="str">
        <f>Risk_Compensation!$D94</f>
        <v>COP</v>
      </c>
      <c r="F6652" s="1390" t="str">
        <f>Risk_Compensation!$H$86</f>
        <v>AG</v>
      </c>
      <c r="G6652" s="1390"/>
      <c r="H6652" s="1077">
        <f>Risk_Compensation!$H94</f>
        <v>0</v>
      </c>
    </row>
    <row r="6653" spans="1:8" x14ac:dyDescent="0.2">
      <c r="A6653" s="1027"/>
      <c r="B6653" s="1083">
        <f>Risk_Compensation!A$1</f>
        <v>36</v>
      </c>
      <c r="C6653" s="1390" t="str">
        <f>Risk_Compensation!$B$1</f>
        <v xml:space="preserve">Risikoausgleich </v>
      </c>
      <c r="D6653" s="2206" t="s">
        <v>2573</v>
      </c>
      <c r="E6653" s="1390" t="str">
        <f>Risk_Compensation!$D95</f>
        <v>DEP</v>
      </c>
      <c r="F6653" s="1390" t="str">
        <f>Risk_Compensation!$H$86</f>
        <v>AG</v>
      </c>
      <c r="G6653" s="1390"/>
      <c r="H6653" s="1077">
        <f>Risk_Compensation!$H95</f>
        <v>0</v>
      </c>
    </row>
    <row r="6654" spans="1:8" x14ac:dyDescent="0.2">
      <c r="A6654" s="1027"/>
      <c r="B6654" s="1083">
        <f>Risk_Compensation!A$1</f>
        <v>36</v>
      </c>
      <c r="C6654" s="1390" t="str">
        <f>Risk_Compensation!$B$1</f>
        <v xml:space="preserve">Risikoausgleich </v>
      </c>
      <c r="D6654" s="2206" t="s">
        <v>2573</v>
      </c>
      <c r="E6654" s="1390" t="str">
        <f>Risk_Compensation!$D96</f>
        <v>DM1</v>
      </c>
      <c r="F6654" s="1390" t="str">
        <f>Risk_Compensation!$H$86</f>
        <v>AG</v>
      </c>
      <c r="G6654" s="1390"/>
      <c r="H6654" s="1077">
        <f>Risk_Compensation!$H96</f>
        <v>0</v>
      </c>
    </row>
    <row r="6655" spans="1:8" x14ac:dyDescent="0.2">
      <c r="A6655" s="1027"/>
      <c r="B6655" s="1083">
        <f>Risk_Compensation!A$1</f>
        <v>36</v>
      </c>
      <c r="C6655" s="1390" t="str">
        <f>Risk_Compensation!$B$1</f>
        <v xml:space="preserve">Risikoausgleich </v>
      </c>
      <c r="D6655" s="2206" t="s">
        <v>2573</v>
      </c>
      <c r="E6655" s="1390" t="str">
        <f>Risk_Compensation!$D97</f>
        <v>DM2</v>
      </c>
      <c r="F6655" s="1390" t="str">
        <f>Risk_Compensation!$H$86</f>
        <v>AG</v>
      </c>
      <c r="G6655" s="1390"/>
      <c r="H6655" s="1077">
        <f>Risk_Compensation!$H97</f>
        <v>0</v>
      </c>
    </row>
    <row r="6656" spans="1:8" x14ac:dyDescent="0.2">
      <c r="A6656" s="1027"/>
      <c r="B6656" s="1083">
        <f>Risk_Compensation!A$1</f>
        <v>36</v>
      </c>
      <c r="C6656" s="1390" t="str">
        <f>Risk_Compensation!$B$1</f>
        <v xml:space="preserve">Risikoausgleich </v>
      </c>
      <c r="D6656" s="2206" t="s">
        <v>2573</v>
      </c>
      <c r="E6656" s="1390" t="str">
        <f>Risk_Compensation!$D98</f>
        <v>EPI</v>
      </c>
      <c r="F6656" s="1390" t="str">
        <f>Risk_Compensation!$H$86</f>
        <v>AG</v>
      </c>
      <c r="G6656" s="1390"/>
      <c r="H6656" s="1077">
        <f>Risk_Compensation!$H98</f>
        <v>0</v>
      </c>
    </row>
    <row r="6657" spans="1:8" x14ac:dyDescent="0.2">
      <c r="A6657" s="1027"/>
      <c r="B6657" s="1083">
        <f>Risk_Compensation!A$1</f>
        <v>36</v>
      </c>
      <c r="C6657" s="1390" t="str">
        <f>Risk_Compensation!$B$1</f>
        <v xml:space="preserve">Risikoausgleich </v>
      </c>
      <c r="D6657" s="2206" t="s">
        <v>2573</v>
      </c>
      <c r="E6657" s="1390" t="str">
        <f>Risk_Compensation!$D99</f>
        <v>GLA</v>
      </c>
      <c r="F6657" s="1390" t="str">
        <f>Risk_Compensation!$H$86</f>
        <v>AG</v>
      </c>
      <c r="G6657" s="1390"/>
      <c r="H6657" s="1077">
        <f>Risk_Compensation!$H99</f>
        <v>0</v>
      </c>
    </row>
    <row r="6658" spans="1:8" x14ac:dyDescent="0.2">
      <c r="A6658" s="1027"/>
      <c r="B6658" s="1083">
        <f>Risk_Compensation!A$1</f>
        <v>36</v>
      </c>
      <c r="C6658" s="1390" t="str">
        <f>Risk_Compensation!$B$1</f>
        <v xml:space="preserve">Risikoausgleich </v>
      </c>
      <c r="D6658" s="2206" t="s">
        <v>2573</v>
      </c>
      <c r="E6658" s="1390" t="str">
        <f>Risk_Compensation!$D100</f>
        <v>HCH</v>
      </c>
      <c r="F6658" s="1390" t="str">
        <f>Risk_Compensation!$H$86</f>
        <v>AG</v>
      </c>
      <c r="G6658" s="1390"/>
      <c r="H6658" s="1077">
        <f>Risk_Compensation!$H100</f>
        <v>0</v>
      </c>
    </row>
    <row r="6659" spans="1:8" x14ac:dyDescent="0.2">
      <c r="A6659" s="1027"/>
      <c r="B6659" s="1083">
        <f>Risk_Compensation!A$1</f>
        <v>36</v>
      </c>
      <c r="C6659" s="1390" t="str">
        <f>Risk_Compensation!$B$1</f>
        <v xml:space="preserve">Risikoausgleich </v>
      </c>
      <c r="D6659" s="2206" t="s">
        <v>2573</v>
      </c>
      <c r="E6659" s="1390" t="str">
        <f>Risk_Compensation!$D101</f>
        <v>HIV</v>
      </c>
      <c r="F6659" s="1390" t="str">
        <f>Risk_Compensation!$H$86</f>
        <v>AG</v>
      </c>
      <c r="G6659" s="1390"/>
      <c r="H6659" s="1077">
        <f>Risk_Compensation!$H101</f>
        <v>0</v>
      </c>
    </row>
    <row r="6660" spans="1:8" x14ac:dyDescent="0.2">
      <c r="A6660" s="1027"/>
      <c r="B6660" s="1083">
        <f>Risk_Compensation!A$1</f>
        <v>36</v>
      </c>
      <c r="C6660" s="1390" t="str">
        <f>Risk_Compensation!$B$1</f>
        <v xml:space="preserve">Risikoausgleich </v>
      </c>
      <c r="D6660" s="2206" t="s">
        <v>2573</v>
      </c>
      <c r="E6660" s="1390" t="str">
        <f>Risk_Compensation!$D102</f>
        <v>KHO</v>
      </c>
      <c r="F6660" s="1390" t="str">
        <f>Risk_Compensation!$H$86</f>
        <v>AG</v>
      </c>
      <c r="G6660" s="1390"/>
      <c r="H6660" s="1077">
        <f>Risk_Compensation!$H102</f>
        <v>0</v>
      </c>
    </row>
    <row r="6661" spans="1:8" x14ac:dyDescent="0.2">
      <c r="A6661" s="1027"/>
      <c r="B6661" s="1083">
        <f>Risk_Compensation!A$1</f>
        <v>36</v>
      </c>
      <c r="C6661" s="1390" t="str">
        <f>Risk_Compensation!$B$1</f>
        <v xml:space="preserve">Risikoausgleich </v>
      </c>
      <c r="D6661" s="2206" t="s">
        <v>2573</v>
      </c>
      <c r="E6661" s="1390" t="str">
        <f>Risk_Compensation!$D103</f>
        <v>KRE</v>
      </c>
      <c r="F6661" s="1390" t="str">
        <f>Risk_Compensation!$H$86</f>
        <v>AG</v>
      </c>
      <c r="G6661" s="1390"/>
      <c r="H6661" s="1077">
        <f>Risk_Compensation!$H103</f>
        <v>0</v>
      </c>
    </row>
    <row r="6662" spans="1:8" x14ac:dyDescent="0.2">
      <c r="A6662" s="1027"/>
      <c r="B6662" s="1083">
        <f>Risk_Compensation!A$1</f>
        <v>36</v>
      </c>
      <c r="C6662" s="1390" t="str">
        <f>Risk_Compensation!$B$1</f>
        <v xml:space="preserve">Risikoausgleich </v>
      </c>
      <c r="D6662" s="2206" t="s">
        <v>2573</v>
      </c>
      <c r="E6662" s="1390" t="str">
        <f>Risk_Compensation!$D104</f>
        <v>KRK</v>
      </c>
      <c r="F6662" s="1390" t="str">
        <f>Risk_Compensation!$H$86</f>
        <v>AG</v>
      </c>
      <c r="G6662" s="1390"/>
      <c r="H6662" s="1077">
        <f>Risk_Compensation!$H104</f>
        <v>0</v>
      </c>
    </row>
    <row r="6663" spans="1:8" x14ac:dyDescent="0.2">
      <c r="A6663" s="1027"/>
      <c r="B6663" s="1083">
        <f>Risk_Compensation!A$1</f>
        <v>36</v>
      </c>
      <c r="C6663" s="1390" t="str">
        <f>Risk_Compensation!$B$1</f>
        <v xml:space="preserve">Risikoausgleich </v>
      </c>
      <c r="D6663" s="2206" t="s">
        <v>2573</v>
      </c>
      <c r="E6663" s="1390" t="str">
        <f>Risk_Compensation!$D105</f>
        <v>MCR</v>
      </c>
      <c r="F6663" s="1390" t="str">
        <f>Risk_Compensation!$H$86</f>
        <v>AG</v>
      </c>
      <c r="G6663" s="1390"/>
      <c r="H6663" s="1077">
        <f>Risk_Compensation!$H105</f>
        <v>0</v>
      </c>
    </row>
    <row r="6664" spans="1:8" x14ac:dyDescent="0.2">
      <c r="A6664" s="1027"/>
      <c r="B6664" s="1083">
        <f>Risk_Compensation!A$1</f>
        <v>36</v>
      </c>
      <c r="C6664" s="1390" t="str">
        <f>Risk_Compensation!$B$1</f>
        <v xml:space="preserve">Risikoausgleich </v>
      </c>
      <c r="D6664" s="2206" t="s">
        <v>2573</v>
      </c>
      <c r="E6664" s="1390" t="str">
        <f>Risk_Compensation!$D106</f>
        <v>MSK</v>
      </c>
      <c r="F6664" s="1390" t="str">
        <f>Risk_Compensation!$H$86</f>
        <v>AG</v>
      </c>
      <c r="G6664" s="1390"/>
      <c r="H6664" s="1077">
        <f>Risk_Compensation!$H106</f>
        <v>0</v>
      </c>
    </row>
    <row r="6665" spans="1:8" x14ac:dyDescent="0.2">
      <c r="A6665" s="1027"/>
      <c r="B6665" s="1083">
        <f>Risk_Compensation!A$1</f>
        <v>36</v>
      </c>
      <c r="C6665" s="1390" t="str">
        <f>Risk_Compensation!$B$1</f>
        <v xml:space="preserve">Risikoausgleich </v>
      </c>
      <c r="D6665" s="2206" t="s">
        <v>2573</v>
      </c>
      <c r="E6665" s="1390" t="str">
        <f>Risk_Compensation!$D107</f>
        <v>NIE</v>
      </c>
      <c r="F6665" s="1390" t="str">
        <f>Risk_Compensation!$H$86</f>
        <v>AG</v>
      </c>
      <c r="G6665" s="1390"/>
      <c r="H6665" s="1077">
        <f>Risk_Compensation!$H107</f>
        <v>0</v>
      </c>
    </row>
    <row r="6666" spans="1:8" x14ac:dyDescent="0.2">
      <c r="A6666" s="1027"/>
      <c r="B6666" s="1083">
        <f>Risk_Compensation!A$1</f>
        <v>36</v>
      </c>
      <c r="C6666" s="1390" t="str">
        <f>Risk_Compensation!$B$1</f>
        <v xml:space="preserve">Risikoausgleich </v>
      </c>
      <c r="D6666" s="2206" t="s">
        <v>2573</v>
      </c>
      <c r="E6666" s="1390" t="str">
        <f>Risk_Compensation!$D108</f>
        <v>PAH</v>
      </c>
      <c r="F6666" s="1390" t="str">
        <f>Risk_Compensation!$H$86</f>
        <v>AG</v>
      </c>
      <c r="G6666" s="1390"/>
      <c r="H6666" s="1077">
        <f>Risk_Compensation!$H108</f>
        <v>0</v>
      </c>
    </row>
    <row r="6667" spans="1:8" x14ac:dyDescent="0.2">
      <c r="A6667" s="1027"/>
      <c r="B6667" s="1083">
        <f>Risk_Compensation!A$1</f>
        <v>36</v>
      </c>
      <c r="C6667" s="1390" t="str">
        <f>Risk_Compensation!$B$1</f>
        <v xml:space="preserve">Risikoausgleich </v>
      </c>
      <c r="D6667" s="2206" t="s">
        <v>2573</v>
      </c>
      <c r="E6667" s="1390" t="str">
        <f>Risk_Compensation!$D109</f>
        <v>PAR</v>
      </c>
      <c r="F6667" s="1390" t="str">
        <f>Risk_Compensation!$H$86</f>
        <v>AG</v>
      </c>
      <c r="G6667" s="1390"/>
      <c r="H6667" s="1077">
        <f>Risk_Compensation!$H109</f>
        <v>0</v>
      </c>
    </row>
    <row r="6668" spans="1:8" x14ac:dyDescent="0.2">
      <c r="A6668" s="1027"/>
      <c r="B6668" s="1083">
        <f>Risk_Compensation!A$1</f>
        <v>36</v>
      </c>
      <c r="C6668" s="1390" t="str">
        <f>Risk_Compensation!$B$1</f>
        <v xml:space="preserve">Risikoausgleich </v>
      </c>
      <c r="D6668" s="2206" t="s">
        <v>2573</v>
      </c>
      <c r="E6668" s="1390" t="str">
        <f>Risk_Compensation!$D110</f>
        <v>PSO</v>
      </c>
      <c r="F6668" s="1390" t="str">
        <f>Risk_Compensation!$H$86</f>
        <v>AG</v>
      </c>
      <c r="G6668" s="1390"/>
      <c r="H6668" s="1077">
        <f>Risk_Compensation!$H110</f>
        <v>0</v>
      </c>
    </row>
    <row r="6669" spans="1:8" x14ac:dyDescent="0.2">
      <c r="A6669" s="1027"/>
      <c r="B6669" s="1083">
        <f>Risk_Compensation!A$1</f>
        <v>36</v>
      </c>
      <c r="C6669" s="1390" t="str">
        <f>Risk_Compensation!$B$1</f>
        <v xml:space="preserve">Risikoausgleich </v>
      </c>
      <c r="D6669" s="2206" t="s">
        <v>2573</v>
      </c>
      <c r="E6669" s="1390" t="str">
        <f>Risk_Compensation!$D111</f>
        <v>PSY</v>
      </c>
      <c r="F6669" s="1390" t="str">
        <f>Risk_Compensation!$H$86</f>
        <v>AG</v>
      </c>
      <c r="G6669" s="1390"/>
      <c r="H6669" s="1077">
        <f>Risk_Compensation!$H111</f>
        <v>0</v>
      </c>
    </row>
    <row r="6670" spans="1:8" x14ac:dyDescent="0.2">
      <c r="A6670" s="1027"/>
      <c r="B6670" s="1083">
        <f>Risk_Compensation!A$1</f>
        <v>36</v>
      </c>
      <c r="C6670" s="1390" t="str">
        <f>Risk_Compensation!$B$1</f>
        <v xml:space="preserve">Risikoausgleich </v>
      </c>
      <c r="D6670" s="2206" t="s">
        <v>2573</v>
      </c>
      <c r="E6670" s="1390" t="str">
        <f>Risk_Compensation!$D112</f>
        <v>RHE</v>
      </c>
      <c r="F6670" s="1390" t="str">
        <f>Risk_Compensation!$H$86</f>
        <v>AG</v>
      </c>
      <c r="G6670" s="1390"/>
      <c r="H6670" s="1077">
        <f>Risk_Compensation!$H112</f>
        <v>0</v>
      </c>
    </row>
    <row r="6671" spans="1:8" x14ac:dyDescent="0.2">
      <c r="A6671" s="1027"/>
      <c r="B6671" s="1083">
        <f>Risk_Compensation!A$1</f>
        <v>36</v>
      </c>
      <c r="C6671" s="1390" t="str">
        <f>Risk_Compensation!$B$1</f>
        <v xml:space="preserve">Risikoausgleich </v>
      </c>
      <c r="D6671" s="2206" t="s">
        <v>2573</v>
      </c>
      <c r="E6671" s="1390" t="str">
        <f>Risk_Compensation!$D113</f>
        <v>SMC</v>
      </c>
      <c r="F6671" s="1390" t="str">
        <f>Risk_Compensation!$H$86</f>
        <v>AG</v>
      </c>
      <c r="G6671" s="1390"/>
      <c r="H6671" s="1077">
        <f>Risk_Compensation!$H113</f>
        <v>0</v>
      </c>
    </row>
    <row r="6672" spans="1:8" x14ac:dyDescent="0.2">
      <c r="A6672" s="1027"/>
      <c r="B6672" s="1083">
        <f>Risk_Compensation!A$1</f>
        <v>36</v>
      </c>
      <c r="C6672" s="1390" t="str">
        <f>Risk_Compensation!$B$1</f>
        <v xml:space="preserve">Risikoausgleich </v>
      </c>
      <c r="D6672" s="2206" t="s">
        <v>2573</v>
      </c>
      <c r="E6672" s="1390" t="str">
        <f>Risk_Compensation!$D114</f>
        <v>SMN</v>
      </c>
      <c r="F6672" s="1390" t="str">
        <f>Risk_Compensation!$H$86</f>
        <v>AG</v>
      </c>
      <c r="G6672" s="1390"/>
      <c r="H6672" s="1077">
        <f>Risk_Compensation!$H114</f>
        <v>0</v>
      </c>
    </row>
    <row r="6673" spans="1:8" x14ac:dyDescent="0.2">
      <c r="A6673" s="1027"/>
      <c r="B6673" s="1083">
        <f>Risk_Compensation!A$1</f>
        <v>36</v>
      </c>
      <c r="C6673" s="1390" t="str">
        <f>Risk_Compensation!$B$1</f>
        <v xml:space="preserve">Risikoausgleich </v>
      </c>
      <c r="D6673" s="2206" t="s">
        <v>2573</v>
      </c>
      <c r="E6673" s="1390" t="str">
        <f>Risk_Compensation!$D115</f>
        <v>THY</v>
      </c>
      <c r="F6673" s="1390" t="str">
        <f>Risk_Compensation!$H$86</f>
        <v>AG</v>
      </c>
      <c r="G6673" s="1390"/>
      <c r="H6673" s="1077">
        <f>Risk_Compensation!$H115</f>
        <v>0</v>
      </c>
    </row>
    <row r="6674" spans="1:8" x14ac:dyDescent="0.2">
      <c r="A6674" s="1027"/>
      <c r="B6674" s="1083">
        <f>Risk_Compensation!A$1</f>
        <v>36</v>
      </c>
      <c r="C6674" s="1390" t="str">
        <f>Risk_Compensation!$B$1</f>
        <v xml:space="preserve">Risikoausgleich </v>
      </c>
      <c r="D6674" s="2206" t="s">
        <v>2573</v>
      </c>
      <c r="E6674" s="1390" t="str">
        <f>Risk_Compensation!$D116</f>
        <v>TRA</v>
      </c>
      <c r="F6674" s="1390" t="str">
        <f>Risk_Compensation!$H$86</f>
        <v>AG</v>
      </c>
      <c r="G6674" s="1390"/>
      <c r="H6674" s="1077">
        <f>Risk_Compensation!$H116</f>
        <v>0</v>
      </c>
    </row>
    <row r="6675" spans="1:8" x14ac:dyDescent="0.2">
      <c r="A6675" s="1027"/>
      <c r="B6675" s="1083">
        <f>Risk_Compensation!A$1</f>
        <v>36</v>
      </c>
      <c r="C6675" s="1390" t="str">
        <f>Risk_Compensation!$B$1</f>
        <v xml:space="preserve">Risikoausgleich </v>
      </c>
      <c r="D6675" s="2206" t="s">
        <v>2573</v>
      </c>
      <c r="E6675" s="1390" t="str">
        <f>Risk_Compensation!$D117</f>
        <v>WAS</v>
      </c>
      <c r="F6675" s="1390" t="str">
        <f>Risk_Compensation!$H$86</f>
        <v>AG</v>
      </c>
      <c r="G6675" s="1390"/>
      <c r="H6675" s="1077">
        <f>Risk_Compensation!$H117</f>
        <v>0</v>
      </c>
    </row>
    <row r="6676" spans="1:8" x14ac:dyDescent="0.2">
      <c r="A6676" s="1027"/>
      <c r="B6676" s="1083">
        <f>Risk_Compensation!A$1</f>
        <v>36</v>
      </c>
      <c r="C6676" s="1390" t="str">
        <f>Risk_Compensation!$B$1</f>
        <v xml:space="preserve">Risikoausgleich </v>
      </c>
      <c r="D6676" s="2206" t="s">
        <v>2573</v>
      </c>
      <c r="E6676" s="1390" t="str">
        <f>Risk_Compensation!$D118</f>
        <v>ZFP</v>
      </c>
      <c r="F6676" s="1390" t="str">
        <f>Risk_Compensation!$H$86</f>
        <v>AG</v>
      </c>
      <c r="G6676" s="1390"/>
      <c r="H6676" s="1077">
        <f>Risk_Compensation!$H118</f>
        <v>0</v>
      </c>
    </row>
    <row r="6677" spans="1:8" x14ac:dyDescent="0.2">
      <c r="A6677" s="1027"/>
      <c r="B6677" s="1083">
        <f>Risk_Compensation!A$1</f>
        <v>36</v>
      </c>
      <c r="C6677" s="1390" t="str">
        <f>Risk_Compensation!$B$1</f>
        <v xml:space="preserve">Risikoausgleich </v>
      </c>
      <c r="D6677" s="2206" t="s">
        <v>2573</v>
      </c>
      <c r="E6677" s="1390" t="str">
        <f>Risk_Compensation!$D119</f>
        <v>ZNS</v>
      </c>
      <c r="F6677" s="1390" t="str">
        <f>Risk_Compensation!$H$86</f>
        <v>AG</v>
      </c>
      <c r="G6677" s="1390"/>
      <c r="H6677" s="1077">
        <f>Risk_Compensation!$H119</f>
        <v>0</v>
      </c>
    </row>
    <row r="6678" spans="1:8" x14ac:dyDescent="0.2">
      <c r="A6678" s="1027"/>
      <c r="B6678" s="1083">
        <f>Risk_Compensation!A$1</f>
        <v>36</v>
      </c>
      <c r="C6678" s="1390" t="str">
        <f>Risk_Compensation!$B$1</f>
        <v xml:space="preserve">Risikoausgleich </v>
      </c>
      <c r="D6678" s="2206" t="s">
        <v>2573</v>
      </c>
      <c r="E6678" s="1390" t="str">
        <f>Risk_Compensation!$D120</f>
        <v>DM2 + hyp</v>
      </c>
      <c r="F6678" s="1390" t="str">
        <f>Risk_Compensation!$H$86</f>
        <v>AG</v>
      </c>
      <c r="G6678" s="1390"/>
      <c r="H6678" s="1077">
        <f>Risk_Compensation!$H120</f>
        <v>0</v>
      </c>
    </row>
    <row r="6679" spans="1:8" x14ac:dyDescent="0.2">
      <c r="A6679" s="1027"/>
      <c r="B6679" s="2174"/>
      <c r="C6679" s="1390"/>
      <c r="D6679" s="2175"/>
      <c r="E6679" s="2176"/>
      <c r="F6679" s="1390"/>
      <c r="G6679" s="1390"/>
      <c r="H6679" s="1078"/>
    </row>
    <row r="6680" spans="1:8" x14ac:dyDescent="0.2">
      <c r="A6680" s="1027"/>
      <c r="B6680" s="1083">
        <f>Risk_Compensation!A$1</f>
        <v>36</v>
      </c>
      <c r="C6680" s="1390" t="str">
        <f>Risk_Compensation!$B$1</f>
        <v xml:space="preserve">Risikoausgleich </v>
      </c>
      <c r="D6680" s="2206" t="s">
        <v>2573</v>
      </c>
      <c r="E6680" s="1390" t="str">
        <f>Risk_Compensation!$D87</f>
        <v>ABH</v>
      </c>
      <c r="F6680" s="1390" t="str">
        <f>Risk_Compensation!$I$86</f>
        <v>AI</v>
      </c>
      <c r="G6680" s="1390"/>
      <c r="H6680" s="1077">
        <f>Risk_Compensation!$I87</f>
        <v>0</v>
      </c>
    </row>
    <row r="6681" spans="1:8" x14ac:dyDescent="0.2">
      <c r="A6681" s="1027"/>
      <c r="B6681" s="1083">
        <f>Risk_Compensation!A$1</f>
        <v>36</v>
      </c>
      <c r="C6681" s="1390" t="str">
        <f>Risk_Compensation!$B$1</f>
        <v xml:space="preserve">Risikoausgleich </v>
      </c>
      <c r="D6681" s="2206" t="s">
        <v>2573</v>
      </c>
      <c r="E6681" s="1390" t="str">
        <f>Risk_Compensation!$D88</f>
        <v>ADH</v>
      </c>
      <c r="F6681" s="1390" t="str">
        <f>Risk_Compensation!$I$86</f>
        <v>AI</v>
      </c>
      <c r="G6681" s="1390"/>
      <c r="H6681" s="1077">
        <f>Risk_Compensation!$I88</f>
        <v>0</v>
      </c>
    </row>
    <row r="6682" spans="1:8" x14ac:dyDescent="0.2">
      <c r="A6682" s="1027"/>
      <c r="B6682" s="1083">
        <f>Risk_Compensation!A$1</f>
        <v>36</v>
      </c>
      <c r="C6682" s="1390" t="str">
        <f>Risk_Compensation!$B$1</f>
        <v xml:space="preserve">Risikoausgleich </v>
      </c>
      <c r="D6682" s="2206" t="s">
        <v>2573</v>
      </c>
      <c r="E6682" s="1390" t="str">
        <f>Risk_Compensation!$D89</f>
        <v>AIK</v>
      </c>
      <c r="F6682" s="1390" t="str">
        <f>Risk_Compensation!$I$86</f>
        <v>AI</v>
      </c>
      <c r="G6682" s="1390"/>
      <c r="H6682" s="1077">
        <f>Risk_Compensation!$I89</f>
        <v>0</v>
      </c>
    </row>
    <row r="6683" spans="1:8" x14ac:dyDescent="0.2">
      <c r="A6683" s="1027"/>
      <c r="B6683" s="1083">
        <f>Risk_Compensation!A$1</f>
        <v>36</v>
      </c>
      <c r="C6683" s="1390" t="str">
        <f>Risk_Compensation!$B$1</f>
        <v xml:space="preserve">Risikoausgleich </v>
      </c>
      <c r="D6683" s="2206" t="s">
        <v>2573</v>
      </c>
      <c r="E6683" s="1390" t="str">
        <f>Risk_Compensation!$D90</f>
        <v>ALZ</v>
      </c>
      <c r="F6683" s="1390" t="str">
        <f>Risk_Compensation!$I$86</f>
        <v>AI</v>
      </c>
      <c r="G6683" s="1390"/>
      <c r="H6683" s="1077">
        <f>Risk_Compensation!$I90</f>
        <v>0</v>
      </c>
    </row>
    <row r="6684" spans="1:8" x14ac:dyDescent="0.2">
      <c r="A6684" s="1027"/>
      <c r="B6684" s="1083">
        <f>Risk_Compensation!A$1</f>
        <v>36</v>
      </c>
      <c r="C6684" s="1390" t="str">
        <f>Risk_Compensation!$B$1</f>
        <v xml:space="preserve">Risikoausgleich </v>
      </c>
      <c r="D6684" s="2206" t="s">
        <v>2573</v>
      </c>
      <c r="E6684" s="1390" t="str">
        <f>Risk_Compensation!$D91</f>
        <v>AST</v>
      </c>
      <c r="F6684" s="1390" t="str">
        <f>Risk_Compensation!$I$86</f>
        <v>AI</v>
      </c>
      <c r="G6684" s="1390"/>
      <c r="H6684" s="1077">
        <f>Risk_Compensation!$I91</f>
        <v>0</v>
      </c>
    </row>
    <row r="6685" spans="1:8" x14ac:dyDescent="0.2">
      <c r="A6685" s="1027"/>
      <c r="B6685" s="1083">
        <f>Risk_Compensation!A$1</f>
        <v>36</v>
      </c>
      <c r="C6685" s="1390" t="str">
        <f>Risk_Compensation!$B$1</f>
        <v xml:space="preserve">Risikoausgleich </v>
      </c>
      <c r="D6685" s="2206" t="s">
        <v>2573</v>
      </c>
      <c r="E6685" s="1390" t="str">
        <f>Risk_Compensation!$D92</f>
        <v>BSR</v>
      </c>
      <c r="F6685" s="1390" t="str">
        <f>Risk_Compensation!$I$86</f>
        <v>AI</v>
      </c>
      <c r="G6685" s="1390"/>
      <c r="H6685" s="1077">
        <f>Risk_Compensation!$I92</f>
        <v>0</v>
      </c>
    </row>
    <row r="6686" spans="1:8" x14ac:dyDescent="0.2">
      <c r="A6686" s="1027"/>
      <c r="B6686" s="1083">
        <f>Risk_Compensation!A$1</f>
        <v>36</v>
      </c>
      <c r="C6686" s="1390" t="str">
        <f>Risk_Compensation!$B$1</f>
        <v xml:space="preserve">Risikoausgleich </v>
      </c>
      <c r="D6686" s="2206" t="s">
        <v>2573</v>
      </c>
      <c r="E6686" s="1390" t="str">
        <f>Risk_Compensation!$D93</f>
        <v>CAR</v>
      </c>
      <c r="F6686" s="1390" t="str">
        <f>Risk_Compensation!$I$86</f>
        <v>AI</v>
      </c>
      <c r="G6686" s="1390"/>
      <c r="H6686" s="1077">
        <f>Risk_Compensation!$I93</f>
        <v>0</v>
      </c>
    </row>
    <row r="6687" spans="1:8" x14ac:dyDescent="0.2">
      <c r="A6687" s="1027"/>
      <c r="B6687" s="1083">
        <f>Risk_Compensation!A$1</f>
        <v>36</v>
      </c>
      <c r="C6687" s="1390" t="str">
        <f>Risk_Compensation!$B$1</f>
        <v xml:space="preserve">Risikoausgleich </v>
      </c>
      <c r="D6687" s="2206" t="s">
        <v>2573</v>
      </c>
      <c r="E6687" s="1390" t="str">
        <f>Risk_Compensation!$D94</f>
        <v>COP</v>
      </c>
      <c r="F6687" s="1390" t="str">
        <f>Risk_Compensation!$I$86</f>
        <v>AI</v>
      </c>
      <c r="G6687" s="1390"/>
      <c r="H6687" s="1077">
        <f>Risk_Compensation!$I94</f>
        <v>0</v>
      </c>
    </row>
    <row r="6688" spans="1:8" x14ac:dyDescent="0.2">
      <c r="A6688" s="1027"/>
      <c r="B6688" s="1083">
        <f>Risk_Compensation!A$1</f>
        <v>36</v>
      </c>
      <c r="C6688" s="1390" t="str">
        <f>Risk_Compensation!$B$1</f>
        <v xml:space="preserve">Risikoausgleich </v>
      </c>
      <c r="D6688" s="2206" t="s">
        <v>2573</v>
      </c>
      <c r="E6688" s="1390" t="str">
        <f>Risk_Compensation!$D95</f>
        <v>DEP</v>
      </c>
      <c r="F6688" s="1390" t="str">
        <f>Risk_Compensation!$I$86</f>
        <v>AI</v>
      </c>
      <c r="G6688" s="1390"/>
      <c r="H6688" s="1077">
        <f>Risk_Compensation!$I95</f>
        <v>0</v>
      </c>
    </row>
    <row r="6689" spans="1:8" x14ac:dyDescent="0.2">
      <c r="A6689" s="1027"/>
      <c r="B6689" s="1083">
        <f>Risk_Compensation!A$1</f>
        <v>36</v>
      </c>
      <c r="C6689" s="1390" t="str">
        <f>Risk_Compensation!$B$1</f>
        <v xml:space="preserve">Risikoausgleich </v>
      </c>
      <c r="D6689" s="2206" t="s">
        <v>2573</v>
      </c>
      <c r="E6689" s="1390" t="str">
        <f>Risk_Compensation!$D96</f>
        <v>DM1</v>
      </c>
      <c r="F6689" s="1390" t="str">
        <f>Risk_Compensation!$I$86</f>
        <v>AI</v>
      </c>
      <c r="G6689" s="1390"/>
      <c r="H6689" s="1077">
        <f>Risk_Compensation!$I96</f>
        <v>0</v>
      </c>
    </row>
    <row r="6690" spans="1:8" x14ac:dyDescent="0.2">
      <c r="A6690" s="1027"/>
      <c r="B6690" s="1083">
        <f>Risk_Compensation!A$1</f>
        <v>36</v>
      </c>
      <c r="C6690" s="1390" t="str">
        <f>Risk_Compensation!$B$1</f>
        <v xml:space="preserve">Risikoausgleich </v>
      </c>
      <c r="D6690" s="2206" t="s">
        <v>2573</v>
      </c>
      <c r="E6690" s="1390" t="str">
        <f>Risk_Compensation!$D97</f>
        <v>DM2</v>
      </c>
      <c r="F6690" s="1390" t="str">
        <f>Risk_Compensation!$I$86</f>
        <v>AI</v>
      </c>
      <c r="G6690" s="1390"/>
      <c r="H6690" s="1077">
        <f>Risk_Compensation!$I97</f>
        <v>0</v>
      </c>
    </row>
    <row r="6691" spans="1:8" x14ac:dyDescent="0.2">
      <c r="A6691" s="1027"/>
      <c r="B6691" s="1083">
        <f>Risk_Compensation!A$1</f>
        <v>36</v>
      </c>
      <c r="C6691" s="1390" t="str">
        <f>Risk_Compensation!$B$1</f>
        <v xml:space="preserve">Risikoausgleich </v>
      </c>
      <c r="D6691" s="2206" t="s">
        <v>2573</v>
      </c>
      <c r="E6691" s="1390" t="str">
        <f>Risk_Compensation!$D98</f>
        <v>EPI</v>
      </c>
      <c r="F6691" s="1390" t="str">
        <f>Risk_Compensation!$I$86</f>
        <v>AI</v>
      </c>
      <c r="G6691" s="1390"/>
      <c r="H6691" s="1077">
        <f>Risk_Compensation!$I98</f>
        <v>0</v>
      </c>
    </row>
    <row r="6692" spans="1:8" x14ac:dyDescent="0.2">
      <c r="A6692" s="1027"/>
      <c r="B6692" s="1083">
        <f>Risk_Compensation!A$1</f>
        <v>36</v>
      </c>
      <c r="C6692" s="1390" t="str">
        <f>Risk_Compensation!$B$1</f>
        <v xml:space="preserve">Risikoausgleich </v>
      </c>
      <c r="D6692" s="2206" t="s">
        <v>2573</v>
      </c>
      <c r="E6692" s="1390" t="str">
        <f>Risk_Compensation!$D99</f>
        <v>GLA</v>
      </c>
      <c r="F6692" s="1390" t="str">
        <f>Risk_Compensation!$I$86</f>
        <v>AI</v>
      </c>
      <c r="G6692" s="1390"/>
      <c r="H6692" s="1077">
        <f>Risk_Compensation!$I99</f>
        <v>0</v>
      </c>
    </row>
    <row r="6693" spans="1:8" x14ac:dyDescent="0.2">
      <c r="A6693" s="1027"/>
      <c r="B6693" s="1083">
        <f>Risk_Compensation!A$1</f>
        <v>36</v>
      </c>
      <c r="C6693" s="1390" t="str">
        <f>Risk_Compensation!$B$1</f>
        <v xml:space="preserve">Risikoausgleich </v>
      </c>
      <c r="D6693" s="2206" t="s">
        <v>2573</v>
      </c>
      <c r="E6693" s="1390" t="str">
        <f>Risk_Compensation!$D100</f>
        <v>HCH</v>
      </c>
      <c r="F6693" s="1390" t="str">
        <f>Risk_Compensation!$I$86</f>
        <v>AI</v>
      </c>
      <c r="G6693" s="1390"/>
      <c r="H6693" s="1077">
        <f>Risk_Compensation!$I100</f>
        <v>0</v>
      </c>
    </row>
    <row r="6694" spans="1:8" x14ac:dyDescent="0.2">
      <c r="A6694" s="1027"/>
      <c r="B6694" s="1083">
        <f>Risk_Compensation!A$1</f>
        <v>36</v>
      </c>
      <c r="C6694" s="1390" t="str">
        <f>Risk_Compensation!$B$1</f>
        <v xml:space="preserve">Risikoausgleich </v>
      </c>
      <c r="D6694" s="2206" t="s">
        <v>2573</v>
      </c>
      <c r="E6694" s="1390" t="str">
        <f>Risk_Compensation!$D101</f>
        <v>HIV</v>
      </c>
      <c r="F6694" s="1390" t="str">
        <f>Risk_Compensation!$I$86</f>
        <v>AI</v>
      </c>
      <c r="G6694" s="1390"/>
      <c r="H6694" s="1077">
        <f>Risk_Compensation!$I101</f>
        <v>0</v>
      </c>
    </row>
    <row r="6695" spans="1:8" x14ac:dyDescent="0.2">
      <c r="A6695" s="1027"/>
      <c r="B6695" s="1083">
        <f>Risk_Compensation!A$1</f>
        <v>36</v>
      </c>
      <c r="C6695" s="1390" t="str">
        <f>Risk_Compensation!$B$1</f>
        <v xml:space="preserve">Risikoausgleich </v>
      </c>
      <c r="D6695" s="2206" t="s">
        <v>2573</v>
      </c>
      <c r="E6695" s="1390" t="str">
        <f>Risk_Compensation!$D102</f>
        <v>KHO</v>
      </c>
      <c r="F6695" s="1390" t="str">
        <f>Risk_Compensation!$I$86</f>
        <v>AI</v>
      </c>
      <c r="G6695" s="1390"/>
      <c r="H6695" s="1077">
        <f>Risk_Compensation!$I102</f>
        <v>0</v>
      </c>
    </row>
    <row r="6696" spans="1:8" x14ac:dyDescent="0.2">
      <c r="A6696" s="1027"/>
      <c r="B6696" s="1083">
        <f>Risk_Compensation!A$1</f>
        <v>36</v>
      </c>
      <c r="C6696" s="1390" t="str">
        <f>Risk_Compensation!$B$1</f>
        <v xml:space="preserve">Risikoausgleich </v>
      </c>
      <c r="D6696" s="2206" t="s">
        <v>2573</v>
      </c>
      <c r="E6696" s="1390" t="str">
        <f>Risk_Compensation!$D103</f>
        <v>KRE</v>
      </c>
      <c r="F6696" s="1390" t="str">
        <f>Risk_Compensation!$I$86</f>
        <v>AI</v>
      </c>
      <c r="G6696" s="1390"/>
      <c r="H6696" s="1077">
        <f>Risk_Compensation!$I103</f>
        <v>0</v>
      </c>
    </row>
    <row r="6697" spans="1:8" x14ac:dyDescent="0.2">
      <c r="A6697" s="1027"/>
      <c r="B6697" s="1083">
        <f>Risk_Compensation!A$1</f>
        <v>36</v>
      </c>
      <c r="C6697" s="1390" t="str">
        <f>Risk_Compensation!$B$1</f>
        <v xml:space="preserve">Risikoausgleich </v>
      </c>
      <c r="D6697" s="2206" t="s">
        <v>2573</v>
      </c>
      <c r="E6697" s="1390" t="str">
        <f>Risk_Compensation!$D104</f>
        <v>KRK</v>
      </c>
      <c r="F6697" s="1390" t="str">
        <f>Risk_Compensation!$I$86</f>
        <v>AI</v>
      </c>
      <c r="G6697" s="1390"/>
      <c r="H6697" s="1077">
        <f>Risk_Compensation!$I104</f>
        <v>0</v>
      </c>
    </row>
    <row r="6698" spans="1:8" x14ac:dyDescent="0.2">
      <c r="A6698" s="1027"/>
      <c r="B6698" s="1083">
        <f>Risk_Compensation!A$1</f>
        <v>36</v>
      </c>
      <c r="C6698" s="1390" t="str">
        <f>Risk_Compensation!$B$1</f>
        <v xml:space="preserve">Risikoausgleich </v>
      </c>
      <c r="D6698" s="2206" t="s">
        <v>2573</v>
      </c>
      <c r="E6698" s="1390" t="str">
        <f>Risk_Compensation!$D105</f>
        <v>MCR</v>
      </c>
      <c r="F6698" s="1390" t="str">
        <f>Risk_Compensation!$I$86</f>
        <v>AI</v>
      </c>
      <c r="G6698" s="1390"/>
      <c r="H6698" s="1077">
        <f>Risk_Compensation!$I105</f>
        <v>0</v>
      </c>
    </row>
    <row r="6699" spans="1:8" x14ac:dyDescent="0.2">
      <c r="A6699" s="1027"/>
      <c r="B6699" s="1083">
        <f>Risk_Compensation!A$1</f>
        <v>36</v>
      </c>
      <c r="C6699" s="1390" t="str">
        <f>Risk_Compensation!$B$1</f>
        <v xml:space="preserve">Risikoausgleich </v>
      </c>
      <c r="D6699" s="2206" t="s">
        <v>2573</v>
      </c>
      <c r="E6699" s="1390" t="str">
        <f>Risk_Compensation!$D106</f>
        <v>MSK</v>
      </c>
      <c r="F6699" s="1390" t="str">
        <f>Risk_Compensation!$I$86</f>
        <v>AI</v>
      </c>
      <c r="G6699" s="1390"/>
      <c r="H6699" s="1077">
        <f>Risk_Compensation!$I106</f>
        <v>0</v>
      </c>
    </row>
    <row r="6700" spans="1:8" x14ac:dyDescent="0.2">
      <c r="A6700" s="1027"/>
      <c r="B6700" s="1083">
        <f>Risk_Compensation!A$1</f>
        <v>36</v>
      </c>
      <c r="C6700" s="1390" t="str">
        <f>Risk_Compensation!$B$1</f>
        <v xml:space="preserve">Risikoausgleich </v>
      </c>
      <c r="D6700" s="2206" t="s">
        <v>2573</v>
      </c>
      <c r="E6700" s="1390" t="str">
        <f>Risk_Compensation!$D107</f>
        <v>NIE</v>
      </c>
      <c r="F6700" s="1390" t="str">
        <f>Risk_Compensation!$I$86</f>
        <v>AI</v>
      </c>
      <c r="G6700" s="1390"/>
      <c r="H6700" s="1077">
        <f>Risk_Compensation!$I107</f>
        <v>0</v>
      </c>
    </row>
    <row r="6701" spans="1:8" x14ac:dyDescent="0.2">
      <c r="A6701" s="1027"/>
      <c r="B6701" s="1083">
        <f>Risk_Compensation!A$1</f>
        <v>36</v>
      </c>
      <c r="C6701" s="1390" t="str">
        <f>Risk_Compensation!$B$1</f>
        <v xml:space="preserve">Risikoausgleich </v>
      </c>
      <c r="D6701" s="2206" t="s">
        <v>2573</v>
      </c>
      <c r="E6701" s="1390" t="str">
        <f>Risk_Compensation!$D108</f>
        <v>PAH</v>
      </c>
      <c r="F6701" s="1390" t="str">
        <f>Risk_Compensation!$I$86</f>
        <v>AI</v>
      </c>
      <c r="G6701" s="1390"/>
      <c r="H6701" s="1077">
        <f>Risk_Compensation!$I108</f>
        <v>0</v>
      </c>
    </row>
    <row r="6702" spans="1:8" x14ac:dyDescent="0.2">
      <c r="A6702" s="1027"/>
      <c r="B6702" s="1083">
        <f>Risk_Compensation!A$1</f>
        <v>36</v>
      </c>
      <c r="C6702" s="1390" t="str">
        <f>Risk_Compensation!$B$1</f>
        <v xml:space="preserve">Risikoausgleich </v>
      </c>
      <c r="D6702" s="2206" t="s">
        <v>2573</v>
      </c>
      <c r="E6702" s="1390" t="str">
        <f>Risk_Compensation!$D109</f>
        <v>PAR</v>
      </c>
      <c r="F6702" s="1390" t="str">
        <f>Risk_Compensation!$I$86</f>
        <v>AI</v>
      </c>
      <c r="G6702" s="1390"/>
      <c r="H6702" s="1077">
        <f>Risk_Compensation!$I109</f>
        <v>0</v>
      </c>
    </row>
    <row r="6703" spans="1:8" x14ac:dyDescent="0.2">
      <c r="A6703" s="1027"/>
      <c r="B6703" s="1083">
        <f>Risk_Compensation!A$1</f>
        <v>36</v>
      </c>
      <c r="C6703" s="1390" t="str">
        <f>Risk_Compensation!$B$1</f>
        <v xml:space="preserve">Risikoausgleich </v>
      </c>
      <c r="D6703" s="2206" t="s">
        <v>2573</v>
      </c>
      <c r="E6703" s="1390" t="str">
        <f>Risk_Compensation!$D110</f>
        <v>PSO</v>
      </c>
      <c r="F6703" s="1390" t="str">
        <f>Risk_Compensation!$I$86</f>
        <v>AI</v>
      </c>
      <c r="G6703" s="1390"/>
      <c r="H6703" s="1077">
        <f>Risk_Compensation!$I110</f>
        <v>0</v>
      </c>
    </row>
    <row r="6704" spans="1:8" x14ac:dyDescent="0.2">
      <c r="A6704" s="1027"/>
      <c r="B6704" s="1083">
        <f>Risk_Compensation!A$1</f>
        <v>36</v>
      </c>
      <c r="C6704" s="1390" t="str">
        <f>Risk_Compensation!$B$1</f>
        <v xml:space="preserve">Risikoausgleich </v>
      </c>
      <c r="D6704" s="2206" t="s">
        <v>2573</v>
      </c>
      <c r="E6704" s="1390" t="str">
        <f>Risk_Compensation!$D111</f>
        <v>PSY</v>
      </c>
      <c r="F6704" s="1390" t="str">
        <f>Risk_Compensation!$I$86</f>
        <v>AI</v>
      </c>
      <c r="G6704" s="1390"/>
      <c r="H6704" s="1077">
        <f>Risk_Compensation!$I111</f>
        <v>0</v>
      </c>
    </row>
    <row r="6705" spans="1:8" x14ac:dyDescent="0.2">
      <c r="A6705" s="1027"/>
      <c r="B6705" s="1083">
        <f>Risk_Compensation!A$1</f>
        <v>36</v>
      </c>
      <c r="C6705" s="1390" t="str">
        <f>Risk_Compensation!$B$1</f>
        <v xml:space="preserve">Risikoausgleich </v>
      </c>
      <c r="D6705" s="2206" t="s">
        <v>2573</v>
      </c>
      <c r="E6705" s="1390" t="str">
        <f>Risk_Compensation!$D112</f>
        <v>RHE</v>
      </c>
      <c r="F6705" s="1390" t="str">
        <f>Risk_Compensation!$I$86</f>
        <v>AI</v>
      </c>
      <c r="G6705" s="1390"/>
      <c r="H6705" s="1077">
        <f>Risk_Compensation!$I112</f>
        <v>0</v>
      </c>
    </row>
    <row r="6706" spans="1:8" x14ac:dyDescent="0.2">
      <c r="A6706" s="1027"/>
      <c r="B6706" s="1083">
        <f>Risk_Compensation!A$1</f>
        <v>36</v>
      </c>
      <c r="C6706" s="1390" t="str">
        <f>Risk_Compensation!$B$1</f>
        <v xml:space="preserve">Risikoausgleich </v>
      </c>
      <c r="D6706" s="2206" t="s">
        <v>2573</v>
      </c>
      <c r="E6706" s="1390" t="str">
        <f>Risk_Compensation!$D113</f>
        <v>SMC</v>
      </c>
      <c r="F6706" s="1390" t="str">
        <f>Risk_Compensation!$I$86</f>
        <v>AI</v>
      </c>
      <c r="G6706" s="1390"/>
      <c r="H6706" s="1077">
        <f>Risk_Compensation!$I113</f>
        <v>0</v>
      </c>
    </row>
    <row r="6707" spans="1:8" x14ac:dyDescent="0.2">
      <c r="A6707" s="1027"/>
      <c r="B6707" s="1083">
        <f>Risk_Compensation!A$1</f>
        <v>36</v>
      </c>
      <c r="C6707" s="1390" t="str">
        <f>Risk_Compensation!$B$1</f>
        <v xml:space="preserve">Risikoausgleich </v>
      </c>
      <c r="D6707" s="2206" t="s">
        <v>2573</v>
      </c>
      <c r="E6707" s="1390" t="str">
        <f>Risk_Compensation!$D114</f>
        <v>SMN</v>
      </c>
      <c r="F6707" s="1390" t="str">
        <f>Risk_Compensation!$I$86</f>
        <v>AI</v>
      </c>
      <c r="G6707" s="1390"/>
      <c r="H6707" s="1077">
        <f>Risk_Compensation!$I114</f>
        <v>0</v>
      </c>
    </row>
    <row r="6708" spans="1:8" x14ac:dyDescent="0.2">
      <c r="A6708" s="1027"/>
      <c r="B6708" s="1083">
        <f>Risk_Compensation!A$1</f>
        <v>36</v>
      </c>
      <c r="C6708" s="1390" t="str">
        <f>Risk_Compensation!$B$1</f>
        <v xml:space="preserve">Risikoausgleich </v>
      </c>
      <c r="D6708" s="2206" t="s">
        <v>2573</v>
      </c>
      <c r="E6708" s="1390" t="str">
        <f>Risk_Compensation!$D115</f>
        <v>THY</v>
      </c>
      <c r="F6708" s="1390" t="str">
        <f>Risk_Compensation!$I$86</f>
        <v>AI</v>
      </c>
      <c r="G6708" s="1390"/>
      <c r="H6708" s="1077">
        <f>Risk_Compensation!$I115</f>
        <v>0</v>
      </c>
    </row>
    <row r="6709" spans="1:8" x14ac:dyDescent="0.2">
      <c r="A6709" s="1027"/>
      <c r="B6709" s="1083">
        <f>Risk_Compensation!A$1</f>
        <v>36</v>
      </c>
      <c r="C6709" s="1390" t="str">
        <f>Risk_Compensation!$B$1</f>
        <v xml:space="preserve">Risikoausgleich </v>
      </c>
      <c r="D6709" s="2206" t="s">
        <v>2573</v>
      </c>
      <c r="E6709" s="1390" t="str">
        <f>Risk_Compensation!$D116</f>
        <v>TRA</v>
      </c>
      <c r="F6709" s="1390" t="str">
        <f>Risk_Compensation!$I$86</f>
        <v>AI</v>
      </c>
      <c r="G6709" s="1390"/>
      <c r="H6709" s="1077">
        <f>Risk_Compensation!$I116</f>
        <v>0</v>
      </c>
    </row>
    <row r="6710" spans="1:8" x14ac:dyDescent="0.2">
      <c r="A6710" s="1027"/>
      <c r="B6710" s="1083">
        <f>Risk_Compensation!A$1</f>
        <v>36</v>
      </c>
      <c r="C6710" s="1390" t="str">
        <f>Risk_Compensation!$B$1</f>
        <v xml:space="preserve">Risikoausgleich </v>
      </c>
      <c r="D6710" s="2206" t="s">
        <v>2573</v>
      </c>
      <c r="E6710" s="1390" t="str">
        <f>Risk_Compensation!$D117</f>
        <v>WAS</v>
      </c>
      <c r="F6710" s="1390" t="str">
        <f>Risk_Compensation!$I$86</f>
        <v>AI</v>
      </c>
      <c r="G6710" s="1390"/>
      <c r="H6710" s="1077">
        <f>Risk_Compensation!$I117</f>
        <v>0</v>
      </c>
    </row>
    <row r="6711" spans="1:8" x14ac:dyDescent="0.2">
      <c r="A6711" s="1027"/>
      <c r="B6711" s="1083">
        <f>Risk_Compensation!A$1</f>
        <v>36</v>
      </c>
      <c r="C6711" s="1390" t="str">
        <f>Risk_Compensation!$B$1</f>
        <v xml:space="preserve">Risikoausgleich </v>
      </c>
      <c r="D6711" s="2206" t="s">
        <v>2573</v>
      </c>
      <c r="E6711" s="1390" t="str">
        <f>Risk_Compensation!$D118</f>
        <v>ZFP</v>
      </c>
      <c r="F6711" s="1390" t="str">
        <f>Risk_Compensation!$I$86</f>
        <v>AI</v>
      </c>
      <c r="G6711" s="1390"/>
      <c r="H6711" s="1077">
        <f>Risk_Compensation!$I118</f>
        <v>0</v>
      </c>
    </row>
    <row r="6712" spans="1:8" x14ac:dyDescent="0.2">
      <c r="A6712" s="1027"/>
      <c r="B6712" s="1083">
        <f>Risk_Compensation!A$1</f>
        <v>36</v>
      </c>
      <c r="C6712" s="1390" t="str">
        <f>Risk_Compensation!$B$1</f>
        <v xml:space="preserve">Risikoausgleich </v>
      </c>
      <c r="D6712" s="2206" t="s">
        <v>2573</v>
      </c>
      <c r="E6712" s="1390" t="str">
        <f>Risk_Compensation!$D119</f>
        <v>ZNS</v>
      </c>
      <c r="F6712" s="1390" t="str">
        <f>Risk_Compensation!$I$86</f>
        <v>AI</v>
      </c>
      <c r="G6712" s="1390"/>
      <c r="H6712" s="1077">
        <f>Risk_Compensation!$I119</f>
        <v>0</v>
      </c>
    </row>
    <row r="6713" spans="1:8" x14ac:dyDescent="0.2">
      <c r="A6713" s="1027"/>
      <c r="B6713" s="1083">
        <f>Risk_Compensation!A$1</f>
        <v>36</v>
      </c>
      <c r="C6713" s="1390" t="str">
        <f>Risk_Compensation!$B$1</f>
        <v xml:space="preserve">Risikoausgleich </v>
      </c>
      <c r="D6713" s="2206" t="s">
        <v>2573</v>
      </c>
      <c r="E6713" s="1390" t="str">
        <f>Risk_Compensation!$D120</f>
        <v>DM2 + hyp</v>
      </c>
      <c r="F6713" s="1390" t="str">
        <f>Risk_Compensation!$I$86</f>
        <v>AI</v>
      </c>
      <c r="G6713" s="1390"/>
      <c r="H6713" s="1077">
        <f>Risk_Compensation!$I120</f>
        <v>0</v>
      </c>
    </row>
    <row r="6714" spans="1:8" x14ac:dyDescent="0.2">
      <c r="A6714" s="1027"/>
      <c r="B6714" s="2174"/>
      <c r="C6714" s="1390"/>
      <c r="D6714" s="2175"/>
      <c r="E6714" s="2176"/>
      <c r="F6714" s="1390"/>
      <c r="G6714" s="1390"/>
      <c r="H6714" s="1078"/>
    </row>
    <row r="6715" spans="1:8" x14ac:dyDescent="0.2">
      <c r="A6715" s="1027"/>
      <c r="B6715" s="1083">
        <f>Risk_Compensation!A$1</f>
        <v>36</v>
      </c>
      <c r="C6715" s="1390" t="str">
        <f>Risk_Compensation!$B$1</f>
        <v xml:space="preserve">Risikoausgleich </v>
      </c>
      <c r="D6715" s="2206" t="s">
        <v>2573</v>
      </c>
      <c r="E6715" s="1390" t="str">
        <f>Risk_Compensation!$D87</f>
        <v>ABH</v>
      </c>
      <c r="F6715" s="1390" t="str">
        <f>Risk_Compensation!$J$86</f>
        <v>AR</v>
      </c>
      <c r="G6715" s="1390"/>
      <c r="H6715" s="1077">
        <f>Risk_Compensation!$J87</f>
        <v>0</v>
      </c>
    </row>
    <row r="6716" spans="1:8" x14ac:dyDescent="0.2">
      <c r="A6716" s="1027"/>
      <c r="B6716" s="1083">
        <f>Risk_Compensation!A$1</f>
        <v>36</v>
      </c>
      <c r="C6716" s="1390" t="str">
        <f>Risk_Compensation!$B$1</f>
        <v xml:space="preserve">Risikoausgleich </v>
      </c>
      <c r="D6716" s="2206" t="s">
        <v>2573</v>
      </c>
      <c r="E6716" s="1390" t="str">
        <f>Risk_Compensation!$D88</f>
        <v>ADH</v>
      </c>
      <c r="F6716" s="1390" t="str">
        <f>Risk_Compensation!$J$86</f>
        <v>AR</v>
      </c>
      <c r="G6716" s="1390"/>
      <c r="H6716" s="1077">
        <f>Risk_Compensation!$J88</f>
        <v>0</v>
      </c>
    </row>
    <row r="6717" spans="1:8" x14ac:dyDescent="0.2">
      <c r="A6717" s="1027"/>
      <c r="B6717" s="1083">
        <f>Risk_Compensation!A$1</f>
        <v>36</v>
      </c>
      <c r="C6717" s="1390" t="str">
        <f>Risk_Compensation!$B$1</f>
        <v xml:space="preserve">Risikoausgleich </v>
      </c>
      <c r="D6717" s="2206" t="s">
        <v>2573</v>
      </c>
      <c r="E6717" s="1390" t="str">
        <f>Risk_Compensation!$D89</f>
        <v>AIK</v>
      </c>
      <c r="F6717" s="1390" t="str">
        <f>Risk_Compensation!$J$86</f>
        <v>AR</v>
      </c>
      <c r="G6717" s="1390"/>
      <c r="H6717" s="1077">
        <f>Risk_Compensation!$J89</f>
        <v>0</v>
      </c>
    </row>
    <row r="6718" spans="1:8" x14ac:dyDescent="0.2">
      <c r="A6718" s="1027"/>
      <c r="B6718" s="1083">
        <f>Risk_Compensation!A$1</f>
        <v>36</v>
      </c>
      <c r="C6718" s="1390" t="str">
        <f>Risk_Compensation!$B$1</f>
        <v xml:space="preserve">Risikoausgleich </v>
      </c>
      <c r="D6718" s="2206" t="s">
        <v>2573</v>
      </c>
      <c r="E6718" s="1390" t="str">
        <f>Risk_Compensation!$D90</f>
        <v>ALZ</v>
      </c>
      <c r="F6718" s="1390" t="str">
        <f>Risk_Compensation!$J$86</f>
        <v>AR</v>
      </c>
      <c r="G6718" s="1390"/>
      <c r="H6718" s="1077">
        <f>Risk_Compensation!$J90</f>
        <v>0</v>
      </c>
    </row>
    <row r="6719" spans="1:8" x14ac:dyDescent="0.2">
      <c r="A6719" s="1027"/>
      <c r="B6719" s="1083">
        <f>Risk_Compensation!A$1</f>
        <v>36</v>
      </c>
      <c r="C6719" s="1390" t="str">
        <f>Risk_Compensation!$B$1</f>
        <v xml:space="preserve">Risikoausgleich </v>
      </c>
      <c r="D6719" s="2206" t="s">
        <v>2573</v>
      </c>
      <c r="E6719" s="1390" t="str">
        <f>Risk_Compensation!$D91</f>
        <v>AST</v>
      </c>
      <c r="F6719" s="1390" t="str">
        <f>Risk_Compensation!$J$86</f>
        <v>AR</v>
      </c>
      <c r="G6719" s="1390"/>
      <c r="H6719" s="1077">
        <f>Risk_Compensation!$J91</f>
        <v>0</v>
      </c>
    </row>
    <row r="6720" spans="1:8" x14ac:dyDescent="0.2">
      <c r="A6720" s="1027"/>
      <c r="B6720" s="1083">
        <f>Risk_Compensation!A$1</f>
        <v>36</v>
      </c>
      <c r="C6720" s="1390" t="str">
        <f>Risk_Compensation!$B$1</f>
        <v xml:space="preserve">Risikoausgleich </v>
      </c>
      <c r="D6720" s="2206" t="s">
        <v>2573</v>
      </c>
      <c r="E6720" s="1390" t="str">
        <f>Risk_Compensation!$D92</f>
        <v>BSR</v>
      </c>
      <c r="F6720" s="1390" t="str">
        <f>Risk_Compensation!$J$86</f>
        <v>AR</v>
      </c>
      <c r="G6720" s="1390"/>
      <c r="H6720" s="1077">
        <f>Risk_Compensation!$J92</f>
        <v>0</v>
      </c>
    </row>
    <row r="6721" spans="1:8" x14ac:dyDescent="0.2">
      <c r="A6721" s="1027"/>
      <c r="B6721" s="1083">
        <f>Risk_Compensation!A$1</f>
        <v>36</v>
      </c>
      <c r="C6721" s="1390" t="str">
        <f>Risk_Compensation!$B$1</f>
        <v xml:space="preserve">Risikoausgleich </v>
      </c>
      <c r="D6721" s="2206" t="s">
        <v>2573</v>
      </c>
      <c r="E6721" s="1390" t="str">
        <f>Risk_Compensation!$D93</f>
        <v>CAR</v>
      </c>
      <c r="F6721" s="1390" t="str">
        <f>Risk_Compensation!$J$86</f>
        <v>AR</v>
      </c>
      <c r="G6721" s="1390"/>
      <c r="H6721" s="1077">
        <f>Risk_Compensation!$J93</f>
        <v>0</v>
      </c>
    </row>
    <row r="6722" spans="1:8" x14ac:dyDescent="0.2">
      <c r="A6722" s="1027"/>
      <c r="B6722" s="1083">
        <f>Risk_Compensation!A$1</f>
        <v>36</v>
      </c>
      <c r="C6722" s="1390" t="str">
        <f>Risk_Compensation!$B$1</f>
        <v xml:space="preserve">Risikoausgleich </v>
      </c>
      <c r="D6722" s="2206" t="s">
        <v>2573</v>
      </c>
      <c r="E6722" s="1390" t="str">
        <f>Risk_Compensation!$D94</f>
        <v>COP</v>
      </c>
      <c r="F6722" s="1390" t="str">
        <f>Risk_Compensation!$J$86</f>
        <v>AR</v>
      </c>
      <c r="G6722" s="1390"/>
      <c r="H6722" s="1077">
        <f>Risk_Compensation!$J94</f>
        <v>0</v>
      </c>
    </row>
    <row r="6723" spans="1:8" x14ac:dyDescent="0.2">
      <c r="A6723" s="1027"/>
      <c r="B6723" s="1083">
        <f>Risk_Compensation!A$1</f>
        <v>36</v>
      </c>
      <c r="C6723" s="1390" t="str">
        <f>Risk_Compensation!$B$1</f>
        <v xml:space="preserve">Risikoausgleich </v>
      </c>
      <c r="D6723" s="2206" t="s">
        <v>2573</v>
      </c>
      <c r="E6723" s="1390" t="str">
        <f>Risk_Compensation!$D95</f>
        <v>DEP</v>
      </c>
      <c r="F6723" s="1390" t="str">
        <f>Risk_Compensation!$J$86</f>
        <v>AR</v>
      </c>
      <c r="G6723" s="1390"/>
      <c r="H6723" s="1077">
        <f>Risk_Compensation!$J95</f>
        <v>0</v>
      </c>
    </row>
    <row r="6724" spans="1:8" x14ac:dyDescent="0.2">
      <c r="A6724" s="1027"/>
      <c r="B6724" s="1083">
        <f>Risk_Compensation!A$1</f>
        <v>36</v>
      </c>
      <c r="C6724" s="1390" t="str">
        <f>Risk_Compensation!$B$1</f>
        <v xml:space="preserve">Risikoausgleich </v>
      </c>
      <c r="D6724" s="2206" t="s">
        <v>2573</v>
      </c>
      <c r="E6724" s="1390" t="str">
        <f>Risk_Compensation!$D96</f>
        <v>DM1</v>
      </c>
      <c r="F6724" s="1390" t="str">
        <f>Risk_Compensation!$J$86</f>
        <v>AR</v>
      </c>
      <c r="G6724" s="1390"/>
      <c r="H6724" s="1077">
        <f>Risk_Compensation!$J96</f>
        <v>0</v>
      </c>
    </row>
    <row r="6725" spans="1:8" x14ac:dyDescent="0.2">
      <c r="A6725" s="1027"/>
      <c r="B6725" s="1083">
        <f>Risk_Compensation!A$1</f>
        <v>36</v>
      </c>
      <c r="C6725" s="1390" t="str">
        <f>Risk_Compensation!$B$1</f>
        <v xml:space="preserve">Risikoausgleich </v>
      </c>
      <c r="D6725" s="2206" t="s">
        <v>2573</v>
      </c>
      <c r="E6725" s="1390" t="str">
        <f>Risk_Compensation!$D97</f>
        <v>DM2</v>
      </c>
      <c r="F6725" s="1390" t="str">
        <f>Risk_Compensation!$J$86</f>
        <v>AR</v>
      </c>
      <c r="G6725" s="1390"/>
      <c r="H6725" s="1077">
        <f>Risk_Compensation!$J97</f>
        <v>0</v>
      </c>
    </row>
    <row r="6726" spans="1:8" x14ac:dyDescent="0.2">
      <c r="A6726" s="1027"/>
      <c r="B6726" s="1083">
        <f>Risk_Compensation!A$1</f>
        <v>36</v>
      </c>
      <c r="C6726" s="1390" t="str">
        <f>Risk_Compensation!$B$1</f>
        <v xml:space="preserve">Risikoausgleich </v>
      </c>
      <c r="D6726" s="2206" t="s">
        <v>2573</v>
      </c>
      <c r="E6726" s="1390" t="str">
        <f>Risk_Compensation!$D98</f>
        <v>EPI</v>
      </c>
      <c r="F6726" s="1390" t="str">
        <f>Risk_Compensation!$J$86</f>
        <v>AR</v>
      </c>
      <c r="G6726" s="1390"/>
      <c r="H6726" s="1077">
        <f>Risk_Compensation!$J98</f>
        <v>0</v>
      </c>
    </row>
    <row r="6727" spans="1:8" x14ac:dyDescent="0.2">
      <c r="A6727" s="1027"/>
      <c r="B6727" s="1083">
        <f>Risk_Compensation!A$1</f>
        <v>36</v>
      </c>
      <c r="C6727" s="1390" t="str">
        <f>Risk_Compensation!$B$1</f>
        <v xml:space="preserve">Risikoausgleich </v>
      </c>
      <c r="D6727" s="2206" t="s">
        <v>2573</v>
      </c>
      <c r="E6727" s="1390" t="str">
        <f>Risk_Compensation!$D99</f>
        <v>GLA</v>
      </c>
      <c r="F6727" s="1390" t="str">
        <f>Risk_Compensation!$J$86</f>
        <v>AR</v>
      </c>
      <c r="G6727" s="1390"/>
      <c r="H6727" s="1077">
        <f>Risk_Compensation!$J99</f>
        <v>0</v>
      </c>
    </row>
    <row r="6728" spans="1:8" x14ac:dyDescent="0.2">
      <c r="A6728" s="1027"/>
      <c r="B6728" s="1083">
        <f>Risk_Compensation!A$1</f>
        <v>36</v>
      </c>
      <c r="C6728" s="1390" t="str">
        <f>Risk_Compensation!$B$1</f>
        <v xml:space="preserve">Risikoausgleich </v>
      </c>
      <c r="D6728" s="2206" t="s">
        <v>2573</v>
      </c>
      <c r="E6728" s="1390" t="str">
        <f>Risk_Compensation!$D100</f>
        <v>HCH</v>
      </c>
      <c r="F6728" s="1390" t="str">
        <f>Risk_Compensation!$J$86</f>
        <v>AR</v>
      </c>
      <c r="G6728" s="1390"/>
      <c r="H6728" s="1077">
        <f>Risk_Compensation!$J100</f>
        <v>0</v>
      </c>
    </row>
    <row r="6729" spans="1:8" x14ac:dyDescent="0.2">
      <c r="A6729" s="1027"/>
      <c r="B6729" s="1083">
        <f>Risk_Compensation!A$1</f>
        <v>36</v>
      </c>
      <c r="C6729" s="1390" t="str">
        <f>Risk_Compensation!$B$1</f>
        <v xml:space="preserve">Risikoausgleich </v>
      </c>
      <c r="D6729" s="2206" t="s">
        <v>2573</v>
      </c>
      <c r="E6729" s="1390" t="str">
        <f>Risk_Compensation!$D101</f>
        <v>HIV</v>
      </c>
      <c r="F6729" s="1390" t="str">
        <f>Risk_Compensation!$J$86</f>
        <v>AR</v>
      </c>
      <c r="G6729" s="1390"/>
      <c r="H6729" s="1077">
        <f>Risk_Compensation!$J101</f>
        <v>0</v>
      </c>
    </row>
    <row r="6730" spans="1:8" x14ac:dyDescent="0.2">
      <c r="A6730" s="1027"/>
      <c r="B6730" s="1083">
        <f>Risk_Compensation!A$1</f>
        <v>36</v>
      </c>
      <c r="C6730" s="1390" t="str">
        <f>Risk_Compensation!$B$1</f>
        <v xml:space="preserve">Risikoausgleich </v>
      </c>
      <c r="D6730" s="2206" t="s">
        <v>2573</v>
      </c>
      <c r="E6730" s="1390" t="str">
        <f>Risk_Compensation!$D102</f>
        <v>KHO</v>
      </c>
      <c r="F6730" s="1390" t="str">
        <f>Risk_Compensation!$J$86</f>
        <v>AR</v>
      </c>
      <c r="G6730" s="1390"/>
      <c r="H6730" s="1077">
        <f>Risk_Compensation!$J102</f>
        <v>0</v>
      </c>
    </row>
    <row r="6731" spans="1:8" x14ac:dyDescent="0.2">
      <c r="A6731" s="1027"/>
      <c r="B6731" s="1083">
        <f>Risk_Compensation!A$1</f>
        <v>36</v>
      </c>
      <c r="C6731" s="1390" t="str">
        <f>Risk_Compensation!$B$1</f>
        <v xml:space="preserve">Risikoausgleich </v>
      </c>
      <c r="D6731" s="2206" t="s">
        <v>2573</v>
      </c>
      <c r="E6731" s="1390" t="str">
        <f>Risk_Compensation!$D103</f>
        <v>KRE</v>
      </c>
      <c r="F6731" s="1390" t="str">
        <f>Risk_Compensation!$J$86</f>
        <v>AR</v>
      </c>
      <c r="G6731" s="1390"/>
      <c r="H6731" s="1077">
        <f>Risk_Compensation!$J103</f>
        <v>0</v>
      </c>
    </row>
    <row r="6732" spans="1:8" x14ac:dyDescent="0.2">
      <c r="A6732" s="1027"/>
      <c r="B6732" s="1083">
        <f>Risk_Compensation!A$1</f>
        <v>36</v>
      </c>
      <c r="C6732" s="1390" t="str">
        <f>Risk_Compensation!$B$1</f>
        <v xml:space="preserve">Risikoausgleich </v>
      </c>
      <c r="D6732" s="2206" t="s">
        <v>2573</v>
      </c>
      <c r="E6732" s="1390" t="str">
        <f>Risk_Compensation!$D104</f>
        <v>KRK</v>
      </c>
      <c r="F6732" s="1390" t="str">
        <f>Risk_Compensation!$J$86</f>
        <v>AR</v>
      </c>
      <c r="G6732" s="1390"/>
      <c r="H6732" s="1077">
        <f>Risk_Compensation!$J104</f>
        <v>0</v>
      </c>
    </row>
    <row r="6733" spans="1:8" x14ac:dyDescent="0.2">
      <c r="A6733" s="1027"/>
      <c r="B6733" s="1083">
        <f>Risk_Compensation!A$1</f>
        <v>36</v>
      </c>
      <c r="C6733" s="1390" t="str">
        <f>Risk_Compensation!$B$1</f>
        <v xml:space="preserve">Risikoausgleich </v>
      </c>
      <c r="D6733" s="2206" t="s">
        <v>2573</v>
      </c>
      <c r="E6733" s="1390" t="str">
        <f>Risk_Compensation!$D105</f>
        <v>MCR</v>
      </c>
      <c r="F6733" s="1390" t="str">
        <f>Risk_Compensation!$J$86</f>
        <v>AR</v>
      </c>
      <c r="G6733" s="1390"/>
      <c r="H6733" s="1077">
        <f>Risk_Compensation!$J105</f>
        <v>0</v>
      </c>
    </row>
    <row r="6734" spans="1:8" x14ac:dyDescent="0.2">
      <c r="A6734" s="1027"/>
      <c r="B6734" s="1083">
        <f>Risk_Compensation!A$1</f>
        <v>36</v>
      </c>
      <c r="C6734" s="1390" t="str">
        <f>Risk_Compensation!$B$1</f>
        <v xml:space="preserve">Risikoausgleich </v>
      </c>
      <c r="D6734" s="2206" t="s">
        <v>2573</v>
      </c>
      <c r="E6734" s="1390" t="str">
        <f>Risk_Compensation!$D106</f>
        <v>MSK</v>
      </c>
      <c r="F6734" s="1390" t="str">
        <f>Risk_Compensation!$J$86</f>
        <v>AR</v>
      </c>
      <c r="G6734" s="1390"/>
      <c r="H6734" s="1077">
        <f>Risk_Compensation!$J106</f>
        <v>0</v>
      </c>
    </row>
    <row r="6735" spans="1:8" x14ac:dyDescent="0.2">
      <c r="A6735" s="1027"/>
      <c r="B6735" s="1083">
        <f>Risk_Compensation!A$1</f>
        <v>36</v>
      </c>
      <c r="C6735" s="1390" t="str">
        <f>Risk_Compensation!$B$1</f>
        <v xml:space="preserve">Risikoausgleich </v>
      </c>
      <c r="D6735" s="2206" t="s">
        <v>2573</v>
      </c>
      <c r="E6735" s="1390" t="str">
        <f>Risk_Compensation!$D107</f>
        <v>NIE</v>
      </c>
      <c r="F6735" s="1390" t="str">
        <f>Risk_Compensation!$J$86</f>
        <v>AR</v>
      </c>
      <c r="G6735" s="1390"/>
      <c r="H6735" s="1077">
        <f>Risk_Compensation!$J107</f>
        <v>0</v>
      </c>
    </row>
    <row r="6736" spans="1:8" x14ac:dyDescent="0.2">
      <c r="A6736" s="1027"/>
      <c r="B6736" s="1083">
        <f>Risk_Compensation!A$1</f>
        <v>36</v>
      </c>
      <c r="C6736" s="1390" t="str">
        <f>Risk_Compensation!$B$1</f>
        <v xml:space="preserve">Risikoausgleich </v>
      </c>
      <c r="D6736" s="2206" t="s">
        <v>2573</v>
      </c>
      <c r="E6736" s="1390" t="str">
        <f>Risk_Compensation!$D108</f>
        <v>PAH</v>
      </c>
      <c r="F6736" s="1390" t="str">
        <f>Risk_Compensation!$J$86</f>
        <v>AR</v>
      </c>
      <c r="G6736" s="1390"/>
      <c r="H6736" s="1077">
        <f>Risk_Compensation!$J108</f>
        <v>0</v>
      </c>
    </row>
    <row r="6737" spans="1:8" x14ac:dyDescent="0.2">
      <c r="A6737" s="1027"/>
      <c r="B6737" s="1083">
        <f>Risk_Compensation!A$1</f>
        <v>36</v>
      </c>
      <c r="C6737" s="1390" t="str">
        <f>Risk_Compensation!$B$1</f>
        <v xml:space="preserve">Risikoausgleich </v>
      </c>
      <c r="D6737" s="2206" t="s">
        <v>2573</v>
      </c>
      <c r="E6737" s="1390" t="str">
        <f>Risk_Compensation!$D109</f>
        <v>PAR</v>
      </c>
      <c r="F6737" s="1390" t="str">
        <f>Risk_Compensation!$J$86</f>
        <v>AR</v>
      </c>
      <c r="G6737" s="1390"/>
      <c r="H6737" s="1077">
        <f>Risk_Compensation!$J109</f>
        <v>0</v>
      </c>
    </row>
    <row r="6738" spans="1:8" x14ac:dyDescent="0.2">
      <c r="A6738" s="1027"/>
      <c r="B6738" s="1083">
        <f>Risk_Compensation!A$1</f>
        <v>36</v>
      </c>
      <c r="C6738" s="1390" t="str">
        <f>Risk_Compensation!$B$1</f>
        <v xml:space="preserve">Risikoausgleich </v>
      </c>
      <c r="D6738" s="2206" t="s">
        <v>2573</v>
      </c>
      <c r="E6738" s="1390" t="str">
        <f>Risk_Compensation!$D110</f>
        <v>PSO</v>
      </c>
      <c r="F6738" s="1390" t="str">
        <f>Risk_Compensation!$J$86</f>
        <v>AR</v>
      </c>
      <c r="G6738" s="1390"/>
      <c r="H6738" s="1077">
        <f>Risk_Compensation!$J110</f>
        <v>0</v>
      </c>
    </row>
    <row r="6739" spans="1:8" x14ac:dyDescent="0.2">
      <c r="A6739" s="1027"/>
      <c r="B6739" s="1083">
        <f>Risk_Compensation!A$1</f>
        <v>36</v>
      </c>
      <c r="C6739" s="1390" t="str">
        <f>Risk_Compensation!$B$1</f>
        <v xml:space="preserve">Risikoausgleich </v>
      </c>
      <c r="D6739" s="2206" t="s">
        <v>2573</v>
      </c>
      <c r="E6739" s="1390" t="str">
        <f>Risk_Compensation!$D111</f>
        <v>PSY</v>
      </c>
      <c r="F6739" s="1390" t="str">
        <f>Risk_Compensation!$J$86</f>
        <v>AR</v>
      </c>
      <c r="G6739" s="1390"/>
      <c r="H6739" s="1077">
        <f>Risk_Compensation!$J111</f>
        <v>0</v>
      </c>
    </row>
    <row r="6740" spans="1:8" x14ac:dyDescent="0.2">
      <c r="A6740" s="1027"/>
      <c r="B6740" s="1083">
        <f>Risk_Compensation!A$1</f>
        <v>36</v>
      </c>
      <c r="C6740" s="1390" t="str">
        <f>Risk_Compensation!$B$1</f>
        <v xml:space="preserve">Risikoausgleich </v>
      </c>
      <c r="D6740" s="2206" t="s">
        <v>2573</v>
      </c>
      <c r="E6740" s="1390" t="str">
        <f>Risk_Compensation!$D112</f>
        <v>RHE</v>
      </c>
      <c r="F6740" s="1390" t="str">
        <f>Risk_Compensation!$J$86</f>
        <v>AR</v>
      </c>
      <c r="G6740" s="1390"/>
      <c r="H6740" s="1077">
        <f>Risk_Compensation!$J112</f>
        <v>0</v>
      </c>
    </row>
    <row r="6741" spans="1:8" x14ac:dyDescent="0.2">
      <c r="A6741" s="1027"/>
      <c r="B6741" s="1083">
        <f>Risk_Compensation!A$1</f>
        <v>36</v>
      </c>
      <c r="C6741" s="1390" t="str">
        <f>Risk_Compensation!$B$1</f>
        <v xml:space="preserve">Risikoausgleich </v>
      </c>
      <c r="D6741" s="2206" t="s">
        <v>2573</v>
      </c>
      <c r="E6741" s="1390" t="str">
        <f>Risk_Compensation!$D113</f>
        <v>SMC</v>
      </c>
      <c r="F6741" s="1390" t="str">
        <f>Risk_Compensation!$J$86</f>
        <v>AR</v>
      </c>
      <c r="G6741" s="1390"/>
      <c r="H6741" s="1077">
        <f>Risk_Compensation!$J113</f>
        <v>0</v>
      </c>
    </row>
    <row r="6742" spans="1:8" x14ac:dyDescent="0.2">
      <c r="A6742" s="1027"/>
      <c r="B6742" s="1083">
        <f>Risk_Compensation!A$1</f>
        <v>36</v>
      </c>
      <c r="C6742" s="1390" t="str">
        <f>Risk_Compensation!$B$1</f>
        <v xml:space="preserve">Risikoausgleich </v>
      </c>
      <c r="D6742" s="2206" t="s">
        <v>2573</v>
      </c>
      <c r="E6742" s="1390" t="str">
        <f>Risk_Compensation!$D114</f>
        <v>SMN</v>
      </c>
      <c r="F6742" s="1390" t="str">
        <f>Risk_Compensation!$J$86</f>
        <v>AR</v>
      </c>
      <c r="G6742" s="1390"/>
      <c r="H6742" s="1077">
        <f>Risk_Compensation!$J114</f>
        <v>0</v>
      </c>
    </row>
    <row r="6743" spans="1:8" x14ac:dyDescent="0.2">
      <c r="A6743" s="1027"/>
      <c r="B6743" s="1083">
        <f>Risk_Compensation!A$1</f>
        <v>36</v>
      </c>
      <c r="C6743" s="1390" t="str">
        <f>Risk_Compensation!$B$1</f>
        <v xml:space="preserve">Risikoausgleich </v>
      </c>
      <c r="D6743" s="2206" t="s">
        <v>2573</v>
      </c>
      <c r="E6743" s="1390" t="str">
        <f>Risk_Compensation!$D115</f>
        <v>THY</v>
      </c>
      <c r="F6743" s="1390" t="str">
        <f>Risk_Compensation!$J$86</f>
        <v>AR</v>
      </c>
      <c r="G6743" s="1390"/>
      <c r="H6743" s="1077">
        <f>Risk_Compensation!$J115</f>
        <v>0</v>
      </c>
    </row>
    <row r="6744" spans="1:8" x14ac:dyDescent="0.2">
      <c r="A6744" s="1027"/>
      <c r="B6744" s="1083">
        <f>Risk_Compensation!A$1</f>
        <v>36</v>
      </c>
      <c r="C6744" s="1390" t="str">
        <f>Risk_Compensation!$B$1</f>
        <v xml:space="preserve">Risikoausgleich </v>
      </c>
      <c r="D6744" s="2206" t="s">
        <v>2573</v>
      </c>
      <c r="E6744" s="1390" t="str">
        <f>Risk_Compensation!$D116</f>
        <v>TRA</v>
      </c>
      <c r="F6744" s="1390" t="str">
        <f>Risk_Compensation!$J$86</f>
        <v>AR</v>
      </c>
      <c r="G6744" s="1390"/>
      <c r="H6744" s="1077">
        <f>Risk_Compensation!$J116</f>
        <v>0</v>
      </c>
    </row>
    <row r="6745" spans="1:8" x14ac:dyDescent="0.2">
      <c r="A6745" s="1027"/>
      <c r="B6745" s="1083">
        <f>Risk_Compensation!A$1</f>
        <v>36</v>
      </c>
      <c r="C6745" s="1390" t="str">
        <f>Risk_Compensation!$B$1</f>
        <v xml:space="preserve">Risikoausgleich </v>
      </c>
      <c r="D6745" s="2206" t="s">
        <v>2573</v>
      </c>
      <c r="E6745" s="1390" t="str">
        <f>Risk_Compensation!$D117</f>
        <v>WAS</v>
      </c>
      <c r="F6745" s="1390" t="str">
        <f>Risk_Compensation!$J$86</f>
        <v>AR</v>
      </c>
      <c r="G6745" s="1390"/>
      <c r="H6745" s="1077">
        <f>Risk_Compensation!$J117</f>
        <v>0</v>
      </c>
    </row>
    <row r="6746" spans="1:8" x14ac:dyDescent="0.2">
      <c r="A6746" s="1027"/>
      <c r="B6746" s="1083">
        <f>Risk_Compensation!A$1</f>
        <v>36</v>
      </c>
      <c r="C6746" s="1390" t="str">
        <f>Risk_Compensation!$B$1</f>
        <v xml:space="preserve">Risikoausgleich </v>
      </c>
      <c r="D6746" s="2206" t="s">
        <v>2573</v>
      </c>
      <c r="E6746" s="1390" t="str">
        <f>Risk_Compensation!$D118</f>
        <v>ZFP</v>
      </c>
      <c r="F6746" s="1390" t="str">
        <f>Risk_Compensation!$J$86</f>
        <v>AR</v>
      </c>
      <c r="G6746" s="1390"/>
      <c r="H6746" s="1077">
        <f>Risk_Compensation!$J118</f>
        <v>0</v>
      </c>
    </row>
    <row r="6747" spans="1:8" x14ac:dyDescent="0.2">
      <c r="A6747" s="1027"/>
      <c r="B6747" s="1083">
        <f>Risk_Compensation!A$1</f>
        <v>36</v>
      </c>
      <c r="C6747" s="1390" t="str">
        <f>Risk_Compensation!$B$1</f>
        <v xml:space="preserve">Risikoausgleich </v>
      </c>
      <c r="D6747" s="2206" t="s">
        <v>2573</v>
      </c>
      <c r="E6747" s="1390" t="str">
        <f>Risk_Compensation!$D119</f>
        <v>ZNS</v>
      </c>
      <c r="F6747" s="1390" t="str">
        <f>Risk_Compensation!$J$86</f>
        <v>AR</v>
      </c>
      <c r="G6747" s="1390"/>
      <c r="H6747" s="1077">
        <f>Risk_Compensation!$J119</f>
        <v>0</v>
      </c>
    </row>
    <row r="6748" spans="1:8" x14ac:dyDescent="0.2">
      <c r="A6748" s="1027"/>
      <c r="B6748" s="1083">
        <f>Risk_Compensation!A$1</f>
        <v>36</v>
      </c>
      <c r="C6748" s="1390" t="str">
        <f>Risk_Compensation!$B$1</f>
        <v xml:space="preserve">Risikoausgleich </v>
      </c>
      <c r="D6748" s="2206" t="s">
        <v>2573</v>
      </c>
      <c r="E6748" s="1390" t="str">
        <f>Risk_Compensation!$D120</f>
        <v>DM2 + hyp</v>
      </c>
      <c r="F6748" s="1390" t="str">
        <f>Risk_Compensation!$J$86</f>
        <v>AR</v>
      </c>
      <c r="G6748" s="1390"/>
      <c r="H6748" s="1077">
        <f>Risk_Compensation!$J120</f>
        <v>0</v>
      </c>
    </row>
    <row r="6749" spans="1:8" x14ac:dyDescent="0.2">
      <c r="A6749" s="1027"/>
      <c r="B6749" s="2174"/>
      <c r="C6749" s="1390"/>
      <c r="D6749" s="2175"/>
      <c r="E6749" s="2176"/>
      <c r="F6749" s="1390"/>
      <c r="G6749" s="1390"/>
      <c r="H6749" s="1078"/>
    </row>
    <row r="6750" spans="1:8" x14ac:dyDescent="0.2">
      <c r="A6750" s="1027"/>
      <c r="B6750" s="1083">
        <f>Risk_Compensation!A$1</f>
        <v>36</v>
      </c>
      <c r="C6750" s="1390" t="str">
        <f>Risk_Compensation!$B$1</f>
        <v xml:space="preserve">Risikoausgleich </v>
      </c>
      <c r="D6750" s="2206" t="s">
        <v>2573</v>
      </c>
      <c r="E6750" s="1390" t="str">
        <f>Risk_Compensation!$D87</f>
        <v>ABH</v>
      </c>
      <c r="F6750" s="1390" t="str">
        <f>Risk_Compensation!$K$86</f>
        <v>BE</v>
      </c>
      <c r="G6750" s="1390"/>
      <c r="H6750" s="1077">
        <f>Risk_Compensation!$K87</f>
        <v>0</v>
      </c>
    </row>
    <row r="6751" spans="1:8" x14ac:dyDescent="0.2">
      <c r="A6751" s="1027"/>
      <c r="B6751" s="1083">
        <f>Risk_Compensation!A$1</f>
        <v>36</v>
      </c>
      <c r="C6751" s="1390" t="str">
        <f>Risk_Compensation!$B$1</f>
        <v xml:space="preserve">Risikoausgleich </v>
      </c>
      <c r="D6751" s="2206" t="s">
        <v>2573</v>
      </c>
      <c r="E6751" s="1390" t="str">
        <f>Risk_Compensation!$D88</f>
        <v>ADH</v>
      </c>
      <c r="F6751" s="1390" t="str">
        <f>Risk_Compensation!$K$86</f>
        <v>BE</v>
      </c>
      <c r="G6751" s="1390"/>
      <c r="H6751" s="1077">
        <f>Risk_Compensation!$K88</f>
        <v>0</v>
      </c>
    </row>
    <row r="6752" spans="1:8" x14ac:dyDescent="0.2">
      <c r="A6752" s="1027"/>
      <c r="B6752" s="1083">
        <f>Risk_Compensation!A$1</f>
        <v>36</v>
      </c>
      <c r="C6752" s="1390" t="str">
        <f>Risk_Compensation!$B$1</f>
        <v xml:space="preserve">Risikoausgleich </v>
      </c>
      <c r="D6752" s="2206" t="s">
        <v>2573</v>
      </c>
      <c r="E6752" s="1390" t="str">
        <f>Risk_Compensation!$D89</f>
        <v>AIK</v>
      </c>
      <c r="F6752" s="1390" t="str">
        <f>Risk_Compensation!$K$86</f>
        <v>BE</v>
      </c>
      <c r="G6752" s="1390"/>
      <c r="H6752" s="1077">
        <f>Risk_Compensation!$K89</f>
        <v>0</v>
      </c>
    </row>
    <row r="6753" spans="1:8" x14ac:dyDescent="0.2">
      <c r="A6753" s="1027"/>
      <c r="B6753" s="1083">
        <f>Risk_Compensation!A$1</f>
        <v>36</v>
      </c>
      <c r="C6753" s="1390" t="str">
        <f>Risk_Compensation!$B$1</f>
        <v xml:space="preserve">Risikoausgleich </v>
      </c>
      <c r="D6753" s="2206" t="s">
        <v>2573</v>
      </c>
      <c r="E6753" s="1390" t="str">
        <f>Risk_Compensation!$D90</f>
        <v>ALZ</v>
      </c>
      <c r="F6753" s="1390" t="str">
        <f>Risk_Compensation!$K$86</f>
        <v>BE</v>
      </c>
      <c r="G6753" s="1390"/>
      <c r="H6753" s="1077">
        <f>Risk_Compensation!$K90</f>
        <v>0</v>
      </c>
    </row>
    <row r="6754" spans="1:8" x14ac:dyDescent="0.2">
      <c r="A6754" s="1027"/>
      <c r="B6754" s="1083">
        <f>Risk_Compensation!A$1</f>
        <v>36</v>
      </c>
      <c r="C6754" s="1390" t="str">
        <f>Risk_Compensation!$B$1</f>
        <v xml:space="preserve">Risikoausgleich </v>
      </c>
      <c r="D6754" s="2206" t="s">
        <v>2573</v>
      </c>
      <c r="E6754" s="1390" t="str">
        <f>Risk_Compensation!$D91</f>
        <v>AST</v>
      </c>
      <c r="F6754" s="1390" t="str">
        <f>Risk_Compensation!$K$86</f>
        <v>BE</v>
      </c>
      <c r="G6754" s="1390"/>
      <c r="H6754" s="1077">
        <f>Risk_Compensation!$K91</f>
        <v>0</v>
      </c>
    </row>
    <row r="6755" spans="1:8" x14ac:dyDescent="0.2">
      <c r="A6755" s="1027"/>
      <c r="B6755" s="1083">
        <f>Risk_Compensation!A$1</f>
        <v>36</v>
      </c>
      <c r="C6755" s="1390" t="str">
        <f>Risk_Compensation!$B$1</f>
        <v xml:space="preserve">Risikoausgleich </v>
      </c>
      <c r="D6755" s="2206" t="s">
        <v>2573</v>
      </c>
      <c r="E6755" s="1390" t="str">
        <f>Risk_Compensation!$D92</f>
        <v>BSR</v>
      </c>
      <c r="F6755" s="1390" t="str">
        <f>Risk_Compensation!$K$86</f>
        <v>BE</v>
      </c>
      <c r="G6755" s="1390"/>
      <c r="H6755" s="1077">
        <f>Risk_Compensation!$K92</f>
        <v>0</v>
      </c>
    </row>
    <row r="6756" spans="1:8" x14ac:dyDescent="0.2">
      <c r="A6756" s="1027"/>
      <c r="B6756" s="1083">
        <f>Risk_Compensation!A$1</f>
        <v>36</v>
      </c>
      <c r="C6756" s="1390" t="str">
        <f>Risk_Compensation!$B$1</f>
        <v xml:space="preserve">Risikoausgleich </v>
      </c>
      <c r="D6756" s="2206" t="s">
        <v>2573</v>
      </c>
      <c r="E6756" s="1390" t="str">
        <f>Risk_Compensation!$D93</f>
        <v>CAR</v>
      </c>
      <c r="F6756" s="1390" t="str">
        <f>Risk_Compensation!$K$86</f>
        <v>BE</v>
      </c>
      <c r="G6756" s="1390"/>
      <c r="H6756" s="1077">
        <f>Risk_Compensation!$K93</f>
        <v>0</v>
      </c>
    </row>
    <row r="6757" spans="1:8" x14ac:dyDescent="0.2">
      <c r="A6757" s="1027"/>
      <c r="B6757" s="1083">
        <f>Risk_Compensation!A$1</f>
        <v>36</v>
      </c>
      <c r="C6757" s="1390" t="str">
        <f>Risk_Compensation!$B$1</f>
        <v xml:space="preserve">Risikoausgleich </v>
      </c>
      <c r="D6757" s="2206" t="s">
        <v>2573</v>
      </c>
      <c r="E6757" s="1390" t="str">
        <f>Risk_Compensation!$D94</f>
        <v>COP</v>
      </c>
      <c r="F6757" s="1390" t="str">
        <f>Risk_Compensation!$K$86</f>
        <v>BE</v>
      </c>
      <c r="G6757" s="1390"/>
      <c r="H6757" s="1077">
        <f>Risk_Compensation!$K94</f>
        <v>0</v>
      </c>
    </row>
    <row r="6758" spans="1:8" x14ac:dyDescent="0.2">
      <c r="A6758" s="1027"/>
      <c r="B6758" s="1083">
        <f>Risk_Compensation!A$1</f>
        <v>36</v>
      </c>
      <c r="C6758" s="1390" t="str">
        <f>Risk_Compensation!$B$1</f>
        <v xml:space="preserve">Risikoausgleich </v>
      </c>
      <c r="D6758" s="2206" t="s">
        <v>2573</v>
      </c>
      <c r="E6758" s="1390" t="str">
        <f>Risk_Compensation!$D95</f>
        <v>DEP</v>
      </c>
      <c r="F6758" s="1390" t="str">
        <f>Risk_Compensation!$K$86</f>
        <v>BE</v>
      </c>
      <c r="G6758" s="1390"/>
      <c r="H6758" s="1077">
        <f>Risk_Compensation!$K95</f>
        <v>0</v>
      </c>
    </row>
    <row r="6759" spans="1:8" x14ac:dyDescent="0.2">
      <c r="A6759" s="1027"/>
      <c r="B6759" s="1083">
        <f>Risk_Compensation!A$1</f>
        <v>36</v>
      </c>
      <c r="C6759" s="1390" t="str">
        <f>Risk_Compensation!$B$1</f>
        <v xml:space="preserve">Risikoausgleich </v>
      </c>
      <c r="D6759" s="2206" t="s">
        <v>2573</v>
      </c>
      <c r="E6759" s="1390" t="str">
        <f>Risk_Compensation!$D96</f>
        <v>DM1</v>
      </c>
      <c r="F6759" s="1390" t="str">
        <f>Risk_Compensation!$K$86</f>
        <v>BE</v>
      </c>
      <c r="G6759" s="1390"/>
      <c r="H6759" s="1077">
        <f>Risk_Compensation!$K96</f>
        <v>0</v>
      </c>
    </row>
    <row r="6760" spans="1:8" x14ac:dyDescent="0.2">
      <c r="A6760" s="1027"/>
      <c r="B6760" s="1083">
        <f>Risk_Compensation!A$1</f>
        <v>36</v>
      </c>
      <c r="C6760" s="1390" t="str">
        <f>Risk_Compensation!$B$1</f>
        <v xml:space="preserve">Risikoausgleich </v>
      </c>
      <c r="D6760" s="2206" t="s">
        <v>2573</v>
      </c>
      <c r="E6760" s="1390" t="str">
        <f>Risk_Compensation!$D97</f>
        <v>DM2</v>
      </c>
      <c r="F6760" s="1390" t="str">
        <f>Risk_Compensation!$K$86</f>
        <v>BE</v>
      </c>
      <c r="G6760" s="1390"/>
      <c r="H6760" s="1077">
        <f>Risk_Compensation!$K97</f>
        <v>0</v>
      </c>
    </row>
    <row r="6761" spans="1:8" x14ac:dyDescent="0.2">
      <c r="A6761" s="1027"/>
      <c r="B6761" s="1083">
        <f>Risk_Compensation!A$1</f>
        <v>36</v>
      </c>
      <c r="C6761" s="1390" t="str">
        <f>Risk_Compensation!$B$1</f>
        <v xml:space="preserve">Risikoausgleich </v>
      </c>
      <c r="D6761" s="2206" t="s">
        <v>2573</v>
      </c>
      <c r="E6761" s="1390" t="str">
        <f>Risk_Compensation!$D98</f>
        <v>EPI</v>
      </c>
      <c r="F6761" s="1390" t="str">
        <f>Risk_Compensation!$K$86</f>
        <v>BE</v>
      </c>
      <c r="G6761" s="1390"/>
      <c r="H6761" s="1077">
        <f>Risk_Compensation!$K98</f>
        <v>0</v>
      </c>
    </row>
    <row r="6762" spans="1:8" x14ac:dyDescent="0.2">
      <c r="A6762" s="1027"/>
      <c r="B6762" s="1083">
        <f>Risk_Compensation!A$1</f>
        <v>36</v>
      </c>
      <c r="C6762" s="1390" t="str">
        <f>Risk_Compensation!$B$1</f>
        <v xml:space="preserve">Risikoausgleich </v>
      </c>
      <c r="D6762" s="2206" t="s">
        <v>2573</v>
      </c>
      <c r="E6762" s="1390" t="str">
        <f>Risk_Compensation!$D99</f>
        <v>GLA</v>
      </c>
      <c r="F6762" s="1390" t="str">
        <f>Risk_Compensation!$K$86</f>
        <v>BE</v>
      </c>
      <c r="G6762" s="1390"/>
      <c r="H6762" s="1077">
        <f>Risk_Compensation!$K99</f>
        <v>0</v>
      </c>
    </row>
    <row r="6763" spans="1:8" x14ac:dyDescent="0.2">
      <c r="A6763" s="1027"/>
      <c r="B6763" s="1083">
        <f>Risk_Compensation!A$1</f>
        <v>36</v>
      </c>
      <c r="C6763" s="1390" t="str">
        <f>Risk_Compensation!$B$1</f>
        <v xml:space="preserve">Risikoausgleich </v>
      </c>
      <c r="D6763" s="2206" t="s">
        <v>2573</v>
      </c>
      <c r="E6763" s="1390" t="str">
        <f>Risk_Compensation!$D100</f>
        <v>HCH</v>
      </c>
      <c r="F6763" s="1390" t="str">
        <f>Risk_Compensation!$K$86</f>
        <v>BE</v>
      </c>
      <c r="G6763" s="1390"/>
      <c r="H6763" s="1077">
        <f>Risk_Compensation!$K100</f>
        <v>0</v>
      </c>
    </row>
    <row r="6764" spans="1:8" x14ac:dyDescent="0.2">
      <c r="A6764" s="1027"/>
      <c r="B6764" s="1083">
        <f>Risk_Compensation!A$1</f>
        <v>36</v>
      </c>
      <c r="C6764" s="1390" t="str">
        <f>Risk_Compensation!$B$1</f>
        <v xml:space="preserve">Risikoausgleich </v>
      </c>
      <c r="D6764" s="2206" t="s">
        <v>2573</v>
      </c>
      <c r="E6764" s="1390" t="str">
        <f>Risk_Compensation!$D101</f>
        <v>HIV</v>
      </c>
      <c r="F6764" s="1390" t="str">
        <f>Risk_Compensation!$K$86</f>
        <v>BE</v>
      </c>
      <c r="G6764" s="1390"/>
      <c r="H6764" s="1077">
        <f>Risk_Compensation!$K101</f>
        <v>0</v>
      </c>
    </row>
    <row r="6765" spans="1:8" x14ac:dyDescent="0.2">
      <c r="A6765" s="1027"/>
      <c r="B6765" s="1083">
        <f>Risk_Compensation!A$1</f>
        <v>36</v>
      </c>
      <c r="C6765" s="1390" t="str">
        <f>Risk_Compensation!$B$1</f>
        <v xml:space="preserve">Risikoausgleich </v>
      </c>
      <c r="D6765" s="2206" t="s">
        <v>2573</v>
      </c>
      <c r="E6765" s="1390" t="str">
        <f>Risk_Compensation!$D102</f>
        <v>KHO</v>
      </c>
      <c r="F6765" s="1390" t="str">
        <f>Risk_Compensation!$K$86</f>
        <v>BE</v>
      </c>
      <c r="G6765" s="1390"/>
      <c r="H6765" s="1077">
        <f>Risk_Compensation!$K102</f>
        <v>0</v>
      </c>
    </row>
    <row r="6766" spans="1:8" x14ac:dyDescent="0.2">
      <c r="A6766" s="1027"/>
      <c r="B6766" s="1083">
        <f>Risk_Compensation!A$1</f>
        <v>36</v>
      </c>
      <c r="C6766" s="1390" t="str">
        <f>Risk_Compensation!$B$1</f>
        <v xml:space="preserve">Risikoausgleich </v>
      </c>
      <c r="D6766" s="2206" t="s">
        <v>2573</v>
      </c>
      <c r="E6766" s="1390" t="str">
        <f>Risk_Compensation!$D103</f>
        <v>KRE</v>
      </c>
      <c r="F6766" s="1390" t="str">
        <f>Risk_Compensation!$K$86</f>
        <v>BE</v>
      </c>
      <c r="G6766" s="1390"/>
      <c r="H6766" s="1077">
        <f>Risk_Compensation!$K103</f>
        <v>0</v>
      </c>
    </row>
    <row r="6767" spans="1:8" x14ac:dyDescent="0.2">
      <c r="A6767" s="1027"/>
      <c r="B6767" s="1083">
        <f>Risk_Compensation!A$1</f>
        <v>36</v>
      </c>
      <c r="C6767" s="1390" t="str">
        <f>Risk_Compensation!$B$1</f>
        <v xml:space="preserve">Risikoausgleich </v>
      </c>
      <c r="D6767" s="2206" t="s">
        <v>2573</v>
      </c>
      <c r="E6767" s="1390" t="str">
        <f>Risk_Compensation!$D104</f>
        <v>KRK</v>
      </c>
      <c r="F6767" s="1390" t="str">
        <f>Risk_Compensation!$K$86</f>
        <v>BE</v>
      </c>
      <c r="G6767" s="1390"/>
      <c r="H6767" s="1077">
        <f>Risk_Compensation!$K104</f>
        <v>0</v>
      </c>
    </row>
    <row r="6768" spans="1:8" x14ac:dyDescent="0.2">
      <c r="A6768" s="1027"/>
      <c r="B6768" s="1083">
        <f>Risk_Compensation!A$1</f>
        <v>36</v>
      </c>
      <c r="C6768" s="1390" t="str">
        <f>Risk_Compensation!$B$1</f>
        <v xml:space="preserve">Risikoausgleich </v>
      </c>
      <c r="D6768" s="2206" t="s">
        <v>2573</v>
      </c>
      <c r="E6768" s="1390" t="str">
        <f>Risk_Compensation!$D105</f>
        <v>MCR</v>
      </c>
      <c r="F6768" s="1390" t="str">
        <f>Risk_Compensation!$K$86</f>
        <v>BE</v>
      </c>
      <c r="G6768" s="1390"/>
      <c r="H6768" s="1077">
        <f>Risk_Compensation!$K105</f>
        <v>0</v>
      </c>
    </row>
    <row r="6769" spans="1:8" x14ac:dyDescent="0.2">
      <c r="A6769" s="1027"/>
      <c r="B6769" s="1083">
        <f>Risk_Compensation!A$1</f>
        <v>36</v>
      </c>
      <c r="C6769" s="1390" t="str">
        <f>Risk_Compensation!$B$1</f>
        <v xml:space="preserve">Risikoausgleich </v>
      </c>
      <c r="D6769" s="2206" t="s">
        <v>2573</v>
      </c>
      <c r="E6769" s="1390" t="str">
        <f>Risk_Compensation!$D106</f>
        <v>MSK</v>
      </c>
      <c r="F6769" s="1390" t="str">
        <f>Risk_Compensation!$K$86</f>
        <v>BE</v>
      </c>
      <c r="G6769" s="1390"/>
      <c r="H6769" s="1077">
        <f>Risk_Compensation!$K106</f>
        <v>0</v>
      </c>
    </row>
    <row r="6770" spans="1:8" x14ac:dyDescent="0.2">
      <c r="A6770" s="1027"/>
      <c r="B6770" s="1083">
        <f>Risk_Compensation!A$1</f>
        <v>36</v>
      </c>
      <c r="C6770" s="1390" t="str">
        <f>Risk_Compensation!$B$1</f>
        <v xml:space="preserve">Risikoausgleich </v>
      </c>
      <c r="D6770" s="2206" t="s">
        <v>2573</v>
      </c>
      <c r="E6770" s="1390" t="str">
        <f>Risk_Compensation!$D107</f>
        <v>NIE</v>
      </c>
      <c r="F6770" s="1390" t="str">
        <f>Risk_Compensation!$K$86</f>
        <v>BE</v>
      </c>
      <c r="G6770" s="1390"/>
      <c r="H6770" s="1077">
        <f>Risk_Compensation!$K107</f>
        <v>0</v>
      </c>
    </row>
    <row r="6771" spans="1:8" x14ac:dyDescent="0.2">
      <c r="A6771" s="1027"/>
      <c r="B6771" s="1083">
        <f>Risk_Compensation!A$1</f>
        <v>36</v>
      </c>
      <c r="C6771" s="1390" t="str">
        <f>Risk_Compensation!$B$1</f>
        <v xml:space="preserve">Risikoausgleich </v>
      </c>
      <c r="D6771" s="2206" t="s">
        <v>2573</v>
      </c>
      <c r="E6771" s="1390" t="str">
        <f>Risk_Compensation!$D108</f>
        <v>PAH</v>
      </c>
      <c r="F6771" s="1390" t="str">
        <f>Risk_Compensation!$K$86</f>
        <v>BE</v>
      </c>
      <c r="G6771" s="1390"/>
      <c r="H6771" s="1077">
        <f>Risk_Compensation!$K108</f>
        <v>0</v>
      </c>
    </row>
    <row r="6772" spans="1:8" x14ac:dyDescent="0.2">
      <c r="A6772" s="1027"/>
      <c r="B6772" s="1083">
        <f>Risk_Compensation!A$1</f>
        <v>36</v>
      </c>
      <c r="C6772" s="1390" t="str">
        <f>Risk_Compensation!$B$1</f>
        <v xml:space="preserve">Risikoausgleich </v>
      </c>
      <c r="D6772" s="2206" t="s">
        <v>2573</v>
      </c>
      <c r="E6772" s="1390" t="str">
        <f>Risk_Compensation!$D109</f>
        <v>PAR</v>
      </c>
      <c r="F6772" s="1390" t="str">
        <f>Risk_Compensation!$K$86</f>
        <v>BE</v>
      </c>
      <c r="G6772" s="1390"/>
      <c r="H6772" s="1077">
        <f>Risk_Compensation!$K109</f>
        <v>0</v>
      </c>
    </row>
    <row r="6773" spans="1:8" x14ac:dyDescent="0.2">
      <c r="A6773" s="1027"/>
      <c r="B6773" s="1083">
        <f>Risk_Compensation!A$1</f>
        <v>36</v>
      </c>
      <c r="C6773" s="1390" t="str">
        <f>Risk_Compensation!$B$1</f>
        <v xml:space="preserve">Risikoausgleich </v>
      </c>
      <c r="D6773" s="2206" t="s">
        <v>2573</v>
      </c>
      <c r="E6773" s="1390" t="str">
        <f>Risk_Compensation!$D110</f>
        <v>PSO</v>
      </c>
      <c r="F6773" s="1390" t="str">
        <f>Risk_Compensation!$K$86</f>
        <v>BE</v>
      </c>
      <c r="G6773" s="1390"/>
      <c r="H6773" s="1077">
        <f>Risk_Compensation!$K110</f>
        <v>0</v>
      </c>
    </row>
    <row r="6774" spans="1:8" x14ac:dyDescent="0.2">
      <c r="A6774" s="1027"/>
      <c r="B6774" s="1083">
        <f>Risk_Compensation!A$1</f>
        <v>36</v>
      </c>
      <c r="C6774" s="1390" t="str">
        <f>Risk_Compensation!$B$1</f>
        <v xml:space="preserve">Risikoausgleich </v>
      </c>
      <c r="D6774" s="2206" t="s">
        <v>2573</v>
      </c>
      <c r="E6774" s="1390" t="str">
        <f>Risk_Compensation!$D111</f>
        <v>PSY</v>
      </c>
      <c r="F6774" s="1390" t="str">
        <f>Risk_Compensation!$K$86</f>
        <v>BE</v>
      </c>
      <c r="G6774" s="1390"/>
      <c r="H6774" s="1077">
        <f>Risk_Compensation!$K111</f>
        <v>0</v>
      </c>
    </row>
    <row r="6775" spans="1:8" x14ac:dyDescent="0.2">
      <c r="A6775" s="1027"/>
      <c r="B6775" s="1083">
        <f>Risk_Compensation!A$1</f>
        <v>36</v>
      </c>
      <c r="C6775" s="1390" t="str">
        <f>Risk_Compensation!$B$1</f>
        <v xml:space="preserve">Risikoausgleich </v>
      </c>
      <c r="D6775" s="2206" t="s">
        <v>2573</v>
      </c>
      <c r="E6775" s="1390" t="str">
        <f>Risk_Compensation!$D112</f>
        <v>RHE</v>
      </c>
      <c r="F6775" s="1390" t="str">
        <f>Risk_Compensation!$K$86</f>
        <v>BE</v>
      </c>
      <c r="G6775" s="1390"/>
      <c r="H6775" s="1077">
        <f>Risk_Compensation!$K112</f>
        <v>0</v>
      </c>
    </row>
    <row r="6776" spans="1:8" x14ac:dyDescent="0.2">
      <c r="A6776" s="1027"/>
      <c r="B6776" s="1083">
        <f>Risk_Compensation!A$1</f>
        <v>36</v>
      </c>
      <c r="C6776" s="1390" t="str">
        <f>Risk_Compensation!$B$1</f>
        <v xml:space="preserve">Risikoausgleich </v>
      </c>
      <c r="D6776" s="2206" t="s">
        <v>2573</v>
      </c>
      <c r="E6776" s="1390" t="str">
        <f>Risk_Compensation!$D113</f>
        <v>SMC</v>
      </c>
      <c r="F6776" s="1390" t="str">
        <f>Risk_Compensation!$K$86</f>
        <v>BE</v>
      </c>
      <c r="G6776" s="1390"/>
      <c r="H6776" s="1077">
        <f>Risk_Compensation!$K113</f>
        <v>0</v>
      </c>
    </row>
    <row r="6777" spans="1:8" x14ac:dyDescent="0.2">
      <c r="A6777" s="1027"/>
      <c r="B6777" s="1083">
        <f>Risk_Compensation!A$1</f>
        <v>36</v>
      </c>
      <c r="C6777" s="1390" t="str">
        <f>Risk_Compensation!$B$1</f>
        <v xml:space="preserve">Risikoausgleich </v>
      </c>
      <c r="D6777" s="2206" t="s">
        <v>2573</v>
      </c>
      <c r="E6777" s="1390" t="str">
        <f>Risk_Compensation!$D114</f>
        <v>SMN</v>
      </c>
      <c r="F6777" s="1390" t="str">
        <f>Risk_Compensation!$K$86</f>
        <v>BE</v>
      </c>
      <c r="G6777" s="1390"/>
      <c r="H6777" s="1077">
        <f>Risk_Compensation!$K114</f>
        <v>0</v>
      </c>
    </row>
    <row r="6778" spans="1:8" x14ac:dyDescent="0.2">
      <c r="A6778" s="1027"/>
      <c r="B6778" s="1083">
        <f>Risk_Compensation!A$1</f>
        <v>36</v>
      </c>
      <c r="C6778" s="1390" t="str">
        <f>Risk_Compensation!$B$1</f>
        <v xml:space="preserve">Risikoausgleich </v>
      </c>
      <c r="D6778" s="2206" t="s">
        <v>2573</v>
      </c>
      <c r="E6778" s="1390" t="str">
        <f>Risk_Compensation!$D115</f>
        <v>THY</v>
      </c>
      <c r="F6778" s="1390" t="str">
        <f>Risk_Compensation!$K$86</f>
        <v>BE</v>
      </c>
      <c r="G6778" s="1390"/>
      <c r="H6778" s="1077">
        <f>Risk_Compensation!$K115</f>
        <v>0</v>
      </c>
    </row>
    <row r="6779" spans="1:8" x14ac:dyDescent="0.2">
      <c r="A6779" s="1027"/>
      <c r="B6779" s="1083">
        <f>Risk_Compensation!A$1</f>
        <v>36</v>
      </c>
      <c r="C6779" s="1390" t="str">
        <f>Risk_Compensation!$B$1</f>
        <v xml:space="preserve">Risikoausgleich </v>
      </c>
      <c r="D6779" s="2206" t="s">
        <v>2573</v>
      </c>
      <c r="E6779" s="1390" t="str">
        <f>Risk_Compensation!$D116</f>
        <v>TRA</v>
      </c>
      <c r="F6779" s="1390" t="str">
        <f>Risk_Compensation!$K$86</f>
        <v>BE</v>
      </c>
      <c r="G6779" s="1390"/>
      <c r="H6779" s="1077">
        <f>Risk_Compensation!$K116</f>
        <v>0</v>
      </c>
    </row>
    <row r="6780" spans="1:8" x14ac:dyDescent="0.2">
      <c r="A6780" s="1027"/>
      <c r="B6780" s="1083">
        <f>Risk_Compensation!A$1</f>
        <v>36</v>
      </c>
      <c r="C6780" s="1390" t="str">
        <f>Risk_Compensation!$B$1</f>
        <v xml:space="preserve">Risikoausgleich </v>
      </c>
      <c r="D6780" s="2206" t="s">
        <v>2573</v>
      </c>
      <c r="E6780" s="1390" t="str">
        <f>Risk_Compensation!$D117</f>
        <v>WAS</v>
      </c>
      <c r="F6780" s="1390" t="str">
        <f>Risk_Compensation!$K$86</f>
        <v>BE</v>
      </c>
      <c r="G6780" s="1390"/>
      <c r="H6780" s="1077">
        <f>Risk_Compensation!$K117</f>
        <v>0</v>
      </c>
    </row>
    <row r="6781" spans="1:8" x14ac:dyDescent="0.2">
      <c r="A6781" s="1027"/>
      <c r="B6781" s="1083">
        <f>Risk_Compensation!A$1</f>
        <v>36</v>
      </c>
      <c r="C6781" s="1390" t="str">
        <f>Risk_Compensation!$B$1</f>
        <v xml:space="preserve">Risikoausgleich </v>
      </c>
      <c r="D6781" s="2206" t="s">
        <v>2573</v>
      </c>
      <c r="E6781" s="1390" t="str">
        <f>Risk_Compensation!$D118</f>
        <v>ZFP</v>
      </c>
      <c r="F6781" s="1390" t="str">
        <f>Risk_Compensation!$K$86</f>
        <v>BE</v>
      </c>
      <c r="G6781" s="1390"/>
      <c r="H6781" s="1077">
        <f>Risk_Compensation!$K118</f>
        <v>0</v>
      </c>
    </row>
    <row r="6782" spans="1:8" x14ac:dyDescent="0.2">
      <c r="A6782" s="1027"/>
      <c r="B6782" s="1083">
        <f>Risk_Compensation!A$1</f>
        <v>36</v>
      </c>
      <c r="C6782" s="1390" t="str">
        <f>Risk_Compensation!$B$1</f>
        <v xml:space="preserve">Risikoausgleich </v>
      </c>
      <c r="D6782" s="2206" t="s">
        <v>2573</v>
      </c>
      <c r="E6782" s="1390" t="str">
        <f>Risk_Compensation!$D119</f>
        <v>ZNS</v>
      </c>
      <c r="F6782" s="1390" t="str">
        <f>Risk_Compensation!$K$86</f>
        <v>BE</v>
      </c>
      <c r="G6782" s="1390"/>
      <c r="H6782" s="1077">
        <f>Risk_Compensation!$K119</f>
        <v>0</v>
      </c>
    </row>
    <row r="6783" spans="1:8" x14ac:dyDescent="0.2">
      <c r="A6783" s="1027"/>
      <c r="B6783" s="1083">
        <f>Risk_Compensation!A$1</f>
        <v>36</v>
      </c>
      <c r="C6783" s="1390" t="str">
        <f>Risk_Compensation!$B$1</f>
        <v xml:space="preserve">Risikoausgleich </v>
      </c>
      <c r="D6783" s="2206" t="s">
        <v>2573</v>
      </c>
      <c r="E6783" s="1390" t="str">
        <f>Risk_Compensation!$D120</f>
        <v>DM2 + hyp</v>
      </c>
      <c r="F6783" s="1390" t="str">
        <f>Risk_Compensation!$K$86</f>
        <v>BE</v>
      </c>
      <c r="G6783" s="1390"/>
      <c r="H6783" s="1077">
        <f>Risk_Compensation!$K120</f>
        <v>0</v>
      </c>
    </row>
    <row r="6784" spans="1:8" x14ac:dyDescent="0.2">
      <c r="A6784" s="1027"/>
      <c r="B6784" s="2174"/>
      <c r="C6784" s="1390"/>
      <c r="D6784" s="2175"/>
      <c r="E6784" s="2176"/>
      <c r="F6784" s="1390"/>
      <c r="G6784" s="1390"/>
      <c r="H6784" s="1078"/>
    </row>
    <row r="6785" spans="1:8" x14ac:dyDescent="0.2">
      <c r="A6785" s="1027"/>
      <c r="B6785" s="1083">
        <f>Risk_Compensation!A$1</f>
        <v>36</v>
      </c>
      <c r="C6785" s="1390" t="str">
        <f>Risk_Compensation!$B$1</f>
        <v xml:space="preserve">Risikoausgleich </v>
      </c>
      <c r="D6785" s="2206" t="s">
        <v>2573</v>
      </c>
      <c r="E6785" s="1390" t="str">
        <f>Risk_Compensation!$D87</f>
        <v>ABH</v>
      </c>
      <c r="F6785" s="1390" t="str">
        <f>Risk_Compensation!$L$86</f>
        <v>BL</v>
      </c>
      <c r="G6785" s="1390"/>
      <c r="H6785" s="1077">
        <f>Risk_Compensation!$L87</f>
        <v>0</v>
      </c>
    </row>
    <row r="6786" spans="1:8" x14ac:dyDescent="0.2">
      <c r="A6786" s="1027"/>
      <c r="B6786" s="1083">
        <f>Risk_Compensation!A$1</f>
        <v>36</v>
      </c>
      <c r="C6786" s="1390" t="str">
        <f>Risk_Compensation!$B$1</f>
        <v xml:space="preserve">Risikoausgleich </v>
      </c>
      <c r="D6786" s="2206" t="s">
        <v>2573</v>
      </c>
      <c r="E6786" s="1390" t="str">
        <f>Risk_Compensation!$D88</f>
        <v>ADH</v>
      </c>
      <c r="F6786" s="1390" t="str">
        <f>Risk_Compensation!$L$86</f>
        <v>BL</v>
      </c>
      <c r="G6786" s="1390"/>
      <c r="H6786" s="1077">
        <f>Risk_Compensation!$L88</f>
        <v>0</v>
      </c>
    </row>
    <row r="6787" spans="1:8" x14ac:dyDescent="0.2">
      <c r="A6787" s="1027"/>
      <c r="B6787" s="1083">
        <f>Risk_Compensation!A$1</f>
        <v>36</v>
      </c>
      <c r="C6787" s="1390" t="str">
        <f>Risk_Compensation!$B$1</f>
        <v xml:space="preserve">Risikoausgleich </v>
      </c>
      <c r="D6787" s="2206" t="s">
        <v>2573</v>
      </c>
      <c r="E6787" s="1390" t="str">
        <f>Risk_Compensation!$D89</f>
        <v>AIK</v>
      </c>
      <c r="F6787" s="1390" t="str">
        <f>Risk_Compensation!$L$86</f>
        <v>BL</v>
      </c>
      <c r="G6787" s="1390"/>
      <c r="H6787" s="1077">
        <f>Risk_Compensation!$L89</f>
        <v>0</v>
      </c>
    </row>
    <row r="6788" spans="1:8" x14ac:dyDescent="0.2">
      <c r="A6788" s="1027"/>
      <c r="B6788" s="1083">
        <f>Risk_Compensation!A$1</f>
        <v>36</v>
      </c>
      <c r="C6788" s="1390" t="str">
        <f>Risk_Compensation!$B$1</f>
        <v xml:space="preserve">Risikoausgleich </v>
      </c>
      <c r="D6788" s="2206" t="s">
        <v>2573</v>
      </c>
      <c r="E6788" s="1390" t="str">
        <f>Risk_Compensation!$D90</f>
        <v>ALZ</v>
      </c>
      <c r="F6788" s="1390" t="str">
        <f>Risk_Compensation!$L$86</f>
        <v>BL</v>
      </c>
      <c r="G6788" s="1390"/>
      <c r="H6788" s="1077">
        <f>Risk_Compensation!$L90</f>
        <v>0</v>
      </c>
    </row>
    <row r="6789" spans="1:8" x14ac:dyDescent="0.2">
      <c r="A6789" s="1027"/>
      <c r="B6789" s="1083">
        <f>Risk_Compensation!A$1</f>
        <v>36</v>
      </c>
      <c r="C6789" s="1390" t="str">
        <f>Risk_Compensation!$B$1</f>
        <v xml:space="preserve">Risikoausgleich </v>
      </c>
      <c r="D6789" s="2206" t="s">
        <v>2573</v>
      </c>
      <c r="E6789" s="1390" t="str">
        <f>Risk_Compensation!$D91</f>
        <v>AST</v>
      </c>
      <c r="F6789" s="1390" t="str">
        <f>Risk_Compensation!$L$86</f>
        <v>BL</v>
      </c>
      <c r="G6789" s="1390"/>
      <c r="H6789" s="1077">
        <f>Risk_Compensation!$L91</f>
        <v>0</v>
      </c>
    </row>
    <row r="6790" spans="1:8" x14ac:dyDescent="0.2">
      <c r="A6790" s="1027"/>
      <c r="B6790" s="1083">
        <f>Risk_Compensation!A$1</f>
        <v>36</v>
      </c>
      <c r="C6790" s="1390" t="str">
        <f>Risk_Compensation!$B$1</f>
        <v xml:space="preserve">Risikoausgleich </v>
      </c>
      <c r="D6790" s="2206" t="s">
        <v>2573</v>
      </c>
      <c r="E6790" s="1390" t="str">
        <f>Risk_Compensation!$D92</f>
        <v>BSR</v>
      </c>
      <c r="F6790" s="1390" t="str">
        <f>Risk_Compensation!$L$86</f>
        <v>BL</v>
      </c>
      <c r="G6790" s="1390"/>
      <c r="H6790" s="1077">
        <f>Risk_Compensation!$L92</f>
        <v>0</v>
      </c>
    </row>
    <row r="6791" spans="1:8" x14ac:dyDescent="0.2">
      <c r="A6791" s="1027"/>
      <c r="B6791" s="1083">
        <f>Risk_Compensation!A$1</f>
        <v>36</v>
      </c>
      <c r="C6791" s="1390" t="str">
        <f>Risk_Compensation!$B$1</f>
        <v xml:space="preserve">Risikoausgleich </v>
      </c>
      <c r="D6791" s="2206" t="s">
        <v>2573</v>
      </c>
      <c r="E6791" s="1390" t="str">
        <f>Risk_Compensation!$D93</f>
        <v>CAR</v>
      </c>
      <c r="F6791" s="1390" t="str">
        <f>Risk_Compensation!$L$86</f>
        <v>BL</v>
      </c>
      <c r="G6791" s="1390"/>
      <c r="H6791" s="1077">
        <f>Risk_Compensation!$L93</f>
        <v>0</v>
      </c>
    </row>
    <row r="6792" spans="1:8" x14ac:dyDescent="0.2">
      <c r="A6792" s="1027"/>
      <c r="B6792" s="1083">
        <f>Risk_Compensation!A$1</f>
        <v>36</v>
      </c>
      <c r="C6792" s="1390" t="str">
        <f>Risk_Compensation!$B$1</f>
        <v xml:space="preserve">Risikoausgleich </v>
      </c>
      <c r="D6792" s="2206" t="s">
        <v>2573</v>
      </c>
      <c r="E6792" s="1390" t="str">
        <f>Risk_Compensation!$D94</f>
        <v>COP</v>
      </c>
      <c r="F6792" s="1390" t="str">
        <f>Risk_Compensation!$L$86</f>
        <v>BL</v>
      </c>
      <c r="G6792" s="1390"/>
      <c r="H6792" s="1077">
        <f>Risk_Compensation!$L94</f>
        <v>0</v>
      </c>
    </row>
    <row r="6793" spans="1:8" x14ac:dyDescent="0.2">
      <c r="A6793" s="1027"/>
      <c r="B6793" s="1083">
        <f>Risk_Compensation!A$1</f>
        <v>36</v>
      </c>
      <c r="C6793" s="1390" t="str">
        <f>Risk_Compensation!$B$1</f>
        <v xml:space="preserve">Risikoausgleich </v>
      </c>
      <c r="D6793" s="2206" t="s">
        <v>2573</v>
      </c>
      <c r="E6793" s="1390" t="str">
        <f>Risk_Compensation!$D95</f>
        <v>DEP</v>
      </c>
      <c r="F6793" s="1390" t="str">
        <f>Risk_Compensation!$L$86</f>
        <v>BL</v>
      </c>
      <c r="G6793" s="1390"/>
      <c r="H6793" s="1077">
        <f>Risk_Compensation!$L95</f>
        <v>0</v>
      </c>
    </row>
    <row r="6794" spans="1:8" x14ac:dyDescent="0.2">
      <c r="A6794" s="1027"/>
      <c r="B6794" s="1083">
        <f>Risk_Compensation!A$1</f>
        <v>36</v>
      </c>
      <c r="C6794" s="1390" t="str">
        <f>Risk_Compensation!$B$1</f>
        <v xml:space="preserve">Risikoausgleich </v>
      </c>
      <c r="D6794" s="2206" t="s">
        <v>2573</v>
      </c>
      <c r="E6794" s="1390" t="str">
        <f>Risk_Compensation!$D96</f>
        <v>DM1</v>
      </c>
      <c r="F6794" s="1390" t="str">
        <f>Risk_Compensation!$L$86</f>
        <v>BL</v>
      </c>
      <c r="G6794" s="1390"/>
      <c r="H6794" s="1077">
        <f>Risk_Compensation!$L96</f>
        <v>0</v>
      </c>
    </row>
    <row r="6795" spans="1:8" x14ac:dyDescent="0.2">
      <c r="A6795" s="1027"/>
      <c r="B6795" s="1083">
        <f>Risk_Compensation!A$1</f>
        <v>36</v>
      </c>
      <c r="C6795" s="1390" t="str">
        <f>Risk_Compensation!$B$1</f>
        <v xml:space="preserve">Risikoausgleich </v>
      </c>
      <c r="D6795" s="2206" t="s">
        <v>2573</v>
      </c>
      <c r="E6795" s="1390" t="str">
        <f>Risk_Compensation!$D97</f>
        <v>DM2</v>
      </c>
      <c r="F6795" s="1390" t="str">
        <f>Risk_Compensation!$L$86</f>
        <v>BL</v>
      </c>
      <c r="G6795" s="1390"/>
      <c r="H6795" s="1077">
        <f>Risk_Compensation!$L97</f>
        <v>0</v>
      </c>
    </row>
    <row r="6796" spans="1:8" x14ac:dyDescent="0.2">
      <c r="A6796" s="1027"/>
      <c r="B6796" s="1083">
        <f>Risk_Compensation!A$1</f>
        <v>36</v>
      </c>
      <c r="C6796" s="1390" t="str">
        <f>Risk_Compensation!$B$1</f>
        <v xml:space="preserve">Risikoausgleich </v>
      </c>
      <c r="D6796" s="2206" t="s">
        <v>2573</v>
      </c>
      <c r="E6796" s="1390" t="str">
        <f>Risk_Compensation!$D98</f>
        <v>EPI</v>
      </c>
      <c r="F6796" s="1390" t="str">
        <f>Risk_Compensation!$L$86</f>
        <v>BL</v>
      </c>
      <c r="G6796" s="1390"/>
      <c r="H6796" s="1077">
        <f>Risk_Compensation!$L98</f>
        <v>0</v>
      </c>
    </row>
    <row r="6797" spans="1:8" x14ac:dyDescent="0.2">
      <c r="A6797" s="1027"/>
      <c r="B6797" s="1083">
        <f>Risk_Compensation!A$1</f>
        <v>36</v>
      </c>
      <c r="C6797" s="1390" t="str">
        <f>Risk_Compensation!$B$1</f>
        <v xml:space="preserve">Risikoausgleich </v>
      </c>
      <c r="D6797" s="2206" t="s">
        <v>2573</v>
      </c>
      <c r="E6797" s="1390" t="str">
        <f>Risk_Compensation!$D99</f>
        <v>GLA</v>
      </c>
      <c r="F6797" s="1390" t="str">
        <f>Risk_Compensation!$L$86</f>
        <v>BL</v>
      </c>
      <c r="G6797" s="1390"/>
      <c r="H6797" s="1077">
        <f>Risk_Compensation!$L99</f>
        <v>0</v>
      </c>
    </row>
    <row r="6798" spans="1:8" x14ac:dyDescent="0.2">
      <c r="A6798" s="1027"/>
      <c r="B6798" s="1083">
        <f>Risk_Compensation!A$1</f>
        <v>36</v>
      </c>
      <c r="C6798" s="1390" t="str">
        <f>Risk_Compensation!$B$1</f>
        <v xml:space="preserve">Risikoausgleich </v>
      </c>
      <c r="D6798" s="2206" t="s">
        <v>2573</v>
      </c>
      <c r="E6798" s="1390" t="str">
        <f>Risk_Compensation!$D100</f>
        <v>HCH</v>
      </c>
      <c r="F6798" s="1390" t="str">
        <f>Risk_Compensation!$L$86</f>
        <v>BL</v>
      </c>
      <c r="G6798" s="1390"/>
      <c r="H6798" s="1077">
        <f>Risk_Compensation!$L100</f>
        <v>0</v>
      </c>
    </row>
    <row r="6799" spans="1:8" x14ac:dyDescent="0.2">
      <c r="A6799" s="1027"/>
      <c r="B6799" s="1083">
        <f>Risk_Compensation!A$1</f>
        <v>36</v>
      </c>
      <c r="C6799" s="1390" t="str">
        <f>Risk_Compensation!$B$1</f>
        <v xml:space="preserve">Risikoausgleich </v>
      </c>
      <c r="D6799" s="2206" t="s">
        <v>2573</v>
      </c>
      <c r="E6799" s="1390" t="str">
        <f>Risk_Compensation!$D101</f>
        <v>HIV</v>
      </c>
      <c r="F6799" s="1390" t="str">
        <f>Risk_Compensation!$L$86</f>
        <v>BL</v>
      </c>
      <c r="G6799" s="1390"/>
      <c r="H6799" s="1077">
        <f>Risk_Compensation!$L101</f>
        <v>0</v>
      </c>
    </row>
    <row r="6800" spans="1:8" x14ac:dyDescent="0.2">
      <c r="A6800" s="1027"/>
      <c r="B6800" s="1083">
        <f>Risk_Compensation!A$1</f>
        <v>36</v>
      </c>
      <c r="C6800" s="1390" t="str">
        <f>Risk_Compensation!$B$1</f>
        <v xml:space="preserve">Risikoausgleich </v>
      </c>
      <c r="D6800" s="2206" t="s">
        <v>2573</v>
      </c>
      <c r="E6800" s="1390" t="str">
        <f>Risk_Compensation!$D102</f>
        <v>KHO</v>
      </c>
      <c r="F6800" s="1390" t="str">
        <f>Risk_Compensation!$L$86</f>
        <v>BL</v>
      </c>
      <c r="G6800" s="1390"/>
      <c r="H6800" s="1077">
        <f>Risk_Compensation!$L102</f>
        <v>0</v>
      </c>
    </row>
    <row r="6801" spans="1:8" x14ac:dyDescent="0.2">
      <c r="A6801" s="1027"/>
      <c r="B6801" s="1083">
        <f>Risk_Compensation!A$1</f>
        <v>36</v>
      </c>
      <c r="C6801" s="1390" t="str">
        <f>Risk_Compensation!$B$1</f>
        <v xml:space="preserve">Risikoausgleich </v>
      </c>
      <c r="D6801" s="2206" t="s">
        <v>2573</v>
      </c>
      <c r="E6801" s="1390" t="str">
        <f>Risk_Compensation!$D103</f>
        <v>KRE</v>
      </c>
      <c r="F6801" s="1390" t="str">
        <f>Risk_Compensation!$L$86</f>
        <v>BL</v>
      </c>
      <c r="G6801" s="1390"/>
      <c r="H6801" s="1077">
        <f>Risk_Compensation!$L103</f>
        <v>0</v>
      </c>
    </row>
    <row r="6802" spans="1:8" x14ac:dyDescent="0.2">
      <c r="A6802" s="1027"/>
      <c r="B6802" s="1083">
        <f>Risk_Compensation!A$1</f>
        <v>36</v>
      </c>
      <c r="C6802" s="1390" t="str">
        <f>Risk_Compensation!$B$1</f>
        <v xml:space="preserve">Risikoausgleich </v>
      </c>
      <c r="D6802" s="2206" t="s">
        <v>2573</v>
      </c>
      <c r="E6802" s="1390" t="str">
        <f>Risk_Compensation!$D104</f>
        <v>KRK</v>
      </c>
      <c r="F6802" s="1390" t="str">
        <f>Risk_Compensation!$L$86</f>
        <v>BL</v>
      </c>
      <c r="G6802" s="1390"/>
      <c r="H6802" s="1077">
        <f>Risk_Compensation!$L104</f>
        <v>0</v>
      </c>
    </row>
    <row r="6803" spans="1:8" x14ac:dyDescent="0.2">
      <c r="A6803" s="1027"/>
      <c r="B6803" s="1083">
        <f>Risk_Compensation!A$1</f>
        <v>36</v>
      </c>
      <c r="C6803" s="1390" t="str">
        <f>Risk_Compensation!$B$1</f>
        <v xml:space="preserve">Risikoausgleich </v>
      </c>
      <c r="D6803" s="2206" t="s">
        <v>2573</v>
      </c>
      <c r="E6803" s="1390" t="str">
        <f>Risk_Compensation!$D105</f>
        <v>MCR</v>
      </c>
      <c r="F6803" s="1390" t="str">
        <f>Risk_Compensation!$L$86</f>
        <v>BL</v>
      </c>
      <c r="G6803" s="1390"/>
      <c r="H6803" s="1077">
        <f>Risk_Compensation!$L105</f>
        <v>0</v>
      </c>
    </row>
    <row r="6804" spans="1:8" x14ac:dyDescent="0.2">
      <c r="A6804" s="1027"/>
      <c r="B6804" s="1083">
        <f>Risk_Compensation!A$1</f>
        <v>36</v>
      </c>
      <c r="C6804" s="1390" t="str">
        <f>Risk_Compensation!$B$1</f>
        <v xml:space="preserve">Risikoausgleich </v>
      </c>
      <c r="D6804" s="2206" t="s">
        <v>2573</v>
      </c>
      <c r="E6804" s="1390" t="str">
        <f>Risk_Compensation!$D106</f>
        <v>MSK</v>
      </c>
      <c r="F6804" s="1390" t="str">
        <f>Risk_Compensation!$L$86</f>
        <v>BL</v>
      </c>
      <c r="G6804" s="1390"/>
      <c r="H6804" s="1077">
        <f>Risk_Compensation!$L106</f>
        <v>0</v>
      </c>
    </row>
    <row r="6805" spans="1:8" x14ac:dyDescent="0.2">
      <c r="A6805" s="1027"/>
      <c r="B6805" s="1083">
        <f>Risk_Compensation!A$1</f>
        <v>36</v>
      </c>
      <c r="C6805" s="1390" t="str">
        <f>Risk_Compensation!$B$1</f>
        <v xml:space="preserve">Risikoausgleich </v>
      </c>
      <c r="D6805" s="2206" t="s">
        <v>2573</v>
      </c>
      <c r="E6805" s="1390" t="str">
        <f>Risk_Compensation!$D107</f>
        <v>NIE</v>
      </c>
      <c r="F6805" s="1390" t="str">
        <f>Risk_Compensation!$L$86</f>
        <v>BL</v>
      </c>
      <c r="G6805" s="1390"/>
      <c r="H6805" s="1077">
        <f>Risk_Compensation!$L107</f>
        <v>0</v>
      </c>
    </row>
    <row r="6806" spans="1:8" x14ac:dyDescent="0.2">
      <c r="A6806" s="1027"/>
      <c r="B6806" s="1083">
        <f>Risk_Compensation!A$1</f>
        <v>36</v>
      </c>
      <c r="C6806" s="1390" t="str">
        <f>Risk_Compensation!$B$1</f>
        <v xml:space="preserve">Risikoausgleich </v>
      </c>
      <c r="D6806" s="2206" t="s">
        <v>2573</v>
      </c>
      <c r="E6806" s="1390" t="str">
        <f>Risk_Compensation!$D108</f>
        <v>PAH</v>
      </c>
      <c r="F6806" s="1390" t="str">
        <f>Risk_Compensation!$L$86</f>
        <v>BL</v>
      </c>
      <c r="G6806" s="1390"/>
      <c r="H6806" s="1077">
        <f>Risk_Compensation!$L108</f>
        <v>0</v>
      </c>
    </row>
    <row r="6807" spans="1:8" x14ac:dyDescent="0.2">
      <c r="A6807" s="1027"/>
      <c r="B6807" s="1083">
        <f>Risk_Compensation!A$1</f>
        <v>36</v>
      </c>
      <c r="C6807" s="1390" t="str">
        <f>Risk_Compensation!$B$1</f>
        <v xml:space="preserve">Risikoausgleich </v>
      </c>
      <c r="D6807" s="2206" t="s">
        <v>2573</v>
      </c>
      <c r="E6807" s="1390" t="str">
        <f>Risk_Compensation!$D109</f>
        <v>PAR</v>
      </c>
      <c r="F6807" s="1390" t="str">
        <f>Risk_Compensation!$L$86</f>
        <v>BL</v>
      </c>
      <c r="G6807" s="1390"/>
      <c r="H6807" s="1077">
        <f>Risk_Compensation!$L109</f>
        <v>0</v>
      </c>
    </row>
    <row r="6808" spans="1:8" x14ac:dyDescent="0.2">
      <c r="A6808" s="1027"/>
      <c r="B6808" s="1083">
        <f>Risk_Compensation!A$1</f>
        <v>36</v>
      </c>
      <c r="C6808" s="1390" t="str">
        <f>Risk_Compensation!$B$1</f>
        <v xml:space="preserve">Risikoausgleich </v>
      </c>
      <c r="D6808" s="2206" t="s">
        <v>2573</v>
      </c>
      <c r="E6808" s="1390" t="str">
        <f>Risk_Compensation!$D110</f>
        <v>PSO</v>
      </c>
      <c r="F6808" s="1390" t="str">
        <f>Risk_Compensation!$L$86</f>
        <v>BL</v>
      </c>
      <c r="G6808" s="1390"/>
      <c r="H6808" s="1077">
        <f>Risk_Compensation!$L110</f>
        <v>0</v>
      </c>
    </row>
    <row r="6809" spans="1:8" x14ac:dyDescent="0.2">
      <c r="A6809" s="1027"/>
      <c r="B6809" s="1083">
        <f>Risk_Compensation!A$1</f>
        <v>36</v>
      </c>
      <c r="C6809" s="1390" t="str">
        <f>Risk_Compensation!$B$1</f>
        <v xml:space="preserve">Risikoausgleich </v>
      </c>
      <c r="D6809" s="2206" t="s">
        <v>2573</v>
      </c>
      <c r="E6809" s="1390" t="str">
        <f>Risk_Compensation!$D111</f>
        <v>PSY</v>
      </c>
      <c r="F6809" s="1390" t="str">
        <f>Risk_Compensation!$L$86</f>
        <v>BL</v>
      </c>
      <c r="G6809" s="1390"/>
      <c r="H6809" s="1077">
        <f>Risk_Compensation!$L111</f>
        <v>0</v>
      </c>
    </row>
    <row r="6810" spans="1:8" x14ac:dyDescent="0.2">
      <c r="A6810" s="1027"/>
      <c r="B6810" s="1083">
        <f>Risk_Compensation!A$1</f>
        <v>36</v>
      </c>
      <c r="C6810" s="1390" t="str">
        <f>Risk_Compensation!$B$1</f>
        <v xml:space="preserve">Risikoausgleich </v>
      </c>
      <c r="D6810" s="2206" t="s">
        <v>2573</v>
      </c>
      <c r="E6810" s="1390" t="str">
        <f>Risk_Compensation!$D112</f>
        <v>RHE</v>
      </c>
      <c r="F6810" s="1390" t="str">
        <f>Risk_Compensation!$L$86</f>
        <v>BL</v>
      </c>
      <c r="G6810" s="1390"/>
      <c r="H6810" s="1077">
        <f>Risk_Compensation!$L112</f>
        <v>0</v>
      </c>
    </row>
    <row r="6811" spans="1:8" x14ac:dyDescent="0.2">
      <c r="A6811" s="1027"/>
      <c r="B6811" s="1083">
        <f>Risk_Compensation!A$1</f>
        <v>36</v>
      </c>
      <c r="C6811" s="1390" t="str">
        <f>Risk_Compensation!$B$1</f>
        <v xml:space="preserve">Risikoausgleich </v>
      </c>
      <c r="D6811" s="2206" t="s">
        <v>2573</v>
      </c>
      <c r="E6811" s="1390" t="str">
        <f>Risk_Compensation!$D113</f>
        <v>SMC</v>
      </c>
      <c r="F6811" s="1390" t="str">
        <f>Risk_Compensation!$L$86</f>
        <v>BL</v>
      </c>
      <c r="G6811" s="1390"/>
      <c r="H6811" s="1077">
        <f>Risk_Compensation!$L113</f>
        <v>0</v>
      </c>
    </row>
    <row r="6812" spans="1:8" x14ac:dyDescent="0.2">
      <c r="A6812" s="1027"/>
      <c r="B6812" s="1083">
        <f>Risk_Compensation!A$1</f>
        <v>36</v>
      </c>
      <c r="C6812" s="1390" t="str">
        <f>Risk_Compensation!$B$1</f>
        <v xml:space="preserve">Risikoausgleich </v>
      </c>
      <c r="D6812" s="2206" t="s">
        <v>2573</v>
      </c>
      <c r="E6812" s="1390" t="str">
        <f>Risk_Compensation!$D114</f>
        <v>SMN</v>
      </c>
      <c r="F6812" s="1390" t="str">
        <f>Risk_Compensation!$L$86</f>
        <v>BL</v>
      </c>
      <c r="G6812" s="1390"/>
      <c r="H6812" s="1077">
        <f>Risk_Compensation!$L114</f>
        <v>0</v>
      </c>
    </row>
    <row r="6813" spans="1:8" x14ac:dyDescent="0.2">
      <c r="A6813" s="1027"/>
      <c r="B6813" s="1083">
        <f>Risk_Compensation!A$1</f>
        <v>36</v>
      </c>
      <c r="C6813" s="1390" t="str">
        <f>Risk_Compensation!$B$1</f>
        <v xml:space="preserve">Risikoausgleich </v>
      </c>
      <c r="D6813" s="2206" t="s">
        <v>2573</v>
      </c>
      <c r="E6813" s="1390" t="str">
        <f>Risk_Compensation!$D115</f>
        <v>THY</v>
      </c>
      <c r="F6813" s="1390" t="str">
        <f>Risk_Compensation!$L$86</f>
        <v>BL</v>
      </c>
      <c r="G6813" s="1390"/>
      <c r="H6813" s="1077">
        <f>Risk_Compensation!$L115</f>
        <v>0</v>
      </c>
    </row>
    <row r="6814" spans="1:8" x14ac:dyDescent="0.2">
      <c r="A6814" s="1027"/>
      <c r="B6814" s="1083">
        <f>Risk_Compensation!A$1</f>
        <v>36</v>
      </c>
      <c r="C6814" s="1390" t="str">
        <f>Risk_Compensation!$B$1</f>
        <v xml:space="preserve">Risikoausgleich </v>
      </c>
      <c r="D6814" s="2206" t="s">
        <v>2573</v>
      </c>
      <c r="E6814" s="1390" t="str">
        <f>Risk_Compensation!$D116</f>
        <v>TRA</v>
      </c>
      <c r="F6814" s="1390" t="str">
        <f>Risk_Compensation!$L$86</f>
        <v>BL</v>
      </c>
      <c r="G6814" s="1390"/>
      <c r="H6814" s="1077">
        <f>Risk_Compensation!$L116</f>
        <v>0</v>
      </c>
    </row>
    <row r="6815" spans="1:8" x14ac:dyDescent="0.2">
      <c r="A6815" s="1027"/>
      <c r="B6815" s="1083">
        <f>Risk_Compensation!A$1</f>
        <v>36</v>
      </c>
      <c r="C6815" s="1390" t="str">
        <f>Risk_Compensation!$B$1</f>
        <v xml:space="preserve">Risikoausgleich </v>
      </c>
      <c r="D6815" s="2206" t="s">
        <v>2573</v>
      </c>
      <c r="E6815" s="1390" t="str">
        <f>Risk_Compensation!$D117</f>
        <v>WAS</v>
      </c>
      <c r="F6815" s="1390" t="str">
        <f>Risk_Compensation!$L$86</f>
        <v>BL</v>
      </c>
      <c r="G6815" s="1390"/>
      <c r="H6815" s="1077">
        <f>Risk_Compensation!$L117</f>
        <v>0</v>
      </c>
    </row>
    <row r="6816" spans="1:8" x14ac:dyDescent="0.2">
      <c r="A6816" s="1027"/>
      <c r="B6816" s="1083">
        <f>Risk_Compensation!A$1</f>
        <v>36</v>
      </c>
      <c r="C6816" s="1390" t="str">
        <f>Risk_Compensation!$B$1</f>
        <v xml:space="preserve">Risikoausgleich </v>
      </c>
      <c r="D6816" s="2206" t="s">
        <v>2573</v>
      </c>
      <c r="E6816" s="1390" t="str">
        <f>Risk_Compensation!$D118</f>
        <v>ZFP</v>
      </c>
      <c r="F6816" s="1390" t="str">
        <f>Risk_Compensation!$L$86</f>
        <v>BL</v>
      </c>
      <c r="G6816" s="1390"/>
      <c r="H6816" s="1077">
        <f>Risk_Compensation!$L118</f>
        <v>0</v>
      </c>
    </row>
    <row r="6817" spans="1:8" x14ac:dyDescent="0.2">
      <c r="A6817" s="1027"/>
      <c r="B6817" s="1083">
        <f>Risk_Compensation!A$1</f>
        <v>36</v>
      </c>
      <c r="C6817" s="1390" t="str">
        <f>Risk_Compensation!$B$1</f>
        <v xml:space="preserve">Risikoausgleich </v>
      </c>
      <c r="D6817" s="2206" t="s">
        <v>2573</v>
      </c>
      <c r="E6817" s="1390" t="str">
        <f>Risk_Compensation!$D119</f>
        <v>ZNS</v>
      </c>
      <c r="F6817" s="1390" t="str">
        <f>Risk_Compensation!$L$86</f>
        <v>BL</v>
      </c>
      <c r="G6817" s="1390"/>
      <c r="H6817" s="1077">
        <f>Risk_Compensation!$L119</f>
        <v>0</v>
      </c>
    </row>
    <row r="6818" spans="1:8" x14ac:dyDescent="0.2">
      <c r="A6818" s="1027"/>
      <c r="B6818" s="1083">
        <f>Risk_Compensation!A$1</f>
        <v>36</v>
      </c>
      <c r="C6818" s="1390" t="str">
        <f>Risk_Compensation!$B$1</f>
        <v xml:space="preserve">Risikoausgleich </v>
      </c>
      <c r="D6818" s="2206" t="s">
        <v>2573</v>
      </c>
      <c r="E6818" s="1390" t="str">
        <f>Risk_Compensation!$D120</f>
        <v>DM2 + hyp</v>
      </c>
      <c r="F6818" s="1390" t="str">
        <f>Risk_Compensation!$L$86</f>
        <v>BL</v>
      </c>
      <c r="G6818" s="1390"/>
      <c r="H6818" s="1077">
        <f>Risk_Compensation!$L120</f>
        <v>0</v>
      </c>
    </row>
    <row r="6819" spans="1:8" x14ac:dyDescent="0.2">
      <c r="A6819" s="1027"/>
      <c r="B6819" s="2174"/>
      <c r="C6819" s="1390"/>
      <c r="D6819" s="2175"/>
      <c r="E6819" s="2176"/>
      <c r="F6819" s="1390"/>
      <c r="G6819" s="1390"/>
      <c r="H6819" s="1078"/>
    </row>
    <row r="6820" spans="1:8" x14ac:dyDescent="0.2">
      <c r="A6820" s="1027"/>
      <c r="B6820" s="1083">
        <f>Risk_Compensation!A$1</f>
        <v>36</v>
      </c>
      <c r="C6820" s="1390" t="str">
        <f>Risk_Compensation!$B$1</f>
        <v xml:space="preserve">Risikoausgleich </v>
      </c>
      <c r="D6820" s="2206" t="s">
        <v>2573</v>
      </c>
      <c r="E6820" s="1390" t="str">
        <f>Risk_Compensation!$D87</f>
        <v>ABH</v>
      </c>
      <c r="F6820" s="1390" t="str">
        <f>Risk_Compensation!$M$86</f>
        <v>BS</v>
      </c>
      <c r="G6820" s="1390"/>
      <c r="H6820" s="1077">
        <f>Risk_Compensation!$M87</f>
        <v>0</v>
      </c>
    </row>
    <row r="6821" spans="1:8" x14ac:dyDescent="0.2">
      <c r="A6821" s="1027"/>
      <c r="B6821" s="1083">
        <f>Risk_Compensation!A$1</f>
        <v>36</v>
      </c>
      <c r="C6821" s="1390" t="str">
        <f>Risk_Compensation!$B$1</f>
        <v xml:space="preserve">Risikoausgleich </v>
      </c>
      <c r="D6821" s="2206" t="s">
        <v>2573</v>
      </c>
      <c r="E6821" s="1390" t="str">
        <f>Risk_Compensation!$D88</f>
        <v>ADH</v>
      </c>
      <c r="F6821" s="1390" t="str">
        <f>Risk_Compensation!$M$86</f>
        <v>BS</v>
      </c>
      <c r="G6821" s="1390"/>
      <c r="H6821" s="1077">
        <f>Risk_Compensation!$M88</f>
        <v>0</v>
      </c>
    </row>
    <row r="6822" spans="1:8" x14ac:dyDescent="0.2">
      <c r="A6822" s="1027"/>
      <c r="B6822" s="1083">
        <f>Risk_Compensation!A$1</f>
        <v>36</v>
      </c>
      <c r="C6822" s="1390" t="str">
        <f>Risk_Compensation!$B$1</f>
        <v xml:space="preserve">Risikoausgleich </v>
      </c>
      <c r="D6822" s="2206" t="s">
        <v>2573</v>
      </c>
      <c r="E6822" s="1390" t="str">
        <f>Risk_Compensation!$D89</f>
        <v>AIK</v>
      </c>
      <c r="F6822" s="1390" t="str">
        <f>Risk_Compensation!$M$86</f>
        <v>BS</v>
      </c>
      <c r="G6822" s="1390"/>
      <c r="H6822" s="1077">
        <f>Risk_Compensation!$M89</f>
        <v>0</v>
      </c>
    </row>
    <row r="6823" spans="1:8" x14ac:dyDescent="0.2">
      <c r="A6823" s="1027"/>
      <c r="B6823" s="1083">
        <f>Risk_Compensation!A$1</f>
        <v>36</v>
      </c>
      <c r="C6823" s="1390" t="str">
        <f>Risk_Compensation!$B$1</f>
        <v xml:space="preserve">Risikoausgleich </v>
      </c>
      <c r="D6823" s="2206" t="s">
        <v>2573</v>
      </c>
      <c r="E6823" s="1390" t="str">
        <f>Risk_Compensation!$D90</f>
        <v>ALZ</v>
      </c>
      <c r="F6823" s="1390" t="str">
        <f>Risk_Compensation!$M$86</f>
        <v>BS</v>
      </c>
      <c r="G6823" s="1390"/>
      <c r="H6823" s="1077">
        <f>Risk_Compensation!$M90</f>
        <v>0</v>
      </c>
    </row>
    <row r="6824" spans="1:8" x14ac:dyDescent="0.2">
      <c r="A6824" s="1027"/>
      <c r="B6824" s="1083">
        <f>Risk_Compensation!A$1</f>
        <v>36</v>
      </c>
      <c r="C6824" s="1390" t="str">
        <f>Risk_Compensation!$B$1</f>
        <v xml:space="preserve">Risikoausgleich </v>
      </c>
      <c r="D6824" s="2206" t="s">
        <v>2573</v>
      </c>
      <c r="E6824" s="1390" t="str">
        <f>Risk_Compensation!$D91</f>
        <v>AST</v>
      </c>
      <c r="F6824" s="1390" t="str">
        <f>Risk_Compensation!$M$86</f>
        <v>BS</v>
      </c>
      <c r="G6824" s="1390"/>
      <c r="H6824" s="1077">
        <f>Risk_Compensation!$M91</f>
        <v>0</v>
      </c>
    </row>
    <row r="6825" spans="1:8" x14ac:dyDescent="0.2">
      <c r="A6825" s="1027"/>
      <c r="B6825" s="1083">
        <f>Risk_Compensation!A$1</f>
        <v>36</v>
      </c>
      <c r="C6825" s="1390" t="str">
        <f>Risk_Compensation!$B$1</f>
        <v xml:space="preserve">Risikoausgleich </v>
      </c>
      <c r="D6825" s="2206" t="s">
        <v>2573</v>
      </c>
      <c r="E6825" s="1390" t="str">
        <f>Risk_Compensation!$D92</f>
        <v>BSR</v>
      </c>
      <c r="F6825" s="1390" t="str">
        <f>Risk_Compensation!$M$86</f>
        <v>BS</v>
      </c>
      <c r="G6825" s="1390"/>
      <c r="H6825" s="1077">
        <f>Risk_Compensation!$M92</f>
        <v>0</v>
      </c>
    </row>
    <row r="6826" spans="1:8" x14ac:dyDescent="0.2">
      <c r="A6826" s="1027"/>
      <c r="B6826" s="1083">
        <f>Risk_Compensation!A$1</f>
        <v>36</v>
      </c>
      <c r="C6826" s="1390" t="str">
        <f>Risk_Compensation!$B$1</f>
        <v xml:space="preserve">Risikoausgleich </v>
      </c>
      <c r="D6826" s="2206" t="s">
        <v>2573</v>
      </c>
      <c r="E6826" s="1390" t="str">
        <f>Risk_Compensation!$D93</f>
        <v>CAR</v>
      </c>
      <c r="F6826" s="1390" t="str">
        <f>Risk_Compensation!$M$86</f>
        <v>BS</v>
      </c>
      <c r="G6826" s="1390"/>
      <c r="H6826" s="1077">
        <f>Risk_Compensation!$M93</f>
        <v>0</v>
      </c>
    </row>
    <row r="6827" spans="1:8" x14ac:dyDescent="0.2">
      <c r="A6827" s="1027"/>
      <c r="B6827" s="1083">
        <f>Risk_Compensation!A$1</f>
        <v>36</v>
      </c>
      <c r="C6827" s="1390" t="str">
        <f>Risk_Compensation!$B$1</f>
        <v xml:space="preserve">Risikoausgleich </v>
      </c>
      <c r="D6827" s="2206" t="s">
        <v>2573</v>
      </c>
      <c r="E6827" s="1390" t="str">
        <f>Risk_Compensation!$D94</f>
        <v>COP</v>
      </c>
      <c r="F6827" s="1390" t="str">
        <f>Risk_Compensation!$M$86</f>
        <v>BS</v>
      </c>
      <c r="G6827" s="1390"/>
      <c r="H6827" s="1077">
        <f>Risk_Compensation!$M94</f>
        <v>0</v>
      </c>
    </row>
    <row r="6828" spans="1:8" x14ac:dyDescent="0.2">
      <c r="A6828" s="1027"/>
      <c r="B6828" s="1083">
        <f>Risk_Compensation!A$1</f>
        <v>36</v>
      </c>
      <c r="C6828" s="1390" t="str">
        <f>Risk_Compensation!$B$1</f>
        <v xml:space="preserve">Risikoausgleich </v>
      </c>
      <c r="D6828" s="2206" t="s">
        <v>2573</v>
      </c>
      <c r="E6828" s="1390" t="str">
        <f>Risk_Compensation!$D95</f>
        <v>DEP</v>
      </c>
      <c r="F6828" s="1390" t="str">
        <f>Risk_Compensation!$M$86</f>
        <v>BS</v>
      </c>
      <c r="G6828" s="1390"/>
      <c r="H6828" s="1077">
        <f>Risk_Compensation!$M95</f>
        <v>0</v>
      </c>
    </row>
    <row r="6829" spans="1:8" x14ac:dyDescent="0.2">
      <c r="A6829" s="1027"/>
      <c r="B6829" s="1083">
        <f>Risk_Compensation!A$1</f>
        <v>36</v>
      </c>
      <c r="C6829" s="1390" t="str">
        <f>Risk_Compensation!$B$1</f>
        <v xml:space="preserve">Risikoausgleich </v>
      </c>
      <c r="D6829" s="2206" t="s">
        <v>2573</v>
      </c>
      <c r="E6829" s="1390" t="str">
        <f>Risk_Compensation!$D96</f>
        <v>DM1</v>
      </c>
      <c r="F6829" s="1390" t="str">
        <f>Risk_Compensation!$M$86</f>
        <v>BS</v>
      </c>
      <c r="G6829" s="1390"/>
      <c r="H6829" s="1077">
        <f>Risk_Compensation!$M96</f>
        <v>0</v>
      </c>
    </row>
    <row r="6830" spans="1:8" x14ac:dyDescent="0.2">
      <c r="A6830" s="1027"/>
      <c r="B6830" s="1083">
        <f>Risk_Compensation!A$1</f>
        <v>36</v>
      </c>
      <c r="C6830" s="1390" t="str">
        <f>Risk_Compensation!$B$1</f>
        <v xml:space="preserve">Risikoausgleich </v>
      </c>
      <c r="D6830" s="2206" t="s">
        <v>2573</v>
      </c>
      <c r="E6830" s="1390" t="str">
        <f>Risk_Compensation!$D97</f>
        <v>DM2</v>
      </c>
      <c r="F6830" s="1390" t="str">
        <f>Risk_Compensation!$M$86</f>
        <v>BS</v>
      </c>
      <c r="G6830" s="1390"/>
      <c r="H6830" s="1077">
        <f>Risk_Compensation!$M97</f>
        <v>0</v>
      </c>
    </row>
    <row r="6831" spans="1:8" x14ac:dyDescent="0.2">
      <c r="A6831" s="1027"/>
      <c r="B6831" s="1083">
        <f>Risk_Compensation!A$1</f>
        <v>36</v>
      </c>
      <c r="C6831" s="1390" t="str">
        <f>Risk_Compensation!$B$1</f>
        <v xml:space="preserve">Risikoausgleich </v>
      </c>
      <c r="D6831" s="2206" t="s">
        <v>2573</v>
      </c>
      <c r="E6831" s="1390" t="str">
        <f>Risk_Compensation!$D98</f>
        <v>EPI</v>
      </c>
      <c r="F6831" s="1390" t="str">
        <f>Risk_Compensation!$M$86</f>
        <v>BS</v>
      </c>
      <c r="G6831" s="1390"/>
      <c r="H6831" s="1077">
        <f>Risk_Compensation!$M98</f>
        <v>0</v>
      </c>
    </row>
    <row r="6832" spans="1:8" x14ac:dyDescent="0.2">
      <c r="A6832" s="1027"/>
      <c r="B6832" s="1083">
        <f>Risk_Compensation!A$1</f>
        <v>36</v>
      </c>
      <c r="C6832" s="1390" t="str">
        <f>Risk_Compensation!$B$1</f>
        <v xml:space="preserve">Risikoausgleich </v>
      </c>
      <c r="D6832" s="2206" t="s">
        <v>2573</v>
      </c>
      <c r="E6832" s="1390" t="str">
        <f>Risk_Compensation!$D99</f>
        <v>GLA</v>
      </c>
      <c r="F6832" s="1390" t="str">
        <f>Risk_Compensation!$M$86</f>
        <v>BS</v>
      </c>
      <c r="G6832" s="1390"/>
      <c r="H6832" s="1077">
        <f>Risk_Compensation!$M99</f>
        <v>0</v>
      </c>
    </row>
    <row r="6833" spans="1:8" x14ac:dyDescent="0.2">
      <c r="A6833" s="1027"/>
      <c r="B6833" s="1083">
        <f>Risk_Compensation!A$1</f>
        <v>36</v>
      </c>
      <c r="C6833" s="1390" t="str">
        <f>Risk_Compensation!$B$1</f>
        <v xml:space="preserve">Risikoausgleich </v>
      </c>
      <c r="D6833" s="2206" t="s">
        <v>2573</v>
      </c>
      <c r="E6833" s="1390" t="str">
        <f>Risk_Compensation!$D100</f>
        <v>HCH</v>
      </c>
      <c r="F6833" s="1390" t="str">
        <f>Risk_Compensation!$M$86</f>
        <v>BS</v>
      </c>
      <c r="G6833" s="1390"/>
      <c r="H6833" s="1077">
        <f>Risk_Compensation!$M100</f>
        <v>0</v>
      </c>
    </row>
    <row r="6834" spans="1:8" x14ac:dyDescent="0.2">
      <c r="A6834" s="1027"/>
      <c r="B6834" s="1083">
        <f>Risk_Compensation!A$1</f>
        <v>36</v>
      </c>
      <c r="C6834" s="1390" t="str">
        <f>Risk_Compensation!$B$1</f>
        <v xml:space="preserve">Risikoausgleich </v>
      </c>
      <c r="D6834" s="2206" t="s">
        <v>2573</v>
      </c>
      <c r="E6834" s="1390" t="str">
        <f>Risk_Compensation!$D101</f>
        <v>HIV</v>
      </c>
      <c r="F6834" s="1390" t="str">
        <f>Risk_Compensation!$M$86</f>
        <v>BS</v>
      </c>
      <c r="G6834" s="1390"/>
      <c r="H6834" s="1077">
        <f>Risk_Compensation!$M101</f>
        <v>0</v>
      </c>
    </row>
    <row r="6835" spans="1:8" x14ac:dyDescent="0.2">
      <c r="A6835" s="1027"/>
      <c r="B6835" s="1083">
        <f>Risk_Compensation!A$1</f>
        <v>36</v>
      </c>
      <c r="C6835" s="1390" t="str">
        <f>Risk_Compensation!$B$1</f>
        <v xml:space="preserve">Risikoausgleich </v>
      </c>
      <c r="D6835" s="2206" t="s">
        <v>2573</v>
      </c>
      <c r="E6835" s="1390" t="str">
        <f>Risk_Compensation!$D102</f>
        <v>KHO</v>
      </c>
      <c r="F6835" s="1390" t="str">
        <f>Risk_Compensation!$M$86</f>
        <v>BS</v>
      </c>
      <c r="G6835" s="1390"/>
      <c r="H6835" s="1077">
        <f>Risk_Compensation!$M102</f>
        <v>0</v>
      </c>
    </row>
    <row r="6836" spans="1:8" x14ac:dyDescent="0.2">
      <c r="A6836" s="1027"/>
      <c r="B6836" s="1083">
        <f>Risk_Compensation!A$1</f>
        <v>36</v>
      </c>
      <c r="C6836" s="1390" t="str">
        <f>Risk_Compensation!$B$1</f>
        <v xml:space="preserve">Risikoausgleich </v>
      </c>
      <c r="D6836" s="2206" t="s">
        <v>2573</v>
      </c>
      <c r="E6836" s="1390" t="str">
        <f>Risk_Compensation!$D103</f>
        <v>KRE</v>
      </c>
      <c r="F6836" s="1390" t="str">
        <f>Risk_Compensation!$M$86</f>
        <v>BS</v>
      </c>
      <c r="G6836" s="1390"/>
      <c r="H6836" s="1077">
        <f>Risk_Compensation!$M103</f>
        <v>0</v>
      </c>
    </row>
    <row r="6837" spans="1:8" x14ac:dyDescent="0.2">
      <c r="A6837" s="1027"/>
      <c r="B6837" s="1083">
        <f>Risk_Compensation!A$1</f>
        <v>36</v>
      </c>
      <c r="C6837" s="1390" t="str">
        <f>Risk_Compensation!$B$1</f>
        <v xml:space="preserve">Risikoausgleich </v>
      </c>
      <c r="D6837" s="2206" t="s">
        <v>2573</v>
      </c>
      <c r="E6837" s="1390" t="str">
        <f>Risk_Compensation!$D104</f>
        <v>KRK</v>
      </c>
      <c r="F6837" s="1390" t="str">
        <f>Risk_Compensation!$M$86</f>
        <v>BS</v>
      </c>
      <c r="G6837" s="1390"/>
      <c r="H6837" s="1077">
        <f>Risk_Compensation!$M104</f>
        <v>0</v>
      </c>
    </row>
    <row r="6838" spans="1:8" x14ac:dyDescent="0.2">
      <c r="A6838" s="1027"/>
      <c r="B6838" s="1083">
        <f>Risk_Compensation!A$1</f>
        <v>36</v>
      </c>
      <c r="C6838" s="1390" t="str">
        <f>Risk_Compensation!$B$1</f>
        <v xml:space="preserve">Risikoausgleich </v>
      </c>
      <c r="D6838" s="2206" t="s">
        <v>2573</v>
      </c>
      <c r="E6838" s="1390" t="str">
        <f>Risk_Compensation!$D105</f>
        <v>MCR</v>
      </c>
      <c r="F6838" s="1390" t="str">
        <f>Risk_Compensation!$M$86</f>
        <v>BS</v>
      </c>
      <c r="G6838" s="1390"/>
      <c r="H6838" s="1077">
        <f>Risk_Compensation!$M105</f>
        <v>0</v>
      </c>
    </row>
    <row r="6839" spans="1:8" x14ac:dyDescent="0.2">
      <c r="A6839" s="1027"/>
      <c r="B6839" s="1083">
        <f>Risk_Compensation!A$1</f>
        <v>36</v>
      </c>
      <c r="C6839" s="1390" t="str">
        <f>Risk_Compensation!$B$1</f>
        <v xml:space="preserve">Risikoausgleich </v>
      </c>
      <c r="D6839" s="2206" t="s">
        <v>2573</v>
      </c>
      <c r="E6839" s="1390" t="str">
        <f>Risk_Compensation!$D106</f>
        <v>MSK</v>
      </c>
      <c r="F6839" s="1390" t="str">
        <f>Risk_Compensation!$M$86</f>
        <v>BS</v>
      </c>
      <c r="G6839" s="1390"/>
      <c r="H6839" s="1077">
        <f>Risk_Compensation!$M106</f>
        <v>0</v>
      </c>
    </row>
    <row r="6840" spans="1:8" x14ac:dyDescent="0.2">
      <c r="A6840" s="1027"/>
      <c r="B6840" s="1083">
        <f>Risk_Compensation!A$1</f>
        <v>36</v>
      </c>
      <c r="C6840" s="1390" t="str">
        <f>Risk_Compensation!$B$1</f>
        <v xml:space="preserve">Risikoausgleich </v>
      </c>
      <c r="D6840" s="2206" t="s">
        <v>2573</v>
      </c>
      <c r="E6840" s="1390" t="str">
        <f>Risk_Compensation!$D107</f>
        <v>NIE</v>
      </c>
      <c r="F6840" s="1390" t="str">
        <f>Risk_Compensation!$M$86</f>
        <v>BS</v>
      </c>
      <c r="G6840" s="1390"/>
      <c r="H6840" s="1077">
        <f>Risk_Compensation!$M107</f>
        <v>0</v>
      </c>
    </row>
    <row r="6841" spans="1:8" x14ac:dyDescent="0.2">
      <c r="A6841" s="1027"/>
      <c r="B6841" s="1083">
        <f>Risk_Compensation!A$1</f>
        <v>36</v>
      </c>
      <c r="C6841" s="1390" t="str">
        <f>Risk_Compensation!$B$1</f>
        <v xml:space="preserve">Risikoausgleich </v>
      </c>
      <c r="D6841" s="2206" t="s">
        <v>2573</v>
      </c>
      <c r="E6841" s="1390" t="str">
        <f>Risk_Compensation!$D108</f>
        <v>PAH</v>
      </c>
      <c r="F6841" s="1390" t="str">
        <f>Risk_Compensation!$M$86</f>
        <v>BS</v>
      </c>
      <c r="G6841" s="1390"/>
      <c r="H6841" s="1077">
        <f>Risk_Compensation!$M108</f>
        <v>0</v>
      </c>
    </row>
    <row r="6842" spans="1:8" x14ac:dyDescent="0.2">
      <c r="A6842" s="1027"/>
      <c r="B6842" s="1083">
        <f>Risk_Compensation!A$1</f>
        <v>36</v>
      </c>
      <c r="C6842" s="1390" t="str">
        <f>Risk_Compensation!$B$1</f>
        <v xml:space="preserve">Risikoausgleich </v>
      </c>
      <c r="D6842" s="2206" t="s">
        <v>2573</v>
      </c>
      <c r="E6842" s="1390" t="str">
        <f>Risk_Compensation!$D109</f>
        <v>PAR</v>
      </c>
      <c r="F6842" s="1390" t="str">
        <f>Risk_Compensation!$M$86</f>
        <v>BS</v>
      </c>
      <c r="G6842" s="1390"/>
      <c r="H6842" s="1077">
        <f>Risk_Compensation!$M109</f>
        <v>0</v>
      </c>
    </row>
    <row r="6843" spans="1:8" x14ac:dyDescent="0.2">
      <c r="A6843" s="1027"/>
      <c r="B6843" s="1083">
        <f>Risk_Compensation!A$1</f>
        <v>36</v>
      </c>
      <c r="C6843" s="1390" t="str">
        <f>Risk_Compensation!$B$1</f>
        <v xml:space="preserve">Risikoausgleich </v>
      </c>
      <c r="D6843" s="2206" t="s">
        <v>2573</v>
      </c>
      <c r="E6843" s="1390" t="str">
        <f>Risk_Compensation!$D110</f>
        <v>PSO</v>
      </c>
      <c r="F6843" s="1390" t="str">
        <f>Risk_Compensation!$M$86</f>
        <v>BS</v>
      </c>
      <c r="G6843" s="1390"/>
      <c r="H6843" s="1077">
        <f>Risk_Compensation!$M110</f>
        <v>0</v>
      </c>
    </row>
    <row r="6844" spans="1:8" x14ac:dyDescent="0.2">
      <c r="A6844" s="1027"/>
      <c r="B6844" s="1083">
        <f>Risk_Compensation!A$1</f>
        <v>36</v>
      </c>
      <c r="C6844" s="1390" t="str">
        <f>Risk_Compensation!$B$1</f>
        <v xml:space="preserve">Risikoausgleich </v>
      </c>
      <c r="D6844" s="2206" t="s">
        <v>2573</v>
      </c>
      <c r="E6844" s="1390" t="str">
        <f>Risk_Compensation!$D111</f>
        <v>PSY</v>
      </c>
      <c r="F6844" s="1390" t="str">
        <f>Risk_Compensation!$M$86</f>
        <v>BS</v>
      </c>
      <c r="G6844" s="1390"/>
      <c r="H6844" s="1077">
        <f>Risk_Compensation!$M111</f>
        <v>0</v>
      </c>
    </row>
    <row r="6845" spans="1:8" x14ac:dyDescent="0.2">
      <c r="A6845" s="1027"/>
      <c r="B6845" s="1083">
        <f>Risk_Compensation!A$1</f>
        <v>36</v>
      </c>
      <c r="C6845" s="1390" t="str">
        <f>Risk_Compensation!$B$1</f>
        <v xml:space="preserve">Risikoausgleich </v>
      </c>
      <c r="D6845" s="2206" t="s">
        <v>2573</v>
      </c>
      <c r="E6845" s="1390" t="str">
        <f>Risk_Compensation!$D112</f>
        <v>RHE</v>
      </c>
      <c r="F6845" s="1390" t="str">
        <f>Risk_Compensation!$M$86</f>
        <v>BS</v>
      </c>
      <c r="G6845" s="1390"/>
      <c r="H6845" s="1077">
        <f>Risk_Compensation!$M112</f>
        <v>0</v>
      </c>
    </row>
    <row r="6846" spans="1:8" x14ac:dyDescent="0.2">
      <c r="A6846" s="1027"/>
      <c r="B6846" s="1083">
        <f>Risk_Compensation!A$1</f>
        <v>36</v>
      </c>
      <c r="C6846" s="1390" t="str">
        <f>Risk_Compensation!$B$1</f>
        <v xml:space="preserve">Risikoausgleich </v>
      </c>
      <c r="D6846" s="2206" t="s">
        <v>2573</v>
      </c>
      <c r="E6846" s="1390" t="str">
        <f>Risk_Compensation!$D113</f>
        <v>SMC</v>
      </c>
      <c r="F6846" s="1390" t="str">
        <f>Risk_Compensation!$M$86</f>
        <v>BS</v>
      </c>
      <c r="G6846" s="1390"/>
      <c r="H6846" s="1077">
        <f>Risk_Compensation!$M113</f>
        <v>0</v>
      </c>
    </row>
    <row r="6847" spans="1:8" x14ac:dyDescent="0.2">
      <c r="A6847" s="1027"/>
      <c r="B6847" s="1083">
        <f>Risk_Compensation!A$1</f>
        <v>36</v>
      </c>
      <c r="C6847" s="1390" t="str">
        <f>Risk_Compensation!$B$1</f>
        <v xml:space="preserve">Risikoausgleich </v>
      </c>
      <c r="D6847" s="2206" t="s">
        <v>2573</v>
      </c>
      <c r="E6847" s="1390" t="str">
        <f>Risk_Compensation!$D114</f>
        <v>SMN</v>
      </c>
      <c r="F6847" s="1390" t="str">
        <f>Risk_Compensation!$M$86</f>
        <v>BS</v>
      </c>
      <c r="G6847" s="1390"/>
      <c r="H6847" s="1077">
        <f>Risk_Compensation!$M114</f>
        <v>0</v>
      </c>
    </row>
    <row r="6848" spans="1:8" x14ac:dyDescent="0.2">
      <c r="A6848" s="1027"/>
      <c r="B6848" s="1083">
        <f>Risk_Compensation!A$1</f>
        <v>36</v>
      </c>
      <c r="C6848" s="1390" t="str">
        <f>Risk_Compensation!$B$1</f>
        <v xml:space="preserve">Risikoausgleich </v>
      </c>
      <c r="D6848" s="2206" t="s">
        <v>2573</v>
      </c>
      <c r="E6848" s="1390" t="str">
        <f>Risk_Compensation!$D115</f>
        <v>THY</v>
      </c>
      <c r="F6848" s="1390" t="str">
        <f>Risk_Compensation!$M$86</f>
        <v>BS</v>
      </c>
      <c r="G6848" s="1390"/>
      <c r="H6848" s="1077">
        <f>Risk_Compensation!$M115</f>
        <v>0</v>
      </c>
    </row>
    <row r="6849" spans="1:8" x14ac:dyDescent="0.2">
      <c r="A6849" s="1027"/>
      <c r="B6849" s="1083">
        <f>Risk_Compensation!A$1</f>
        <v>36</v>
      </c>
      <c r="C6849" s="1390" t="str">
        <f>Risk_Compensation!$B$1</f>
        <v xml:space="preserve">Risikoausgleich </v>
      </c>
      <c r="D6849" s="2206" t="s">
        <v>2573</v>
      </c>
      <c r="E6849" s="1390" t="str">
        <f>Risk_Compensation!$D116</f>
        <v>TRA</v>
      </c>
      <c r="F6849" s="1390" t="str">
        <f>Risk_Compensation!$M$86</f>
        <v>BS</v>
      </c>
      <c r="G6849" s="1390"/>
      <c r="H6849" s="1077">
        <f>Risk_Compensation!$M116</f>
        <v>0</v>
      </c>
    </row>
    <row r="6850" spans="1:8" x14ac:dyDescent="0.2">
      <c r="A6850" s="1027"/>
      <c r="B6850" s="1083">
        <f>Risk_Compensation!A$1</f>
        <v>36</v>
      </c>
      <c r="C6850" s="1390" t="str">
        <f>Risk_Compensation!$B$1</f>
        <v xml:space="preserve">Risikoausgleich </v>
      </c>
      <c r="D6850" s="2206" t="s">
        <v>2573</v>
      </c>
      <c r="E6850" s="1390" t="str">
        <f>Risk_Compensation!$D117</f>
        <v>WAS</v>
      </c>
      <c r="F6850" s="1390" t="str">
        <f>Risk_Compensation!$M$86</f>
        <v>BS</v>
      </c>
      <c r="G6850" s="1390"/>
      <c r="H6850" s="1077">
        <f>Risk_Compensation!$M117</f>
        <v>0</v>
      </c>
    </row>
    <row r="6851" spans="1:8" x14ac:dyDescent="0.2">
      <c r="A6851" s="1027"/>
      <c r="B6851" s="1083">
        <f>Risk_Compensation!A$1</f>
        <v>36</v>
      </c>
      <c r="C6851" s="1390" t="str">
        <f>Risk_Compensation!$B$1</f>
        <v xml:space="preserve">Risikoausgleich </v>
      </c>
      <c r="D6851" s="2206" t="s">
        <v>2573</v>
      </c>
      <c r="E6851" s="1390" t="str">
        <f>Risk_Compensation!$D118</f>
        <v>ZFP</v>
      </c>
      <c r="F6851" s="1390" t="str">
        <f>Risk_Compensation!$M$86</f>
        <v>BS</v>
      </c>
      <c r="G6851" s="1390"/>
      <c r="H6851" s="1077">
        <f>Risk_Compensation!$M118</f>
        <v>0</v>
      </c>
    </row>
    <row r="6852" spans="1:8" x14ac:dyDescent="0.2">
      <c r="A6852" s="1027"/>
      <c r="B6852" s="1083">
        <f>Risk_Compensation!A$1</f>
        <v>36</v>
      </c>
      <c r="C6852" s="1390" t="str">
        <f>Risk_Compensation!$B$1</f>
        <v xml:space="preserve">Risikoausgleich </v>
      </c>
      <c r="D6852" s="2206" t="s">
        <v>2573</v>
      </c>
      <c r="E6852" s="1390" t="str">
        <f>Risk_Compensation!$D119</f>
        <v>ZNS</v>
      </c>
      <c r="F6852" s="1390" t="str">
        <f>Risk_Compensation!$M$86</f>
        <v>BS</v>
      </c>
      <c r="G6852" s="1390"/>
      <c r="H6852" s="1077">
        <f>Risk_Compensation!$M119</f>
        <v>0</v>
      </c>
    </row>
    <row r="6853" spans="1:8" x14ac:dyDescent="0.2">
      <c r="A6853" s="1027"/>
      <c r="B6853" s="1083">
        <f>Risk_Compensation!A$1</f>
        <v>36</v>
      </c>
      <c r="C6853" s="1390" t="str">
        <f>Risk_Compensation!$B$1</f>
        <v xml:space="preserve">Risikoausgleich </v>
      </c>
      <c r="D6853" s="2206" t="s">
        <v>2573</v>
      </c>
      <c r="E6853" s="1390" t="str">
        <f>Risk_Compensation!$D120</f>
        <v>DM2 + hyp</v>
      </c>
      <c r="F6853" s="1390" t="str">
        <f>Risk_Compensation!$M$86</f>
        <v>BS</v>
      </c>
      <c r="G6853" s="1390"/>
      <c r="H6853" s="1077">
        <f>Risk_Compensation!$M120</f>
        <v>0</v>
      </c>
    </row>
    <row r="6854" spans="1:8" x14ac:dyDescent="0.2">
      <c r="A6854" s="1027"/>
      <c r="B6854" s="2174"/>
      <c r="C6854" s="1390"/>
      <c r="D6854" s="2175"/>
      <c r="E6854" s="2176"/>
      <c r="F6854" s="1390"/>
      <c r="G6854" s="1390"/>
      <c r="H6854" s="1078"/>
    </row>
    <row r="6855" spans="1:8" x14ac:dyDescent="0.2">
      <c r="A6855" s="1027"/>
      <c r="B6855" s="1083">
        <f>Risk_Compensation!A$1</f>
        <v>36</v>
      </c>
      <c r="C6855" s="1390" t="str">
        <f>Risk_Compensation!$B$1</f>
        <v xml:space="preserve">Risikoausgleich </v>
      </c>
      <c r="D6855" s="2206" t="s">
        <v>2573</v>
      </c>
      <c r="E6855" s="1390" t="str">
        <f>Risk_Compensation!$D87</f>
        <v>ABH</v>
      </c>
      <c r="F6855" s="1390" t="str">
        <f>Risk_Compensation!$N$86</f>
        <v>FR</v>
      </c>
      <c r="G6855" s="1390"/>
      <c r="H6855" s="1077">
        <f>Risk_Compensation!$N87</f>
        <v>0</v>
      </c>
    </row>
    <row r="6856" spans="1:8" x14ac:dyDescent="0.2">
      <c r="A6856" s="1027"/>
      <c r="B6856" s="1083">
        <f>Risk_Compensation!A$1</f>
        <v>36</v>
      </c>
      <c r="C6856" s="1390" t="str">
        <f>Risk_Compensation!$B$1</f>
        <v xml:space="preserve">Risikoausgleich </v>
      </c>
      <c r="D6856" s="2206" t="s">
        <v>2573</v>
      </c>
      <c r="E6856" s="1390" t="str">
        <f>Risk_Compensation!$D88</f>
        <v>ADH</v>
      </c>
      <c r="F6856" s="1390" t="str">
        <f>Risk_Compensation!$N$86</f>
        <v>FR</v>
      </c>
      <c r="G6856" s="1390"/>
      <c r="H6856" s="1077">
        <f>Risk_Compensation!$N88</f>
        <v>0</v>
      </c>
    </row>
    <row r="6857" spans="1:8" x14ac:dyDescent="0.2">
      <c r="A6857" s="1027"/>
      <c r="B6857" s="1083">
        <f>Risk_Compensation!A$1</f>
        <v>36</v>
      </c>
      <c r="C6857" s="1390" t="str">
        <f>Risk_Compensation!$B$1</f>
        <v xml:space="preserve">Risikoausgleich </v>
      </c>
      <c r="D6857" s="2206" t="s">
        <v>2573</v>
      </c>
      <c r="E6857" s="1390" t="str">
        <f>Risk_Compensation!$D89</f>
        <v>AIK</v>
      </c>
      <c r="F6857" s="1390" t="str">
        <f>Risk_Compensation!$N$86</f>
        <v>FR</v>
      </c>
      <c r="G6857" s="1390"/>
      <c r="H6857" s="1077">
        <f>Risk_Compensation!$N89</f>
        <v>0</v>
      </c>
    </row>
    <row r="6858" spans="1:8" x14ac:dyDescent="0.2">
      <c r="A6858" s="1027"/>
      <c r="B6858" s="1083">
        <f>Risk_Compensation!A$1</f>
        <v>36</v>
      </c>
      <c r="C6858" s="1390" t="str">
        <f>Risk_Compensation!$B$1</f>
        <v xml:space="preserve">Risikoausgleich </v>
      </c>
      <c r="D6858" s="2206" t="s">
        <v>2573</v>
      </c>
      <c r="E6858" s="1390" t="str">
        <f>Risk_Compensation!$D90</f>
        <v>ALZ</v>
      </c>
      <c r="F6858" s="1390" t="str">
        <f>Risk_Compensation!$N$86</f>
        <v>FR</v>
      </c>
      <c r="G6858" s="1390"/>
      <c r="H6858" s="1077">
        <f>Risk_Compensation!$N90</f>
        <v>0</v>
      </c>
    </row>
    <row r="6859" spans="1:8" x14ac:dyDescent="0.2">
      <c r="A6859" s="1027"/>
      <c r="B6859" s="1083">
        <f>Risk_Compensation!A$1</f>
        <v>36</v>
      </c>
      <c r="C6859" s="1390" t="str">
        <f>Risk_Compensation!$B$1</f>
        <v xml:space="preserve">Risikoausgleich </v>
      </c>
      <c r="D6859" s="2206" t="s">
        <v>2573</v>
      </c>
      <c r="E6859" s="1390" t="str">
        <f>Risk_Compensation!$D91</f>
        <v>AST</v>
      </c>
      <c r="F6859" s="1390" t="str">
        <f>Risk_Compensation!$N$86</f>
        <v>FR</v>
      </c>
      <c r="G6859" s="1390"/>
      <c r="H6859" s="1077">
        <f>Risk_Compensation!$N91</f>
        <v>0</v>
      </c>
    </row>
    <row r="6860" spans="1:8" x14ac:dyDescent="0.2">
      <c r="A6860" s="1027"/>
      <c r="B6860" s="1083">
        <f>Risk_Compensation!A$1</f>
        <v>36</v>
      </c>
      <c r="C6860" s="1390" t="str">
        <f>Risk_Compensation!$B$1</f>
        <v xml:space="preserve">Risikoausgleich </v>
      </c>
      <c r="D6860" s="2206" t="s">
        <v>2573</v>
      </c>
      <c r="E6860" s="1390" t="str">
        <f>Risk_Compensation!$D92</f>
        <v>BSR</v>
      </c>
      <c r="F6860" s="1390" t="str">
        <f>Risk_Compensation!$N$86</f>
        <v>FR</v>
      </c>
      <c r="G6860" s="1390"/>
      <c r="H6860" s="1077">
        <f>Risk_Compensation!$N92</f>
        <v>0</v>
      </c>
    </row>
    <row r="6861" spans="1:8" x14ac:dyDescent="0.2">
      <c r="A6861" s="1027"/>
      <c r="B6861" s="1083">
        <f>Risk_Compensation!A$1</f>
        <v>36</v>
      </c>
      <c r="C6861" s="1390" t="str">
        <f>Risk_Compensation!$B$1</f>
        <v xml:space="preserve">Risikoausgleich </v>
      </c>
      <c r="D6861" s="2206" t="s">
        <v>2573</v>
      </c>
      <c r="E6861" s="1390" t="str">
        <f>Risk_Compensation!$D93</f>
        <v>CAR</v>
      </c>
      <c r="F6861" s="1390" t="str">
        <f>Risk_Compensation!$N$86</f>
        <v>FR</v>
      </c>
      <c r="G6861" s="1390"/>
      <c r="H6861" s="1077">
        <f>Risk_Compensation!$N93</f>
        <v>0</v>
      </c>
    </row>
    <row r="6862" spans="1:8" x14ac:dyDescent="0.2">
      <c r="A6862" s="1027"/>
      <c r="B6862" s="1083">
        <f>Risk_Compensation!A$1</f>
        <v>36</v>
      </c>
      <c r="C6862" s="1390" t="str">
        <f>Risk_Compensation!$B$1</f>
        <v xml:space="preserve">Risikoausgleich </v>
      </c>
      <c r="D6862" s="2206" t="s">
        <v>2573</v>
      </c>
      <c r="E6862" s="1390" t="str">
        <f>Risk_Compensation!$D94</f>
        <v>COP</v>
      </c>
      <c r="F6862" s="1390" t="str">
        <f>Risk_Compensation!$N$86</f>
        <v>FR</v>
      </c>
      <c r="G6862" s="1390"/>
      <c r="H6862" s="1077">
        <f>Risk_Compensation!$N94</f>
        <v>0</v>
      </c>
    </row>
    <row r="6863" spans="1:8" x14ac:dyDescent="0.2">
      <c r="A6863" s="1027"/>
      <c r="B6863" s="1083">
        <f>Risk_Compensation!A$1</f>
        <v>36</v>
      </c>
      <c r="C6863" s="1390" t="str">
        <f>Risk_Compensation!$B$1</f>
        <v xml:space="preserve">Risikoausgleich </v>
      </c>
      <c r="D6863" s="2206" t="s">
        <v>2573</v>
      </c>
      <c r="E6863" s="1390" t="str">
        <f>Risk_Compensation!$D95</f>
        <v>DEP</v>
      </c>
      <c r="F6863" s="1390" t="str">
        <f>Risk_Compensation!$N$86</f>
        <v>FR</v>
      </c>
      <c r="G6863" s="1390"/>
      <c r="H6863" s="1077">
        <f>Risk_Compensation!$N95</f>
        <v>0</v>
      </c>
    </row>
    <row r="6864" spans="1:8" x14ac:dyDescent="0.2">
      <c r="A6864" s="1027"/>
      <c r="B6864" s="1083">
        <f>Risk_Compensation!A$1</f>
        <v>36</v>
      </c>
      <c r="C6864" s="1390" t="str">
        <f>Risk_Compensation!$B$1</f>
        <v xml:space="preserve">Risikoausgleich </v>
      </c>
      <c r="D6864" s="2206" t="s">
        <v>2573</v>
      </c>
      <c r="E6864" s="1390" t="str">
        <f>Risk_Compensation!$D96</f>
        <v>DM1</v>
      </c>
      <c r="F6864" s="1390" t="str">
        <f>Risk_Compensation!$N$86</f>
        <v>FR</v>
      </c>
      <c r="G6864" s="1390"/>
      <c r="H6864" s="1077">
        <f>Risk_Compensation!$N96</f>
        <v>0</v>
      </c>
    </row>
    <row r="6865" spans="1:8" x14ac:dyDescent="0.2">
      <c r="A6865" s="1027"/>
      <c r="B6865" s="1083">
        <f>Risk_Compensation!A$1</f>
        <v>36</v>
      </c>
      <c r="C6865" s="1390" t="str">
        <f>Risk_Compensation!$B$1</f>
        <v xml:space="preserve">Risikoausgleich </v>
      </c>
      <c r="D6865" s="2206" t="s">
        <v>2573</v>
      </c>
      <c r="E6865" s="1390" t="str">
        <f>Risk_Compensation!$D97</f>
        <v>DM2</v>
      </c>
      <c r="F6865" s="1390" t="str">
        <f>Risk_Compensation!$N$86</f>
        <v>FR</v>
      </c>
      <c r="G6865" s="1390"/>
      <c r="H6865" s="1077">
        <f>Risk_Compensation!$N97</f>
        <v>0</v>
      </c>
    </row>
    <row r="6866" spans="1:8" x14ac:dyDescent="0.2">
      <c r="A6866" s="1027"/>
      <c r="B6866" s="1083">
        <f>Risk_Compensation!A$1</f>
        <v>36</v>
      </c>
      <c r="C6866" s="1390" t="str">
        <f>Risk_Compensation!$B$1</f>
        <v xml:space="preserve">Risikoausgleich </v>
      </c>
      <c r="D6866" s="2206" t="s">
        <v>2573</v>
      </c>
      <c r="E6866" s="1390" t="str">
        <f>Risk_Compensation!$D98</f>
        <v>EPI</v>
      </c>
      <c r="F6866" s="1390" t="str">
        <f>Risk_Compensation!$N$86</f>
        <v>FR</v>
      </c>
      <c r="G6866" s="1390"/>
      <c r="H6866" s="1077">
        <f>Risk_Compensation!$N98</f>
        <v>0</v>
      </c>
    </row>
    <row r="6867" spans="1:8" x14ac:dyDescent="0.2">
      <c r="A6867" s="1027"/>
      <c r="B6867" s="1083">
        <f>Risk_Compensation!A$1</f>
        <v>36</v>
      </c>
      <c r="C6867" s="1390" t="str">
        <f>Risk_Compensation!$B$1</f>
        <v xml:space="preserve">Risikoausgleich </v>
      </c>
      <c r="D6867" s="2206" t="s">
        <v>2573</v>
      </c>
      <c r="E6867" s="1390" t="str">
        <f>Risk_Compensation!$D99</f>
        <v>GLA</v>
      </c>
      <c r="F6867" s="1390" t="str">
        <f>Risk_Compensation!$N$86</f>
        <v>FR</v>
      </c>
      <c r="G6867" s="1390"/>
      <c r="H6867" s="1077">
        <f>Risk_Compensation!$N99</f>
        <v>0</v>
      </c>
    </row>
    <row r="6868" spans="1:8" x14ac:dyDescent="0.2">
      <c r="A6868" s="1027"/>
      <c r="B6868" s="1083">
        <f>Risk_Compensation!A$1</f>
        <v>36</v>
      </c>
      <c r="C6868" s="1390" t="str">
        <f>Risk_Compensation!$B$1</f>
        <v xml:space="preserve">Risikoausgleich </v>
      </c>
      <c r="D6868" s="2206" t="s">
        <v>2573</v>
      </c>
      <c r="E6868" s="1390" t="str">
        <f>Risk_Compensation!$D100</f>
        <v>HCH</v>
      </c>
      <c r="F6868" s="1390" t="str">
        <f>Risk_Compensation!$N$86</f>
        <v>FR</v>
      </c>
      <c r="G6868" s="1390"/>
      <c r="H6868" s="1077">
        <f>Risk_Compensation!$N100</f>
        <v>0</v>
      </c>
    </row>
    <row r="6869" spans="1:8" x14ac:dyDescent="0.2">
      <c r="A6869" s="1027"/>
      <c r="B6869" s="1083">
        <f>Risk_Compensation!A$1</f>
        <v>36</v>
      </c>
      <c r="C6869" s="1390" t="str">
        <f>Risk_Compensation!$B$1</f>
        <v xml:space="preserve">Risikoausgleich </v>
      </c>
      <c r="D6869" s="2206" t="s">
        <v>2573</v>
      </c>
      <c r="E6869" s="1390" t="str">
        <f>Risk_Compensation!$D101</f>
        <v>HIV</v>
      </c>
      <c r="F6869" s="1390" t="str">
        <f>Risk_Compensation!$N$86</f>
        <v>FR</v>
      </c>
      <c r="G6869" s="1390"/>
      <c r="H6869" s="1077">
        <f>Risk_Compensation!$N101</f>
        <v>0</v>
      </c>
    </row>
    <row r="6870" spans="1:8" x14ac:dyDescent="0.2">
      <c r="A6870" s="1027"/>
      <c r="B6870" s="1083">
        <f>Risk_Compensation!A$1</f>
        <v>36</v>
      </c>
      <c r="C6870" s="1390" t="str">
        <f>Risk_Compensation!$B$1</f>
        <v xml:space="preserve">Risikoausgleich </v>
      </c>
      <c r="D6870" s="2206" t="s">
        <v>2573</v>
      </c>
      <c r="E6870" s="1390" t="str">
        <f>Risk_Compensation!$D102</f>
        <v>KHO</v>
      </c>
      <c r="F6870" s="1390" t="str">
        <f>Risk_Compensation!$N$86</f>
        <v>FR</v>
      </c>
      <c r="G6870" s="1390"/>
      <c r="H6870" s="1077">
        <f>Risk_Compensation!$N102</f>
        <v>0</v>
      </c>
    </row>
    <row r="6871" spans="1:8" x14ac:dyDescent="0.2">
      <c r="A6871" s="1027"/>
      <c r="B6871" s="1083">
        <f>Risk_Compensation!A$1</f>
        <v>36</v>
      </c>
      <c r="C6871" s="1390" t="str">
        <f>Risk_Compensation!$B$1</f>
        <v xml:space="preserve">Risikoausgleich </v>
      </c>
      <c r="D6871" s="2206" t="s">
        <v>2573</v>
      </c>
      <c r="E6871" s="1390" t="str">
        <f>Risk_Compensation!$D103</f>
        <v>KRE</v>
      </c>
      <c r="F6871" s="1390" t="str">
        <f>Risk_Compensation!$N$86</f>
        <v>FR</v>
      </c>
      <c r="G6871" s="1390"/>
      <c r="H6871" s="1077">
        <f>Risk_Compensation!$N103</f>
        <v>0</v>
      </c>
    </row>
    <row r="6872" spans="1:8" x14ac:dyDescent="0.2">
      <c r="A6872" s="1027"/>
      <c r="B6872" s="1083">
        <f>Risk_Compensation!A$1</f>
        <v>36</v>
      </c>
      <c r="C6872" s="1390" t="str">
        <f>Risk_Compensation!$B$1</f>
        <v xml:space="preserve">Risikoausgleich </v>
      </c>
      <c r="D6872" s="2206" t="s">
        <v>2573</v>
      </c>
      <c r="E6872" s="1390" t="str">
        <f>Risk_Compensation!$D104</f>
        <v>KRK</v>
      </c>
      <c r="F6872" s="1390" t="str">
        <f>Risk_Compensation!$N$86</f>
        <v>FR</v>
      </c>
      <c r="G6872" s="1390"/>
      <c r="H6872" s="1077">
        <f>Risk_Compensation!$N104</f>
        <v>0</v>
      </c>
    </row>
    <row r="6873" spans="1:8" x14ac:dyDescent="0.2">
      <c r="A6873" s="1027"/>
      <c r="B6873" s="1083">
        <f>Risk_Compensation!A$1</f>
        <v>36</v>
      </c>
      <c r="C6873" s="1390" t="str">
        <f>Risk_Compensation!$B$1</f>
        <v xml:space="preserve">Risikoausgleich </v>
      </c>
      <c r="D6873" s="2206" t="s">
        <v>2573</v>
      </c>
      <c r="E6873" s="1390" t="str">
        <f>Risk_Compensation!$D105</f>
        <v>MCR</v>
      </c>
      <c r="F6873" s="1390" t="str">
        <f>Risk_Compensation!$N$86</f>
        <v>FR</v>
      </c>
      <c r="G6873" s="1390"/>
      <c r="H6873" s="1077">
        <f>Risk_Compensation!$N105</f>
        <v>0</v>
      </c>
    </row>
    <row r="6874" spans="1:8" x14ac:dyDescent="0.2">
      <c r="A6874" s="1027"/>
      <c r="B6874" s="1083">
        <f>Risk_Compensation!A$1</f>
        <v>36</v>
      </c>
      <c r="C6874" s="1390" t="str">
        <f>Risk_Compensation!$B$1</f>
        <v xml:space="preserve">Risikoausgleich </v>
      </c>
      <c r="D6874" s="2206" t="s">
        <v>2573</v>
      </c>
      <c r="E6874" s="1390" t="str">
        <f>Risk_Compensation!$D106</f>
        <v>MSK</v>
      </c>
      <c r="F6874" s="1390" t="str">
        <f>Risk_Compensation!$N$86</f>
        <v>FR</v>
      </c>
      <c r="G6874" s="1390"/>
      <c r="H6874" s="1077">
        <f>Risk_Compensation!$N106</f>
        <v>0</v>
      </c>
    </row>
    <row r="6875" spans="1:8" x14ac:dyDescent="0.2">
      <c r="A6875" s="1027"/>
      <c r="B6875" s="1083">
        <f>Risk_Compensation!A$1</f>
        <v>36</v>
      </c>
      <c r="C6875" s="1390" t="str">
        <f>Risk_Compensation!$B$1</f>
        <v xml:space="preserve">Risikoausgleich </v>
      </c>
      <c r="D6875" s="2206" t="s">
        <v>2573</v>
      </c>
      <c r="E6875" s="1390" t="str">
        <f>Risk_Compensation!$D107</f>
        <v>NIE</v>
      </c>
      <c r="F6875" s="1390" t="str">
        <f>Risk_Compensation!$N$86</f>
        <v>FR</v>
      </c>
      <c r="G6875" s="1390"/>
      <c r="H6875" s="1077">
        <f>Risk_Compensation!$N107</f>
        <v>0</v>
      </c>
    </row>
    <row r="6876" spans="1:8" x14ac:dyDescent="0.2">
      <c r="A6876" s="1027"/>
      <c r="B6876" s="1083">
        <f>Risk_Compensation!A$1</f>
        <v>36</v>
      </c>
      <c r="C6876" s="1390" t="str">
        <f>Risk_Compensation!$B$1</f>
        <v xml:space="preserve">Risikoausgleich </v>
      </c>
      <c r="D6876" s="2206" t="s">
        <v>2573</v>
      </c>
      <c r="E6876" s="1390" t="str">
        <f>Risk_Compensation!$D108</f>
        <v>PAH</v>
      </c>
      <c r="F6876" s="1390" t="str">
        <f>Risk_Compensation!$N$86</f>
        <v>FR</v>
      </c>
      <c r="G6876" s="1390"/>
      <c r="H6876" s="1077">
        <f>Risk_Compensation!$N108</f>
        <v>0</v>
      </c>
    </row>
    <row r="6877" spans="1:8" x14ac:dyDescent="0.2">
      <c r="A6877" s="1027"/>
      <c r="B6877" s="1083">
        <f>Risk_Compensation!A$1</f>
        <v>36</v>
      </c>
      <c r="C6877" s="1390" t="str">
        <f>Risk_Compensation!$B$1</f>
        <v xml:space="preserve">Risikoausgleich </v>
      </c>
      <c r="D6877" s="2206" t="s">
        <v>2573</v>
      </c>
      <c r="E6877" s="1390" t="str">
        <f>Risk_Compensation!$D109</f>
        <v>PAR</v>
      </c>
      <c r="F6877" s="1390" t="str">
        <f>Risk_Compensation!$N$86</f>
        <v>FR</v>
      </c>
      <c r="G6877" s="1390"/>
      <c r="H6877" s="1077">
        <f>Risk_Compensation!$N109</f>
        <v>0</v>
      </c>
    </row>
    <row r="6878" spans="1:8" x14ac:dyDescent="0.2">
      <c r="A6878" s="1027"/>
      <c r="B6878" s="1083">
        <f>Risk_Compensation!A$1</f>
        <v>36</v>
      </c>
      <c r="C6878" s="1390" t="str">
        <f>Risk_Compensation!$B$1</f>
        <v xml:space="preserve">Risikoausgleich </v>
      </c>
      <c r="D6878" s="2206" t="s">
        <v>2573</v>
      </c>
      <c r="E6878" s="1390" t="str">
        <f>Risk_Compensation!$D110</f>
        <v>PSO</v>
      </c>
      <c r="F6878" s="1390" t="str">
        <f>Risk_Compensation!$N$86</f>
        <v>FR</v>
      </c>
      <c r="G6878" s="1390"/>
      <c r="H6878" s="1077">
        <f>Risk_Compensation!$N110</f>
        <v>0</v>
      </c>
    </row>
    <row r="6879" spans="1:8" x14ac:dyDescent="0.2">
      <c r="A6879" s="1027"/>
      <c r="B6879" s="1083">
        <f>Risk_Compensation!A$1</f>
        <v>36</v>
      </c>
      <c r="C6879" s="1390" t="str">
        <f>Risk_Compensation!$B$1</f>
        <v xml:space="preserve">Risikoausgleich </v>
      </c>
      <c r="D6879" s="2206" t="s">
        <v>2573</v>
      </c>
      <c r="E6879" s="1390" t="str">
        <f>Risk_Compensation!$D111</f>
        <v>PSY</v>
      </c>
      <c r="F6879" s="1390" t="str">
        <f>Risk_Compensation!$N$86</f>
        <v>FR</v>
      </c>
      <c r="G6879" s="1390"/>
      <c r="H6879" s="1077">
        <f>Risk_Compensation!$N111</f>
        <v>0</v>
      </c>
    </row>
    <row r="6880" spans="1:8" x14ac:dyDescent="0.2">
      <c r="A6880" s="1027"/>
      <c r="B6880" s="1083">
        <f>Risk_Compensation!A$1</f>
        <v>36</v>
      </c>
      <c r="C6880" s="1390" t="str">
        <f>Risk_Compensation!$B$1</f>
        <v xml:space="preserve">Risikoausgleich </v>
      </c>
      <c r="D6880" s="2206" t="s">
        <v>2573</v>
      </c>
      <c r="E6880" s="1390" t="str">
        <f>Risk_Compensation!$D112</f>
        <v>RHE</v>
      </c>
      <c r="F6880" s="1390" t="str">
        <f>Risk_Compensation!$N$86</f>
        <v>FR</v>
      </c>
      <c r="G6880" s="1390"/>
      <c r="H6880" s="1077">
        <f>Risk_Compensation!$N112</f>
        <v>0</v>
      </c>
    </row>
    <row r="6881" spans="1:8" x14ac:dyDescent="0.2">
      <c r="A6881" s="1027"/>
      <c r="B6881" s="1083">
        <f>Risk_Compensation!A$1</f>
        <v>36</v>
      </c>
      <c r="C6881" s="1390" t="str">
        <f>Risk_Compensation!$B$1</f>
        <v xml:space="preserve">Risikoausgleich </v>
      </c>
      <c r="D6881" s="2206" t="s">
        <v>2573</v>
      </c>
      <c r="E6881" s="1390" t="str">
        <f>Risk_Compensation!$D113</f>
        <v>SMC</v>
      </c>
      <c r="F6881" s="1390" t="str">
        <f>Risk_Compensation!$N$86</f>
        <v>FR</v>
      </c>
      <c r="G6881" s="1390"/>
      <c r="H6881" s="1077">
        <f>Risk_Compensation!$N113</f>
        <v>0</v>
      </c>
    </row>
    <row r="6882" spans="1:8" x14ac:dyDescent="0.2">
      <c r="A6882" s="1027"/>
      <c r="B6882" s="1083">
        <f>Risk_Compensation!A$1</f>
        <v>36</v>
      </c>
      <c r="C6882" s="1390" t="str">
        <f>Risk_Compensation!$B$1</f>
        <v xml:space="preserve">Risikoausgleich </v>
      </c>
      <c r="D6882" s="2206" t="s">
        <v>2573</v>
      </c>
      <c r="E6882" s="1390" t="str">
        <f>Risk_Compensation!$D114</f>
        <v>SMN</v>
      </c>
      <c r="F6882" s="1390" t="str">
        <f>Risk_Compensation!$N$86</f>
        <v>FR</v>
      </c>
      <c r="G6882" s="1390"/>
      <c r="H6882" s="1077">
        <f>Risk_Compensation!$N114</f>
        <v>0</v>
      </c>
    </row>
    <row r="6883" spans="1:8" x14ac:dyDescent="0.2">
      <c r="A6883" s="1027"/>
      <c r="B6883" s="1083">
        <f>Risk_Compensation!A$1</f>
        <v>36</v>
      </c>
      <c r="C6883" s="1390" t="str">
        <f>Risk_Compensation!$B$1</f>
        <v xml:space="preserve">Risikoausgleich </v>
      </c>
      <c r="D6883" s="2206" t="s">
        <v>2573</v>
      </c>
      <c r="E6883" s="1390" t="str">
        <f>Risk_Compensation!$D115</f>
        <v>THY</v>
      </c>
      <c r="F6883" s="1390" t="str">
        <f>Risk_Compensation!$N$86</f>
        <v>FR</v>
      </c>
      <c r="G6883" s="1390"/>
      <c r="H6883" s="1077">
        <f>Risk_Compensation!$N115</f>
        <v>0</v>
      </c>
    </row>
    <row r="6884" spans="1:8" x14ac:dyDescent="0.2">
      <c r="A6884" s="1027"/>
      <c r="B6884" s="1083">
        <f>Risk_Compensation!A$1</f>
        <v>36</v>
      </c>
      <c r="C6884" s="1390" t="str">
        <f>Risk_Compensation!$B$1</f>
        <v xml:space="preserve">Risikoausgleich </v>
      </c>
      <c r="D6884" s="2206" t="s">
        <v>2573</v>
      </c>
      <c r="E6884" s="1390" t="str">
        <f>Risk_Compensation!$D116</f>
        <v>TRA</v>
      </c>
      <c r="F6884" s="1390" t="str">
        <f>Risk_Compensation!$N$86</f>
        <v>FR</v>
      </c>
      <c r="G6884" s="1390"/>
      <c r="H6884" s="1077">
        <f>Risk_Compensation!$N116</f>
        <v>0</v>
      </c>
    </row>
    <row r="6885" spans="1:8" x14ac:dyDescent="0.2">
      <c r="A6885" s="1027"/>
      <c r="B6885" s="1083">
        <f>Risk_Compensation!A$1</f>
        <v>36</v>
      </c>
      <c r="C6885" s="1390" t="str">
        <f>Risk_Compensation!$B$1</f>
        <v xml:space="preserve">Risikoausgleich </v>
      </c>
      <c r="D6885" s="2206" t="s">
        <v>2573</v>
      </c>
      <c r="E6885" s="1390" t="str">
        <f>Risk_Compensation!$D117</f>
        <v>WAS</v>
      </c>
      <c r="F6885" s="1390" t="str">
        <f>Risk_Compensation!$N$86</f>
        <v>FR</v>
      </c>
      <c r="G6885" s="1390"/>
      <c r="H6885" s="1077">
        <f>Risk_Compensation!$N117</f>
        <v>0</v>
      </c>
    </row>
    <row r="6886" spans="1:8" x14ac:dyDescent="0.2">
      <c r="A6886" s="1027"/>
      <c r="B6886" s="1083">
        <f>Risk_Compensation!A$1</f>
        <v>36</v>
      </c>
      <c r="C6886" s="1390" t="str">
        <f>Risk_Compensation!$B$1</f>
        <v xml:space="preserve">Risikoausgleich </v>
      </c>
      <c r="D6886" s="2206" t="s">
        <v>2573</v>
      </c>
      <c r="E6886" s="1390" t="str">
        <f>Risk_Compensation!$D118</f>
        <v>ZFP</v>
      </c>
      <c r="F6886" s="1390" t="str">
        <f>Risk_Compensation!$N$86</f>
        <v>FR</v>
      </c>
      <c r="G6886" s="1390"/>
      <c r="H6886" s="1077">
        <f>Risk_Compensation!$N118</f>
        <v>0</v>
      </c>
    </row>
    <row r="6887" spans="1:8" x14ac:dyDescent="0.2">
      <c r="A6887" s="1027"/>
      <c r="B6887" s="1083">
        <f>Risk_Compensation!A$1</f>
        <v>36</v>
      </c>
      <c r="C6887" s="1390" t="str">
        <f>Risk_Compensation!$B$1</f>
        <v xml:space="preserve">Risikoausgleich </v>
      </c>
      <c r="D6887" s="2206" t="s">
        <v>2573</v>
      </c>
      <c r="E6887" s="1390" t="str">
        <f>Risk_Compensation!$D119</f>
        <v>ZNS</v>
      </c>
      <c r="F6887" s="1390" t="str">
        <f>Risk_Compensation!$N$86</f>
        <v>FR</v>
      </c>
      <c r="G6887" s="1390"/>
      <c r="H6887" s="1077">
        <f>Risk_Compensation!$N119</f>
        <v>0</v>
      </c>
    </row>
    <row r="6888" spans="1:8" x14ac:dyDescent="0.2">
      <c r="A6888" s="1027"/>
      <c r="B6888" s="1083">
        <f>Risk_Compensation!A$1</f>
        <v>36</v>
      </c>
      <c r="C6888" s="1390" t="str">
        <f>Risk_Compensation!$B$1</f>
        <v xml:space="preserve">Risikoausgleich </v>
      </c>
      <c r="D6888" s="2206" t="s">
        <v>2573</v>
      </c>
      <c r="E6888" s="1390" t="str">
        <f>Risk_Compensation!$D120</f>
        <v>DM2 + hyp</v>
      </c>
      <c r="F6888" s="1390" t="str">
        <f>Risk_Compensation!$N$86</f>
        <v>FR</v>
      </c>
      <c r="G6888" s="1390"/>
      <c r="H6888" s="1077">
        <f>Risk_Compensation!$N120</f>
        <v>0</v>
      </c>
    </row>
    <row r="6889" spans="1:8" x14ac:dyDescent="0.2">
      <c r="A6889" s="1027"/>
      <c r="B6889" s="2174"/>
      <c r="C6889" s="1390"/>
      <c r="D6889" s="2175"/>
      <c r="E6889" s="2176"/>
      <c r="F6889" s="1390"/>
      <c r="G6889" s="1390"/>
      <c r="H6889" s="1078"/>
    </row>
    <row r="6890" spans="1:8" x14ac:dyDescent="0.2">
      <c r="A6890" s="1027"/>
      <c r="B6890" s="1083">
        <f>Risk_Compensation!A$1</f>
        <v>36</v>
      </c>
      <c r="C6890" s="1390" t="str">
        <f>Risk_Compensation!$B$1</f>
        <v xml:space="preserve">Risikoausgleich </v>
      </c>
      <c r="D6890" s="2206" t="s">
        <v>2573</v>
      </c>
      <c r="E6890" s="1390" t="str">
        <f>Risk_Compensation!$D87</f>
        <v>ABH</v>
      </c>
      <c r="F6890" s="1390" t="str">
        <f>Risk_Compensation!$O$86</f>
        <v>GE</v>
      </c>
      <c r="G6890" s="1390"/>
      <c r="H6890" s="1077">
        <f>Risk_Compensation!$O87</f>
        <v>0</v>
      </c>
    </row>
    <row r="6891" spans="1:8" x14ac:dyDescent="0.2">
      <c r="A6891" s="1027"/>
      <c r="B6891" s="1083">
        <f>Risk_Compensation!A$1</f>
        <v>36</v>
      </c>
      <c r="C6891" s="1390" t="str">
        <f>Risk_Compensation!$B$1</f>
        <v xml:space="preserve">Risikoausgleich </v>
      </c>
      <c r="D6891" s="2206" t="s">
        <v>2573</v>
      </c>
      <c r="E6891" s="1390" t="str">
        <f>Risk_Compensation!$D88</f>
        <v>ADH</v>
      </c>
      <c r="F6891" s="1390" t="str">
        <f>Risk_Compensation!$O$86</f>
        <v>GE</v>
      </c>
      <c r="G6891" s="1390"/>
      <c r="H6891" s="1077">
        <f>Risk_Compensation!$O88</f>
        <v>0</v>
      </c>
    </row>
    <row r="6892" spans="1:8" x14ac:dyDescent="0.2">
      <c r="A6892" s="1027"/>
      <c r="B6892" s="1083">
        <f>Risk_Compensation!A$1</f>
        <v>36</v>
      </c>
      <c r="C6892" s="1390" t="str">
        <f>Risk_Compensation!$B$1</f>
        <v xml:space="preserve">Risikoausgleich </v>
      </c>
      <c r="D6892" s="2206" t="s">
        <v>2573</v>
      </c>
      <c r="E6892" s="1390" t="str">
        <f>Risk_Compensation!$D89</f>
        <v>AIK</v>
      </c>
      <c r="F6892" s="1390" t="str">
        <f>Risk_Compensation!$O$86</f>
        <v>GE</v>
      </c>
      <c r="G6892" s="1390"/>
      <c r="H6892" s="1077">
        <f>Risk_Compensation!$O89</f>
        <v>0</v>
      </c>
    </row>
    <row r="6893" spans="1:8" x14ac:dyDescent="0.2">
      <c r="A6893" s="1027"/>
      <c r="B6893" s="1083">
        <f>Risk_Compensation!A$1</f>
        <v>36</v>
      </c>
      <c r="C6893" s="1390" t="str">
        <f>Risk_Compensation!$B$1</f>
        <v xml:space="preserve">Risikoausgleich </v>
      </c>
      <c r="D6893" s="2206" t="s">
        <v>2573</v>
      </c>
      <c r="E6893" s="1390" t="str">
        <f>Risk_Compensation!$D90</f>
        <v>ALZ</v>
      </c>
      <c r="F6893" s="1390" t="str">
        <f>Risk_Compensation!$O$86</f>
        <v>GE</v>
      </c>
      <c r="G6893" s="1390"/>
      <c r="H6893" s="1077">
        <f>Risk_Compensation!$O90</f>
        <v>0</v>
      </c>
    </row>
    <row r="6894" spans="1:8" x14ac:dyDescent="0.2">
      <c r="A6894" s="1027"/>
      <c r="B6894" s="1083">
        <f>Risk_Compensation!A$1</f>
        <v>36</v>
      </c>
      <c r="C6894" s="1390" t="str">
        <f>Risk_Compensation!$B$1</f>
        <v xml:space="preserve">Risikoausgleich </v>
      </c>
      <c r="D6894" s="2206" t="s">
        <v>2573</v>
      </c>
      <c r="E6894" s="1390" t="str">
        <f>Risk_Compensation!$D91</f>
        <v>AST</v>
      </c>
      <c r="F6894" s="1390" t="str">
        <f>Risk_Compensation!$O$86</f>
        <v>GE</v>
      </c>
      <c r="G6894" s="1390"/>
      <c r="H6894" s="1077">
        <f>Risk_Compensation!$O91</f>
        <v>0</v>
      </c>
    </row>
    <row r="6895" spans="1:8" x14ac:dyDescent="0.2">
      <c r="A6895" s="1027"/>
      <c r="B6895" s="1083">
        <f>Risk_Compensation!A$1</f>
        <v>36</v>
      </c>
      <c r="C6895" s="1390" t="str">
        <f>Risk_Compensation!$B$1</f>
        <v xml:space="preserve">Risikoausgleich </v>
      </c>
      <c r="D6895" s="2206" t="s">
        <v>2573</v>
      </c>
      <c r="E6895" s="1390" t="str">
        <f>Risk_Compensation!$D92</f>
        <v>BSR</v>
      </c>
      <c r="F6895" s="1390" t="str">
        <f>Risk_Compensation!$O$86</f>
        <v>GE</v>
      </c>
      <c r="G6895" s="1390"/>
      <c r="H6895" s="1077">
        <f>Risk_Compensation!$O92</f>
        <v>0</v>
      </c>
    </row>
    <row r="6896" spans="1:8" x14ac:dyDescent="0.2">
      <c r="A6896" s="1027"/>
      <c r="B6896" s="1083">
        <f>Risk_Compensation!A$1</f>
        <v>36</v>
      </c>
      <c r="C6896" s="1390" t="str">
        <f>Risk_Compensation!$B$1</f>
        <v xml:space="preserve">Risikoausgleich </v>
      </c>
      <c r="D6896" s="2206" t="s">
        <v>2573</v>
      </c>
      <c r="E6896" s="1390" t="str">
        <f>Risk_Compensation!$D93</f>
        <v>CAR</v>
      </c>
      <c r="F6896" s="1390" t="str">
        <f>Risk_Compensation!$O$86</f>
        <v>GE</v>
      </c>
      <c r="G6896" s="1390"/>
      <c r="H6896" s="1077">
        <f>Risk_Compensation!$O93</f>
        <v>0</v>
      </c>
    </row>
    <row r="6897" spans="1:8" x14ac:dyDescent="0.2">
      <c r="A6897" s="1027"/>
      <c r="B6897" s="1083">
        <f>Risk_Compensation!A$1</f>
        <v>36</v>
      </c>
      <c r="C6897" s="1390" t="str">
        <f>Risk_Compensation!$B$1</f>
        <v xml:space="preserve">Risikoausgleich </v>
      </c>
      <c r="D6897" s="2206" t="s">
        <v>2573</v>
      </c>
      <c r="E6897" s="1390" t="str">
        <f>Risk_Compensation!$D94</f>
        <v>COP</v>
      </c>
      <c r="F6897" s="1390" t="str">
        <f>Risk_Compensation!$O$86</f>
        <v>GE</v>
      </c>
      <c r="G6897" s="1390"/>
      <c r="H6897" s="1077">
        <f>Risk_Compensation!$O94</f>
        <v>0</v>
      </c>
    </row>
    <row r="6898" spans="1:8" x14ac:dyDescent="0.2">
      <c r="A6898" s="1027"/>
      <c r="B6898" s="1083">
        <f>Risk_Compensation!A$1</f>
        <v>36</v>
      </c>
      <c r="C6898" s="1390" t="str">
        <f>Risk_Compensation!$B$1</f>
        <v xml:space="preserve">Risikoausgleich </v>
      </c>
      <c r="D6898" s="2206" t="s">
        <v>2573</v>
      </c>
      <c r="E6898" s="1390" t="str">
        <f>Risk_Compensation!$D95</f>
        <v>DEP</v>
      </c>
      <c r="F6898" s="1390" t="str">
        <f>Risk_Compensation!$O$86</f>
        <v>GE</v>
      </c>
      <c r="G6898" s="1390"/>
      <c r="H6898" s="1077">
        <f>Risk_Compensation!$O95</f>
        <v>0</v>
      </c>
    </row>
    <row r="6899" spans="1:8" x14ac:dyDescent="0.2">
      <c r="A6899" s="1027"/>
      <c r="B6899" s="1083">
        <f>Risk_Compensation!A$1</f>
        <v>36</v>
      </c>
      <c r="C6899" s="1390" t="str">
        <f>Risk_Compensation!$B$1</f>
        <v xml:space="preserve">Risikoausgleich </v>
      </c>
      <c r="D6899" s="2206" t="s">
        <v>2573</v>
      </c>
      <c r="E6899" s="1390" t="str">
        <f>Risk_Compensation!$D96</f>
        <v>DM1</v>
      </c>
      <c r="F6899" s="1390" t="str">
        <f>Risk_Compensation!$O$86</f>
        <v>GE</v>
      </c>
      <c r="G6899" s="1390"/>
      <c r="H6899" s="1077">
        <f>Risk_Compensation!$O96</f>
        <v>0</v>
      </c>
    </row>
    <row r="6900" spans="1:8" x14ac:dyDescent="0.2">
      <c r="A6900" s="1027"/>
      <c r="B6900" s="1083">
        <f>Risk_Compensation!A$1</f>
        <v>36</v>
      </c>
      <c r="C6900" s="1390" t="str">
        <f>Risk_Compensation!$B$1</f>
        <v xml:space="preserve">Risikoausgleich </v>
      </c>
      <c r="D6900" s="2206" t="s">
        <v>2573</v>
      </c>
      <c r="E6900" s="1390" t="str">
        <f>Risk_Compensation!$D97</f>
        <v>DM2</v>
      </c>
      <c r="F6900" s="1390" t="str">
        <f>Risk_Compensation!$O$86</f>
        <v>GE</v>
      </c>
      <c r="G6900" s="1390"/>
      <c r="H6900" s="1077">
        <f>Risk_Compensation!$O97</f>
        <v>0</v>
      </c>
    </row>
    <row r="6901" spans="1:8" x14ac:dyDescent="0.2">
      <c r="A6901" s="1027"/>
      <c r="B6901" s="1083">
        <f>Risk_Compensation!A$1</f>
        <v>36</v>
      </c>
      <c r="C6901" s="1390" t="str">
        <f>Risk_Compensation!$B$1</f>
        <v xml:space="preserve">Risikoausgleich </v>
      </c>
      <c r="D6901" s="2206" t="s">
        <v>2573</v>
      </c>
      <c r="E6901" s="1390" t="str">
        <f>Risk_Compensation!$D98</f>
        <v>EPI</v>
      </c>
      <c r="F6901" s="1390" t="str">
        <f>Risk_Compensation!$O$86</f>
        <v>GE</v>
      </c>
      <c r="G6901" s="1390"/>
      <c r="H6901" s="1077">
        <f>Risk_Compensation!$O98</f>
        <v>0</v>
      </c>
    </row>
    <row r="6902" spans="1:8" x14ac:dyDescent="0.2">
      <c r="A6902" s="1027"/>
      <c r="B6902" s="1083">
        <f>Risk_Compensation!A$1</f>
        <v>36</v>
      </c>
      <c r="C6902" s="1390" t="str">
        <f>Risk_Compensation!$B$1</f>
        <v xml:space="preserve">Risikoausgleich </v>
      </c>
      <c r="D6902" s="2206" t="s">
        <v>2573</v>
      </c>
      <c r="E6902" s="1390" t="str">
        <f>Risk_Compensation!$D99</f>
        <v>GLA</v>
      </c>
      <c r="F6902" s="1390" t="str">
        <f>Risk_Compensation!$O$86</f>
        <v>GE</v>
      </c>
      <c r="G6902" s="1390"/>
      <c r="H6902" s="1077">
        <f>Risk_Compensation!$O99</f>
        <v>0</v>
      </c>
    </row>
    <row r="6903" spans="1:8" x14ac:dyDescent="0.2">
      <c r="A6903" s="1027"/>
      <c r="B6903" s="1083">
        <f>Risk_Compensation!A$1</f>
        <v>36</v>
      </c>
      <c r="C6903" s="1390" t="str">
        <f>Risk_Compensation!$B$1</f>
        <v xml:space="preserve">Risikoausgleich </v>
      </c>
      <c r="D6903" s="2206" t="s">
        <v>2573</v>
      </c>
      <c r="E6903" s="1390" t="str">
        <f>Risk_Compensation!$D100</f>
        <v>HCH</v>
      </c>
      <c r="F6903" s="1390" t="str">
        <f>Risk_Compensation!$O$86</f>
        <v>GE</v>
      </c>
      <c r="G6903" s="1390"/>
      <c r="H6903" s="1077">
        <f>Risk_Compensation!$O100</f>
        <v>0</v>
      </c>
    </row>
    <row r="6904" spans="1:8" x14ac:dyDescent="0.2">
      <c r="A6904" s="1027"/>
      <c r="B6904" s="1083">
        <f>Risk_Compensation!A$1</f>
        <v>36</v>
      </c>
      <c r="C6904" s="1390" t="str">
        <f>Risk_Compensation!$B$1</f>
        <v xml:space="preserve">Risikoausgleich </v>
      </c>
      <c r="D6904" s="2206" t="s">
        <v>2573</v>
      </c>
      <c r="E6904" s="1390" t="str">
        <f>Risk_Compensation!$D101</f>
        <v>HIV</v>
      </c>
      <c r="F6904" s="1390" t="str">
        <f>Risk_Compensation!$O$86</f>
        <v>GE</v>
      </c>
      <c r="G6904" s="1390"/>
      <c r="H6904" s="1077">
        <f>Risk_Compensation!$O101</f>
        <v>0</v>
      </c>
    </row>
    <row r="6905" spans="1:8" x14ac:dyDescent="0.2">
      <c r="A6905" s="1027"/>
      <c r="B6905" s="1083">
        <f>Risk_Compensation!A$1</f>
        <v>36</v>
      </c>
      <c r="C6905" s="1390" t="str">
        <f>Risk_Compensation!$B$1</f>
        <v xml:space="preserve">Risikoausgleich </v>
      </c>
      <c r="D6905" s="2206" t="s">
        <v>2573</v>
      </c>
      <c r="E6905" s="1390" t="str">
        <f>Risk_Compensation!$D102</f>
        <v>KHO</v>
      </c>
      <c r="F6905" s="1390" t="str">
        <f>Risk_Compensation!$O$86</f>
        <v>GE</v>
      </c>
      <c r="G6905" s="1390"/>
      <c r="H6905" s="1077">
        <f>Risk_Compensation!$O102</f>
        <v>0</v>
      </c>
    </row>
    <row r="6906" spans="1:8" x14ac:dyDescent="0.2">
      <c r="A6906" s="1027"/>
      <c r="B6906" s="1083">
        <f>Risk_Compensation!A$1</f>
        <v>36</v>
      </c>
      <c r="C6906" s="1390" t="str">
        <f>Risk_Compensation!$B$1</f>
        <v xml:space="preserve">Risikoausgleich </v>
      </c>
      <c r="D6906" s="2206" t="s">
        <v>2573</v>
      </c>
      <c r="E6906" s="1390" t="str">
        <f>Risk_Compensation!$D103</f>
        <v>KRE</v>
      </c>
      <c r="F6906" s="1390" t="str">
        <f>Risk_Compensation!$O$86</f>
        <v>GE</v>
      </c>
      <c r="G6906" s="1390"/>
      <c r="H6906" s="1077">
        <f>Risk_Compensation!$O103</f>
        <v>0</v>
      </c>
    </row>
    <row r="6907" spans="1:8" x14ac:dyDescent="0.2">
      <c r="A6907" s="1027"/>
      <c r="B6907" s="1083">
        <f>Risk_Compensation!A$1</f>
        <v>36</v>
      </c>
      <c r="C6907" s="1390" t="str">
        <f>Risk_Compensation!$B$1</f>
        <v xml:space="preserve">Risikoausgleich </v>
      </c>
      <c r="D6907" s="2206" t="s">
        <v>2573</v>
      </c>
      <c r="E6907" s="1390" t="str">
        <f>Risk_Compensation!$D104</f>
        <v>KRK</v>
      </c>
      <c r="F6907" s="1390" t="str">
        <f>Risk_Compensation!$O$86</f>
        <v>GE</v>
      </c>
      <c r="G6907" s="1390"/>
      <c r="H6907" s="1077">
        <f>Risk_Compensation!$O104</f>
        <v>0</v>
      </c>
    </row>
    <row r="6908" spans="1:8" x14ac:dyDescent="0.2">
      <c r="A6908" s="1027"/>
      <c r="B6908" s="1083">
        <f>Risk_Compensation!A$1</f>
        <v>36</v>
      </c>
      <c r="C6908" s="1390" t="str">
        <f>Risk_Compensation!$B$1</f>
        <v xml:space="preserve">Risikoausgleich </v>
      </c>
      <c r="D6908" s="2206" t="s">
        <v>2573</v>
      </c>
      <c r="E6908" s="1390" t="str">
        <f>Risk_Compensation!$D105</f>
        <v>MCR</v>
      </c>
      <c r="F6908" s="1390" t="str">
        <f>Risk_Compensation!$O$86</f>
        <v>GE</v>
      </c>
      <c r="G6908" s="1390"/>
      <c r="H6908" s="1077">
        <f>Risk_Compensation!$O105</f>
        <v>0</v>
      </c>
    </row>
    <row r="6909" spans="1:8" x14ac:dyDescent="0.2">
      <c r="A6909" s="1027"/>
      <c r="B6909" s="1083">
        <f>Risk_Compensation!A$1</f>
        <v>36</v>
      </c>
      <c r="C6909" s="1390" t="str">
        <f>Risk_Compensation!$B$1</f>
        <v xml:space="preserve">Risikoausgleich </v>
      </c>
      <c r="D6909" s="2206" t="s">
        <v>2573</v>
      </c>
      <c r="E6909" s="1390" t="str">
        <f>Risk_Compensation!$D106</f>
        <v>MSK</v>
      </c>
      <c r="F6909" s="1390" t="str">
        <f>Risk_Compensation!$O$86</f>
        <v>GE</v>
      </c>
      <c r="G6909" s="1390"/>
      <c r="H6909" s="1077">
        <f>Risk_Compensation!$O106</f>
        <v>0</v>
      </c>
    </row>
    <row r="6910" spans="1:8" x14ac:dyDescent="0.2">
      <c r="A6910" s="1027"/>
      <c r="B6910" s="1083">
        <f>Risk_Compensation!A$1</f>
        <v>36</v>
      </c>
      <c r="C6910" s="1390" t="str">
        <f>Risk_Compensation!$B$1</f>
        <v xml:space="preserve">Risikoausgleich </v>
      </c>
      <c r="D6910" s="2206" t="s">
        <v>2573</v>
      </c>
      <c r="E6910" s="1390" t="str">
        <f>Risk_Compensation!$D107</f>
        <v>NIE</v>
      </c>
      <c r="F6910" s="1390" t="str">
        <f>Risk_Compensation!$O$86</f>
        <v>GE</v>
      </c>
      <c r="G6910" s="1390"/>
      <c r="H6910" s="1077">
        <f>Risk_Compensation!$O107</f>
        <v>0</v>
      </c>
    </row>
    <row r="6911" spans="1:8" x14ac:dyDescent="0.2">
      <c r="A6911" s="1027"/>
      <c r="B6911" s="1083">
        <f>Risk_Compensation!A$1</f>
        <v>36</v>
      </c>
      <c r="C6911" s="1390" t="str">
        <f>Risk_Compensation!$B$1</f>
        <v xml:space="preserve">Risikoausgleich </v>
      </c>
      <c r="D6911" s="2206" t="s">
        <v>2573</v>
      </c>
      <c r="E6911" s="1390" t="str">
        <f>Risk_Compensation!$D108</f>
        <v>PAH</v>
      </c>
      <c r="F6911" s="1390" t="str">
        <f>Risk_Compensation!$O$86</f>
        <v>GE</v>
      </c>
      <c r="G6911" s="1390"/>
      <c r="H6911" s="1077">
        <f>Risk_Compensation!$O108</f>
        <v>0</v>
      </c>
    </row>
    <row r="6912" spans="1:8" x14ac:dyDescent="0.2">
      <c r="A6912" s="1027"/>
      <c r="B6912" s="1083">
        <f>Risk_Compensation!A$1</f>
        <v>36</v>
      </c>
      <c r="C6912" s="1390" t="str">
        <f>Risk_Compensation!$B$1</f>
        <v xml:space="preserve">Risikoausgleich </v>
      </c>
      <c r="D6912" s="2206" t="s">
        <v>2573</v>
      </c>
      <c r="E6912" s="1390" t="str">
        <f>Risk_Compensation!$D109</f>
        <v>PAR</v>
      </c>
      <c r="F6912" s="1390" t="str">
        <f>Risk_Compensation!$O$86</f>
        <v>GE</v>
      </c>
      <c r="G6912" s="1390"/>
      <c r="H6912" s="1077">
        <f>Risk_Compensation!$O109</f>
        <v>0</v>
      </c>
    </row>
    <row r="6913" spans="1:8" x14ac:dyDescent="0.2">
      <c r="A6913" s="1027"/>
      <c r="B6913" s="1083">
        <f>Risk_Compensation!A$1</f>
        <v>36</v>
      </c>
      <c r="C6913" s="1390" t="str">
        <f>Risk_Compensation!$B$1</f>
        <v xml:space="preserve">Risikoausgleich </v>
      </c>
      <c r="D6913" s="2206" t="s">
        <v>2573</v>
      </c>
      <c r="E6913" s="1390" t="str">
        <f>Risk_Compensation!$D110</f>
        <v>PSO</v>
      </c>
      <c r="F6913" s="1390" t="str">
        <f>Risk_Compensation!$O$86</f>
        <v>GE</v>
      </c>
      <c r="G6913" s="1390"/>
      <c r="H6913" s="1077">
        <f>Risk_Compensation!$O110</f>
        <v>0</v>
      </c>
    </row>
    <row r="6914" spans="1:8" x14ac:dyDescent="0.2">
      <c r="A6914" s="1027"/>
      <c r="B6914" s="1083">
        <f>Risk_Compensation!A$1</f>
        <v>36</v>
      </c>
      <c r="C6914" s="1390" t="str">
        <f>Risk_Compensation!$B$1</f>
        <v xml:space="preserve">Risikoausgleich </v>
      </c>
      <c r="D6914" s="2206" t="s">
        <v>2573</v>
      </c>
      <c r="E6914" s="1390" t="str">
        <f>Risk_Compensation!$D111</f>
        <v>PSY</v>
      </c>
      <c r="F6914" s="1390" t="str">
        <f>Risk_Compensation!$O$86</f>
        <v>GE</v>
      </c>
      <c r="G6914" s="1390"/>
      <c r="H6914" s="1077">
        <f>Risk_Compensation!$O111</f>
        <v>0</v>
      </c>
    </row>
    <row r="6915" spans="1:8" x14ac:dyDescent="0.2">
      <c r="A6915" s="1027"/>
      <c r="B6915" s="1083">
        <f>Risk_Compensation!A$1</f>
        <v>36</v>
      </c>
      <c r="C6915" s="1390" t="str">
        <f>Risk_Compensation!$B$1</f>
        <v xml:space="preserve">Risikoausgleich </v>
      </c>
      <c r="D6915" s="2206" t="s">
        <v>2573</v>
      </c>
      <c r="E6915" s="1390" t="str">
        <f>Risk_Compensation!$D112</f>
        <v>RHE</v>
      </c>
      <c r="F6915" s="1390" t="str">
        <f>Risk_Compensation!$O$86</f>
        <v>GE</v>
      </c>
      <c r="G6915" s="1390"/>
      <c r="H6915" s="1077">
        <f>Risk_Compensation!$O112</f>
        <v>0</v>
      </c>
    </row>
    <row r="6916" spans="1:8" x14ac:dyDescent="0.2">
      <c r="A6916" s="1027"/>
      <c r="B6916" s="1083">
        <f>Risk_Compensation!A$1</f>
        <v>36</v>
      </c>
      <c r="C6916" s="1390" t="str">
        <f>Risk_Compensation!$B$1</f>
        <v xml:space="preserve">Risikoausgleich </v>
      </c>
      <c r="D6916" s="2206" t="s">
        <v>2573</v>
      </c>
      <c r="E6916" s="1390" t="str">
        <f>Risk_Compensation!$D113</f>
        <v>SMC</v>
      </c>
      <c r="F6916" s="1390" t="str">
        <f>Risk_Compensation!$O$86</f>
        <v>GE</v>
      </c>
      <c r="G6916" s="1390"/>
      <c r="H6916" s="1077">
        <f>Risk_Compensation!$O113</f>
        <v>0</v>
      </c>
    </row>
    <row r="6917" spans="1:8" x14ac:dyDescent="0.2">
      <c r="A6917" s="1027"/>
      <c r="B6917" s="1083">
        <f>Risk_Compensation!A$1</f>
        <v>36</v>
      </c>
      <c r="C6917" s="1390" t="str">
        <f>Risk_Compensation!$B$1</f>
        <v xml:space="preserve">Risikoausgleich </v>
      </c>
      <c r="D6917" s="2206" t="s">
        <v>2573</v>
      </c>
      <c r="E6917" s="1390" t="str">
        <f>Risk_Compensation!$D114</f>
        <v>SMN</v>
      </c>
      <c r="F6917" s="1390" t="str">
        <f>Risk_Compensation!$O$86</f>
        <v>GE</v>
      </c>
      <c r="G6917" s="1390"/>
      <c r="H6917" s="1077">
        <f>Risk_Compensation!$O114</f>
        <v>0</v>
      </c>
    </row>
    <row r="6918" spans="1:8" x14ac:dyDescent="0.2">
      <c r="A6918" s="1027"/>
      <c r="B6918" s="1083">
        <f>Risk_Compensation!A$1</f>
        <v>36</v>
      </c>
      <c r="C6918" s="1390" t="str">
        <f>Risk_Compensation!$B$1</f>
        <v xml:space="preserve">Risikoausgleich </v>
      </c>
      <c r="D6918" s="2206" t="s">
        <v>2573</v>
      </c>
      <c r="E6918" s="1390" t="str">
        <f>Risk_Compensation!$D115</f>
        <v>THY</v>
      </c>
      <c r="F6918" s="1390" t="str">
        <f>Risk_Compensation!$O$86</f>
        <v>GE</v>
      </c>
      <c r="G6918" s="1390"/>
      <c r="H6918" s="1077">
        <f>Risk_Compensation!$O115</f>
        <v>0</v>
      </c>
    </row>
    <row r="6919" spans="1:8" x14ac:dyDescent="0.2">
      <c r="A6919" s="1027"/>
      <c r="B6919" s="1083">
        <f>Risk_Compensation!A$1</f>
        <v>36</v>
      </c>
      <c r="C6919" s="1390" t="str">
        <f>Risk_Compensation!$B$1</f>
        <v xml:space="preserve">Risikoausgleich </v>
      </c>
      <c r="D6919" s="2206" t="s">
        <v>2573</v>
      </c>
      <c r="E6919" s="1390" t="str">
        <f>Risk_Compensation!$D116</f>
        <v>TRA</v>
      </c>
      <c r="F6919" s="1390" t="str">
        <f>Risk_Compensation!$O$86</f>
        <v>GE</v>
      </c>
      <c r="G6919" s="1390"/>
      <c r="H6919" s="1077">
        <f>Risk_Compensation!$O116</f>
        <v>0</v>
      </c>
    </row>
    <row r="6920" spans="1:8" x14ac:dyDescent="0.2">
      <c r="A6920" s="1027"/>
      <c r="B6920" s="1083">
        <f>Risk_Compensation!A$1</f>
        <v>36</v>
      </c>
      <c r="C6920" s="1390" t="str">
        <f>Risk_Compensation!$B$1</f>
        <v xml:space="preserve">Risikoausgleich </v>
      </c>
      <c r="D6920" s="2206" t="s">
        <v>2573</v>
      </c>
      <c r="E6920" s="1390" t="str">
        <f>Risk_Compensation!$D117</f>
        <v>WAS</v>
      </c>
      <c r="F6920" s="1390" t="str">
        <f>Risk_Compensation!$O$86</f>
        <v>GE</v>
      </c>
      <c r="G6920" s="1390"/>
      <c r="H6920" s="1077">
        <f>Risk_Compensation!$O117</f>
        <v>0</v>
      </c>
    </row>
    <row r="6921" spans="1:8" x14ac:dyDescent="0.2">
      <c r="A6921" s="1027"/>
      <c r="B6921" s="1083">
        <f>Risk_Compensation!A$1</f>
        <v>36</v>
      </c>
      <c r="C6921" s="1390" t="str">
        <f>Risk_Compensation!$B$1</f>
        <v xml:space="preserve">Risikoausgleich </v>
      </c>
      <c r="D6921" s="2206" t="s">
        <v>2573</v>
      </c>
      <c r="E6921" s="1390" t="str">
        <f>Risk_Compensation!$D118</f>
        <v>ZFP</v>
      </c>
      <c r="F6921" s="1390" t="str">
        <f>Risk_Compensation!$O$86</f>
        <v>GE</v>
      </c>
      <c r="G6921" s="1390"/>
      <c r="H6921" s="1077">
        <f>Risk_Compensation!$O118</f>
        <v>0</v>
      </c>
    </row>
    <row r="6922" spans="1:8" x14ac:dyDescent="0.2">
      <c r="A6922" s="1027"/>
      <c r="B6922" s="1083">
        <f>Risk_Compensation!A$1</f>
        <v>36</v>
      </c>
      <c r="C6922" s="1390" t="str">
        <f>Risk_Compensation!$B$1</f>
        <v xml:space="preserve">Risikoausgleich </v>
      </c>
      <c r="D6922" s="2206" t="s">
        <v>2573</v>
      </c>
      <c r="E6922" s="1390" t="str">
        <f>Risk_Compensation!$D119</f>
        <v>ZNS</v>
      </c>
      <c r="F6922" s="1390" t="str">
        <f>Risk_Compensation!$O$86</f>
        <v>GE</v>
      </c>
      <c r="G6922" s="1390"/>
      <c r="H6922" s="1077">
        <f>Risk_Compensation!$O119</f>
        <v>0</v>
      </c>
    </row>
    <row r="6923" spans="1:8" x14ac:dyDescent="0.2">
      <c r="A6923" s="1027"/>
      <c r="B6923" s="1083">
        <f>Risk_Compensation!A$1</f>
        <v>36</v>
      </c>
      <c r="C6923" s="1390" t="str">
        <f>Risk_Compensation!$B$1</f>
        <v xml:space="preserve">Risikoausgleich </v>
      </c>
      <c r="D6923" s="2206" t="s">
        <v>2573</v>
      </c>
      <c r="E6923" s="1390" t="str">
        <f>Risk_Compensation!$D120</f>
        <v>DM2 + hyp</v>
      </c>
      <c r="F6923" s="1390" t="str">
        <f>Risk_Compensation!$O$86</f>
        <v>GE</v>
      </c>
      <c r="G6923" s="1390"/>
      <c r="H6923" s="1077">
        <f>Risk_Compensation!$O120</f>
        <v>0</v>
      </c>
    </row>
    <row r="6924" spans="1:8" x14ac:dyDescent="0.2">
      <c r="A6924" s="1027"/>
      <c r="B6924" s="2174"/>
      <c r="C6924" s="1390"/>
      <c r="D6924" s="2175"/>
      <c r="E6924" s="2176"/>
      <c r="F6924" s="1390"/>
      <c r="G6924" s="1390"/>
      <c r="H6924" s="1078"/>
    </row>
    <row r="6925" spans="1:8" x14ac:dyDescent="0.2">
      <c r="A6925" s="1027"/>
      <c r="B6925" s="1083">
        <f>Risk_Compensation!A$1</f>
        <v>36</v>
      </c>
      <c r="C6925" s="1390" t="str">
        <f>Risk_Compensation!$B$1</f>
        <v xml:space="preserve">Risikoausgleich </v>
      </c>
      <c r="D6925" s="2206" t="s">
        <v>2573</v>
      </c>
      <c r="E6925" s="1390" t="str">
        <f>Risk_Compensation!$D87</f>
        <v>ABH</v>
      </c>
      <c r="F6925" s="1390" t="str">
        <f>Risk_Compensation!$P$86</f>
        <v>GL</v>
      </c>
      <c r="G6925" s="1390"/>
      <c r="H6925" s="1077">
        <f>Risk_Compensation!$P87</f>
        <v>0</v>
      </c>
    </row>
    <row r="6926" spans="1:8" x14ac:dyDescent="0.2">
      <c r="A6926" s="1027"/>
      <c r="B6926" s="1083">
        <f>Risk_Compensation!A$1</f>
        <v>36</v>
      </c>
      <c r="C6926" s="1390" t="str">
        <f>Risk_Compensation!$B$1</f>
        <v xml:space="preserve">Risikoausgleich </v>
      </c>
      <c r="D6926" s="2206" t="s">
        <v>2573</v>
      </c>
      <c r="E6926" s="1390" t="str">
        <f>Risk_Compensation!$D88</f>
        <v>ADH</v>
      </c>
      <c r="F6926" s="1390" t="str">
        <f>Risk_Compensation!$P$86</f>
        <v>GL</v>
      </c>
      <c r="G6926" s="1390"/>
      <c r="H6926" s="1077">
        <f>Risk_Compensation!$P88</f>
        <v>0</v>
      </c>
    </row>
    <row r="6927" spans="1:8" x14ac:dyDescent="0.2">
      <c r="A6927" s="1027"/>
      <c r="B6927" s="1083">
        <f>Risk_Compensation!A$1</f>
        <v>36</v>
      </c>
      <c r="C6927" s="1390" t="str">
        <f>Risk_Compensation!$B$1</f>
        <v xml:space="preserve">Risikoausgleich </v>
      </c>
      <c r="D6927" s="2206" t="s">
        <v>2573</v>
      </c>
      <c r="E6927" s="1390" t="str">
        <f>Risk_Compensation!$D89</f>
        <v>AIK</v>
      </c>
      <c r="F6927" s="1390" t="str">
        <f>Risk_Compensation!$P$86</f>
        <v>GL</v>
      </c>
      <c r="G6927" s="1390"/>
      <c r="H6927" s="1077">
        <f>Risk_Compensation!$P89</f>
        <v>0</v>
      </c>
    </row>
    <row r="6928" spans="1:8" x14ac:dyDescent="0.2">
      <c r="A6928" s="1027"/>
      <c r="B6928" s="1083">
        <f>Risk_Compensation!A$1</f>
        <v>36</v>
      </c>
      <c r="C6928" s="1390" t="str">
        <f>Risk_Compensation!$B$1</f>
        <v xml:space="preserve">Risikoausgleich </v>
      </c>
      <c r="D6928" s="2206" t="s">
        <v>2573</v>
      </c>
      <c r="E6928" s="1390" t="str">
        <f>Risk_Compensation!$D90</f>
        <v>ALZ</v>
      </c>
      <c r="F6928" s="1390" t="str">
        <f>Risk_Compensation!$P$86</f>
        <v>GL</v>
      </c>
      <c r="G6928" s="1390"/>
      <c r="H6928" s="1077">
        <f>Risk_Compensation!$P90</f>
        <v>0</v>
      </c>
    </row>
    <row r="6929" spans="1:8" x14ac:dyDescent="0.2">
      <c r="A6929" s="1027"/>
      <c r="B6929" s="1083">
        <f>Risk_Compensation!A$1</f>
        <v>36</v>
      </c>
      <c r="C6929" s="1390" t="str">
        <f>Risk_Compensation!$B$1</f>
        <v xml:space="preserve">Risikoausgleich </v>
      </c>
      <c r="D6929" s="2206" t="s">
        <v>2573</v>
      </c>
      <c r="E6929" s="1390" t="str">
        <f>Risk_Compensation!$D91</f>
        <v>AST</v>
      </c>
      <c r="F6929" s="1390" t="str">
        <f>Risk_Compensation!$P$86</f>
        <v>GL</v>
      </c>
      <c r="G6929" s="1390"/>
      <c r="H6929" s="1077">
        <f>Risk_Compensation!$P91</f>
        <v>0</v>
      </c>
    </row>
    <row r="6930" spans="1:8" x14ac:dyDescent="0.2">
      <c r="A6930" s="1027"/>
      <c r="B6930" s="1083">
        <f>Risk_Compensation!A$1</f>
        <v>36</v>
      </c>
      <c r="C6930" s="1390" t="str">
        <f>Risk_Compensation!$B$1</f>
        <v xml:space="preserve">Risikoausgleich </v>
      </c>
      <c r="D6930" s="2206" t="s">
        <v>2573</v>
      </c>
      <c r="E6930" s="1390" t="str">
        <f>Risk_Compensation!$D92</f>
        <v>BSR</v>
      </c>
      <c r="F6930" s="1390" t="str">
        <f>Risk_Compensation!$P$86</f>
        <v>GL</v>
      </c>
      <c r="G6930" s="1390"/>
      <c r="H6930" s="1077">
        <f>Risk_Compensation!$P92</f>
        <v>0</v>
      </c>
    </row>
    <row r="6931" spans="1:8" x14ac:dyDescent="0.2">
      <c r="A6931" s="1027"/>
      <c r="B6931" s="1083">
        <f>Risk_Compensation!A$1</f>
        <v>36</v>
      </c>
      <c r="C6931" s="1390" t="str">
        <f>Risk_Compensation!$B$1</f>
        <v xml:space="preserve">Risikoausgleich </v>
      </c>
      <c r="D6931" s="2206" t="s">
        <v>2573</v>
      </c>
      <c r="E6931" s="1390" t="str">
        <f>Risk_Compensation!$D93</f>
        <v>CAR</v>
      </c>
      <c r="F6931" s="1390" t="str">
        <f>Risk_Compensation!$P$86</f>
        <v>GL</v>
      </c>
      <c r="G6931" s="1390"/>
      <c r="H6931" s="1077">
        <f>Risk_Compensation!$P93</f>
        <v>0</v>
      </c>
    </row>
    <row r="6932" spans="1:8" x14ac:dyDescent="0.2">
      <c r="A6932" s="1027"/>
      <c r="B6932" s="1083">
        <f>Risk_Compensation!A$1</f>
        <v>36</v>
      </c>
      <c r="C6932" s="1390" t="str">
        <f>Risk_Compensation!$B$1</f>
        <v xml:space="preserve">Risikoausgleich </v>
      </c>
      <c r="D6932" s="2206" t="s">
        <v>2573</v>
      </c>
      <c r="E6932" s="1390" t="str">
        <f>Risk_Compensation!$D94</f>
        <v>COP</v>
      </c>
      <c r="F6932" s="1390" t="str">
        <f>Risk_Compensation!$P$86</f>
        <v>GL</v>
      </c>
      <c r="G6932" s="1390"/>
      <c r="H6932" s="1077">
        <f>Risk_Compensation!$P94</f>
        <v>0</v>
      </c>
    </row>
    <row r="6933" spans="1:8" x14ac:dyDescent="0.2">
      <c r="A6933" s="1027"/>
      <c r="B6933" s="1083">
        <f>Risk_Compensation!A$1</f>
        <v>36</v>
      </c>
      <c r="C6933" s="1390" t="str">
        <f>Risk_Compensation!$B$1</f>
        <v xml:space="preserve">Risikoausgleich </v>
      </c>
      <c r="D6933" s="2206" t="s">
        <v>2573</v>
      </c>
      <c r="E6933" s="1390" t="str">
        <f>Risk_Compensation!$D95</f>
        <v>DEP</v>
      </c>
      <c r="F6933" s="1390" t="str">
        <f>Risk_Compensation!$P$86</f>
        <v>GL</v>
      </c>
      <c r="G6933" s="1390"/>
      <c r="H6933" s="1077">
        <f>Risk_Compensation!$P95</f>
        <v>0</v>
      </c>
    </row>
    <row r="6934" spans="1:8" x14ac:dyDescent="0.2">
      <c r="A6934" s="1027"/>
      <c r="B6934" s="1083">
        <f>Risk_Compensation!A$1</f>
        <v>36</v>
      </c>
      <c r="C6934" s="1390" t="str">
        <f>Risk_Compensation!$B$1</f>
        <v xml:space="preserve">Risikoausgleich </v>
      </c>
      <c r="D6934" s="2206" t="s">
        <v>2573</v>
      </c>
      <c r="E6934" s="1390" t="str">
        <f>Risk_Compensation!$D96</f>
        <v>DM1</v>
      </c>
      <c r="F6934" s="1390" t="str">
        <f>Risk_Compensation!$P$86</f>
        <v>GL</v>
      </c>
      <c r="G6934" s="1390"/>
      <c r="H6934" s="1077">
        <f>Risk_Compensation!$P96</f>
        <v>0</v>
      </c>
    </row>
    <row r="6935" spans="1:8" x14ac:dyDescent="0.2">
      <c r="A6935" s="1027"/>
      <c r="B6935" s="1083">
        <f>Risk_Compensation!A$1</f>
        <v>36</v>
      </c>
      <c r="C6935" s="1390" t="str">
        <f>Risk_Compensation!$B$1</f>
        <v xml:space="preserve">Risikoausgleich </v>
      </c>
      <c r="D6935" s="2206" t="s">
        <v>2573</v>
      </c>
      <c r="E6935" s="1390" t="str">
        <f>Risk_Compensation!$D97</f>
        <v>DM2</v>
      </c>
      <c r="F6935" s="1390" t="str">
        <f>Risk_Compensation!$P$86</f>
        <v>GL</v>
      </c>
      <c r="G6935" s="1390"/>
      <c r="H6935" s="1077">
        <f>Risk_Compensation!$P97</f>
        <v>0</v>
      </c>
    </row>
    <row r="6936" spans="1:8" x14ac:dyDescent="0.2">
      <c r="A6936" s="1027"/>
      <c r="B6936" s="1083">
        <f>Risk_Compensation!A$1</f>
        <v>36</v>
      </c>
      <c r="C6936" s="1390" t="str">
        <f>Risk_Compensation!$B$1</f>
        <v xml:space="preserve">Risikoausgleich </v>
      </c>
      <c r="D6936" s="2206" t="s">
        <v>2573</v>
      </c>
      <c r="E6936" s="1390" t="str">
        <f>Risk_Compensation!$D98</f>
        <v>EPI</v>
      </c>
      <c r="F6936" s="1390" t="str">
        <f>Risk_Compensation!$P$86</f>
        <v>GL</v>
      </c>
      <c r="G6936" s="1390"/>
      <c r="H6936" s="1077">
        <f>Risk_Compensation!$P98</f>
        <v>0</v>
      </c>
    </row>
    <row r="6937" spans="1:8" x14ac:dyDescent="0.2">
      <c r="A6937" s="1027"/>
      <c r="B6937" s="1083">
        <f>Risk_Compensation!A$1</f>
        <v>36</v>
      </c>
      <c r="C6937" s="1390" t="str">
        <f>Risk_Compensation!$B$1</f>
        <v xml:space="preserve">Risikoausgleich </v>
      </c>
      <c r="D6937" s="2206" t="s">
        <v>2573</v>
      </c>
      <c r="E6937" s="1390" t="str">
        <f>Risk_Compensation!$D99</f>
        <v>GLA</v>
      </c>
      <c r="F6937" s="1390" t="str">
        <f>Risk_Compensation!$P$86</f>
        <v>GL</v>
      </c>
      <c r="G6937" s="1390"/>
      <c r="H6937" s="1077">
        <f>Risk_Compensation!$P99</f>
        <v>0</v>
      </c>
    </row>
    <row r="6938" spans="1:8" x14ac:dyDescent="0.2">
      <c r="A6938" s="1027"/>
      <c r="B6938" s="1083">
        <f>Risk_Compensation!A$1</f>
        <v>36</v>
      </c>
      <c r="C6938" s="1390" t="str">
        <f>Risk_Compensation!$B$1</f>
        <v xml:space="preserve">Risikoausgleich </v>
      </c>
      <c r="D6938" s="2206" t="s">
        <v>2573</v>
      </c>
      <c r="E6938" s="1390" t="str">
        <f>Risk_Compensation!$D100</f>
        <v>HCH</v>
      </c>
      <c r="F6938" s="1390" t="str">
        <f>Risk_Compensation!$P$86</f>
        <v>GL</v>
      </c>
      <c r="G6938" s="1390"/>
      <c r="H6938" s="1077">
        <f>Risk_Compensation!$P100</f>
        <v>0</v>
      </c>
    </row>
    <row r="6939" spans="1:8" x14ac:dyDescent="0.2">
      <c r="A6939" s="1027"/>
      <c r="B6939" s="1083">
        <f>Risk_Compensation!A$1</f>
        <v>36</v>
      </c>
      <c r="C6939" s="1390" t="str">
        <f>Risk_Compensation!$B$1</f>
        <v xml:space="preserve">Risikoausgleich </v>
      </c>
      <c r="D6939" s="2206" t="s">
        <v>2573</v>
      </c>
      <c r="E6939" s="1390" t="str">
        <f>Risk_Compensation!$D101</f>
        <v>HIV</v>
      </c>
      <c r="F6939" s="1390" t="str">
        <f>Risk_Compensation!$P$86</f>
        <v>GL</v>
      </c>
      <c r="G6939" s="1390"/>
      <c r="H6939" s="1077">
        <f>Risk_Compensation!$P101</f>
        <v>0</v>
      </c>
    </row>
    <row r="6940" spans="1:8" x14ac:dyDescent="0.2">
      <c r="A6940" s="1027"/>
      <c r="B6940" s="1083">
        <f>Risk_Compensation!A$1</f>
        <v>36</v>
      </c>
      <c r="C6940" s="1390" t="str">
        <f>Risk_Compensation!$B$1</f>
        <v xml:space="preserve">Risikoausgleich </v>
      </c>
      <c r="D6940" s="2206" t="s">
        <v>2573</v>
      </c>
      <c r="E6940" s="1390" t="str">
        <f>Risk_Compensation!$D102</f>
        <v>KHO</v>
      </c>
      <c r="F6940" s="1390" t="str">
        <f>Risk_Compensation!$P$86</f>
        <v>GL</v>
      </c>
      <c r="G6940" s="1390"/>
      <c r="H6940" s="1077">
        <f>Risk_Compensation!$P102</f>
        <v>0</v>
      </c>
    </row>
    <row r="6941" spans="1:8" x14ac:dyDescent="0.2">
      <c r="A6941" s="1027"/>
      <c r="B6941" s="1083">
        <f>Risk_Compensation!A$1</f>
        <v>36</v>
      </c>
      <c r="C6941" s="1390" t="str">
        <f>Risk_Compensation!$B$1</f>
        <v xml:space="preserve">Risikoausgleich </v>
      </c>
      <c r="D6941" s="2206" t="s">
        <v>2573</v>
      </c>
      <c r="E6941" s="1390" t="str">
        <f>Risk_Compensation!$D103</f>
        <v>KRE</v>
      </c>
      <c r="F6941" s="1390" t="str">
        <f>Risk_Compensation!$P$86</f>
        <v>GL</v>
      </c>
      <c r="G6941" s="1390"/>
      <c r="H6941" s="1077">
        <f>Risk_Compensation!$P103</f>
        <v>0</v>
      </c>
    </row>
    <row r="6942" spans="1:8" x14ac:dyDescent="0.2">
      <c r="A6942" s="1027"/>
      <c r="B6942" s="1083">
        <f>Risk_Compensation!A$1</f>
        <v>36</v>
      </c>
      <c r="C6942" s="1390" t="str">
        <f>Risk_Compensation!$B$1</f>
        <v xml:space="preserve">Risikoausgleich </v>
      </c>
      <c r="D6942" s="2206" t="s">
        <v>2573</v>
      </c>
      <c r="E6942" s="1390" t="str">
        <f>Risk_Compensation!$D104</f>
        <v>KRK</v>
      </c>
      <c r="F6942" s="1390" t="str">
        <f>Risk_Compensation!$P$86</f>
        <v>GL</v>
      </c>
      <c r="G6942" s="1390"/>
      <c r="H6942" s="1077">
        <f>Risk_Compensation!$P104</f>
        <v>0</v>
      </c>
    </row>
    <row r="6943" spans="1:8" x14ac:dyDescent="0.2">
      <c r="A6943" s="1027"/>
      <c r="B6943" s="1083">
        <f>Risk_Compensation!A$1</f>
        <v>36</v>
      </c>
      <c r="C6943" s="1390" t="str">
        <f>Risk_Compensation!$B$1</f>
        <v xml:space="preserve">Risikoausgleich </v>
      </c>
      <c r="D6943" s="2206" t="s">
        <v>2573</v>
      </c>
      <c r="E6943" s="1390" t="str">
        <f>Risk_Compensation!$D105</f>
        <v>MCR</v>
      </c>
      <c r="F6943" s="1390" t="str">
        <f>Risk_Compensation!$P$86</f>
        <v>GL</v>
      </c>
      <c r="G6943" s="1390"/>
      <c r="H6943" s="1077">
        <f>Risk_Compensation!$P105</f>
        <v>0</v>
      </c>
    </row>
    <row r="6944" spans="1:8" x14ac:dyDescent="0.2">
      <c r="A6944" s="1027"/>
      <c r="B6944" s="1083">
        <f>Risk_Compensation!A$1</f>
        <v>36</v>
      </c>
      <c r="C6944" s="1390" t="str">
        <f>Risk_Compensation!$B$1</f>
        <v xml:space="preserve">Risikoausgleich </v>
      </c>
      <c r="D6944" s="2206" t="s">
        <v>2573</v>
      </c>
      <c r="E6944" s="1390" t="str">
        <f>Risk_Compensation!$D106</f>
        <v>MSK</v>
      </c>
      <c r="F6944" s="1390" t="str">
        <f>Risk_Compensation!$P$86</f>
        <v>GL</v>
      </c>
      <c r="G6944" s="1390"/>
      <c r="H6944" s="1077">
        <f>Risk_Compensation!$P106</f>
        <v>0</v>
      </c>
    </row>
    <row r="6945" spans="1:8" x14ac:dyDescent="0.2">
      <c r="A6945" s="1027"/>
      <c r="B6945" s="1083">
        <f>Risk_Compensation!A$1</f>
        <v>36</v>
      </c>
      <c r="C6945" s="1390" t="str">
        <f>Risk_Compensation!$B$1</f>
        <v xml:space="preserve">Risikoausgleich </v>
      </c>
      <c r="D6945" s="2206" t="s">
        <v>2573</v>
      </c>
      <c r="E6945" s="1390" t="str">
        <f>Risk_Compensation!$D107</f>
        <v>NIE</v>
      </c>
      <c r="F6945" s="1390" t="str">
        <f>Risk_Compensation!$P$86</f>
        <v>GL</v>
      </c>
      <c r="G6945" s="1390"/>
      <c r="H6945" s="1077">
        <f>Risk_Compensation!$P107</f>
        <v>0</v>
      </c>
    </row>
    <row r="6946" spans="1:8" x14ac:dyDescent="0.2">
      <c r="A6946" s="1027"/>
      <c r="B6946" s="1083">
        <f>Risk_Compensation!A$1</f>
        <v>36</v>
      </c>
      <c r="C6946" s="1390" t="str">
        <f>Risk_Compensation!$B$1</f>
        <v xml:space="preserve">Risikoausgleich </v>
      </c>
      <c r="D6946" s="2206" t="s">
        <v>2573</v>
      </c>
      <c r="E6946" s="1390" t="str">
        <f>Risk_Compensation!$D108</f>
        <v>PAH</v>
      </c>
      <c r="F6946" s="1390" t="str">
        <f>Risk_Compensation!$P$86</f>
        <v>GL</v>
      </c>
      <c r="G6946" s="1390"/>
      <c r="H6946" s="1077">
        <f>Risk_Compensation!$P108</f>
        <v>0</v>
      </c>
    </row>
    <row r="6947" spans="1:8" x14ac:dyDescent="0.2">
      <c r="A6947" s="1027"/>
      <c r="B6947" s="1083">
        <f>Risk_Compensation!A$1</f>
        <v>36</v>
      </c>
      <c r="C6947" s="1390" t="str">
        <f>Risk_Compensation!$B$1</f>
        <v xml:space="preserve">Risikoausgleich </v>
      </c>
      <c r="D6947" s="2206" t="s">
        <v>2573</v>
      </c>
      <c r="E6947" s="1390" t="str">
        <f>Risk_Compensation!$D109</f>
        <v>PAR</v>
      </c>
      <c r="F6947" s="1390" t="str">
        <f>Risk_Compensation!$P$86</f>
        <v>GL</v>
      </c>
      <c r="G6947" s="1390"/>
      <c r="H6947" s="1077">
        <f>Risk_Compensation!$P109</f>
        <v>0</v>
      </c>
    </row>
    <row r="6948" spans="1:8" x14ac:dyDescent="0.2">
      <c r="A6948" s="1027"/>
      <c r="B6948" s="1083">
        <f>Risk_Compensation!A$1</f>
        <v>36</v>
      </c>
      <c r="C6948" s="1390" t="str">
        <f>Risk_Compensation!$B$1</f>
        <v xml:space="preserve">Risikoausgleich </v>
      </c>
      <c r="D6948" s="2206" t="s">
        <v>2573</v>
      </c>
      <c r="E6948" s="1390" t="str">
        <f>Risk_Compensation!$D110</f>
        <v>PSO</v>
      </c>
      <c r="F6948" s="1390" t="str">
        <f>Risk_Compensation!$P$86</f>
        <v>GL</v>
      </c>
      <c r="G6948" s="1390"/>
      <c r="H6948" s="1077">
        <f>Risk_Compensation!$P110</f>
        <v>0</v>
      </c>
    </row>
    <row r="6949" spans="1:8" x14ac:dyDescent="0.2">
      <c r="A6949" s="1027"/>
      <c r="B6949" s="1083">
        <f>Risk_Compensation!A$1</f>
        <v>36</v>
      </c>
      <c r="C6949" s="1390" t="str">
        <f>Risk_Compensation!$B$1</f>
        <v xml:space="preserve">Risikoausgleich </v>
      </c>
      <c r="D6949" s="2206" t="s">
        <v>2573</v>
      </c>
      <c r="E6949" s="1390" t="str">
        <f>Risk_Compensation!$D111</f>
        <v>PSY</v>
      </c>
      <c r="F6949" s="1390" t="str">
        <f>Risk_Compensation!$P$86</f>
        <v>GL</v>
      </c>
      <c r="G6949" s="1390"/>
      <c r="H6949" s="1077">
        <f>Risk_Compensation!$P111</f>
        <v>0</v>
      </c>
    </row>
    <row r="6950" spans="1:8" x14ac:dyDescent="0.2">
      <c r="A6950" s="1027"/>
      <c r="B6950" s="1083">
        <f>Risk_Compensation!A$1</f>
        <v>36</v>
      </c>
      <c r="C6950" s="1390" t="str">
        <f>Risk_Compensation!$B$1</f>
        <v xml:space="preserve">Risikoausgleich </v>
      </c>
      <c r="D6950" s="2206" t="s">
        <v>2573</v>
      </c>
      <c r="E6950" s="1390" t="str">
        <f>Risk_Compensation!$D112</f>
        <v>RHE</v>
      </c>
      <c r="F6950" s="1390" t="str">
        <f>Risk_Compensation!$P$86</f>
        <v>GL</v>
      </c>
      <c r="G6950" s="1390"/>
      <c r="H6950" s="1077">
        <f>Risk_Compensation!$P112</f>
        <v>0</v>
      </c>
    </row>
    <row r="6951" spans="1:8" x14ac:dyDescent="0.2">
      <c r="A6951" s="1027"/>
      <c r="B6951" s="1083">
        <f>Risk_Compensation!A$1</f>
        <v>36</v>
      </c>
      <c r="C6951" s="1390" t="str">
        <f>Risk_Compensation!$B$1</f>
        <v xml:space="preserve">Risikoausgleich </v>
      </c>
      <c r="D6951" s="2206" t="s">
        <v>2573</v>
      </c>
      <c r="E6951" s="1390" t="str">
        <f>Risk_Compensation!$D113</f>
        <v>SMC</v>
      </c>
      <c r="F6951" s="1390" t="str">
        <f>Risk_Compensation!$P$86</f>
        <v>GL</v>
      </c>
      <c r="G6951" s="1390"/>
      <c r="H6951" s="1077">
        <f>Risk_Compensation!$P113</f>
        <v>0</v>
      </c>
    </row>
    <row r="6952" spans="1:8" x14ac:dyDescent="0.2">
      <c r="A6952" s="1027"/>
      <c r="B6952" s="1083">
        <f>Risk_Compensation!A$1</f>
        <v>36</v>
      </c>
      <c r="C6952" s="1390" t="str">
        <f>Risk_Compensation!$B$1</f>
        <v xml:space="preserve">Risikoausgleich </v>
      </c>
      <c r="D6952" s="2206" t="s">
        <v>2573</v>
      </c>
      <c r="E6952" s="1390" t="str">
        <f>Risk_Compensation!$D114</f>
        <v>SMN</v>
      </c>
      <c r="F6952" s="1390" t="str">
        <f>Risk_Compensation!$P$86</f>
        <v>GL</v>
      </c>
      <c r="G6952" s="1390"/>
      <c r="H6952" s="1077">
        <f>Risk_Compensation!$P114</f>
        <v>0</v>
      </c>
    </row>
    <row r="6953" spans="1:8" x14ac:dyDescent="0.2">
      <c r="A6953" s="1027"/>
      <c r="B6953" s="1083">
        <f>Risk_Compensation!A$1</f>
        <v>36</v>
      </c>
      <c r="C6953" s="1390" t="str">
        <f>Risk_Compensation!$B$1</f>
        <v xml:space="preserve">Risikoausgleich </v>
      </c>
      <c r="D6953" s="2206" t="s">
        <v>2573</v>
      </c>
      <c r="E6953" s="1390" t="str">
        <f>Risk_Compensation!$D115</f>
        <v>THY</v>
      </c>
      <c r="F6953" s="1390" t="str">
        <f>Risk_Compensation!$P$86</f>
        <v>GL</v>
      </c>
      <c r="G6953" s="1390"/>
      <c r="H6953" s="1077">
        <f>Risk_Compensation!$P115</f>
        <v>0</v>
      </c>
    </row>
    <row r="6954" spans="1:8" x14ac:dyDescent="0.2">
      <c r="A6954" s="1027"/>
      <c r="B6954" s="1083">
        <f>Risk_Compensation!A$1</f>
        <v>36</v>
      </c>
      <c r="C6954" s="1390" t="str">
        <f>Risk_Compensation!$B$1</f>
        <v xml:space="preserve">Risikoausgleich </v>
      </c>
      <c r="D6954" s="2206" t="s">
        <v>2573</v>
      </c>
      <c r="E6954" s="1390" t="str">
        <f>Risk_Compensation!$D116</f>
        <v>TRA</v>
      </c>
      <c r="F6954" s="1390" t="str">
        <f>Risk_Compensation!$P$86</f>
        <v>GL</v>
      </c>
      <c r="G6954" s="1390"/>
      <c r="H6954" s="1077">
        <f>Risk_Compensation!$P116</f>
        <v>0</v>
      </c>
    </row>
    <row r="6955" spans="1:8" x14ac:dyDescent="0.2">
      <c r="A6955" s="1027"/>
      <c r="B6955" s="1083">
        <f>Risk_Compensation!A$1</f>
        <v>36</v>
      </c>
      <c r="C6955" s="1390" t="str">
        <f>Risk_Compensation!$B$1</f>
        <v xml:space="preserve">Risikoausgleich </v>
      </c>
      <c r="D6955" s="2206" t="s">
        <v>2573</v>
      </c>
      <c r="E6955" s="1390" t="str">
        <f>Risk_Compensation!$D117</f>
        <v>WAS</v>
      </c>
      <c r="F6955" s="1390" t="str">
        <f>Risk_Compensation!$P$86</f>
        <v>GL</v>
      </c>
      <c r="G6955" s="1390"/>
      <c r="H6955" s="1077">
        <f>Risk_Compensation!$P117</f>
        <v>0</v>
      </c>
    </row>
    <row r="6956" spans="1:8" x14ac:dyDescent="0.2">
      <c r="A6956" s="1027"/>
      <c r="B6956" s="1083">
        <f>Risk_Compensation!A$1</f>
        <v>36</v>
      </c>
      <c r="C6956" s="1390" t="str">
        <f>Risk_Compensation!$B$1</f>
        <v xml:space="preserve">Risikoausgleich </v>
      </c>
      <c r="D6956" s="2206" t="s">
        <v>2573</v>
      </c>
      <c r="E6956" s="1390" t="str">
        <f>Risk_Compensation!$D118</f>
        <v>ZFP</v>
      </c>
      <c r="F6956" s="1390" t="str">
        <f>Risk_Compensation!$P$86</f>
        <v>GL</v>
      </c>
      <c r="G6956" s="1390"/>
      <c r="H6956" s="1077">
        <f>Risk_Compensation!$P118</f>
        <v>0</v>
      </c>
    </row>
    <row r="6957" spans="1:8" x14ac:dyDescent="0.2">
      <c r="A6957" s="1027"/>
      <c r="B6957" s="1083">
        <f>Risk_Compensation!A$1</f>
        <v>36</v>
      </c>
      <c r="C6957" s="1390" t="str">
        <f>Risk_Compensation!$B$1</f>
        <v xml:space="preserve">Risikoausgleich </v>
      </c>
      <c r="D6957" s="2206" t="s">
        <v>2573</v>
      </c>
      <c r="E6957" s="1390" t="str">
        <f>Risk_Compensation!$D119</f>
        <v>ZNS</v>
      </c>
      <c r="F6957" s="1390" t="str">
        <f>Risk_Compensation!$P$86</f>
        <v>GL</v>
      </c>
      <c r="G6957" s="1390"/>
      <c r="H6957" s="1077">
        <f>Risk_Compensation!$P119</f>
        <v>0</v>
      </c>
    </row>
    <row r="6958" spans="1:8" x14ac:dyDescent="0.2">
      <c r="A6958" s="1027"/>
      <c r="B6958" s="1083">
        <f>Risk_Compensation!A$1</f>
        <v>36</v>
      </c>
      <c r="C6958" s="1390" t="str">
        <f>Risk_Compensation!$B$1</f>
        <v xml:space="preserve">Risikoausgleich </v>
      </c>
      <c r="D6958" s="2206" t="s">
        <v>2573</v>
      </c>
      <c r="E6958" s="1390" t="str">
        <f>Risk_Compensation!$D120</f>
        <v>DM2 + hyp</v>
      </c>
      <c r="F6958" s="1390" t="str">
        <f>Risk_Compensation!$P$86</f>
        <v>GL</v>
      </c>
      <c r="G6958" s="1390"/>
      <c r="H6958" s="1077">
        <f>Risk_Compensation!$P120</f>
        <v>0</v>
      </c>
    </row>
    <row r="6959" spans="1:8" x14ac:dyDescent="0.2">
      <c r="A6959" s="1027"/>
      <c r="B6959" s="2174"/>
      <c r="C6959" s="1390"/>
      <c r="D6959" s="2175"/>
      <c r="E6959" s="2176"/>
      <c r="F6959" s="1390"/>
      <c r="G6959" s="1390"/>
      <c r="H6959" s="1078"/>
    </row>
    <row r="6960" spans="1:8" x14ac:dyDescent="0.2">
      <c r="A6960" s="1027"/>
      <c r="B6960" s="1083">
        <f>Risk_Compensation!A$1</f>
        <v>36</v>
      </c>
      <c r="C6960" s="1390" t="str">
        <f>Risk_Compensation!$B$1</f>
        <v xml:space="preserve">Risikoausgleich </v>
      </c>
      <c r="D6960" s="2206" t="s">
        <v>2573</v>
      </c>
      <c r="E6960" s="1390" t="str">
        <f>Risk_Compensation!$D87</f>
        <v>ABH</v>
      </c>
      <c r="F6960" s="1390" t="str">
        <f>Risk_Compensation!$Q$86</f>
        <v>GR</v>
      </c>
      <c r="G6960" s="1390"/>
      <c r="H6960" s="1077">
        <f>Risk_Compensation!$Q87</f>
        <v>0</v>
      </c>
    </row>
    <row r="6961" spans="1:8" x14ac:dyDescent="0.2">
      <c r="A6961" s="1027"/>
      <c r="B6961" s="1083">
        <f>Risk_Compensation!A$1</f>
        <v>36</v>
      </c>
      <c r="C6961" s="1390" t="str">
        <f>Risk_Compensation!$B$1</f>
        <v xml:space="preserve">Risikoausgleich </v>
      </c>
      <c r="D6961" s="2206" t="s">
        <v>2573</v>
      </c>
      <c r="E6961" s="1390" t="str">
        <f>Risk_Compensation!$D88</f>
        <v>ADH</v>
      </c>
      <c r="F6961" s="1390" t="str">
        <f>Risk_Compensation!$Q$86</f>
        <v>GR</v>
      </c>
      <c r="G6961" s="1390"/>
      <c r="H6961" s="1077">
        <f>Risk_Compensation!$Q88</f>
        <v>0</v>
      </c>
    </row>
    <row r="6962" spans="1:8" x14ac:dyDescent="0.2">
      <c r="A6962" s="1027"/>
      <c r="B6962" s="1083">
        <f>Risk_Compensation!A$1</f>
        <v>36</v>
      </c>
      <c r="C6962" s="1390" t="str">
        <f>Risk_Compensation!$B$1</f>
        <v xml:space="preserve">Risikoausgleich </v>
      </c>
      <c r="D6962" s="2206" t="s">
        <v>2573</v>
      </c>
      <c r="E6962" s="1390" t="str">
        <f>Risk_Compensation!$D89</f>
        <v>AIK</v>
      </c>
      <c r="F6962" s="1390" t="str">
        <f>Risk_Compensation!$Q$86</f>
        <v>GR</v>
      </c>
      <c r="G6962" s="1390"/>
      <c r="H6962" s="1077">
        <f>Risk_Compensation!$Q89</f>
        <v>0</v>
      </c>
    </row>
    <row r="6963" spans="1:8" x14ac:dyDescent="0.2">
      <c r="A6963" s="1027"/>
      <c r="B6963" s="1083">
        <f>Risk_Compensation!A$1</f>
        <v>36</v>
      </c>
      <c r="C6963" s="1390" t="str">
        <f>Risk_Compensation!$B$1</f>
        <v xml:space="preserve">Risikoausgleich </v>
      </c>
      <c r="D6963" s="2206" t="s">
        <v>2573</v>
      </c>
      <c r="E6963" s="1390" t="str">
        <f>Risk_Compensation!$D90</f>
        <v>ALZ</v>
      </c>
      <c r="F6963" s="1390" t="str">
        <f>Risk_Compensation!$Q$86</f>
        <v>GR</v>
      </c>
      <c r="G6963" s="1390"/>
      <c r="H6963" s="1077">
        <f>Risk_Compensation!$Q90</f>
        <v>0</v>
      </c>
    </row>
    <row r="6964" spans="1:8" x14ac:dyDescent="0.2">
      <c r="A6964" s="1027"/>
      <c r="B6964" s="1083">
        <f>Risk_Compensation!A$1</f>
        <v>36</v>
      </c>
      <c r="C6964" s="1390" t="str">
        <f>Risk_Compensation!$B$1</f>
        <v xml:space="preserve">Risikoausgleich </v>
      </c>
      <c r="D6964" s="2206" t="s">
        <v>2573</v>
      </c>
      <c r="E6964" s="1390" t="str">
        <f>Risk_Compensation!$D91</f>
        <v>AST</v>
      </c>
      <c r="F6964" s="1390" t="str">
        <f>Risk_Compensation!$Q$86</f>
        <v>GR</v>
      </c>
      <c r="G6964" s="1390"/>
      <c r="H6964" s="1077">
        <f>Risk_Compensation!$Q91</f>
        <v>0</v>
      </c>
    </row>
    <row r="6965" spans="1:8" x14ac:dyDescent="0.2">
      <c r="A6965" s="1027"/>
      <c r="B6965" s="1083">
        <f>Risk_Compensation!A$1</f>
        <v>36</v>
      </c>
      <c r="C6965" s="1390" t="str">
        <f>Risk_Compensation!$B$1</f>
        <v xml:space="preserve">Risikoausgleich </v>
      </c>
      <c r="D6965" s="2206" t="s">
        <v>2573</v>
      </c>
      <c r="E6965" s="1390" t="str">
        <f>Risk_Compensation!$D92</f>
        <v>BSR</v>
      </c>
      <c r="F6965" s="1390" t="str">
        <f>Risk_Compensation!$Q$86</f>
        <v>GR</v>
      </c>
      <c r="G6965" s="1390"/>
      <c r="H6965" s="1077">
        <f>Risk_Compensation!$Q92</f>
        <v>0</v>
      </c>
    </row>
    <row r="6966" spans="1:8" x14ac:dyDescent="0.2">
      <c r="A6966" s="1027"/>
      <c r="B6966" s="1083">
        <f>Risk_Compensation!A$1</f>
        <v>36</v>
      </c>
      <c r="C6966" s="1390" t="str">
        <f>Risk_Compensation!$B$1</f>
        <v xml:space="preserve">Risikoausgleich </v>
      </c>
      <c r="D6966" s="2206" t="s">
        <v>2573</v>
      </c>
      <c r="E6966" s="1390" t="str">
        <f>Risk_Compensation!$D93</f>
        <v>CAR</v>
      </c>
      <c r="F6966" s="1390" t="str">
        <f>Risk_Compensation!$Q$86</f>
        <v>GR</v>
      </c>
      <c r="G6966" s="1390"/>
      <c r="H6966" s="1077">
        <f>Risk_Compensation!$Q93</f>
        <v>0</v>
      </c>
    </row>
    <row r="6967" spans="1:8" x14ac:dyDescent="0.2">
      <c r="A6967" s="1027"/>
      <c r="B6967" s="1083">
        <f>Risk_Compensation!A$1</f>
        <v>36</v>
      </c>
      <c r="C6967" s="1390" t="str">
        <f>Risk_Compensation!$B$1</f>
        <v xml:space="preserve">Risikoausgleich </v>
      </c>
      <c r="D6967" s="2206" t="s">
        <v>2573</v>
      </c>
      <c r="E6967" s="1390" t="str">
        <f>Risk_Compensation!$D94</f>
        <v>COP</v>
      </c>
      <c r="F6967" s="1390" t="str">
        <f>Risk_Compensation!$Q$86</f>
        <v>GR</v>
      </c>
      <c r="G6967" s="1390"/>
      <c r="H6967" s="1077">
        <f>Risk_Compensation!$Q94</f>
        <v>0</v>
      </c>
    </row>
    <row r="6968" spans="1:8" x14ac:dyDescent="0.2">
      <c r="A6968" s="1027"/>
      <c r="B6968" s="1083">
        <f>Risk_Compensation!A$1</f>
        <v>36</v>
      </c>
      <c r="C6968" s="1390" t="str">
        <f>Risk_Compensation!$B$1</f>
        <v xml:space="preserve">Risikoausgleich </v>
      </c>
      <c r="D6968" s="2206" t="s">
        <v>2573</v>
      </c>
      <c r="E6968" s="1390" t="str">
        <f>Risk_Compensation!$D95</f>
        <v>DEP</v>
      </c>
      <c r="F6968" s="1390" t="str">
        <f>Risk_Compensation!$Q$86</f>
        <v>GR</v>
      </c>
      <c r="G6968" s="1390"/>
      <c r="H6968" s="1077">
        <f>Risk_Compensation!$Q95</f>
        <v>0</v>
      </c>
    </row>
    <row r="6969" spans="1:8" x14ac:dyDescent="0.2">
      <c r="A6969" s="1027"/>
      <c r="B6969" s="1083">
        <f>Risk_Compensation!A$1</f>
        <v>36</v>
      </c>
      <c r="C6969" s="1390" t="str">
        <f>Risk_Compensation!$B$1</f>
        <v xml:space="preserve">Risikoausgleich </v>
      </c>
      <c r="D6969" s="2206" t="s">
        <v>2573</v>
      </c>
      <c r="E6969" s="1390" t="str">
        <f>Risk_Compensation!$D96</f>
        <v>DM1</v>
      </c>
      <c r="F6969" s="1390" t="str">
        <f>Risk_Compensation!$Q$86</f>
        <v>GR</v>
      </c>
      <c r="G6969" s="1390"/>
      <c r="H6969" s="1077">
        <f>Risk_Compensation!$Q96</f>
        <v>0</v>
      </c>
    </row>
    <row r="6970" spans="1:8" x14ac:dyDescent="0.2">
      <c r="A6970" s="1027"/>
      <c r="B6970" s="1083">
        <f>Risk_Compensation!A$1</f>
        <v>36</v>
      </c>
      <c r="C6970" s="1390" t="str">
        <f>Risk_Compensation!$B$1</f>
        <v xml:space="preserve">Risikoausgleich </v>
      </c>
      <c r="D6970" s="2206" t="s">
        <v>2573</v>
      </c>
      <c r="E6970" s="1390" t="str">
        <f>Risk_Compensation!$D97</f>
        <v>DM2</v>
      </c>
      <c r="F6970" s="1390" t="str">
        <f>Risk_Compensation!$Q$86</f>
        <v>GR</v>
      </c>
      <c r="G6970" s="1390"/>
      <c r="H6970" s="1077">
        <f>Risk_Compensation!$Q97</f>
        <v>0</v>
      </c>
    </row>
    <row r="6971" spans="1:8" x14ac:dyDescent="0.2">
      <c r="A6971" s="1027"/>
      <c r="B6971" s="1083">
        <f>Risk_Compensation!A$1</f>
        <v>36</v>
      </c>
      <c r="C6971" s="1390" t="str">
        <f>Risk_Compensation!$B$1</f>
        <v xml:space="preserve">Risikoausgleich </v>
      </c>
      <c r="D6971" s="2206" t="s">
        <v>2573</v>
      </c>
      <c r="E6971" s="1390" t="str">
        <f>Risk_Compensation!$D98</f>
        <v>EPI</v>
      </c>
      <c r="F6971" s="1390" t="str">
        <f>Risk_Compensation!$Q$86</f>
        <v>GR</v>
      </c>
      <c r="G6971" s="1390"/>
      <c r="H6971" s="1077">
        <f>Risk_Compensation!$Q98</f>
        <v>0</v>
      </c>
    </row>
    <row r="6972" spans="1:8" x14ac:dyDescent="0.2">
      <c r="A6972" s="1027"/>
      <c r="B6972" s="1083">
        <f>Risk_Compensation!A$1</f>
        <v>36</v>
      </c>
      <c r="C6972" s="1390" t="str">
        <f>Risk_Compensation!$B$1</f>
        <v xml:space="preserve">Risikoausgleich </v>
      </c>
      <c r="D6972" s="2206" t="s">
        <v>2573</v>
      </c>
      <c r="E6972" s="1390" t="str">
        <f>Risk_Compensation!$D99</f>
        <v>GLA</v>
      </c>
      <c r="F6972" s="1390" t="str">
        <f>Risk_Compensation!$Q$86</f>
        <v>GR</v>
      </c>
      <c r="G6972" s="1390"/>
      <c r="H6972" s="1077">
        <f>Risk_Compensation!$Q99</f>
        <v>0</v>
      </c>
    </row>
    <row r="6973" spans="1:8" x14ac:dyDescent="0.2">
      <c r="A6973" s="1027"/>
      <c r="B6973" s="1083">
        <f>Risk_Compensation!A$1</f>
        <v>36</v>
      </c>
      <c r="C6973" s="1390" t="str">
        <f>Risk_Compensation!$B$1</f>
        <v xml:space="preserve">Risikoausgleich </v>
      </c>
      <c r="D6973" s="2206" t="s">
        <v>2573</v>
      </c>
      <c r="E6973" s="1390" t="str">
        <f>Risk_Compensation!$D100</f>
        <v>HCH</v>
      </c>
      <c r="F6973" s="1390" t="str">
        <f>Risk_Compensation!$Q$86</f>
        <v>GR</v>
      </c>
      <c r="G6973" s="1390"/>
      <c r="H6973" s="1077">
        <f>Risk_Compensation!$Q100</f>
        <v>0</v>
      </c>
    </row>
    <row r="6974" spans="1:8" x14ac:dyDescent="0.2">
      <c r="A6974" s="1027"/>
      <c r="B6974" s="1083">
        <f>Risk_Compensation!A$1</f>
        <v>36</v>
      </c>
      <c r="C6974" s="1390" t="str">
        <f>Risk_Compensation!$B$1</f>
        <v xml:space="preserve">Risikoausgleich </v>
      </c>
      <c r="D6974" s="2206" t="s">
        <v>2573</v>
      </c>
      <c r="E6974" s="1390" t="str">
        <f>Risk_Compensation!$D101</f>
        <v>HIV</v>
      </c>
      <c r="F6974" s="1390" t="str">
        <f>Risk_Compensation!$Q$86</f>
        <v>GR</v>
      </c>
      <c r="G6974" s="1390"/>
      <c r="H6974" s="1077">
        <f>Risk_Compensation!$Q101</f>
        <v>0</v>
      </c>
    </row>
    <row r="6975" spans="1:8" x14ac:dyDescent="0.2">
      <c r="A6975" s="1027"/>
      <c r="B6975" s="1083">
        <f>Risk_Compensation!A$1</f>
        <v>36</v>
      </c>
      <c r="C6975" s="1390" t="str">
        <f>Risk_Compensation!$B$1</f>
        <v xml:space="preserve">Risikoausgleich </v>
      </c>
      <c r="D6975" s="2206" t="s">
        <v>2573</v>
      </c>
      <c r="E6975" s="1390" t="str">
        <f>Risk_Compensation!$D102</f>
        <v>KHO</v>
      </c>
      <c r="F6975" s="1390" t="str">
        <f>Risk_Compensation!$Q$86</f>
        <v>GR</v>
      </c>
      <c r="G6975" s="1390"/>
      <c r="H6975" s="1077">
        <f>Risk_Compensation!$Q102</f>
        <v>0</v>
      </c>
    </row>
    <row r="6976" spans="1:8" x14ac:dyDescent="0.2">
      <c r="A6976" s="1027"/>
      <c r="B6976" s="1083">
        <f>Risk_Compensation!A$1</f>
        <v>36</v>
      </c>
      <c r="C6976" s="1390" t="str">
        <f>Risk_Compensation!$B$1</f>
        <v xml:space="preserve">Risikoausgleich </v>
      </c>
      <c r="D6976" s="2206" t="s">
        <v>2573</v>
      </c>
      <c r="E6976" s="1390" t="str">
        <f>Risk_Compensation!$D103</f>
        <v>KRE</v>
      </c>
      <c r="F6976" s="1390" t="str">
        <f>Risk_Compensation!$Q$86</f>
        <v>GR</v>
      </c>
      <c r="G6976" s="1390"/>
      <c r="H6976" s="1077">
        <f>Risk_Compensation!$Q103</f>
        <v>0</v>
      </c>
    </row>
    <row r="6977" spans="1:8" x14ac:dyDescent="0.2">
      <c r="A6977" s="1027"/>
      <c r="B6977" s="1083">
        <f>Risk_Compensation!A$1</f>
        <v>36</v>
      </c>
      <c r="C6977" s="1390" t="str">
        <f>Risk_Compensation!$B$1</f>
        <v xml:space="preserve">Risikoausgleich </v>
      </c>
      <c r="D6977" s="2206" t="s">
        <v>2573</v>
      </c>
      <c r="E6977" s="1390" t="str">
        <f>Risk_Compensation!$D104</f>
        <v>KRK</v>
      </c>
      <c r="F6977" s="1390" t="str">
        <f>Risk_Compensation!$Q$86</f>
        <v>GR</v>
      </c>
      <c r="G6977" s="1390"/>
      <c r="H6977" s="1077">
        <f>Risk_Compensation!$Q104</f>
        <v>0</v>
      </c>
    </row>
    <row r="6978" spans="1:8" x14ac:dyDescent="0.2">
      <c r="A6978" s="1027"/>
      <c r="B6978" s="1083">
        <f>Risk_Compensation!A$1</f>
        <v>36</v>
      </c>
      <c r="C6978" s="1390" t="str">
        <f>Risk_Compensation!$B$1</f>
        <v xml:space="preserve">Risikoausgleich </v>
      </c>
      <c r="D6978" s="2206" t="s">
        <v>2573</v>
      </c>
      <c r="E6978" s="1390" t="str">
        <f>Risk_Compensation!$D105</f>
        <v>MCR</v>
      </c>
      <c r="F6978" s="1390" t="str">
        <f>Risk_Compensation!$Q$86</f>
        <v>GR</v>
      </c>
      <c r="G6978" s="1390"/>
      <c r="H6978" s="1077">
        <f>Risk_Compensation!$Q105</f>
        <v>0</v>
      </c>
    </row>
    <row r="6979" spans="1:8" x14ac:dyDescent="0.2">
      <c r="A6979" s="1027"/>
      <c r="B6979" s="1083">
        <f>Risk_Compensation!A$1</f>
        <v>36</v>
      </c>
      <c r="C6979" s="1390" t="str">
        <f>Risk_Compensation!$B$1</f>
        <v xml:space="preserve">Risikoausgleich </v>
      </c>
      <c r="D6979" s="2206" t="s">
        <v>2573</v>
      </c>
      <c r="E6979" s="1390" t="str">
        <f>Risk_Compensation!$D106</f>
        <v>MSK</v>
      </c>
      <c r="F6979" s="1390" t="str">
        <f>Risk_Compensation!$Q$86</f>
        <v>GR</v>
      </c>
      <c r="G6979" s="1390"/>
      <c r="H6979" s="1077">
        <f>Risk_Compensation!$Q106</f>
        <v>0</v>
      </c>
    </row>
    <row r="6980" spans="1:8" x14ac:dyDescent="0.2">
      <c r="A6980" s="1027"/>
      <c r="B6980" s="1083">
        <f>Risk_Compensation!A$1</f>
        <v>36</v>
      </c>
      <c r="C6980" s="1390" t="str">
        <f>Risk_Compensation!$B$1</f>
        <v xml:space="preserve">Risikoausgleich </v>
      </c>
      <c r="D6980" s="2206" t="s">
        <v>2573</v>
      </c>
      <c r="E6980" s="1390" t="str">
        <f>Risk_Compensation!$D107</f>
        <v>NIE</v>
      </c>
      <c r="F6980" s="1390" t="str">
        <f>Risk_Compensation!$Q$86</f>
        <v>GR</v>
      </c>
      <c r="G6980" s="1390"/>
      <c r="H6980" s="1077">
        <f>Risk_Compensation!$Q107</f>
        <v>0</v>
      </c>
    </row>
    <row r="6981" spans="1:8" x14ac:dyDescent="0.2">
      <c r="A6981" s="1027"/>
      <c r="B6981" s="1083">
        <f>Risk_Compensation!A$1</f>
        <v>36</v>
      </c>
      <c r="C6981" s="1390" t="str">
        <f>Risk_Compensation!$B$1</f>
        <v xml:space="preserve">Risikoausgleich </v>
      </c>
      <c r="D6981" s="2206" t="s">
        <v>2573</v>
      </c>
      <c r="E6981" s="1390" t="str">
        <f>Risk_Compensation!$D108</f>
        <v>PAH</v>
      </c>
      <c r="F6981" s="1390" t="str">
        <f>Risk_Compensation!$Q$86</f>
        <v>GR</v>
      </c>
      <c r="G6981" s="1390"/>
      <c r="H6981" s="1077">
        <f>Risk_Compensation!$Q108</f>
        <v>0</v>
      </c>
    </row>
    <row r="6982" spans="1:8" x14ac:dyDescent="0.2">
      <c r="A6982" s="1027"/>
      <c r="B6982" s="1083">
        <f>Risk_Compensation!A$1</f>
        <v>36</v>
      </c>
      <c r="C6982" s="1390" t="str">
        <f>Risk_Compensation!$B$1</f>
        <v xml:space="preserve">Risikoausgleich </v>
      </c>
      <c r="D6982" s="2206" t="s">
        <v>2573</v>
      </c>
      <c r="E6982" s="1390" t="str">
        <f>Risk_Compensation!$D109</f>
        <v>PAR</v>
      </c>
      <c r="F6982" s="1390" t="str">
        <f>Risk_Compensation!$Q$86</f>
        <v>GR</v>
      </c>
      <c r="G6982" s="1390"/>
      <c r="H6982" s="1077">
        <f>Risk_Compensation!$Q109</f>
        <v>0</v>
      </c>
    </row>
    <row r="6983" spans="1:8" x14ac:dyDescent="0.2">
      <c r="A6983" s="1027"/>
      <c r="B6983" s="1083">
        <f>Risk_Compensation!A$1</f>
        <v>36</v>
      </c>
      <c r="C6983" s="1390" t="str">
        <f>Risk_Compensation!$B$1</f>
        <v xml:space="preserve">Risikoausgleich </v>
      </c>
      <c r="D6983" s="2206" t="s">
        <v>2573</v>
      </c>
      <c r="E6983" s="1390" t="str">
        <f>Risk_Compensation!$D110</f>
        <v>PSO</v>
      </c>
      <c r="F6983" s="1390" t="str">
        <f>Risk_Compensation!$Q$86</f>
        <v>GR</v>
      </c>
      <c r="G6983" s="1390"/>
      <c r="H6983" s="1077">
        <f>Risk_Compensation!$Q110</f>
        <v>0</v>
      </c>
    </row>
    <row r="6984" spans="1:8" x14ac:dyDescent="0.2">
      <c r="A6984" s="1027"/>
      <c r="B6984" s="1083">
        <f>Risk_Compensation!A$1</f>
        <v>36</v>
      </c>
      <c r="C6984" s="1390" t="str">
        <f>Risk_Compensation!$B$1</f>
        <v xml:space="preserve">Risikoausgleich </v>
      </c>
      <c r="D6984" s="2206" t="s">
        <v>2573</v>
      </c>
      <c r="E6984" s="1390" t="str">
        <f>Risk_Compensation!$D111</f>
        <v>PSY</v>
      </c>
      <c r="F6984" s="1390" t="str">
        <f>Risk_Compensation!$Q$86</f>
        <v>GR</v>
      </c>
      <c r="G6984" s="1390"/>
      <c r="H6984" s="1077">
        <f>Risk_Compensation!$Q111</f>
        <v>0</v>
      </c>
    </row>
    <row r="6985" spans="1:8" x14ac:dyDescent="0.2">
      <c r="A6985" s="1027"/>
      <c r="B6985" s="1083">
        <f>Risk_Compensation!A$1</f>
        <v>36</v>
      </c>
      <c r="C6985" s="1390" t="str">
        <f>Risk_Compensation!$B$1</f>
        <v xml:space="preserve">Risikoausgleich </v>
      </c>
      <c r="D6985" s="2206" t="s">
        <v>2573</v>
      </c>
      <c r="E6985" s="1390" t="str">
        <f>Risk_Compensation!$D112</f>
        <v>RHE</v>
      </c>
      <c r="F6985" s="1390" t="str">
        <f>Risk_Compensation!$Q$86</f>
        <v>GR</v>
      </c>
      <c r="G6985" s="1390"/>
      <c r="H6985" s="1077">
        <f>Risk_Compensation!$Q112</f>
        <v>0</v>
      </c>
    </row>
    <row r="6986" spans="1:8" x14ac:dyDescent="0.2">
      <c r="A6986" s="1027"/>
      <c r="B6986" s="1083">
        <f>Risk_Compensation!A$1</f>
        <v>36</v>
      </c>
      <c r="C6986" s="1390" t="str">
        <f>Risk_Compensation!$B$1</f>
        <v xml:space="preserve">Risikoausgleich </v>
      </c>
      <c r="D6986" s="2206" t="s">
        <v>2573</v>
      </c>
      <c r="E6986" s="1390" t="str">
        <f>Risk_Compensation!$D113</f>
        <v>SMC</v>
      </c>
      <c r="F6986" s="1390" t="str">
        <f>Risk_Compensation!$Q$86</f>
        <v>GR</v>
      </c>
      <c r="G6986" s="1390"/>
      <c r="H6986" s="1077">
        <f>Risk_Compensation!$Q113</f>
        <v>0</v>
      </c>
    </row>
    <row r="6987" spans="1:8" x14ac:dyDescent="0.2">
      <c r="A6987" s="1027"/>
      <c r="B6987" s="1083">
        <f>Risk_Compensation!A$1</f>
        <v>36</v>
      </c>
      <c r="C6987" s="1390" t="str">
        <f>Risk_Compensation!$B$1</f>
        <v xml:space="preserve">Risikoausgleich </v>
      </c>
      <c r="D6987" s="2206" t="s">
        <v>2573</v>
      </c>
      <c r="E6987" s="1390" t="str">
        <f>Risk_Compensation!$D114</f>
        <v>SMN</v>
      </c>
      <c r="F6987" s="1390" t="str">
        <f>Risk_Compensation!$Q$86</f>
        <v>GR</v>
      </c>
      <c r="G6987" s="1390"/>
      <c r="H6987" s="1077">
        <f>Risk_Compensation!$Q114</f>
        <v>0</v>
      </c>
    </row>
    <row r="6988" spans="1:8" x14ac:dyDescent="0.2">
      <c r="A6988" s="1027"/>
      <c r="B6988" s="1083">
        <f>Risk_Compensation!A$1</f>
        <v>36</v>
      </c>
      <c r="C6988" s="1390" t="str">
        <f>Risk_Compensation!$B$1</f>
        <v xml:space="preserve">Risikoausgleich </v>
      </c>
      <c r="D6988" s="2206" t="s">
        <v>2573</v>
      </c>
      <c r="E6988" s="1390" t="str">
        <f>Risk_Compensation!$D115</f>
        <v>THY</v>
      </c>
      <c r="F6988" s="1390" t="str">
        <f>Risk_Compensation!$Q$86</f>
        <v>GR</v>
      </c>
      <c r="G6988" s="1390"/>
      <c r="H6988" s="1077">
        <f>Risk_Compensation!$Q115</f>
        <v>0</v>
      </c>
    </row>
    <row r="6989" spans="1:8" x14ac:dyDescent="0.2">
      <c r="A6989" s="1027"/>
      <c r="B6989" s="1083">
        <f>Risk_Compensation!A$1</f>
        <v>36</v>
      </c>
      <c r="C6989" s="1390" t="str">
        <f>Risk_Compensation!$B$1</f>
        <v xml:space="preserve">Risikoausgleich </v>
      </c>
      <c r="D6989" s="2206" t="s">
        <v>2573</v>
      </c>
      <c r="E6989" s="1390" t="str">
        <f>Risk_Compensation!$D116</f>
        <v>TRA</v>
      </c>
      <c r="F6989" s="1390" t="str">
        <f>Risk_Compensation!$Q$86</f>
        <v>GR</v>
      </c>
      <c r="G6989" s="1390"/>
      <c r="H6989" s="1077">
        <f>Risk_Compensation!$Q116</f>
        <v>0</v>
      </c>
    </row>
    <row r="6990" spans="1:8" x14ac:dyDescent="0.2">
      <c r="A6990" s="1027"/>
      <c r="B6990" s="1083">
        <f>Risk_Compensation!A$1</f>
        <v>36</v>
      </c>
      <c r="C6990" s="1390" t="str">
        <f>Risk_Compensation!$B$1</f>
        <v xml:space="preserve">Risikoausgleich </v>
      </c>
      <c r="D6990" s="2206" t="s">
        <v>2573</v>
      </c>
      <c r="E6990" s="1390" t="str">
        <f>Risk_Compensation!$D117</f>
        <v>WAS</v>
      </c>
      <c r="F6990" s="1390" t="str">
        <f>Risk_Compensation!$Q$86</f>
        <v>GR</v>
      </c>
      <c r="G6990" s="1390"/>
      <c r="H6990" s="1077">
        <f>Risk_Compensation!$Q117</f>
        <v>0</v>
      </c>
    </row>
    <row r="6991" spans="1:8" x14ac:dyDescent="0.2">
      <c r="A6991" s="1027"/>
      <c r="B6991" s="1083">
        <f>Risk_Compensation!A$1</f>
        <v>36</v>
      </c>
      <c r="C6991" s="1390" t="str">
        <f>Risk_Compensation!$B$1</f>
        <v xml:space="preserve">Risikoausgleich </v>
      </c>
      <c r="D6991" s="2206" t="s">
        <v>2573</v>
      </c>
      <c r="E6991" s="1390" t="str">
        <f>Risk_Compensation!$D118</f>
        <v>ZFP</v>
      </c>
      <c r="F6991" s="1390" t="str">
        <f>Risk_Compensation!$Q$86</f>
        <v>GR</v>
      </c>
      <c r="G6991" s="1390"/>
      <c r="H6991" s="1077">
        <f>Risk_Compensation!$Q118</f>
        <v>0</v>
      </c>
    </row>
    <row r="6992" spans="1:8" x14ac:dyDescent="0.2">
      <c r="A6992" s="1027"/>
      <c r="B6992" s="1083">
        <f>Risk_Compensation!A$1</f>
        <v>36</v>
      </c>
      <c r="C6992" s="1390" t="str">
        <f>Risk_Compensation!$B$1</f>
        <v xml:space="preserve">Risikoausgleich </v>
      </c>
      <c r="D6992" s="2206" t="s">
        <v>2573</v>
      </c>
      <c r="E6992" s="1390" t="str">
        <f>Risk_Compensation!$D119</f>
        <v>ZNS</v>
      </c>
      <c r="F6992" s="1390" t="str">
        <f>Risk_Compensation!$Q$86</f>
        <v>GR</v>
      </c>
      <c r="G6992" s="1390"/>
      <c r="H6992" s="1077">
        <f>Risk_Compensation!$Q119</f>
        <v>0</v>
      </c>
    </row>
    <row r="6993" spans="1:8" x14ac:dyDescent="0.2">
      <c r="A6993" s="1027"/>
      <c r="B6993" s="1083">
        <f>Risk_Compensation!A$1</f>
        <v>36</v>
      </c>
      <c r="C6993" s="1390" t="str">
        <f>Risk_Compensation!$B$1</f>
        <v xml:space="preserve">Risikoausgleich </v>
      </c>
      <c r="D6993" s="2206" t="s">
        <v>2573</v>
      </c>
      <c r="E6993" s="1390" t="str">
        <f>Risk_Compensation!$D120</f>
        <v>DM2 + hyp</v>
      </c>
      <c r="F6993" s="1390" t="str">
        <f>Risk_Compensation!$Q$86</f>
        <v>GR</v>
      </c>
      <c r="G6993" s="1390"/>
      <c r="H6993" s="1077">
        <f>Risk_Compensation!$Q120</f>
        <v>0</v>
      </c>
    </row>
    <row r="6994" spans="1:8" x14ac:dyDescent="0.2">
      <c r="A6994" s="1027"/>
      <c r="B6994" s="2174"/>
      <c r="C6994" s="1390"/>
      <c r="D6994" s="2175"/>
      <c r="E6994" s="2176"/>
      <c r="F6994" s="1390"/>
      <c r="G6994" s="1390"/>
      <c r="H6994" s="1078"/>
    </row>
    <row r="6995" spans="1:8" x14ac:dyDescent="0.2">
      <c r="A6995" s="1027"/>
      <c r="B6995" s="1083">
        <f>Risk_Compensation!A$1</f>
        <v>36</v>
      </c>
      <c r="C6995" s="1390" t="str">
        <f>Risk_Compensation!$B$1</f>
        <v xml:space="preserve">Risikoausgleich </v>
      </c>
      <c r="D6995" s="2206" t="s">
        <v>2573</v>
      </c>
      <c r="E6995" s="1390" t="str">
        <f>Risk_Compensation!$D87</f>
        <v>ABH</v>
      </c>
      <c r="F6995" s="1390" t="str">
        <f>Risk_Compensation!$R$86</f>
        <v>JU</v>
      </c>
      <c r="G6995" s="1390"/>
      <c r="H6995" s="1077">
        <f>Risk_Compensation!$R87</f>
        <v>0</v>
      </c>
    </row>
    <row r="6996" spans="1:8" x14ac:dyDescent="0.2">
      <c r="A6996" s="1027"/>
      <c r="B6996" s="1083">
        <f>Risk_Compensation!A$1</f>
        <v>36</v>
      </c>
      <c r="C6996" s="1390" t="str">
        <f>Risk_Compensation!$B$1</f>
        <v xml:space="preserve">Risikoausgleich </v>
      </c>
      <c r="D6996" s="2206" t="s">
        <v>2573</v>
      </c>
      <c r="E6996" s="1390" t="str">
        <f>Risk_Compensation!$D88</f>
        <v>ADH</v>
      </c>
      <c r="F6996" s="1390" t="str">
        <f>Risk_Compensation!$R$86</f>
        <v>JU</v>
      </c>
      <c r="G6996" s="1390"/>
      <c r="H6996" s="1077">
        <f>Risk_Compensation!$R88</f>
        <v>0</v>
      </c>
    </row>
    <row r="6997" spans="1:8" x14ac:dyDescent="0.2">
      <c r="A6997" s="1027"/>
      <c r="B6997" s="1083">
        <f>Risk_Compensation!A$1</f>
        <v>36</v>
      </c>
      <c r="C6997" s="1390" t="str">
        <f>Risk_Compensation!$B$1</f>
        <v xml:space="preserve">Risikoausgleich </v>
      </c>
      <c r="D6997" s="2206" t="s">
        <v>2573</v>
      </c>
      <c r="E6997" s="1390" t="str">
        <f>Risk_Compensation!$D89</f>
        <v>AIK</v>
      </c>
      <c r="F6997" s="1390" t="str">
        <f>Risk_Compensation!$R$86</f>
        <v>JU</v>
      </c>
      <c r="G6997" s="1390"/>
      <c r="H6997" s="1077">
        <f>Risk_Compensation!$R89</f>
        <v>0</v>
      </c>
    </row>
    <row r="6998" spans="1:8" x14ac:dyDescent="0.2">
      <c r="A6998" s="1027"/>
      <c r="B6998" s="1083">
        <f>Risk_Compensation!A$1</f>
        <v>36</v>
      </c>
      <c r="C6998" s="1390" t="str">
        <f>Risk_Compensation!$B$1</f>
        <v xml:space="preserve">Risikoausgleich </v>
      </c>
      <c r="D6998" s="2206" t="s">
        <v>2573</v>
      </c>
      <c r="E6998" s="1390" t="str">
        <f>Risk_Compensation!$D90</f>
        <v>ALZ</v>
      </c>
      <c r="F6998" s="1390" t="str">
        <f>Risk_Compensation!$R$86</f>
        <v>JU</v>
      </c>
      <c r="G6998" s="1390"/>
      <c r="H6998" s="1077">
        <f>Risk_Compensation!$R90</f>
        <v>0</v>
      </c>
    </row>
    <row r="6999" spans="1:8" x14ac:dyDescent="0.2">
      <c r="A6999" s="1027"/>
      <c r="B6999" s="1083">
        <f>Risk_Compensation!A$1</f>
        <v>36</v>
      </c>
      <c r="C6999" s="1390" t="str">
        <f>Risk_Compensation!$B$1</f>
        <v xml:space="preserve">Risikoausgleich </v>
      </c>
      <c r="D6999" s="2206" t="s">
        <v>2573</v>
      </c>
      <c r="E6999" s="1390" t="str">
        <f>Risk_Compensation!$D91</f>
        <v>AST</v>
      </c>
      <c r="F6999" s="1390" t="str">
        <f>Risk_Compensation!$R$86</f>
        <v>JU</v>
      </c>
      <c r="G6999" s="1390"/>
      <c r="H6999" s="1077">
        <f>Risk_Compensation!$R91</f>
        <v>0</v>
      </c>
    </row>
    <row r="7000" spans="1:8" x14ac:dyDescent="0.2">
      <c r="A7000" s="1027"/>
      <c r="B7000" s="1083">
        <f>Risk_Compensation!A$1</f>
        <v>36</v>
      </c>
      <c r="C7000" s="1390" t="str">
        <f>Risk_Compensation!$B$1</f>
        <v xml:space="preserve">Risikoausgleich </v>
      </c>
      <c r="D7000" s="2206" t="s">
        <v>2573</v>
      </c>
      <c r="E7000" s="1390" t="str">
        <f>Risk_Compensation!$D92</f>
        <v>BSR</v>
      </c>
      <c r="F7000" s="1390" t="str">
        <f>Risk_Compensation!$R$86</f>
        <v>JU</v>
      </c>
      <c r="G7000" s="1390"/>
      <c r="H7000" s="1077">
        <f>Risk_Compensation!$R92</f>
        <v>0</v>
      </c>
    </row>
    <row r="7001" spans="1:8" x14ac:dyDescent="0.2">
      <c r="A7001" s="1027"/>
      <c r="B7001" s="1083">
        <f>Risk_Compensation!A$1</f>
        <v>36</v>
      </c>
      <c r="C7001" s="1390" t="str">
        <f>Risk_Compensation!$B$1</f>
        <v xml:space="preserve">Risikoausgleich </v>
      </c>
      <c r="D7001" s="2206" t="s">
        <v>2573</v>
      </c>
      <c r="E7001" s="1390" t="str">
        <f>Risk_Compensation!$D93</f>
        <v>CAR</v>
      </c>
      <c r="F7001" s="1390" t="str">
        <f>Risk_Compensation!$R$86</f>
        <v>JU</v>
      </c>
      <c r="G7001" s="1390"/>
      <c r="H7001" s="1077">
        <f>Risk_Compensation!$R93</f>
        <v>0</v>
      </c>
    </row>
    <row r="7002" spans="1:8" x14ac:dyDescent="0.2">
      <c r="A7002" s="1027"/>
      <c r="B7002" s="1083">
        <f>Risk_Compensation!A$1</f>
        <v>36</v>
      </c>
      <c r="C7002" s="1390" t="str">
        <f>Risk_Compensation!$B$1</f>
        <v xml:space="preserve">Risikoausgleich </v>
      </c>
      <c r="D7002" s="2206" t="s">
        <v>2573</v>
      </c>
      <c r="E7002" s="1390" t="str">
        <f>Risk_Compensation!$D94</f>
        <v>COP</v>
      </c>
      <c r="F7002" s="1390" t="str">
        <f>Risk_Compensation!$R$86</f>
        <v>JU</v>
      </c>
      <c r="G7002" s="1390"/>
      <c r="H7002" s="1077">
        <f>Risk_Compensation!$R94</f>
        <v>0</v>
      </c>
    </row>
    <row r="7003" spans="1:8" x14ac:dyDescent="0.2">
      <c r="A7003" s="1027"/>
      <c r="B7003" s="1083">
        <f>Risk_Compensation!A$1</f>
        <v>36</v>
      </c>
      <c r="C7003" s="1390" t="str">
        <f>Risk_Compensation!$B$1</f>
        <v xml:space="preserve">Risikoausgleich </v>
      </c>
      <c r="D7003" s="2206" t="s">
        <v>2573</v>
      </c>
      <c r="E7003" s="1390" t="str">
        <f>Risk_Compensation!$D95</f>
        <v>DEP</v>
      </c>
      <c r="F7003" s="1390" t="str">
        <f>Risk_Compensation!$R$86</f>
        <v>JU</v>
      </c>
      <c r="G7003" s="1390"/>
      <c r="H7003" s="1077">
        <f>Risk_Compensation!$R95</f>
        <v>0</v>
      </c>
    </row>
    <row r="7004" spans="1:8" x14ac:dyDescent="0.2">
      <c r="A7004" s="1027"/>
      <c r="B7004" s="1083">
        <f>Risk_Compensation!A$1</f>
        <v>36</v>
      </c>
      <c r="C7004" s="1390" t="str">
        <f>Risk_Compensation!$B$1</f>
        <v xml:space="preserve">Risikoausgleich </v>
      </c>
      <c r="D7004" s="2206" t="s">
        <v>2573</v>
      </c>
      <c r="E7004" s="1390" t="str">
        <f>Risk_Compensation!$D96</f>
        <v>DM1</v>
      </c>
      <c r="F7004" s="1390" t="str">
        <f>Risk_Compensation!$R$86</f>
        <v>JU</v>
      </c>
      <c r="G7004" s="1390"/>
      <c r="H7004" s="1077">
        <f>Risk_Compensation!$R96</f>
        <v>0</v>
      </c>
    </row>
    <row r="7005" spans="1:8" x14ac:dyDescent="0.2">
      <c r="A7005" s="1027"/>
      <c r="B7005" s="1083">
        <f>Risk_Compensation!A$1</f>
        <v>36</v>
      </c>
      <c r="C7005" s="1390" t="str">
        <f>Risk_Compensation!$B$1</f>
        <v xml:space="preserve">Risikoausgleich </v>
      </c>
      <c r="D7005" s="2206" t="s">
        <v>2573</v>
      </c>
      <c r="E7005" s="1390" t="str">
        <f>Risk_Compensation!$D97</f>
        <v>DM2</v>
      </c>
      <c r="F7005" s="1390" t="str">
        <f>Risk_Compensation!$R$86</f>
        <v>JU</v>
      </c>
      <c r="G7005" s="1390"/>
      <c r="H7005" s="1077">
        <f>Risk_Compensation!$R97</f>
        <v>0</v>
      </c>
    </row>
    <row r="7006" spans="1:8" x14ac:dyDescent="0.2">
      <c r="A7006" s="1027"/>
      <c r="B7006" s="1083">
        <f>Risk_Compensation!A$1</f>
        <v>36</v>
      </c>
      <c r="C7006" s="1390" t="str">
        <f>Risk_Compensation!$B$1</f>
        <v xml:space="preserve">Risikoausgleich </v>
      </c>
      <c r="D7006" s="2206" t="s">
        <v>2573</v>
      </c>
      <c r="E7006" s="1390" t="str">
        <f>Risk_Compensation!$D98</f>
        <v>EPI</v>
      </c>
      <c r="F7006" s="1390" t="str">
        <f>Risk_Compensation!$R$86</f>
        <v>JU</v>
      </c>
      <c r="G7006" s="1390"/>
      <c r="H7006" s="1077">
        <f>Risk_Compensation!$R98</f>
        <v>0</v>
      </c>
    </row>
    <row r="7007" spans="1:8" x14ac:dyDescent="0.2">
      <c r="A7007" s="1027"/>
      <c r="B7007" s="1083">
        <f>Risk_Compensation!A$1</f>
        <v>36</v>
      </c>
      <c r="C7007" s="1390" t="str">
        <f>Risk_Compensation!$B$1</f>
        <v xml:space="preserve">Risikoausgleich </v>
      </c>
      <c r="D7007" s="2206" t="s">
        <v>2573</v>
      </c>
      <c r="E7007" s="1390" t="str">
        <f>Risk_Compensation!$D99</f>
        <v>GLA</v>
      </c>
      <c r="F7007" s="1390" t="str">
        <f>Risk_Compensation!$R$86</f>
        <v>JU</v>
      </c>
      <c r="G7007" s="1390"/>
      <c r="H7007" s="1077">
        <f>Risk_Compensation!$R99</f>
        <v>0</v>
      </c>
    </row>
    <row r="7008" spans="1:8" x14ac:dyDescent="0.2">
      <c r="A7008" s="1027"/>
      <c r="B7008" s="1083">
        <f>Risk_Compensation!A$1</f>
        <v>36</v>
      </c>
      <c r="C7008" s="1390" t="str">
        <f>Risk_Compensation!$B$1</f>
        <v xml:space="preserve">Risikoausgleich </v>
      </c>
      <c r="D7008" s="2206" t="s">
        <v>2573</v>
      </c>
      <c r="E7008" s="1390" t="str">
        <f>Risk_Compensation!$D100</f>
        <v>HCH</v>
      </c>
      <c r="F7008" s="1390" t="str">
        <f>Risk_Compensation!$R$86</f>
        <v>JU</v>
      </c>
      <c r="G7008" s="1390"/>
      <c r="H7008" s="1077">
        <f>Risk_Compensation!$R100</f>
        <v>0</v>
      </c>
    </row>
    <row r="7009" spans="1:8" x14ac:dyDescent="0.2">
      <c r="A7009" s="1027"/>
      <c r="B7009" s="1083">
        <f>Risk_Compensation!A$1</f>
        <v>36</v>
      </c>
      <c r="C7009" s="1390" t="str">
        <f>Risk_Compensation!$B$1</f>
        <v xml:space="preserve">Risikoausgleich </v>
      </c>
      <c r="D7009" s="2206" t="s">
        <v>2573</v>
      </c>
      <c r="E7009" s="1390" t="str">
        <f>Risk_Compensation!$D101</f>
        <v>HIV</v>
      </c>
      <c r="F7009" s="1390" t="str">
        <f>Risk_Compensation!$R$86</f>
        <v>JU</v>
      </c>
      <c r="G7009" s="1390"/>
      <c r="H7009" s="1077">
        <f>Risk_Compensation!$R101</f>
        <v>0</v>
      </c>
    </row>
    <row r="7010" spans="1:8" x14ac:dyDescent="0.2">
      <c r="A7010" s="1027"/>
      <c r="B7010" s="1083">
        <f>Risk_Compensation!A$1</f>
        <v>36</v>
      </c>
      <c r="C7010" s="1390" t="str">
        <f>Risk_Compensation!$B$1</f>
        <v xml:space="preserve">Risikoausgleich </v>
      </c>
      <c r="D7010" s="2206" t="s">
        <v>2573</v>
      </c>
      <c r="E7010" s="1390" t="str">
        <f>Risk_Compensation!$D102</f>
        <v>KHO</v>
      </c>
      <c r="F7010" s="1390" t="str">
        <f>Risk_Compensation!$R$86</f>
        <v>JU</v>
      </c>
      <c r="G7010" s="1390"/>
      <c r="H7010" s="1077">
        <f>Risk_Compensation!$R102</f>
        <v>0</v>
      </c>
    </row>
    <row r="7011" spans="1:8" x14ac:dyDescent="0.2">
      <c r="A7011" s="1027"/>
      <c r="B7011" s="1083">
        <f>Risk_Compensation!A$1</f>
        <v>36</v>
      </c>
      <c r="C7011" s="1390" t="str">
        <f>Risk_Compensation!$B$1</f>
        <v xml:space="preserve">Risikoausgleich </v>
      </c>
      <c r="D7011" s="2206" t="s">
        <v>2573</v>
      </c>
      <c r="E7011" s="1390" t="str">
        <f>Risk_Compensation!$D103</f>
        <v>KRE</v>
      </c>
      <c r="F7011" s="1390" t="str">
        <f>Risk_Compensation!$R$86</f>
        <v>JU</v>
      </c>
      <c r="G7011" s="1390"/>
      <c r="H7011" s="1077">
        <f>Risk_Compensation!$R103</f>
        <v>0</v>
      </c>
    </row>
    <row r="7012" spans="1:8" x14ac:dyDescent="0.2">
      <c r="A7012" s="1027"/>
      <c r="B7012" s="1083">
        <f>Risk_Compensation!A$1</f>
        <v>36</v>
      </c>
      <c r="C7012" s="1390" t="str">
        <f>Risk_Compensation!$B$1</f>
        <v xml:space="preserve">Risikoausgleich </v>
      </c>
      <c r="D7012" s="2206" t="s">
        <v>2573</v>
      </c>
      <c r="E7012" s="1390" t="str">
        <f>Risk_Compensation!$D104</f>
        <v>KRK</v>
      </c>
      <c r="F7012" s="1390" t="str">
        <f>Risk_Compensation!$R$86</f>
        <v>JU</v>
      </c>
      <c r="G7012" s="1390"/>
      <c r="H7012" s="1077">
        <f>Risk_Compensation!$R104</f>
        <v>0</v>
      </c>
    </row>
    <row r="7013" spans="1:8" x14ac:dyDescent="0.2">
      <c r="A7013" s="1027"/>
      <c r="B7013" s="1083">
        <f>Risk_Compensation!A$1</f>
        <v>36</v>
      </c>
      <c r="C7013" s="1390" t="str">
        <f>Risk_Compensation!$B$1</f>
        <v xml:space="preserve">Risikoausgleich </v>
      </c>
      <c r="D7013" s="2206" t="s">
        <v>2573</v>
      </c>
      <c r="E7013" s="1390" t="str">
        <f>Risk_Compensation!$D105</f>
        <v>MCR</v>
      </c>
      <c r="F7013" s="1390" t="str">
        <f>Risk_Compensation!$R$86</f>
        <v>JU</v>
      </c>
      <c r="G7013" s="1390"/>
      <c r="H7013" s="1077">
        <f>Risk_Compensation!$R105</f>
        <v>0</v>
      </c>
    </row>
    <row r="7014" spans="1:8" x14ac:dyDescent="0.2">
      <c r="A7014" s="1027"/>
      <c r="B7014" s="1083">
        <f>Risk_Compensation!A$1</f>
        <v>36</v>
      </c>
      <c r="C7014" s="1390" t="str">
        <f>Risk_Compensation!$B$1</f>
        <v xml:space="preserve">Risikoausgleich </v>
      </c>
      <c r="D7014" s="2206" t="s">
        <v>2573</v>
      </c>
      <c r="E7014" s="1390" t="str">
        <f>Risk_Compensation!$D106</f>
        <v>MSK</v>
      </c>
      <c r="F7014" s="1390" t="str">
        <f>Risk_Compensation!$R$86</f>
        <v>JU</v>
      </c>
      <c r="G7014" s="1390"/>
      <c r="H7014" s="1077">
        <f>Risk_Compensation!$R106</f>
        <v>0</v>
      </c>
    </row>
    <row r="7015" spans="1:8" x14ac:dyDescent="0.2">
      <c r="A7015" s="1027"/>
      <c r="B7015" s="1083">
        <f>Risk_Compensation!A$1</f>
        <v>36</v>
      </c>
      <c r="C7015" s="1390" t="str">
        <f>Risk_Compensation!$B$1</f>
        <v xml:space="preserve">Risikoausgleich </v>
      </c>
      <c r="D7015" s="2206" t="s">
        <v>2573</v>
      </c>
      <c r="E7015" s="1390" t="str">
        <f>Risk_Compensation!$D107</f>
        <v>NIE</v>
      </c>
      <c r="F7015" s="1390" t="str">
        <f>Risk_Compensation!$R$86</f>
        <v>JU</v>
      </c>
      <c r="G7015" s="1390"/>
      <c r="H7015" s="1077">
        <f>Risk_Compensation!$R107</f>
        <v>0</v>
      </c>
    </row>
    <row r="7016" spans="1:8" x14ac:dyDescent="0.2">
      <c r="A7016" s="1027"/>
      <c r="B7016" s="1083">
        <f>Risk_Compensation!A$1</f>
        <v>36</v>
      </c>
      <c r="C7016" s="1390" t="str">
        <f>Risk_Compensation!$B$1</f>
        <v xml:space="preserve">Risikoausgleich </v>
      </c>
      <c r="D7016" s="2206" t="s">
        <v>2573</v>
      </c>
      <c r="E7016" s="1390" t="str">
        <f>Risk_Compensation!$D108</f>
        <v>PAH</v>
      </c>
      <c r="F7016" s="1390" t="str">
        <f>Risk_Compensation!$R$86</f>
        <v>JU</v>
      </c>
      <c r="G7016" s="1390"/>
      <c r="H7016" s="1077">
        <f>Risk_Compensation!$R108</f>
        <v>0</v>
      </c>
    </row>
    <row r="7017" spans="1:8" x14ac:dyDescent="0.2">
      <c r="A7017" s="1027"/>
      <c r="B7017" s="1083">
        <f>Risk_Compensation!A$1</f>
        <v>36</v>
      </c>
      <c r="C7017" s="1390" t="str">
        <f>Risk_Compensation!$B$1</f>
        <v xml:space="preserve">Risikoausgleich </v>
      </c>
      <c r="D7017" s="2206" t="s">
        <v>2573</v>
      </c>
      <c r="E7017" s="1390" t="str">
        <f>Risk_Compensation!$D109</f>
        <v>PAR</v>
      </c>
      <c r="F7017" s="1390" t="str">
        <f>Risk_Compensation!$R$86</f>
        <v>JU</v>
      </c>
      <c r="G7017" s="1390"/>
      <c r="H7017" s="1077">
        <f>Risk_Compensation!$R109</f>
        <v>0</v>
      </c>
    </row>
    <row r="7018" spans="1:8" x14ac:dyDescent="0.2">
      <c r="A7018" s="1027"/>
      <c r="B7018" s="1083">
        <f>Risk_Compensation!A$1</f>
        <v>36</v>
      </c>
      <c r="C7018" s="1390" t="str">
        <f>Risk_Compensation!$B$1</f>
        <v xml:space="preserve">Risikoausgleich </v>
      </c>
      <c r="D7018" s="2206" t="s">
        <v>2573</v>
      </c>
      <c r="E7018" s="1390" t="str">
        <f>Risk_Compensation!$D110</f>
        <v>PSO</v>
      </c>
      <c r="F7018" s="1390" t="str">
        <f>Risk_Compensation!$R$86</f>
        <v>JU</v>
      </c>
      <c r="G7018" s="1390"/>
      <c r="H7018" s="1077">
        <f>Risk_Compensation!$R110</f>
        <v>0</v>
      </c>
    </row>
    <row r="7019" spans="1:8" x14ac:dyDescent="0.2">
      <c r="A7019" s="1027"/>
      <c r="B7019" s="1083">
        <f>Risk_Compensation!A$1</f>
        <v>36</v>
      </c>
      <c r="C7019" s="1390" t="str">
        <f>Risk_Compensation!$B$1</f>
        <v xml:space="preserve">Risikoausgleich </v>
      </c>
      <c r="D7019" s="2206" t="s">
        <v>2573</v>
      </c>
      <c r="E7019" s="1390" t="str">
        <f>Risk_Compensation!$D111</f>
        <v>PSY</v>
      </c>
      <c r="F7019" s="1390" t="str">
        <f>Risk_Compensation!$R$86</f>
        <v>JU</v>
      </c>
      <c r="G7019" s="1390"/>
      <c r="H7019" s="1077">
        <f>Risk_Compensation!$R111</f>
        <v>0</v>
      </c>
    </row>
    <row r="7020" spans="1:8" x14ac:dyDescent="0.2">
      <c r="A7020" s="1027"/>
      <c r="B7020" s="1083">
        <f>Risk_Compensation!A$1</f>
        <v>36</v>
      </c>
      <c r="C7020" s="1390" t="str">
        <f>Risk_Compensation!$B$1</f>
        <v xml:space="preserve">Risikoausgleich </v>
      </c>
      <c r="D7020" s="2206" t="s">
        <v>2573</v>
      </c>
      <c r="E7020" s="1390" t="str">
        <f>Risk_Compensation!$D112</f>
        <v>RHE</v>
      </c>
      <c r="F7020" s="1390" t="str">
        <f>Risk_Compensation!$R$86</f>
        <v>JU</v>
      </c>
      <c r="G7020" s="1390"/>
      <c r="H7020" s="1077">
        <f>Risk_Compensation!$R112</f>
        <v>0</v>
      </c>
    </row>
    <row r="7021" spans="1:8" x14ac:dyDescent="0.2">
      <c r="A7021" s="1027"/>
      <c r="B7021" s="1083">
        <f>Risk_Compensation!A$1</f>
        <v>36</v>
      </c>
      <c r="C7021" s="1390" t="str">
        <f>Risk_Compensation!$B$1</f>
        <v xml:space="preserve">Risikoausgleich </v>
      </c>
      <c r="D7021" s="2206" t="s">
        <v>2573</v>
      </c>
      <c r="E7021" s="1390" t="str">
        <f>Risk_Compensation!$D113</f>
        <v>SMC</v>
      </c>
      <c r="F7021" s="1390" t="str">
        <f>Risk_Compensation!$R$86</f>
        <v>JU</v>
      </c>
      <c r="G7021" s="1390"/>
      <c r="H7021" s="1077">
        <f>Risk_Compensation!$R113</f>
        <v>0</v>
      </c>
    </row>
    <row r="7022" spans="1:8" x14ac:dyDescent="0.2">
      <c r="A7022" s="1027"/>
      <c r="B7022" s="1083">
        <f>Risk_Compensation!A$1</f>
        <v>36</v>
      </c>
      <c r="C7022" s="1390" t="str">
        <f>Risk_Compensation!$B$1</f>
        <v xml:space="preserve">Risikoausgleich </v>
      </c>
      <c r="D7022" s="2206" t="s">
        <v>2573</v>
      </c>
      <c r="E7022" s="1390" t="str">
        <f>Risk_Compensation!$D114</f>
        <v>SMN</v>
      </c>
      <c r="F7022" s="1390" t="str">
        <f>Risk_Compensation!$R$86</f>
        <v>JU</v>
      </c>
      <c r="G7022" s="1390"/>
      <c r="H7022" s="1077">
        <f>Risk_Compensation!$R114</f>
        <v>0</v>
      </c>
    </row>
    <row r="7023" spans="1:8" x14ac:dyDescent="0.2">
      <c r="A7023" s="1027"/>
      <c r="B7023" s="1083">
        <f>Risk_Compensation!A$1</f>
        <v>36</v>
      </c>
      <c r="C7023" s="1390" t="str">
        <f>Risk_Compensation!$B$1</f>
        <v xml:space="preserve">Risikoausgleich </v>
      </c>
      <c r="D7023" s="2206" t="s">
        <v>2573</v>
      </c>
      <c r="E7023" s="1390" t="str">
        <f>Risk_Compensation!$D115</f>
        <v>THY</v>
      </c>
      <c r="F7023" s="1390" t="str">
        <f>Risk_Compensation!$R$86</f>
        <v>JU</v>
      </c>
      <c r="G7023" s="1390"/>
      <c r="H7023" s="1077">
        <f>Risk_Compensation!$R115</f>
        <v>0</v>
      </c>
    </row>
    <row r="7024" spans="1:8" x14ac:dyDescent="0.2">
      <c r="A7024" s="1027"/>
      <c r="B7024" s="1083">
        <f>Risk_Compensation!A$1</f>
        <v>36</v>
      </c>
      <c r="C7024" s="1390" t="str">
        <f>Risk_Compensation!$B$1</f>
        <v xml:space="preserve">Risikoausgleich </v>
      </c>
      <c r="D7024" s="2206" t="s">
        <v>2573</v>
      </c>
      <c r="E7024" s="1390" t="str">
        <f>Risk_Compensation!$D116</f>
        <v>TRA</v>
      </c>
      <c r="F7024" s="1390" t="str">
        <f>Risk_Compensation!$R$86</f>
        <v>JU</v>
      </c>
      <c r="G7024" s="1390"/>
      <c r="H7024" s="1077">
        <f>Risk_Compensation!$R116</f>
        <v>0</v>
      </c>
    </row>
    <row r="7025" spans="1:8" x14ac:dyDescent="0.2">
      <c r="A7025" s="1027"/>
      <c r="B7025" s="1083">
        <f>Risk_Compensation!A$1</f>
        <v>36</v>
      </c>
      <c r="C7025" s="1390" t="str">
        <f>Risk_Compensation!$B$1</f>
        <v xml:space="preserve">Risikoausgleich </v>
      </c>
      <c r="D7025" s="2206" t="s">
        <v>2573</v>
      </c>
      <c r="E7025" s="1390" t="str">
        <f>Risk_Compensation!$D117</f>
        <v>WAS</v>
      </c>
      <c r="F7025" s="1390" t="str">
        <f>Risk_Compensation!$R$86</f>
        <v>JU</v>
      </c>
      <c r="G7025" s="1390"/>
      <c r="H7025" s="1077">
        <f>Risk_Compensation!$R117</f>
        <v>0</v>
      </c>
    </row>
    <row r="7026" spans="1:8" x14ac:dyDescent="0.2">
      <c r="A7026" s="1027"/>
      <c r="B7026" s="1083">
        <f>Risk_Compensation!A$1</f>
        <v>36</v>
      </c>
      <c r="C7026" s="1390" t="str">
        <f>Risk_Compensation!$B$1</f>
        <v xml:space="preserve">Risikoausgleich </v>
      </c>
      <c r="D7026" s="2206" t="s">
        <v>2573</v>
      </c>
      <c r="E7026" s="1390" t="str">
        <f>Risk_Compensation!$D118</f>
        <v>ZFP</v>
      </c>
      <c r="F7026" s="1390" t="str">
        <f>Risk_Compensation!$R$86</f>
        <v>JU</v>
      </c>
      <c r="G7026" s="1390"/>
      <c r="H7026" s="1077">
        <f>Risk_Compensation!$R118</f>
        <v>0</v>
      </c>
    </row>
    <row r="7027" spans="1:8" x14ac:dyDescent="0.2">
      <c r="A7027" s="1027"/>
      <c r="B7027" s="1083">
        <f>Risk_Compensation!A$1</f>
        <v>36</v>
      </c>
      <c r="C7027" s="1390" t="str">
        <f>Risk_Compensation!$B$1</f>
        <v xml:space="preserve">Risikoausgleich </v>
      </c>
      <c r="D7027" s="2206" t="s">
        <v>2573</v>
      </c>
      <c r="E7027" s="1390" t="str">
        <f>Risk_Compensation!$D119</f>
        <v>ZNS</v>
      </c>
      <c r="F7027" s="1390" t="str">
        <f>Risk_Compensation!$R$86</f>
        <v>JU</v>
      </c>
      <c r="G7027" s="1390"/>
      <c r="H7027" s="1077">
        <f>Risk_Compensation!$R119</f>
        <v>0</v>
      </c>
    </row>
    <row r="7028" spans="1:8" x14ac:dyDescent="0.2">
      <c r="A7028" s="1027"/>
      <c r="B7028" s="1083">
        <f>Risk_Compensation!A$1</f>
        <v>36</v>
      </c>
      <c r="C7028" s="1390" t="str">
        <f>Risk_Compensation!$B$1</f>
        <v xml:space="preserve">Risikoausgleich </v>
      </c>
      <c r="D7028" s="2206" t="s">
        <v>2573</v>
      </c>
      <c r="E7028" s="1390" t="str">
        <f>Risk_Compensation!$D120</f>
        <v>DM2 + hyp</v>
      </c>
      <c r="F7028" s="1390" t="str">
        <f>Risk_Compensation!$R$86</f>
        <v>JU</v>
      </c>
      <c r="G7028" s="1390"/>
      <c r="H7028" s="1077">
        <f>Risk_Compensation!$R120</f>
        <v>0</v>
      </c>
    </row>
    <row r="7029" spans="1:8" x14ac:dyDescent="0.2">
      <c r="A7029" s="1027"/>
      <c r="B7029" s="2174"/>
      <c r="C7029" s="1390"/>
      <c r="D7029" s="2175"/>
      <c r="E7029" s="2176"/>
      <c r="F7029" s="1390"/>
      <c r="G7029" s="1390"/>
      <c r="H7029" s="1078"/>
    </row>
    <row r="7030" spans="1:8" x14ac:dyDescent="0.2">
      <c r="A7030" s="1027"/>
      <c r="B7030" s="1083">
        <f>Risk_Compensation!A$1</f>
        <v>36</v>
      </c>
      <c r="C7030" s="1390" t="str">
        <f>Risk_Compensation!$B$1</f>
        <v xml:space="preserve">Risikoausgleich </v>
      </c>
      <c r="D7030" s="2206" t="s">
        <v>2573</v>
      </c>
      <c r="E7030" s="1390" t="str">
        <f>Risk_Compensation!$D87</f>
        <v>ABH</v>
      </c>
      <c r="F7030" s="1390" t="str">
        <f>Risk_Compensation!$R$86</f>
        <v>JU</v>
      </c>
      <c r="G7030" s="1390"/>
      <c r="H7030" s="1077">
        <f>Risk_Compensation!$S87</f>
        <v>0</v>
      </c>
    </row>
    <row r="7031" spans="1:8" x14ac:dyDescent="0.2">
      <c r="A7031" s="1027"/>
      <c r="B7031" s="1083">
        <f>Risk_Compensation!A$1</f>
        <v>36</v>
      </c>
      <c r="C7031" s="1390" t="str">
        <f>Risk_Compensation!$B$1</f>
        <v xml:space="preserve">Risikoausgleich </v>
      </c>
      <c r="D7031" s="2206" t="s">
        <v>2573</v>
      </c>
      <c r="E7031" s="1390" t="str">
        <f>Risk_Compensation!$D88</f>
        <v>ADH</v>
      </c>
      <c r="F7031" s="1390" t="str">
        <f>Risk_Compensation!$R$86</f>
        <v>JU</v>
      </c>
      <c r="G7031" s="1390"/>
      <c r="H7031" s="1077">
        <f>Risk_Compensation!$S88</f>
        <v>0</v>
      </c>
    </row>
    <row r="7032" spans="1:8" x14ac:dyDescent="0.2">
      <c r="A7032" s="1027"/>
      <c r="B7032" s="1083">
        <f>Risk_Compensation!A$1</f>
        <v>36</v>
      </c>
      <c r="C7032" s="1390" t="str">
        <f>Risk_Compensation!$B$1</f>
        <v xml:space="preserve">Risikoausgleich </v>
      </c>
      <c r="D7032" s="2206" t="s">
        <v>2573</v>
      </c>
      <c r="E7032" s="1390" t="str">
        <f>Risk_Compensation!$D89</f>
        <v>AIK</v>
      </c>
      <c r="F7032" s="1390" t="str">
        <f>Risk_Compensation!$R$86</f>
        <v>JU</v>
      </c>
      <c r="G7032" s="1390"/>
      <c r="H7032" s="1077">
        <f>Risk_Compensation!$S89</f>
        <v>0</v>
      </c>
    </row>
    <row r="7033" spans="1:8" x14ac:dyDescent="0.2">
      <c r="A7033" s="1027"/>
      <c r="B7033" s="1083">
        <f>Risk_Compensation!A$1</f>
        <v>36</v>
      </c>
      <c r="C7033" s="1390" t="str">
        <f>Risk_Compensation!$B$1</f>
        <v xml:space="preserve">Risikoausgleich </v>
      </c>
      <c r="D7033" s="2206" t="s">
        <v>2573</v>
      </c>
      <c r="E7033" s="1390" t="str">
        <f>Risk_Compensation!$D90</f>
        <v>ALZ</v>
      </c>
      <c r="F7033" s="1390" t="str">
        <f>Risk_Compensation!$R$86</f>
        <v>JU</v>
      </c>
      <c r="G7033" s="1390"/>
      <c r="H7033" s="1077">
        <f>Risk_Compensation!$S90</f>
        <v>0</v>
      </c>
    </row>
    <row r="7034" spans="1:8" x14ac:dyDescent="0.2">
      <c r="A7034" s="1027"/>
      <c r="B7034" s="1083">
        <f>Risk_Compensation!A$1</f>
        <v>36</v>
      </c>
      <c r="C7034" s="1390" t="str">
        <f>Risk_Compensation!$B$1</f>
        <v xml:space="preserve">Risikoausgleich </v>
      </c>
      <c r="D7034" s="2206" t="s">
        <v>2573</v>
      </c>
      <c r="E7034" s="1390" t="str">
        <f>Risk_Compensation!$D91</f>
        <v>AST</v>
      </c>
      <c r="F7034" s="1390" t="str">
        <f>Risk_Compensation!$R$86</f>
        <v>JU</v>
      </c>
      <c r="G7034" s="1390"/>
      <c r="H7034" s="1077">
        <f>Risk_Compensation!$S91</f>
        <v>0</v>
      </c>
    </row>
    <row r="7035" spans="1:8" x14ac:dyDescent="0.2">
      <c r="A7035" s="1027"/>
      <c r="B7035" s="1083">
        <f>Risk_Compensation!A$1</f>
        <v>36</v>
      </c>
      <c r="C7035" s="1390" t="str">
        <f>Risk_Compensation!$B$1</f>
        <v xml:space="preserve">Risikoausgleich </v>
      </c>
      <c r="D7035" s="2206" t="s">
        <v>2573</v>
      </c>
      <c r="E7035" s="1390" t="str">
        <f>Risk_Compensation!$D92</f>
        <v>BSR</v>
      </c>
      <c r="F7035" s="1390" t="str">
        <f>Risk_Compensation!$R$86</f>
        <v>JU</v>
      </c>
      <c r="G7035" s="1390"/>
      <c r="H7035" s="1077">
        <f>Risk_Compensation!$S92</f>
        <v>0</v>
      </c>
    </row>
    <row r="7036" spans="1:8" x14ac:dyDescent="0.2">
      <c r="A7036" s="1027"/>
      <c r="B7036" s="1083">
        <f>Risk_Compensation!A$1</f>
        <v>36</v>
      </c>
      <c r="C7036" s="1390" t="str">
        <f>Risk_Compensation!$B$1</f>
        <v xml:space="preserve">Risikoausgleich </v>
      </c>
      <c r="D7036" s="2206" t="s">
        <v>2573</v>
      </c>
      <c r="E7036" s="1390" t="str">
        <f>Risk_Compensation!$D93</f>
        <v>CAR</v>
      </c>
      <c r="F7036" s="1390" t="str">
        <f>Risk_Compensation!$R$86</f>
        <v>JU</v>
      </c>
      <c r="G7036" s="1390"/>
      <c r="H7036" s="1077">
        <f>Risk_Compensation!$S93</f>
        <v>0</v>
      </c>
    </row>
    <row r="7037" spans="1:8" x14ac:dyDescent="0.2">
      <c r="A7037" s="1027"/>
      <c r="B7037" s="1083">
        <f>Risk_Compensation!A$1</f>
        <v>36</v>
      </c>
      <c r="C7037" s="1390" t="str">
        <f>Risk_Compensation!$B$1</f>
        <v xml:space="preserve">Risikoausgleich </v>
      </c>
      <c r="D7037" s="2206" t="s">
        <v>2573</v>
      </c>
      <c r="E7037" s="1390" t="str">
        <f>Risk_Compensation!$D94</f>
        <v>COP</v>
      </c>
      <c r="F7037" s="1390" t="str">
        <f>Risk_Compensation!$R$86</f>
        <v>JU</v>
      </c>
      <c r="G7037" s="1390"/>
      <c r="H7037" s="1077">
        <f>Risk_Compensation!$S94</f>
        <v>0</v>
      </c>
    </row>
    <row r="7038" spans="1:8" x14ac:dyDescent="0.2">
      <c r="A7038" s="1027"/>
      <c r="B7038" s="1083">
        <f>Risk_Compensation!A$1</f>
        <v>36</v>
      </c>
      <c r="C7038" s="1390" t="str">
        <f>Risk_Compensation!$B$1</f>
        <v xml:space="preserve">Risikoausgleich </v>
      </c>
      <c r="D7038" s="2206" t="s">
        <v>2573</v>
      </c>
      <c r="E7038" s="1390" t="str">
        <f>Risk_Compensation!$D95</f>
        <v>DEP</v>
      </c>
      <c r="F7038" s="1390" t="str">
        <f>Risk_Compensation!$R$86</f>
        <v>JU</v>
      </c>
      <c r="G7038" s="1390"/>
      <c r="H7038" s="1077">
        <f>Risk_Compensation!$S95</f>
        <v>0</v>
      </c>
    </row>
    <row r="7039" spans="1:8" x14ac:dyDescent="0.2">
      <c r="A7039" s="1027"/>
      <c r="B7039" s="1083">
        <f>Risk_Compensation!A$1</f>
        <v>36</v>
      </c>
      <c r="C7039" s="1390" t="str">
        <f>Risk_Compensation!$B$1</f>
        <v xml:space="preserve">Risikoausgleich </v>
      </c>
      <c r="D7039" s="2206" t="s">
        <v>2573</v>
      </c>
      <c r="E7039" s="1390" t="str">
        <f>Risk_Compensation!$D96</f>
        <v>DM1</v>
      </c>
      <c r="F7039" s="1390" t="str">
        <f>Risk_Compensation!$R$86</f>
        <v>JU</v>
      </c>
      <c r="G7039" s="1390"/>
      <c r="H7039" s="1077">
        <f>Risk_Compensation!$S96</f>
        <v>0</v>
      </c>
    </row>
    <row r="7040" spans="1:8" x14ac:dyDescent="0.2">
      <c r="A7040" s="1027"/>
      <c r="B7040" s="1083">
        <f>Risk_Compensation!A$1</f>
        <v>36</v>
      </c>
      <c r="C7040" s="1390" t="str">
        <f>Risk_Compensation!$B$1</f>
        <v xml:space="preserve">Risikoausgleich </v>
      </c>
      <c r="D7040" s="2206" t="s">
        <v>2573</v>
      </c>
      <c r="E7040" s="1390" t="str">
        <f>Risk_Compensation!$D97</f>
        <v>DM2</v>
      </c>
      <c r="F7040" s="1390" t="str">
        <f>Risk_Compensation!$R$86</f>
        <v>JU</v>
      </c>
      <c r="G7040" s="1390"/>
      <c r="H7040" s="1077">
        <f>Risk_Compensation!$S97</f>
        <v>0</v>
      </c>
    </row>
    <row r="7041" spans="1:8" x14ac:dyDescent="0.2">
      <c r="A7041" s="1027"/>
      <c r="B7041" s="1083">
        <f>Risk_Compensation!A$1</f>
        <v>36</v>
      </c>
      <c r="C7041" s="1390" t="str">
        <f>Risk_Compensation!$B$1</f>
        <v xml:space="preserve">Risikoausgleich </v>
      </c>
      <c r="D7041" s="2206" t="s">
        <v>2573</v>
      </c>
      <c r="E7041" s="1390" t="str">
        <f>Risk_Compensation!$D98</f>
        <v>EPI</v>
      </c>
      <c r="F7041" s="1390" t="str">
        <f>Risk_Compensation!$R$86</f>
        <v>JU</v>
      </c>
      <c r="G7041" s="1390"/>
      <c r="H7041" s="1077">
        <f>Risk_Compensation!$S98</f>
        <v>0</v>
      </c>
    </row>
    <row r="7042" spans="1:8" x14ac:dyDescent="0.2">
      <c r="A7042" s="1027"/>
      <c r="B7042" s="1083">
        <f>Risk_Compensation!A$1</f>
        <v>36</v>
      </c>
      <c r="C7042" s="1390" t="str">
        <f>Risk_Compensation!$B$1</f>
        <v xml:space="preserve">Risikoausgleich </v>
      </c>
      <c r="D7042" s="2206" t="s">
        <v>2573</v>
      </c>
      <c r="E7042" s="1390" t="str">
        <f>Risk_Compensation!$D99</f>
        <v>GLA</v>
      </c>
      <c r="F7042" s="1390" t="str">
        <f>Risk_Compensation!$R$86</f>
        <v>JU</v>
      </c>
      <c r="G7042" s="1390"/>
      <c r="H7042" s="1077">
        <f>Risk_Compensation!$S99</f>
        <v>0</v>
      </c>
    </row>
    <row r="7043" spans="1:8" x14ac:dyDescent="0.2">
      <c r="A7043" s="1027"/>
      <c r="B7043" s="1083">
        <f>Risk_Compensation!A$1</f>
        <v>36</v>
      </c>
      <c r="C7043" s="1390" t="str">
        <f>Risk_Compensation!$B$1</f>
        <v xml:space="preserve">Risikoausgleich </v>
      </c>
      <c r="D7043" s="2206" t="s">
        <v>2573</v>
      </c>
      <c r="E7043" s="1390" t="str">
        <f>Risk_Compensation!$D100</f>
        <v>HCH</v>
      </c>
      <c r="F7043" s="1390" t="str">
        <f>Risk_Compensation!$R$86</f>
        <v>JU</v>
      </c>
      <c r="G7043" s="1390"/>
      <c r="H7043" s="1077">
        <f>Risk_Compensation!$S100</f>
        <v>0</v>
      </c>
    </row>
    <row r="7044" spans="1:8" x14ac:dyDescent="0.2">
      <c r="A7044" s="1027"/>
      <c r="B7044" s="1083">
        <f>Risk_Compensation!A$1</f>
        <v>36</v>
      </c>
      <c r="C7044" s="1390" t="str">
        <f>Risk_Compensation!$B$1</f>
        <v xml:space="preserve">Risikoausgleich </v>
      </c>
      <c r="D7044" s="2206" t="s">
        <v>2573</v>
      </c>
      <c r="E7044" s="1390" t="str">
        <f>Risk_Compensation!$D101</f>
        <v>HIV</v>
      </c>
      <c r="F7044" s="1390" t="str">
        <f>Risk_Compensation!$R$86</f>
        <v>JU</v>
      </c>
      <c r="G7044" s="1390"/>
      <c r="H7044" s="1077">
        <f>Risk_Compensation!$S101</f>
        <v>0</v>
      </c>
    </row>
    <row r="7045" spans="1:8" x14ac:dyDescent="0.2">
      <c r="A7045" s="1027"/>
      <c r="B7045" s="1083">
        <f>Risk_Compensation!A$1</f>
        <v>36</v>
      </c>
      <c r="C7045" s="1390" t="str">
        <f>Risk_Compensation!$B$1</f>
        <v xml:space="preserve">Risikoausgleich </v>
      </c>
      <c r="D7045" s="2206" t="s">
        <v>2573</v>
      </c>
      <c r="E7045" s="1390" t="str">
        <f>Risk_Compensation!$D102</f>
        <v>KHO</v>
      </c>
      <c r="F7045" s="1390" t="str">
        <f>Risk_Compensation!$R$86</f>
        <v>JU</v>
      </c>
      <c r="G7045" s="1390"/>
      <c r="H7045" s="1077">
        <f>Risk_Compensation!$S102</f>
        <v>0</v>
      </c>
    </row>
    <row r="7046" spans="1:8" x14ac:dyDescent="0.2">
      <c r="A7046" s="1027"/>
      <c r="B7046" s="1083">
        <f>Risk_Compensation!A$1</f>
        <v>36</v>
      </c>
      <c r="C7046" s="1390" t="str">
        <f>Risk_Compensation!$B$1</f>
        <v xml:space="preserve">Risikoausgleich </v>
      </c>
      <c r="D7046" s="2206" t="s">
        <v>2573</v>
      </c>
      <c r="E7046" s="1390" t="str">
        <f>Risk_Compensation!$D103</f>
        <v>KRE</v>
      </c>
      <c r="F7046" s="1390" t="str">
        <f>Risk_Compensation!$R$86</f>
        <v>JU</v>
      </c>
      <c r="G7046" s="1390"/>
      <c r="H7046" s="1077">
        <f>Risk_Compensation!$S103</f>
        <v>0</v>
      </c>
    </row>
    <row r="7047" spans="1:8" x14ac:dyDescent="0.2">
      <c r="A7047" s="1027"/>
      <c r="B7047" s="1083">
        <f>Risk_Compensation!A$1</f>
        <v>36</v>
      </c>
      <c r="C7047" s="1390" t="str">
        <f>Risk_Compensation!$B$1</f>
        <v xml:space="preserve">Risikoausgleich </v>
      </c>
      <c r="D7047" s="2206" t="s">
        <v>2573</v>
      </c>
      <c r="E7047" s="1390" t="str">
        <f>Risk_Compensation!$D104</f>
        <v>KRK</v>
      </c>
      <c r="F7047" s="1390" t="str">
        <f>Risk_Compensation!$R$86</f>
        <v>JU</v>
      </c>
      <c r="G7047" s="1390"/>
      <c r="H7047" s="1077">
        <f>Risk_Compensation!$S104</f>
        <v>0</v>
      </c>
    </row>
    <row r="7048" spans="1:8" x14ac:dyDescent="0.2">
      <c r="A7048" s="1027"/>
      <c r="B7048" s="1083">
        <f>Risk_Compensation!A$1</f>
        <v>36</v>
      </c>
      <c r="C7048" s="1390" t="str">
        <f>Risk_Compensation!$B$1</f>
        <v xml:space="preserve">Risikoausgleich </v>
      </c>
      <c r="D7048" s="2206" t="s">
        <v>2573</v>
      </c>
      <c r="E7048" s="1390" t="str">
        <f>Risk_Compensation!$D105</f>
        <v>MCR</v>
      </c>
      <c r="F7048" s="1390" t="str">
        <f>Risk_Compensation!$R$86</f>
        <v>JU</v>
      </c>
      <c r="G7048" s="1390"/>
      <c r="H7048" s="1077">
        <f>Risk_Compensation!$S105</f>
        <v>0</v>
      </c>
    </row>
    <row r="7049" spans="1:8" x14ac:dyDescent="0.2">
      <c r="A7049" s="1027"/>
      <c r="B7049" s="1083">
        <f>Risk_Compensation!A$1</f>
        <v>36</v>
      </c>
      <c r="C7049" s="1390" t="str">
        <f>Risk_Compensation!$B$1</f>
        <v xml:space="preserve">Risikoausgleich </v>
      </c>
      <c r="D7049" s="2206" t="s">
        <v>2573</v>
      </c>
      <c r="E7049" s="1390" t="str">
        <f>Risk_Compensation!$D106</f>
        <v>MSK</v>
      </c>
      <c r="F7049" s="1390" t="str">
        <f>Risk_Compensation!$R$86</f>
        <v>JU</v>
      </c>
      <c r="G7049" s="1390"/>
      <c r="H7049" s="1077">
        <f>Risk_Compensation!$S106</f>
        <v>0</v>
      </c>
    </row>
    <row r="7050" spans="1:8" x14ac:dyDescent="0.2">
      <c r="A7050" s="1027"/>
      <c r="B7050" s="1083">
        <f>Risk_Compensation!A$1</f>
        <v>36</v>
      </c>
      <c r="C7050" s="1390" t="str">
        <f>Risk_Compensation!$B$1</f>
        <v xml:space="preserve">Risikoausgleich </v>
      </c>
      <c r="D7050" s="2206" t="s">
        <v>2573</v>
      </c>
      <c r="E7050" s="1390" t="str">
        <f>Risk_Compensation!$D107</f>
        <v>NIE</v>
      </c>
      <c r="F7050" s="1390" t="str">
        <f>Risk_Compensation!$R$86</f>
        <v>JU</v>
      </c>
      <c r="G7050" s="1390"/>
      <c r="H7050" s="1077">
        <f>Risk_Compensation!$S107</f>
        <v>0</v>
      </c>
    </row>
    <row r="7051" spans="1:8" x14ac:dyDescent="0.2">
      <c r="A7051" s="1027"/>
      <c r="B7051" s="1083">
        <f>Risk_Compensation!A$1</f>
        <v>36</v>
      </c>
      <c r="C7051" s="1390" t="str">
        <f>Risk_Compensation!$B$1</f>
        <v xml:space="preserve">Risikoausgleich </v>
      </c>
      <c r="D7051" s="2206" t="s">
        <v>2573</v>
      </c>
      <c r="E7051" s="1390" t="str">
        <f>Risk_Compensation!$D108</f>
        <v>PAH</v>
      </c>
      <c r="F7051" s="1390" t="str">
        <f>Risk_Compensation!$R$86</f>
        <v>JU</v>
      </c>
      <c r="G7051" s="1390"/>
      <c r="H7051" s="1077">
        <f>Risk_Compensation!$S108</f>
        <v>0</v>
      </c>
    </row>
    <row r="7052" spans="1:8" x14ac:dyDescent="0.2">
      <c r="A7052" s="1027"/>
      <c r="B7052" s="1083">
        <f>Risk_Compensation!A$1</f>
        <v>36</v>
      </c>
      <c r="C7052" s="1390" t="str">
        <f>Risk_Compensation!$B$1</f>
        <v xml:space="preserve">Risikoausgleich </v>
      </c>
      <c r="D7052" s="2206" t="s">
        <v>2573</v>
      </c>
      <c r="E7052" s="1390" t="str">
        <f>Risk_Compensation!$D109</f>
        <v>PAR</v>
      </c>
      <c r="F7052" s="1390" t="str">
        <f>Risk_Compensation!$R$86</f>
        <v>JU</v>
      </c>
      <c r="G7052" s="1390"/>
      <c r="H7052" s="1077">
        <f>Risk_Compensation!$S109</f>
        <v>0</v>
      </c>
    </row>
    <row r="7053" spans="1:8" x14ac:dyDescent="0.2">
      <c r="A7053" s="1027"/>
      <c r="B7053" s="1083">
        <f>Risk_Compensation!A$1</f>
        <v>36</v>
      </c>
      <c r="C7053" s="1390" t="str">
        <f>Risk_Compensation!$B$1</f>
        <v xml:space="preserve">Risikoausgleich </v>
      </c>
      <c r="D7053" s="2206" t="s">
        <v>2573</v>
      </c>
      <c r="E7053" s="1390" t="str">
        <f>Risk_Compensation!$D110</f>
        <v>PSO</v>
      </c>
      <c r="F7053" s="1390" t="str">
        <f>Risk_Compensation!$R$86</f>
        <v>JU</v>
      </c>
      <c r="G7053" s="1390"/>
      <c r="H7053" s="1077">
        <f>Risk_Compensation!$S110</f>
        <v>0</v>
      </c>
    </row>
    <row r="7054" spans="1:8" x14ac:dyDescent="0.2">
      <c r="A7054" s="1027"/>
      <c r="B7054" s="1083">
        <f>Risk_Compensation!A$1</f>
        <v>36</v>
      </c>
      <c r="C7054" s="1390" t="str">
        <f>Risk_Compensation!$B$1</f>
        <v xml:space="preserve">Risikoausgleich </v>
      </c>
      <c r="D7054" s="2206" t="s">
        <v>2573</v>
      </c>
      <c r="E7054" s="1390" t="str">
        <f>Risk_Compensation!$D111</f>
        <v>PSY</v>
      </c>
      <c r="F7054" s="1390" t="str">
        <f>Risk_Compensation!$R$86</f>
        <v>JU</v>
      </c>
      <c r="G7054" s="1390"/>
      <c r="H7054" s="1077">
        <f>Risk_Compensation!$S111</f>
        <v>0</v>
      </c>
    </row>
    <row r="7055" spans="1:8" x14ac:dyDescent="0.2">
      <c r="A7055" s="1027"/>
      <c r="B7055" s="1083">
        <f>Risk_Compensation!A$1</f>
        <v>36</v>
      </c>
      <c r="C7055" s="1390" t="str">
        <f>Risk_Compensation!$B$1</f>
        <v xml:space="preserve">Risikoausgleich </v>
      </c>
      <c r="D7055" s="2206" t="s">
        <v>2573</v>
      </c>
      <c r="E7055" s="1390" t="str">
        <f>Risk_Compensation!$D112</f>
        <v>RHE</v>
      </c>
      <c r="F7055" s="1390" t="str">
        <f>Risk_Compensation!$R$86</f>
        <v>JU</v>
      </c>
      <c r="G7055" s="1390"/>
      <c r="H7055" s="1077">
        <f>Risk_Compensation!$S112</f>
        <v>0</v>
      </c>
    </row>
    <row r="7056" spans="1:8" x14ac:dyDescent="0.2">
      <c r="A7056" s="1027"/>
      <c r="B7056" s="1083">
        <f>Risk_Compensation!A$1</f>
        <v>36</v>
      </c>
      <c r="C7056" s="1390" t="str">
        <f>Risk_Compensation!$B$1</f>
        <v xml:space="preserve">Risikoausgleich </v>
      </c>
      <c r="D7056" s="2206" t="s">
        <v>2573</v>
      </c>
      <c r="E7056" s="1390" t="str">
        <f>Risk_Compensation!$D113</f>
        <v>SMC</v>
      </c>
      <c r="F7056" s="1390" t="str">
        <f>Risk_Compensation!$R$86</f>
        <v>JU</v>
      </c>
      <c r="G7056" s="1390"/>
      <c r="H7056" s="1077">
        <f>Risk_Compensation!$S113</f>
        <v>0</v>
      </c>
    </row>
    <row r="7057" spans="1:8" x14ac:dyDescent="0.2">
      <c r="A7057" s="1027"/>
      <c r="B7057" s="1083">
        <f>Risk_Compensation!A$1</f>
        <v>36</v>
      </c>
      <c r="C7057" s="1390" t="str">
        <f>Risk_Compensation!$B$1</f>
        <v xml:space="preserve">Risikoausgleich </v>
      </c>
      <c r="D7057" s="2206" t="s">
        <v>2573</v>
      </c>
      <c r="E7057" s="1390" t="str">
        <f>Risk_Compensation!$D114</f>
        <v>SMN</v>
      </c>
      <c r="F7057" s="1390" t="str">
        <f>Risk_Compensation!$R$86</f>
        <v>JU</v>
      </c>
      <c r="G7057" s="1390"/>
      <c r="H7057" s="1077">
        <f>Risk_Compensation!$S114</f>
        <v>0</v>
      </c>
    </row>
    <row r="7058" spans="1:8" x14ac:dyDescent="0.2">
      <c r="A7058" s="1027"/>
      <c r="B7058" s="1083">
        <f>Risk_Compensation!A$1</f>
        <v>36</v>
      </c>
      <c r="C7058" s="1390" t="str">
        <f>Risk_Compensation!$B$1</f>
        <v xml:space="preserve">Risikoausgleich </v>
      </c>
      <c r="D7058" s="2206" t="s">
        <v>2573</v>
      </c>
      <c r="E7058" s="1390" t="str">
        <f>Risk_Compensation!$D115</f>
        <v>THY</v>
      </c>
      <c r="F7058" s="1390" t="str">
        <f>Risk_Compensation!$R$86</f>
        <v>JU</v>
      </c>
      <c r="G7058" s="1390"/>
      <c r="H7058" s="1077">
        <f>Risk_Compensation!$S115</f>
        <v>0</v>
      </c>
    </row>
    <row r="7059" spans="1:8" x14ac:dyDescent="0.2">
      <c r="A7059" s="1027"/>
      <c r="B7059" s="1083">
        <f>Risk_Compensation!A$1</f>
        <v>36</v>
      </c>
      <c r="C7059" s="1390" t="str">
        <f>Risk_Compensation!$B$1</f>
        <v xml:space="preserve">Risikoausgleich </v>
      </c>
      <c r="D7059" s="2206" t="s">
        <v>2573</v>
      </c>
      <c r="E7059" s="1390" t="str">
        <f>Risk_Compensation!$D116</f>
        <v>TRA</v>
      </c>
      <c r="F7059" s="1390" t="str">
        <f>Risk_Compensation!$R$86</f>
        <v>JU</v>
      </c>
      <c r="G7059" s="1390"/>
      <c r="H7059" s="1077">
        <f>Risk_Compensation!$S116</f>
        <v>0</v>
      </c>
    </row>
    <row r="7060" spans="1:8" x14ac:dyDescent="0.2">
      <c r="A7060" s="1027"/>
      <c r="B7060" s="1083">
        <f>Risk_Compensation!A$1</f>
        <v>36</v>
      </c>
      <c r="C7060" s="1390" t="str">
        <f>Risk_Compensation!$B$1</f>
        <v xml:space="preserve">Risikoausgleich </v>
      </c>
      <c r="D7060" s="2206" t="s">
        <v>2573</v>
      </c>
      <c r="E7060" s="1390" t="str">
        <f>Risk_Compensation!$D117</f>
        <v>WAS</v>
      </c>
      <c r="F7060" s="1390" t="str">
        <f>Risk_Compensation!$R$86</f>
        <v>JU</v>
      </c>
      <c r="G7060" s="1390"/>
      <c r="H7060" s="1077">
        <f>Risk_Compensation!$S117</f>
        <v>0</v>
      </c>
    </row>
    <row r="7061" spans="1:8" x14ac:dyDescent="0.2">
      <c r="A7061" s="1027"/>
      <c r="B7061" s="1083">
        <f>Risk_Compensation!A$1</f>
        <v>36</v>
      </c>
      <c r="C7061" s="1390" t="str">
        <f>Risk_Compensation!$B$1</f>
        <v xml:space="preserve">Risikoausgleich </v>
      </c>
      <c r="D7061" s="2206" t="s">
        <v>2573</v>
      </c>
      <c r="E7061" s="1390" t="str">
        <f>Risk_Compensation!$D118</f>
        <v>ZFP</v>
      </c>
      <c r="F7061" s="1390" t="str">
        <f>Risk_Compensation!$R$86</f>
        <v>JU</v>
      </c>
      <c r="G7061" s="1390"/>
      <c r="H7061" s="1077">
        <f>Risk_Compensation!$S118</f>
        <v>0</v>
      </c>
    </row>
    <row r="7062" spans="1:8" x14ac:dyDescent="0.2">
      <c r="A7062" s="1027"/>
      <c r="B7062" s="1083">
        <f>Risk_Compensation!A$1</f>
        <v>36</v>
      </c>
      <c r="C7062" s="1390" t="str">
        <f>Risk_Compensation!$B$1</f>
        <v xml:space="preserve">Risikoausgleich </v>
      </c>
      <c r="D7062" s="2206" t="s">
        <v>2573</v>
      </c>
      <c r="E7062" s="1390" t="str">
        <f>Risk_Compensation!$D119</f>
        <v>ZNS</v>
      </c>
      <c r="F7062" s="1390" t="str">
        <f>Risk_Compensation!$R$86</f>
        <v>JU</v>
      </c>
      <c r="G7062" s="1390"/>
      <c r="H7062" s="1077">
        <f>Risk_Compensation!$S119</f>
        <v>0</v>
      </c>
    </row>
    <row r="7063" spans="1:8" x14ac:dyDescent="0.2">
      <c r="A7063" s="1027"/>
      <c r="B7063" s="1083">
        <f>Risk_Compensation!A$1</f>
        <v>36</v>
      </c>
      <c r="C7063" s="1390" t="str">
        <f>Risk_Compensation!$B$1</f>
        <v xml:space="preserve">Risikoausgleich </v>
      </c>
      <c r="D7063" s="2206" t="s">
        <v>2573</v>
      </c>
      <c r="E7063" s="1390" t="str">
        <f>Risk_Compensation!$D120</f>
        <v>DM2 + hyp</v>
      </c>
      <c r="F7063" s="1390" t="str">
        <f>Risk_Compensation!$R$86</f>
        <v>JU</v>
      </c>
      <c r="G7063" s="1390"/>
      <c r="H7063" s="1077">
        <f>Risk_Compensation!$S120</f>
        <v>0</v>
      </c>
    </row>
    <row r="7064" spans="1:8" x14ac:dyDescent="0.2">
      <c r="A7064" s="1027"/>
      <c r="B7064" s="2174"/>
      <c r="C7064" s="1390"/>
      <c r="D7064" s="2175"/>
      <c r="E7064" s="2176"/>
      <c r="F7064" s="1390"/>
      <c r="G7064" s="1390"/>
      <c r="H7064" s="1078"/>
    </row>
    <row r="7065" spans="1:8" x14ac:dyDescent="0.2">
      <c r="A7065" s="1027"/>
      <c r="B7065" s="1083">
        <f>Risk_Compensation!A$1</f>
        <v>36</v>
      </c>
      <c r="C7065" s="1390" t="str">
        <f>Risk_Compensation!$B$1</f>
        <v xml:space="preserve">Risikoausgleich </v>
      </c>
      <c r="D7065" s="2206" t="s">
        <v>2573</v>
      </c>
      <c r="E7065" s="1390" t="str">
        <f>Risk_Compensation!$D87</f>
        <v>ABH</v>
      </c>
      <c r="F7065" s="1390" t="str">
        <f>Risk_Compensation!$T$86</f>
        <v>NE</v>
      </c>
      <c r="G7065" s="1390"/>
      <c r="H7065" s="1077">
        <f>Risk_Compensation!$T87</f>
        <v>0</v>
      </c>
    </row>
    <row r="7066" spans="1:8" x14ac:dyDescent="0.2">
      <c r="A7066" s="1027"/>
      <c r="B7066" s="1083">
        <f>Risk_Compensation!A$1</f>
        <v>36</v>
      </c>
      <c r="C7066" s="1390" t="str">
        <f>Risk_Compensation!$B$1</f>
        <v xml:space="preserve">Risikoausgleich </v>
      </c>
      <c r="D7066" s="2206" t="s">
        <v>2573</v>
      </c>
      <c r="E7066" s="1390" t="str">
        <f>Risk_Compensation!$D88</f>
        <v>ADH</v>
      </c>
      <c r="F7066" s="1390" t="str">
        <f>Risk_Compensation!$T$86</f>
        <v>NE</v>
      </c>
      <c r="G7066" s="1390"/>
      <c r="H7066" s="1077">
        <f>Risk_Compensation!$T88</f>
        <v>0</v>
      </c>
    </row>
    <row r="7067" spans="1:8" x14ac:dyDescent="0.2">
      <c r="A7067" s="1027"/>
      <c r="B7067" s="1083">
        <f>Risk_Compensation!A$1</f>
        <v>36</v>
      </c>
      <c r="C7067" s="1390" t="str">
        <f>Risk_Compensation!$B$1</f>
        <v xml:space="preserve">Risikoausgleich </v>
      </c>
      <c r="D7067" s="2206" t="s">
        <v>2573</v>
      </c>
      <c r="E7067" s="1390" t="str">
        <f>Risk_Compensation!$D89</f>
        <v>AIK</v>
      </c>
      <c r="F7067" s="1390" t="str">
        <f>Risk_Compensation!$T$86</f>
        <v>NE</v>
      </c>
      <c r="G7067" s="1390"/>
      <c r="H7067" s="1077">
        <f>Risk_Compensation!$T89</f>
        <v>0</v>
      </c>
    </row>
    <row r="7068" spans="1:8" x14ac:dyDescent="0.2">
      <c r="A7068" s="1027"/>
      <c r="B7068" s="1083">
        <f>Risk_Compensation!A$1</f>
        <v>36</v>
      </c>
      <c r="C7068" s="1390" t="str">
        <f>Risk_Compensation!$B$1</f>
        <v xml:space="preserve">Risikoausgleich </v>
      </c>
      <c r="D7068" s="2206" t="s">
        <v>2573</v>
      </c>
      <c r="E7068" s="1390" t="str">
        <f>Risk_Compensation!$D90</f>
        <v>ALZ</v>
      </c>
      <c r="F7068" s="1390" t="str">
        <f>Risk_Compensation!$T$86</f>
        <v>NE</v>
      </c>
      <c r="G7068" s="1390"/>
      <c r="H7068" s="1077">
        <f>Risk_Compensation!$T90</f>
        <v>0</v>
      </c>
    </row>
    <row r="7069" spans="1:8" x14ac:dyDescent="0.2">
      <c r="A7069" s="1027"/>
      <c r="B7069" s="1083">
        <f>Risk_Compensation!A$1</f>
        <v>36</v>
      </c>
      <c r="C7069" s="1390" t="str">
        <f>Risk_Compensation!$B$1</f>
        <v xml:space="preserve">Risikoausgleich </v>
      </c>
      <c r="D7069" s="2206" t="s">
        <v>2573</v>
      </c>
      <c r="E7069" s="1390" t="str">
        <f>Risk_Compensation!$D91</f>
        <v>AST</v>
      </c>
      <c r="F7069" s="1390" t="str">
        <f>Risk_Compensation!$T$86</f>
        <v>NE</v>
      </c>
      <c r="G7069" s="1390"/>
      <c r="H7069" s="1077">
        <f>Risk_Compensation!$T91</f>
        <v>0</v>
      </c>
    </row>
    <row r="7070" spans="1:8" x14ac:dyDescent="0.2">
      <c r="A7070" s="1027"/>
      <c r="B7070" s="1083">
        <f>Risk_Compensation!A$1</f>
        <v>36</v>
      </c>
      <c r="C7070" s="1390" t="str">
        <f>Risk_Compensation!$B$1</f>
        <v xml:space="preserve">Risikoausgleich </v>
      </c>
      <c r="D7070" s="2206" t="s">
        <v>2573</v>
      </c>
      <c r="E7070" s="1390" t="str">
        <f>Risk_Compensation!$D92</f>
        <v>BSR</v>
      </c>
      <c r="F7070" s="1390" t="str">
        <f>Risk_Compensation!$T$86</f>
        <v>NE</v>
      </c>
      <c r="G7070" s="1390"/>
      <c r="H7070" s="1077">
        <f>Risk_Compensation!$T92</f>
        <v>0</v>
      </c>
    </row>
    <row r="7071" spans="1:8" x14ac:dyDescent="0.2">
      <c r="A7071" s="1027"/>
      <c r="B7071" s="1083">
        <f>Risk_Compensation!A$1</f>
        <v>36</v>
      </c>
      <c r="C7071" s="1390" t="str">
        <f>Risk_Compensation!$B$1</f>
        <v xml:space="preserve">Risikoausgleich </v>
      </c>
      <c r="D7071" s="2206" t="s">
        <v>2573</v>
      </c>
      <c r="E7071" s="1390" t="str">
        <f>Risk_Compensation!$D93</f>
        <v>CAR</v>
      </c>
      <c r="F7071" s="1390" t="str">
        <f>Risk_Compensation!$T$86</f>
        <v>NE</v>
      </c>
      <c r="G7071" s="1390"/>
      <c r="H7071" s="1077">
        <f>Risk_Compensation!$T93</f>
        <v>0</v>
      </c>
    </row>
    <row r="7072" spans="1:8" x14ac:dyDescent="0.2">
      <c r="A7072" s="1027"/>
      <c r="B7072" s="1083">
        <f>Risk_Compensation!A$1</f>
        <v>36</v>
      </c>
      <c r="C7072" s="1390" t="str">
        <f>Risk_Compensation!$B$1</f>
        <v xml:space="preserve">Risikoausgleich </v>
      </c>
      <c r="D7072" s="2206" t="s">
        <v>2573</v>
      </c>
      <c r="E7072" s="1390" t="str">
        <f>Risk_Compensation!$D94</f>
        <v>COP</v>
      </c>
      <c r="F7072" s="1390" t="str">
        <f>Risk_Compensation!$T$86</f>
        <v>NE</v>
      </c>
      <c r="G7072" s="1390"/>
      <c r="H7072" s="1077">
        <f>Risk_Compensation!$T94</f>
        <v>0</v>
      </c>
    </row>
    <row r="7073" spans="1:8" x14ac:dyDescent="0.2">
      <c r="A7073" s="1027"/>
      <c r="B7073" s="1083">
        <f>Risk_Compensation!A$1</f>
        <v>36</v>
      </c>
      <c r="C7073" s="1390" t="str">
        <f>Risk_Compensation!$B$1</f>
        <v xml:space="preserve">Risikoausgleich </v>
      </c>
      <c r="D7073" s="2206" t="s">
        <v>2573</v>
      </c>
      <c r="E7073" s="1390" t="str">
        <f>Risk_Compensation!$D95</f>
        <v>DEP</v>
      </c>
      <c r="F7073" s="1390" t="str">
        <f>Risk_Compensation!$T$86</f>
        <v>NE</v>
      </c>
      <c r="G7073" s="1390"/>
      <c r="H7073" s="1077">
        <f>Risk_Compensation!$T95</f>
        <v>0</v>
      </c>
    </row>
    <row r="7074" spans="1:8" x14ac:dyDescent="0.2">
      <c r="A7074" s="1027"/>
      <c r="B7074" s="1083">
        <f>Risk_Compensation!A$1</f>
        <v>36</v>
      </c>
      <c r="C7074" s="1390" t="str">
        <f>Risk_Compensation!$B$1</f>
        <v xml:space="preserve">Risikoausgleich </v>
      </c>
      <c r="D7074" s="2206" t="s">
        <v>2573</v>
      </c>
      <c r="E7074" s="1390" t="str">
        <f>Risk_Compensation!$D96</f>
        <v>DM1</v>
      </c>
      <c r="F7074" s="1390" t="str">
        <f>Risk_Compensation!$T$86</f>
        <v>NE</v>
      </c>
      <c r="G7074" s="1390"/>
      <c r="H7074" s="1077">
        <f>Risk_Compensation!$T96</f>
        <v>0</v>
      </c>
    </row>
    <row r="7075" spans="1:8" x14ac:dyDescent="0.2">
      <c r="A7075" s="1027"/>
      <c r="B7075" s="1083">
        <f>Risk_Compensation!A$1</f>
        <v>36</v>
      </c>
      <c r="C7075" s="1390" t="str">
        <f>Risk_Compensation!$B$1</f>
        <v xml:space="preserve">Risikoausgleich </v>
      </c>
      <c r="D7075" s="2206" t="s">
        <v>2573</v>
      </c>
      <c r="E7075" s="1390" t="str">
        <f>Risk_Compensation!$D97</f>
        <v>DM2</v>
      </c>
      <c r="F7075" s="1390" t="str">
        <f>Risk_Compensation!$T$86</f>
        <v>NE</v>
      </c>
      <c r="G7075" s="1390"/>
      <c r="H7075" s="1077">
        <f>Risk_Compensation!$T97</f>
        <v>0</v>
      </c>
    </row>
    <row r="7076" spans="1:8" x14ac:dyDescent="0.2">
      <c r="A7076" s="1027"/>
      <c r="B7076" s="1083">
        <f>Risk_Compensation!A$1</f>
        <v>36</v>
      </c>
      <c r="C7076" s="1390" t="str">
        <f>Risk_Compensation!$B$1</f>
        <v xml:space="preserve">Risikoausgleich </v>
      </c>
      <c r="D7076" s="2206" t="s">
        <v>2573</v>
      </c>
      <c r="E7076" s="1390" t="str">
        <f>Risk_Compensation!$D98</f>
        <v>EPI</v>
      </c>
      <c r="F7076" s="1390" t="str">
        <f>Risk_Compensation!$T$86</f>
        <v>NE</v>
      </c>
      <c r="G7076" s="1390"/>
      <c r="H7076" s="1077">
        <f>Risk_Compensation!$T98</f>
        <v>0</v>
      </c>
    </row>
    <row r="7077" spans="1:8" x14ac:dyDescent="0.2">
      <c r="A7077" s="1027"/>
      <c r="B7077" s="1083">
        <f>Risk_Compensation!A$1</f>
        <v>36</v>
      </c>
      <c r="C7077" s="1390" t="str">
        <f>Risk_Compensation!$B$1</f>
        <v xml:space="preserve">Risikoausgleich </v>
      </c>
      <c r="D7077" s="2206" t="s">
        <v>2573</v>
      </c>
      <c r="E7077" s="1390" t="str">
        <f>Risk_Compensation!$D99</f>
        <v>GLA</v>
      </c>
      <c r="F7077" s="1390" t="str">
        <f>Risk_Compensation!$T$86</f>
        <v>NE</v>
      </c>
      <c r="G7077" s="1390"/>
      <c r="H7077" s="1077">
        <f>Risk_Compensation!$T99</f>
        <v>0</v>
      </c>
    </row>
    <row r="7078" spans="1:8" x14ac:dyDescent="0.2">
      <c r="A7078" s="1027"/>
      <c r="B7078" s="1083">
        <f>Risk_Compensation!A$1</f>
        <v>36</v>
      </c>
      <c r="C7078" s="1390" t="str">
        <f>Risk_Compensation!$B$1</f>
        <v xml:space="preserve">Risikoausgleich </v>
      </c>
      <c r="D7078" s="2206" t="s">
        <v>2573</v>
      </c>
      <c r="E7078" s="1390" t="str">
        <f>Risk_Compensation!$D100</f>
        <v>HCH</v>
      </c>
      <c r="F7078" s="1390" t="str">
        <f>Risk_Compensation!$T$86</f>
        <v>NE</v>
      </c>
      <c r="G7078" s="1390"/>
      <c r="H7078" s="1077">
        <f>Risk_Compensation!$T100</f>
        <v>0</v>
      </c>
    </row>
    <row r="7079" spans="1:8" x14ac:dyDescent="0.2">
      <c r="A7079" s="1027"/>
      <c r="B7079" s="1083">
        <f>Risk_Compensation!A$1</f>
        <v>36</v>
      </c>
      <c r="C7079" s="1390" t="str">
        <f>Risk_Compensation!$B$1</f>
        <v xml:space="preserve">Risikoausgleich </v>
      </c>
      <c r="D7079" s="2206" t="s">
        <v>2573</v>
      </c>
      <c r="E7079" s="1390" t="str">
        <f>Risk_Compensation!$D101</f>
        <v>HIV</v>
      </c>
      <c r="F7079" s="1390" t="str">
        <f>Risk_Compensation!$T$86</f>
        <v>NE</v>
      </c>
      <c r="G7079" s="1390"/>
      <c r="H7079" s="1077">
        <f>Risk_Compensation!$T101</f>
        <v>0</v>
      </c>
    </row>
    <row r="7080" spans="1:8" x14ac:dyDescent="0.2">
      <c r="A7080" s="1027"/>
      <c r="B7080" s="1083">
        <f>Risk_Compensation!A$1</f>
        <v>36</v>
      </c>
      <c r="C7080" s="1390" t="str">
        <f>Risk_Compensation!$B$1</f>
        <v xml:space="preserve">Risikoausgleich </v>
      </c>
      <c r="D7080" s="2206" t="s">
        <v>2573</v>
      </c>
      <c r="E7080" s="1390" t="str">
        <f>Risk_Compensation!$D102</f>
        <v>KHO</v>
      </c>
      <c r="F7080" s="1390" t="str">
        <f>Risk_Compensation!$T$86</f>
        <v>NE</v>
      </c>
      <c r="G7080" s="1390"/>
      <c r="H7080" s="1077">
        <f>Risk_Compensation!$T102</f>
        <v>0</v>
      </c>
    </row>
    <row r="7081" spans="1:8" x14ac:dyDescent="0.2">
      <c r="A7081" s="1027"/>
      <c r="B7081" s="1083">
        <f>Risk_Compensation!A$1</f>
        <v>36</v>
      </c>
      <c r="C7081" s="1390" t="str">
        <f>Risk_Compensation!$B$1</f>
        <v xml:space="preserve">Risikoausgleich </v>
      </c>
      <c r="D7081" s="2206" t="s">
        <v>2573</v>
      </c>
      <c r="E7081" s="1390" t="str">
        <f>Risk_Compensation!$D103</f>
        <v>KRE</v>
      </c>
      <c r="F7081" s="1390" t="str">
        <f>Risk_Compensation!$T$86</f>
        <v>NE</v>
      </c>
      <c r="G7081" s="1390"/>
      <c r="H7081" s="1077">
        <f>Risk_Compensation!$T103</f>
        <v>0</v>
      </c>
    </row>
    <row r="7082" spans="1:8" x14ac:dyDescent="0.2">
      <c r="A7082" s="1027"/>
      <c r="B7082" s="1083">
        <f>Risk_Compensation!A$1</f>
        <v>36</v>
      </c>
      <c r="C7082" s="1390" t="str">
        <f>Risk_Compensation!$B$1</f>
        <v xml:space="preserve">Risikoausgleich </v>
      </c>
      <c r="D7082" s="2206" t="s">
        <v>2573</v>
      </c>
      <c r="E7082" s="1390" t="str">
        <f>Risk_Compensation!$D104</f>
        <v>KRK</v>
      </c>
      <c r="F7082" s="1390" t="str">
        <f>Risk_Compensation!$T$86</f>
        <v>NE</v>
      </c>
      <c r="G7082" s="1390"/>
      <c r="H7082" s="1077">
        <f>Risk_Compensation!$T104</f>
        <v>0</v>
      </c>
    </row>
    <row r="7083" spans="1:8" x14ac:dyDescent="0.2">
      <c r="A7083" s="1027"/>
      <c r="B7083" s="1083">
        <f>Risk_Compensation!A$1</f>
        <v>36</v>
      </c>
      <c r="C7083" s="1390" t="str">
        <f>Risk_Compensation!$B$1</f>
        <v xml:space="preserve">Risikoausgleich </v>
      </c>
      <c r="D7083" s="2206" t="s">
        <v>2573</v>
      </c>
      <c r="E7083" s="1390" t="str">
        <f>Risk_Compensation!$D105</f>
        <v>MCR</v>
      </c>
      <c r="F7083" s="1390" t="str">
        <f>Risk_Compensation!$T$86</f>
        <v>NE</v>
      </c>
      <c r="G7083" s="1390"/>
      <c r="H7083" s="1077">
        <f>Risk_Compensation!$T105</f>
        <v>0</v>
      </c>
    </row>
    <row r="7084" spans="1:8" x14ac:dyDescent="0.2">
      <c r="A7084" s="1027"/>
      <c r="B7084" s="1083">
        <f>Risk_Compensation!A$1</f>
        <v>36</v>
      </c>
      <c r="C7084" s="1390" t="str">
        <f>Risk_Compensation!$B$1</f>
        <v xml:space="preserve">Risikoausgleich </v>
      </c>
      <c r="D7084" s="2206" t="s">
        <v>2573</v>
      </c>
      <c r="E7084" s="1390" t="str">
        <f>Risk_Compensation!$D106</f>
        <v>MSK</v>
      </c>
      <c r="F7084" s="1390" t="str">
        <f>Risk_Compensation!$T$86</f>
        <v>NE</v>
      </c>
      <c r="G7084" s="1390"/>
      <c r="H7084" s="1077">
        <f>Risk_Compensation!$T106</f>
        <v>0</v>
      </c>
    </row>
    <row r="7085" spans="1:8" x14ac:dyDescent="0.2">
      <c r="A7085" s="1027"/>
      <c r="B7085" s="1083">
        <f>Risk_Compensation!A$1</f>
        <v>36</v>
      </c>
      <c r="C7085" s="1390" t="str">
        <f>Risk_Compensation!$B$1</f>
        <v xml:space="preserve">Risikoausgleich </v>
      </c>
      <c r="D7085" s="2206" t="s">
        <v>2573</v>
      </c>
      <c r="E7085" s="1390" t="str">
        <f>Risk_Compensation!$D107</f>
        <v>NIE</v>
      </c>
      <c r="F7085" s="1390" t="str">
        <f>Risk_Compensation!$T$86</f>
        <v>NE</v>
      </c>
      <c r="G7085" s="1390"/>
      <c r="H7085" s="1077">
        <f>Risk_Compensation!$T107</f>
        <v>0</v>
      </c>
    </row>
    <row r="7086" spans="1:8" x14ac:dyDescent="0.2">
      <c r="A7086" s="1027"/>
      <c r="B7086" s="1083">
        <f>Risk_Compensation!A$1</f>
        <v>36</v>
      </c>
      <c r="C7086" s="1390" t="str">
        <f>Risk_Compensation!$B$1</f>
        <v xml:space="preserve">Risikoausgleich </v>
      </c>
      <c r="D7086" s="2206" t="s">
        <v>2573</v>
      </c>
      <c r="E7086" s="1390" t="str">
        <f>Risk_Compensation!$D108</f>
        <v>PAH</v>
      </c>
      <c r="F7086" s="1390" t="str">
        <f>Risk_Compensation!$T$86</f>
        <v>NE</v>
      </c>
      <c r="G7086" s="1390"/>
      <c r="H7086" s="1077">
        <f>Risk_Compensation!$T108</f>
        <v>0</v>
      </c>
    </row>
    <row r="7087" spans="1:8" x14ac:dyDescent="0.2">
      <c r="A7087" s="1027"/>
      <c r="B7087" s="1083">
        <f>Risk_Compensation!A$1</f>
        <v>36</v>
      </c>
      <c r="C7087" s="1390" t="str">
        <f>Risk_Compensation!$B$1</f>
        <v xml:space="preserve">Risikoausgleich </v>
      </c>
      <c r="D7087" s="2206" t="s">
        <v>2573</v>
      </c>
      <c r="E7087" s="1390" t="str">
        <f>Risk_Compensation!$D109</f>
        <v>PAR</v>
      </c>
      <c r="F7087" s="1390" t="str">
        <f>Risk_Compensation!$T$86</f>
        <v>NE</v>
      </c>
      <c r="G7087" s="1390"/>
      <c r="H7087" s="1077">
        <f>Risk_Compensation!$T109</f>
        <v>0</v>
      </c>
    </row>
    <row r="7088" spans="1:8" x14ac:dyDescent="0.2">
      <c r="A7088" s="1027"/>
      <c r="B7088" s="1083">
        <f>Risk_Compensation!A$1</f>
        <v>36</v>
      </c>
      <c r="C7088" s="1390" t="str">
        <f>Risk_Compensation!$B$1</f>
        <v xml:space="preserve">Risikoausgleich </v>
      </c>
      <c r="D7088" s="2206" t="s">
        <v>2573</v>
      </c>
      <c r="E7088" s="1390" t="str">
        <f>Risk_Compensation!$D110</f>
        <v>PSO</v>
      </c>
      <c r="F7088" s="1390" t="str">
        <f>Risk_Compensation!$T$86</f>
        <v>NE</v>
      </c>
      <c r="G7088" s="1390"/>
      <c r="H7088" s="1077">
        <f>Risk_Compensation!$T110</f>
        <v>0</v>
      </c>
    </row>
    <row r="7089" spans="1:8" x14ac:dyDescent="0.2">
      <c r="A7089" s="1027"/>
      <c r="B7089" s="1083">
        <f>Risk_Compensation!A$1</f>
        <v>36</v>
      </c>
      <c r="C7089" s="1390" t="str">
        <f>Risk_Compensation!$B$1</f>
        <v xml:space="preserve">Risikoausgleich </v>
      </c>
      <c r="D7089" s="2206" t="s">
        <v>2573</v>
      </c>
      <c r="E7089" s="1390" t="str">
        <f>Risk_Compensation!$D111</f>
        <v>PSY</v>
      </c>
      <c r="F7089" s="1390" t="str">
        <f>Risk_Compensation!$T$86</f>
        <v>NE</v>
      </c>
      <c r="G7089" s="1390"/>
      <c r="H7089" s="1077">
        <f>Risk_Compensation!$T111</f>
        <v>0</v>
      </c>
    </row>
    <row r="7090" spans="1:8" x14ac:dyDescent="0.2">
      <c r="A7090" s="1027"/>
      <c r="B7090" s="1083">
        <f>Risk_Compensation!A$1</f>
        <v>36</v>
      </c>
      <c r="C7090" s="1390" t="str">
        <f>Risk_Compensation!$B$1</f>
        <v xml:space="preserve">Risikoausgleich </v>
      </c>
      <c r="D7090" s="2206" t="s">
        <v>2573</v>
      </c>
      <c r="E7090" s="1390" t="str">
        <f>Risk_Compensation!$D112</f>
        <v>RHE</v>
      </c>
      <c r="F7090" s="1390" t="str">
        <f>Risk_Compensation!$T$86</f>
        <v>NE</v>
      </c>
      <c r="G7090" s="1390"/>
      <c r="H7090" s="1077">
        <f>Risk_Compensation!$T112</f>
        <v>0</v>
      </c>
    </row>
    <row r="7091" spans="1:8" x14ac:dyDescent="0.2">
      <c r="A7091" s="1027"/>
      <c r="B7091" s="1083">
        <f>Risk_Compensation!A$1</f>
        <v>36</v>
      </c>
      <c r="C7091" s="1390" t="str">
        <f>Risk_Compensation!$B$1</f>
        <v xml:space="preserve">Risikoausgleich </v>
      </c>
      <c r="D7091" s="2206" t="s">
        <v>2573</v>
      </c>
      <c r="E7091" s="1390" t="str">
        <f>Risk_Compensation!$D113</f>
        <v>SMC</v>
      </c>
      <c r="F7091" s="1390" t="str">
        <f>Risk_Compensation!$T$86</f>
        <v>NE</v>
      </c>
      <c r="G7091" s="1390"/>
      <c r="H7091" s="1077">
        <f>Risk_Compensation!$T113</f>
        <v>0</v>
      </c>
    </row>
    <row r="7092" spans="1:8" x14ac:dyDescent="0.2">
      <c r="A7092" s="1027"/>
      <c r="B7092" s="1083">
        <f>Risk_Compensation!A$1</f>
        <v>36</v>
      </c>
      <c r="C7092" s="1390" t="str">
        <f>Risk_Compensation!$B$1</f>
        <v xml:space="preserve">Risikoausgleich </v>
      </c>
      <c r="D7092" s="2206" t="s">
        <v>2573</v>
      </c>
      <c r="E7092" s="1390" t="str">
        <f>Risk_Compensation!$D114</f>
        <v>SMN</v>
      </c>
      <c r="F7092" s="1390" t="str">
        <f>Risk_Compensation!$T$86</f>
        <v>NE</v>
      </c>
      <c r="G7092" s="1390"/>
      <c r="H7092" s="1077">
        <f>Risk_Compensation!$T114</f>
        <v>0</v>
      </c>
    </row>
    <row r="7093" spans="1:8" x14ac:dyDescent="0.2">
      <c r="A7093" s="1027"/>
      <c r="B7093" s="1083">
        <f>Risk_Compensation!A$1</f>
        <v>36</v>
      </c>
      <c r="C7093" s="1390" t="str">
        <f>Risk_Compensation!$B$1</f>
        <v xml:space="preserve">Risikoausgleich </v>
      </c>
      <c r="D7093" s="2206" t="s">
        <v>2573</v>
      </c>
      <c r="E7093" s="1390" t="str">
        <f>Risk_Compensation!$D115</f>
        <v>THY</v>
      </c>
      <c r="F7093" s="1390" t="str">
        <f>Risk_Compensation!$T$86</f>
        <v>NE</v>
      </c>
      <c r="G7093" s="1390"/>
      <c r="H7093" s="1077">
        <f>Risk_Compensation!$T115</f>
        <v>0</v>
      </c>
    </row>
    <row r="7094" spans="1:8" x14ac:dyDescent="0.2">
      <c r="A7094" s="1027"/>
      <c r="B7094" s="1083">
        <f>Risk_Compensation!A$1</f>
        <v>36</v>
      </c>
      <c r="C7094" s="1390" t="str">
        <f>Risk_Compensation!$B$1</f>
        <v xml:space="preserve">Risikoausgleich </v>
      </c>
      <c r="D7094" s="2206" t="s">
        <v>2573</v>
      </c>
      <c r="E7094" s="1390" t="str">
        <f>Risk_Compensation!$D116</f>
        <v>TRA</v>
      </c>
      <c r="F7094" s="1390" t="str">
        <f>Risk_Compensation!$T$86</f>
        <v>NE</v>
      </c>
      <c r="G7094" s="1390"/>
      <c r="H7094" s="1077">
        <f>Risk_Compensation!$T116</f>
        <v>0</v>
      </c>
    </row>
    <row r="7095" spans="1:8" x14ac:dyDescent="0.2">
      <c r="A7095" s="1027"/>
      <c r="B7095" s="1083">
        <f>Risk_Compensation!A$1</f>
        <v>36</v>
      </c>
      <c r="C7095" s="1390" t="str">
        <f>Risk_Compensation!$B$1</f>
        <v xml:space="preserve">Risikoausgleich </v>
      </c>
      <c r="D7095" s="2206" t="s">
        <v>2573</v>
      </c>
      <c r="E7095" s="1390" t="str">
        <f>Risk_Compensation!$D117</f>
        <v>WAS</v>
      </c>
      <c r="F7095" s="1390" t="str">
        <f>Risk_Compensation!$T$86</f>
        <v>NE</v>
      </c>
      <c r="G7095" s="1390"/>
      <c r="H7095" s="1077">
        <f>Risk_Compensation!$T117</f>
        <v>0</v>
      </c>
    </row>
    <row r="7096" spans="1:8" x14ac:dyDescent="0.2">
      <c r="A7096" s="1027"/>
      <c r="B7096" s="1083">
        <f>Risk_Compensation!A$1</f>
        <v>36</v>
      </c>
      <c r="C7096" s="1390" t="str">
        <f>Risk_Compensation!$B$1</f>
        <v xml:space="preserve">Risikoausgleich </v>
      </c>
      <c r="D7096" s="2206" t="s">
        <v>2573</v>
      </c>
      <c r="E7096" s="1390" t="str">
        <f>Risk_Compensation!$D118</f>
        <v>ZFP</v>
      </c>
      <c r="F7096" s="1390" t="str">
        <f>Risk_Compensation!$T$86</f>
        <v>NE</v>
      </c>
      <c r="G7096" s="1390"/>
      <c r="H7096" s="1077">
        <f>Risk_Compensation!$T118</f>
        <v>0</v>
      </c>
    </row>
    <row r="7097" spans="1:8" x14ac:dyDescent="0.2">
      <c r="A7097" s="1027"/>
      <c r="B7097" s="1083">
        <f>Risk_Compensation!A$1</f>
        <v>36</v>
      </c>
      <c r="C7097" s="1390" t="str">
        <f>Risk_Compensation!$B$1</f>
        <v xml:space="preserve">Risikoausgleich </v>
      </c>
      <c r="D7097" s="2206" t="s">
        <v>2573</v>
      </c>
      <c r="E7097" s="1390" t="str">
        <f>Risk_Compensation!$D119</f>
        <v>ZNS</v>
      </c>
      <c r="F7097" s="1390" t="str">
        <f>Risk_Compensation!$T$86</f>
        <v>NE</v>
      </c>
      <c r="G7097" s="1390"/>
      <c r="H7097" s="1077">
        <f>Risk_Compensation!$T119</f>
        <v>0</v>
      </c>
    </row>
    <row r="7098" spans="1:8" x14ac:dyDescent="0.2">
      <c r="A7098" s="1027"/>
      <c r="B7098" s="1083">
        <f>Risk_Compensation!A$1</f>
        <v>36</v>
      </c>
      <c r="C7098" s="1390" t="str">
        <f>Risk_Compensation!$B$1</f>
        <v xml:space="preserve">Risikoausgleich </v>
      </c>
      <c r="D7098" s="2206" t="s">
        <v>2573</v>
      </c>
      <c r="E7098" s="1390" t="str">
        <f>Risk_Compensation!$D120</f>
        <v>DM2 + hyp</v>
      </c>
      <c r="F7098" s="1390" t="str">
        <f>Risk_Compensation!$T$86</f>
        <v>NE</v>
      </c>
      <c r="G7098" s="1390"/>
      <c r="H7098" s="1077">
        <f>Risk_Compensation!$T120</f>
        <v>0</v>
      </c>
    </row>
    <row r="7099" spans="1:8" x14ac:dyDescent="0.2">
      <c r="A7099" s="1027"/>
      <c r="B7099" s="2174"/>
      <c r="C7099" s="1390"/>
      <c r="D7099" s="2175"/>
      <c r="E7099" s="2176"/>
      <c r="F7099" s="1390"/>
      <c r="G7099" s="1390"/>
      <c r="H7099" s="1078"/>
    </row>
    <row r="7100" spans="1:8" x14ac:dyDescent="0.2">
      <c r="A7100" s="1027"/>
      <c r="B7100" s="1083">
        <f>Risk_Compensation!A$1</f>
        <v>36</v>
      </c>
      <c r="C7100" s="1390" t="str">
        <f>Risk_Compensation!$B$1</f>
        <v xml:space="preserve">Risikoausgleich </v>
      </c>
      <c r="D7100" s="2206" t="s">
        <v>2573</v>
      </c>
      <c r="E7100" s="1390" t="str">
        <f>Risk_Compensation!$D87</f>
        <v>ABH</v>
      </c>
      <c r="F7100" s="1390" t="str">
        <f>Risk_Compensation!$U$86</f>
        <v>NW</v>
      </c>
      <c r="G7100" s="1390"/>
      <c r="H7100" s="1077">
        <f>Risk_Compensation!$U87</f>
        <v>0</v>
      </c>
    </row>
    <row r="7101" spans="1:8" x14ac:dyDescent="0.2">
      <c r="A7101" s="1027"/>
      <c r="B7101" s="1083">
        <f>Risk_Compensation!A$1</f>
        <v>36</v>
      </c>
      <c r="C7101" s="1390" t="str">
        <f>Risk_Compensation!$B$1</f>
        <v xml:space="preserve">Risikoausgleich </v>
      </c>
      <c r="D7101" s="2206" t="s">
        <v>2573</v>
      </c>
      <c r="E7101" s="1390" t="str">
        <f>Risk_Compensation!$D88</f>
        <v>ADH</v>
      </c>
      <c r="F7101" s="1390" t="str">
        <f>Risk_Compensation!$U$86</f>
        <v>NW</v>
      </c>
      <c r="G7101" s="1390"/>
      <c r="H7101" s="1077">
        <f>Risk_Compensation!$U88</f>
        <v>0</v>
      </c>
    </row>
    <row r="7102" spans="1:8" x14ac:dyDescent="0.2">
      <c r="A7102" s="1027"/>
      <c r="B7102" s="1083">
        <f>Risk_Compensation!A$1</f>
        <v>36</v>
      </c>
      <c r="C7102" s="1390" t="str">
        <f>Risk_Compensation!$B$1</f>
        <v xml:space="preserve">Risikoausgleich </v>
      </c>
      <c r="D7102" s="2206" t="s">
        <v>2573</v>
      </c>
      <c r="E7102" s="1390" t="str">
        <f>Risk_Compensation!$D89</f>
        <v>AIK</v>
      </c>
      <c r="F7102" s="1390" t="str">
        <f>Risk_Compensation!$U$86</f>
        <v>NW</v>
      </c>
      <c r="G7102" s="1390"/>
      <c r="H7102" s="1077">
        <f>Risk_Compensation!$U89</f>
        <v>0</v>
      </c>
    </row>
    <row r="7103" spans="1:8" x14ac:dyDescent="0.2">
      <c r="A7103" s="1027"/>
      <c r="B7103" s="1083">
        <f>Risk_Compensation!A$1</f>
        <v>36</v>
      </c>
      <c r="C7103" s="1390" t="str">
        <f>Risk_Compensation!$B$1</f>
        <v xml:space="preserve">Risikoausgleich </v>
      </c>
      <c r="D7103" s="2206" t="s">
        <v>2573</v>
      </c>
      <c r="E7103" s="1390" t="str">
        <f>Risk_Compensation!$D90</f>
        <v>ALZ</v>
      </c>
      <c r="F7103" s="1390" t="str">
        <f>Risk_Compensation!$U$86</f>
        <v>NW</v>
      </c>
      <c r="G7103" s="1390"/>
      <c r="H7103" s="1077">
        <f>Risk_Compensation!$U90</f>
        <v>0</v>
      </c>
    </row>
    <row r="7104" spans="1:8" x14ac:dyDescent="0.2">
      <c r="A7104" s="1027"/>
      <c r="B7104" s="1083">
        <f>Risk_Compensation!A$1</f>
        <v>36</v>
      </c>
      <c r="C7104" s="1390" t="str">
        <f>Risk_Compensation!$B$1</f>
        <v xml:space="preserve">Risikoausgleich </v>
      </c>
      <c r="D7104" s="2206" t="s">
        <v>2573</v>
      </c>
      <c r="E7104" s="1390" t="str">
        <f>Risk_Compensation!$D91</f>
        <v>AST</v>
      </c>
      <c r="F7104" s="1390" t="str">
        <f>Risk_Compensation!$U$86</f>
        <v>NW</v>
      </c>
      <c r="G7104" s="1390"/>
      <c r="H7104" s="1077">
        <f>Risk_Compensation!$U91</f>
        <v>0</v>
      </c>
    </row>
    <row r="7105" spans="1:8" x14ac:dyDescent="0.2">
      <c r="A7105" s="1027"/>
      <c r="B7105" s="1083">
        <f>Risk_Compensation!A$1</f>
        <v>36</v>
      </c>
      <c r="C7105" s="1390" t="str">
        <f>Risk_Compensation!$B$1</f>
        <v xml:space="preserve">Risikoausgleich </v>
      </c>
      <c r="D7105" s="2206" t="s">
        <v>2573</v>
      </c>
      <c r="E7105" s="1390" t="str">
        <f>Risk_Compensation!$D92</f>
        <v>BSR</v>
      </c>
      <c r="F7105" s="1390" t="str">
        <f>Risk_Compensation!$U$86</f>
        <v>NW</v>
      </c>
      <c r="G7105" s="1390"/>
      <c r="H7105" s="1077">
        <f>Risk_Compensation!$U92</f>
        <v>0</v>
      </c>
    </row>
    <row r="7106" spans="1:8" x14ac:dyDescent="0.2">
      <c r="A7106" s="1027"/>
      <c r="B7106" s="1083">
        <f>Risk_Compensation!A$1</f>
        <v>36</v>
      </c>
      <c r="C7106" s="1390" t="str">
        <f>Risk_Compensation!$B$1</f>
        <v xml:space="preserve">Risikoausgleich </v>
      </c>
      <c r="D7106" s="2206" t="s">
        <v>2573</v>
      </c>
      <c r="E7106" s="1390" t="str">
        <f>Risk_Compensation!$D93</f>
        <v>CAR</v>
      </c>
      <c r="F7106" s="1390" t="str">
        <f>Risk_Compensation!$U$86</f>
        <v>NW</v>
      </c>
      <c r="G7106" s="1390"/>
      <c r="H7106" s="1077">
        <f>Risk_Compensation!$U93</f>
        <v>0</v>
      </c>
    </row>
    <row r="7107" spans="1:8" x14ac:dyDescent="0.2">
      <c r="A7107" s="1027"/>
      <c r="B7107" s="1083">
        <f>Risk_Compensation!A$1</f>
        <v>36</v>
      </c>
      <c r="C7107" s="1390" t="str">
        <f>Risk_Compensation!$B$1</f>
        <v xml:space="preserve">Risikoausgleich </v>
      </c>
      <c r="D7107" s="2206" t="s">
        <v>2573</v>
      </c>
      <c r="E7107" s="1390" t="str">
        <f>Risk_Compensation!$D94</f>
        <v>COP</v>
      </c>
      <c r="F7107" s="1390" t="str">
        <f>Risk_Compensation!$U$86</f>
        <v>NW</v>
      </c>
      <c r="G7107" s="1390"/>
      <c r="H7107" s="1077">
        <f>Risk_Compensation!$U94</f>
        <v>0</v>
      </c>
    </row>
    <row r="7108" spans="1:8" x14ac:dyDescent="0.2">
      <c r="A7108" s="1027"/>
      <c r="B7108" s="1083">
        <f>Risk_Compensation!A$1</f>
        <v>36</v>
      </c>
      <c r="C7108" s="1390" t="str">
        <f>Risk_Compensation!$B$1</f>
        <v xml:space="preserve">Risikoausgleich </v>
      </c>
      <c r="D7108" s="2206" t="s">
        <v>2573</v>
      </c>
      <c r="E7108" s="1390" t="str">
        <f>Risk_Compensation!$D95</f>
        <v>DEP</v>
      </c>
      <c r="F7108" s="1390" t="str">
        <f>Risk_Compensation!$U$86</f>
        <v>NW</v>
      </c>
      <c r="G7108" s="1390"/>
      <c r="H7108" s="1077">
        <f>Risk_Compensation!$U95</f>
        <v>0</v>
      </c>
    </row>
    <row r="7109" spans="1:8" x14ac:dyDescent="0.2">
      <c r="A7109" s="1027"/>
      <c r="B7109" s="1083">
        <f>Risk_Compensation!A$1</f>
        <v>36</v>
      </c>
      <c r="C7109" s="1390" t="str">
        <f>Risk_Compensation!$B$1</f>
        <v xml:space="preserve">Risikoausgleich </v>
      </c>
      <c r="D7109" s="2206" t="s">
        <v>2573</v>
      </c>
      <c r="E7109" s="1390" t="str">
        <f>Risk_Compensation!$D96</f>
        <v>DM1</v>
      </c>
      <c r="F7109" s="1390" t="str">
        <f>Risk_Compensation!$U$86</f>
        <v>NW</v>
      </c>
      <c r="G7109" s="1390"/>
      <c r="H7109" s="1077">
        <f>Risk_Compensation!$U96</f>
        <v>0</v>
      </c>
    </row>
    <row r="7110" spans="1:8" x14ac:dyDescent="0.2">
      <c r="A7110" s="1027"/>
      <c r="B7110" s="1083">
        <f>Risk_Compensation!A$1</f>
        <v>36</v>
      </c>
      <c r="C7110" s="1390" t="str">
        <f>Risk_Compensation!$B$1</f>
        <v xml:space="preserve">Risikoausgleich </v>
      </c>
      <c r="D7110" s="2206" t="s">
        <v>2573</v>
      </c>
      <c r="E7110" s="1390" t="str">
        <f>Risk_Compensation!$D97</f>
        <v>DM2</v>
      </c>
      <c r="F7110" s="1390" t="str">
        <f>Risk_Compensation!$U$86</f>
        <v>NW</v>
      </c>
      <c r="G7110" s="1390"/>
      <c r="H7110" s="1077">
        <f>Risk_Compensation!$U97</f>
        <v>0</v>
      </c>
    </row>
    <row r="7111" spans="1:8" x14ac:dyDescent="0.2">
      <c r="A7111" s="1027"/>
      <c r="B7111" s="1083">
        <f>Risk_Compensation!A$1</f>
        <v>36</v>
      </c>
      <c r="C7111" s="1390" t="str">
        <f>Risk_Compensation!$B$1</f>
        <v xml:space="preserve">Risikoausgleich </v>
      </c>
      <c r="D7111" s="2206" t="s">
        <v>2573</v>
      </c>
      <c r="E7111" s="1390" t="str">
        <f>Risk_Compensation!$D98</f>
        <v>EPI</v>
      </c>
      <c r="F7111" s="1390" t="str">
        <f>Risk_Compensation!$U$86</f>
        <v>NW</v>
      </c>
      <c r="G7111" s="1390"/>
      <c r="H7111" s="1077">
        <f>Risk_Compensation!$U98</f>
        <v>0</v>
      </c>
    </row>
    <row r="7112" spans="1:8" x14ac:dyDescent="0.2">
      <c r="A7112" s="1027"/>
      <c r="B7112" s="1083">
        <f>Risk_Compensation!A$1</f>
        <v>36</v>
      </c>
      <c r="C7112" s="1390" t="str">
        <f>Risk_Compensation!$B$1</f>
        <v xml:space="preserve">Risikoausgleich </v>
      </c>
      <c r="D7112" s="2206" t="s">
        <v>2573</v>
      </c>
      <c r="E7112" s="1390" t="str">
        <f>Risk_Compensation!$D99</f>
        <v>GLA</v>
      </c>
      <c r="F7112" s="1390" t="str">
        <f>Risk_Compensation!$U$86</f>
        <v>NW</v>
      </c>
      <c r="G7112" s="1390"/>
      <c r="H7112" s="1077">
        <f>Risk_Compensation!$U99</f>
        <v>0</v>
      </c>
    </row>
    <row r="7113" spans="1:8" x14ac:dyDescent="0.2">
      <c r="A7113" s="1027"/>
      <c r="B7113" s="1083">
        <f>Risk_Compensation!A$1</f>
        <v>36</v>
      </c>
      <c r="C7113" s="1390" t="str">
        <f>Risk_Compensation!$B$1</f>
        <v xml:space="preserve">Risikoausgleich </v>
      </c>
      <c r="D7113" s="2206" t="s">
        <v>2573</v>
      </c>
      <c r="E7113" s="1390" t="str">
        <f>Risk_Compensation!$D100</f>
        <v>HCH</v>
      </c>
      <c r="F7113" s="1390" t="str">
        <f>Risk_Compensation!$U$86</f>
        <v>NW</v>
      </c>
      <c r="G7113" s="1390"/>
      <c r="H7113" s="1077">
        <f>Risk_Compensation!$U100</f>
        <v>0</v>
      </c>
    </row>
    <row r="7114" spans="1:8" x14ac:dyDescent="0.2">
      <c r="A7114" s="1027"/>
      <c r="B7114" s="1083">
        <f>Risk_Compensation!A$1</f>
        <v>36</v>
      </c>
      <c r="C7114" s="1390" t="str">
        <f>Risk_Compensation!$B$1</f>
        <v xml:space="preserve">Risikoausgleich </v>
      </c>
      <c r="D7114" s="2206" t="s">
        <v>2573</v>
      </c>
      <c r="E7114" s="1390" t="str">
        <f>Risk_Compensation!$D101</f>
        <v>HIV</v>
      </c>
      <c r="F7114" s="1390" t="str">
        <f>Risk_Compensation!$U$86</f>
        <v>NW</v>
      </c>
      <c r="G7114" s="1390"/>
      <c r="H7114" s="1077">
        <f>Risk_Compensation!$U101</f>
        <v>0</v>
      </c>
    </row>
    <row r="7115" spans="1:8" x14ac:dyDescent="0.2">
      <c r="A7115" s="1027"/>
      <c r="B7115" s="1083">
        <f>Risk_Compensation!A$1</f>
        <v>36</v>
      </c>
      <c r="C7115" s="1390" t="str">
        <f>Risk_Compensation!$B$1</f>
        <v xml:space="preserve">Risikoausgleich </v>
      </c>
      <c r="D7115" s="2206" t="s">
        <v>2573</v>
      </c>
      <c r="E7115" s="1390" t="str">
        <f>Risk_Compensation!$D102</f>
        <v>KHO</v>
      </c>
      <c r="F7115" s="1390" t="str">
        <f>Risk_Compensation!$U$86</f>
        <v>NW</v>
      </c>
      <c r="G7115" s="1390"/>
      <c r="H7115" s="1077">
        <f>Risk_Compensation!$U102</f>
        <v>0</v>
      </c>
    </row>
    <row r="7116" spans="1:8" x14ac:dyDescent="0.2">
      <c r="A7116" s="1027"/>
      <c r="B7116" s="1083">
        <f>Risk_Compensation!A$1</f>
        <v>36</v>
      </c>
      <c r="C7116" s="1390" t="str">
        <f>Risk_Compensation!$B$1</f>
        <v xml:space="preserve">Risikoausgleich </v>
      </c>
      <c r="D7116" s="2206" t="s">
        <v>2573</v>
      </c>
      <c r="E7116" s="1390" t="str">
        <f>Risk_Compensation!$D103</f>
        <v>KRE</v>
      </c>
      <c r="F7116" s="1390" t="str">
        <f>Risk_Compensation!$U$86</f>
        <v>NW</v>
      </c>
      <c r="G7116" s="1390"/>
      <c r="H7116" s="1077">
        <f>Risk_Compensation!$U103</f>
        <v>0</v>
      </c>
    </row>
    <row r="7117" spans="1:8" x14ac:dyDescent="0.2">
      <c r="A7117" s="1027"/>
      <c r="B7117" s="1083">
        <f>Risk_Compensation!A$1</f>
        <v>36</v>
      </c>
      <c r="C7117" s="1390" t="str">
        <f>Risk_Compensation!$B$1</f>
        <v xml:space="preserve">Risikoausgleich </v>
      </c>
      <c r="D7117" s="2206" t="s">
        <v>2573</v>
      </c>
      <c r="E7117" s="1390" t="str">
        <f>Risk_Compensation!$D104</f>
        <v>KRK</v>
      </c>
      <c r="F7117" s="1390" t="str">
        <f>Risk_Compensation!$U$86</f>
        <v>NW</v>
      </c>
      <c r="G7117" s="1390"/>
      <c r="H7117" s="1077">
        <f>Risk_Compensation!$U104</f>
        <v>0</v>
      </c>
    </row>
    <row r="7118" spans="1:8" x14ac:dyDescent="0.2">
      <c r="A7118" s="1027"/>
      <c r="B7118" s="1083">
        <f>Risk_Compensation!A$1</f>
        <v>36</v>
      </c>
      <c r="C7118" s="1390" t="str">
        <f>Risk_Compensation!$B$1</f>
        <v xml:space="preserve">Risikoausgleich </v>
      </c>
      <c r="D7118" s="2206" t="s">
        <v>2573</v>
      </c>
      <c r="E7118" s="1390" t="str">
        <f>Risk_Compensation!$D105</f>
        <v>MCR</v>
      </c>
      <c r="F7118" s="1390" t="str">
        <f>Risk_Compensation!$U$86</f>
        <v>NW</v>
      </c>
      <c r="G7118" s="1390"/>
      <c r="H7118" s="1077">
        <f>Risk_Compensation!$U105</f>
        <v>0</v>
      </c>
    </row>
    <row r="7119" spans="1:8" x14ac:dyDescent="0.2">
      <c r="A7119" s="1027"/>
      <c r="B7119" s="1083">
        <f>Risk_Compensation!A$1</f>
        <v>36</v>
      </c>
      <c r="C7119" s="1390" t="str">
        <f>Risk_Compensation!$B$1</f>
        <v xml:space="preserve">Risikoausgleich </v>
      </c>
      <c r="D7119" s="2206" t="s">
        <v>2573</v>
      </c>
      <c r="E7119" s="1390" t="str">
        <f>Risk_Compensation!$D106</f>
        <v>MSK</v>
      </c>
      <c r="F7119" s="1390" t="str">
        <f>Risk_Compensation!$U$86</f>
        <v>NW</v>
      </c>
      <c r="G7119" s="1390"/>
      <c r="H7119" s="1077">
        <f>Risk_Compensation!$U106</f>
        <v>0</v>
      </c>
    </row>
    <row r="7120" spans="1:8" x14ac:dyDescent="0.2">
      <c r="A7120" s="1027"/>
      <c r="B7120" s="1083">
        <f>Risk_Compensation!A$1</f>
        <v>36</v>
      </c>
      <c r="C7120" s="1390" t="str">
        <f>Risk_Compensation!$B$1</f>
        <v xml:space="preserve">Risikoausgleich </v>
      </c>
      <c r="D7120" s="2206" t="s">
        <v>2573</v>
      </c>
      <c r="E7120" s="1390" t="str">
        <f>Risk_Compensation!$D107</f>
        <v>NIE</v>
      </c>
      <c r="F7120" s="1390" t="str">
        <f>Risk_Compensation!$U$86</f>
        <v>NW</v>
      </c>
      <c r="G7120" s="1390"/>
      <c r="H7120" s="1077">
        <f>Risk_Compensation!$U107</f>
        <v>0</v>
      </c>
    </row>
    <row r="7121" spans="1:8" x14ac:dyDescent="0.2">
      <c r="A7121" s="1027"/>
      <c r="B7121" s="1083">
        <f>Risk_Compensation!A$1</f>
        <v>36</v>
      </c>
      <c r="C7121" s="1390" t="str">
        <f>Risk_Compensation!$B$1</f>
        <v xml:space="preserve">Risikoausgleich </v>
      </c>
      <c r="D7121" s="2206" t="s">
        <v>2573</v>
      </c>
      <c r="E7121" s="1390" t="str">
        <f>Risk_Compensation!$D108</f>
        <v>PAH</v>
      </c>
      <c r="F7121" s="1390" t="str">
        <f>Risk_Compensation!$U$86</f>
        <v>NW</v>
      </c>
      <c r="G7121" s="1390"/>
      <c r="H7121" s="1077">
        <f>Risk_Compensation!$U108</f>
        <v>0</v>
      </c>
    </row>
    <row r="7122" spans="1:8" x14ac:dyDescent="0.2">
      <c r="A7122" s="1027"/>
      <c r="B7122" s="1083">
        <f>Risk_Compensation!A$1</f>
        <v>36</v>
      </c>
      <c r="C7122" s="1390" t="str">
        <f>Risk_Compensation!$B$1</f>
        <v xml:space="preserve">Risikoausgleich </v>
      </c>
      <c r="D7122" s="2206" t="s">
        <v>2573</v>
      </c>
      <c r="E7122" s="1390" t="str">
        <f>Risk_Compensation!$D109</f>
        <v>PAR</v>
      </c>
      <c r="F7122" s="1390" t="str">
        <f>Risk_Compensation!$U$86</f>
        <v>NW</v>
      </c>
      <c r="G7122" s="1390"/>
      <c r="H7122" s="1077">
        <f>Risk_Compensation!$U109</f>
        <v>0</v>
      </c>
    </row>
    <row r="7123" spans="1:8" x14ac:dyDescent="0.2">
      <c r="A7123" s="1027"/>
      <c r="B7123" s="1083">
        <f>Risk_Compensation!A$1</f>
        <v>36</v>
      </c>
      <c r="C7123" s="1390" t="str">
        <f>Risk_Compensation!$B$1</f>
        <v xml:space="preserve">Risikoausgleich </v>
      </c>
      <c r="D7123" s="2206" t="s">
        <v>2573</v>
      </c>
      <c r="E7123" s="1390" t="str">
        <f>Risk_Compensation!$D110</f>
        <v>PSO</v>
      </c>
      <c r="F7123" s="1390" t="str">
        <f>Risk_Compensation!$U$86</f>
        <v>NW</v>
      </c>
      <c r="G7123" s="1390"/>
      <c r="H7123" s="1077">
        <f>Risk_Compensation!$U110</f>
        <v>0</v>
      </c>
    </row>
    <row r="7124" spans="1:8" x14ac:dyDescent="0.2">
      <c r="A7124" s="1027"/>
      <c r="B7124" s="1083">
        <f>Risk_Compensation!A$1</f>
        <v>36</v>
      </c>
      <c r="C7124" s="1390" t="str">
        <f>Risk_Compensation!$B$1</f>
        <v xml:space="preserve">Risikoausgleich </v>
      </c>
      <c r="D7124" s="2206" t="s">
        <v>2573</v>
      </c>
      <c r="E7124" s="1390" t="str">
        <f>Risk_Compensation!$D111</f>
        <v>PSY</v>
      </c>
      <c r="F7124" s="1390" t="str">
        <f>Risk_Compensation!$U$86</f>
        <v>NW</v>
      </c>
      <c r="G7124" s="1390"/>
      <c r="H7124" s="1077">
        <f>Risk_Compensation!$U111</f>
        <v>0</v>
      </c>
    </row>
    <row r="7125" spans="1:8" x14ac:dyDescent="0.2">
      <c r="A7125" s="1027"/>
      <c r="B7125" s="1083">
        <f>Risk_Compensation!A$1</f>
        <v>36</v>
      </c>
      <c r="C7125" s="1390" t="str">
        <f>Risk_Compensation!$B$1</f>
        <v xml:space="preserve">Risikoausgleich </v>
      </c>
      <c r="D7125" s="2206" t="s">
        <v>2573</v>
      </c>
      <c r="E7125" s="1390" t="str">
        <f>Risk_Compensation!$D112</f>
        <v>RHE</v>
      </c>
      <c r="F7125" s="1390" t="str">
        <f>Risk_Compensation!$U$86</f>
        <v>NW</v>
      </c>
      <c r="G7125" s="1390"/>
      <c r="H7125" s="1077">
        <f>Risk_Compensation!$U112</f>
        <v>0</v>
      </c>
    </row>
    <row r="7126" spans="1:8" x14ac:dyDescent="0.2">
      <c r="A7126" s="1027"/>
      <c r="B7126" s="1083">
        <f>Risk_Compensation!A$1</f>
        <v>36</v>
      </c>
      <c r="C7126" s="1390" t="str">
        <f>Risk_Compensation!$B$1</f>
        <v xml:space="preserve">Risikoausgleich </v>
      </c>
      <c r="D7126" s="2206" t="s">
        <v>2573</v>
      </c>
      <c r="E7126" s="1390" t="str">
        <f>Risk_Compensation!$D113</f>
        <v>SMC</v>
      </c>
      <c r="F7126" s="1390" t="str">
        <f>Risk_Compensation!$U$86</f>
        <v>NW</v>
      </c>
      <c r="G7126" s="1390"/>
      <c r="H7126" s="1077">
        <f>Risk_Compensation!$U113</f>
        <v>0</v>
      </c>
    </row>
    <row r="7127" spans="1:8" x14ac:dyDescent="0.2">
      <c r="A7127" s="1027"/>
      <c r="B7127" s="1083">
        <f>Risk_Compensation!A$1</f>
        <v>36</v>
      </c>
      <c r="C7127" s="1390" t="str">
        <f>Risk_Compensation!$B$1</f>
        <v xml:space="preserve">Risikoausgleich </v>
      </c>
      <c r="D7127" s="2206" t="s">
        <v>2573</v>
      </c>
      <c r="E7127" s="1390" t="str">
        <f>Risk_Compensation!$D114</f>
        <v>SMN</v>
      </c>
      <c r="F7127" s="1390" t="str">
        <f>Risk_Compensation!$U$86</f>
        <v>NW</v>
      </c>
      <c r="G7127" s="1390"/>
      <c r="H7127" s="1077">
        <f>Risk_Compensation!$U114</f>
        <v>0</v>
      </c>
    </row>
    <row r="7128" spans="1:8" x14ac:dyDescent="0.2">
      <c r="A7128" s="1027"/>
      <c r="B7128" s="1083">
        <f>Risk_Compensation!A$1</f>
        <v>36</v>
      </c>
      <c r="C7128" s="1390" t="str">
        <f>Risk_Compensation!$B$1</f>
        <v xml:space="preserve">Risikoausgleich </v>
      </c>
      <c r="D7128" s="2206" t="s">
        <v>2573</v>
      </c>
      <c r="E7128" s="1390" t="str">
        <f>Risk_Compensation!$D115</f>
        <v>THY</v>
      </c>
      <c r="F7128" s="1390" t="str">
        <f>Risk_Compensation!$U$86</f>
        <v>NW</v>
      </c>
      <c r="G7128" s="1390"/>
      <c r="H7128" s="1077">
        <f>Risk_Compensation!$U115</f>
        <v>0</v>
      </c>
    </row>
    <row r="7129" spans="1:8" x14ac:dyDescent="0.2">
      <c r="A7129" s="1027"/>
      <c r="B7129" s="1083">
        <f>Risk_Compensation!A$1</f>
        <v>36</v>
      </c>
      <c r="C7129" s="1390" t="str">
        <f>Risk_Compensation!$B$1</f>
        <v xml:space="preserve">Risikoausgleich </v>
      </c>
      <c r="D7129" s="2206" t="s">
        <v>2573</v>
      </c>
      <c r="E7129" s="1390" t="str">
        <f>Risk_Compensation!$D116</f>
        <v>TRA</v>
      </c>
      <c r="F7129" s="1390" t="str">
        <f>Risk_Compensation!$U$86</f>
        <v>NW</v>
      </c>
      <c r="G7129" s="1390"/>
      <c r="H7129" s="1077">
        <f>Risk_Compensation!$U116</f>
        <v>0</v>
      </c>
    </row>
    <row r="7130" spans="1:8" x14ac:dyDescent="0.2">
      <c r="A7130" s="1027"/>
      <c r="B7130" s="1083">
        <f>Risk_Compensation!A$1</f>
        <v>36</v>
      </c>
      <c r="C7130" s="1390" t="str">
        <f>Risk_Compensation!$B$1</f>
        <v xml:space="preserve">Risikoausgleich </v>
      </c>
      <c r="D7130" s="2206" t="s">
        <v>2573</v>
      </c>
      <c r="E7130" s="1390" t="str">
        <f>Risk_Compensation!$D117</f>
        <v>WAS</v>
      </c>
      <c r="F7130" s="1390" t="str">
        <f>Risk_Compensation!$U$86</f>
        <v>NW</v>
      </c>
      <c r="G7130" s="1390"/>
      <c r="H7130" s="1077">
        <f>Risk_Compensation!$U117</f>
        <v>0</v>
      </c>
    </row>
    <row r="7131" spans="1:8" x14ac:dyDescent="0.2">
      <c r="A7131" s="1027"/>
      <c r="B7131" s="1083">
        <f>Risk_Compensation!A$1</f>
        <v>36</v>
      </c>
      <c r="C7131" s="1390" t="str">
        <f>Risk_Compensation!$B$1</f>
        <v xml:space="preserve">Risikoausgleich </v>
      </c>
      <c r="D7131" s="2206" t="s">
        <v>2573</v>
      </c>
      <c r="E7131" s="1390" t="str">
        <f>Risk_Compensation!$D118</f>
        <v>ZFP</v>
      </c>
      <c r="F7131" s="1390" t="str">
        <f>Risk_Compensation!$U$86</f>
        <v>NW</v>
      </c>
      <c r="G7131" s="1390"/>
      <c r="H7131" s="1077">
        <f>Risk_Compensation!$U118</f>
        <v>0</v>
      </c>
    </row>
    <row r="7132" spans="1:8" x14ac:dyDescent="0.2">
      <c r="A7132" s="1027"/>
      <c r="B7132" s="1083">
        <f>Risk_Compensation!A$1</f>
        <v>36</v>
      </c>
      <c r="C7132" s="1390" t="str">
        <f>Risk_Compensation!$B$1</f>
        <v xml:space="preserve">Risikoausgleich </v>
      </c>
      <c r="D7132" s="2206" t="s">
        <v>2573</v>
      </c>
      <c r="E7132" s="1390" t="str">
        <f>Risk_Compensation!$D119</f>
        <v>ZNS</v>
      </c>
      <c r="F7132" s="1390" t="str">
        <f>Risk_Compensation!$U$86</f>
        <v>NW</v>
      </c>
      <c r="G7132" s="1390"/>
      <c r="H7132" s="1077">
        <f>Risk_Compensation!$U119</f>
        <v>0</v>
      </c>
    </row>
    <row r="7133" spans="1:8" x14ac:dyDescent="0.2">
      <c r="A7133" s="1027"/>
      <c r="B7133" s="1083">
        <f>Risk_Compensation!A$1</f>
        <v>36</v>
      </c>
      <c r="C7133" s="1390" t="str">
        <f>Risk_Compensation!$B$1</f>
        <v xml:space="preserve">Risikoausgleich </v>
      </c>
      <c r="D7133" s="2206" t="s">
        <v>2573</v>
      </c>
      <c r="E7133" s="1390" t="str">
        <f>Risk_Compensation!$D120</f>
        <v>DM2 + hyp</v>
      </c>
      <c r="F7133" s="1390" t="str">
        <f>Risk_Compensation!$U$86</f>
        <v>NW</v>
      </c>
      <c r="G7133" s="1390"/>
      <c r="H7133" s="1077">
        <f>Risk_Compensation!$U120</f>
        <v>0</v>
      </c>
    </row>
    <row r="7134" spans="1:8" x14ac:dyDescent="0.2">
      <c r="A7134" s="1027"/>
      <c r="B7134" s="2174"/>
      <c r="C7134" s="1390"/>
      <c r="D7134" s="2175"/>
      <c r="E7134" s="2176"/>
      <c r="F7134" s="1390"/>
      <c r="G7134" s="1390"/>
      <c r="H7134" s="1078"/>
    </row>
    <row r="7135" spans="1:8" x14ac:dyDescent="0.2">
      <c r="A7135" s="1027"/>
      <c r="B7135" s="1083">
        <f>Risk_Compensation!A$1</f>
        <v>36</v>
      </c>
      <c r="C7135" s="1390" t="str">
        <f>Risk_Compensation!$B$1</f>
        <v xml:space="preserve">Risikoausgleich </v>
      </c>
      <c r="D7135" s="2206" t="s">
        <v>2573</v>
      </c>
      <c r="E7135" s="1390" t="str">
        <f>Risk_Compensation!$D87</f>
        <v>ABH</v>
      </c>
      <c r="F7135" s="1390" t="str">
        <f>Risk_Compensation!$V$86</f>
        <v>OW</v>
      </c>
      <c r="G7135" s="1390"/>
      <c r="H7135" s="1077">
        <f>Risk_Compensation!$V87</f>
        <v>0</v>
      </c>
    </row>
    <row r="7136" spans="1:8" x14ac:dyDescent="0.2">
      <c r="A7136" s="1027"/>
      <c r="B7136" s="1083">
        <f>Risk_Compensation!A$1</f>
        <v>36</v>
      </c>
      <c r="C7136" s="1390" t="str">
        <f>Risk_Compensation!$B$1</f>
        <v xml:space="preserve">Risikoausgleich </v>
      </c>
      <c r="D7136" s="2206" t="s">
        <v>2573</v>
      </c>
      <c r="E7136" s="1390" t="str">
        <f>Risk_Compensation!$D88</f>
        <v>ADH</v>
      </c>
      <c r="F7136" s="1390" t="str">
        <f>Risk_Compensation!$V$86</f>
        <v>OW</v>
      </c>
      <c r="G7136" s="1390"/>
      <c r="H7136" s="1077">
        <f>Risk_Compensation!$V88</f>
        <v>0</v>
      </c>
    </row>
    <row r="7137" spans="1:8" x14ac:dyDescent="0.2">
      <c r="A7137" s="1027"/>
      <c r="B7137" s="1083">
        <f>Risk_Compensation!A$1</f>
        <v>36</v>
      </c>
      <c r="C7137" s="1390" t="str">
        <f>Risk_Compensation!$B$1</f>
        <v xml:space="preserve">Risikoausgleich </v>
      </c>
      <c r="D7137" s="2206" t="s">
        <v>2573</v>
      </c>
      <c r="E7137" s="1390" t="str">
        <f>Risk_Compensation!$D89</f>
        <v>AIK</v>
      </c>
      <c r="F7137" s="1390" t="str">
        <f>Risk_Compensation!$V$86</f>
        <v>OW</v>
      </c>
      <c r="G7137" s="1390"/>
      <c r="H7137" s="1077">
        <f>Risk_Compensation!$V89</f>
        <v>0</v>
      </c>
    </row>
    <row r="7138" spans="1:8" x14ac:dyDescent="0.2">
      <c r="A7138" s="1027"/>
      <c r="B7138" s="1083">
        <f>Risk_Compensation!A$1</f>
        <v>36</v>
      </c>
      <c r="C7138" s="1390" t="str">
        <f>Risk_Compensation!$B$1</f>
        <v xml:space="preserve">Risikoausgleich </v>
      </c>
      <c r="D7138" s="2206" t="s">
        <v>2573</v>
      </c>
      <c r="E7138" s="1390" t="str">
        <f>Risk_Compensation!$D90</f>
        <v>ALZ</v>
      </c>
      <c r="F7138" s="1390" t="str">
        <f>Risk_Compensation!$V$86</f>
        <v>OW</v>
      </c>
      <c r="G7138" s="1390"/>
      <c r="H7138" s="1077">
        <f>Risk_Compensation!$V90</f>
        <v>0</v>
      </c>
    </row>
    <row r="7139" spans="1:8" x14ac:dyDescent="0.2">
      <c r="A7139" s="1027"/>
      <c r="B7139" s="1083">
        <f>Risk_Compensation!A$1</f>
        <v>36</v>
      </c>
      <c r="C7139" s="1390" t="str">
        <f>Risk_Compensation!$B$1</f>
        <v xml:space="preserve">Risikoausgleich </v>
      </c>
      <c r="D7139" s="2206" t="s">
        <v>2573</v>
      </c>
      <c r="E7139" s="1390" t="str">
        <f>Risk_Compensation!$D91</f>
        <v>AST</v>
      </c>
      <c r="F7139" s="1390" t="str">
        <f>Risk_Compensation!$V$86</f>
        <v>OW</v>
      </c>
      <c r="G7139" s="1390"/>
      <c r="H7139" s="1077">
        <f>Risk_Compensation!$V91</f>
        <v>0</v>
      </c>
    </row>
    <row r="7140" spans="1:8" x14ac:dyDescent="0.2">
      <c r="A7140" s="1027"/>
      <c r="B7140" s="1083">
        <f>Risk_Compensation!A$1</f>
        <v>36</v>
      </c>
      <c r="C7140" s="1390" t="str">
        <f>Risk_Compensation!$B$1</f>
        <v xml:space="preserve">Risikoausgleich </v>
      </c>
      <c r="D7140" s="2206" t="s">
        <v>2573</v>
      </c>
      <c r="E7140" s="1390" t="str">
        <f>Risk_Compensation!$D92</f>
        <v>BSR</v>
      </c>
      <c r="F7140" s="1390" t="str">
        <f>Risk_Compensation!$V$86</f>
        <v>OW</v>
      </c>
      <c r="G7140" s="1390"/>
      <c r="H7140" s="1077">
        <f>Risk_Compensation!$V92</f>
        <v>0</v>
      </c>
    </row>
    <row r="7141" spans="1:8" x14ac:dyDescent="0.2">
      <c r="A7141" s="1027"/>
      <c r="B7141" s="1083">
        <f>Risk_Compensation!A$1</f>
        <v>36</v>
      </c>
      <c r="C7141" s="1390" t="str">
        <f>Risk_Compensation!$B$1</f>
        <v xml:space="preserve">Risikoausgleich </v>
      </c>
      <c r="D7141" s="2206" t="s">
        <v>2573</v>
      </c>
      <c r="E7141" s="1390" t="str">
        <f>Risk_Compensation!$D93</f>
        <v>CAR</v>
      </c>
      <c r="F7141" s="1390" t="str">
        <f>Risk_Compensation!$V$86</f>
        <v>OW</v>
      </c>
      <c r="G7141" s="1390"/>
      <c r="H7141" s="1077">
        <f>Risk_Compensation!$V93</f>
        <v>0</v>
      </c>
    </row>
    <row r="7142" spans="1:8" x14ac:dyDescent="0.2">
      <c r="A7142" s="1027"/>
      <c r="B7142" s="1083">
        <f>Risk_Compensation!A$1</f>
        <v>36</v>
      </c>
      <c r="C7142" s="1390" t="str">
        <f>Risk_Compensation!$B$1</f>
        <v xml:space="preserve">Risikoausgleich </v>
      </c>
      <c r="D7142" s="2206" t="s">
        <v>2573</v>
      </c>
      <c r="E7142" s="1390" t="str">
        <f>Risk_Compensation!$D94</f>
        <v>COP</v>
      </c>
      <c r="F7142" s="1390" t="str">
        <f>Risk_Compensation!$V$86</f>
        <v>OW</v>
      </c>
      <c r="G7142" s="1390"/>
      <c r="H7142" s="1077">
        <f>Risk_Compensation!$V94</f>
        <v>0</v>
      </c>
    </row>
    <row r="7143" spans="1:8" x14ac:dyDescent="0.2">
      <c r="A7143" s="1027"/>
      <c r="B7143" s="1083">
        <f>Risk_Compensation!A$1</f>
        <v>36</v>
      </c>
      <c r="C7143" s="1390" t="str">
        <f>Risk_Compensation!$B$1</f>
        <v xml:space="preserve">Risikoausgleich </v>
      </c>
      <c r="D7143" s="2206" t="s">
        <v>2573</v>
      </c>
      <c r="E7143" s="1390" t="str">
        <f>Risk_Compensation!$D95</f>
        <v>DEP</v>
      </c>
      <c r="F7143" s="1390" t="str">
        <f>Risk_Compensation!$V$86</f>
        <v>OW</v>
      </c>
      <c r="G7143" s="1390"/>
      <c r="H7143" s="1077">
        <f>Risk_Compensation!$V95</f>
        <v>0</v>
      </c>
    </row>
    <row r="7144" spans="1:8" x14ac:dyDescent="0.2">
      <c r="A7144" s="1027"/>
      <c r="B7144" s="1083">
        <f>Risk_Compensation!A$1</f>
        <v>36</v>
      </c>
      <c r="C7144" s="1390" t="str">
        <f>Risk_Compensation!$B$1</f>
        <v xml:space="preserve">Risikoausgleich </v>
      </c>
      <c r="D7144" s="2206" t="s">
        <v>2573</v>
      </c>
      <c r="E7144" s="1390" t="str">
        <f>Risk_Compensation!$D96</f>
        <v>DM1</v>
      </c>
      <c r="F7144" s="1390" t="str">
        <f>Risk_Compensation!$V$86</f>
        <v>OW</v>
      </c>
      <c r="G7144" s="1390"/>
      <c r="H7144" s="1077">
        <f>Risk_Compensation!$V96</f>
        <v>0</v>
      </c>
    </row>
    <row r="7145" spans="1:8" x14ac:dyDescent="0.2">
      <c r="A7145" s="1027"/>
      <c r="B7145" s="1083">
        <f>Risk_Compensation!A$1</f>
        <v>36</v>
      </c>
      <c r="C7145" s="1390" t="str">
        <f>Risk_Compensation!$B$1</f>
        <v xml:space="preserve">Risikoausgleich </v>
      </c>
      <c r="D7145" s="2206" t="s">
        <v>2573</v>
      </c>
      <c r="E7145" s="1390" t="str">
        <f>Risk_Compensation!$D97</f>
        <v>DM2</v>
      </c>
      <c r="F7145" s="1390" t="str">
        <f>Risk_Compensation!$V$86</f>
        <v>OW</v>
      </c>
      <c r="G7145" s="1390"/>
      <c r="H7145" s="1077">
        <f>Risk_Compensation!$V97</f>
        <v>0</v>
      </c>
    </row>
    <row r="7146" spans="1:8" x14ac:dyDescent="0.2">
      <c r="A7146" s="1027"/>
      <c r="B7146" s="1083">
        <f>Risk_Compensation!A$1</f>
        <v>36</v>
      </c>
      <c r="C7146" s="1390" t="str">
        <f>Risk_Compensation!$B$1</f>
        <v xml:space="preserve">Risikoausgleich </v>
      </c>
      <c r="D7146" s="2206" t="s">
        <v>2573</v>
      </c>
      <c r="E7146" s="1390" t="str">
        <f>Risk_Compensation!$D98</f>
        <v>EPI</v>
      </c>
      <c r="F7146" s="1390" t="str">
        <f>Risk_Compensation!$V$86</f>
        <v>OW</v>
      </c>
      <c r="G7146" s="1390"/>
      <c r="H7146" s="1077">
        <f>Risk_Compensation!$V98</f>
        <v>0</v>
      </c>
    </row>
    <row r="7147" spans="1:8" x14ac:dyDescent="0.2">
      <c r="A7147" s="1027"/>
      <c r="B7147" s="1083">
        <f>Risk_Compensation!A$1</f>
        <v>36</v>
      </c>
      <c r="C7147" s="1390" t="str">
        <f>Risk_Compensation!$B$1</f>
        <v xml:space="preserve">Risikoausgleich </v>
      </c>
      <c r="D7147" s="2206" t="s">
        <v>2573</v>
      </c>
      <c r="E7147" s="1390" t="str">
        <f>Risk_Compensation!$D99</f>
        <v>GLA</v>
      </c>
      <c r="F7147" s="1390" t="str">
        <f>Risk_Compensation!$V$86</f>
        <v>OW</v>
      </c>
      <c r="G7147" s="1390"/>
      <c r="H7147" s="1077">
        <f>Risk_Compensation!$V99</f>
        <v>0</v>
      </c>
    </row>
    <row r="7148" spans="1:8" x14ac:dyDescent="0.2">
      <c r="A7148" s="1027"/>
      <c r="B7148" s="1083">
        <f>Risk_Compensation!A$1</f>
        <v>36</v>
      </c>
      <c r="C7148" s="1390" t="str">
        <f>Risk_Compensation!$B$1</f>
        <v xml:space="preserve">Risikoausgleich </v>
      </c>
      <c r="D7148" s="2206" t="s">
        <v>2573</v>
      </c>
      <c r="E7148" s="1390" t="str">
        <f>Risk_Compensation!$D100</f>
        <v>HCH</v>
      </c>
      <c r="F7148" s="1390" t="str">
        <f>Risk_Compensation!$V$86</f>
        <v>OW</v>
      </c>
      <c r="G7148" s="1390"/>
      <c r="H7148" s="1077">
        <f>Risk_Compensation!$V100</f>
        <v>0</v>
      </c>
    </row>
    <row r="7149" spans="1:8" x14ac:dyDescent="0.2">
      <c r="A7149" s="1027"/>
      <c r="B7149" s="1083">
        <f>Risk_Compensation!A$1</f>
        <v>36</v>
      </c>
      <c r="C7149" s="1390" t="str">
        <f>Risk_Compensation!$B$1</f>
        <v xml:space="preserve">Risikoausgleich </v>
      </c>
      <c r="D7149" s="2206" t="s">
        <v>2573</v>
      </c>
      <c r="E7149" s="1390" t="str">
        <f>Risk_Compensation!$D101</f>
        <v>HIV</v>
      </c>
      <c r="F7149" s="1390" t="str">
        <f>Risk_Compensation!$V$86</f>
        <v>OW</v>
      </c>
      <c r="G7149" s="1390"/>
      <c r="H7149" s="1077">
        <f>Risk_Compensation!$V101</f>
        <v>0</v>
      </c>
    </row>
    <row r="7150" spans="1:8" x14ac:dyDescent="0.2">
      <c r="A7150" s="1027"/>
      <c r="B7150" s="1083">
        <f>Risk_Compensation!A$1</f>
        <v>36</v>
      </c>
      <c r="C7150" s="1390" t="str">
        <f>Risk_Compensation!$B$1</f>
        <v xml:space="preserve">Risikoausgleich </v>
      </c>
      <c r="D7150" s="2206" t="s">
        <v>2573</v>
      </c>
      <c r="E7150" s="1390" t="str">
        <f>Risk_Compensation!$D102</f>
        <v>KHO</v>
      </c>
      <c r="F7150" s="1390" t="str">
        <f>Risk_Compensation!$V$86</f>
        <v>OW</v>
      </c>
      <c r="G7150" s="1390"/>
      <c r="H7150" s="1077">
        <f>Risk_Compensation!$V102</f>
        <v>0</v>
      </c>
    </row>
    <row r="7151" spans="1:8" x14ac:dyDescent="0.2">
      <c r="A7151" s="1027"/>
      <c r="B7151" s="1083">
        <f>Risk_Compensation!A$1</f>
        <v>36</v>
      </c>
      <c r="C7151" s="1390" t="str">
        <f>Risk_Compensation!$B$1</f>
        <v xml:space="preserve">Risikoausgleich </v>
      </c>
      <c r="D7151" s="2206" t="s">
        <v>2573</v>
      </c>
      <c r="E7151" s="1390" t="str">
        <f>Risk_Compensation!$D103</f>
        <v>KRE</v>
      </c>
      <c r="F7151" s="1390" t="str">
        <f>Risk_Compensation!$V$86</f>
        <v>OW</v>
      </c>
      <c r="G7151" s="1390"/>
      <c r="H7151" s="1077">
        <f>Risk_Compensation!$V103</f>
        <v>0</v>
      </c>
    </row>
    <row r="7152" spans="1:8" x14ac:dyDescent="0.2">
      <c r="A7152" s="1027"/>
      <c r="B7152" s="1083">
        <f>Risk_Compensation!A$1</f>
        <v>36</v>
      </c>
      <c r="C7152" s="1390" t="str">
        <f>Risk_Compensation!$B$1</f>
        <v xml:space="preserve">Risikoausgleich </v>
      </c>
      <c r="D7152" s="2206" t="s">
        <v>2573</v>
      </c>
      <c r="E7152" s="1390" t="str">
        <f>Risk_Compensation!$D104</f>
        <v>KRK</v>
      </c>
      <c r="F7152" s="1390" t="str">
        <f>Risk_Compensation!$V$86</f>
        <v>OW</v>
      </c>
      <c r="G7152" s="1390"/>
      <c r="H7152" s="1077">
        <f>Risk_Compensation!$V104</f>
        <v>0</v>
      </c>
    </row>
    <row r="7153" spans="1:8" x14ac:dyDescent="0.2">
      <c r="A7153" s="1027"/>
      <c r="B7153" s="1083">
        <f>Risk_Compensation!A$1</f>
        <v>36</v>
      </c>
      <c r="C7153" s="1390" t="str">
        <f>Risk_Compensation!$B$1</f>
        <v xml:space="preserve">Risikoausgleich </v>
      </c>
      <c r="D7153" s="2206" t="s">
        <v>2573</v>
      </c>
      <c r="E7153" s="1390" t="str">
        <f>Risk_Compensation!$D105</f>
        <v>MCR</v>
      </c>
      <c r="F7153" s="1390" t="str">
        <f>Risk_Compensation!$V$86</f>
        <v>OW</v>
      </c>
      <c r="G7153" s="1390"/>
      <c r="H7153" s="1077">
        <f>Risk_Compensation!$V105</f>
        <v>0</v>
      </c>
    </row>
    <row r="7154" spans="1:8" x14ac:dyDescent="0.2">
      <c r="A7154" s="1027"/>
      <c r="B7154" s="1083">
        <f>Risk_Compensation!A$1</f>
        <v>36</v>
      </c>
      <c r="C7154" s="1390" t="str">
        <f>Risk_Compensation!$B$1</f>
        <v xml:space="preserve">Risikoausgleich </v>
      </c>
      <c r="D7154" s="2206" t="s">
        <v>2573</v>
      </c>
      <c r="E7154" s="1390" t="str">
        <f>Risk_Compensation!$D106</f>
        <v>MSK</v>
      </c>
      <c r="F7154" s="1390" t="str">
        <f>Risk_Compensation!$V$86</f>
        <v>OW</v>
      </c>
      <c r="G7154" s="1390"/>
      <c r="H7154" s="1077">
        <f>Risk_Compensation!$V106</f>
        <v>0</v>
      </c>
    </row>
    <row r="7155" spans="1:8" x14ac:dyDescent="0.2">
      <c r="A7155" s="1027"/>
      <c r="B7155" s="1083">
        <f>Risk_Compensation!A$1</f>
        <v>36</v>
      </c>
      <c r="C7155" s="1390" t="str">
        <f>Risk_Compensation!$B$1</f>
        <v xml:space="preserve">Risikoausgleich </v>
      </c>
      <c r="D7155" s="2206" t="s">
        <v>2573</v>
      </c>
      <c r="E7155" s="1390" t="str">
        <f>Risk_Compensation!$D107</f>
        <v>NIE</v>
      </c>
      <c r="F7155" s="1390" t="str">
        <f>Risk_Compensation!$V$86</f>
        <v>OW</v>
      </c>
      <c r="G7155" s="1390"/>
      <c r="H7155" s="1077">
        <f>Risk_Compensation!$V107</f>
        <v>0</v>
      </c>
    </row>
    <row r="7156" spans="1:8" x14ac:dyDescent="0.2">
      <c r="A7156" s="1027"/>
      <c r="B7156" s="1083">
        <f>Risk_Compensation!A$1</f>
        <v>36</v>
      </c>
      <c r="C7156" s="1390" t="str">
        <f>Risk_Compensation!$B$1</f>
        <v xml:space="preserve">Risikoausgleich </v>
      </c>
      <c r="D7156" s="2206" t="s">
        <v>2573</v>
      </c>
      <c r="E7156" s="1390" t="str">
        <f>Risk_Compensation!$D108</f>
        <v>PAH</v>
      </c>
      <c r="F7156" s="1390" t="str">
        <f>Risk_Compensation!$V$86</f>
        <v>OW</v>
      </c>
      <c r="G7156" s="1390"/>
      <c r="H7156" s="1077">
        <f>Risk_Compensation!$V108</f>
        <v>0</v>
      </c>
    </row>
    <row r="7157" spans="1:8" x14ac:dyDescent="0.2">
      <c r="A7157" s="1027"/>
      <c r="B7157" s="1083">
        <f>Risk_Compensation!A$1</f>
        <v>36</v>
      </c>
      <c r="C7157" s="1390" t="str">
        <f>Risk_Compensation!$B$1</f>
        <v xml:space="preserve">Risikoausgleich </v>
      </c>
      <c r="D7157" s="2206" t="s">
        <v>2573</v>
      </c>
      <c r="E7157" s="1390" t="str">
        <f>Risk_Compensation!$D109</f>
        <v>PAR</v>
      </c>
      <c r="F7157" s="1390" t="str">
        <f>Risk_Compensation!$V$86</f>
        <v>OW</v>
      </c>
      <c r="G7157" s="1390"/>
      <c r="H7157" s="1077">
        <f>Risk_Compensation!$V109</f>
        <v>0</v>
      </c>
    </row>
    <row r="7158" spans="1:8" x14ac:dyDescent="0.2">
      <c r="A7158" s="1027"/>
      <c r="B7158" s="1083">
        <f>Risk_Compensation!A$1</f>
        <v>36</v>
      </c>
      <c r="C7158" s="1390" t="str">
        <f>Risk_Compensation!$B$1</f>
        <v xml:space="preserve">Risikoausgleich </v>
      </c>
      <c r="D7158" s="2206" t="s">
        <v>2573</v>
      </c>
      <c r="E7158" s="1390" t="str">
        <f>Risk_Compensation!$D110</f>
        <v>PSO</v>
      </c>
      <c r="F7158" s="1390" t="str">
        <f>Risk_Compensation!$V$86</f>
        <v>OW</v>
      </c>
      <c r="G7158" s="1390"/>
      <c r="H7158" s="1077">
        <f>Risk_Compensation!$V110</f>
        <v>0</v>
      </c>
    </row>
    <row r="7159" spans="1:8" x14ac:dyDescent="0.2">
      <c r="A7159" s="1027"/>
      <c r="B7159" s="1083">
        <f>Risk_Compensation!A$1</f>
        <v>36</v>
      </c>
      <c r="C7159" s="1390" t="str">
        <f>Risk_Compensation!$B$1</f>
        <v xml:space="preserve">Risikoausgleich </v>
      </c>
      <c r="D7159" s="2206" t="s">
        <v>2573</v>
      </c>
      <c r="E7159" s="1390" t="str">
        <f>Risk_Compensation!$D111</f>
        <v>PSY</v>
      </c>
      <c r="F7159" s="1390" t="str">
        <f>Risk_Compensation!$V$86</f>
        <v>OW</v>
      </c>
      <c r="G7159" s="1390"/>
      <c r="H7159" s="1077">
        <f>Risk_Compensation!$V111</f>
        <v>0</v>
      </c>
    </row>
    <row r="7160" spans="1:8" x14ac:dyDescent="0.2">
      <c r="A7160" s="1027"/>
      <c r="B7160" s="1083">
        <f>Risk_Compensation!A$1</f>
        <v>36</v>
      </c>
      <c r="C7160" s="1390" t="str">
        <f>Risk_Compensation!$B$1</f>
        <v xml:space="preserve">Risikoausgleich </v>
      </c>
      <c r="D7160" s="2206" t="s">
        <v>2573</v>
      </c>
      <c r="E7160" s="1390" t="str">
        <f>Risk_Compensation!$D112</f>
        <v>RHE</v>
      </c>
      <c r="F7160" s="1390" t="str">
        <f>Risk_Compensation!$V$86</f>
        <v>OW</v>
      </c>
      <c r="G7160" s="1390"/>
      <c r="H7160" s="1077">
        <f>Risk_Compensation!$V112</f>
        <v>0</v>
      </c>
    </row>
    <row r="7161" spans="1:8" x14ac:dyDescent="0.2">
      <c r="A7161" s="1027"/>
      <c r="B7161" s="1083">
        <f>Risk_Compensation!A$1</f>
        <v>36</v>
      </c>
      <c r="C7161" s="1390" t="str">
        <f>Risk_Compensation!$B$1</f>
        <v xml:space="preserve">Risikoausgleich </v>
      </c>
      <c r="D7161" s="2206" t="s">
        <v>2573</v>
      </c>
      <c r="E7161" s="1390" t="str">
        <f>Risk_Compensation!$D113</f>
        <v>SMC</v>
      </c>
      <c r="F7161" s="1390" t="str">
        <f>Risk_Compensation!$V$86</f>
        <v>OW</v>
      </c>
      <c r="G7161" s="1390"/>
      <c r="H7161" s="1077">
        <f>Risk_Compensation!$V113</f>
        <v>0</v>
      </c>
    </row>
    <row r="7162" spans="1:8" x14ac:dyDescent="0.2">
      <c r="A7162" s="1027"/>
      <c r="B7162" s="1083">
        <f>Risk_Compensation!A$1</f>
        <v>36</v>
      </c>
      <c r="C7162" s="1390" t="str">
        <f>Risk_Compensation!$B$1</f>
        <v xml:space="preserve">Risikoausgleich </v>
      </c>
      <c r="D7162" s="2206" t="s">
        <v>2573</v>
      </c>
      <c r="E7162" s="1390" t="str">
        <f>Risk_Compensation!$D114</f>
        <v>SMN</v>
      </c>
      <c r="F7162" s="1390" t="str">
        <f>Risk_Compensation!$V$86</f>
        <v>OW</v>
      </c>
      <c r="G7162" s="1390"/>
      <c r="H7162" s="1077">
        <f>Risk_Compensation!$V114</f>
        <v>0</v>
      </c>
    </row>
    <row r="7163" spans="1:8" x14ac:dyDescent="0.2">
      <c r="A7163" s="1027"/>
      <c r="B7163" s="1083">
        <f>Risk_Compensation!A$1</f>
        <v>36</v>
      </c>
      <c r="C7163" s="1390" t="str">
        <f>Risk_Compensation!$B$1</f>
        <v xml:space="preserve">Risikoausgleich </v>
      </c>
      <c r="D7163" s="2206" t="s">
        <v>2573</v>
      </c>
      <c r="E7163" s="1390" t="str">
        <f>Risk_Compensation!$D115</f>
        <v>THY</v>
      </c>
      <c r="F7163" s="1390" t="str">
        <f>Risk_Compensation!$V$86</f>
        <v>OW</v>
      </c>
      <c r="G7163" s="1390"/>
      <c r="H7163" s="1077">
        <f>Risk_Compensation!$V115</f>
        <v>0</v>
      </c>
    </row>
    <row r="7164" spans="1:8" x14ac:dyDescent="0.2">
      <c r="A7164" s="1027"/>
      <c r="B7164" s="1083">
        <f>Risk_Compensation!A$1</f>
        <v>36</v>
      </c>
      <c r="C7164" s="1390" t="str">
        <f>Risk_Compensation!$B$1</f>
        <v xml:space="preserve">Risikoausgleich </v>
      </c>
      <c r="D7164" s="2206" t="s">
        <v>2573</v>
      </c>
      <c r="E7164" s="1390" t="str">
        <f>Risk_Compensation!$D116</f>
        <v>TRA</v>
      </c>
      <c r="F7164" s="1390" t="str">
        <f>Risk_Compensation!$V$86</f>
        <v>OW</v>
      </c>
      <c r="G7164" s="1390"/>
      <c r="H7164" s="1077">
        <f>Risk_Compensation!$V116</f>
        <v>0</v>
      </c>
    </row>
    <row r="7165" spans="1:8" x14ac:dyDescent="0.2">
      <c r="A7165" s="1027"/>
      <c r="B7165" s="1083">
        <f>Risk_Compensation!A$1</f>
        <v>36</v>
      </c>
      <c r="C7165" s="1390" t="str">
        <f>Risk_Compensation!$B$1</f>
        <v xml:space="preserve">Risikoausgleich </v>
      </c>
      <c r="D7165" s="2206" t="s">
        <v>2573</v>
      </c>
      <c r="E7165" s="1390" t="str">
        <f>Risk_Compensation!$D117</f>
        <v>WAS</v>
      </c>
      <c r="F7165" s="1390" t="str">
        <f>Risk_Compensation!$V$86</f>
        <v>OW</v>
      </c>
      <c r="G7165" s="1390"/>
      <c r="H7165" s="1077">
        <f>Risk_Compensation!$V117</f>
        <v>0</v>
      </c>
    </row>
    <row r="7166" spans="1:8" x14ac:dyDescent="0.2">
      <c r="A7166" s="1027"/>
      <c r="B7166" s="1083">
        <f>Risk_Compensation!A$1</f>
        <v>36</v>
      </c>
      <c r="C7166" s="1390" t="str">
        <f>Risk_Compensation!$B$1</f>
        <v xml:space="preserve">Risikoausgleich </v>
      </c>
      <c r="D7166" s="2206" t="s">
        <v>2573</v>
      </c>
      <c r="E7166" s="1390" t="str">
        <f>Risk_Compensation!$D118</f>
        <v>ZFP</v>
      </c>
      <c r="F7166" s="1390" t="str">
        <f>Risk_Compensation!$V$86</f>
        <v>OW</v>
      </c>
      <c r="G7166" s="1390"/>
      <c r="H7166" s="1077">
        <f>Risk_Compensation!$V118</f>
        <v>0</v>
      </c>
    </row>
    <row r="7167" spans="1:8" x14ac:dyDescent="0.2">
      <c r="A7167" s="1027"/>
      <c r="B7167" s="1083">
        <f>Risk_Compensation!A$1</f>
        <v>36</v>
      </c>
      <c r="C7167" s="1390" t="str">
        <f>Risk_Compensation!$B$1</f>
        <v xml:space="preserve">Risikoausgleich </v>
      </c>
      <c r="D7167" s="2206" t="s">
        <v>2573</v>
      </c>
      <c r="E7167" s="1390" t="str">
        <f>Risk_Compensation!$D119</f>
        <v>ZNS</v>
      </c>
      <c r="F7167" s="1390" t="str">
        <f>Risk_Compensation!$V$86</f>
        <v>OW</v>
      </c>
      <c r="G7167" s="1390"/>
      <c r="H7167" s="1077">
        <f>Risk_Compensation!$V119</f>
        <v>0</v>
      </c>
    </row>
    <row r="7168" spans="1:8" x14ac:dyDescent="0.2">
      <c r="A7168" s="1027"/>
      <c r="B7168" s="1083">
        <f>Risk_Compensation!A$1</f>
        <v>36</v>
      </c>
      <c r="C7168" s="1390" t="str">
        <f>Risk_Compensation!$B$1</f>
        <v xml:space="preserve">Risikoausgleich </v>
      </c>
      <c r="D7168" s="2206" t="s">
        <v>2573</v>
      </c>
      <c r="E7168" s="1390" t="str">
        <f>Risk_Compensation!$D120</f>
        <v>DM2 + hyp</v>
      </c>
      <c r="F7168" s="1390" t="str">
        <f>Risk_Compensation!$V$86</f>
        <v>OW</v>
      </c>
      <c r="G7168" s="1390"/>
      <c r="H7168" s="1077">
        <f>Risk_Compensation!$V120</f>
        <v>0</v>
      </c>
    </row>
    <row r="7169" spans="1:8" x14ac:dyDescent="0.2">
      <c r="A7169" s="1027"/>
      <c r="B7169" s="2174"/>
      <c r="C7169" s="1390"/>
      <c r="D7169" s="2175"/>
      <c r="E7169" s="2176"/>
      <c r="F7169" s="1390"/>
      <c r="G7169" s="1390"/>
      <c r="H7169" s="1078"/>
    </row>
    <row r="7170" spans="1:8" x14ac:dyDescent="0.2">
      <c r="A7170" s="1027"/>
      <c r="B7170" s="1083">
        <f>Risk_Compensation!A$1</f>
        <v>36</v>
      </c>
      <c r="C7170" s="1390" t="str">
        <f>Risk_Compensation!$B$1</f>
        <v xml:space="preserve">Risikoausgleich </v>
      </c>
      <c r="D7170" s="2206" t="s">
        <v>2573</v>
      </c>
      <c r="E7170" s="1390" t="str">
        <f>Risk_Compensation!$D87</f>
        <v>ABH</v>
      </c>
      <c r="F7170" s="1390" t="str">
        <f>Risk_Compensation!$W$86</f>
        <v>SG</v>
      </c>
      <c r="G7170" s="1390"/>
      <c r="H7170" s="1077">
        <f>Risk_Compensation!$W87</f>
        <v>0</v>
      </c>
    </row>
    <row r="7171" spans="1:8" x14ac:dyDescent="0.2">
      <c r="A7171" s="1027"/>
      <c r="B7171" s="1083">
        <f>Risk_Compensation!A$1</f>
        <v>36</v>
      </c>
      <c r="C7171" s="1390" t="str">
        <f>Risk_Compensation!$B$1</f>
        <v xml:space="preserve">Risikoausgleich </v>
      </c>
      <c r="D7171" s="2206" t="s">
        <v>2573</v>
      </c>
      <c r="E7171" s="1390" t="str">
        <f>Risk_Compensation!$D88</f>
        <v>ADH</v>
      </c>
      <c r="F7171" s="1390" t="str">
        <f>Risk_Compensation!$W$86</f>
        <v>SG</v>
      </c>
      <c r="G7171" s="1390"/>
      <c r="H7171" s="1077">
        <f>Risk_Compensation!$W88</f>
        <v>0</v>
      </c>
    </row>
    <row r="7172" spans="1:8" x14ac:dyDescent="0.2">
      <c r="A7172" s="1027"/>
      <c r="B7172" s="1083">
        <f>Risk_Compensation!A$1</f>
        <v>36</v>
      </c>
      <c r="C7172" s="1390" t="str">
        <f>Risk_Compensation!$B$1</f>
        <v xml:space="preserve">Risikoausgleich </v>
      </c>
      <c r="D7172" s="2206" t="s">
        <v>2573</v>
      </c>
      <c r="E7172" s="1390" t="str">
        <f>Risk_Compensation!$D89</f>
        <v>AIK</v>
      </c>
      <c r="F7172" s="1390" t="str">
        <f>Risk_Compensation!$W$86</f>
        <v>SG</v>
      </c>
      <c r="G7172" s="1390"/>
      <c r="H7172" s="1077">
        <f>Risk_Compensation!$W89</f>
        <v>0</v>
      </c>
    </row>
    <row r="7173" spans="1:8" x14ac:dyDescent="0.2">
      <c r="A7173" s="1027"/>
      <c r="B7173" s="1083">
        <f>Risk_Compensation!A$1</f>
        <v>36</v>
      </c>
      <c r="C7173" s="1390" t="str">
        <f>Risk_Compensation!$B$1</f>
        <v xml:space="preserve">Risikoausgleich </v>
      </c>
      <c r="D7173" s="2206" t="s">
        <v>2573</v>
      </c>
      <c r="E7173" s="1390" t="str">
        <f>Risk_Compensation!$D90</f>
        <v>ALZ</v>
      </c>
      <c r="F7173" s="1390" t="str">
        <f>Risk_Compensation!$W$86</f>
        <v>SG</v>
      </c>
      <c r="G7173" s="1390"/>
      <c r="H7173" s="1077">
        <f>Risk_Compensation!$W90</f>
        <v>0</v>
      </c>
    </row>
    <row r="7174" spans="1:8" x14ac:dyDescent="0.2">
      <c r="A7174" s="1027"/>
      <c r="B7174" s="1083">
        <f>Risk_Compensation!A$1</f>
        <v>36</v>
      </c>
      <c r="C7174" s="1390" t="str">
        <f>Risk_Compensation!$B$1</f>
        <v xml:space="preserve">Risikoausgleich </v>
      </c>
      <c r="D7174" s="2206" t="s">
        <v>2573</v>
      </c>
      <c r="E7174" s="1390" t="str">
        <f>Risk_Compensation!$D91</f>
        <v>AST</v>
      </c>
      <c r="F7174" s="1390" t="str">
        <f>Risk_Compensation!$W$86</f>
        <v>SG</v>
      </c>
      <c r="G7174" s="1390"/>
      <c r="H7174" s="1077">
        <f>Risk_Compensation!$W91</f>
        <v>0</v>
      </c>
    </row>
    <row r="7175" spans="1:8" x14ac:dyDescent="0.2">
      <c r="A7175" s="1027"/>
      <c r="B7175" s="1083">
        <f>Risk_Compensation!A$1</f>
        <v>36</v>
      </c>
      <c r="C7175" s="1390" t="str">
        <f>Risk_Compensation!$B$1</f>
        <v xml:space="preserve">Risikoausgleich </v>
      </c>
      <c r="D7175" s="2206" t="s">
        <v>2573</v>
      </c>
      <c r="E7175" s="1390" t="str">
        <f>Risk_Compensation!$D92</f>
        <v>BSR</v>
      </c>
      <c r="F7175" s="1390" t="str">
        <f>Risk_Compensation!$W$86</f>
        <v>SG</v>
      </c>
      <c r="G7175" s="1390"/>
      <c r="H7175" s="1077">
        <f>Risk_Compensation!$W92</f>
        <v>0</v>
      </c>
    </row>
    <row r="7176" spans="1:8" x14ac:dyDescent="0.2">
      <c r="A7176" s="1027"/>
      <c r="B7176" s="1083">
        <f>Risk_Compensation!A$1</f>
        <v>36</v>
      </c>
      <c r="C7176" s="1390" t="str">
        <f>Risk_Compensation!$B$1</f>
        <v xml:space="preserve">Risikoausgleich </v>
      </c>
      <c r="D7176" s="2206" t="s">
        <v>2573</v>
      </c>
      <c r="E7176" s="1390" t="str">
        <f>Risk_Compensation!$D93</f>
        <v>CAR</v>
      </c>
      <c r="F7176" s="1390" t="str">
        <f>Risk_Compensation!$W$86</f>
        <v>SG</v>
      </c>
      <c r="G7176" s="1390"/>
      <c r="H7176" s="1077">
        <f>Risk_Compensation!$W93</f>
        <v>0</v>
      </c>
    </row>
    <row r="7177" spans="1:8" x14ac:dyDescent="0.2">
      <c r="A7177" s="1027"/>
      <c r="B7177" s="1083">
        <f>Risk_Compensation!A$1</f>
        <v>36</v>
      </c>
      <c r="C7177" s="1390" t="str">
        <f>Risk_Compensation!$B$1</f>
        <v xml:space="preserve">Risikoausgleich </v>
      </c>
      <c r="D7177" s="2206" t="s">
        <v>2573</v>
      </c>
      <c r="E7177" s="1390" t="str">
        <f>Risk_Compensation!$D94</f>
        <v>COP</v>
      </c>
      <c r="F7177" s="1390" t="str">
        <f>Risk_Compensation!$W$86</f>
        <v>SG</v>
      </c>
      <c r="G7177" s="1390"/>
      <c r="H7177" s="1077">
        <f>Risk_Compensation!$W94</f>
        <v>0</v>
      </c>
    </row>
    <row r="7178" spans="1:8" x14ac:dyDescent="0.2">
      <c r="A7178" s="1027"/>
      <c r="B7178" s="1083">
        <f>Risk_Compensation!A$1</f>
        <v>36</v>
      </c>
      <c r="C7178" s="1390" t="str">
        <f>Risk_Compensation!$B$1</f>
        <v xml:space="preserve">Risikoausgleich </v>
      </c>
      <c r="D7178" s="2206" t="s">
        <v>2573</v>
      </c>
      <c r="E7178" s="1390" t="str">
        <f>Risk_Compensation!$D95</f>
        <v>DEP</v>
      </c>
      <c r="F7178" s="1390" t="str">
        <f>Risk_Compensation!$W$86</f>
        <v>SG</v>
      </c>
      <c r="G7178" s="1390"/>
      <c r="H7178" s="1077">
        <f>Risk_Compensation!$W95</f>
        <v>0</v>
      </c>
    </row>
    <row r="7179" spans="1:8" x14ac:dyDescent="0.2">
      <c r="A7179" s="1027"/>
      <c r="B7179" s="1083">
        <f>Risk_Compensation!A$1</f>
        <v>36</v>
      </c>
      <c r="C7179" s="1390" t="str">
        <f>Risk_Compensation!$B$1</f>
        <v xml:space="preserve">Risikoausgleich </v>
      </c>
      <c r="D7179" s="2206" t="s">
        <v>2573</v>
      </c>
      <c r="E7179" s="1390" t="str">
        <f>Risk_Compensation!$D96</f>
        <v>DM1</v>
      </c>
      <c r="F7179" s="1390" t="str">
        <f>Risk_Compensation!$W$86</f>
        <v>SG</v>
      </c>
      <c r="G7179" s="1390"/>
      <c r="H7179" s="1077">
        <f>Risk_Compensation!$W96</f>
        <v>0</v>
      </c>
    </row>
    <row r="7180" spans="1:8" x14ac:dyDescent="0.2">
      <c r="A7180" s="1027"/>
      <c r="B7180" s="1083">
        <f>Risk_Compensation!A$1</f>
        <v>36</v>
      </c>
      <c r="C7180" s="1390" t="str">
        <f>Risk_Compensation!$B$1</f>
        <v xml:space="preserve">Risikoausgleich </v>
      </c>
      <c r="D7180" s="2206" t="s">
        <v>2573</v>
      </c>
      <c r="E7180" s="1390" t="str">
        <f>Risk_Compensation!$D97</f>
        <v>DM2</v>
      </c>
      <c r="F7180" s="1390" t="str">
        <f>Risk_Compensation!$W$86</f>
        <v>SG</v>
      </c>
      <c r="G7180" s="1390"/>
      <c r="H7180" s="1077">
        <f>Risk_Compensation!$W97</f>
        <v>0</v>
      </c>
    </row>
    <row r="7181" spans="1:8" x14ac:dyDescent="0.2">
      <c r="A7181" s="1027"/>
      <c r="B7181" s="1083">
        <f>Risk_Compensation!A$1</f>
        <v>36</v>
      </c>
      <c r="C7181" s="1390" t="str">
        <f>Risk_Compensation!$B$1</f>
        <v xml:space="preserve">Risikoausgleich </v>
      </c>
      <c r="D7181" s="2206" t="s">
        <v>2573</v>
      </c>
      <c r="E7181" s="1390" t="str">
        <f>Risk_Compensation!$D98</f>
        <v>EPI</v>
      </c>
      <c r="F7181" s="1390" t="str">
        <f>Risk_Compensation!$W$86</f>
        <v>SG</v>
      </c>
      <c r="G7181" s="1390"/>
      <c r="H7181" s="1077">
        <f>Risk_Compensation!$W98</f>
        <v>0</v>
      </c>
    </row>
    <row r="7182" spans="1:8" x14ac:dyDescent="0.2">
      <c r="A7182" s="1027"/>
      <c r="B7182" s="1083">
        <f>Risk_Compensation!A$1</f>
        <v>36</v>
      </c>
      <c r="C7182" s="1390" t="str">
        <f>Risk_Compensation!$B$1</f>
        <v xml:space="preserve">Risikoausgleich </v>
      </c>
      <c r="D7182" s="2206" t="s">
        <v>2573</v>
      </c>
      <c r="E7182" s="1390" t="str">
        <f>Risk_Compensation!$D99</f>
        <v>GLA</v>
      </c>
      <c r="F7182" s="1390" t="str">
        <f>Risk_Compensation!$W$86</f>
        <v>SG</v>
      </c>
      <c r="G7182" s="1390"/>
      <c r="H7182" s="1077">
        <f>Risk_Compensation!$W99</f>
        <v>0</v>
      </c>
    </row>
    <row r="7183" spans="1:8" x14ac:dyDescent="0.2">
      <c r="A7183" s="1027"/>
      <c r="B7183" s="1083">
        <f>Risk_Compensation!A$1</f>
        <v>36</v>
      </c>
      <c r="C7183" s="1390" t="str">
        <f>Risk_Compensation!$B$1</f>
        <v xml:space="preserve">Risikoausgleich </v>
      </c>
      <c r="D7183" s="2206" t="s">
        <v>2573</v>
      </c>
      <c r="E7183" s="1390" t="str">
        <f>Risk_Compensation!$D100</f>
        <v>HCH</v>
      </c>
      <c r="F7183" s="1390" t="str">
        <f>Risk_Compensation!$W$86</f>
        <v>SG</v>
      </c>
      <c r="G7183" s="1390"/>
      <c r="H7183" s="1077">
        <f>Risk_Compensation!$W100</f>
        <v>0</v>
      </c>
    </row>
    <row r="7184" spans="1:8" x14ac:dyDescent="0.2">
      <c r="A7184" s="1027"/>
      <c r="B7184" s="1083">
        <f>Risk_Compensation!A$1</f>
        <v>36</v>
      </c>
      <c r="C7184" s="1390" t="str">
        <f>Risk_Compensation!$B$1</f>
        <v xml:space="preserve">Risikoausgleich </v>
      </c>
      <c r="D7184" s="2206" t="s">
        <v>2573</v>
      </c>
      <c r="E7184" s="1390" t="str">
        <f>Risk_Compensation!$D101</f>
        <v>HIV</v>
      </c>
      <c r="F7184" s="1390" t="str">
        <f>Risk_Compensation!$W$86</f>
        <v>SG</v>
      </c>
      <c r="G7184" s="1390"/>
      <c r="H7184" s="1077">
        <f>Risk_Compensation!$W101</f>
        <v>0</v>
      </c>
    </row>
    <row r="7185" spans="1:8" x14ac:dyDescent="0.2">
      <c r="A7185" s="1027"/>
      <c r="B7185" s="1083">
        <f>Risk_Compensation!A$1</f>
        <v>36</v>
      </c>
      <c r="C7185" s="1390" t="str">
        <f>Risk_Compensation!$B$1</f>
        <v xml:space="preserve">Risikoausgleich </v>
      </c>
      <c r="D7185" s="2206" t="s">
        <v>2573</v>
      </c>
      <c r="E7185" s="1390" t="str">
        <f>Risk_Compensation!$D102</f>
        <v>KHO</v>
      </c>
      <c r="F7185" s="1390" t="str">
        <f>Risk_Compensation!$W$86</f>
        <v>SG</v>
      </c>
      <c r="G7185" s="1390"/>
      <c r="H7185" s="1077">
        <f>Risk_Compensation!$W102</f>
        <v>0</v>
      </c>
    </row>
    <row r="7186" spans="1:8" x14ac:dyDescent="0.2">
      <c r="A7186" s="1027"/>
      <c r="B7186" s="1083">
        <f>Risk_Compensation!A$1</f>
        <v>36</v>
      </c>
      <c r="C7186" s="1390" t="str">
        <f>Risk_Compensation!$B$1</f>
        <v xml:space="preserve">Risikoausgleich </v>
      </c>
      <c r="D7186" s="2206" t="s">
        <v>2573</v>
      </c>
      <c r="E7186" s="1390" t="str">
        <f>Risk_Compensation!$D103</f>
        <v>KRE</v>
      </c>
      <c r="F7186" s="1390" t="str">
        <f>Risk_Compensation!$W$86</f>
        <v>SG</v>
      </c>
      <c r="G7186" s="1390"/>
      <c r="H7186" s="1077">
        <f>Risk_Compensation!$W103</f>
        <v>0</v>
      </c>
    </row>
    <row r="7187" spans="1:8" x14ac:dyDescent="0.2">
      <c r="A7187" s="1027"/>
      <c r="B7187" s="1083">
        <f>Risk_Compensation!A$1</f>
        <v>36</v>
      </c>
      <c r="C7187" s="1390" t="str">
        <f>Risk_Compensation!$B$1</f>
        <v xml:space="preserve">Risikoausgleich </v>
      </c>
      <c r="D7187" s="2206" t="s">
        <v>2573</v>
      </c>
      <c r="E7187" s="1390" t="str">
        <f>Risk_Compensation!$D104</f>
        <v>KRK</v>
      </c>
      <c r="F7187" s="1390" t="str">
        <f>Risk_Compensation!$W$86</f>
        <v>SG</v>
      </c>
      <c r="G7187" s="1390"/>
      <c r="H7187" s="1077">
        <f>Risk_Compensation!$W104</f>
        <v>0</v>
      </c>
    </row>
    <row r="7188" spans="1:8" x14ac:dyDescent="0.2">
      <c r="A7188" s="1027"/>
      <c r="B7188" s="1083">
        <f>Risk_Compensation!A$1</f>
        <v>36</v>
      </c>
      <c r="C7188" s="1390" t="str">
        <f>Risk_Compensation!$B$1</f>
        <v xml:space="preserve">Risikoausgleich </v>
      </c>
      <c r="D7188" s="2206" t="s">
        <v>2573</v>
      </c>
      <c r="E7188" s="1390" t="str">
        <f>Risk_Compensation!$D105</f>
        <v>MCR</v>
      </c>
      <c r="F7188" s="1390" t="str">
        <f>Risk_Compensation!$W$86</f>
        <v>SG</v>
      </c>
      <c r="G7188" s="1390"/>
      <c r="H7188" s="1077">
        <f>Risk_Compensation!$W105</f>
        <v>0</v>
      </c>
    </row>
    <row r="7189" spans="1:8" x14ac:dyDescent="0.2">
      <c r="A7189" s="1027"/>
      <c r="B7189" s="1083">
        <f>Risk_Compensation!A$1</f>
        <v>36</v>
      </c>
      <c r="C7189" s="1390" t="str">
        <f>Risk_Compensation!$B$1</f>
        <v xml:space="preserve">Risikoausgleich </v>
      </c>
      <c r="D7189" s="2206" t="s">
        <v>2573</v>
      </c>
      <c r="E7189" s="1390" t="str">
        <f>Risk_Compensation!$D106</f>
        <v>MSK</v>
      </c>
      <c r="F7189" s="1390" t="str">
        <f>Risk_Compensation!$W$86</f>
        <v>SG</v>
      </c>
      <c r="G7189" s="1390"/>
      <c r="H7189" s="1077">
        <f>Risk_Compensation!$W106</f>
        <v>0</v>
      </c>
    </row>
    <row r="7190" spans="1:8" x14ac:dyDescent="0.2">
      <c r="A7190" s="1027"/>
      <c r="B7190" s="1083">
        <f>Risk_Compensation!A$1</f>
        <v>36</v>
      </c>
      <c r="C7190" s="1390" t="str">
        <f>Risk_Compensation!$B$1</f>
        <v xml:space="preserve">Risikoausgleich </v>
      </c>
      <c r="D7190" s="2206" t="s">
        <v>2573</v>
      </c>
      <c r="E7190" s="1390" t="str">
        <f>Risk_Compensation!$D107</f>
        <v>NIE</v>
      </c>
      <c r="F7190" s="1390" t="str">
        <f>Risk_Compensation!$W$86</f>
        <v>SG</v>
      </c>
      <c r="G7190" s="1390"/>
      <c r="H7190" s="1077">
        <f>Risk_Compensation!$W107</f>
        <v>0</v>
      </c>
    </row>
    <row r="7191" spans="1:8" x14ac:dyDescent="0.2">
      <c r="A7191" s="1027"/>
      <c r="B7191" s="1083">
        <f>Risk_Compensation!A$1</f>
        <v>36</v>
      </c>
      <c r="C7191" s="1390" t="str">
        <f>Risk_Compensation!$B$1</f>
        <v xml:space="preserve">Risikoausgleich </v>
      </c>
      <c r="D7191" s="2206" t="s">
        <v>2573</v>
      </c>
      <c r="E7191" s="1390" t="str">
        <f>Risk_Compensation!$D108</f>
        <v>PAH</v>
      </c>
      <c r="F7191" s="1390" t="str">
        <f>Risk_Compensation!$W$86</f>
        <v>SG</v>
      </c>
      <c r="G7191" s="1390"/>
      <c r="H7191" s="1077">
        <f>Risk_Compensation!$W108</f>
        <v>0</v>
      </c>
    </row>
    <row r="7192" spans="1:8" x14ac:dyDescent="0.2">
      <c r="A7192" s="1027"/>
      <c r="B7192" s="1083">
        <f>Risk_Compensation!A$1</f>
        <v>36</v>
      </c>
      <c r="C7192" s="1390" t="str">
        <f>Risk_Compensation!$B$1</f>
        <v xml:space="preserve">Risikoausgleich </v>
      </c>
      <c r="D7192" s="2206" t="s">
        <v>2573</v>
      </c>
      <c r="E7192" s="1390" t="str">
        <f>Risk_Compensation!$D109</f>
        <v>PAR</v>
      </c>
      <c r="F7192" s="1390" t="str">
        <f>Risk_Compensation!$W$86</f>
        <v>SG</v>
      </c>
      <c r="G7192" s="1390"/>
      <c r="H7192" s="1077">
        <f>Risk_Compensation!$W109</f>
        <v>0</v>
      </c>
    </row>
    <row r="7193" spans="1:8" x14ac:dyDescent="0.2">
      <c r="A7193" s="1027"/>
      <c r="B7193" s="1083">
        <f>Risk_Compensation!A$1</f>
        <v>36</v>
      </c>
      <c r="C7193" s="1390" t="str">
        <f>Risk_Compensation!$B$1</f>
        <v xml:space="preserve">Risikoausgleich </v>
      </c>
      <c r="D7193" s="2206" t="s">
        <v>2573</v>
      </c>
      <c r="E7193" s="1390" t="str">
        <f>Risk_Compensation!$D110</f>
        <v>PSO</v>
      </c>
      <c r="F7193" s="1390" t="str">
        <f>Risk_Compensation!$W$86</f>
        <v>SG</v>
      </c>
      <c r="G7193" s="1390"/>
      <c r="H7193" s="1077">
        <f>Risk_Compensation!$W110</f>
        <v>0</v>
      </c>
    </row>
    <row r="7194" spans="1:8" x14ac:dyDescent="0.2">
      <c r="A7194" s="1027"/>
      <c r="B7194" s="1083">
        <f>Risk_Compensation!A$1</f>
        <v>36</v>
      </c>
      <c r="C7194" s="1390" t="str">
        <f>Risk_Compensation!$B$1</f>
        <v xml:space="preserve">Risikoausgleich </v>
      </c>
      <c r="D7194" s="2206" t="s">
        <v>2573</v>
      </c>
      <c r="E7194" s="1390" t="str">
        <f>Risk_Compensation!$D111</f>
        <v>PSY</v>
      </c>
      <c r="F7194" s="1390" t="str">
        <f>Risk_Compensation!$W$86</f>
        <v>SG</v>
      </c>
      <c r="G7194" s="1390"/>
      <c r="H7194" s="1077">
        <f>Risk_Compensation!$W111</f>
        <v>0</v>
      </c>
    </row>
    <row r="7195" spans="1:8" x14ac:dyDescent="0.2">
      <c r="A7195" s="1027"/>
      <c r="B7195" s="1083">
        <f>Risk_Compensation!A$1</f>
        <v>36</v>
      </c>
      <c r="C7195" s="1390" t="str">
        <f>Risk_Compensation!$B$1</f>
        <v xml:space="preserve">Risikoausgleich </v>
      </c>
      <c r="D7195" s="2206" t="s">
        <v>2573</v>
      </c>
      <c r="E7195" s="1390" t="str">
        <f>Risk_Compensation!$D112</f>
        <v>RHE</v>
      </c>
      <c r="F7195" s="1390" t="str">
        <f>Risk_Compensation!$W$86</f>
        <v>SG</v>
      </c>
      <c r="G7195" s="1390"/>
      <c r="H7195" s="1077">
        <f>Risk_Compensation!$W112</f>
        <v>0</v>
      </c>
    </row>
    <row r="7196" spans="1:8" x14ac:dyDescent="0.2">
      <c r="A7196" s="1027"/>
      <c r="B7196" s="1083">
        <f>Risk_Compensation!A$1</f>
        <v>36</v>
      </c>
      <c r="C7196" s="1390" t="str">
        <f>Risk_Compensation!$B$1</f>
        <v xml:space="preserve">Risikoausgleich </v>
      </c>
      <c r="D7196" s="2206" t="s">
        <v>2573</v>
      </c>
      <c r="E7196" s="1390" t="str">
        <f>Risk_Compensation!$D113</f>
        <v>SMC</v>
      </c>
      <c r="F7196" s="1390" t="str">
        <f>Risk_Compensation!$W$86</f>
        <v>SG</v>
      </c>
      <c r="G7196" s="1390"/>
      <c r="H7196" s="1077">
        <f>Risk_Compensation!$W113</f>
        <v>0</v>
      </c>
    </row>
    <row r="7197" spans="1:8" x14ac:dyDescent="0.2">
      <c r="A7197" s="1027"/>
      <c r="B7197" s="1083">
        <f>Risk_Compensation!A$1</f>
        <v>36</v>
      </c>
      <c r="C7197" s="1390" t="str">
        <f>Risk_Compensation!$B$1</f>
        <v xml:space="preserve">Risikoausgleich </v>
      </c>
      <c r="D7197" s="2206" t="s">
        <v>2573</v>
      </c>
      <c r="E7197" s="1390" t="str">
        <f>Risk_Compensation!$D114</f>
        <v>SMN</v>
      </c>
      <c r="F7197" s="1390" t="str">
        <f>Risk_Compensation!$W$86</f>
        <v>SG</v>
      </c>
      <c r="G7197" s="1390"/>
      <c r="H7197" s="1077">
        <f>Risk_Compensation!$W114</f>
        <v>0</v>
      </c>
    </row>
    <row r="7198" spans="1:8" x14ac:dyDescent="0.2">
      <c r="A7198" s="1027"/>
      <c r="B7198" s="1083">
        <f>Risk_Compensation!A$1</f>
        <v>36</v>
      </c>
      <c r="C7198" s="1390" t="str">
        <f>Risk_Compensation!$B$1</f>
        <v xml:space="preserve">Risikoausgleich </v>
      </c>
      <c r="D7198" s="2206" t="s">
        <v>2573</v>
      </c>
      <c r="E7198" s="1390" t="str">
        <f>Risk_Compensation!$D115</f>
        <v>THY</v>
      </c>
      <c r="F7198" s="1390" t="str">
        <f>Risk_Compensation!$W$86</f>
        <v>SG</v>
      </c>
      <c r="G7198" s="1390"/>
      <c r="H7198" s="1077">
        <f>Risk_Compensation!$W115</f>
        <v>0</v>
      </c>
    </row>
    <row r="7199" spans="1:8" x14ac:dyDescent="0.2">
      <c r="A7199" s="1027"/>
      <c r="B7199" s="1083">
        <f>Risk_Compensation!A$1</f>
        <v>36</v>
      </c>
      <c r="C7199" s="1390" t="str">
        <f>Risk_Compensation!$B$1</f>
        <v xml:space="preserve">Risikoausgleich </v>
      </c>
      <c r="D7199" s="2206" t="s">
        <v>2573</v>
      </c>
      <c r="E7199" s="1390" t="str">
        <f>Risk_Compensation!$D116</f>
        <v>TRA</v>
      </c>
      <c r="F7199" s="1390" t="str">
        <f>Risk_Compensation!$W$86</f>
        <v>SG</v>
      </c>
      <c r="G7199" s="1390"/>
      <c r="H7199" s="1077">
        <f>Risk_Compensation!$W116</f>
        <v>0</v>
      </c>
    </row>
    <row r="7200" spans="1:8" x14ac:dyDescent="0.2">
      <c r="A7200" s="1027"/>
      <c r="B7200" s="1083">
        <f>Risk_Compensation!A$1</f>
        <v>36</v>
      </c>
      <c r="C7200" s="1390" t="str">
        <f>Risk_Compensation!$B$1</f>
        <v xml:space="preserve">Risikoausgleich </v>
      </c>
      <c r="D7200" s="2206" t="s">
        <v>2573</v>
      </c>
      <c r="E7200" s="1390" t="str">
        <f>Risk_Compensation!$D117</f>
        <v>WAS</v>
      </c>
      <c r="F7200" s="1390" t="str">
        <f>Risk_Compensation!$W$86</f>
        <v>SG</v>
      </c>
      <c r="G7200" s="1390"/>
      <c r="H7200" s="1077">
        <f>Risk_Compensation!$W117</f>
        <v>0</v>
      </c>
    </row>
    <row r="7201" spans="1:8" x14ac:dyDescent="0.2">
      <c r="A7201" s="1027"/>
      <c r="B7201" s="1083">
        <f>Risk_Compensation!A$1</f>
        <v>36</v>
      </c>
      <c r="C7201" s="1390" t="str">
        <f>Risk_Compensation!$B$1</f>
        <v xml:space="preserve">Risikoausgleich </v>
      </c>
      <c r="D7201" s="2206" t="s">
        <v>2573</v>
      </c>
      <c r="E7201" s="1390" t="str">
        <f>Risk_Compensation!$D118</f>
        <v>ZFP</v>
      </c>
      <c r="F7201" s="1390" t="str">
        <f>Risk_Compensation!$W$86</f>
        <v>SG</v>
      </c>
      <c r="G7201" s="1390"/>
      <c r="H7201" s="1077">
        <f>Risk_Compensation!$W118</f>
        <v>0</v>
      </c>
    </row>
    <row r="7202" spans="1:8" x14ac:dyDescent="0.2">
      <c r="A7202" s="1027"/>
      <c r="B7202" s="1083">
        <f>Risk_Compensation!A$1</f>
        <v>36</v>
      </c>
      <c r="C7202" s="1390" t="str">
        <f>Risk_Compensation!$B$1</f>
        <v xml:space="preserve">Risikoausgleich </v>
      </c>
      <c r="D7202" s="2206" t="s">
        <v>2573</v>
      </c>
      <c r="E7202" s="1390" t="str">
        <f>Risk_Compensation!$D119</f>
        <v>ZNS</v>
      </c>
      <c r="F7202" s="1390" t="str">
        <f>Risk_Compensation!$W$86</f>
        <v>SG</v>
      </c>
      <c r="G7202" s="1390"/>
      <c r="H7202" s="1077">
        <f>Risk_Compensation!$W119</f>
        <v>0</v>
      </c>
    </row>
    <row r="7203" spans="1:8" x14ac:dyDescent="0.2">
      <c r="A7203" s="1027"/>
      <c r="B7203" s="1083">
        <f>Risk_Compensation!A$1</f>
        <v>36</v>
      </c>
      <c r="C7203" s="1390" t="str">
        <f>Risk_Compensation!$B$1</f>
        <v xml:space="preserve">Risikoausgleich </v>
      </c>
      <c r="D7203" s="2206" t="s">
        <v>2573</v>
      </c>
      <c r="E7203" s="1390" t="str">
        <f>Risk_Compensation!$D120</f>
        <v>DM2 + hyp</v>
      </c>
      <c r="F7203" s="1390" t="str">
        <f>Risk_Compensation!$W$86</f>
        <v>SG</v>
      </c>
      <c r="G7203" s="1390"/>
      <c r="H7203" s="1077">
        <f>Risk_Compensation!$W120</f>
        <v>0</v>
      </c>
    </row>
    <row r="7204" spans="1:8" x14ac:dyDescent="0.2">
      <c r="A7204" s="1027"/>
      <c r="B7204" s="2174"/>
      <c r="C7204" s="1390"/>
      <c r="D7204" s="2175"/>
      <c r="E7204" s="2176"/>
      <c r="F7204" s="1390"/>
      <c r="G7204" s="1390"/>
      <c r="H7204" s="1078"/>
    </row>
    <row r="7205" spans="1:8" x14ac:dyDescent="0.2">
      <c r="A7205" s="1027"/>
      <c r="B7205" s="1083">
        <f>Risk_Compensation!A$1</f>
        <v>36</v>
      </c>
      <c r="C7205" s="1390" t="str">
        <f>Risk_Compensation!$B$1</f>
        <v xml:space="preserve">Risikoausgleich </v>
      </c>
      <c r="D7205" s="2206" t="s">
        <v>2573</v>
      </c>
      <c r="E7205" s="1390" t="str">
        <f>Risk_Compensation!$D87</f>
        <v>ABH</v>
      </c>
      <c r="F7205" s="1390" t="str">
        <f>Risk_Compensation!$X$86</f>
        <v>SH</v>
      </c>
      <c r="G7205" s="1390"/>
      <c r="H7205" s="1077">
        <f>Risk_Compensation!$X87</f>
        <v>0</v>
      </c>
    </row>
    <row r="7206" spans="1:8" x14ac:dyDescent="0.2">
      <c r="A7206" s="1027"/>
      <c r="B7206" s="1083">
        <f>Risk_Compensation!A$1</f>
        <v>36</v>
      </c>
      <c r="C7206" s="1390" t="str">
        <f>Risk_Compensation!$B$1</f>
        <v xml:space="preserve">Risikoausgleich </v>
      </c>
      <c r="D7206" s="2206" t="s">
        <v>2573</v>
      </c>
      <c r="E7206" s="1390" t="str">
        <f>Risk_Compensation!$D88</f>
        <v>ADH</v>
      </c>
      <c r="F7206" s="1390" t="str">
        <f>Risk_Compensation!$X$86</f>
        <v>SH</v>
      </c>
      <c r="G7206" s="1390"/>
      <c r="H7206" s="1077">
        <f>Risk_Compensation!$X88</f>
        <v>0</v>
      </c>
    </row>
    <row r="7207" spans="1:8" x14ac:dyDescent="0.2">
      <c r="A7207" s="1027"/>
      <c r="B7207" s="1083">
        <f>Risk_Compensation!A$1</f>
        <v>36</v>
      </c>
      <c r="C7207" s="1390" t="str">
        <f>Risk_Compensation!$B$1</f>
        <v xml:space="preserve">Risikoausgleich </v>
      </c>
      <c r="D7207" s="2206" t="s">
        <v>2573</v>
      </c>
      <c r="E7207" s="1390" t="str">
        <f>Risk_Compensation!$D89</f>
        <v>AIK</v>
      </c>
      <c r="F7207" s="1390" t="str">
        <f>Risk_Compensation!$X$86</f>
        <v>SH</v>
      </c>
      <c r="G7207" s="1390"/>
      <c r="H7207" s="1077">
        <f>Risk_Compensation!$X89</f>
        <v>0</v>
      </c>
    </row>
    <row r="7208" spans="1:8" x14ac:dyDescent="0.2">
      <c r="A7208" s="1027"/>
      <c r="B7208" s="1083">
        <f>Risk_Compensation!A$1</f>
        <v>36</v>
      </c>
      <c r="C7208" s="1390" t="str">
        <f>Risk_Compensation!$B$1</f>
        <v xml:space="preserve">Risikoausgleich </v>
      </c>
      <c r="D7208" s="2206" t="s">
        <v>2573</v>
      </c>
      <c r="E7208" s="1390" t="str">
        <f>Risk_Compensation!$D90</f>
        <v>ALZ</v>
      </c>
      <c r="F7208" s="1390" t="str">
        <f>Risk_Compensation!$X$86</f>
        <v>SH</v>
      </c>
      <c r="G7208" s="1390"/>
      <c r="H7208" s="1077">
        <f>Risk_Compensation!$X90</f>
        <v>0</v>
      </c>
    </row>
    <row r="7209" spans="1:8" x14ac:dyDescent="0.2">
      <c r="A7209" s="1027"/>
      <c r="B7209" s="1083">
        <f>Risk_Compensation!A$1</f>
        <v>36</v>
      </c>
      <c r="C7209" s="1390" t="str">
        <f>Risk_Compensation!$B$1</f>
        <v xml:space="preserve">Risikoausgleich </v>
      </c>
      <c r="D7209" s="2206" t="s">
        <v>2573</v>
      </c>
      <c r="E7209" s="1390" t="str">
        <f>Risk_Compensation!$D91</f>
        <v>AST</v>
      </c>
      <c r="F7209" s="1390" t="str">
        <f>Risk_Compensation!$X$86</f>
        <v>SH</v>
      </c>
      <c r="G7209" s="1390"/>
      <c r="H7209" s="1077">
        <f>Risk_Compensation!$X91</f>
        <v>0</v>
      </c>
    </row>
    <row r="7210" spans="1:8" x14ac:dyDescent="0.2">
      <c r="A7210" s="1027"/>
      <c r="B7210" s="1083">
        <f>Risk_Compensation!A$1</f>
        <v>36</v>
      </c>
      <c r="C7210" s="1390" t="str">
        <f>Risk_Compensation!$B$1</f>
        <v xml:space="preserve">Risikoausgleich </v>
      </c>
      <c r="D7210" s="2206" t="s">
        <v>2573</v>
      </c>
      <c r="E7210" s="1390" t="str">
        <f>Risk_Compensation!$D92</f>
        <v>BSR</v>
      </c>
      <c r="F7210" s="1390" t="str">
        <f>Risk_Compensation!$X$86</f>
        <v>SH</v>
      </c>
      <c r="G7210" s="1390"/>
      <c r="H7210" s="1077">
        <f>Risk_Compensation!$X92</f>
        <v>0</v>
      </c>
    </row>
    <row r="7211" spans="1:8" x14ac:dyDescent="0.2">
      <c r="A7211" s="1027"/>
      <c r="B7211" s="1083">
        <f>Risk_Compensation!A$1</f>
        <v>36</v>
      </c>
      <c r="C7211" s="1390" t="str">
        <f>Risk_Compensation!$B$1</f>
        <v xml:space="preserve">Risikoausgleich </v>
      </c>
      <c r="D7211" s="2206" t="s">
        <v>2573</v>
      </c>
      <c r="E7211" s="1390" t="str">
        <f>Risk_Compensation!$D93</f>
        <v>CAR</v>
      </c>
      <c r="F7211" s="1390" t="str">
        <f>Risk_Compensation!$X$86</f>
        <v>SH</v>
      </c>
      <c r="G7211" s="1390"/>
      <c r="H7211" s="1077">
        <f>Risk_Compensation!$X93</f>
        <v>0</v>
      </c>
    </row>
    <row r="7212" spans="1:8" x14ac:dyDescent="0.2">
      <c r="A7212" s="1027"/>
      <c r="B7212" s="1083">
        <f>Risk_Compensation!A$1</f>
        <v>36</v>
      </c>
      <c r="C7212" s="1390" t="str">
        <f>Risk_Compensation!$B$1</f>
        <v xml:space="preserve">Risikoausgleich </v>
      </c>
      <c r="D7212" s="2206" t="s">
        <v>2573</v>
      </c>
      <c r="E7212" s="1390" t="str">
        <f>Risk_Compensation!$D94</f>
        <v>COP</v>
      </c>
      <c r="F7212" s="1390" t="str">
        <f>Risk_Compensation!$X$86</f>
        <v>SH</v>
      </c>
      <c r="G7212" s="1390"/>
      <c r="H7212" s="1077">
        <f>Risk_Compensation!$X94</f>
        <v>0</v>
      </c>
    </row>
    <row r="7213" spans="1:8" x14ac:dyDescent="0.2">
      <c r="A7213" s="1027"/>
      <c r="B7213" s="1083">
        <f>Risk_Compensation!A$1</f>
        <v>36</v>
      </c>
      <c r="C7213" s="1390" t="str">
        <f>Risk_Compensation!$B$1</f>
        <v xml:space="preserve">Risikoausgleich </v>
      </c>
      <c r="D7213" s="2206" t="s">
        <v>2573</v>
      </c>
      <c r="E7213" s="1390" t="str">
        <f>Risk_Compensation!$D95</f>
        <v>DEP</v>
      </c>
      <c r="F7213" s="1390" t="str">
        <f>Risk_Compensation!$X$86</f>
        <v>SH</v>
      </c>
      <c r="G7213" s="1390"/>
      <c r="H7213" s="1077">
        <f>Risk_Compensation!$X95</f>
        <v>0</v>
      </c>
    </row>
    <row r="7214" spans="1:8" x14ac:dyDescent="0.2">
      <c r="A7214" s="1027"/>
      <c r="B7214" s="1083">
        <f>Risk_Compensation!A$1</f>
        <v>36</v>
      </c>
      <c r="C7214" s="1390" t="str">
        <f>Risk_Compensation!$B$1</f>
        <v xml:space="preserve">Risikoausgleich </v>
      </c>
      <c r="D7214" s="2206" t="s">
        <v>2573</v>
      </c>
      <c r="E7214" s="1390" t="str">
        <f>Risk_Compensation!$D96</f>
        <v>DM1</v>
      </c>
      <c r="F7214" s="1390" t="str">
        <f>Risk_Compensation!$X$86</f>
        <v>SH</v>
      </c>
      <c r="G7214" s="1390"/>
      <c r="H7214" s="1077">
        <f>Risk_Compensation!$X96</f>
        <v>0</v>
      </c>
    </row>
    <row r="7215" spans="1:8" x14ac:dyDescent="0.2">
      <c r="A7215" s="1027"/>
      <c r="B7215" s="1083">
        <f>Risk_Compensation!A$1</f>
        <v>36</v>
      </c>
      <c r="C7215" s="1390" t="str">
        <f>Risk_Compensation!$B$1</f>
        <v xml:space="preserve">Risikoausgleich </v>
      </c>
      <c r="D7215" s="2206" t="s">
        <v>2573</v>
      </c>
      <c r="E7215" s="1390" t="str">
        <f>Risk_Compensation!$D97</f>
        <v>DM2</v>
      </c>
      <c r="F7215" s="1390" t="str">
        <f>Risk_Compensation!$X$86</f>
        <v>SH</v>
      </c>
      <c r="G7215" s="1390"/>
      <c r="H7215" s="1077">
        <f>Risk_Compensation!$X97</f>
        <v>0</v>
      </c>
    </row>
    <row r="7216" spans="1:8" x14ac:dyDescent="0.2">
      <c r="A7216" s="1027"/>
      <c r="B7216" s="1083">
        <f>Risk_Compensation!A$1</f>
        <v>36</v>
      </c>
      <c r="C7216" s="1390" t="str">
        <f>Risk_Compensation!$B$1</f>
        <v xml:space="preserve">Risikoausgleich </v>
      </c>
      <c r="D7216" s="2206" t="s">
        <v>2573</v>
      </c>
      <c r="E7216" s="1390" t="str">
        <f>Risk_Compensation!$D98</f>
        <v>EPI</v>
      </c>
      <c r="F7216" s="1390" t="str">
        <f>Risk_Compensation!$X$86</f>
        <v>SH</v>
      </c>
      <c r="G7216" s="1390"/>
      <c r="H7216" s="1077">
        <f>Risk_Compensation!$X98</f>
        <v>0</v>
      </c>
    </row>
    <row r="7217" spans="1:8" x14ac:dyDescent="0.2">
      <c r="A7217" s="1027"/>
      <c r="B7217" s="1083">
        <f>Risk_Compensation!A$1</f>
        <v>36</v>
      </c>
      <c r="C7217" s="1390" t="str">
        <f>Risk_Compensation!$B$1</f>
        <v xml:space="preserve">Risikoausgleich </v>
      </c>
      <c r="D7217" s="2206" t="s">
        <v>2573</v>
      </c>
      <c r="E7217" s="1390" t="str">
        <f>Risk_Compensation!$D99</f>
        <v>GLA</v>
      </c>
      <c r="F7217" s="1390" t="str">
        <f>Risk_Compensation!$X$86</f>
        <v>SH</v>
      </c>
      <c r="G7217" s="1390"/>
      <c r="H7217" s="1077">
        <f>Risk_Compensation!$X99</f>
        <v>0</v>
      </c>
    </row>
    <row r="7218" spans="1:8" x14ac:dyDescent="0.2">
      <c r="A7218" s="1027"/>
      <c r="B7218" s="1083">
        <f>Risk_Compensation!A$1</f>
        <v>36</v>
      </c>
      <c r="C7218" s="1390" t="str">
        <f>Risk_Compensation!$B$1</f>
        <v xml:space="preserve">Risikoausgleich </v>
      </c>
      <c r="D7218" s="2206" t="s">
        <v>2573</v>
      </c>
      <c r="E7218" s="1390" t="str">
        <f>Risk_Compensation!$D100</f>
        <v>HCH</v>
      </c>
      <c r="F7218" s="1390" t="str">
        <f>Risk_Compensation!$X$86</f>
        <v>SH</v>
      </c>
      <c r="G7218" s="1390"/>
      <c r="H7218" s="1077">
        <f>Risk_Compensation!$X100</f>
        <v>0</v>
      </c>
    </row>
    <row r="7219" spans="1:8" x14ac:dyDescent="0.2">
      <c r="A7219" s="1027"/>
      <c r="B7219" s="1083">
        <f>Risk_Compensation!A$1</f>
        <v>36</v>
      </c>
      <c r="C7219" s="1390" t="str">
        <f>Risk_Compensation!$B$1</f>
        <v xml:space="preserve">Risikoausgleich </v>
      </c>
      <c r="D7219" s="2206" t="s">
        <v>2573</v>
      </c>
      <c r="E7219" s="1390" t="str">
        <f>Risk_Compensation!$D101</f>
        <v>HIV</v>
      </c>
      <c r="F7219" s="1390" t="str">
        <f>Risk_Compensation!$X$86</f>
        <v>SH</v>
      </c>
      <c r="G7219" s="1390"/>
      <c r="H7219" s="1077">
        <f>Risk_Compensation!$X101</f>
        <v>0</v>
      </c>
    </row>
    <row r="7220" spans="1:8" x14ac:dyDescent="0.2">
      <c r="A7220" s="1027"/>
      <c r="B7220" s="1083">
        <f>Risk_Compensation!A$1</f>
        <v>36</v>
      </c>
      <c r="C7220" s="1390" t="str">
        <f>Risk_Compensation!$B$1</f>
        <v xml:space="preserve">Risikoausgleich </v>
      </c>
      <c r="D7220" s="2206" t="s">
        <v>2573</v>
      </c>
      <c r="E7220" s="1390" t="str">
        <f>Risk_Compensation!$D102</f>
        <v>KHO</v>
      </c>
      <c r="F7220" s="1390" t="str">
        <f>Risk_Compensation!$X$86</f>
        <v>SH</v>
      </c>
      <c r="G7220" s="1390"/>
      <c r="H7220" s="1077">
        <f>Risk_Compensation!$X102</f>
        <v>0</v>
      </c>
    </row>
    <row r="7221" spans="1:8" x14ac:dyDescent="0.2">
      <c r="A7221" s="1027"/>
      <c r="B7221" s="1083">
        <f>Risk_Compensation!A$1</f>
        <v>36</v>
      </c>
      <c r="C7221" s="1390" t="str">
        <f>Risk_Compensation!$B$1</f>
        <v xml:space="preserve">Risikoausgleich </v>
      </c>
      <c r="D7221" s="2206" t="s">
        <v>2573</v>
      </c>
      <c r="E7221" s="1390" t="str">
        <f>Risk_Compensation!$D103</f>
        <v>KRE</v>
      </c>
      <c r="F7221" s="1390" t="str">
        <f>Risk_Compensation!$X$86</f>
        <v>SH</v>
      </c>
      <c r="G7221" s="1390"/>
      <c r="H7221" s="1077">
        <f>Risk_Compensation!$X103</f>
        <v>0</v>
      </c>
    </row>
    <row r="7222" spans="1:8" x14ac:dyDescent="0.2">
      <c r="A7222" s="1027"/>
      <c r="B7222" s="1083">
        <f>Risk_Compensation!A$1</f>
        <v>36</v>
      </c>
      <c r="C7222" s="1390" t="str">
        <f>Risk_Compensation!$B$1</f>
        <v xml:space="preserve">Risikoausgleich </v>
      </c>
      <c r="D7222" s="2206" t="s">
        <v>2573</v>
      </c>
      <c r="E7222" s="1390" t="str">
        <f>Risk_Compensation!$D104</f>
        <v>KRK</v>
      </c>
      <c r="F7222" s="1390" t="str">
        <f>Risk_Compensation!$X$86</f>
        <v>SH</v>
      </c>
      <c r="G7222" s="1390"/>
      <c r="H7222" s="1077">
        <f>Risk_Compensation!$X104</f>
        <v>0</v>
      </c>
    </row>
    <row r="7223" spans="1:8" x14ac:dyDescent="0.2">
      <c r="A7223" s="1027"/>
      <c r="B7223" s="1083">
        <f>Risk_Compensation!A$1</f>
        <v>36</v>
      </c>
      <c r="C7223" s="1390" t="str">
        <f>Risk_Compensation!$B$1</f>
        <v xml:space="preserve">Risikoausgleich </v>
      </c>
      <c r="D7223" s="2206" t="s">
        <v>2573</v>
      </c>
      <c r="E7223" s="1390" t="str">
        <f>Risk_Compensation!$D105</f>
        <v>MCR</v>
      </c>
      <c r="F7223" s="1390" t="str">
        <f>Risk_Compensation!$X$86</f>
        <v>SH</v>
      </c>
      <c r="G7223" s="1390"/>
      <c r="H7223" s="1077">
        <f>Risk_Compensation!$X105</f>
        <v>0</v>
      </c>
    </row>
    <row r="7224" spans="1:8" x14ac:dyDescent="0.2">
      <c r="A7224" s="1027"/>
      <c r="B7224" s="1083">
        <f>Risk_Compensation!A$1</f>
        <v>36</v>
      </c>
      <c r="C7224" s="1390" t="str">
        <f>Risk_Compensation!$B$1</f>
        <v xml:space="preserve">Risikoausgleich </v>
      </c>
      <c r="D7224" s="2206" t="s">
        <v>2573</v>
      </c>
      <c r="E7224" s="1390" t="str">
        <f>Risk_Compensation!$D106</f>
        <v>MSK</v>
      </c>
      <c r="F7224" s="1390" t="str">
        <f>Risk_Compensation!$X$86</f>
        <v>SH</v>
      </c>
      <c r="G7224" s="1390"/>
      <c r="H7224" s="1077">
        <f>Risk_Compensation!$X106</f>
        <v>0</v>
      </c>
    </row>
    <row r="7225" spans="1:8" x14ac:dyDescent="0.2">
      <c r="A7225" s="1027"/>
      <c r="B7225" s="1083">
        <f>Risk_Compensation!A$1</f>
        <v>36</v>
      </c>
      <c r="C7225" s="1390" t="str">
        <f>Risk_Compensation!$B$1</f>
        <v xml:space="preserve">Risikoausgleich </v>
      </c>
      <c r="D7225" s="2206" t="s">
        <v>2573</v>
      </c>
      <c r="E7225" s="1390" t="str">
        <f>Risk_Compensation!$D107</f>
        <v>NIE</v>
      </c>
      <c r="F7225" s="1390" t="str">
        <f>Risk_Compensation!$X$86</f>
        <v>SH</v>
      </c>
      <c r="G7225" s="1390"/>
      <c r="H7225" s="1077">
        <f>Risk_Compensation!$X107</f>
        <v>0</v>
      </c>
    </row>
    <row r="7226" spans="1:8" x14ac:dyDescent="0.2">
      <c r="A7226" s="1027"/>
      <c r="B7226" s="1083">
        <f>Risk_Compensation!A$1</f>
        <v>36</v>
      </c>
      <c r="C7226" s="1390" t="str">
        <f>Risk_Compensation!$B$1</f>
        <v xml:space="preserve">Risikoausgleich </v>
      </c>
      <c r="D7226" s="2206" t="s">
        <v>2573</v>
      </c>
      <c r="E7226" s="1390" t="str">
        <f>Risk_Compensation!$D108</f>
        <v>PAH</v>
      </c>
      <c r="F7226" s="1390" t="str">
        <f>Risk_Compensation!$X$86</f>
        <v>SH</v>
      </c>
      <c r="G7226" s="1390"/>
      <c r="H7226" s="1077">
        <f>Risk_Compensation!$X108</f>
        <v>0</v>
      </c>
    </row>
    <row r="7227" spans="1:8" x14ac:dyDescent="0.2">
      <c r="A7227" s="1027"/>
      <c r="B7227" s="1083">
        <f>Risk_Compensation!A$1</f>
        <v>36</v>
      </c>
      <c r="C7227" s="1390" t="str">
        <f>Risk_Compensation!$B$1</f>
        <v xml:space="preserve">Risikoausgleich </v>
      </c>
      <c r="D7227" s="2206" t="s">
        <v>2573</v>
      </c>
      <c r="E7227" s="1390" t="str">
        <f>Risk_Compensation!$D109</f>
        <v>PAR</v>
      </c>
      <c r="F7227" s="1390" t="str">
        <f>Risk_Compensation!$X$86</f>
        <v>SH</v>
      </c>
      <c r="G7227" s="1390"/>
      <c r="H7227" s="1077">
        <f>Risk_Compensation!$X109</f>
        <v>0</v>
      </c>
    </row>
    <row r="7228" spans="1:8" x14ac:dyDescent="0.2">
      <c r="A7228" s="1027"/>
      <c r="B7228" s="1083">
        <f>Risk_Compensation!A$1</f>
        <v>36</v>
      </c>
      <c r="C7228" s="1390" t="str">
        <f>Risk_Compensation!$B$1</f>
        <v xml:space="preserve">Risikoausgleich </v>
      </c>
      <c r="D7228" s="2206" t="s">
        <v>2573</v>
      </c>
      <c r="E7228" s="1390" t="str">
        <f>Risk_Compensation!$D110</f>
        <v>PSO</v>
      </c>
      <c r="F7228" s="1390" t="str">
        <f>Risk_Compensation!$X$86</f>
        <v>SH</v>
      </c>
      <c r="G7228" s="1390"/>
      <c r="H7228" s="1077">
        <f>Risk_Compensation!$X110</f>
        <v>0</v>
      </c>
    </row>
    <row r="7229" spans="1:8" x14ac:dyDescent="0.2">
      <c r="A7229" s="1027"/>
      <c r="B7229" s="1083">
        <f>Risk_Compensation!A$1</f>
        <v>36</v>
      </c>
      <c r="C7229" s="1390" t="str">
        <f>Risk_Compensation!$B$1</f>
        <v xml:space="preserve">Risikoausgleich </v>
      </c>
      <c r="D7229" s="2206" t="s">
        <v>2573</v>
      </c>
      <c r="E7229" s="1390" t="str">
        <f>Risk_Compensation!$D111</f>
        <v>PSY</v>
      </c>
      <c r="F7229" s="1390" t="str">
        <f>Risk_Compensation!$X$86</f>
        <v>SH</v>
      </c>
      <c r="G7229" s="1390"/>
      <c r="H7229" s="1077">
        <f>Risk_Compensation!$X111</f>
        <v>0</v>
      </c>
    </row>
    <row r="7230" spans="1:8" x14ac:dyDescent="0.2">
      <c r="A7230" s="1027"/>
      <c r="B7230" s="1083">
        <f>Risk_Compensation!A$1</f>
        <v>36</v>
      </c>
      <c r="C7230" s="1390" t="str">
        <f>Risk_Compensation!$B$1</f>
        <v xml:space="preserve">Risikoausgleich </v>
      </c>
      <c r="D7230" s="2206" t="s">
        <v>2573</v>
      </c>
      <c r="E7230" s="1390" t="str">
        <f>Risk_Compensation!$D112</f>
        <v>RHE</v>
      </c>
      <c r="F7230" s="1390" t="str">
        <f>Risk_Compensation!$X$86</f>
        <v>SH</v>
      </c>
      <c r="G7230" s="1390"/>
      <c r="H7230" s="1077">
        <f>Risk_Compensation!$X112</f>
        <v>0</v>
      </c>
    </row>
    <row r="7231" spans="1:8" x14ac:dyDescent="0.2">
      <c r="A7231" s="1027"/>
      <c r="B7231" s="1083">
        <f>Risk_Compensation!A$1</f>
        <v>36</v>
      </c>
      <c r="C7231" s="1390" t="str">
        <f>Risk_Compensation!$B$1</f>
        <v xml:space="preserve">Risikoausgleich </v>
      </c>
      <c r="D7231" s="2206" t="s">
        <v>2573</v>
      </c>
      <c r="E7231" s="1390" t="str">
        <f>Risk_Compensation!$D113</f>
        <v>SMC</v>
      </c>
      <c r="F7231" s="1390" t="str">
        <f>Risk_Compensation!$X$86</f>
        <v>SH</v>
      </c>
      <c r="G7231" s="1390"/>
      <c r="H7231" s="1077">
        <f>Risk_Compensation!$X113</f>
        <v>0</v>
      </c>
    </row>
    <row r="7232" spans="1:8" x14ac:dyDescent="0.2">
      <c r="A7232" s="1027"/>
      <c r="B7232" s="1083">
        <f>Risk_Compensation!A$1</f>
        <v>36</v>
      </c>
      <c r="C7232" s="1390" t="str">
        <f>Risk_Compensation!$B$1</f>
        <v xml:space="preserve">Risikoausgleich </v>
      </c>
      <c r="D7232" s="2206" t="s">
        <v>2573</v>
      </c>
      <c r="E7232" s="1390" t="str">
        <f>Risk_Compensation!$D114</f>
        <v>SMN</v>
      </c>
      <c r="F7232" s="1390" t="str">
        <f>Risk_Compensation!$X$86</f>
        <v>SH</v>
      </c>
      <c r="G7232" s="1390"/>
      <c r="H7232" s="1077">
        <f>Risk_Compensation!$X114</f>
        <v>0</v>
      </c>
    </row>
    <row r="7233" spans="1:8" x14ac:dyDescent="0.2">
      <c r="A7233" s="1027"/>
      <c r="B7233" s="1083">
        <f>Risk_Compensation!A$1</f>
        <v>36</v>
      </c>
      <c r="C7233" s="1390" t="str">
        <f>Risk_Compensation!$B$1</f>
        <v xml:space="preserve">Risikoausgleich </v>
      </c>
      <c r="D7233" s="2206" t="s">
        <v>2573</v>
      </c>
      <c r="E7233" s="1390" t="str">
        <f>Risk_Compensation!$D115</f>
        <v>THY</v>
      </c>
      <c r="F7233" s="1390" t="str">
        <f>Risk_Compensation!$X$86</f>
        <v>SH</v>
      </c>
      <c r="G7233" s="1390"/>
      <c r="H7233" s="1077">
        <f>Risk_Compensation!$X115</f>
        <v>0</v>
      </c>
    </row>
    <row r="7234" spans="1:8" x14ac:dyDescent="0.2">
      <c r="A7234" s="1027"/>
      <c r="B7234" s="1083">
        <f>Risk_Compensation!A$1</f>
        <v>36</v>
      </c>
      <c r="C7234" s="1390" t="str">
        <f>Risk_Compensation!$B$1</f>
        <v xml:space="preserve">Risikoausgleich </v>
      </c>
      <c r="D7234" s="2206" t="s">
        <v>2573</v>
      </c>
      <c r="E7234" s="1390" t="str">
        <f>Risk_Compensation!$D116</f>
        <v>TRA</v>
      </c>
      <c r="F7234" s="1390" t="str">
        <f>Risk_Compensation!$X$86</f>
        <v>SH</v>
      </c>
      <c r="G7234" s="1390"/>
      <c r="H7234" s="1077">
        <f>Risk_Compensation!$X116</f>
        <v>0</v>
      </c>
    </row>
    <row r="7235" spans="1:8" x14ac:dyDescent="0.2">
      <c r="A7235" s="1027"/>
      <c r="B7235" s="1083">
        <f>Risk_Compensation!A$1</f>
        <v>36</v>
      </c>
      <c r="C7235" s="1390" t="str">
        <f>Risk_Compensation!$B$1</f>
        <v xml:space="preserve">Risikoausgleich </v>
      </c>
      <c r="D7235" s="2206" t="s">
        <v>2573</v>
      </c>
      <c r="E7235" s="1390" t="str">
        <f>Risk_Compensation!$D117</f>
        <v>WAS</v>
      </c>
      <c r="F7235" s="1390" t="str">
        <f>Risk_Compensation!$X$86</f>
        <v>SH</v>
      </c>
      <c r="G7235" s="1390"/>
      <c r="H7235" s="1077">
        <f>Risk_Compensation!$X117</f>
        <v>0</v>
      </c>
    </row>
    <row r="7236" spans="1:8" x14ac:dyDescent="0.2">
      <c r="A7236" s="1027"/>
      <c r="B7236" s="1083">
        <f>Risk_Compensation!A$1</f>
        <v>36</v>
      </c>
      <c r="C7236" s="1390" t="str">
        <f>Risk_Compensation!$B$1</f>
        <v xml:space="preserve">Risikoausgleich </v>
      </c>
      <c r="D7236" s="2206" t="s">
        <v>2573</v>
      </c>
      <c r="E7236" s="1390" t="str">
        <f>Risk_Compensation!$D118</f>
        <v>ZFP</v>
      </c>
      <c r="F7236" s="1390" t="str">
        <f>Risk_Compensation!$X$86</f>
        <v>SH</v>
      </c>
      <c r="G7236" s="1390"/>
      <c r="H7236" s="1077">
        <f>Risk_Compensation!$X118</f>
        <v>0</v>
      </c>
    </row>
    <row r="7237" spans="1:8" x14ac:dyDescent="0.2">
      <c r="A7237" s="1027"/>
      <c r="B7237" s="1083">
        <f>Risk_Compensation!A$1</f>
        <v>36</v>
      </c>
      <c r="C7237" s="1390" t="str">
        <f>Risk_Compensation!$B$1</f>
        <v xml:space="preserve">Risikoausgleich </v>
      </c>
      <c r="D7237" s="2206" t="s">
        <v>2573</v>
      </c>
      <c r="E7237" s="1390" t="str">
        <f>Risk_Compensation!$D119</f>
        <v>ZNS</v>
      </c>
      <c r="F7237" s="1390" t="str">
        <f>Risk_Compensation!$X$86</f>
        <v>SH</v>
      </c>
      <c r="G7237" s="1390"/>
      <c r="H7237" s="1077">
        <f>Risk_Compensation!$X119</f>
        <v>0</v>
      </c>
    </row>
    <row r="7238" spans="1:8" x14ac:dyDescent="0.2">
      <c r="A7238" s="1027"/>
      <c r="B7238" s="1083">
        <f>Risk_Compensation!A$1</f>
        <v>36</v>
      </c>
      <c r="C7238" s="1390" t="str">
        <f>Risk_Compensation!$B$1</f>
        <v xml:space="preserve">Risikoausgleich </v>
      </c>
      <c r="D7238" s="2206" t="s">
        <v>2573</v>
      </c>
      <c r="E7238" s="1390" t="str">
        <f>Risk_Compensation!$D120</f>
        <v>DM2 + hyp</v>
      </c>
      <c r="F7238" s="1390" t="str">
        <f>Risk_Compensation!$X$86</f>
        <v>SH</v>
      </c>
      <c r="G7238" s="1390"/>
      <c r="H7238" s="1077">
        <f>Risk_Compensation!$X120</f>
        <v>0</v>
      </c>
    </row>
    <row r="7239" spans="1:8" x14ac:dyDescent="0.2">
      <c r="A7239" s="1027"/>
      <c r="B7239" s="2174"/>
      <c r="C7239" s="1390"/>
      <c r="D7239" s="2175"/>
      <c r="E7239" s="2176"/>
      <c r="F7239" s="1390"/>
      <c r="G7239" s="1390"/>
      <c r="H7239" s="1078"/>
    </row>
    <row r="7240" spans="1:8" x14ac:dyDescent="0.2">
      <c r="A7240" s="1027"/>
      <c r="B7240" s="1083">
        <f>Risk_Compensation!A$1</f>
        <v>36</v>
      </c>
      <c r="C7240" s="1390" t="str">
        <f>Risk_Compensation!$B$1</f>
        <v xml:space="preserve">Risikoausgleich </v>
      </c>
      <c r="D7240" s="2206" t="s">
        <v>2573</v>
      </c>
      <c r="E7240" s="1390" t="str">
        <f>Risk_Compensation!$D87</f>
        <v>ABH</v>
      </c>
      <c r="F7240" s="1390" t="str">
        <f>Risk_Compensation!$Y$86</f>
        <v>SO</v>
      </c>
      <c r="G7240" s="1390"/>
      <c r="H7240" s="1077">
        <f>Risk_Compensation!$Y87</f>
        <v>0</v>
      </c>
    </row>
    <row r="7241" spans="1:8" x14ac:dyDescent="0.2">
      <c r="A7241" s="1027"/>
      <c r="B7241" s="1083">
        <f>Risk_Compensation!A$1</f>
        <v>36</v>
      </c>
      <c r="C7241" s="1390" t="str">
        <f>Risk_Compensation!$B$1</f>
        <v xml:space="preserve">Risikoausgleich </v>
      </c>
      <c r="D7241" s="2206" t="s">
        <v>2573</v>
      </c>
      <c r="E7241" s="1390" t="str">
        <f>Risk_Compensation!$D88</f>
        <v>ADH</v>
      </c>
      <c r="F7241" s="1390" t="str">
        <f>Risk_Compensation!$Y$86</f>
        <v>SO</v>
      </c>
      <c r="G7241" s="1390"/>
      <c r="H7241" s="1077">
        <f>Risk_Compensation!$Y88</f>
        <v>0</v>
      </c>
    </row>
    <row r="7242" spans="1:8" x14ac:dyDescent="0.2">
      <c r="A7242" s="1027"/>
      <c r="B7242" s="1083">
        <f>Risk_Compensation!A$1</f>
        <v>36</v>
      </c>
      <c r="C7242" s="1390" t="str">
        <f>Risk_Compensation!$B$1</f>
        <v xml:space="preserve">Risikoausgleich </v>
      </c>
      <c r="D7242" s="2206" t="s">
        <v>2573</v>
      </c>
      <c r="E7242" s="1390" t="str">
        <f>Risk_Compensation!$D89</f>
        <v>AIK</v>
      </c>
      <c r="F7242" s="1390" t="str">
        <f>Risk_Compensation!$Y$86</f>
        <v>SO</v>
      </c>
      <c r="G7242" s="1390"/>
      <c r="H7242" s="1077">
        <f>Risk_Compensation!$Y89</f>
        <v>0</v>
      </c>
    </row>
    <row r="7243" spans="1:8" x14ac:dyDescent="0.2">
      <c r="A7243" s="1027"/>
      <c r="B7243" s="1083">
        <f>Risk_Compensation!A$1</f>
        <v>36</v>
      </c>
      <c r="C7243" s="1390" t="str">
        <f>Risk_Compensation!$B$1</f>
        <v xml:space="preserve">Risikoausgleich </v>
      </c>
      <c r="D7243" s="2206" t="s">
        <v>2573</v>
      </c>
      <c r="E7243" s="1390" t="str">
        <f>Risk_Compensation!$D90</f>
        <v>ALZ</v>
      </c>
      <c r="F7243" s="1390" t="str">
        <f>Risk_Compensation!$Y$86</f>
        <v>SO</v>
      </c>
      <c r="G7243" s="1390"/>
      <c r="H7243" s="1077">
        <f>Risk_Compensation!$Y90</f>
        <v>0</v>
      </c>
    </row>
    <row r="7244" spans="1:8" x14ac:dyDescent="0.2">
      <c r="A7244" s="1027"/>
      <c r="B7244" s="1083">
        <f>Risk_Compensation!A$1</f>
        <v>36</v>
      </c>
      <c r="C7244" s="1390" t="str">
        <f>Risk_Compensation!$B$1</f>
        <v xml:space="preserve">Risikoausgleich </v>
      </c>
      <c r="D7244" s="2206" t="s">
        <v>2573</v>
      </c>
      <c r="E7244" s="1390" t="str">
        <f>Risk_Compensation!$D91</f>
        <v>AST</v>
      </c>
      <c r="F7244" s="1390" t="str">
        <f>Risk_Compensation!$Y$86</f>
        <v>SO</v>
      </c>
      <c r="G7244" s="1390"/>
      <c r="H7244" s="1077">
        <f>Risk_Compensation!$Y91</f>
        <v>0</v>
      </c>
    </row>
    <row r="7245" spans="1:8" x14ac:dyDescent="0.2">
      <c r="A7245" s="1027"/>
      <c r="B7245" s="1083">
        <f>Risk_Compensation!A$1</f>
        <v>36</v>
      </c>
      <c r="C7245" s="1390" t="str">
        <f>Risk_Compensation!$B$1</f>
        <v xml:space="preserve">Risikoausgleich </v>
      </c>
      <c r="D7245" s="2206" t="s">
        <v>2573</v>
      </c>
      <c r="E7245" s="1390" t="str">
        <f>Risk_Compensation!$D92</f>
        <v>BSR</v>
      </c>
      <c r="F7245" s="1390" t="str">
        <f>Risk_Compensation!$Y$86</f>
        <v>SO</v>
      </c>
      <c r="G7245" s="1390"/>
      <c r="H7245" s="1077">
        <f>Risk_Compensation!$Y92</f>
        <v>0</v>
      </c>
    </row>
    <row r="7246" spans="1:8" x14ac:dyDescent="0.2">
      <c r="A7246" s="1027"/>
      <c r="B7246" s="1083">
        <f>Risk_Compensation!A$1</f>
        <v>36</v>
      </c>
      <c r="C7246" s="1390" t="str">
        <f>Risk_Compensation!$B$1</f>
        <v xml:space="preserve">Risikoausgleich </v>
      </c>
      <c r="D7246" s="2206" t="s">
        <v>2573</v>
      </c>
      <c r="E7246" s="1390" t="str">
        <f>Risk_Compensation!$D93</f>
        <v>CAR</v>
      </c>
      <c r="F7246" s="1390" t="str">
        <f>Risk_Compensation!$Y$86</f>
        <v>SO</v>
      </c>
      <c r="G7246" s="1390"/>
      <c r="H7246" s="1077">
        <f>Risk_Compensation!$Y93</f>
        <v>0</v>
      </c>
    </row>
    <row r="7247" spans="1:8" x14ac:dyDescent="0.2">
      <c r="A7247" s="1027"/>
      <c r="B7247" s="1083">
        <f>Risk_Compensation!A$1</f>
        <v>36</v>
      </c>
      <c r="C7247" s="1390" t="str">
        <f>Risk_Compensation!$B$1</f>
        <v xml:space="preserve">Risikoausgleich </v>
      </c>
      <c r="D7247" s="2206" t="s">
        <v>2573</v>
      </c>
      <c r="E7247" s="1390" t="str">
        <f>Risk_Compensation!$D94</f>
        <v>COP</v>
      </c>
      <c r="F7247" s="1390" t="str">
        <f>Risk_Compensation!$Y$86</f>
        <v>SO</v>
      </c>
      <c r="G7247" s="1390"/>
      <c r="H7247" s="1077">
        <f>Risk_Compensation!$Y94</f>
        <v>0</v>
      </c>
    </row>
    <row r="7248" spans="1:8" x14ac:dyDescent="0.2">
      <c r="A7248" s="1027"/>
      <c r="B7248" s="1083">
        <f>Risk_Compensation!A$1</f>
        <v>36</v>
      </c>
      <c r="C7248" s="1390" t="str">
        <f>Risk_Compensation!$B$1</f>
        <v xml:space="preserve">Risikoausgleich </v>
      </c>
      <c r="D7248" s="2206" t="s">
        <v>2573</v>
      </c>
      <c r="E7248" s="1390" t="str">
        <f>Risk_Compensation!$D95</f>
        <v>DEP</v>
      </c>
      <c r="F7248" s="1390" t="str">
        <f>Risk_Compensation!$Y$86</f>
        <v>SO</v>
      </c>
      <c r="G7248" s="1390"/>
      <c r="H7248" s="1077">
        <f>Risk_Compensation!$Y95</f>
        <v>0</v>
      </c>
    </row>
    <row r="7249" spans="1:8" x14ac:dyDescent="0.2">
      <c r="A7249" s="1027"/>
      <c r="B7249" s="1083">
        <f>Risk_Compensation!A$1</f>
        <v>36</v>
      </c>
      <c r="C7249" s="1390" t="str">
        <f>Risk_Compensation!$B$1</f>
        <v xml:space="preserve">Risikoausgleich </v>
      </c>
      <c r="D7249" s="2206" t="s">
        <v>2573</v>
      </c>
      <c r="E7249" s="1390" t="str">
        <f>Risk_Compensation!$D96</f>
        <v>DM1</v>
      </c>
      <c r="F7249" s="1390" t="str">
        <f>Risk_Compensation!$Y$86</f>
        <v>SO</v>
      </c>
      <c r="G7249" s="1390"/>
      <c r="H7249" s="1077">
        <f>Risk_Compensation!$Y96</f>
        <v>0</v>
      </c>
    </row>
    <row r="7250" spans="1:8" x14ac:dyDescent="0.2">
      <c r="A7250" s="1027"/>
      <c r="B7250" s="1083">
        <f>Risk_Compensation!A$1</f>
        <v>36</v>
      </c>
      <c r="C7250" s="1390" t="str">
        <f>Risk_Compensation!$B$1</f>
        <v xml:space="preserve">Risikoausgleich </v>
      </c>
      <c r="D7250" s="2206" t="s">
        <v>2573</v>
      </c>
      <c r="E7250" s="1390" t="str">
        <f>Risk_Compensation!$D97</f>
        <v>DM2</v>
      </c>
      <c r="F7250" s="1390" t="str">
        <f>Risk_Compensation!$Y$86</f>
        <v>SO</v>
      </c>
      <c r="G7250" s="1390"/>
      <c r="H7250" s="1077">
        <f>Risk_Compensation!$Y97</f>
        <v>0</v>
      </c>
    </row>
    <row r="7251" spans="1:8" x14ac:dyDescent="0.2">
      <c r="A7251" s="1027"/>
      <c r="B7251" s="1083">
        <f>Risk_Compensation!A$1</f>
        <v>36</v>
      </c>
      <c r="C7251" s="1390" t="str">
        <f>Risk_Compensation!$B$1</f>
        <v xml:space="preserve">Risikoausgleich </v>
      </c>
      <c r="D7251" s="2206" t="s">
        <v>2573</v>
      </c>
      <c r="E7251" s="1390" t="str">
        <f>Risk_Compensation!$D98</f>
        <v>EPI</v>
      </c>
      <c r="F7251" s="1390" t="str">
        <f>Risk_Compensation!$Y$86</f>
        <v>SO</v>
      </c>
      <c r="G7251" s="1390"/>
      <c r="H7251" s="1077">
        <f>Risk_Compensation!$Y98</f>
        <v>0</v>
      </c>
    </row>
    <row r="7252" spans="1:8" x14ac:dyDescent="0.2">
      <c r="A7252" s="1027"/>
      <c r="B7252" s="1083">
        <f>Risk_Compensation!A$1</f>
        <v>36</v>
      </c>
      <c r="C7252" s="1390" t="str">
        <f>Risk_Compensation!$B$1</f>
        <v xml:space="preserve">Risikoausgleich </v>
      </c>
      <c r="D7252" s="2206" t="s">
        <v>2573</v>
      </c>
      <c r="E7252" s="1390" t="str">
        <f>Risk_Compensation!$D99</f>
        <v>GLA</v>
      </c>
      <c r="F7252" s="1390" t="str">
        <f>Risk_Compensation!$Y$86</f>
        <v>SO</v>
      </c>
      <c r="G7252" s="1390"/>
      <c r="H7252" s="1077">
        <f>Risk_Compensation!$Y99</f>
        <v>0</v>
      </c>
    </row>
    <row r="7253" spans="1:8" x14ac:dyDescent="0.2">
      <c r="A7253" s="1027"/>
      <c r="B7253" s="1083">
        <f>Risk_Compensation!A$1</f>
        <v>36</v>
      </c>
      <c r="C7253" s="1390" t="str">
        <f>Risk_Compensation!$B$1</f>
        <v xml:space="preserve">Risikoausgleich </v>
      </c>
      <c r="D7253" s="2206" t="s">
        <v>2573</v>
      </c>
      <c r="E7253" s="1390" t="str">
        <f>Risk_Compensation!$D100</f>
        <v>HCH</v>
      </c>
      <c r="F7253" s="1390" t="str">
        <f>Risk_Compensation!$Y$86</f>
        <v>SO</v>
      </c>
      <c r="G7253" s="1390"/>
      <c r="H7253" s="1077">
        <f>Risk_Compensation!$Y100</f>
        <v>0</v>
      </c>
    </row>
    <row r="7254" spans="1:8" x14ac:dyDescent="0.2">
      <c r="A7254" s="1027"/>
      <c r="B7254" s="1083">
        <f>Risk_Compensation!A$1</f>
        <v>36</v>
      </c>
      <c r="C7254" s="1390" t="str">
        <f>Risk_Compensation!$B$1</f>
        <v xml:space="preserve">Risikoausgleich </v>
      </c>
      <c r="D7254" s="2206" t="s">
        <v>2573</v>
      </c>
      <c r="E7254" s="1390" t="str">
        <f>Risk_Compensation!$D101</f>
        <v>HIV</v>
      </c>
      <c r="F7254" s="1390" t="str">
        <f>Risk_Compensation!$Y$86</f>
        <v>SO</v>
      </c>
      <c r="G7254" s="1390"/>
      <c r="H7254" s="1077">
        <f>Risk_Compensation!$Y101</f>
        <v>0</v>
      </c>
    </row>
    <row r="7255" spans="1:8" x14ac:dyDescent="0.2">
      <c r="A7255" s="1027"/>
      <c r="B7255" s="1083">
        <f>Risk_Compensation!A$1</f>
        <v>36</v>
      </c>
      <c r="C7255" s="1390" t="str">
        <f>Risk_Compensation!$B$1</f>
        <v xml:space="preserve">Risikoausgleich </v>
      </c>
      <c r="D7255" s="2206" t="s">
        <v>2573</v>
      </c>
      <c r="E7255" s="1390" t="str">
        <f>Risk_Compensation!$D102</f>
        <v>KHO</v>
      </c>
      <c r="F7255" s="1390" t="str">
        <f>Risk_Compensation!$Y$86</f>
        <v>SO</v>
      </c>
      <c r="G7255" s="1390"/>
      <c r="H7255" s="1077">
        <f>Risk_Compensation!$Y102</f>
        <v>0</v>
      </c>
    </row>
    <row r="7256" spans="1:8" x14ac:dyDescent="0.2">
      <c r="A7256" s="1027"/>
      <c r="B7256" s="1083">
        <f>Risk_Compensation!A$1</f>
        <v>36</v>
      </c>
      <c r="C7256" s="1390" t="str">
        <f>Risk_Compensation!$B$1</f>
        <v xml:space="preserve">Risikoausgleich </v>
      </c>
      <c r="D7256" s="2206" t="s">
        <v>2573</v>
      </c>
      <c r="E7256" s="1390" t="str">
        <f>Risk_Compensation!$D103</f>
        <v>KRE</v>
      </c>
      <c r="F7256" s="1390" t="str">
        <f>Risk_Compensation!$Y$86</f>
        <v>SO</v>
      </c>
      <c r="G7256" s="1390"/>
      <c r="H7256" s="1077">
        <f>Risk_Compensation!$Y103</f>
        <v>0</v>
      </c>
    </row>
    <row r="7257" spans="1:8" x14ac:dyDescent="0.2">
      <c r="A7257" s="1027"/>
      <c r="B7257" s="1083">
        <f>Risk_Compensation!A$1</f>
        <v>36</v>
      </c>
      <c r="C7257" s="1390" t="str">
        <f>Risk_Compensation!$B$1</f>
        <v xml:space="preserve">Risikoausgleich </v>
      </c>
      <c r="D7257" s="2206" t="s">
        <v>2573</v>
      </c>
      <c r="E7257" s="1390" t="str">
        <f>Risk_Compensation!$D104</f>
        <v>KRK</v>
      </c>
      <c r="F7257" s="1390" t="str">
        <f>Risk_Compensation!$Y$86</f>
        <v>SO</v>
      </c>
      <c r="G7257" s="1390"/>
      <c r="H7257" s="1077">
        <f>Risk_Compensation!$Y104</f>
        <v>0</v>
      </c>
    </row>
    <row r="7258" spans="1:8" x14ac:dyDescent="0.2">
      <c r="A7258" s="1027"/>
      <c r="B7258" s="1083">
        <f>Risk_Compensation!A$1</f>
        <v>36</v>
      </c>
      <c r="C7258" s="1390" t="str">
        <f>Risk_Compensation!$B$1</f>
        <v xml:space="preserve">Risikoausgleich </v>
      </c>
      <c r="D7258" s="2206" t="s">
        <v>2573</v>
      </c>
      <c r="E7258" s="1390" t="str">
        <f>Risk_Compensation!$D105</f>
        <v>MCR</v>
      </c>
      <c r="F7258" s="1390" t="str">
        <f>Risk_Compensation!$Y$86</f>
        <v>SO</v>
      </c>
      <c r="G7258" s="1390"/>
      <c r="H7258" s="1077">
        <f>Risk_Compensation!$Y105</f>
        <v>0</v>
      </c>
    </row>
    <row r="7259" spans="1:8" x14ac:dyDescent="0.2">
      <c r="A7259" s="1027"/>
      <c r="B7259" s="1083">
        <f>Risk_Compensation!A$1</f>
        <v>36</v>
      </c>
      <c r="C7259" s="1390" t="str">
        <f>Risk_Compensation!$B$1</f>
        <v xml:space="preserve">Risikoausgleich </v>
      </c>
      <c r="D7259" s="2206" t="s">
        <v>2573</v>
      </c>
      <c r="E7259" s="1390" t="str">
        <f>Risk_Compensation!$D106</f>
        <v>MSK</v>
      </c>
      <c r="F7259" s="1390" t="str">
        <f>Risk_Compensation!$Y$86</f>
        <v>SO</v>
      </c>
      <c r="G7259" s="1390"/>
      <c r="H7259" s="1077">
        <f>Risk_Compensation!$Y106</f>
        <v>0</v>
      </c>
    </row>
    <row r="7260" spans="1:8" x14ac:dyDescent="0.2">
      <c r="A7260" s="1027"/>
      <c r="B7260" s="1083">
        <f>Risk_Compensation!A$1</f>
        <v>36</v>
      </c>
      <c r="C7260" s="1390" t="str">
        <f>Risk_Compensation!$B$1</f>
        <v xml:space="preserve">Risikoausgleich </v>
      </c>
      <c r="D7260" s="2206" t="s">
        <v>2573</v>
      </c>
      <c r="E7260" s="1390" t="str">
        <f>Risk_Compensation!$D107</f>
        <v>NIE</v>
      </c>
      <c r="F7260" s="1390" t="str">
        <f>Risk_Compensation!$Y$86</f>
        <v>SO</v>
      </c>
      <c r="G7260" s="1390"/>
      <c r="H7260" s="1077">
        <f>Risk_Compensation!$Y107</f>
        <v>0</v>
      </c>
    </row>
    <row r="7261" spans="1:8" x14ac:dyDescent="0.2">
      <c r="A7261" s="1027"/>
      <c r="B7261" s="1083">
        <f>Risk_Compensation!A$1</f>
        <v>36</v>
      </c>
      <c r="C7261" s="1390" t="str">
        <f>Risk_Compensation!$B$1</f>
        <v xml:space="preserve">Risikoausgleich </v>
      </c>
      <c r="D7261" s="2206" t="s">
        <v>2573</v>
      </c>
      <c r="E7261" s="1390" t="str">
        <f>Risk_Compensation!$D108</f>
        <v>PAH</v>
      </c>
      <c r="F7261" s="1390" t="str">
        <f>Risk_Compensation!$Y$86</f>
        <v>SO</v>
      </c>
      <c r="G7261" s="1390"/>
      <c r="H7261" s="1077">
        <f>Risk_Compensation!$Y108</f>
        <v>0</v>
      </c>
    </row>
    <row r="7262" spans="1:8" x14ac:dyDescent="0.2">
      <c r="A7262" s="1027"/>
      <c r="B7262" s="1083">
        <f>Risk_Compensation!A$1</f>
        <v>36</v>
      </c>
      <c r="C7262" s="1390" t="str">
        <f>Risk_Compensation!$B$1</f>
        <v xml:space="preserve">Risikoausgleich </v>
      </c>
      <c r="D7262" s="2206" t="s">
        <v>2573</v>
      </c>
      <c r="E7262" s="1390" t="str">
        <f>Risk_Compensation!$D109</f>
        <v>PAR</v>
      </c>
      <c r="F7262" s="1390" t="str">
        <f>Risk_Compensation!$Y$86</f>
        <v>SO</v>
      </c>
      <c r="G7262" s="1390"/>
      <c r="H7262" s="1077">
        <f>Risk_Compensation!$Y109</f>
        <v>0</v>
      </c>
    </row>
    <row r="7263" spans="1:8" x14ac:dyDescent="0.2">
      <c r="A7263" s="1027"/>
      <c r="B7263" s="1083">
        <f>Risk_Compensation!A$1</f>
        <v>36</v>
      </c>
      <c r="C7263" s="1390" t="str">
        <f>Risk_Compensation!$B$1</f>
        <v xml:space="preserve">Risikoausgleich </v>
      </c>
      <c r="D7263" s="2206" t="s">
        <v>2573</v>
      </c>
      <c r="E7263" s="1390" t="str">
        <f>Risk_Compensation!$D110</f>
        <v>PSO</v>
      </c>
      <c r="F7263" s="1390" t="str">
        <f>Risk_Compensation!$Y$86</f>
        <v>SO</v>
      </c>
      <c r="G7263" s="1390"/>
      <c r="H7263" s="1077">
        <f>Risk_Compensation!$Y110</f>
        <v>0</v>
      </c>
    </row>
    <row r="7264" spans="1:8" x14ac:dyDescent="0.2">
      <c r="A7264" s="1027"/>
      <c r="B7264" s="1083">
        <f>Risk_Compensation!A$1</f>
        <v>36</v>
      </c>
      <c r="C7264" s="1390" t="str">
        <f>Risk_Compensation!$B$1</f>
        <v xml:space="preserve">Risikoausgleich </v>
      </c>
      <c r="D7264" s="2206" t="s">
        <v>2573</v>
      </c>
      <c r="E7264" s="1390" t="str">
        <f>Risk_Compensation!$D111</f>
        <v>PSY</v>
      </c>
      <c r="F7264" s="1390" t="str">
        <f>Risk_Compensation!$Y$86</f>
        <v>SO</v>
      </c>
      <c r="G7264" s="1390"/>
      <c r="H7264" s="1077">
        <f>Risk_Compensation!$Y111</f>
        <v>0</v>
      </c>
    </row>
    <row r="7265" spans="1:8" x14ac:dyDescent="0.2">
      <c r="A7265" s="1027"/>
      <c r="B7265" s="1083">
        <f>Risk_Compensation!A$1</f>
        <v>36</v>
      </c>
      <c r="C7265" s="1390" t="str">
        <f>Risk_Compensation!$B$1</f>
        <v xml:space="preserve">Risikoausgleich </v>
      </c>
      <c r="D7265" s="2206" t="s">
        <v>2573</v>
      </c>
      <c r="E7265" s="1390" t="str">
        <f>Risk_Compensation!$D112</f>
        <v>RHE</v>
      </c>
      <c r="F7265" s="1390" t="str">
        <f>Risk_Compensation!$Y$86</f>
        <v>SO</v>
      </c>
      <c r="G7265" s="1390"/>
      <c r="H7265" s="1077">
        <f>Risk_Compensation!$Y112</f>
        <v>0</v>
      </c>
    </row>
    <row r="7266" spans="1:8" x14ac:dyDescent="0.2">
      <c r="A7266" s="1027"/>
      <c r="B7266" s="1083">
        <f>Risk_Compensation!A$1</f>
        <v>36</v>
      </c>
      <c r="C7266" s="1390" t="str">
        <f>Risk_Compensation!$B$1</f>
        <v xml:space="preserve">Risikoausgleich </v>
      </c>
      <c r="D7266" s="2206" t="s">
        <v>2573</v>
      </c>
      <c r="E7266" s="1390" t="str">
        <f>Risk_Compensation!$D113</f>
        <v>SMC</v>
      </c>
      <c r="F7266" s="1390" t="str">
        <f>Risk_Compensation!$Y$86</f>
        <v>SO</v>
      </c>
      <c r="G7266" s="1390"/>
      <c r="H7266" s="1077">
        <f>Risk_Compensation!$Y113</f>
        <v>0</v>
      </c>
    </row>
    <row r="7267" spans="1:8" x14ac:dyDescent="0.2">
      <c r="A7267" s="1027"/>
      <c r="B7267" s="1083">
        <f>Risk_Compensation!A$1</f>
        <v>36</v>
      </c>
      <c r="C7267" s="1390" t="str">
        <f>Risk_Compensation!$B$1</f>
        <v xml:space="preserve">Risikoausgleich </v>
      </c>
      <c r="D7267" s="2206" t="s">
        <v>2573</v>
      </c>
      <c r="E7267" s="1390" t="str">
        <f>Risk_Compensation!$D114</f>
        <v>SMN</v>
      </c>
      <c r="F7267" s="1390" t="str">
        <f>Risk_Compensation!$Y$86</f>
        <v>SO</v>
      </c>
      <c r="G7267" s="1390"/>
      <c r="H7267" s="1077">
        <f>Risk_Compensation!$Y114</f>
        <v>0</v>
      </c>
    </row>
    <row r="7268" spans="1:8" x14ac:dyDescent="0.2">
      <c r="A7268" s="1027"/>
      <c r="B7268" s="1083">
        <f>Risk_Compensation!A$1</f>
        <v>36</v>
      </c>
      <c r="C7268" s="1390" t="str">
        <f>Risk_Compensation!$B$1</f>
        <v xml:space="preserve">Risikoausgleich </v>
      </c>
      <c r="D7268" s="2206" t="s">
        <v>2573</v>
      </c>
      <c r="E7268" s="1390" t="str">
        <f>Risk_Compensation!$D115</f>
        <v>THY</v>
      </c>
      <c r="F7268" s="1390" t="str">
        <f>Risk_Compensation!$Y$86</f>
        <v>SO</v>
      </c>
      <c r="G7268" s="1390"/>
      <c r="H7268" s="1077">
        <f>Risk_Compensation!$Y115</f>
        <v>0</v>
      </c>
    </row>
    <row r="7269" spans="1:8" x14ac:dyDescent="0.2">
      <c r="A7269" s="1027"/>
      <c r="B7269" s="1083">
        <f>Risk_Compensation!A$1</f>
        <v>36</v>
      </c>
      <c r="C7269" s="1390" t="str">
        <f>Risk_Compensation!$B$1</f>
        <v xml:space="preserve">Risikoausgleich </v>
      </c>
      <c r="D7269" s="2206" t="s">
        <v>2573</v>
      </c>
      <c r="E7269" s="1390" t="str">
        <f>Risk_Compensation!$D116</f>
        <v>TRA</v>
      </c>
      <c r="F7269" s="1390" t="str">
        <f>Risk_Compensation!$Y$86</f>
        <v>SO</v>
      </c>
      <c r="G7269" s="1390"/>
      <c r="H7269" s="1077">
        <f>Risk_Compensation!$Y116</f>
        <v>0</v>
      </c>
    </row>
    <row r="7270" spans="1:8" x14ac:dyDescent="0.2">
      <c r="A7270" s="1027"/>
      <c r="B7270" s="1083">
        <f>Risk_Compensation!A$1</f>
        <v>36</v>
      </c>
      <c r="C7270" s="1390" t="str">
        <f>Risk_Compensation!$B$1</f>
        <v xml:space="preserve">Risikoausgleich </v>
      </c>
      <c r="D7270" s="2206" t="s">
        <v>2573</v>
      </c>
      <c r="E7270" s="1390" t="str">
        <f>Risk_Compensation!$D117</f>
        <v>WAS</v>
      </c>
      <c r="F7270" s="1390" t="str">
        <f>Risk_Compensation!$Y$86</f>
        <v>SO</v>
      </c>
      <c r="G7270" s="1390"/>
      <c r="H7270" s="1077">
        <f>Risk_Compensation!$Y117</f>
        <v>0</v>
      </c>
    </row>
    <row r="7271" spans="1:8" x14ac:dyDescent="0.2">
      <c r="A7271" s="1027"/>
      <c r="B7271" s="1083">
        <f>Risk_Compensation!A$1</f>
        <v>36</v>
      </c>
      <c r="C7271" s="1390" t="str">
        <f>Risk_Compensation!$B$1</f>
        <v xml:space="preserve">Risikoausgleich </v>
      </c>
      <c r="D7271" s="2206" t="s">
        <v>2573</v>
      </c>
      <c r="E7271" s="1390" t="str">
        <f>Risk_Compensation!$D118</f>
        <v>ZFP</v>
      </c>
      <c r="F7271" s="1390" t="str">
        <f>Risk_Compensation!$Y$86</f>
        <v>SO</v>
      </c>
      <c r="G7271" s="1390"/>
      <c r="H7271" s="1077">
        <f>Risk_Compensation!$Y118</f>
        <v>0</v>
      </c>
    </row>
    <row r="7272" spans="1:8" x14ac:dyDescent="0.2">
      <c r="A7272" s="1027"/>
      <c r="B7272" s="1083">
        <f>Risk_Compensation!A$1</f>
        <v>36</v>
      </c>
      <c r="C7272" s="1390" t="str">
        <f>Risk_Compensation!$B$1</f>
        <v xml:space="preserve">Risikoausgleich </v>
      </c>
      <c r="D7272" s="2206" t="s">
        <v>2573</v>
      </c>
      <c r="E7272" s="1390" t="str">
        <f>Risk_Compensation!$D119</f>
        <v>ZNS</v>
      </c>
      <c r="F7272" s="1390" t="str">
        <f>Risk_Compensation!$Y$86</f>
        <v>SO</v>
      </c>
      <c r="G7272" s="1390"/>
      <c r="H7272" s="1077">
        <f>Risk_Compensation!$Y119</f>
        <v>0</v>
      </c>
    </row>
    <row r="7273" spans="1:8" x14ac:dyDescent="0.2">
      <c r="A7273" s="1027"/>
      <c r="B7273" s="1083">
        <f>Risk_Compensation!A$1</f>
        <v>36</v>
      </c>
      <c r="C7273" s="1390" t="str">
        <f>Risk_Compensation!$B$1</f>
        <v xml:space="preserve">Risikoausgleich </v>
      </c>
      <c r="D7273" s="2206" t="s">
        <v>2573</v>
      </c>
      <c r="E7273" s="1390" t="str">
        <f>Risk_Compensation!$D120</f>
        <v>DM2 + hyp</v>
      </c>
      <c r="F7273" s="1390" t="str">
        <f>Risk_Compensation!$Y$86</f>
        <v>SO</v>
      </c>
      <c r="G7273" s="1390"/>
      <c r="H7273" s="1077">
        <f>Risk_Compensation!$Y120</f>
        <v>0</v>
      </c>
    </row>
    <row r="7274" spans="1:8" x14ac:dyDescent="0.2">
      <c r="A7274" s="1027"/>
      <c r="B7274" s="2174"/>
      <c r="C7274" s="1390"/>
      <c r="D7274" s="2175"/>
      <c r="E7274" s="2176"/>
      <c r="F7274" s="1390"/>
      <c r="G7274" s="1390"/>
      <c r="H7274" s="1078"/>
    </row>
    <row r="7275" spans="1:8" x14ac:dyDescent="0.2">
      <c r="A7275" s="1027"/>
      <c r="B7275" s="1083">
        <f>Risk_Compensation!A$1</f>
        <v>36</v>
      </c>
      <c r="C7275" s="1390" t="str">
        <f>Risk_Compensation!$B$1</f>
        <v xml:space="preserve">Risikoausgleich </v>
      </c>
      <c r="D7275" s="2206" t="s">
        <v>2573</v>
      </c>
      <c r="E7275" s="1390" t="str">
        <f>Risk_Compensation!$D87</f>
        <v>ABH</v>
      </c>
      <c r="F7275" s="1390" t="str">
        <f>Risk_Compensation!$Z$86</f>
        <v>SZ</v>
      </c>
      <c r="G7275" s="1390"/>
      <c r="H7275" s="1077">
        <f>Risk_Compensation!$Z87</f>
        <v>0</v>
      </c>
    </row>
    <row r="7276" spans="1:8" x14ac:dyDescent="0.2">
      <c r="A7276" s="1027"/>
      <c r="B7276" s="1083">
        <f>Risk_Compensation!A$1</f>
        <v>36</v>
      </c>
      <c r="C7276" s="1390" t="str">
        <f>Risk_Compensation!$B$1</f>
        <v xml:space="preserve">Risikoausgleich </v>
      </c>
      <c r="D7276" s="2206" t="s">
        <v>2573</v>
      </c>
      <c r="E7276" s="1390" t="str">
        <f>Risk_Compensation!$D88</f>
        <v>ADH</v>
      </c>
      <c r="F7276" s="1390" t="str">
        <f>Risk_Compensation!$Z$86</f>
        <v>SZ</v>
      </c>
      <c r="G7276" s="1390"/>
      <c r="H7276" s="1077">
        <f>Risk_Compensation!$Z88</f>
        <v>0</v>
      </c>
    </row>
    <row r="7277" spans="1:8" x14ac:dyDescent="0.2">
      <c r="A7277" s="1027"/>
      <c r="B7277" s="1083">
        <f>Risk_Compensation!A$1</f>
        <v>36</v>
      </c>
      <c r="C7277" s="1390" t="str">
        <f>Risk_Compensation!$B$1</f>
        <v xml:space="preserve">Risikoausgleich </v>
      </c>
      <c r="D7277" s="2206" t="s">
        <v>2573</v>
      </c>
      <c r="E7277" s="1390" t="str">
        <f>Risk_Compensation!$D89</f>
        <v>AIK</v>
      </c>
      <c r="F7277" s="1390" t="str">
        <f>Risk_Compensation!$Z$86</f>
        <v>SZ</v>
      </c>
      <c r="G7277" s="1390"/>
      <c r="H7277" s="1077">
        <f>Risk_Compensation!$Z89</f>
        <v>0</v>
      </c>
    </row>
    <row r="7278" spans="1:8" x14ac:dyDescent="0.2">
      <c r="A7278" s="1027"/>
      <c r="B7278" s="1083">
        <f>Risk_Compensation!A$1</f>
        <v>36</v>
      </c>
      <c r="C7278" s="1390" t="str">
        <f>Risk_Compensation!$B$1</f>
        <v xml:space="preserve">Risikoausgleich </v>
      </c>
      <c r="D7278" s="2206" t="s">
        <v>2573</v>
      </c>
      <c r="E7278" s="1390" t="str">
        <f>Risk_Compensation!$D90</f>
        <v>ALZ</v>
      </c>
      <c r="F7278" s="1390" t="str">
        <f>Risk_Compensation!$Z$86</f>
        <v>SZ</v>
      </c>
      <c r="G7278" s="1390"/>
      <c r="H7278" s="1077">
        <f>Risk_Compensation!$Z90</f>
        <v>0</v>
      </c>
    </row>
    <row r="7279" spans="1:8" x14ac:dyDescent="0.2">
      <c r="A7279" s="1027"/>
      <c r="B7279" s="1083">
        <f>Risk_Compensation!A$1</f>
        <v>36</v>
      </c>
      <c r="C7279" s="1390" t="str">
        <f>Risk_Compensation!$B$1</f>
        <v xml:space="preserve">Risikoausgleich </v>
      </c>
      <c r="D7279" s="2206" t="s">
        <v>2573</v>
      </c>
      <c r="E7279" s="1390" t="str">
        <f>Risk_Compensation!$D91</f>
        <v>AST</v>
      </c>
      <c r="F7279" s="1390" t="str">
        <f>Risk_Compensation!$Z$86</f>
        <v>SZ</v>
      </c>
      <c r="G7279" s="1390"/>
      <c r="H7279" s="1077">
        <f>Risk_Compensation!$Z91</f>
        <v>0</v>
      </c>
    </row>
    <row r="7280" spans="1:8" x14ac:dyDescent="0.2">
      <c r="A7280" s="1027"/>
      <c r="B7280" s="1083">
        <f>Risk_Compensation!A$1</f>
        <v>36</v>
      </c>
      <c r="C7280" s="1390" t="str">
        <f>Risk_Compensation!$B$1</f>
        <v xml:space="preserve">Risikoausgleich </v>
      </c>
      <c r="D7280" s="2206" t="s">
        <v>2573</v>
      </c>
      <c r="E7280" s="1390" t="str">
        <f>Risk_Compensation!$D92</f>
        <v>BSR</v>
      </c>
      <c r="F7280" s="1390" t="str">
        <f>Risk_Compensation!$Z$86</f>
        <v>SZ</v>
      </c>
      <c r="G7280" s="1390"/>
      <c r="H7280" s="1077">
        <f>Risk_Compensation!$Z92</f>
        <v>0</v>
      </c>
    </row>
    <row r="7281" spans="1:8" x14ac:dyDescent="0.2">
      <c r="A7281" s="1027"/>
      <c r="B7281" s="1083">
        <f>Risk_Compensation!A$1</f>
        <v>36</v>
      </c>
      <c r="C7281" s="1390" t="str">
        <f>Risk_Compensation!$B$1</f>
        <v xml:space="preserve">Risikoausgleich </v>
      </c>
      <c r="D7281" s="2206" t="s">
        <v>2573</v>
      </c>
      <c r="E7281" s="1390" t="str">
        <f>Risk_Compensation!$D93</f>
        <v>CAR</v>
      </c>
      <c r="F7281" s="1390" t="str">
        <f>Risk_Compensation!$Z$86</f>
        <v>SZ</v>
      </c>
      <c r="G7281" s="1390"/>
      <c r="H7281" s="1077">
        <f>Risk_Compensation!$Z93</f>
        <v>0</v>
      </c>
    </row>
    <row r="7282" spans="1:8" x14ac:dyDescent="0.2">
      <c r="A7282" s="1027"/>
      <c r="B7282" s="1083">
        <f>Risk_Compensation!A$1</f>
        <v>36</v>
      </c>
      <c r="C7282" s="1390" t="str">
        <f>Risk_Compensation!$B$1</f>
        <v xml:space="preserve">Risikoausgleich </v>
      </c>
      <c r="D7282" s="2206" t="s">
        <v>2573</v>
      </c>
      <c r="E7282" s="1390" t="str">
        <f>Risk_Compensation!$D94</f>
        <v>COP</v>
      </c>
      <c r="F7282" s="1390" t="str">
        <f>Risk_Compensation!$Z$86</f>
        <v>SZ</v>
      </c>
      <c r="G7282" s="1390"/>
      <c r="H7282" s="1077">
        <f>Risk_Compensation!$Z94</f>
        <v>0</v>
      </c>
    </row>
    <row r="7283" spans="1:8" x14ac:dyDescent="0.2">
      <c r="A7283" s="1027"/>
      <c r="B7283" s="1083">
        <f>Risk_Compensation!A$1</f>
        <v>36</v>
      </c>
      <c r="C7283" s="1390" t="str">
        <f>Risk_Compensation!$B$1</f>
        <v xml:space="preserve">Risikoausgleich </v>
      </c>
      <c r="D7283" s="2206" t="s">
        <v>2573</v>
      </c>
      <c r="E7283" s="1390" t="str">
        <f>Risk_Compensation!$D95</f>
        <v>DEP</v>
      </c>
      <c r="F7283" s="1390" t="str">
        <f>Risk_Compensation!$Z$86</f>
        <v>SZ</v>
      </c>
      <c r="G7283" s="1390"/>
      <c r="H7283" s="1077">
        <f>Risk_Compensation!$Z95</f>
        <v>0</v>
      </c>
    </row>
    <row r="7284" spans="1:8" x14ac:dyDescent="0.2">
      <c r="A7284" s="1027"/>
      <c r="B7284" s="1083">
        <f>Risk_Compensation!A$1</f>
        <v>36</v>
      </c>
      <c r="C7284" s="1390" t="str">
        <f>Risk_Compensation!$B$1</f>
        <v xml:space="preserve">Risikoausgleich </v>
      </c>
      <c r="D7284" s="2206" t="s">
        <v>2573</v>
      </c>
      <c r="E7284" s="1390" t="str">
        <f>Risk_Compensation!$D96</f>
        <v>DM1</v>
      </c>
      <c r="F7284" s="1390" t="str">
        <f>Risk_Compensation!$Z$86</f>
        <v>SZ</v>
      </c>
      <c r="G7284" s="1390"/>
      <c r="H7284" s="1077">
        <f>Risk_Compensation!$Z96</f>
        <v>0</v>
      </c>
    </row>
    <row r="7285" spans="1:8" x14ac:dyDescent="0.2">
      <c r="A7285" s="1027"/>
      <c r="B7285" s="1083">
        <f>Risk_Compensation!A$1</f>
        <v>36</v>
      </c>
      <c r="C7285" s="1390" t="str">
        <f>Risk_Compensation!$B$1</f>
        <v xml:space="preserve">Risikoausgleich </v>
      </c>
      <c r="D7285" s="2206" t="s">
        <v>2573</v>
      </c>
      <c r="E7285" s="1390" t="str">
        <f>Risk_Compensation!$D97</f>
        <v>DM2</v>
      </c>
      <c r="F7285" s="1390" t="str">
        <f>Risk_Compensation!$Z$86</f>
        <v>SZ</v>
      </c>
      <c r="G7285" s="1390"/>
      <c r="H7285" s="1077">
        <f>Risk_Compensation!$Z97</f>
        <v>0</v>
      </c>
    </row>
    <row r="7286" spans="1:8" x14ac:dyDescent="0.2">
      <c r="A7286" s="1027"/>
      <c r="B7286" s="1083">
        <f>Risk_Compensation!A$1</f>
        <v>36</v>
      </c>
      <c r="C7286" s="1390" t="str">
        <f>Risk_Compensation!$B$1</f>
        <v xml:space="preserve">Risikoausgleich </v>
      </c>
      <c r="D7286" s="2206" t="s">
        <v>2573</v>
      </c>
      <c r="E7286" s="1390" t="str">
        <f>Risk_Compensation!$D98</f>
        <v>EPI</v>
      </c>
      <c r="F7286" s="1390" t="str">
        <f>Risk_Compensation!$Z$86</f>
        <v>SZ</v>
      </c>
      <c r="G7286" s="1390"/>
      <c r="H7286" s="1077">
        <f>Risk_Compensation!$Z98</f>
        <v>0</v>
      </c>
    </row>
    <row r="7287" spans="1:8" x14ac:dyDescent="0.2">
      <c r="A7287" s="1027"/>
      <c r="B7287" s="1083">
        <f>Risk_Compensation!A$1</f>
        <v>36</v>
      </c>
      <c r="C7287" s="1390" t="str">
        <f>Risk_Compensation!$B$1</f>
        <v xml:space="preserve">Risikoausgleich </v>
      </c>
      <c r="D7287" s="2206" t="s">
        <v>2573</v>
      </c>
      <c r="E7287" s="1390" t="str">
        <f>Risk_Compensation!$D99</f>
        <v>GLA</v>
      </c>
      <c r="F7287" s="1390" t="str">
        <f>Risk_Compensation!$Z$86</f>
        <v>SZ</v>
      </c>
      <c r="G7287" s="1390"/>
      <c r="H7287" s="1077">
        <f>Risk_Compensation!$Z99</f>
        <v>0</v>
      </c>
    </row>
    <row r="7288" spans="1:8" x14ac:dyDescent="0.2">
      <c r="A7288" s="1027"/>
      <c r="B7288" s="1083">
        <f>Risk_Compensation!A$1</f>
        <v>36</v>
      </c>
      <c r="C7288" s="1390" t="str">
        <f>Risk_Compensation!$B$1</f>
        <v xml:space="preserve">Risikoausgleich </v>
      </c>
      <c r="D7288" s="2206" t="s">
        <v>2573</v>
      </c>
      <c r="E7288" s="1390" t="str">
        <f>Risk_Compensation!$D100</f>
        <v>HCH</v>
      </c>
      <c r="F7288" s="1390" t="str">
        <f>Risk_Compensation!$Z$86</f>
        <v>SZ</v>
      </c>
      <c r="G7288" s="1390"/>
      <c r="H7288" s="1077">
        <f>Risk_Compensation!$Z100</f>
        <v>0</v>
      </c>
    </row>
    <row r="7289" spans="1:8" x14ac:dyDescent="0.2">
      <c r="A7289" s="1027"/>
      <c r="B7289" s="1083">
        <f>Risk_Compensation!A$1</f>
        <v>36</v>
      </c>
      <c r="C7289" s="1390" t="str">
        <f>Risk_Compensation!$B$1</f>
        <v xml:space="preserve">Risikoausgleich </v>
      </c>
      <c r="D7289" s="2206" t="s">
        <v>2573</v>
      </c>
      <c r="E7289" s="1390" t="str">
        <f>Risk_Compensation!$D101</f>
        <v>HIV</v>
      </c>
      <c r="F7289" s="1390" t="str">
        <f>Risk_Compensation!$Z$86</f>
        <v>SZ</v>
      </c>
      <c r="G7289" s="1390"/>
      <c r="H7289" s="1077">
        <f>Risk_Compensation!$Z101</f>
        <v>0</v>
      </c>
    </row>
    <row r="7290" spans="1:8" x14ac:dyDescent="0.2">
      <c r="A7290" s="1027"/>
      <c r="B7290" s="1083">
        <f>Risk_Compensation!A$1</f>
        <v>36</v>
      </c>
      <c r="C7290" s="1390" t="str">
        <f>Risk_Compensation!$B$1</f>
        <v xml:space="preserve">Risikoausgleich </v>
      </c>
      <c r="D7290" s="2206" t="s">
        <v>2573</v>
      </c>
      <c r="E7290" s="1390" t="str">
        <f>Risk_Compensation!$D102</f>
        <v>KHO</v>
      </c>
      <c r="F7290" s="1390" t="str">
        <f>Risk_Compensation!$Z$86</f>
        <v>SZ</v>
      </c>
      <c r="G7290" s="1390"/>
      <c r="H7290" s="1077">
        <f>Risk_Compensation!$Z102</f>
        <v>0</v>
      </c>
    </row>
    <row r="7291" spans="1:8" x14ac:dyDescent="0.2">
      <c r="A7291" s="1027"/>
      <c r="B7291" s="1083">
        <f>Risk_Compensation!A$1</f>
        <v>36</v>
      </c>
      <c r="C7291" s="1390" t="str">
        <f>Risk_Compensation!$B$1</f>
        <v xml:space="preserve">Risikoausgleich </v>
      </c>
      <c r="D7291" s="2206" t="s">
        <v>2573</v>
      </c>
      <c r="E7291" s="1390" t="str">
        <f>Risk_Compensation!$D103</f>
        <v>KRE</v>
      </c>
      <c r="F7291" s="1390" t="str">
        <f>Risk_Compensation!$Z$86</f>
        <v>SZ</v>
      </c>
      <c r="G7291" s="1390"/>
      <c r="H7291" s="1077">
        <f>Risk_Compensation!$Z103</f>
        <v>0</v>
      </c>
    </row>
    <row r="7292" spans="1:8" x14ac:dyDescent="0.2">
      <c r="A7292" s="1027"/>
      <c r="B7292" s="1083">
        <f>Risk_Compensation!A$1</f>
        <v>36</v>
      </c>
      <c r="C7292" s="1390" t="str">
        <f>Risk_Compensation!$B$1</f>
        <v xml:space="preserve">Risikoausgleich </v>
      </c>
      <c r="D7292" s="2206" t="s">
        <v>2573</v>
      </c>
      <c r="E7292" s="1390" t="str">
        <f>Risk_Compensation!$D104</f>
        <v>KRK</v>
      </c>
      <c r="F7292" s="1390" t="str">
        <f>Risk_Compensation!$Z$86</f>
        <v>SZ</v>
      </c>
      <c r="G7292" s="1390"/>
      <c r="H7292" s="1077">
        <f>Risk_Compensation!$Z104</f>
        <v>0</v>
      </c>
    </row>
    <row r="7293" spans="1:8" x14ac:dyDescent="0.2">
      <c r="A7293" s="1027"/>
      <c r="B7293" s="1083">
        <f>Risk_Compensation!A$1</f>
        <v>36</v>
      </c>
      <c r="C7293" s="1390" t="str">
        <f>Risk_Compensation!$B$1</f>
        <v xml:space="preserve">Risikoausgleich </v>
      </c>
      <c r="D7293" s="2206" t="s">
        <v>2573</v>
      </c>
      <c r="E7293" s="1390" t="str">
        <f>Risk_Compensation!$D105</f>
        <v>MCR</v>
      </c>
      <c r="F7293" s="1390" t="str">
        <f>Risk_Compensation!$Z$86</f>
        <v>SZ</v>
      </c>
      <c r="G7293" s="1390"/>
      <c r="H7293" s="1077">
        <f>Risk_Compensation!$Z105</f>
        <v>0</v>
      </c>
    </row>
    <row r="7294" spans="1:8" x14ac:dyDescent="0.2">
      <c r="A7294" s="1027"/>
      <c r="B7294" s="1083">
        <f>Risk_Compensation!A$1</f>
        <v>36</v>
      </c>
      <c r="C7294" s="1390" t="str">
        <f>Risk_Compensation!$B$1</f>
        <v xml:space="preserve">Risikoausgleich </v>
      </c>
      <c r="D7294" s="2206" t="s">
        <v>2573</v>
      </c>
      <c r="E7294" s="1390" t="str">
        <f>Risk_Compensation!$D106</f>
        <v>MSK</v>
      </c>
      <c r="F7294" s="1390" t="str">
        <f>Risk_Compensation!$Z$86</f>
        <v>SZ</v>
      </c>
      <c r="G7294" s="1390"/>
      <c r="H7294" s="1077">
        <f>Risk_Compensation!$Z106</f>
        <v>0</v>
      </c>
    </row>
    <row r="7295" spans="1:8" x14ac:dyDescent="0.2">
      <c r="A7295" s="1027"/>
      <c r="B7295" s="1083">
        <f>Risk_Compensation!A$1</f>
        <v>36</v>
      </c>
      <c r="C7295" s="1390" t="str">
        <f>Risk_Compensation!$B$1</f>
        <v xml:space="preserve">Risikoausgleich </v>
      </c>
      <c r="D7295" s="2206" t="s">
        <v>2573</v>
      </c>
      <c r="E7295" s="1390" t="str">
        <f>Risk_Compensation!$D107</f>
        <v>NIE</v>
      </c>
      <c r="F7295" s="1390" t="str">
        <f>Risk_Compensation!$Z$86</f>
        <v>SZ</v>
      </c>
      <c r="G7295" s="1390"/>
      <c r="H7295" s="1077">
        <f>Risk_Compensation!$Z107</f>
        <v>0</v>
      </c>
    </row>
    <row r="7296" spans="1:8" x14ac:dyDescent="0.2">
      <c r="A7296" s="1027"/>
      <c r="B7296" s="1083">
        <f>Risk_Compensation!A$1</f>
        <v>36</v>
      </c>
      <c r="C7296" s="1390" t="str">
        <f>Risk_Compensation!$B$1</f>
        <v xml:space="preserve">Risikoausgleich </v>
      </c>
      <c r="D7296" s="2206" t="s">
        <v>2573</v>
      </c>
      <c r="E7296" s="1390" t="str">
        <f>Risk_Compensation!$D108</f>
        <v>PAH</v>
      </c>
      <c r="F7296" s="1390" t="str">
        <f>Risk_Compensation!$Z$86</f>
        <v>SZ</v>
      </c>
      <c r="G7296" s="1390"/>
      <c r="H7296" s="1077">
        <f>Risk_Compensation!$Z108</f>
        <v>0</v>
      </c>
    </row>
    <row r="7297" spans="1:8" x14ac:dyDescent="0.2">
      <c r="A7297" s="1027"/>
      <c r="B7297" s="1083">
        <f>Risk_Compensation!A$1</f>
        <v>36</v>
      </c>
      <c r="C7297" s="1390" t="str">
        <f>Risk_Compensation!$B$1</f>
        <v xml:space="preserve">Risikoausgleich </v>
      </c>
      <c r="D7297" s="2206" t="s">
        <v>2573</v>
      </c>
      <c r="E7297" s="1390" t="str">
        <f>Risk_Compensation!$D109</f>
        <v>PAR</v>
      </c>
      <c r="F7297" s="1390" t="str">
        <f>Risk_Compensation!$Z$86</f>
        <v>SZ</v>
      </c>
      <c r="G7297" s="1390"/>
      <c r="H7297" s="1077">
        <f>Risk_Compensation!$Z109</f>
        <v>0</v>
      </c>
    </row>
    <row r="7298" spans="1:8" x14ac:dyDescent="0.2">
      <c r="A7298" s="1027"/>
      <c r="B7298" s="1083">
        <f>Risk_Compensation!A$1</f>
        <v>36</v>
      </c>
      <c r="C7298" s="1390" t="str">
        <f>Risk_Compensation!$B$1</f>
        <v xml:space="preserve">Risikoausgleich </v>
      </c>
      <c r="D7298" s="2206" t="s">
        <v>2573</v>
      </c>
      <c r="E7298" s="1390" t="str">
        <f>Risk_Compensation!$D110</f>
        <v>PSO</v>
      </c>
      <c r="F7298" s="1390" t="str">
        <f>Risk_Compensation!$Z$86</f>
        <v>SZ</v>
      </c>
      <c r="G7298" s="1390"/>
      <c r="H7298" s="1077">
        <f>Risk_Compensation!$Z110</f>
        <v>0</v>
      </c>
    </row>
    <row r="7299" spans="1:8" x14ac:dyDescent="0.2">
      <c r="A7299" s="1027"/>
      <c r="B7299" s="1083">
        <f>Risk_Compensation!A$1</f>
        <v>36</v>
      </c>
      <c r="C7299" s="1390" t="str">
        <f>Risk_Compensation!$B$1</f>
        <v xml:space="preserve">Risikoausgleich </v>
      </c>
      <c r="D7299" s="2206" t="s">
        <v>2573</v>
      </c>
      <c r="E7299" s="1390" t="str">
        <f>Risk_Compensation!$D111</f>
        <v>PSY</v>
      </c>
      <c r="F7299" s="1390" t="str">
        <f>Risk_Compensation!$Z$86</f>
        <v>SZ</v>
      </c>
      <c r="G7299" s="1390"/>
      <c r="H7299" s="1077">
        <f>Risk_Compensation!$Z111</f>
        <v>0</v>
      </c>
    </row>
    <row r="7300" spans="1:8" x14ac:dyDescent="0.2">
      <c r="A7300" s="1027"/>
      <c r="B7300" s="1083">
        <f>Risk_Compensation!A$1</f>
        <v>36</v>
      </c>
      <c r="C7300" s="1390" t="str">
        <f>Risk_Compensation!$B$1</f>
        <v xml:space="preserve">Risikoausgleich </v>
      </c>
      <c r="D7300" s="2206" t="s">
        <v>2573</v>
      </c>
      <c r="E7300" s="1390" t="str">
        <f>Risk_Compensation!$D112</f>
        <v>RHE</v>
      </c>
      <c r="F7300" s="1390" t="str">
        <f>Risk_Compensation!$Z$86</f>
        <v>SZ</v>
      </c>
      <c r="G7300" s="1390"/>
      <c r="H7300" s="1077">
        <f>Risk_Compensation!$Z112</f>
        <v>0</v>
      </c>
    </row>
    <row r="7301" spans="1:8" x14ac:dyDescent="0.2">
      <c r="A7301" s="1027"/>
      <c r="B7301" s="1083">
        <f>Risk_Compensation!A$1</f>
        <v>36</v>
      </c>
      <c r="C7301" s="1390" t="str">
        <f>Risk_Compensation!$B$1</f>
        <v xml:space="preserve">Risikoausgleich </v>
      </c>
      <c r="D7301" s="2206" t="s">
        <v>2573</v>
      </c>
      <c r="E7301" s="1390" t="str">
        <f>Risk_Compensation!$D113</f>
        <v>SMC</v>
      </c>
      <c r="F7301" s="1390" t="str">
        <f>Risk_Compensation!$Z$86</f>
        <v>SZ</v>
      </c>
      <c r="G7301" s="1390"/>
      <c r="H7301" s="1077">
        <f>Risk_Compensation!$Z113</f>
        <v>0</v>
      </c>
    </row>
    <row r="7302" spans="1:8" x14ac:dyDescent="0.2">
      <c r="A7302" s="1027"/>
      <c r="B7302" s="1083">
        <f>Risk_Compensation!A$1</f>
        <v>36</v>
      </c>
      <c r="C7302" s="1390" t="str">
        <f>Risk_Compensation!$B$1</f>
        <v xml:space="preserve">Risikoausgleich </v>
      </c>
      <c r="D7302" s="2206" t="s">
        <v>2573</v>
      </c>
      <c r="E7302" s="1390" t="str">
        <f>Risk_Compensation!$D114</f>
        <v>SMN</v>
      </c>
      <c r="F7302" s="1390" t="str">
        <f>Risk_Compensation!$Z$86</f>
        <v>SZ</v>
      </c>
      <c r="G7302" s="1390"/>
      <c r="H7302" s="1077">
        <f>Risk_Compensation!$Z114</f>
        <v>0</v>
      </c>
    </row>
    <row r="7303" spans="1:8" x14ac:dyDescent="0.2">
      <c r="A7303" s="1027"/>
      <c r="B7303" s="1083">
        <f>Risk_Compensation!A$1</f>
        <v>36</v>
      </c>
      <c r="C7303" s="1390" t="str">
        <f>Risk_Compensation!$B$1</f>
        <v xml:space="preserve">Risikoausgleich </v>
      </c>
      <c r="D7303" s="2206" t="s">
        <v>2573</v>
      </c>
      <c r="E7303" s="1390" t="str">
        <f>Risk_Compensation!$D115</f>
        <v>THY</v>
      </c>
      <c r="F7303" s="1390" t="str">
        <f>Risk_Compensation!$Z$86</f>
        <v>SZ</v>
      </c>
      <c r="G7303" s="1390"/>
      <c r="H7303" s="1077">
        <f>Risk_Compensation!$Z115</f>
        <v>0</v>
      </c>
    </row>
    <row r="7304" spans="1:8" x14ac:dyDescent="0.2">
      <c r="A7304" s="1027"/>
      <c r="B7304" s="1083">
        <f>Risk_Compensation!A$1</f>
        <v>36</v>
      </c>
      <c r="C7304" s="1390" t="str">
        <f>Risk_Compensation!$B$1</f>
        <v xml:space="preserve">Risikoausgleich </v>
      </c>
      <c r="D7304" s="2206" t="s">
        <v>2573</v>
      </c>
      <c r="E7304" s="1390" t="str">
        <f>Risk_Compensation!$D116</f>
        <v>TRA</v>
      </c>
      <c r="F7304" s="1390" t="str">
        <f>Risk_Compensation!$Z$86</f>
        <v>SZ</v>
      </c>
      <c r="G7304" s="1390"/>
      <c r="H7304" s="1077">
        <f>Risk_Compensation!$Z116</f>
        <v>0</v>
      </c>
    </row>
    <row r="7305" spans="1:8" x14ac:dyDescent="0.2">
      <c r="A7305" s="1027"/>
      <c r="B7305" s="1083">
        <f>Risk_Compensation!A$1</f>
        <v>36</v>
      </c>
      <c r="C7305" s="1390" t="str">
        <f>Risk_Compensation!$B$1</f>
        <v xml:space="preserve">Risikoausgleich </v>
      </c>
      <c r="D7305" s="2206" t="s">
        <v>2573</v>
      </c>
      <c r="E7305" s="1390" t="str">
        <f>Risk_Compensation!$D117</f>
        <v>WAS</v>
      </c>
      <c r="F7305" s="1390" t="str">
        <f>Risk_Compensation!$Z$86</f>
        <v>SZ</v>
      </c>
      <c r="G7305" s="1390"/>
      <c r="H7305" s="1077">
        <f>Risk_Compensation!$Z117</f>
        <v>0</v>
      </c>
    </row>
    <row r="7306" spans="1:8" x14ac:dyDescent="0.2">
      <c r="A7306" s="1027"/>
      <c r="B7306" s="1083">
        <f>Risk_Compensation!A$1</f>
        <v>36</v>
      </c>
      <c r="C7306" s="1390" t="str">
        <f>Risk_Compensation!$B$1</f>
        <v xml:space="preserve">Risikoausgleich </v>
      </c>
      <c r="D7306" s="2206" t="s">
        <v>2573</v>
      </c>
      <c r="E7306" s="1390" t="str">
        <f>Risk_Compensation!$D118</f>
        <v>ZFP</v>
      </c>
      <c r="F7306" s="1390" t="str">
        <f>Risk_Compensation!$Z$86</f>
        <v>SZ</v>
      </c>
      <c r="G7306" s="1390"/>
      <c r="H7306" s="1077">
        <f>Risk_Compensation!$Z118</f>
        <v>0</v>
      </c>
    </row>
    <row r="7307" spans="1:8" x14ac:dyDescent="0.2">
      <c r="A7307" s="1027"/>
      <c r="B7307" s="1083">
        <f>Risk_Compensation!A$1</f>
        <v>36</v>
      </c>
      <c r="C7307" s="1390" t="str">
        <f>Risk_Compensation!$B$1</f>
        <v xml:space="preserve">Risikoausgleich </v>
      </c>
      <c r="D7307" s="2206" t="s">
        <v>2573</v>
      </c>
      <c r="E7307" s="1390" t="str">
        <f>Risk_Compensation!$D119</f>
        <v>ZNS</v>
      </c>
      <c r="F7307" s="1390" t="str">
        <f>Risk_Compensation!$Z$86</f>
        <v>SZ</v>
      </c>
      <c r="G7307" s="1390"/>
      <c r="H7307" s="1077">
        <f>Risk_Compensation!$Z119</f>
        <v>0</v>
      </c>
    </row>
    <row r="7308" spans="1:8" x14ac:dyDescent="0.2">
      <c r="A7308" s="1027"/>
      <c r="B7308" s="1083">
        <f>Risk_Compensation!A$1</f>
        <v>36</v>
      </c>
      <c r="C7308" s="1390" t="str">
        <f>Risk_Compensation!$B$1</f>
        <v xml:space="preserve">Risikoausgleich </v>
      </c>
      <c r="D7308" s="2206" t="s">
        <v>2573</v>
      </c>
      <c r="E7308" s="1390" t="str">
        <f>Risk_Compensation!$D120</f>
        <v>DM2 + hyp</v>
      </c>
      <c r="F7308" s="1390" t="str">
        <f>Risk_Compensation!$Z$86</f>
        <v>SZ</v>
      </c>
      <c r="G7308" s="1390"/>
      <c r="H7308" s="1077">
        <f>Risk_Compensation!$Z120</f>
        <v>0</v>
      </c>
    </row>
    <row r="7309" spans="1:8" x14ac:dyDescent="0.2">
      <c r="A7309" s="1027"/>
      <c r="B7309" s="2174"/>
      <c r="C7309" s="1390"/>
      <c r="D7309" s="2175"/>
      <c r="E7309" s="2176"/>
      <c r="F7309" s="1390"/>
      <c r="G7309" s="1390"/>
      <c r="H7309" s="1078"/>
    </row>
    <row r="7310" spans="1:8" x14ac:dyDescent="0.2">
      <c r="A7310" s="1027"/>
      <c r="B7310" s="1083">
        <f>Risk_Compensation!A$1</f>
        <v>36</v>
      </c>
      <c r="C7310" s="1390" t="str">
        <f>Risk_Compensation!$B$1</f>
        <v xml:space="preserve">Risikoausgleich </v>
      </c>
      <c r="D7310" s="2206" t="s">
        <v>2573</v>
      </c>
      <c r="E7310" s="1390" t="str">
        <f>Risk_Compensation!$D87</f>
        <v>ABH</v>
      </c>
      <c r="F7310" s="1390" t="str">
        <f>Risk_Compensation!$AA$86</f>
        <v>TG</v>
      </c>
      <c r="G7310" s="1390"/>
      <c r="H7310" s="1077">
        <f>Risk_Compensation!$AA87</f>
        <v>0</v>
      </c>
    </row>
    <row r="7311" spans="1:8" x14ac:dyDescent="0.2">
      <c r="A7311" s="1027"/>
      <c r="B7311" s="1083">
        <f>Risk_Compensation!A$1</f>
        <v>36</v>
      </c>
      <c r="C7311" s="1390" t="str">
        <f>Risk_Compensation!$B$1</f>
        <v xml:space="preserve">Risikoausgleich </v>
      </c>
      <c r="D7311" s="2206" t="s">
        <v>2573</v>
      </c>
      <c r="E7311" s="1390" t="str">
        <f>Risk_Compensation!$D88</f>
        <v>ADH</v>
      </c>
      <c r="F7311" s="1390" t="str">
        <f>Risk_Compensation!$AA$86</f>
        <v>TG</v>
      </c>
      <c r="G7311" s="1390"/>
      <c r="H7311" s="1077">
        <f>Risk_Compensation!$AA88</f>
        <v>0</v>
      </c>
    </row>
    <row r="7312" spans="1:8" x14ac:dyDescent="0.2">
      <c r="A7312" s="1027"/>
      <c r="B7312" s="1083">
        <f>Risk_Compensation!A$1</f>
        <v>36</v>
      </c>
      <c r="C7312" s="1390" t="str">
        <f>Risk_Compensation!$B$1</f>
        <v xml:space="preserve">Risikoausgleich </v>
      </c>
      <c r="D7312" s="2206" t="s">
        <v>2573</v>
      </c>
      <c r="E7312" s="1390" t="str">
        <f>Risk_Compensation!$D89</f>
        <v>AIK</v>
      </c>
      <c r="F7312" s="1390" t="str">
        <f>Risk_Compensation!$AA$86</f>
        <v>TG</v>
      </c>
      <c r="G7312" s="1390"/>
      <c r="H7312" s="1077">
        <f>Risk_Compensation!$AA89</f>
        <v>0</v>
      </c>
    </row>
    <row r="7313" spans="1:8" x14ac:dyDescent="0.2">
      <c r="A7313" s="1027"/>
      <c r="B7313" s="1083">
        <f>Risk_Compensation!A$1</f>
        <v>36</v>
      </c>
      <c r="C7313" s="1390" t="str">
        <f>Risk_Compensation!$B$1</f>
        <v xml:space="preserve">Risikoausgleich </v>
      </c>
      <c r="D7313" s="2206" t="s">
        <v>2573</v>
      </c>
      <c r="E7313" s="1390" t="str">
        <f>Risk_Compensation!$D90</f>
        <v>ALZ</v>
      </c>
      <c r="F7313" s="1390" t="str">
        <f>Risk_Compensation!$AA$86</f>
        <v>TG</v>
      </c>
      <c r="G7313" s="1390"/>
      <c r="H7313" s="1077">
        <f>Risk_Compensation!$AA90</f>
        <v>0</v>
      </c>
    </row>
    <row r="7314" spans="1:8" x14ac:dyDescent="0.2">
      <c r="A7314" s="1027"/>
      <c r="B7314" s="1083">
        <f>Risk_Compensation!A$1</f>
        <v>36</v>
      </c>
      <c r="C7314" s="1390" t="str">
        <f>Risk_Compensation!$B$1</f>
        <v xml:space="preserve">Risikoausgleich </v>
      </c>
      <c r="D7314" s="2206" t="s">
        <v>2573</v>
      </c>
      <c r="E7314" s="1390" t="str">
        <f>Risk_Compensation!$D91</f>
        <v>AST</v>
      </c>
      <c r="F7314" s="1390" t="str">
        <f>Risk_Compensation!$AA$86</f>
        <v>TG</v>
      </c>
      <c r="G7314" s="1390"/>
      <c r="H7314" s="1077">
        <f>Risk_Compensation!$AA91</f>
        <v>0</v>
      </c>
    </row>
    <row r="7315" spans="1:8" x14ac:dyDescent="0.2">
      <c r="A7315" s="1027"/>
      <c r="B7315" s="1083">
        <f>Risk_Compensation!A$1</f>
        <v>36</v>
      </c>
      <c r="C7315" s="1390" t="str">
        <f>Risk_Compensation!$B$1</f>
        <v xml:space="preserve">Risikoausgleich </v>
      </c>
      <c r="D7315" s="2206" t="s">
        <v>2573</v>
      </c>
      <c r="E7315" s="1390" t="str">
        <f>Risk_Compensation!$D92</f>
        <v>BSR</v>
      </c>
      <c r="F7315" s="1390" t="str">
        <f>Risk_Compensation!$AA$86</f>
        <v>TG</v>
      </c>
      <c r="G7315" s="1390"/>
      <c r="H7315" s="1077">
        <f>Risk_Compensation!$AA92</f>
        <v>0</v>
      </c>
    </row>
    <row r="7316" spans="1:8" x14ac:dyDescent="0.2">
      <c r="A7316" s="1027"/>
      <c r="B7316" s="1083">
        <f>Risk_Compensation!A$1</f>
        <v>36</v>
      </c>
      <c r="C7316" s="1390" t="str">
        <f>Risk_Compensation!$B$1</f>
        <v xml:space="preserve">Risikoausgleich </v>
      </c>
      <c r="D7316" s="2206" t="s">
        <v>2573</v>
      </c>
      <c r="E7316" s="1390" t="str">
        <f>Risk_Compensation!$D93</f>
        <v>CAR</v>
      </c>
      <c r="F7316" s="1390" t="str">
        <f>Risk_Compensation!$AA$86</f>
        <v>TG</v>
      </c>
      <c r="G7316" s="1390"/>
      <c r="H7316" s="1077">
        <f>Risk_Compensation!$AA93</f>
        <v>0</v>
      </c>
    </row>
    <row r="7317" spans="1:8" x14ac:dyDescent="0.2">
      <c r="A7317" s="1027"/>
      <c r="B7317" s="1083">
        <f>Risk_Compensation!A$1</f>
        <v>36</v>
      </c>
      <c r="C7317" s="1390" t="str">
        <f>Risk_Compensation!$B$1</f>
        <v xml:space="preserve">Risikoausgleich </v>
      </c>
      <c r="D7317" s="2206" t="s">
        <v>2573</v>
      </c>
      <c r="E7317" s="1390" t="str">
        <f>Risk_Compensation!$D94</f>
        <v>COP</v>
      </c>
      <c r="F7317" s="1390" t="str">
        <f>Risk_Compensation!$AA$86</f>
        <v>TG</v>
      </c>
      <c r="G7317" s="1390"/>
      <c r="H7317" s="1077">
        <f>Risk_Compensation!$AA94</f>
        <v>0</v>
      </c>
    </row>
    <row r="7318" spans="1:8" x14ac:dyDescent="0.2">
      <c r="A7318" s="1027"/>
      <c r="B7318" s="1083">
        <f>Risk_Compensation!A$1</f>
        <v>36</v>
      </c>
      <c r="C7318" s="1390" t="str">
        <f>Risk_Compensation!$B$1</f>
        <v xml:space="preserve">Risikoausgleich </v>
      </c>
      <c r="D7318" s="2206" t="s">
        <v>2573</v>
      </c>
      <c r="E7318" s="1390" t="str">
        <f>Risk_Compensation!$D95</f>
        <v>DEP</v>
      </c>
      <c r="F7318" s="1390" t="str">
        <f>Risk_Compensation!$AA$86</f>
        <v>TG</v>
      </c>
      <c r="G7318" s="1390"/>
      <c r="H7318" s="1077">
        <f>Risk_Compensation!$AA95</f>
        <v>0</v>
      </c>
    </row>
    <row r="7319" spans="1:8" x14ac:dyDescent="0.2">
      <c r="A7319" s="1027"/>
      <c r="B7319" s="1083">
        <f>Risk_Compensation!A$1</f>
        <v>36</v>
      </c>
      <c r="C7319" s="1390" t="str">
        <f>Risk_Compensation!$B$1</f>
        <v xml:space="preserve">Risikoausgleich </v>
      </c>
      <c r="D7319" s="2206" t="s">
        <v>2573</v>
      </c>
      <c r="E7319" s="1390" t="str">
        <f>Risk_Compensation!$D96</f>
        <v>DM1</v>
      </c>
      <c r="F7319" s="1390" t="str">
        <f>Risk_Compensation!$AA$86</f>
        <v>TG</v>
      </c>
      <c r="G7319" s="1390"/>
      <c r="H7319" s="1077">
        <f>Risk_Compensation!$AA96</f>
        <v>0</v>
      </c>
    </row>
    <row r="7320" spans="1:8" x14ac:dyDescent="0.2">
      <c r="A7320" s="1027"/>
      <c r="B7320" s="1083">
        <f>Risk_Compensation!A$1</f>
        <v>36</v>
      </c>
      <c r="C7320" s="1390" t="str">
        <f>Risk_Compensation!$B$1</f>
        <v xml:space="preserve">Risikoausgleich </v>
      </c>
      <c r="D7320" s="2206" t="s">
        <v>2573</v>
      </c>
      <c r="E7320" s="1390" t="str">
        <f>Risk_Compensation!$D97</f>
        <v>DM2</v>
      </c>
      <c r="F7320" s="1390" t="str">
        <f>Risk_Compensation!$AA$86</f>
        <v>TG</v>
      </c>
      <c r="G7320" s="1390"/>
      <c r="H7320" s="1077">
        <f>Risk_Compensation!$AA97</f>
        <v>0</v>
      </c>
    </row>
    <row r="7321" spans="1:8" x14ac:dyDescent="0.2">
      <c r="A7321" s="1027"/>
      <c r="B7321" s="1083">
        <f>Risk_Compensation!A$1</f>
        <v>36</v>
      </c>
      <c r="C7321" s="1390" t="str">
        <f>Risk_Compensation!$B$1</f>
        <v xml:space="preserve">Risikoausgleich </v>
      </c>
      <c r="D7321" s="2206" t="s">
        <v>2573</v>
      </c>
      <c r="E7321" s="1390" t="str">
        <f>Risk_Compensation!$D98</f>
        <v>EPI</v>
      </c>
      <c r="F7321" s="1390" t="str">
        <f>Risk_Compensation!$AA$86</f>
        <v>TG</v>
      </c>
      <c r="G7321" s="1390"/>
      <c r="H7321" s="1077">
        <f>Risk_Compensation!$AA98</f>
        <v>0</v>
      </c>
    </row>
    <row r="7322" spans="1:8" x14ac:dyDescent="0.2">
      <c r="A7322" s="1027"/>
      <c r="B7322" s="1083">
        <f>Risk_Compensation!A$1</f>
        <v>36</v>
      </c>
      <c r="C7322" s="1390" t="str">
        <f>Risk_Compensation!$B$1</f>
        <v xml:space="preserve">Risikoausgleich </v>
      </c>
      <c r="D7322" s="2206" t="s">
        <v>2573</v>
      </c>
      <c r="E7322" s="1390" t="str">
        <f>Risk_Compensation!$D99</f>
        <v>GLA</v>
      </c>
      <c r="F7322" s="1390" t="str">
        <f>Risk_Compensation!$AA$86</f>
        <v>TG</v>
      </c>
      <c r="G7322" s="1390"/>
      <c r="H7322" s="1077">
        <f>Risk_Compensation!$AA99</f>
        <v>0</v>
      </c>
    </row>
    <row r="7323" spans="1:8" x14ac:dyDescent="0.2">
      <c r="A7323" s="1027"/>
      <c r="B7323" s="1083">
        <f>Risk_Compensation!A$1</f>
        <v>36</v>
      </c>
      <c r="C7323" s="1390" t="str">
        <f>Risk_Compensation!$B$1</f>
        <v xml:space="preserve">Risikoausgleich </v>
      </c>
      <c r="D7323" s="2206" t="s">
        <v>2573</v>
      </c>
      <c r="E7323" s="1390" t="str">
        <f>Risk_Compensation!$D100</f>
        <v>HCH</v>
      </c>
      <c r="F7323" s="1390" t="str">
        <f>Risk_Compensation!$AA$86</f>
        <v>TG</v>
      </c>
      <c r="G7323" s="1390"/>
      <c r="H7323" s="1077">
        <f>Risk_Compensation!$AA100</f>
        <v>0</v>
      </c>
    </row>
    <row r="7324" spans="1:8" x14ac:dyDescent="0.2">
      <c r="A7324" s="1027"/>
      <c r="B7324" s="1083">
        <f>Risk_Compensation!A$1</f>
        <v>36</v>
      </c>
      <c r="C7324" s="1390" t="str">
        <f>Risk_Compensation!$B$1</f>
        <v xml:space="preserve">Risikoausgleich </v>
      </c>
      <c r="D7324" s="2206" t="s">
        <v>2573</v>
      </c>
      <c r="E7324" s="1390" t="str">
        <f>Risk_Compensation!$D101</f>
        <v>HIV</v>
      </c>
      <c r="F7324" s="1390" t="str">
        <f>Risk_Compensation!$AA$86</f>
        <v>TG</v>
      </c>
      <c r="G7324" s="1390"/>
      <c r="H7324" s="1077">
        <f>Risk_Compensation!$AA101</f>
        <v>0</v>
      </c>
    </row>
    <row r="7325" spans="1:8" x14ac:dyDescent="0.2">
      <c r="A7325" s="1027"/>
      <c r="B7325" s="1083">
        <f>Risk_Compensation!A$1</f>
        <v>36</v>
      </c>
      <c r="C7325" s="1390" t="str">
        <f>Risk_Compensation!$B$1</f>
        <v xml:space="preserve">Risikoausgleich </v>
      </c>
      <c r="D7325" s="2206" t="s">
        <v>2573</v>
      </c>
      <c r="E7325" s="1390" t="str">
        <f>Risk_Compensation!$D102</f>
        <v>KHO</v>
      </c>
      <c r="F7325" s="1390" t="str">
        <f>Risk_Compensation!$AA$86</f>
        <v>TG</v>
      </c>
      <c r="G7325" s="1390"/>
      <c r="H7325" s="1077">
        <f>Risk_Compensation!$AA102</f>
        <v>0</v>
      </c>
    </row>
    <row r="7326" spans="1:8" x14ac:dyDescent="0.2">
      <c r="A7326" s="1027"/>
      <c r="B7326" s="1083">
        <f>Risk_Compensation!A$1</f>
        <v>36</v>
      </c>
      <c r="C7326" s="1390" t="str">
        <f>Risk_Compensation!$B$1</f>
        <v xml:space="preserve">Risikoausgleich </v>
      </c>
      <c r="D7326" s="2206" t="s">
        <v>2573</v>
      </c>
      <c r="E7326" s="1390" t="str">
        <f>Risk_Compensation!$D103</f>
        <v>KRE</v>
      </c>
      <c r="F7326" s="1390" t="str">
        <f>Risk_Compensation!$AA$86</f>
        <v>TG</v>
      </c>
      <c r="G7326" s="1390"/>
      <c r="H7326" s="1077">
        <f>Risk_Compensation!$AA103</f>
        <v>0</v>
      </c>
    </row>
    <row r="7327" spans="1:8" x14ac:dyDescent="0.2">
      <c r="A7327" s="1027"/>
      <c r="B7327" s="1083">
        <f>Risk_Compensation!A$1</f>
        <v>36</v>
      </c>
      <c r="C7327" s="1390" t="str">
        <f>Risk_Compensation!$B$1</f>
        <v xml:space="preserve">Risikoausgleich </v>
      </c>
      <c r="D7327" s="2206" t="s">
        <v>2573</v>
      </c>
      <c r="E7327" s="1390" t="str">
        <f>Risk_Compensation!$D104</f>
        <v>KRK</v>
      </c>
      <c r="F7327" s="1390" t="str">
        <f>Risk_Compensation!$AA$86</f>
        <v>TG</v>
      </c>
      <c r="G7327" s="1390"/>
      <c r="H7327" s="1077">
        <f>Risk_Compensation!$AA104</f>
        <v>0</v>
      </c>
    </row>
    <row r="7328" spans="1:8" x14ac:dyDescent="0.2">
      <c r="A7328" s="1027"/>
      <c r="B7328" s="1083">
        <f>Risk_Compensation!A$1</f>
        <v>36</v>
      </c>
      <c r="C7328" s="1390" t="str">
        <f>Risk_Compensation!$B$1</f>
        <v xml:space="preserve">Risikoausgleich </v>
      </c>
      <c r="D7328" s="2206" t="s">
        <v>2573</v>
      </c>
      <c r="E7328" s="1390" t="str">
        <f>Risk_Compensation!$D105</f>
        <v>MCR</v>
      </c>
      <c r="F7328" s="1390" t="str">
        <f>Risk_Compensation!$AA$86</f>
        <v>TG</v>
      </c>
      <c r="G7328" s="1390"/>
      <c r="H7328" s="1077">
        <f>Risk_Compensation!$AA105</f>
        <v>0</v>
      </c>
    </row>
    <row r="7329" spans="1:8" x14ac:dyDescent="0.2">
      <c r="A7329" s="1027"/>
      <c r="B7329" s="1083">
        <f>Risk_Compensation!A$1</f>
        <v>36</v>
      </c>
      <c r="C7329" s="1390" t="str">
        <f>Risk_Compensation!$B$1</f>
        <v xml:space="preserve">Risikoausgleich </v>
      </c>
      <c r="D7329" s="2206" t="s">
        <v>2573</v>
      </c>
      <c r="E7329" s="1390" t="str">
        <f>Risk_Compensation!$D106</f>
        <v>MSK</v>
      </c>
      <c r="F7329" s="1390" t="str">
        <f>Risk_Compensation!$AA$86</f>
        <v>TG</v>
      </c>
      <c r="G7329" s="1390"/>
      <c r="H7329" s="1077">
        <f>Risk_Compensation!$AA106</f>
        <v>0</v>
      </c>
    </row>
    <row r="7330" spans="1:8" x14ac:dyDescent="0.2">
      <c r="A7330" s="1027"/>
      <c r="B7330" s="1083">
        <f>Risk_Compensation!A$1</f>
        <v>36</v>
      </c>
      <c r="C7330" s="1390" t="str">
        <f>Risk_Compensation!$B$1</f>
        <v xml:space="preserve">Risikoausgleich </v>
      </c>
      <c r="D7330" s="2206" t="s">
        <v>2573</v>
      </c>
      <c r="E7330" s="1390" t="str">
        <f>Risk_Compensation!$D107</f>
        <v>NIE</v>
      </c>
      <c r="F7330" s="1390" t="str">
        <f>Risk_Compensation!$AA$86</f>
        <v>TG</v>
      </c>
      <c r="G7330" s="1390"/>
      <c r="H7330" s="1077">
        <f>Risk_Compensation!$AA107</f>
        <v>0</v>
      </c>
    </row>
    <row r="7331" spans="1:8" x14ac:dyDescent="0.2">
      <c r="A7331" s="1027"/>
      <c r="B7331" s="1083">
        <f>Risk_Compensation!A$1</f>
        <v>36</v>
      </c>
      <c r="C7331" s="1390" t="str">
        <f>Risk_Compensation!$B$1</f>
        <v xml:space="preserve">Risikoausgleich </v>
      </c>
      <c r="D7331" s="2206" t="s">
        <v>2573</v>
      </c>
      <c r="E7331" s="1390" t="str">
        <f>Risk_Compensation!$D108</f>
        <v>PAH</v>
      </c>
      <c r="F7331" s="1390" t="str">
        <f>Risk_Compensation!$AA$86</f>
        <v>TG</v>
      </c>
      <c r="G7331" s="1390"/>
      <c r="H7331" s="1077">
        <f>Risk_Compensation!$AA108</f>
        <v>0</v>
      </c>
    </row>
    <row r="7332" spans="1:8" x14ac:dyDescent="0.2">
      <c r="A7332" s="1027"/>
      <c r="B7332" s="1083">
        <f>Risk_Compensation!A$1</f>
        <v>36</v>
      </c>
      <c r="C7332" s="1390" t="str">
        <f>Risk_Compensation!$B$1</f>
        <v xml:space="preserve">Risikoausgleich </v>
      </c>
      <c r="D7332" s="2206" t="s">
        <v>2573</v>
      </c>
      <c r="E7332" s="1390" t="str">
        <f>Risk_Compensation!$D109</f>
        <v>PAR</v>
      </c>
      <c r="F7332" s="1390" t="str">
        <f>Risk_Compensation!$AA$86</f>
        <v>TG</v>
      </c>
      <c r="G7332" s="1390"/>
      <c r="H7332" s="1077">
        <f>Risk_Compensation!$AA109</f>
        <v>0</v>
      </c>
    </row>
    <row r="7333" spans="1:8" x14ac:dyDescent="0.2">
      <c r="A7333" s="1027"/>
      <c r="B7333" s="1083">
        <f>Risk_Compensation!A$1</f>
        <v>36</v>
      </c>
      <c r="C7333" s="1390" t="str">
        <f>Risk_Compensation!$B$1</f>
        <v xml:space="preserve">Risikoausgleich </v>
      </c>
      <c r="D7333" s="2206" t="s">
        <v>2573</v>
      </c>
      <c r="E7333" s="1390" t="str">
        <f>Risk_Compensation!$D110</f>
        <v>PSO</v>
      </c>
      <c r="F7333" s="1390" t="str">
        <f>Risk_Compensation!$AA$86</f>
        <v>TG</v>
      </c>
      <c r="G7333" s="1390"/>
      <c r="H7333" s="1077">
        <f>Risk_Compensation!$AA110</f>
        <v>0</v>
      </c>
    </row>
    <row r="7334" spans="1:8" x14ac:dyDescent="0.2">
      <c r="A7334" s="1027"/>
      <c r="B7334" s="1083">
        <f>Risk_Compensation!A$1</f>
        <v>36</v>
      </c>
      <c r="C7334" s="1390" t="str">
        <f>Risk_Compensation!$B$1</f>
        <v xml:space="preserve">Risikoausgleich </v>
      </c>
      <c r="D7334" s="2206" t="s">
        <v>2573</v>
      </c>
      <c r="E7334" s="1390" t="str">
        <f>Risk_Compensation!$D111</f>
        <v>PSY</v>
      </c>
      <c r="F7334" s="1390" t="str">
        <f>Risk_Compensation!$AA$86</f>
        <v>TG</v>
      </c>
      <c r="G7334" s="1390"/>
      <c r="H7334" s="1077">
        <f>Risk_Compensation!$AA111</f>
        <v>0</v>
      </c>
    </row>
    <row r="7335" spans="1:8" x14ac:dyDescent="0.2">
      <c r="A7335" s="1027"/>
      <c r="B7335" s="1083">
        <f>Risk_Compensation!A$1</f>
        <v>36</v>
      </c>
      <c r="C7335" s="1390" t="str">
        <f>Risk_Compensation!$B$1</f>
        <v xml:space="preserve">Risikoausgleich </v>
      </c>
      <c r="D7335" s="2206" t="s">
        <v>2573</v>
      </c>
      <c r="E7335" s="1390" t="str">
        <f>Risk_Compensation!$D112</f>
        <v>RHE</v>
      </c>
      <c r="F7335" s="1390" t="str">
        <f>Risk_Compensation!$AA$86</f>
        <v>TG</v>
      </c>
      <c r="G7335" s="1390"/>
      <c r="H7335" s="1077">
        <f>Risk_Compensation!$AA112</f>
        <v>0</v>
      </c>
    </row>
    <row r="7336" spans="1:8" x14ac:dyDescent="0.2">
      <c r="A7336" s="1027"/>
      <c r="B7336" s="1083">
        <f>Risk_Compensation!A$1</f>
        <v>36</v>
      </c>
      <c r="C7336" s="1390" t="str">
        <f>Risk_Compensation!$B$1</f>
        <v xml:space="preserve">Risikoausgleich </v>
      </c>
      <c r="D7336" s="2206" t="s">
        <v>2573</v>
      </c>
      <c r="E7336" s="1390" t="str">
        <f>Risk_Compensation!$D113</f>
        <v>SMC</v>
      </c>
      <c r="F7336" s="1390" t="str">
        <f>Risk_Compensation!$AA$86</f>
        <v>TG</v>
      </c>
      <c r="G7336" s="1390"/>
      <c r="H7336" s="1077">
        <f>Risk_Compensation!$AA113</f>
        <v>0</v>
      </c>
    </row>
    <row r="7337" spans="1:8" x14ac:dyDescent="0.2">
      <c r="A7337" s="1027"/>
      <c r="B7337" s="1083">
        <f>Risk_Compensation!A$1</f>
        <v>36</v>
      </c>
      <c r="C7337" s="1390" t="str">
        <f>Risk_Compensation!$B$1</f>
        <v xml:space="preserve">Risikoausgleich </v>
      </c>
      <c r="D7337" s="2206" t="s">
        <v>2573</v>
      </c>
      <c r="E7337" s="1390" t="str">
        <f>Risk_Compensation!$D114</f>
        <v>SMN</v>
      </c>
      <c r="F7337" s="1390" t="str">
        <f>Risk_Compensation!$AA$86</f>
        <v>TG</v>
      </c>
      <c r="G7337" s="1390"/>
      <c r="H7337" s="1077">
        <f>Risk_Compensation!$AA114</f>
        <v>0</v>
      </c>
    </row>
    <row r="7338" spans="1:8" x14ac:dyDescent="0.2">
      <c r="A7338" s="1027"/>
      <c r="B7338" s="1083">
        <f>Risk_Compensation!A$1</f>
        <v>36</v>
      </c>
      <c r="C7338" s="1390" t="str">
        <f>Risk_Compensation!$B$1</f>
        <v xml:space="preserve">Risikoausgleich </v>
      </c>
      <c r="D7338" s="2206" t="s">
        <v>2573</v>
      </c>
      <c r="E7338" s="1390" t="str">
        <f>Risk_Compensation!$D115</f>
        <v>THY</v>
      </c>
      <c r="F7338" s="1390" t="str">
        <f>Risk_Compensation!$AA$86</f>
        <v>TG</v>
      </c>
      <c r="G7338" s="1390"/>
      <c r="H7338" s="1077">
        <f>Risk_Compensation!$AA115</f>
        <v>0</v>
      </c>
    </row>
    <row r="7339" spans="1:8" x14ac:dyDescent="0.2">
      <c r="A7339" s="1027"/>
      <c r="B7339" s="1083">
        <f>Risk_Compensation!A$1</f>
        <v>36</v>
      </c>
      <c r="C7339" s="1390" t="str">
        <f>Risk_Compensation!$B$1</f>
        <v xml:space="preserve">Risikoausgleich </v>
      </c>
      <c r="D7339" s="2206" t="s">
        <v>2573</v>
      </c>
      <c r="E7339" s="1390" t="str">
        <f>Risk_Compensation!$D116</f>
        <v>TRA</v>
      </c>
      <c r="F7339" s="1390" t="str">
        <f>Risk_Compensation!$AA$86</f>
        <v>TG</v>
      </c>
      <c r="G7339" s="1390"/>
      <c r="H7339" s="1077">
        <f>Risk_Compensation!$AA116</f>
        <v>0</v>
      </c>
    </row>
    <row r="7340" spans="1:8" x14ac:dyDescent="0.2">
      <c r="A7340" s="1027"/>
      <c r="B7340" s="1083">
        <f>Risk_Compensation!A$1</f>
        <v>36</v>
      </c>
      <c r="C7340" s="1390" t="str">
        <f>Risk_Compensation!$B$1</f>
        <v xml:space="preserve">Risikoausgleich </v>
      </c>
      <c r="D7340" s="2206" t="s">
        <v>2573</v>
      </c>
      <c r="E7340" s="1390" t="str">
        <f>Risk_Compensation!$D117</f>
        <v>WAS</v>
      </c>
      <c r="F7340" s="1390" t="str">
        <f>Risk_Compensation!$AA$86</f>
        <v>TG</v>
      </c>
      <c r="G7340" s="1390"/>
      <c r="H7340" s="1077">
        <f>Risk_Compensation!$AA117</f>
        <v>0</v>
      </c>
    </row>
    <row r="7341" spans="1:8" x14ac:dyDescent="0.2">
      <c r="A7341" s="1027"/>
      <c r="B7341" s="1083">
        <f>Risk_Compensation!A$1</f>
        <v>36</v>
      </c>
      <c r="C7341" s="1390" t="str">
        <f>Risk_Compensation!$B$1</f>
        <v xml:space="preserve">Risikoausgleich </v>
      </c>
      <c r="D7341" s="2206" t="s">
        <v>2573</v>
      </c>
      <c r="E7341" s="1390" t="str">
        <f>Risk_Compensation!$D118</f>
        <v>ZFP</v>
      </c>
      <c r="F7341" s="1390" t="str">
        <f>Risk_Compensation!$AA$86</f>
        <v>TG</v>
      </c>
      <c r="G7341" s="1390"/>
      <c r="H7341" s="1077">
        <f>Risk_Compensation!$AA118</f>
        <v>0</v>
      </c>
    </row>
    <row r="7342" spans="1:8" x14ac:dyDescent="0.2">
      <c r="A7342" s="1027"/>
      <c r="B7342" s="1083">
        <f>Risk_Compensation!A$1</f>
        <v>36</v>
      </c>
      <c r="C7342" s="1390" t="str">
        <f>Risk_Compensation!$B$1</f>
        <v xml:space="preserve">Risikoausgleich </v>
      </c>
      <c r="D7342" s="2206" t="s">
        <v>2573</v>
      </c>
      <c r="E7342" s="1390" t="str">
        <f>Risk_Compensation!$D119</f>
        <v>ZNS</v>
      </c>
      <c r="F7342" s="1390" t="str">
        <f>Risk_Compensation!$AA$86</f>
        <v>TG</v>
      </c>
      <c r="G7342" s="1390"/>
      <c r="H7342" s="1077">
        <f>Risk_Compensation!$AA119</f>
        <v>0</v>
      </c>
    </row>
    <row r="7343" spans="1:8" x14ac:dyDescent="0.2">
      <c r="A7343" s="1027"/>
      <c r="B7343" s="1083">
        <f>Risk_Compensation!A$1</f>
        <v>36</v>
      </c>
      <c r="C7343" s="1390" t="str">
        <f>Risk_Compensation!$B$1</f>
        <v xml:space="preserve">Risikoausgleich </v>
      </c>
      <c r="D7343" s="2206" t="s">
        <v>2573</v>
      </c>
      <c r="E7343" s="1390" t="str">
        <f>Risk_Compensation!$D120</f>
        <v>DM2 + hyp</v>
      </c>
      <c r="F7343" s="1390" t="str">
        <f>Risk_Compensation!$AA$86</f>
        <v>TG</v>
      </c>
      <c r="G7343" s="1390"/>
      <c r="H7343" s="1077">
        <f>Risk_Compensation!$AA120</f>
        <v>0</v>
      </c>
    </row>
    <row r="7344" spans="1:8" x14ac:dyDescent="0.2">
      <c r="A7344" s="1027"/>
      <c r="B7344" s="2174"/>
      <c r="C7344" s="1390"/>
      <c r="D7344" s="2175"/>
      <c r="E7344" s="2176"/>
      <c r="F7344" s="1390"/>
      <c r="G7344" s="1390"/>
      <c r="H7344" s="1078"/>
    </row>
    <row r="7345" spans="1:8" x14ac:dyDescent="0.2">
      <c r="A7345" s="1027"/>
      <c r="B7345" s="1083">
        <f>Risk_Compensation!A$1</f>
        <v>36</v>
      </c>
      <c r="C7345" s="1390" t="str">
        <f>Risk_Compensation!$B$1</f>
        <v xml:space="preserve">Risikoausgleich </v>
      </c>
      <c r="D7345" s="2206" t="s">
        <v>2573</v>
      </c>
      <c r="E7345" s="1390" t="str">
        <f>Risk_Compensation!$D87</f>
        <v>ABH</v>
      </c>
      <c r="F7345" s="1390" t="str">
        <f>Risk_Compensation!$AB$86</f>
        <v>TI</v>
      </c>
      <c r="G7345" s="1390"/>
      <c r="H7345" s="1077">
        <f>Risk_Compensation!$AB87</f>
        <v>0</v>
      </c>
    </row>
    <row r="7346" spans="1:8" x14ac:dyDescent="0.2">
      <c r="A7346" s="1027"/>
      <c r="B7346" s="1083">
        <f>Risk_Compensation!A$1</f>
        <v>36</v>
      </c>
      <c r="C7346" s="1390" t="str">
        <f>Risk_Compensation!$B$1</f>
        <v xml:space="preserve">Risikoausgleich </v>
      </c>
      <c r="D7346" s="2206" t="s">
        <v>2573</v>
      </c>
      <c r="E7346" s="1390" t="str">
        <f>Risk_Compensation!$D88</f>
        <v>ADH</v>
      </c>
      <c r="F7346" s="1390" t="str">
        <f>Risk_Compensation!$AB$86</f>
        <v>TI</v>
      </c>
      <c r="G7346" s="1390"/>
      <c r="H7346" s="1077">
        <f>Risk_Compensation!$AB88</f>
        <v>0</v>
      </c>
    </row>
    <row r="7347" spans="1:8" x14ac:dyDescent="0.2">
      <c r="A7347" s="1027"/>
      <c r="B7347" s="1083">
        <f>Risk_Compensation!A$1</f>
        <v>36</v>
      </c>
      <c r="C7347" s="1390" t="str">
        <f>Risk_Compensation!$B$1</f>
        <v xml:space="preserve">Risikoausgleich </v>
      </c>
      <c r="D7347" s="2206" t="s">
        <v>2573</v>
      </c>
      <c r="E7347" s="1390" t="str">
        <f>Risk_Compensation!$D89</f>
        <v>AIK</v>
      </c>
      <c r="F7347" s="1390" t="str">
        <f>Risk_Compensation!$AB$86</f>
        <v>TI</v>
      </c>
      <c r="G7347" s="1390"/>
      <c r="H7347" s="1077">
        <f>Risk_Compensation!$AB89</f>
        <v>0</v>
      </c>
    </row>
    <row r="7348" spans="1:8" x14ac:dyDescent="0.2">
      <c r="A7348" s="1027"/>
      <c r="B7348" s="1083">
        <f>Risk_Compensation!A$1</f>
        <v>36</v>
      </c>
      <c r="C7348" s="1390" t="str">
        <f>Risk_Compensation!$B$1</f>
        <v xml:space="preserve">Risikoausgleich </v>
      </c>
      <c r="D7348" s="2206" t="s">
        <v>2573</v>
      </c>
      <c r="E7348" s="1390" t="str">
        <f>Risk_Compensation!$D90</f>
        <v>ALZ</v>
      </c>
      <c r="F7348" s="1390" t="str">
        <f>Risk_Compensation!$AB$86</f>
        <v>TI</v>
      </c>
      <c r="G7348" s="1390"/>
      <c r="H7348" s="1077">
        <f>Risk_Compensation!$AB90</f>
        <v>0</v>
      </c>
    </row>
    <row r="7349" spans="1:8" x14ac:dyDescent="0.2">
      <c r="A7349" s="1027"/>
      <c r="B7349" s="1083">
        <f>Risk_Compensation!A$1</f>
        <v>36</v>
      </c>
      <c r="C7349" s="1390" t="str">
        <f>Risk_Compensation!$B$1</f>
        <v xml:space="preserve">Risikoausgleich </v>
      </c>
      <c r="D7349" s="2206" t="s">
        <v>2573</v>
      </c>
      <c r="E7349" s="1390" t="str">
        <f>Risk_Compensation!$D91</f>
        <v>AST</v>
      </c>
      <c r="F7349" s="1390" t="str">
        <f>Risk_Compensation!$AB$86</f>
        <v>TI</v>
      </c>
      <c r="G7349" s="1390"/>
      <c r="H7349" s="1077">
        <f>Risk_Compensation!$AB91</f>
        <v>0</v>
      </c>
    </row>
    <row r="7350" spans="1:8" x14ac:dyDescent="0.2">
      <c r="A7350" s="1027"/>
      <c r="B7350" s="1083">
        <f>Risk_Compensation!A$1</f>
        <v>36</v>
      </c>
      <c r="C7350" s="1390" t="str">
        <f>Risk_Compensation!$B$1</f>
        <v xml:space="preserve">Risikoausgleich </v>
      </c>
      <c r="D7350" s="2206" t="s">
        <v>2573</v>
      </c>
      <c r="E7350" s="1390" t="str">
        <f>Risk_Compensation!$D92</f>
        <v>BSR</v>
      </c>
      <c r="F7350" s="1390" t="str">
        <f>Risk_Compensation!$AB$86</f>
        <v>TI</v>
      </c>
      <c r="G7350" s="1390"/>
      <c r="H7350" s="1077">
        <f>Risk_Compensation!$AB92</f>
        <v>0</v>
      </c>
    </row>
    <row r="7351" spans="1:8" x14ac:dyDescent="0.2">
      <c r="A7351" s="1027"/>
      <c r="B7351" s="1083">
        <f>Risk_Compensation!A$1</f>
        <v>36</v>
      </c>
      <c r="C7351" s="1390" t="str">
        <f>Risk_Compensation!$B$1</f>
        <v xml:space="preserve">Risikoausgleich </v>
      </c>
      <c r="D7351" s="2206" t="s">
        <v>2573</v>
      </c>
      <c r="E7351" s="1390" t="str">
        <f>Risk_Compensation!$D93</f>
        <v>CAR</v>
      </c>
      <c r="F7351" s="1390" t="str">
        <f>Risk_Compensation!$AB$86</f>
        <v>TI</v>
      </c>
      <c r="G7351" s="1390"/>
      <c r="H7351" s="1077">
        <f>Risk_Compensation!$AB93</f>
        <v>0</v>
      </c>
    </row>
    <row r="7352" spans="1:8" x14ac:dyDescent="0.2">
      <c r="A7352" s="1027"/>
      <c r="B7352" s="1083">
        <f>Risk_Compensation!A$1</f>
        <v>36</v>
      </c>
      <c r="C7352" s="1390" t="str">
        <f>Risk_Compensation!$B$1</f>
        <v xml:space="preserve">Risikoausgleich </v>
      </c>
      <c r="D7352" s="2206" t="s">
        <v>2573</v>
      </c>
      <c r="E7352" s="1390" t="str">
        <f>Risk_Compensation!$D94</f>
        <v>COP</v>
      </c>
      <c r="F7352" s="1390" t="str">
        <f>Risk_Compensation!$AB$86</f>
        <v>TI</v>
      </c>
      <c r="G7352" s="1390"/>
      <c r="H7352" s="1077">
        <f>Risk_Compensation!$AB94</f>
        <v>0</v>
      </c>
    </row>
    <row r="7353" spans="1:8" x14ac:dyDescent="0.2">
      <c r="A7353" s="1027"/>
      <c r="B7353" s="1083">
        <f>Risk_Compensation!A$1</f>
        <v>36</v>
      </c>
      <c r="C7353" s="1390" t="str">
        <f>Risk_Compensation!$B$1</f>
        <v xml:space="preserve">Risikoausgleich </v>
      </c>
      <c r="D7353" s="2206" t="s">
        <v>2573</v>
      </c>
      <c r="E7353" s="1390" t="str">
        <f>Risk_Compensation!$D95</f>
        <v>DEP</v>
      </c>
      <c r="F7353" s="1390" t="str">
        <f>Risk_Compensation!$AB$86</f>
        <v>TI</v>
      </c>
      <c r="G7353" s="1390"/>
      <c r="H7353" s="1077">
        <f>Risk_Compensation!$AB95</f>
        <v>0</v>
      </c>
    </row>
    <row r="7354" spans="1:8" x14ac:dyDescent="0.2">
      <c r="A7354" s="1027"/>
      <c r="B7354" s="1083">
        <f>Risk_Compensation!A$1</f>
        <v>36</v>
      </c>
      <c r="C7354" s="1390" t="str">
        <f>Risk_Compensation!$B$1</f>
        <v xml:space="preserve">Risikoausgleich </v>
      </c>
      <c r="D7354" s="2206" t="s">
        <v>2573</v>
      </c>
      <c r="E7354" s="1390" t="str">
        <f>Risk_Compensation!$D96</f>
        <v>DM1</v>
      </c>
      <c r="F7354" s="1390" t="str">
        <f>Risk_Compensation!$AB$86</f>
        <v>TI</v>
      </c>
      <c r="G7354" s="1390"/>
      <c r="H7354" s="1077">
        <f>Risk_Compensation!$AB96</f>
        <v>0</v>
      </c>
    </row>
    <row r="7355" spans="1:8" x14ac:dyDescent="0.2">
      <c r="A7355" s="1027"/>
      <c r="B7355" s="1083">
        <f>Risk_Compensation!A$1</f>
        <v>36</v>
      </c>
      <c r="C7355" s="1390" t="str">
        <f>Risk_Compensation!$B$1</f>
        <v xml:space="preserve">Risikoausgleich </v>
      </c>
      <c r="D7355" s="2206" t="s">
        <v>2573</v>
      </c>
      <c r="E7355" s="1390" t="str">
        <f>Risk_Compensation!$D97</f>
        <v>DM2</v>
      </c>
      <c r="F7355" s="1390" t="str">
        <f>Risk_Compensation!$AB$86</f>
        <v>TI</v>
      </c>
      <c r="G7355" s="1390"/>
      <c r="H7355" s="1077">
        <f>Risk_Compensation!$AB97</f>
        <v>0</v>
      </c>
    </row>
    <row r="7356" spans="1:8" x14ac:dyDescent="0.2">
      <c r="A7356" s="1027"/>
      <c r="B7356" s="1083">
        <f>Risk_Compensation!A$1</f>
        <v>36</v>
      </c>
      <c r="C7356" s="1390" t="str">
        <f>Risk_Compensation!$B$1</f>
        <v xml:space="preserve">Risikoausgleich </v>
      </c>
      <c r="D7356" s="2206" t="s">
        <v>2573</v>
      </c>
      <c r="E7356" s="1390" t="str">
        <f>Risk_Compensation!$D98</f>
        <v>EPI</v>
      </c>
      <c r="F7356" s="1390" t="str">
        <f>Risk_Compensation!$AB$86</f>
        <v>TI</v>
      </c>
      <c r="G7356" s="1390"/>
      <c r="H7356" s="1077">
        <f>Risk_Compensation!$AB98</f>
        <v>0</v>
      </c>
    </row>
    <row r="7357" spans="1:8" x14ac:dyDescent="0.2">
      <c r="A7357" s="1027"/>
      <c r="B7357" s="1083">
        <f>Risk_Compensation!A$1</f>
        <v>36</v>
      </c>
      <c r="C7357" s="1390" t="str">
        <f>Risk_Compensation!$B$1</f>
        <v xml:space="preserve">Risikoausgleich </v>
      </c>
      <c r="D7357" s="2206" t="s">
        <v>2573</v>
      </c>
      <c r="E7357" s="1390" t="str">
        <f>Risk_Compensation!$D99</f>
        <v>GLA</v>
      </c>
      <c r="F7357" s="1390" t="str">
        <f>Risk_Compensation!$AB$86</f>
        <v>TI</v>
      </c>
      <c r="G7357" s="1390"/>
      <c r="H7357" s="1077">
        <f>Risk_Compensation!$AB99</f>
        <v>0</v>
      </c>
    </row>
    <row r="7358" spans="1:8" x14ac:dyDescent="0.2">
      <c r="A7358" s="1027"/>
      <c r="B7358" s="1083">
        <f>Risk_Compensation!A$1</f>
        <v>36</v>
      </c>
      <c r="C7358" s="1390" t="str">
        <f>Risk_Compensation!$B$1</f>
        <v xml:space="preserve">Risikoausgleich </v>
      </c>
      <c r="D7358" s="2206" t="s">
        <v>2573</v>
      </c>
      <c r="E7358" s="1390" t="str">
        <f>Risk_Compensation!$D100</f>
        <v>HCH</v>
      </c>
      <c r="F7358" s="1390" t="str">
        <f>Risk_Compensation!$AB$86</f>
        <v>TI</v>
      </c>
      <c r="G7358" s="1390"/>
      <c r="H7358" s="1077">
        <f>Risk_Compensation!$AB100</f>
        <v>0</v>
      </c>
    </row>
    <row r="7359" spans="1:8" x14ac:dyDescent="0.2">
      <c r="A7359" s="1027"/>
      <c r="B7359" s="1083">
        <f>Risk_Compensation!A$1</f>
        <v>36</v>
      </c>
      <c r="C7359" s="1390" t="str">
        <f>Risk_Compensation!$B$1</f>
        <v xml:space="preserve">Risikoausgleich </v>
      </c>
      <c r="D7359" s="2206" t="s">
        <v>2573</v>
      </c>
      <c r="E7359" s="1390" t="str">
        <f>Risk_Compensation!$D101</f>
        <v>HIV</v>
      </c>
      <c r="F7359" s="1390" t="str">
        <f>Risk_Compensation!$AB$86</f>
        <v>TI</v>
      </c>
      <c r="G7359" s="1390"/>
      <c r="H7359" s="1077">
        <f>Risk_Compensation!$AB101</f>
        <v>0</v>
      </c>
    </row>
    <row r="7360" spans="1:8" x14ac:dyDescent="0.2">
      <c r="A7360" s="1027"/>
      <c r="B7360" s="1083">
        <f>Risk_Compensation!A$1</f>
        <v>36</v>
      </c>
      <c r="C7360" s="1390" t="str">
        <f>Risk_Compensation!$B$1</f>
        <v xml:space="preserve">Risikoausgleich </v>
      </c>
      <c r="D7360" s="2206" t="s">
        <v>2573</v>
      </c>
      <c r="E7360" s="1390" t="str">
        <f>Risk_Compensation!$D102</f>
        <v>KHO</v>
      </c>
      <c r="F7360" s="1390" t="str">
        <f>Risk_Compensation!$AB$86</f>
        <v>TI</v>
      </c>
      <c r="G7360" s="1390"/>
      <c r="H7360" s="1077">
        <f>Risk_Compensation!$AB102</f>
        <v>0</v>
      </c>
    </row>
    <row r="7361" spans="1:8" x14ac:dyDescent="0.2">
      <c r="A7361" s="1027"/>
      <c r="B7361" s="1083">
        <f>Risk_Compensation!A$1</f>
        <v>36</v>
      </c>
      <c r="C7361" s="1390" t="str">
        <f>Risk_Compensation!$B$1</f>
        <v xml:space="preserve">Risikoausgleich </v>
      </c>
      <c r="D7361" s="2206" t="s">
        <v>2573</v>
      </c>
      <c r="E7361" s="1390" t="str">
        <f>Risk_Compensation!$D103</f>
        <v>KRE</v>
      </c>
      <c r="F7361" s="1390" t="str">
        <f>Risk_Compensation!$AB$86</f>
        <v>TI</v>
      </c>
      <c r="G7361" s="1390"/>
      <c r="H7361" s="1077">
        <f>Risk_Compensation!$AB103</f>
        <v>0</v>
      </c>
    </row>
    <row r="7362" spans="1:8" x14ac:dyDescent="0.2">
      <c r="A7362" s="1027"/>
      <c r="B7362" s="1083">
        <f>Risk_Compensation!A$1</f>
        <v>36</v>
      </c>
      <c r="C7362" s="1390" t="str">
        <f>Risk_Compensation!$B$1</f>
        <v xml:space="preserve">Risikoausgleich </v>
      </c>
      <c r="D7362" s="2206" t="s">
        <v>2573</v>
      </c>
      <c r="E7362" s="1390" t="str">
        <f>Risk_Compensation!$D104</f>
        <v>KRK</v>
      </c>
      <c r="F7362" s="1390" t="str">
        <f>Risk_Compensation!$AB$86</f>
        <v>TI</v>
      </c>
      <c r="G7362" s="1390"/>
      <c r="H7362" s="1077">
        <f>Risk_Compensation!$AB104</f>
        <v>0</v>
      </c>
    </row>
    <row r="7363" spans="1:8" x14ac:dyDescent="0.2">
      <c r="A7363" s="1027"/>
      <c r="B7363" s="1083">
        <f>Risk_Compensation!A$1</f>
        <v>36</v>
      </c>
      <c r="C7363" s="1390" t="str">
        <f>Risk_Compensation!$B$1</f>
        <v xml:space="preserve">Risikoausgleich </v>
      </c>
      <c r="D7363" s="2206" t="s">
        <v>2573</v>
      </c>
      <c r="E7363" s="1390" t="str">
        <f>Risk_Compensation!$D105</f>
        <v>MCR</v>
      </c>
      <c r="F7363" s="1390" t="str">
        <f>Risk_Compensation!$AB$86</f>
        <v>TI</v>
      </c>
      <c r="G7363" s="1390"/>
      <c r="H7363" s="1077">
        <f>Risk_Compensation!$AB105</f>
        <v>0</v>
      </c>
    </row>
    <row r="7364" spans="1:8" x14ac:dyDescent="0.2">
      <c r="A7364" s="1027"/>
      <c r="B7364" s="1083">
        <f>Risk_Compensation!A$1</f>
        <v>36</v>
      </c>
      <c r="C7364" s="1390" t="str">
        <f>Risk_Compensation!$B$1</f>
        <v xml:space="preserve">Risikoausgleich </v>
      </c>
      <c r="D7364" s="2206" t="s">
        <v>2573</v>
      </c>
      <c r="E7364" s="1390" t="str">
        <f>Risk_Compensation!$D106</f>
        <v>MSK</v>
      </c>
      <c r="F7364" s="1390" t="str">
        <f>Risk_Compensation!$AB$86</f>
        <v>TI</v>
      </c>
      <c r="G7364" s="1390"/>
      <c r="H7364" s="1077">
        <f>Risk_Compensation!$AB106</f>
        <v>0</v>
      </c>
    </row>
    <row r="7365" spans="1:8" x14ac:dyDescent="0.2">
      <c r="A7365" s="1027"/>
      <c r="B7365" s="1083">
        <f>Risk_Compensation!A$1</f>
        <v>36</v>
      </c>
      <c r="C7365" s="1390" t="str">
        <f>Risk_Compensation!$B$1</f>
        <v xml:space="preserve">Risikoausgleich </v>
      </c>
      <c r="D7365" s="2206" t="s">
        <v>2573</v>
      </c>
      <c r="E7365" s="1390" t="str">
        <f>Risk_Compensation!$D107</f>
        <v>NIE</v>
      </c>
      <c r="F7365" s="1390" t="str">
        <f>Risk_Compensation!$AB$86</f>
        <v>TI</v>
      </c>
      <c r="G7365" s="1390"/>
      <c r="H7365" s="1077">
        <f>Risk_Compensation!$AB107</f>
        <v>0</v>
      </c>
    </row>
    <row r="7366" spans="1:8" x14ac:dyDescent="0.2">
      <c r="A7366" s="1027"/>
      <c r="B7366" s="1083">
        <f>Risk_Compensation!A$1</f>
        <v>36</v>
      </c>
      <c r="C7366" s="1390" t="str">
        <f>Risk_Compensation!$B$1</f>
        <v xml:space="preserve">Risikoausgleich </v>
      </c>
      <c r="D7366" s="2206" t="s">
        <v>2573</v>
      </c>
      <c r="E7366" s="1390" t="str">
        <f>Risk_Compensation!$D108</f>
        <v>PAH</v>
      </c>
      <c r="F7366" s="1390" t="str">
        <f>Risk_Compensation!$AB$86</f>
        <v>TI</v>
      </c>
      <c r="G7366" s="1390"/>
      <c r="H7366" s="1077">
        <f>Risk_Compensation!$AB108</f>
        <v>0</v>
      </c>
    </row>
    <row r="7367" spans="1:8" x14ac:dyDescent="0.2">
      <c r="A7367" s="1027"/>
      <c r="B7367" s="1083">
        <f>Risk_Compensation!A$1</f>
        <v>36</v>
      </c>
      <c r="C7367" s="1390" t="str">
        <f>Risk_Compensation!$B$1</f>
        <v xml:space="preserve">Risikoausgleich </v>
      </c>
      <c r="D7367" s="2206" t="s">
        <v>2573</v>
      </c>
      <c r="E7367" s="1390" t="str">
        <f>Risk_Compensation!$D109</f>
        <v>PAR</v>
      </c>
      <c r="F7367" s="1390" t="str">
        <f>Risk_Compensation!$AB$86</f>
        <v>TI</v>
      </c>
      <c r="G7367" s="1390"/>
      <c r="H7367" s="1077">
        <f>Risk_Compensation!$AB109</f>
        <v>0</v>
      </c>
    </row>
    <row r="7368" spans="1:8" x14ac:dyDescent="0.2">
      <c r="A7368" s="1027"/>
      <c r="B7368" s="1083">
        <f>Risk_Compensation!A$1</f>
        <v>36</v>
      </c>
      <c r="C7368" s="1390" t="str">
        <f>Risk_Compensation!$B$1</f>
        <v xml:space="preserve">Risikoausgleich </v>
      </c>
      <c r="D7368" s="2206" t="s">
        <v>2573</v>
      </c>
      <c r="E7368" s="1390" t="str">
        <f>Risk_Compensation!$D110</f>
        <v>PSO</v>
      </c>
      <c r="F7368" s="1390" t="str">
        <f>Risk_Compensation!$AB$86</f>
        <v>TI</v>
      </c>
      <c r="G7368" s="1390"/>
      <c r="H7368" s="1077">
        <f>Risk_Compensation!$AB110</f>
        <v>0</v>
      </c>
    </row>
    <row r="7369" spans="1:8" x14ac:dyDescent="0.2">
      <c r="A7369" s="1027"/>
      <c r="B7369" s="1083">
        <f>Risk_Compensation!A$1</f>
        <v>36</v>
      </c>
      <c r="C7369" s="1390" t="str">
        <f>Risk_Compensation!$B$1</f>
        <v xml:space="preserve">Risikoausgleich </v>
      </c>
      <c r="D7369" s="2206" t="s">
        <v>2573</v>
      </c>
      <c r="E7369" s="1390" t="str">
        <f>Risk_Compensation!$D111</f>
        <v>PSY</v>
      </c>
      <c r="F7369" s="1390" t="str">
        <f>Risk_Compensation!$AB$86</f>
        <v>TI</v>
      </c>
      <c r="G7369" s="1390"/>
      <c r="H7369" s="1077">
        <f>Risk_Compensation!$AB111</f>
        <v>0</v>
      </c>
    </row>
    <row r="7370" spans="1:8" x14ac:dyDescent="0.2">
      <c r="A7370" s="1027"/>
      <c r="B7370" s="1083">
        <f>Risk_Compensation!A$1</f>
        <v>36</v>
      </c>
      <c r="C7370" s="1390" t="str">
        <f>Risk_Compensation!$B$1</f>
        <v xml:space="preserve">Risikoausgleich </v>
      </c>
      <c r="D7370" s="2206" t="s">
        <v>2573</v>
      </c>
      <c r="E7370" s="1390" t="str">
        <f>Risk_Compensation!$D112</f>
        <v>RHE</v>
      </c>
      <c r="F7370" s="1390" t="str">
        <f>Risk_Compensation!$AB$86</f>
        <v>TI</v>
      </c>
      <c r="G7370" s="1390"/>
      <c r="H7370" s="1077">
        <f>Risk_Compensation!$AB112</f>
        <v>0</v>
      </c>
    </row>
    <row r="7371" spans="1:8" x14ac:dyDescent="0.2">
      <c r="A7371" s="1027"/>
      <c r="B7371" s="1083">
        <f>Risk_Compensation!A$1</f>
        <v>36</v>
      </c>
      <c r="C7371" s="1390" t="str">
        <f>Risk_Compensation!$B$1</f>
        <v xml:space="preserve">Risikoausgleich </v>
      </c>
      <c r="D7371" s="2206" t="s">
        <v>2573</v>
      </c>
      <c r="E7371" s="1390" t="str">
        <f>Risk_Compensation!$D113</f>
        <v>SMC</v>
      </c>
      <c r="F7371" s="1390" t="str">
        <f>Risk_Compensation!$AB$86</f>
        <v>TI</v>
      </c>
      <c r="G7371" s="1390"/>
      <c r="H7371" s="1077">
        <f>Risk_Compensation!$AB113</f>
        <v>0</v>
      </c>
    </row>
    <row r="7372" spans="1:8" x14ac:dyDescent="0.2">
      <c r="A7372" s="1027"/>
      <c r="B7372" s="1083">
        <f>Risk_Compensation!A$1</f>
        <v>36</v>
      </c>
      <c r="C7372" s="1390" t="str">
        <f>Risk_Compensation!$B$1</f>
        <v xml:space="preserve">Risikoausgleich </v>
      </c>
      <c r="D7372" s="2206" t="s">
        <v>2573</v>
      </c>
      <c r="E7372" s="1390" t="str">
        <f>Risk_Compensation!$D114</f>
        <v>SMN</v>
      </c>
      <c r="F7372" s="1390" t="str">
        <f>Risk_Compensation!$AB$86</f>
        <v>TI</v>
      </c>
      <c r="G7372" s="1390"/>
      <c r="H7372" s="1077">
        <f>Risk_Compensation!$AB114</f>
        <v>0</v>
      </c>
    </row>
    <row r="7373" spans="1:8" x14ac:dyDescent="0.2">
      <c r="A7373" s="1027"/>
      <c r="B7373" s="1083">
        <f>Risk_Compensation!A$1</f>
        <v>36</v>
      </c>
      <c r="C7373" s="1390" t="str">
        <f>Risk_Compensation!$B$1</f>
        <v xml:space="preserve">Risikoausgleich </v>
      </c>
      <c r="D7373" s="2206" t="s">
        <v>2573</v>
      </c>
      <c r="E7373" s="1390" t="str">
        <f>Risk_Compensation!$D115</f>
        <v>THY</v>
      </c>
      <c r="F7373" s="1390" t="str">
        <f>Risk_Compensation!$AB$86</f>
        <v>TI</v>
      </c>
      <c r="G7373" s="1390"/>
      <c r="H7373" s="1077">
        <f>Risk_Compensation!$AB115</f>
        <v>0</v>
      </c>
    </row>
    <row r="7374" spans="1:8" x14ac:dyDescent="0.2">
      <c r="A7374" s="1027"/>
      <c r="B7374" s="1083">
        <f>Risk_Compensation!A$1</f>
        <v>36</v>
      </c>
      <c r="C7374" s="1390" t="str">
        <f>Risk_Compensation!$B$1</f>
        <v xml:space="preserve">Risikoausgleich </v>
      </c>
      <c r="D7374" s="2206" t="s">
        <v>2573</v>
      </c>
      <c r="E7374" s="1390" t="str">
        <f>Risk_Compensation!$D116</f>
        <v>TRA</v>
      </c>
      <c r="F7374" s="1390" t="str">
        <f>Risk_Compensation!$AB$86</f>
        <v>TI</v>
      </c>
      <c r="G7374" s="1390"/>
      <c r="H7374" s="1077">
        <f>Risk_Compensation!$AB116</f>
        <v>0</v>
      </c>
    </row>
    <row r="7375" spans="1:8" x14ac:dyDescent="0.2">
      <c r="A7375" s="1027"/>
      <c r="B7375" s="1083">
        <f>Risk_Compensation!A$1</f>
        <v>36</v>
      </c>
      <c r="C7375" s="1390" t="str">
        <f>Risk_Compensation!$B$1</f>
        <v xml:space="preserve">Risikoausgleich </v>
      </c>
      <c r="D7375" s="2206" t="s">
        <v>2573</v>
      </c>
      <c r="E7375" s="1390" t="str">
        <f>Risk_Compensation!$D117</f>
        <v>WAS</v>
      </c>
      <c r="F7375" s="1390" t="str">
        <f>Risk_Compensation!$AB$86</f>
        <v>TI</v>
      </c>
      <c r="G7375" s="1390"/>
      <c r="H7375" s="1077">
        <f>Risk_Compensation!$AB117</f>
        <v>0</v>
      </c>
    </row>
    <row r="7376" spans="1:8" x14ac:dyDescent="0.2">
      <c r="A7376" s="1027"/>
      <c r="B7376" s="1083">
        <f>Risk_Compensation!A$1</f>
        <v>36</v>
      </c>
      <c r="C7376" s="1390" t="str">
        <f>Risk_Compensation!$B$1</f>
        <v xml:space="preserve">Risikoausgleich </v>
      </c>
      <c r="D7376" s="2206" t="s">
        <v>2573</v>
      </c>
      <c r="E7376" s="1390" t="str">
        <f>Risk_Compensation!$D118</f>
        <v>ZFP</v>
      </c>
      <c r="F7376" s="1390" t="str">
        <f>Risk_Compensation!$AB$86</f>
        <v>TI</v>
      </c>
      <c r="G7376" s="1390"/>
      <c r="H7376" s="1077">
        <f>Risk_Compensation!$AB118</f>
        <v>0</v>
      </c>
    </row>
    <row r="7377" spans="1:8" x14ac:dyDescent="0.2">
      <c r="A7377" s="1027"/>
      <c r="B7377" s="1083">
        <f>Risk_Compensation!A$1</f>
        <v>36</v>
      </c>
      <c r="C7377" s="1390" t="str">
        <f>Risk_Compensation!$B$1</f>
        <v xml:space="preserve">Risikoausgleich </v>
      </c>
      <c r="D7377" s="2206" t="s">
        <v>2573</v>
      </c>
      <c r="E7377" s="1390" t="str">
        <f>Risk_Compensation!$D119</f>
        <v>ZNS</v>
      </c>
      <c r="F7377" s="1390" t="str">
        <f>Risk_Compensation!$AB$86</f>
        <v>TI</v>
      </c>
      <c r="G7377" s="1390"/>
      <c r="H7377" s="1077">
        <f>Risk_Compensation!$AB119</f>
        <v>0</v>
      </c>
    </row>
    <row r="7378" spans="1:8" x14ac:dyDescent="0.2">
      <c r="A7378" s="1027"/>
      <c r="B7378" s="1083">
        <f>Risk_Compensation!A$1</f>
        <v>36</v>
      </c>
      <c r="C7378" s="1390" t="str">
        <f>Risk_Compensation!$B$1</f>
        <v xml:space="preserve">Risikoausgleich </v>
      </c>
      <c r="D7378" s="2206" t="s">
        <v>2573</v>
      </c>
      <c r="E7378" s="1390" t="str">
        <f>Risk_Compensation!$D120</f>
        <v>DM2 + hyp</v>
      </c>
      <c r="F7378" s="1390" t="str">
        <f>Risk_Compensation!$AB$86</f>
        <v>TI</v>
      </c>
      <c r="G7378" s="1390"/>
      <c r="H7378" s="1077">
        <f>Risk_Compensation!$AB120</f>
        <v>0</v>
      </c>
    </row>
    <row r="7379" spans="1:8" x14ac:dyDescent="0.2">
      <c r="A7379" s="1027"/>
      <c r="B7379" s="2174"/>
      <c r="C7379" s="1390"/>
      <c r="D7379" s="2175"/>
      <c r="E7379" s="2176"/>
      <c r="F7379" s="1390"/>
      <c r="G7379" s="1390"/>
      <c r="H7379" s="1078"/>
    </row>
    <row r="7380" spans="1:8" x14ac:dyDescent="0.2">
      <c r="A7380" s="1027"/>
      <c r="B7380" s="1083">
        <f>Risk_Compensation!A$1</f>
        <v>36</v>
      </c>
      <c r="C7380" s="1390" t="str">
        <f>Risk_Compensation!$B$1</f>
        <v xml:space="preserve">Risikoausgleich </v>
      </c>
      <c r="D7380" s="2206" t="s">
        <v>2573</v>
      </c>
      <c r="E7380" s="1390" t="str">
        <f>Risk_Compensation!$D87</f>
        <v>ABH</v>
      </c>
      <c r="F7380" s="1390" t="str">
        <f>Risk_Compensation!$AC$86</f>
        <v>UR</v>
      </c>
      <c r="G7380" s="1390"/>
      <c r="H7380" s="1077">
        <f>Risk_Compensation!$AC87</f>
        <v>0</v>
      </c>
    </row>
    <row r="7381" spans="1:8" x14ac:dyDescent="0.2">
      <c r="A7381" s="1027"/>
      <c r="B7381" s="1083">
        <f>Risk_Compensation!A$1</f>
        <v>36</v>
      </c>
      <c r="C7381" s="1390" t="str">
        <f>Risk_Compensation!$B$1</f>
        <v xml:space="preserve">Risikoausgleich </v>
      </c>
      <c r="D7381" s="2206" t="s">
        <v>2573</v>
      </c>
      <c r="E7381" s="1390" t="str">
        <f>Risk_Compensation!$D88</f>
        <v>ADH</v>
      </c>
      <c r="F7381" s="1390" t="str">
        <f>Risk_Compensation!$AC$86</f>
        <v>UR</v>
      </c>
      <c r="G7381" s="1390"/>
      <c r="H7381" s="1077">
        <f>Risk_Compensation!$AC88</f>
        <v>0</v>
      </c>
    </row>
    <row r="7382" spans="1:8" x14ac:dyDescent="0.2">
      <c r="A7382" s="1027"/>
      <c r="B7382" s="1083">
        <f>Risk_Compensation!A$1</f>
        <v>36</v>
      </c>
      <c r="C7382" s="1390" t="str">
        <f>Risk_Compensation!$B$1</f>
        <v xml:space="preserve">Risikoausgleich </v>
      </c>
      <c r="D7382" s="2206" t="s">
        <v>2573</v>
      </c>
      <c r="E7382" s="1390" t="str">
        <f>Risk_Compensation!$D89</f>
        <v>AIK</v>
      </c>
      <c r="F7382" s="1390" t="str">
        <f>Risk_Compensation!$AC$86</f>
        <v>UR</v>
      </c>
      <c r="G7382" s="1390"/>
      <c r="H7382" s="1077">
        <f>Risk_Compensation!$AC89</f>
        <v>0</v>
      </c>
    </row>
    <row r="7383" spans="1:8" x14ac:dyDescent="0.2">
      <c r="A7383" s="1027"/>
      <c r="B7383" s="1083">
        <f>Risk_Compensation!A$1</f>
        <v>36</v>
      </c>
      <c r="C7383" s="1390" t="str">
        <f>Risk_Compensation!$B$1</f>
        <v xml:space="preserve">Risikoausgleich </v>
      </c>
      <c r="D7383" s="2206" t="s">
        <v>2573</v>
      </c>
      <c r="E7383" s="1390" t="str">
        <f>Risk_Compensation!$D90</f>
        <v>ALZ</v>
      </c>
      <c r="F7383" s="1390" t="str">
        <f>Risk_Compensation!$AC$86</f>
        <v>UR</v>
      </c>
      <c r="G7383" s="1390"/>
      <c r="H7383" s="1077">
        <f>Risk_Compensation!$AC90</f>
        <v>0</v>
      </c>
    </row>
    <row r="7384" spans="1:8" x14ac:dyDescent="0.2">
      <c r="A7384" s="1027"/>
      <c r="B7384" s="1083">
        <f>Risk_Compensation!A$1</f>
        <v>36</v>
      </c>
      <c r="C7384" s="1390" t="str">
        <f>Risk_Compensation!$B$1</f>
        <v xml:space="preserve">Risikoausgleich </v>
      </c>
      <c r="D7384" s="2206" t="s">
        <v>2573</v>
      </c>
      <c r="E7384" s="1390" t="str">
        <f>Risk_Compensation!$D91</f>
        <v>AST</v>
      </c>
      <c r="F7384" s="1390" t="str">
        <f>Risk_Compensation!$AC$86</f>
        <v>UR</v>
      </c>
      <c r="G7384" s="1390"/>
      <c r="H7384" s="1077">
        <f>Risk_Compensation!$AC91</f>
        <v>0</v>
      </c>
    </row>
    <row r="7385" spans="1:8" x14ac:dyDescent="0.2">
      <c r="A7385" s="1027"/>
      <c r="B7385" s="1083">
        <f>Risk_Compensation!A$1</f>
        <v>36</v>
      </c>
      <c r="C7385" s="1390" t="str">
        <f>Risk_Compensation!$B$1</f>
        <v xml:space="preserve">Risikoausgleich </v>
      </c>
      <c r="D7385" s="2206" t="s">
        <v>2573</v>
      </c>
      <c r="E7385" s="1390" t="str">
        <f>Risk_Compensation!$D92</f>
        <v>BSR</v>
      </c>
      <c r="F7385" s="1390" t="str">
        <f>Risk_Compensation!$AC$86</f>
        <v>UR</v>
      </c>
      <c r="G7385" s="1390"/>
      <c r="H7385" s="1077">
        <f>Risk_Compensation!$AC92</f>
        <v>0</v>
      </c>
    </row>
    <row r="7386" spans="1:8" x14ac:dyDescent="0.2">
      <c r="A7386" s="1027"/>
      <c r="B7386" s="1083">
        <f>Risk_Compensation!A$1</f>
        <v>36</v>
      </c>
      <c r="C7386" s="1390" t="str">
        <f>Risk_Compensation!$B$1</f>
        <v xml:space="preserve">Risikoausgleich </v>
      </c>
      <c r="D7386" s="2206" t="s">
        <v>2573</v>
      </c>
      <c r="E7386" s="1390" t="str">
        <f>Risk_Compensation!$D93</f>
        <v>CAR</v>
      </c>
      <c r="F7386" s="1390" t="str">
        <f>Risk_Compensation!$AC$86</f>
        <v>UR</v>
      </c>
      <c r="G7386" s="1390"/>
      <c r="H7386" s="1077">
        <f>Risk_Compensation!$AC93</f>
        <v>0</v>
      </c>
    </row>
    <row r="7387" spans="1:8" x14ac:dyDescent="0.2">
      <c r="A7387" s="1027"/>
      <c r="B7387" s="1083">
        <f>Risk_Compensation!A$1</f>
        <v>36</v>
      </c>
      <c r="C7387" s="1390" t="str">
        <f>Risk_Compensation!$B$1</f>
        <v xml:space="preserve">Risikoausgleich </v>
      </c>
      <c r="D7387" s="2206" t="s">
        <v>2573</v>
      </c>
      <c r="E7387" s="1390" t="str">
        <f>Risk_Compensation!$D94</f>
        <v>COP</v>
      </c>
      <c r="F7387" s="1390" t="str">
        <f>Risk_Compensation!$AC$86</f>
        <v>UR</v>
      </c>
      <c r="G7387" s="1390"/>
      <c r="H7387" s="1077">
        <f>Risk_Compensation!$AC94</f>
        <v>0</v>
      </c>
    </row>
    <row r="7388" spans="1:8" x14ac:dyDescent="0.2">
      <c r="A7388" s="1027"/>
      <c r="B7388" s="1083">
        <f>Risk_Compensation!A$1</f>
        <v>36</v>
      </c>
      <c r="C7388" s="1390" t="str">
        <f>Risk_Compensation!$B$1</f>
        <v xml:space="preserve">Risikoausgleich </v>
      </c>
      <c r="D7388" s="2206" t="s">
        <v>2573</v>
      </c>
      <c r="E7388" s="1390" t="str">
        <f>Risk_Compensation!$D95</f>
        <v>DEP</v>
      </c>
      <c r="F7388" s="1390" t="str">
        <f>Risk_Compensation!$AC$86</f>
        <v>UR</v>
      </c>
      <c r="G7388" s="1390"/>
      <c r="H7388" s="1077">
        <f>Risk_Compensation!$AC95</f>
        <v>0</v>
      </c>
    </row>
    <row r="7389" spans="1:8" x14ac:dyDescent="0.2">
      <c r="A7389" s="1027"/>
      <c r="B7389" s="1083">
        <f>Risk_Compensation!A$1</f>
        <v>36</v>
      </c>
      <c r="C7389" s="1390" t="str">
        <f>Risk_Compensation!$B$1</f>
        <v xml:space="preserve">Risikoausgleich </v>
      </c>
      <c r="D7389" s="2206" t="s">
        <v>2573</v>
      </c>
      <c r="E7389" s="1390" t="str">
        <f>Risk_Compensation!$D96</f>
        <v>DM1</v>
      </c>
      <c r="F7389" s="1390" t="str">
        <f>Risk_Compensation!$AC$86</f>
        <v>UR</v>
      </c>
      <c r="G7389" s="1390"/>
      <c r="H7389" s="1077">
        <f>Risk_Compensation!$AC96</f>
        <v>0</v>
      </c>
    </row>
    <row r="7390" spans="1:8" x14ac:dyDescent="0.2">
      <c r="A7390" s="1027"/>
      <c r="B7390" s="1083">
        <f>Risk_Compensation!A$1</f>
        <v>36</v>
      </c>
      <c r="C7390" s="1390" t="str">
        <f>Risk_Compensation!$B$1</f>
        <v xml:space="preserve">Risikoausgleich </v>
      </c>
      <c r="D7390" s="2206" t="s">
        <v>2573</v>
      </c>
      <c r="E7390" s="1390" t="str">
        <f>Risk_Compensation!$D97</f>
        <v>DM2</v>
      </c>
      <c r="F7390" s="1390" t="str">
        <f>Risk_Compensation!$AC$86</f>
        <v>UR</v>
      </c>
      <c r="G7390" s="1390"/>
      <c r="H7390" s="1077">
        <f>Risk_Compensation!$AC97</f>
        <v>0</v>
      </c>
    </row>
    <row r="7391" spans="1:8" x14ac:dyDescent="0.2">
      <c r="A7391" s="1027"/>
      <c r="B7391" s="1083">
        <f>Risk_Compensation!A$1</f>
        <v>36</v>
      </c>
      <c r="C7391" s="1390" t="str">
        <f>Risk_Compensation!$B$1</f>
        <v xml:space="preserve">Risikoausgleich </v>
      </c>
      <c r="D7391" s="2206" t="s">
        <v>2573</v>
      </c>
      <c r="E7391" s="1390" t="str">
        <f>Risk_Compensation!$D98</f>
        <v>EPI</v>
      </c>
      <c r="F7391" s="1390" t="str">
        <f>Risk_Compensation!$AC$86</f>
        <v>UR</v>
      </c>
      <c r="G7391" s="1390"/>
      <c r="H7391" s="1077">
        <f>Risk_Compensation!$AC98</f>
        <v>0</v>
      </c>
    </row>
    <row r="7392" spans="1:8" x14ac:dyDescent="0.2">
      <c r="A7392" s="1027"/>
      <c r="B7392" s="1083">
        <f>Risk_Compensation!A$1</f>
        <v>36</v>
      </c>
      <c r="C7392" s="1390" t="str">
        <f>Risk_Compensation!$B$1</f>
        <v xml:space="preserve">Risikoausgleich </v>
      </c>
      <c r="D7392" s="2206" t="s">
        <v>2573</v>
      </c>
      <c r="E7392" s="1390" t="str">
        <f>Risk_Compensation!$D99</f>
        <v>GLA</v>
      </c>
      <c r="F7392" s="1390" t="str">
        <f>Risk_Compensation!$AC$86</f>
        <v>UR</v>
      </c>
      <c r="G7392" s="1390"/>
      <c r="H7392" s="1077">
        <f>Risk_Compensation!$AC99</f>
        <v>0</v>
      </c>
    </row>
    <row r="7393" spans="1:8" x14ac:dyDescent="0.2">
      <c r="A7393" s="1027"/>
      <c r="B7393" s="1083">
        <f>Risk_Compensation!A$1</f>
        <v>36</v>
      </c>
      <c r="C7393" s="1390" t="str">
        <f>Risk_Compensation!$B$1</f>
        <v xml:space="preserve">Risikoausgleich </v>
      </c>
      <c r="D7393" s="2206" t="s">
        <v>2573</v>
      </c>
      <c r="E7393" s="1390" t="str">
        <f>Risk_Compensation!$D100</f>
        <v>HCH</v>
      </c>
      <c r="F7393" s="1390" t="str">
        <f>Risk_Compensation!$AC$86</f>
        <v>UR</v>
      </c>
      <c r="G7393" s="1390"/>
      <c r="H7393" s="1077">
        <f>Risk_Compensation!$AC100</f>
        <v>0</v>
      </c>
    </row>
    <row r="7394" spans="1:8" x14ac:dyDescent="0.2">
      <c r="A7394" s="1027"/>
      <c r="B7394" s="1083">
        <f>Risk_Compensation!A$1</f>
        <v>36</v>
      </c>
      <c r="C7394" s="1390" t="str">
        <f>Risk_Compensation!$B$1</f>
        <v xml:space="preserve">Risikoausgleich </v>
      </c>
      <c r="D7394" s="2206" t="s">
        <v>2573</v>
      </c>
      <c r="E7394" s="1390" t="str">
        <f>Risk_Compensation!$D101</f>
        <v>HIV</v>
      </c>
      <c r="F7394" s="1390" t="str">
        <f>Risk_Compensation!$AC$86</f>
        <v>UR</v>
      </c>
      <c r="G7394" s="1390"/>
      <c r="H7394" s="1077">
        <f>Risk_Compensation!$AC101</f>
        <v>0</v>
      </c>
    </row>
    <row r="7395" spans="1:8" x14ac:dyDescent="0.2">
      <c r="A7395" s="1027"/>
      <c r="B7395" s="1083">
        <f>Risk_Compensation!A$1</f>
        <v>36</v>
      </c>
      <c r="C7395" s="1390" t="str">
        <f>Risk_Compensation!$B$1</f>
        <v xml:space="preserve">Risikoausgleich </v>
      </c>
      <c r="D7395" s="2206" t="s">
        <v>2573</v>
      </c>
      <c r="E7395" s="1390" t="str">
        <f>Risk_Compensation!$D102</f>
        <v>KHO</v>
      </c>
      <c r="F7395" s="1390" t="str">
        <f>Risk_Compensation!$AC$86</f>
        <v>UR</v>
      </c>
      <c r="G7395" s="1390"/>
      <c r="H7395" s="1077">
        <f>Risk_Compensation!$AC102</f>
        <v>0</v>
      </c>
    </row>
    <row r="7396" spans="1:8" x14ac:dyDescent="0.2">
      <c r="A7396" s="1027"/>
      <c r="B7396" s="1083">
        <f>Risk_Compensation!A$1</f>
        <v>36</v>
      </c>
      <c r="C7396" s="1390" t="str">
        <f>Risk_Compensation!$B$1</f>
        <v xml:space="preserve">Risikoausgleich </v>
      </c>
      <c r="D7396" s="2206" t="s">
        <v>2573</v>
      </c>
      <c r="E7396" s="1390" t="str">
        <f>Risk_Compensation!$D103</f>
        <v>KRE</v>
      </c>
      <c r="F7396" s="1390" t="str">
        <f>Risk_Compensation!$AC$86</f>
        <v>UR</v>
      </c>
      <c r="G7396" s="1390"/>
      <c r="H7396" s="1077">
        <f>Risk_Compensation!$AC103</f>
        <v>0</v>
      </c>
    </row>
    <row r="7397" spans="1:8" x14ac:dyDescent="0.2">
      <c r="A7397" s="1027"/>
      <c r="B7397" s="1083">
        <f>Risk_Compensation!A$1</f>
        <v>36</v>
      </c>
      <c r="C7397" s="1390" t="str">
        <f>Risk_Compensation!$B$1</f>
        <v xml:space="preserve">Risikoausgleich </v>
      </c>
      <c r="D7397" s="2206" t="s">
        <v>2573</v>
      </c>
      <c r="E7397" s="1390" t="str">
        <f>Risk_Compensation!$D104</f>
        <v>KRK</v>
      </c>
      <c r="F7397" s="1390" t="str">
        <f>Risk_Compensation!$AC$86</f>
        <v>UR</v>
      </c>
      <c r="G7397" s="1390"/>
      <c r="H7397" s="1077">
        <f>Risk_Compensation!$AC104</f>
        <v>0</v>
      </c>
    </row>
    <row r="7398" spans="1:8" x14ac:dyDescent="0.2">
      <c r="A7398" s="1027"/>
      <c r="B7398" s="1083">
        <f>Risk_Compensation!A$1</f>
        <v>36</v>
      </c>
      <c r="C7398" s="1390" t="str">
        <f>Risk_Compensation!$B$1</f>
        <v xml:space="preserve">Risikoausgleich </v>
      </c>
      <c r="D7398" s="2206" t="s">
        <v>2573</v>
      </c>
      <c r="E7398" s="1390" t="str">
        <f>Risk_Compensation!$D105</f>
        <v>MCR</v>
      </c>
      <c r="F7398" s="1390" t="str">
        <f>Risk_Compensation!$AC$86</f>
        <v>UR</v>
      </c>
      <c r="G7398" s="1390"/>
      <c r="H7398" s="1077">
        <f>Risk_Compensation!$AC105</f>
        <v>0</v>
      </c>
    </row>
    <row r="7399" spans="1:8" x14ac:dyDescent="0.2">
      <c r="A7399" s="1027"/>
      <c r="B7399" s="1083">
        <f>Risk_Compensation!A$1</f>
        <v>36</v>
      </c>
      <c r="C7399" s="1390" t="str">
        <f>Risk_Compensation!$B$1</f>
        <v xml:space="preserve">Risikoausgleich </v>
      </c>
      <c r="D7399" s="2206" t="s">
        <v>2573</v>
      </c>
      <c r="E7399" s="1390" t="str">
        <f>Risk_Compensation!$D106</f>
        <v>MSK</v>
      </c>
      <c r="F7399" s="1390" t="str">
        <f>Risk_Compensation!$AC$86</f>
        <v>UR</v>
      </c>
      <c r="G7399" s="1390"/>
      <c r="H7399" s="1077">
        <f>Risk_Compensation!$AC106</f>
        <v>0</v>
      </c>
    </row>
    <row r="7400" spans="1:8" x14ac:dyDescent="0.2">
      <c r="A7400" s="1027"/>
      <c r="B7400" s="1083">
        <f>Risk_Compensation!A$1</f>
        <v>36</v>
      </c>
      <c r="C7400" s="1390" t="str">
        <f>Risk_Compensation!$B$1</f>
        <v xml:space="preserve">Risikoausgleich </v>
      </c>
      <c r="D7400" s="2206" t="s">
        <v>2573</v>
      </c>
      <c r="E7400" s="1390" t="str">
        <f>Risk_Compensation!$D107</f>
        <v>NIE</v>
      </c>
      <c r="F7400" s="1390" t="str">
        <f>Risk_Compensation!$AC$86</f>
        <v>UR</v>
      </c>
      <c r="G7400" s="1390"/>
      <c r="H7400" s="1077">
        <f>Risk_Compensation!$AC107</f>
        <v>0</v>
      </c>
    </row>
    <row r="7401" spans="1:8" x14ac:dyDescent="0.2">
      <c r="A7401" s="1027"/>
      <c r="B7401" s="1083">
        <f>Risk_Compensation!A$1</f>
        <v>36</v>
      </c>
      <c r="C7401" s="1390" t="str">
        <f>Risk_Compensation!$B$1</f>
        <v xml:space="preserve">Risikoausgleich </v>
      </c>
      <c r="D7401" s="2206" t="s">
        <v>2573</v>
      </c>
      <c r="E7401" s="1390" t="str">
        <f>Risk_Compensation!$D108</f>
        <v>PAH</v>
      </c>
      <c r="F7401" s="1390" t="str">
        <f>Risk_Compensation!$AC$86</f>
        <v>UR</v>
      </c>
      <c r="G7401" s="1390"/>
      <c r="H7401" s="1077">
        <f>Risk_Compensation!$AC108</f>
        <v>0</v>
      </c>
    </row>
    <row r="7402" spans="1:8" x14ac:dyDescent="0.2">
      <c r="A7402" s="1027"/>
      <c r="B7402" s="1083">
        <f>Risk_Compensation!A$1</f>
        <v>36</v>
      </c>
      <c r="C7402" s="1390" t="str">
        <f>Risk_Compensation!$B$1</f>
        <v xml:space="preserve">Risikoausgleich </v>
      </c>
      <c r="D7402" s="2206" t="s">
        <v>2573</v>
      </c>
      <c r="E7402" s="1390" t="str">
        <f>Risk_Compensation!$D109</f>
        <v>PAR</v>
      </c>
      <c r="F7402" s="1390" t="str">
        <f>Risk_Compensation!$AC$86</f>
        <v>UR</v>
      </c>
      <c r="G7402" s="1390"/>
      <c r="H7402" s="1077">
        <f>Risk_Compensation!$AC109</f>
        <v>0</v>
      </c>
    </row>
    <row r="7403" spans="1:8" x14ac:dyDescent="0.2">
      <c r="A7403" s="1027"/>
      <c r="B7403" s="1083">
        <f>Risk_Compensation!A$1</f>
        <v>36</v>
      </c>
      <c r="C7403" s="1390" t="str">
        <f>Risk_Compensation!$B$1</f>
        <v xml:space="preserve">Risikoausgleich </v>
      </c>
      <c r="D7403" s="2206" t="s">
        <v>2573</v>
      </c>
      <c r="E7403" s="1390" t="str">
        <f>Risk_Compensation!$D110</f>
        <v>PSO</v>
      </c>
      <c r="F7403" s="1390" t="str">
        <f>Risk_Compensation!$AC$86</f>
        <v>UR</v>
      </c>
      <c r="G7403" s="1390"/>
      <c r="H7403" s="1077">
        <f>Risk_Compensation!$AC110</f>
        <v>0</v>
      </c>
    </row>
    <row r="7404" spans="1:8" x14ac:dyDescent="0.2">
      <c r="A7404" s="1027"/>
      <c r="B7404" s="1083">
        <f>Risk_Compensation!A$1</f>
        <v>36</v>
      </c>
      <c r="C7404" s="1390" t="str">
        <f>Risk_Compensation!$B$1</f>
        <v xml:space="preserve">Risikoausgleich </v>
      </c>
      <c r="D7404" s="2206" t="s">
        <v>2573</v>
      </c>
      <c r="E7404" s="1390" t="str">
        <f>Risk_Compensation!$D111</f>
        <v>PSY</v>
      </c>
      <c r="F7404" s="1390" t="str">
        <f>Risk_Compensation!$AC$86</f>
        <v>UR</v>
      </c>
      <c r="G7404" s="1390"/>
      <c r="H7404" s="1077">
        <f>Risk_Compensation!$AC111</f>
        <v>0</v>
      </c>
    </row>
    <row r="7405" spans="1:8" x14ac:dyDescent="0.2">
      <c r="A7405" s="1027"/>
      <c r="B7405" s="1083">
        <f>Risk_Compensation!A$1</f>
        <v>36</v>
      </c>
      <c r="C7405" s="1390" t="str">
        <f>Risk_Compensation!$B$1</f>
        <v xml:space="preserve">Risikoausgleich </v>
      </c>
      <c r="D7405" s="2206" t="s">
        <v>2573</v>
      </c>
      <c r="E7405" s="1390" t="str">
        <f>Risk_Compensation!$D112</f>
        <v>RHE</v>
      </c>
      <c r="F7405" s="1390" t="str">
        <f>Risk_Compensation!$AC$86</f>
        <v>UR</v>
      </c>
      <c r="G7405" s="1390"/>
      <c r="H7405" s="1077">
        <f>Risk_Compensation!$AC112</f>
        <v>0</v>
      </c>
    </row>
    <row r="7406" spans="1:8" x14ac:dyDescent="0.2">
      <c r="A7406" s="1027"/>
      <c r="B7406" s="1083">
        <f>Risk_Compensation!A$1</f>
        <v>36</v>
      </c>
      <c r="C7406" s="1390" t="str">
        <f>Risk_Compensation!$B$1</f>
        <v xml:space="preserve">Risikoausgleich </v>
      </c>
      <c r="D7406" s="2206" t="s">
        <v>2573</v>
      </c>
      <c r="E7406" s="1390" t="str">
        <f>Risk_Compensation!$D113</f>
        <v>SMC</v>
      </c>
      <c r="F7406" s="1390" t="str">
        <f>Risk_Compensation!$AC$86</f>
        <v>UR</v>
      </c>
      <c r="G7406" s="1390"/>
      <c r="H7406" s="1077">
        <f>Risk_Compensation!$AC113</f>
        <v>0</v>
      </c>
    </row>
    <row r="7407" spans="1:8" x14ac:dyDescent="0.2">
      <c r="A7407" s="1027"/>
      <c r="B7407" s="1083">
        <f>Risk_Compensation!A$1</f>
        <v>36</v>
      </c>
      <c r="C7407" s="1390" t="str">
        <f>Risk_Compensation!$B$1</f>
        <v xml:space="preserve">Risikoausgleich </v>
      </c>
      <c r="D7407" s="2206" t="s">
        <v>2573</v>
      </c>
      <c r="E7407" s="1390" t="str">
        <f>Risk_Compensation!$D114</f>
        <v>SMN</v>
      </c>
      <c r="F7407" s="1390" t="str">
        <f>Risk_Compensation!$AC$86</f>
        <v>UR</v>
      </c>
      <c r="G7407" s="1390"/>
      <c r="H7407" s="1077">
        <f>Risk_Compensation!$AC114</f>
        <v>0</v>
      </c>
    </row>
    <row r="7408" spans="1:8" x14ac:dyDescent="0.2">
      <c r="A7408" s="1027"/>
      <c r="B7408" s="1083">
        <f>Risk_Compensation!A$1</f>
        <v>36</v>
      </c>
      <c r="C7408" s="1390" t="str">
        <f>Risk_Compensation!$B$1</f>
        <v xml:space="preserve">Risikoausgleich </v>
      </c>
      <c r="D7408" s="2206" t="s">
        <v>2573</v>
      </c>
      <c r="E7408" s="1390" t="str">
        <f>Risk_Compensation!$D115</f>
        <v>THY</v>
      </c>
      <c r="F7408" s="1390" t="str">
        <f>Risk_Compensation!$AC$86</f>
        <v>UR</v>
      </c>
      <c r="G7408" s="1390"/>
      <c r="H7408" s="1077">
        <f>Risk_Compensation!$AC115</f>
        <v>0</v>
      </c>
    </row>
    <row r="7409" spans="1:8" x14ac:dyDescent="0.2">
      <c r="A7409" s="1027"/>
      <c r="B7409" s="1083">
        <f>Risk_Compensation!A$1</f>
        <v>36</v>
      </c>
      <c r="C7409" s="1390" t="str">
        <f>Risk_Compensation!$B$1</f>
        <v xml:space="preserve">Risikoausgleich </v>
      </c>
      <c r="D7409" s="2206" t="s">
        <v>2573</v>
      </c>
      <c r="E7409" s="1390" t="str">
        <f>Risk_Compensation!$D116</f>
        <v>TRA</v>
      </c>
      <c r="F7409" s="1390" t="str">
        <f>Risk_Compensation!$AC$86</f>
        <v>UR</v>
      </c>
      <c r="G7409" s="1390"/>
      <c r="H7409" s="1077">
        <f>Risk_Compensation!$AC116</f>
        <v>0</v>
      </c>
    </row>
    <row r="7410" spans="1:8" x14ac:dyDescent="0.2">
      <c r="A7410" s="1027"/>
      <c r="B7410" s="1083">
        <f>Risk_Compensation!A$1</f>
        <v>36</v>
      </c>
      <c r="C7410" s="1390" t="str">
        <f>Risk_Compensation!$B$1</f>
        <v xml:space="preserve">Risikoausgleich </v>
      </c>
      <c r="D7410" s="2206" t="s">
        <v>2573</v>
      </c>
      <c r="E7410" s="1390" t="str">
        <f>Risk_Compensation!$D117</f>
        <v>WAS</v>
      </c>
      <c r="F7410" s="1390" t="str">
        <f>Risk_Compensation!$AC$86</f>
        <v>UR</v>
      </c>
      <c r="G7410" s="1390"/>
      <c r="H7410" s="1077">
        <f>Risk_Compensation!$AC117</f>
        <v>0</v>
      </c>
    </row>
    <row r="7411" spans="1:8" x14ac:dyDescent="0.2">
      <c r="A7411" s="1027"/>
      <c r="B7411" s="1083">
        <f>Risk_Compensation!A$1</f>
        <v>36</v>
      </c>
      <c r="C7411" s="1390" t="str">
        <f>Risk_Compensation!$B$1</f>
        <v xml:space="preserve">Risikoausgleich </v>
      </c>
      <c r="D7411" s="2206" t="s">
        <v>2573</v>
      </c>
      <c r="E7411" s="1390" t="str">
        <f>Risk_Compensation!$D118</f>
        <v>ZFP</v>
      </c>
      <c r="F7411" s="1390" t="str">
        <f>Risk_Compensation!$AC$86</f>
        <v>UR</v>
      </c>
      <c r="G7411" s="1390"/>
      <c r="H7411" s="1077">
        <f>Risk_Compensation!$AC118</f>
        <v>0</v>
      </c>
    </row>
    <row r="7412" spans="1:8" x14ac:dyDescent="0.2">
      <c r="A7412" s="1027"/>
      <c r="B7412" s="1083">
        <f>Risk_Compensation!A$1</f>
        <v>36</v>
      </c>
      <c r="C7412" s="1390" t="str">
        <f>Risk_Compensation!$B$1</f>
        <v xml:space="preserve">Risikoausgleich </v>
      </c>
      <c r="D7412" s="2206" t="s">
        <v>2573</v>
      </c>
      <c r="E7412" s="1390" t="str">
        <f>Risk_Compensation!$D119</f>
        <v>ZNS</v>
      </c>
      <c r="F7412" s="1390" t="str">
        <f>Risk_Compensation!$AC$86</f>
        <v>UR</v>
      </c>
      <c r="G7412" s="1390"/>
      <c r="H7412" s="1077">
        <f>Risk_Compensation!$AC119</f>
        <v>0</v>
      </c>
    </row>
    <row r="7413" spans="1:8" x14ac:dyDescent="0.2">
      <c r="A7413" s="1027"/>
      <c r="B7413" s="1083">
        <f>Risk_Compensation!A$1</f>
        <v>36</v>
      </c>
      <c r="C7413" s="1390" t="str">
        <f>Risk_Compensation!$B$1</f>
        <v xml:space="preserve">Risikoausgleich </v>
      </c>
      <c r="D7413" s="2206" t="s">
        <v>2573</v>
      </c>
      <c r="E7413" s="1390" t="str">
        <f>Risk_Compensation!$D120</f>
        <v>DM2 + hyp</v>
      </c>
      <c r="F7413" s="1390" t="str">
        <f>Risk_Compensation!$AC$86</f>
        <v>UR</v>
      </c>
      <c r="G7413" s="1390"/>
      <c r="H7413" s="1077">
        <f>Risk_Compensation!$AC120</f>
        <v>0</v>
      </c>
    </row>
    <row r="7414" spans="1:8" x14ac:dyDescent="0.2">
      <c r="A7414" s="1027"/>
      <c r="B7414" s="2174"/>
      <c r="C7414" s="1390"/>
      <c r="D7414" s="2175"/>
      <c r="E7414" s="2176"/>
      <c r="F7414" s="1390"/>
      <c r="G7414" s="1390"/>
      <c r="H7414" s="1078"/>
    </row>
    <row r="7415" spans="1:8" x14ac:dyDescent="0.2">
      <c r="A7415" s="1027"/>
      <c r="B7415" s="1083">
        <f>Risk_Compensation!A$1</f>
        <v>36</v>
      </c>
      <c r="C7415" s="1390" t="str">
        <f>Risk_Compensation!$B$1</f>
        <v xml:space="preserve">Risikoausgleich </v>
      </c>
      <c r="D7415" s="2206" t="s">
        <v>2573</v>
      </c>
      <c r="E7415" s="1390" t="str">
        <f>Risk_Compensation!$D87</f>
        <v>ABH</v>
      </c>
      <c r="F7415" s="1390" t="str">
        <f>Risk_Compensation!$AD$86</f>
        <v>VD</v>
      </c>
      <c r="G7415" s="1390"/>
      <c r="H7415" s="1077">
        <f>Risk_Compensation!$AD87</f>
        <v>0</v>
      </c>
    </row>
    <row r="7416" spans="1:8" x14ac:dyDescent="0.2">
      <c r="A7416" s="1027"/>
      <c r="B7416" s="1083">
        <f>Risk_Compensation!A$1</f>
        <v>36</v>
      </c>
      <c r="C7416" s="1390" t="str">
        <f>Risk_Compensation!$B$1</f>
        <v xml:space="preserve">Risikoausgleich </v>
      </c>
      <c r="D7416" s="2206" t="s">
        <v>2573</v>
      </c>
      <c r="E7416" s="1390" t="str">
        <f>Risk_Compensation!$D88</f>
        <v>ADH</v>
      </c>
      <c r="F7416" s="1390" t="str">
        <f>Risk_Compensation!$AD$86</f>
        <v>VD</v>
      </c>
      <c r="G7416" s="1390"/>
      <c r="H7416" s="1077">
        <f>Risk_Compensation!$AD88</f>
        <v>0</v>
      </c>
    </row>
    <row r="7417" spans="1:8" x14ac:dyDescent="0.2">
      <c r="A7417" s="1027"/>
      <c r="B7417" s="1083">
        <f>Risk_Compensation!A$1</f>
        <v>36</v>
      </c>
      <c r="C7417" s="1390" t="str">
        <f>Risk_Compensation!$B$1</f>
        <v xml:space="preserve">Risikoausgleich </v>
      </c>
      <c r="D7417" s="2206" t="s">
        <v>2573</v>
      </c>
      <c r="E7417" s="1390" t="str">
        <f>Risk_Compensation!$D89</f>
        <v>AIK</v>
      </c>
      <c r="F7417" s="1390" t="str">
        <f>Risk_Compensation!$AD$86</f>
        <v>VD</v>
      </c>
      <c r="G7417" s="1390"/>
      <c r="H7417" s="1077">
        <f>Risk_Compensation!$AD89</f>
        <v>0</v>
      </c>
    </row>
    <row r="7418" spans="1:8" x14ac:dyDescent="0.2">
      <c r="A7418" s="1027"/>
      <c r="B7418" s="1083">
        <f>Risk_Compensation!A$1</f>
        <v>36</v>
      </c>
      <c r="C7418" s="1390" t="str">
        <f>Risk_Compensation!$B$1</f>
        <v xml:space="preserve">Risikoausgleich </v>
      </c>
      <c r="D7418" s="2206" t="s">
        <v>2573</v>
      </c>
      <c r="E7418" s="1390" t="str">
        <f>Risk_Compensation!$D90</f>
        <v>ALZ</v>
      </c>
      <c r="F7418" s="1390" t="str">
        <f>Risk_Compensation!$AD$86</f>
        <v>VD</v>
      </c>
      <c r="G7418" s="1390"/>
      <c r="H7418" s="1077">
        <f>Risk_Compensation!$AD90</f>
        <v>0</v>
      </c>
    </row>
    <row r="7419" spans="1:8" x14ac:dyDescent="0.2">
      <c r="A7419" s="1027"/>
      <c r="B7419" s="1083">
        <f>Risk_Compensation!A$1</f>
        <v>36</v>
      </c>
      <c r="C7419" s="1390" t="str">
        <f>Risk_Compensation!$B$1</f>
        <v xml:space="preserve">Risikoausgleich </v>
      </c>
      <c r="D7419" s="2206" t="s">
        <v>2573</v>
      </c>
      <c r="E7419" s="1390" t="str">
        <f>Risk_Compensation!$D91</f>
        <v>AST</v>
      </c>
      <c r="F7419" s="1390" t="str">
        <f>Risk_Compensation!$AD$86</f>
        <v>VD</v>
      </c>
      <c r="G7419" s="1390"/>
      <c r="H7419" s="1077">
        <f>Risk_Compensation!$AD91</f>
        <v>0</v>
      </c>
    </row>
    <row r="7420" spans="1:8" x14ac:dyDescent="0.2">
      <c r="A7420" s="1027"/>
      <c r="B7420" s="1083">
        <f>Risk_Compensation!A$1</f>
        <v>36</v>
      </c>
      <c r="C7420" s="1390" t="str">
        <f>Risk_Compensation!$B$1</f>
        <v xml:space="preserve">Risikoausgleich </v>
      </c>
      <c r="D7420" s="2206" t="s">
        <v>2573</v>
      </c>
      <c r="E7420" s="1390" t="str">
        <f>Risk_Compensation!$D92</f>
        <v>BSR</v>
      </c>
      <c r="F7420" s="1390" t="str">
        <f>Risk_Compensation!$AD$86</f>
        <v>VD</v>
      </c>
      <c r="G7420" s="1390"/>
      <c r="H7420" s="1077">
        <f>Risk_Compensation!$AD92</f>
        <v>0</v>
      </c>
    </row>
    <row r="7421" spans="1:8" x14ac:dyDescent="0.2">
      <c r="A7421" s="1027"/>
      <c r="B7421" s="1083">
        <f>Risk_Compensation!A$1</f>
        <v>36</v>
      </c>
      <c r="C7421" s="1390" t="str">
        <f>Risk_Compensation!$B$1</f>
        <v xml:space="preserve">Risikoausgleich </v>
      </c>
      <c r="D7421" s="2206" t="s">
        <v>2573</v>
      </c>
      <c r="E7421" s="1390" t="str">
        <f>Risk_Compensation!$D93</f>
        <v>CAR</v>
      </c>
      <c r="F7421" s="1390" t="str">
        <f>Risk_Compensation!$AD$86</f>
        <v>VD</v>
      </c>
      <c r="G7421" s="1390"/>
      <c r="H7421" s="1077">
        <f>Risk_Compensation!$AD93</f>
        <v>0</v>
      </c>
    </row>
    <row r="7422" spans="1:8" x14ac:dyDescent="0.2">
      <c r="A7422" s="1027"/>
      <c r="B7422" s="1083">
        <f>Risk_Compensation!A$1</f>
        <v>36</v>
      </c>
      <c r="C7422" s="1390" t="str">
        <f>Risk_Compensation!$B$1</f>
        <v xml:space="preserve">Risikoausgleich </v>
      </c>
      <c r="D7422" s="2206" t="s">
        <v>2573</v>
      </c>
      <c r="E7422" s="1390" t="str">
        <f>Risk_Compensation!$D94</f>
        <v>COP</v>
      </c>
      <c r="F7422" s="1390" t="str">
        <f>Risk_Compensation!$AD$86</f>
        <v>VD</v>
      </c>
      <c r="G7422" s="1390"/>
      <c r="H7422" s="1077">
        <f>Risk_Compensation!$AD94</f>
        <v>0</v>
      </c>
    </row>
    <row r="7423" spans="1:8" x14ac:dyDescent="0.2">
      <c r="A7423" s="1027"/>
      <c r="B7423" s="1083">
        <f>Risk_Compensation!A$1</f>
        <v>36</v>
      </c>
      <c r="C7423" s="1390" t="str">
        <f>Risk_Compensation!$B$1</f>
        <v xml:space="preserve">Risikoausgleich </v>
      </c>
      <c r="D7423" s="2206" t="s">
        <v>2573</v>
      </c>
      <c r="E7423" s="1390" t="str">
        <f>Risk_Compensation!$D95</f>
        <v>DEP</v>
      </c>
      <c r="F7423" s="1390" t="str">
        <f>Risk_Compensation!$AD$86</f>
        <v>VD</v>
      </c>
      <c r="G7423" s="1390"/>
      <c r="H7423" s="1077">
        <f>Risk_Compensation!$AD95</f>
        <v>0</v>
      </c>
    </row>
    <row r="7424" spans="1:8" x14ac:dyDescent="0.2">
      <c r="A7424" s="1027"/>
      <c r="B7424" s="1083">
        <f>Risk_Compensation!A$1</f>
        <v>36</v>
      </c>
      <c r="C7424" s="1390" t="str">
        <f>Risk_Compensation!$B$1</f>
        <v xml:space="preserve">Risikoausgleich </v>
      </c>
      <c r="D7424" s="2206" t="s">
        <v>2573</v>
      </c>
      <c r="E7424" s="1390" t="str">
        <f>Risk_Compensation!$D96</f>
        <v>DM1</v>
      </c>
      <c r="F7424" s="1390" t="str">
        <f>Risk_Compensation!$AD$86</f>
        <v>VD</v>
      </c>
      <c r="G7424" s="1390"/>
      <c r="H7424" s="1077">
        <f>Risk_Compensation!$AD96</f>
        <v>0</v>
      </c>
    </row>
    <row r="7425" spans="1:8" x14ac:dyDescent="0.2">
      <c r="A7425" s="1027"/>
      <c r="B7425" s="1083">
        <f>Risk_Compensation!A$1</f>
        <v>36</v>
      </c>
      <c r="C7425" s="1390" t="str">
        <f>Risk_Compensation!$B$1</f>
        <v xml:space="preserve">Risikoausgleich </v>
      </c>
      <c r="D7425" s="2206" t="s">
        <v>2573</v>
      </c>
      <c r="E7425" s="1390" t="str">
        <f>Risk_Compensation!$D97</f>
        <v>DM2</v>
      </c>
      <c r="F7425" s="1390" t="str">
        <f>Risk_Compensation!$AD$86</f>
        <v>VD</v>
      </c>
      <c r="G7425" s="1390"/>
      <c r="H7425" s="1077">
        <f>Risk_Compensation!$AD97</f>
        <v>0</v>
      </c>
    </row>
    <row r="7426" spans="1:8" x14ac:dyDescent="0.2">
      <c r="A7426" s="1027"/>
      <c r="B7426" s="1083">
        <f>Risk_Compensation!A$1</f>
        <v>36</v>
      </c>
      <c r="C7426" s="1390" t="str">
        <f>Risk_Compensation!$B$1</f>
        <v xml:space="preserve">Risikoausgleich </v>
      </c>
      <c r="D7426" s="2206" t="s">
        <v>2573</v>
      </c>
      <c r="E7426" s="1390" t="str">
        <f>Risk_Compensation!$D98</f>
        <v>EPI</v>
      </c>
      <c r="F7426" s="1390" t="str">
        <f>Risk_Compensation!$AD$86</f>
        <v>VD</v>
      </c>
      <c r="G7426" s="1390"/>
      <c r="H7426" s="1077">
        <f>Risk_Compensation!$AD98</f>
        <v>0</v>
      </c>
    </row>
    <row r="7427" spans="1:8" x14ac:dyDescent="0.2">
      <c r="A7427" s="1027"/>
      <c r="B7427" s="1083">
        <f>Risk_Compensation!A$1</f>
        <v>36</v>
      </c>
      <c r="C7427" s="1390" t="str">
        <f>Risk_Compensation!$B$1</f>
        <v xml:space="preserve">Risikoausgleich </v>
      </c>
      <c r="D7427" s="2206" t="s">
        <v>2573</v>
      </c>
      <c r="E7427" s="1390" t="str">
        <f>Risk_Compensation!$D99</f>
        <v>GLA</v>
      </c>
      <c r="F7427" s="1390" t="str">
        <f>Risk_Compensation!$AD$86</f>
        <v>VD</v>
      </c>
      <c r="G7427" s="1390"/>
      <c r="H7427" s="1077">
        <f>Risk_Compensation!$AD99</f>
        <v>0</v>
      </c>
    </row>
    <row r="7428" spans="1:8" x14ac:dyDescent="0.2">
      <c r="A7428" s="1027"/>
      <c r="B7428" s="1083">
        <f>Risk_Compensation!A$1</f>
        <v>36</v>
      </c>
      <c r="C7428" s="1390" t="str">
        <f>Risk_Compensation!$B$1</f>
        <v xml:space="preserve">Risikoausgleich </v>
      </c>
      <c r="D7428" s="2206" t="s">
        <v>2573</v>
      </c>
      <c r="E7428" s="1390" t="str">
        <f>Risk_Compensation!$D100</f>
        <v>HCH</v>
      </c>
      <c r="F7428" s="1390" t="str">
        <f>Risk_Compensation!$AD$86</f>
        <v>VD</v>
      </c>
      <c r="G7428" s="1390"/>
      <c r="H7428" s="1077">
        <f>Risk_Compensation!$AD100</f>
        <v>0</v>
      </c>
    </row>
    <row r="7429" spans="1:8" x14ac:dyDescent="0.2">
      <c r="A7429" s="1027"/>
      <c r="B7429" s="1083">
        <f>Risk_Compensation!A$1</f>
        <v>36</v>
      </c>
      <c r="C7429" s="1390" t="str">
        <f>Risk_Compensation!$B$1</f>
        <v xml:space="preserve">Risikoausgleich </v>
      </c>
      <c r="D7429" s="2206" t="s">
        <v>2573</v>
      </c>
      <c r="E7429" s="1390" t="str">
        <f>Risk_Compensation!$D101</f>
        <v>HIV</v>
      </c>
      <c r="F7429" s="1390" t="str">
        <f>Risk_Compensation!$AD$86</f>
        <v>VD</v>
      </c>
      <c r="G7429" s="1390"/>
      <c r="H7429" s="1077">
        <f>Risk_Compensation!$AD101</f>
        <v>0</v>
      </c>
    </row>
    <row r="7430" spans="1:8" x14ac:dyDescent="0.2">
      <c r="A7430" s="1027"/>
      <c r="B7430" s="1083">
        <f>Risk_Compensation!A$1</f>
        <v>36</v>
      </c>
      <c r="C7430" s="1390" t="str">
        <f>Risk_Compensation!$B$1</f>
        <v xml:space="preserve">Risikoausgleich </v>
      </c>
      <c r="D7430" s="2206" t="s">
        <v>2573</v>
      </c>
      <c r="E7430" s="1390" t="str">
        <f>Risk_Compensation!$D102</f>
        <v>KHO</v>
      </c>
      <c r="F7430" s="1390" t="str">
        <f>Risk_Compensation!$AD$86</f>
        <v>VD</v>
      </c>
      <c r="G7430" s="1390"/>
      <c r="H7430" s="1077">
        <f>Risk_Compensation!$AD102</f>
        <v>0</v>
      </c>
    </row>
    <row r="7431" spans="1:8" x14ac:dyDescent="0.2">
      <c r="A7431" s="1027"/>
      <c r="B7431" s="1083">
        <f>Risk_Compensation!A$1</f>
        <v>36</v>
      </c>
      <c r="C7431" s="1390" t="str">
        <f>Risk_Compensation!$B$1</f>
        <v xml:space="preserve">Risikoausgleich </v>
      </c>
      <c r="D7431" s="2206" t="s">
        <v>2573</v>
      </c>
      <c r="E7431" s="1390" t="str">
        <f>Risk_Compensation!$D103</f>
        <v>KRE</v>
      </c>
      <c r="F7431" s="1390" t="str">
        <f>Risk_Compensation!$AD$86</f>
        <v>VD</v>
      </c>
      <c r="G7431" s="1390"/>
      <c r="H7431" s="1077">
        <f>Risk_Compensation!$AD103</f>
        <v>0</v>
      </c>
    </row>
    <row r="7432" spans="1:8" x14ac:dyDescent="0.2">
      <c r="A7432" s="1027"/>
      <c r="B7432" s="1083">
        <f>Risk_Compensation!A$1</f>
        <v>36</v>
      </c>
      <c r="C7432" s="1390" t="str">
        <f>Risk_Compensation!$B$1</f>
        <v xml:space="preserve">Risikoausgleich </v>
      </c>
      <c r="D7432" s="2206" t="s">
        <v>2573</v>
      </c>
      <c r="E7432" s="1390" t="str">
        <f>Risk_Compensation!$D104</f>
        <v>KRK</v>
      </c>
      <c r="F7432" s="1390" t="str">
        <f>Risk_Compensation!$AD$86</f>
        <v>VD</v>
      </c>
      <c r="G7432" s="1390"/>
      <c r="H7432" s="1077">
        <f>Risk_Compensation!$AD104</f>
        <v>0</v>
      </c>
    </row>
    <row r="7433" spans="1:8" x14ac:dyDescent="0.2">
      <c r="A7433" s="1027"/>
      <c r="B7433" s="1083">
        <f>Risk_Compensation!A$1</f>
        <v>36</v>
      </c>
      <c r="C7433" s="1390" t="str">
        <f>Risk_Compensation!$B$1</f>
        <v xml:space="preserve">Risikoausgleich </v>
      </c>
      <c r="D7433" s="2206" t="s">
        <v>2573</v>
      </c>
      <c r="E7433" s="1390" t="str">
        <f>Risk_Compensation!$D105</f>
        <v>MCR</v>
      </c>
      <c r="F7433" s="1390" t="str">
        <f>Risk_Compensation!$AD$86</f>
        <v>VD</v>
      </c>
      <c r="G7433" s="1390"/>
      <c r="H7433" s="1077">
        <f>Risk_Compensation!$AD105</f>
        <v>0</v>
      </c>
    </row>
    <row r="7434" spans="1:8" x14ac:dyDescent="0.2">
      <c r="A7434" s="1027"/>
      <c r="B7434" s="1083">
        <f>Risk_Compensation!A$1</f>
        <v>36</v>
      </c>
      <c r="C7434" s="1390" t="str">
        <f>Risk_Compensation!$B$1</f>
        <v xml:space="preserve">Risikoausgleich </v>
      </c>
      <c r="D7434" s="2206" t="s">
        <v>2573</v>
      </c>
      <c r="E7434" s="1390" t="str">
        <f>Risk_Compensation!$D106</f>
        <v>MSK</v>
      </c>
      <c r="F7434" s="1390" t="str">
        <f>Risk_Compensation!$AD$86</f>
        <v>VD</v>
      </c>
      <c r="G7434" s="1390"/>
      <c r="H7434" s="1077">
        <f>Risk_Compensation!$AD106</f>
        <v>0</v>
      </c>
    </row>
    <row r="7435" spans="1:8" x14ac:dyDescent="0.2">
      <c r="A7435" s="1027"/>
      <c r="B7435" s="1083">
        <f>Risk_Compensation!A$1</f>
        <v>36</v>
      </c>
      <c r="C7435" s="1390" t="str">
        <f>Risk_Compensation!$B$1</f>
        <v xml:space="preserve">Risikoausgleich </v>
      </c>
      <c r="D7435" s="2206" t="s">
        <v>2573</v>
      </c>
      <c r="E7435" s="1390" t="str">
        <f>Risk_Compensation!$D107</f>
        <v>NIE</v>
      </c>
      <c r="F7435" s="1390" t="str">
        <f>Risk_Compensation!$AD$86</f>
        <v>VD</v>
      </c>
      <c r="G7435" s="1390"/>
      <c r="H7435" s="1077">
        <f>Risk_Compensation!$AD107</f>
        <v>0</v>
      </c>
    </row>
    <row r="7436" spans="1:8" x14ac:dyDescent="0.2">
      <c r="A7436" s="1027"/>
      <c r="B7436" s="1083">
        <f>Risk_Compensation!A$1</f>
        <v>36</v>
      </c>
      <c r="C7436" s="1390" t="str">
        <f>Risk_Compensation!$B$1</f>
        <v xml:space="preserve">Risikoausgleich </v>
      </c>
      <c r="D7436" s="2206" t="s">
        <v>2573</v>
      </c>
      <c r="E7436" s="1390" t="str">
        <f>Risk_Compensation!$D108</f>
        <v>PAH</v>
      </c>
      <c r="F7436" s="1390" t="str">
        <f>Risk_Compensation!$AD$86</f>
        <v>VD</v>
      </c>
      <c r="G7436" s="1390"/>
      <c r="H7436" s="1077">
        <f>Risk_Compensation!$AD108</f>
        <v>0</v>
      </c>
    </row>
    <row r="7437" spans="1:8" x14ac:dyDescent="0.2">
      <c r="A7437" s="1027"/>
      <c r="B7437" s="1083">
        <f>Risk_Compensation!A$1</f>
        <v>36</v>
      </c>
      <c r="C7437" s="1390" t="str">
        <f>Risk_Compensation!$B$1</f>
        <v xml:space="preserve">Risikoausgleich </v>
      </c>
      <c r="D7437" s="2206" t="s">
        <v>2573</v>
      </c>
      <c r="E7437" s="1390" t="str">
        <f>Risk_Compensation!$D109</f>
        <v>PAR</v>
      </c>
      <c r="F7437" s="1390" t="str">
        <f>Risk_Compensation!$AD$86</f>
        <v>VD</v>
      </c>
      <c r="G7437" s="1390"/>
      <c r="H7437" s="1077">
        <f>Risk_Compensation!$AD109</f>
        <v>0</v>
      </c>
    </row>
    <row r="7438" spans="1:8" x14ac:dyDescent="0.2">
      <c r="A7438" s="1027"/>
      <c r="B7438" s="1083">
        <f>Risk_Compensation!A$1</f>
        <v>36</v>
      </c>
      <c r="C7438" s="1390" t="str">
        <f>Risk_Compensation!$B$1</f>
        <v xml:space="preserve">Risikoausgleich </v>
      </c>
      <c r="D7438" s="2206" t="s">
        <v>2573</v>
      </c>
      <c r="E7438" s="1390" t="str">
        <f>Risk_Compensation!$D110</f>
        <v>PSO</v>
      </c>
      <c r="F7438" s="1390" t="str">
        <f>Risk_Compensation!$AD$86</f>
        <v>VD</v>
      </c>
      <c r="G7438" s="1390"/>
      <c r="H7438" s="1077">
        <f>Risk_Compensation!$AD110</f>
        <v>0</v>
      </c>
    </row>
    <row r="7439" spans="1:8" x14ac:dyDescent="0.2">
      <c r="A7439" s="1027"/>
      <c r="B7439" s="1083">
        <f>Risk_Compensation!A$1</f>
        <v>36</v>
      </c>
      <c r="C7439" s="1390" t="str">
        <f>Risk_Compensation!$B$1</f>
        <v xml:space="preserve">Risikoausgleich </v>
      </c>
      <c r="D7439" s="2206" t="s">
        <v>2573</v>
      </c>
      <c r="E7439" s="1390" t="str">
        <f>Risk_Compensation!$D111</f>
        <v>PSY</v>
      </c>
      <c r="F7439" s="1390" t="str">
        <f>Risk_Compensation!$AD$86</f>
        <v>VD</v>
      </c>
      <c r="G7439" s="1390"/>
      <c r="H7439" s="1077">
        <f>Risk_Compensation!$AD111</f>
        <v>0</v>
      </c>
    </row>
    <row r="7440" spans="1:8" x14ac:dyDescent="0.2">
      <c r="A7440" s="1027"/>
      <c r="B7440" s="1083">
        <f>Risk_Compensation!A$1</f>
        <v>36</v>
      </c>
      <c r="C7440" s="1390" t="str">
        <f>Risk_Compensation!$B$1</f>
        <v xml:space="preserve">Risikoausgleich </v>
      </c>
      <c r="D7440" s="2206" t="s">
        <v>2573</v>
      </c>
      <c r="E7440" s="1390" t="str">
        <f>Risk_Compensation!$D112</f>
        <v>RHE</v>
      </c>
      <c r="F7440" s="1390" t="str">
        <f>Risk_Compensation!$AD$86</f>
        <v>VD</v>
      </c>
      <c r="G7440" s="1390"/>
      <c r="H7440" s="1077">
        <f>Risk_Compensation!$AD112</f>
        <v>0</v>
      </c>
    </row>
    <row r="7441" spans="1:8" x14ac:dyDescent="0.2">
      <c r="A7441" s="1027"/>
      <c r="B7441" s="1083">
        <f>Risk_Compensation!A$1</f>
        <v>36</v>
      </c>
      <c r="C7441" s="1390" t="str">
        <f>Risk_Compensation!$B$1</f>
        <v xml:space="preserve">Risikoausgleich </v>
      </c>
      <c r="D7441" s="2206" t="s">
        <v>2573</v>
      </c>
      <c r="E7441" s="1390" t="str">
        <f>Risk_Compensation!$D113</f>
        <v>SMC</v>
      </c>
      <c r="F7441" s="1390" t="str">
        <f>Risk_Compensation!$AD$86</f>
        <v>VD</v>
      </c>
      <c r="G7441" s="1390"/>
      <c r="H7441" s="1077">
        <f>Risk_Compensation!$AD113</f>
        <v>0</v>
      </c>
    </row>
    <row r="7442" spans="1:8" x14ac:dyDescent="0.2">
      <c r="A7442" s="1027"/>
      <c r="B7442" s="1083">
        <f>Risk_Compensation!A$1</f>
        <v>36</v>
      </c>
      <c r="C7442" s="1390" t="str">
        <f>Risk_Compensation!$B$1</f>
        <v xml:space="preserve">Risikoausgleich </v>
      </c>
      <c r="D7442" s="2206" t="s">
        <v>2573</v>
      </c>
      <c r="E7442" s="1390" t="str">
        <f>Risk_Compensation!$D114</f>
        <v>SMN</v>
      </c>
      <c r="F7442" s="1390" t="str">
        <f>Risk_Compensation!$AD$86</f>
        <v>VD</v>
      </c>
      <c r="G7442" s="1390"/>
      <c r="H7442" s="1077">
        <f>Risk_Compensation!$AD114</f>
        <v>0</v>
      </c>
    </row>
    <row r="7443" spans="1:8" x14ac:dyDescent="0.2">
      <c r="A7443" s="1027"/>
      <c r="B7443" s="1083">
        <f>Risk_Compensation!A$1</f>
        <v>36</v>
      </c>
      <c r="C7443" s="1390" t="str">
        <f>Risk_Compensation!$B$1</f>
        <v xml:space="preserve">Risikoausgleich </v>
      </c>
      <c r="D7443" s="2206" t="s">
        <v>2573</v>
      </c>
      <c r="E7443" s="1390" t="str">
        <f>Risk_Compensation!$D115</f>
        <v>THY</v>
      </c>
      <c r="F7443" s="1390" t="str">
        <f>Risk_Compensation!$AD$86</f>
        <v>VD</v>
      </c>
      <c r="G7443" s="1390"/>
      <c r="H7443" s="1077">
        <f>Risk_Compensation!$AD115</f>
        <v>0</v>
      </c>
    </row>
    <row r="7444" spans="1:8" x14ac:dyDescent="0.2">
      <c r="A7444" s="1027"/>
      <c r="B7444" s="1083">
        <f>Risk_Compensation!A$1</f>
        <v>36</v>
      </c>
      <c r="C7444" s="1390" t="str">
        <f>Risk_Compensation!$B$1</f>
        <v xml:space="preserve">Risikoausgleich </v>
      </c>
      <c r="D7444" s="2206" t="s">
        <v>2573</v>
      </c>
      <c r="E7444" s="1390" t="str">
        <f>Risk_Compensation!$D116</f>
        <v>TRA</v>
      </c>
      <c r="F7444" s="1390" t="str">
        <f>Risk_Compensation!$AD$86</f>
        <v>VD</v>
      </c>
      <c r="G7444" s="1390"/>
      <c r="H7444" s="1077">
        <f>Risk_Compensation!$AD116</f>
        <v>0</v>
      </c>
    </row>
    <row r="7445" spans="1:8" x14ac:dyDescent="0.2">
      <c r="A7445" s="1027"/>
      <c r="B7445" s="1083">
        <f>Risk_Compensation!A$1</f>
        <v>36</v>
      </c>
      <c r="C7445" s="1390" t="str">
        <f>Risk_Compensation!$B$1</f>
        <v xml:space="preserve">Risikoausgleich </v>
      </c>
      <c r="D7445" s="2206" t="s">
        <v>2573</v>
      </c>
      <c r="E7445" s="1390" t="str">
        <f>Risk_Compensation!$D117</f>
        <v>WAS</v>
      </c>
      <c r="F7445" s="1390" t="str">
        <f>Risk_Compensation!$AD$86</f>
        <v>VD</v>
      </c>
      <c r="G7445" s="1390"/>
      <c r="H7445" s="1077">
        <f>Risk_Compensation!$AD117</f>
        <v>0</v>
      </c>
    </row>
    <row r="7446" spans="1:8" x14ac:dyDescent="0.2">
      <c r="A7446" s="1027"/>
      <c r="B7446" s="1083">
        <f>Risk_Compensation!A$1</f>
        <v>36</v>
      </c>
      <c r="C7446" s="1390" t="str">
        <f>Risk_Compensation!$B$1</f>
        <v xml:space="preserve">Risikoausgleich </v>
      </c>
      <c r="D7446" s="2206" t="s">
        <v>2573</v>
      </c>
      <c r="E7446" s="1390" t="str">
        <f>Risk_Compensation!$D118</f>
        <v>ZFP</v>
      </c>
      <c r="F7446" s="1390" t="str">
        <f>Risk_Compensation!$AD$86</f>
        <v>VD</v>
      </c>
      <c r="G7446" s="1390"/>
      <c r="H7446" s="1077">
        <f>Risk_Compensation!$AD118</f>
        <v>0</v>
      </c>
    </row>
    <row r="7447" spans="1:8" x14ac:dyDescent="0.2">
      <c r="A7447" s="1027"/>
      <c r="B7447" s="1083">
        <f>Risk_Compensation!A$1</f>
        <v>36</v>
      </c>
      <c r="C7447" s="1390" t="str">
        <f>Risk_Compensation!$B$1</f>
        <v xml:space="preserve">Risikoausgleich </v>
      </c>
      <c r="D7447" s="2206" t="s">
        <v>2573</v>
      </c>
      <c r="E7447" s="1390" t="str">
        <f>Risk_Compensation!$D119</f>
        <v>ZNS</v>
      </c>
      <c r="F7447" s="1390" t="str">
        <f>Risk_Compensation!$AD$86</f>
        <v>VD</v>
      </c>
      <c r="G7447" s="1390"/>
      <c r="H7447" s="1077">
        <f>Risk_Compensation!$AD119</f>
        <v>0</v>
      </c>
    </row>
    <row r="7448" spans="1:8" x14ac:dyDescent="0.2">
      <c r="A7448" s="1027"/>
      <c r="B7448" s="1083">
        <f>Risk_Compensation!A$1</f>
        <v>36</v>
      </c>
      <c r="C7448" s="1390" t="str">
        <f>Risk_Compensation!$B$1</f>
        <v xml:space="preserve">Risikoausgleich </v>
      </c>
      <c r="D7448" s="2206" t="s">
        <v>2573</v>
      </c>
      <c r="E7448" s="1390" t="str">
        <f>Risk_Compensation!$D120</f>
        <v>DM2 + hyp</v>
      </c>
      <c r="F7448" s="1390" t="str">
        <f>Risk_Compensation!$AD$86</f>
        <v>VD</v>
      </c>
      <c r="G7448" s="1390"/>
      <c r="H7448" s="1077">
        <f>Risk_Compensation!$AD120</f>
        <v>0</v>
      </c>
    </row>
    <row r="7449" spans="1:8" x14ac:dyDescent="0.2">
      <c r="A7449" s="1027"/>
      <c r="B7449" s="2174"/>
      <c r="C7449" s="1390"/>
      <c r="D7449" s="2175"/>
      <c r="E7449" s="2176"/>
      <c r="F7449" s="1390"/>
      <c r="G7449" s="1390"/>
      <c r="H7449" s="1078"/>
    </row>
    <row r="7450" spans="1:8" x14ac:dyDescent="0.2">
      <c r="A7450" s="1027"/>
      <c r="B7450" s="1083">
        <f>Risk_Compensation!A$1</f>
        <v>36</v>
      </c>
      <c r="C7450" s="1390" t="str">
        <f>Risk_Compensation!$B$1</f>
        <v xml:space="preserve">Risikoausgleich </v>
      </c>
      <c r="D7450" s="2206" t="s">
        <v>2573</v>
      </c>
      <c r="E7450" s="1390" t="str">
        <f>Risk_Compensation!$D87</f>
        <v>ABH</v>
      </c>
      <c r="F7450" s="1390" t="str">
        <f>Risk_Compensation!$AE$86</f>
        <v>VS</v>
      </c>
      <c r="G7450" s="1390"/>
      <c r="H7450" s="1077">
        <f>Risk_Compensation!$AE87</f>
        <v>0</v>
      </c>
    </row>
    <row r="7451" spans="1:8" x14ac:dyDescent="0.2">
      <c r="A7451" s="1027"/>
      <c r="B7451" s="1083">
        <f>Risk_Compensation!A$1</f>
        <v>36</v>
      </c>
      <c r="C7451" s="1390" t="str">
        <f>Risk_Compensation!$B$1</f>
        <v xml:space="preserve">Risikoausgleich </v>
      </c>
      <c r="D7451" s="2206" t="s">
        <v>2573</v>
      </c>
      <c r="E7451" s="1390" t="str">
        <f>Risk_Compensation!$D88</f>
        <v>ADH</v>
      </c>
      <c r="F7451" s="1390" t="str">
        <f>Risk_Compensation!$AE$86</f>
        <v>VS</v>
      </c>
      <c r="G7451" s="1390"/>
      <c r="H7451" s="1077">
        <f>Risk_Compensation!$AE88</f>
        <v>0</v>
      </c>
    </row>
    <row r="7452" spans="1:8" x14ac:dyDescent="0.2">
      <c r="A7452" s="1027"/>
      <c r="B7452" s="1083">
        <f>Risk_Compensation!A$1</f>
        <v>36</v>
      </c>
      <c r="C7452" s="1390" t="str">
        <f>Risk_Compensation!$B$1</f>
        <v xml:space="preserve">Risikoausgleich </v>
      </c>
      <c r="D7452" s="2206" t="s">
        <v>2573</v>
      </c>
      <c r="E7452" s="1390" t="str">
        <f>Risk_Compensation!$D89</f>
        <v>AIK</v>
      </c>
      <c r="F7452" s="1390" t="str">
        <f>Risk_Compensation!$AE$86</f>
        <v>VS</v>
      </c>
      <c r="G7452" s="1390"/>
      <c r="H7452" s="1077">
        <f>Risk_Compensation!$AE89</f>
        <v>0</v>
      </c>
    </row>
    <row r="7453" spans="1:8" x14ac:dyDescent="0.2">
      <c r="A7453" s="1027"/>
      <c r="B7453" s="1083">
        <f>Risk_Compensation!A$1</f>
        <v>36</v>
      </c>
      <c r="C7453" s="1390" t="str">
        <f>Risk_Compensation!$B$1</f>
        <v xml:space="preserve">Risikoausgleich </v>
      </c>
      <c r="D7453" s="2206" t="s">
        <v>2573</v>
      </c>
      <c r="E7453" s="1390" t="str">
        <f>Risk_Compensation!$D90</f>
        <v>ALZ</v>
      </c>
      <c r="F7453" s="1390" t="str">
        <f>Risk_Compensation!$AE$86</f>
        <v>VS</v>
      </c>
      <c r="G7453" s="1390"/>
      <c r="H7453" s="1077">
        <f>Risk_Compensation!$AE90</f>
        <v>0</v>
      </c>
    </row>
    <row r="7454" spans="1:8" x14ac:dyDescent="0.2">
      <c r="A7454" s="1027"/>
      <c r="B7454" s="1083">
        <f>Risk_Compensation!A$1</f>
        <v>36</v>
      </c>
      <c r="C7454" s="1390" t="str">
        <f>Risk_Compensation!$B$1</f>
        <v xml:space="preserve">Risikoausgleich </v>
      </c>
      <c r="D7454" s="2206" t="s">
        <v>2573</v>
      </c>
      <c r="E7454" s="1390" t="str">
        <f>Risk_Compensation!$D91</f>
        <v>AST</v>
      </c>
      <c r="F7454" s="1390" t="str">
        <f>Risk_Compensation!$AE$86</f>
        <v>VS</v>
      </c>
      <c r="G7454" s="1390"/>
      <c r="H7454" s="1077">
        <f>Risk_Compensation!$AE91</f>
        <v>0</v>
      </c>
    </row>
    <row r="7455" spans="1:8" x14ac:dyDescent="0.2">
      <c r="A7455" s="1027"/>
      <c r="B7455" s="1083">
        <f>Risk_Compensation!A$1</f>
        <v>36</v>
      </c>
      <c r="C7455" s="1390" t="str">
        <f>Risk_Compensation!$B$1</f>
        <v xml:space="preserve">Risikoausgleich </v>
      </c>
      <c r="D7455" s="2206" t="s">
        <v>2573</v>
      </c>
      <c r="E7455" s="1390" t="str">
        <f>Risk_Compensation!$D92</f>
        <v>BSR</v>
      </c>
      <c r="F7455" s="1390" t="str">
        <f>Risk_Compensation!$AE$86</f>
        <v>VS</v>
      </c>
      <c r="G7455" s="1390"/>
      <c r="H7455" s="1077">
        <f>Risk_Compensation!$AE92</f>
        <v>0</v>
      </c>
    </row>
    <row r="7456" spans="1:8" x14ac:dyDescent="0.2">
      <c r="A7456" s="1027"/>
      <c r="B7456" s="1083">
        <f>Risk_Compensation!A$1</f>
        <v>36</v>
      </c>
      <c r="C7456" s="1390" t="str">
        <f>Risk_Compensation!$B$1</f>
        <v xml:space="preserve">Risikoausgleich </v>
      </c>
      <c r="D7456" s="2206" t="s">
        <v>2573</v>
      </c>
      <c r="E7456" s="1390" t="str">
        <f>Risk_Compensation!$D93</f>
        <v>CAR</v>
      </c>
      <c r="F7456" s="1390" t="str">
        <f>Risk_Compensation!$AE$86</f>
        <v>VS</v>
      </c>
      <c r="G7456" s="1390"/>
      <c r="H7456" s="1077">
        <f>Risk_Compensation!$AE93</f>
        <v>0</v>
      </c>
    </row>
    <row r="7457" spans="1:8" x14ac:dyDescent="0.2">
      <c r="A7457" s="1027"/>
      <c r="B7457" s="1083">
        <f>Risk_Compensation!A$1</f>
        <v>36</v>
      </c>
      <c r="C7457" s="1390" t="str">
        <f>Risk_Compensation!$B$1</f>
        <v xml:space="preserve">Risikoausgleich </v>
      </c>
      <c r="D7457" s="2206" t="s">
        <v>2573</v>
      </c>
      <c r="E7457" s="1390" t="str">
        <f>Risk_Compensation!$D94</f>
        <v>COP</v>
      </c>
      <c r="F7457" s="1390" t="str">
        <f>Risk_Compensation!$AE$86</f>
        <v>VS</v>
      </c>
      <c r="G7457" s="1390"/>
      <c r="H7457" s="1077">
        <f>Risk_Compensation!$AE94</f>
        <v>0</v>
      </c>
    </row>
    <row r="7458" spans="1:8" x14ac:dyDescent="0.2">
      <c r="A7458" s="1027"/>
      <c r="B7458" s="1083">
        <f>Risk_Compensation!A$1</f>
        <v>36</v>
      </c>
      <c r="C7458" s="1390" t="str">
        <f>Risk_Compensation!$B$1</f>
        <v xml:space="preserve">Risikoausgleich </v>
      </c>
      <c r="D7458" s="2206" t="s">
        <v>2573</v>
      </c>
      <c r="E7458" s="1390" t="str">
        <f>Risk_Compensation!$D95</f>
        <v>DEP</v>
      </c>
      <c r="F7458" s="1390" t="str">
        <f>Risk_Compensation!$AE$86</f>
        <v>VS</v>
      </c>
      <c r="G7458" s="1390"/>
      <c r="H7458" s="1077">
        <f>Risk_Compensation!$AE95</f>
        <v>0</v>
      </c>
    </row>
    <row r="7459" spans="1:8" x14ac:dyDescent="0.2">
      <c r="A7459" s="1027"/>
      <c r="B7459" s="1083">
        <f>Risk_Compensation!A$1</f>
        <v>36</v>
      </c>
      <c r="C7459" s="1390" t="str">
        <f>Risk_Compensation!$B$1</f>
        <v xml:space="preserve">Risikoausgleich </v>
      </c>
      <c r="D7459" s="2206" t="s">
        <v>2573</v>
      </c>
      <c r="E7459" s="1390" t="str">
        <f>Risk_Compensation!$D96</f>
        <v>DM1</v>
      </c>
      <c r="F7459" s="1390" t="str">
        <f>Risk_Compensation!$AE$86</f>
        <v>VS</v>
      </c>
      <c r="G7459" s="1390"/>
      <c r="H7459" s="1077">
        <f>Risk_Compensation!$AE96</f>
        <v>0</v>
      </c>
    </row>
    <row r="7460" spans="1:8" x14ac:dyDescent="0.2">
      <c r="A7460" s="1027"/>
      <c r="B7460" s="1083">
        <f>Risk_Compensation!A$1</f>
        <v>36</v>
      </c>
      <c r="C7460" s="1390" t="str">
        <f>Risk_Compensation!$B$1</f>
        <v xml:space="preserve">Risikoausgleich </v>
      </c>
      <c r="D7460" s="2206" t="s">
        <v>2573</v>
      </c>
      <c r="E7460" s="1390" t="str">
        <f>Risk_Compensation!$D97</f>
        <v>DM2</v>
      </c>
      <c r="F7460" s="1390" t="str">
        <f>Risk_Compensation!$AE$86</f>
        <v>VS</v>
      </c>
      <c r="G7460" s="1390"/>
      <c r="H7460" s="1077">
        <f>Risk_Compensation!$AE97</f>
        <v>0</v>
      </c>
    </row>
    <row r="7461" spans="1:8" x14ac:dyDescent="0.2">
      <c r="A7461" s="1027"/>
      <c r="B7461" s="1083">
        <f>Risk_Compensation!A$1</f>
        <v>36</v>
      </c>
      <c r="C7461" s="1390" t="str">
        <f>Risk_Compensation!$B$1</f>
        <v xml:space="preserve">Risikoausgleich </v>
      </c>
      <c r="D7461" s="2206" t="s">
        <v>2573</v>
      </c>
      <c r="E7461" s="1390" t="str">
        <f>Risk_Compensation!$D98</f>
        <v>EPI</v>
      </c>
      <c r="F7461" s="1390" t="str">
        <f>Risk_Compensation!$AE$86</f>
        <v>VS</v>
      </c>
      <c r="G7461" s="1390"/>
      <c r="H7461" s="1077">
        <f>Risk_Compensation!$AE98</f>
        <v>0</v>
      </c>
    </row>
    <row r="7462" spans="1:8" x14ac:dyDescent="0.2">
      <c r="A7462" s="1027"/>
      <c r="B7462" s="1083">
        <f>Risk_Compensation!A$1</f>
        <v>36</v>
      </c>
      <c r="C7462" s="1390" t="str">
        <f>Risk_Compensation!$B$1</f>
        <v xml:space="preserve">Risikoausgleich </v>
      </c>
      <c r="D7462" s="2206" t="s">
        <v>2573</v>
      </c>
      <c r="E7462" s="1390" t="str">
        <f>Risk_Compensation!$D99</f>
        <v>GLA</v>
      </c>
      <c r="F7462" s="1390" t="str">
        <f>Risk_Compensation!$AE$86</f>
        <v>VS</v>
      </c>
      <c r="G7462" s="1390"/>
      <c r="H7462" s="1077">
        <f>Risk_Compensation!$AE99</f>
        <v>0</v>
      </c>
    </row>
    <row r="7463" spans="1:8" x14ac:dyDescent="0.2">
      <c r="A7463" s="1027"/>
      <c r="B7463" s="1083">
        <f>Risk_Compensation!A$1</f>
        <v>36</v>
      </c>
      <c r="C7463" s="1390" t="str">
        <f>Risk_Compensation!$B$1</f>
        <v xml:space="preserve">Risikoausgleich </v>
      </c>
      <c r="D7463" s="2206" t="s">
        <v>2573</v>
      </c>
      <c r="E7463" s="1390" t="str">
        <f>Risk_Compensation!$D100</f>
        <v>HCH</v>
      </c>
      <c r="F7463" s="1390" t="str">
        <f>Risk_Compensation!$AE$86</f>
        <v>VS</v>
      </c>
      <c r="G7463" s="1390"/>
      <c r="H7463" s="1077">
        <f>Risk_Compensation!$AE100</f>
        <v>0</v>
      </c>
    </row>
    <row r="7464" spans="1:8" x14ac:dyDescent="0.2">
      <c r="A7464" s="1027"/>
      <c r="B7464" s="1083">
        <f>Risk_Compensation!A$1</f>
        <v>36</v>
      </c>
      <c r="C7464" s="1390" t="str">
        <f>Risk_Compensation!$B$1</f>
        <v xml:space="preserve">Risikoausgleich </v>
      </c>
      <c r="D7464" s="2206" t="s">
        <v>2573</v>
      </c>
      <c r="E7464" s="1390" t="str">
        <f>Risk_Compensation!$D101</f>
        <v>HIV</v>
      </c>
      <c r="F7464" s="1390" t="str">
        <f>Risk_Compensation!$AE$86</f>
        <v>VS</v>
      </c>
      <c r="G7464" s="1390"/>
      <c r="H7464" s="1077">
        <f>Risk_Compensation!$AE101</f>
        <v>0</v>
      </c>
    </row>
    <row r="7465" spans="1:8" x14ac:dyDescent="0.2">
      <c r="A7465" s="1027"/>
      <c r="B7465" s="1083">
        <f>Risk_Compensation!A$1</f>
        <v>36</v>
      </c>
      <c r="C7465" s="1390" t="str">
        <f>Risk_Compensation!$B$1</f>
        <v xml:space="preserve">Risikoausgleich </v>
      </c>
      <c r="D7465" s="2206" t="s">
        <v>2573</v>
      </c>
      <c r="E7465" s="1390" t="str">
        <f>Risk_Compensation!$D102</f>
        <v>KHO</v>
      </c>
      <c r="F7465" s="1390" t="str">
        <f>Risk_Compensation!$AE$86</f>
        <v>VS</v>
      </c>
      <c r="G7465" s="1390"/>
      <c r="H7465" s="1077">
        <f>Risk_Compensation!$AE102</f>
        <v>0</v>
      </c>
    </row>
    <row r="7466" spans="1:8" x14ac:dyDescent="0.2">
      <c r="A7466" s="1027"/>
      <c r="B7466" s="1083">
        <f>Risk_Compensation!A$1</f>
        <v>36</v>
      </c>
      <c r="C7466" s="1390" t="str">
        <f>Risk_Compensation!$B$1</f>
        <v xml:space="preserve">Risikoausgleich </v>
      </c>
      <c r="D7466" s="2206" t="s">
        <v>2573</v>
      </c>
      <c r="E7466" s="1390" t="str">
        <f>Risk_Compensation!$D103</f>
        <v>KRE</v>
      </c>
      <c r="F7466" s="1390" t="str">
        <f>Risk_Compensation!$AE$86</f>
        <v>VS</v>
      </c>
      <c r="G7466" s="1390"/>
      <c r="H7466" s="1077">
        <f>Risk_Compensation!$AE103</f>
        <v>0</v>
      </c>
    </row>
    <row r="7467" spans="1:8" x14ac:dyDescent="0.2">
      <c r="A7467" s="1027"/>
      <c r="B7467" s="1083">
        <f>Risk_Compensation!A$1</f>
        <v>36</v>
      </c>
      <c r="C7467" s="1390" t="str">
        <f>Risk_Compensation!$B$1</f>
        <v xml:space="preserve">Risikoausgleich </v>
      </c>
      <c r="D7467" s="2206" t="s">
        <v>2573</v>
      </c>
      <c r="E7467" s="1390" t="str">
        <f>Risk_Compensation!$D104</f>
        <v>KRK</v>
      </c>
      <c r="F7467" s="1390" t="str">
        <f>Risk_Compensation!$AE$86</f>
        <v>VS</v>
      </c>
      <c r="G7467" s="1390"/>
      <c r="H7467" s="1077">
        <f>Risk_Compensation!$AE104</f>
        <v>0</v>
      </c>
    </row>
    <row r="7468" spans="1:8" x14ac:dyDescent="0.2">
      <c r="A7468" s="1027"/>
      <c r="B7468" s="1083">
        <f>Risk_Compensation!A$1</f>
        <v>36</v>
      </c>
      <c r="C7468" s="1390" t="str">
        <f>Risk_Compensation!$B$1</f>
        <v xml:space="preserve">Risikoausgleich </v>
      </c>
      <c r="D7468" s="2206" t="s">
        <v>2573</v>
      </c>
      <c r="E7468" s="1390" t="str">
        <f>Risk_Compensation!$D105</f>
        <v>MCR</v>
      </c>
      <c r="F7468" s="1390" t="str">
        <f>Risk_Compensation!$AE$86</f>
        <v>VS</v>
      </c>
      <c r="G7468" s="1390"/>
      <c r="H7468" s="1077">
        <f>Risk_Compensation!$AE105</f>
        <v>0</v>
      </c>
    </row>
    <row r="7469" spans="1:8" x14ac:dyDescent="0.2">
      <c r="A7469" s="1027"/>
      <c r="B7469" s="1083">
        <f>Risk_Compensation!A$1</f>
        <v>36</v>
      </c>
      <c r="C7469" s="1390" t="str">
        <f>Risk_Compensation!$B$1</f>
        <v xml:space="preserve">Risikoausgleich </v>
      </c>
      <c r="D7469" s="2206" t="s">
        <v>2573</v>
      </c>
      <c r="E7469" s="1390" t="str">
        <f>Risk_Compensation!$D106</f>
        <v>MSK</v>
      </c>
      <c r="F7469" s="1390" t="str">
        <f>Risk_Compensation!$AE$86</f>
        <v>VS</v>
      </c>
      <c r="G7469" s="1390"/>
      <c r="H7469" s="1077">
        <f>Risk_Compensation!$AE106</f>
        <v>0</v>
      </c>
    </row>
    <row r="7470" spans="1:8" x14ac:dyDescent="0.2">
      <c r="A7470" s="1027"/>
      <c r="B7470" s="1083">
        <f>Risk_Compensation!A$1</f>
        <v>36</v>
      </c>
      <c r="C7470" s="1390" t="str">
        <f>Risk_Compensation!$B$1</f>
        <v xml:space="preserve">Risikoausgleich </v>
      </c>
      <c r="D7470" s="2206" t="s">
        <v>2573</v>
      </c>
      <c r="E7470" s="1390" t="str">
        <f>Risk_Compensation!$D107</f>
        <v>NIE</v>
      </c>
      <c r="F7470" s="1390" t="str">
        <f>Risk_Compensation!$AE$86</f>
        <v>VS</v>
      </c>
      <c r="G7470" s="1390"/>
      <c r="H7470" s="1077">
        <f>Risk_Compensation!$AE107</f>
        <v>0</v>
      </c>
    </row>
    <row r="7471" spans="1:8" x14ac:dyDescent="0.2">
      <c r="A7471" s="1027"/>
      <c r="B7471" s="1083">
        <f>Risk_Compensation!A$1</f>
        <v>36</v>
      </c>
      <c r="C7471" s="1390" t="str">
        <f>Risk_Compensation!$B$1</f>
        <v xml:space="preserve">Risikoausgleich </v>
      </c>
      <c r="D7471" s="2206" t="s">
        <v>2573</v>
      </c>
      <c r="E7471" s="1390" t="str">
        <f>Risk_Compensation!$D108</f>
        <v>PAH</v>
      </c>
      <c r="F7471" s="1390" t="str">
        <f>Risk_Compensation!$AE$86</f>
        <v>VS</v>
      </c>
      <c r="G7471" s="1390"/>
      <c r="H7471" s="1077">
        <f>Risk_Compensation!$AE108</f>
        <v>0</v>
      </c>
    </row>
    <row r="7472" spans="1:8" x14ac:dyDescent="0.2">
      <c r="A7472" s="1027"/>
      <c r="B7472" s="1083">
        <f>Risk_Compensation!A$1</f>
        <v>36</v>
      </c>
      <c r="C7472" s="1390" t="str">
        <f>Risk_Compensation!$B$1</f>
        <v xml:space="preserve">Risikoausgleich </v>
      </c>
      <c r="D7472" s="2206" t="s">
        <v>2573</v>
      </c>
      <c r="E7472" s="1390" t="str">
        <f>Risk_Compensation!$D109</f>
        <v>PAR</v>
      </c>
      <c r="F7472" s="1390" t="str">
        <f>Risk_Compensation!$AE$86</f>
        <v>VS</v>
      </c>
      <c r="G7472" s="1390"/>
      <c r="H7472" s="1077">
        <f>Risk_Compensation!$AE109</f>
        <v>0</v>
      </c>
    </row>
    <row r="7473" spans="1:8" x14ac:dyDescent="0.2">
      <c r="A7473" s="1027"/>
      <c r="B7473" s="1083">
        <f>Risk_Compensation!A$1</f>
        <v>36</v>
      </c>
      <c r="C7473" s="1390" t="str">
        <f>Risk_Compensation!$B$1</f>
        <v xml:space="preserve">Risikoausgleich </v>
      </c>
      <c r="D7473" s="2206" t="s">
        <v>2573</v>
      </c>
      <c r="E7473" s="1390" t="str">
        <f>Risk_Compensation!$D110</f>
        <v>PSO</v>
      </c>
      <c r="F7473" s="1390" t="str">
        <f>Risk_Compensation!$AE$86</f>
        <v>VS</v>
      </c>
      <c r="G7473" s="1390"/>
      <c r="H7473" s="1077">
        <f>Risk_Compensation!$AE110</f>
        <v>0</v>
      </c>
    </row>
    <row r="7474" spans="1:8" x14ac:dyDescent="0.2">
      <c r="A7474" s="1027"/>
      <c r="B7474" s="1083">
        <f>Risk_Compensation!A$1</f>
        <v>36</v>
      </c>
      <c r="C7474" s="1390" t="str">
        <f>Risk_Compensation!$B$1</f>
        <v xml:space="preserve">Risikoausgleich </v>
      </c>
      <c r="D7474" s="2206" t="s">
        <v>2573</v>
      </c>
      <c r="E7474" s="1390" t="str">
        <f>Risk_Compensation!$D111</f>
        <v>PSY</v>
      </c>
      <c r="F7474" s="1390" t="str">
        <f>Risk_Compensation!$AE$86</f>
        <v>VS</v>
      </c>
      <c r="G7474" s="1390"/>
      <c r="H7474" s="1077">
        <f>Risk_Compensation!$AE111</f>
        <v>0</v>
      </c>
    </row>
    <row r="7475" spans="1:8" x14ac:dyDescent="0.2">
      <c r="A7475" s="1027"/>
      <c r="B7475" s="1083">
        <f>Risk_Compensation!A$1</f>
        <v>36</v>
      </c>
      <c r="C7475" s="1390" t="str">
        <f>Risk_Compensation!$B$1</f>
        <v xml:space="preserve">Risikoausgleich </v>
      </c>
      <c r="D7475" s="2206" t="s">
        <v>2573</v>
      </c>
      <c r="E7475" s="1390" t="str">
        <f>Risk_Compensation!$D112</f>
        <v>RHE</v>
      </c>
      <c r="F7475" s="1390" t="str">
        <f>Risk_Compensation!$AE$86</f>
        <v>VS</v>
      </c>
      <c r="G7475" s="1390"/>
      <c r="H7475" s="1077">
        <f>Risk_Compensation!$AE112</f>
        <v>0</v>
      </c>
    </row>
    <row r="7476" spans="1:8" x14ac:dyDescent="0.2">
      <c r="A7476" s="1027"/>
      <c r="B7476" s="1083">
        <f>Risk_Compensation!A$1</f>
        <v>36</v>
      </c>
      <c r="C7476" s="1390" t="str">
        <f>Risk_Compensation!$B$1</f>
        <v xml:space="preserve">Risikoausgleich </v>
      </c>
      <c r="D7476" s="2206" t="s">
        <v>2573</v>
      </c>
      <c r="E7476" s="1390" t="str">
        <f>Risk_Compensation!$D113</f>
        <v>SMC</v>
      </c>
      <c r="F7476" s="1390" t="str">
        <f>Risk_Compensation!$AE$86</f>
        <v>VS</v>
      </c>
      <c r="G7476" s="1390"/>
      <c r="H7476" s="1077">
        <f>Risk_Compensation!$AE113</f>
        <v>0</v>
      </c>
    </row>
    <row r="7477" spans="1:8" x14ac:dyDescent="0.2">
      <c r="A7477" s="1027"/>
      <c r="B7477" s="1083">
        <f>Risk_Compensation!A$1</f>
        <v>36</v>
      </c>
      <c r="C7477" s="1390" t="str">
        <f>Risk_Compensation!$B$1</f>
        <v xml:space="preserve">Risikoausgleich </v>
      </c>
      <c r="D7477" s="2206" t="s">
        <v>2573</v>
      </c>
      <c r="E7477" s="1390" t="str">
        <f>Risk_Compensation!$D114</f>
        <v>SMN</v>
      </c>
      <c r="F7477" s="1390" t="str">
        <f>Risk_Compensation!$AE$86</f>
        <v>VS</v>
      </c>
      <c r="G7477" s="1390"/>
      <c r="H7477" s="1077">
        <f>Risk_Compensation!$AE114</f>
        <v>0</v>
      </c>
    </row>
    <row r="7478" spans="1:8" x14ac:dyDescent="0.2">
      <c r="A7478" s="1027"/>
      <c r="B7478" s="1083">
        <f>Risk_Compensation!A$1</f>
        <v>36</v>
      </c>
      <c r="C7478" s="1390" t="str">
        <f>Risk_Compensation!$B$1</f>
        <v xml:space="preserve">Risikoausgleich </v>
      </c>
      <c r="D7478" s="2206" t="s">
        <v>2573</v>
      </c>
      <c r="E7478" s="1390" t="str">
        <f>Risk_Compensation!$D115</f>
        <v>THY</v>
      </c>
      <c r="F7478" s="1390" t="str">
        <f>Risk_Compensation!$AE$86</f>
        <v>VS</v>
      </c>
      <c r="G7478" s="1390"/>
      <c r="H7478" s="1077">
        <f>Risk_Compensation!$AE115</f>
        <v>0</v>
      </c>
    </row>
    <row r="7479" spans="1:8" x14ac:dyDescent="0.2">
      <c r="A7479" s="1027"/>
      <c r="B7479" s="1083">
        <f>Risk_Compensation!A$1</f>
        <v>36</v>
      </c>
      <c r="C7479" s="1390" t="str">
        <f>Risk_Compensation!$B$1</f>
        <v xml:space="preserve">Risikoausgleich </v>
      </c>
      <c r="D7479" s="2206" t="s">
        <v>2573</v>
      </c>
      <c r="E7479" s="1390" t="str">
        <f>Risk_Compensation!$D116</f>
        <v>TRA</v>
      </c>
      <c r="F7479" s="1390" t="str">
        <f>Risk_Compensation!$AE$86</f>
        <v>VS</v>
      </c>
      <c r="G7479" s="1390"/>
      <c r="H7479" s="1077">
        <f>Risk_Compensation!$AE116</f>
        <v>0</v>
      </c>
    </row>
    <row r="7480" spans="1:8" x14ac:dyDescent="0.2">
      <c r="A7480" s="1027"/>
      <c r="B7480" s="1083">
        <f>Risk_Compensation!A$1</f>
        <v>36</v>
      </c>
      <c r="C7480" s="1390" t="str">
        <f>Risk_Compensation!$B$1</f>
        <v xml:space="preserve">Risikoausgleich </v>
      </c>
      <c r="D7480" s="2206" t="s">
        <v>2573</v>
      </c>
      <c r="E7480" s="1390" t="str">
        <f>Risk_Compensation!$D117</f>
        <v>WAS</v>
      </c>
      <c r="F7480" s="1390" t="str">
        <f>Risk_Compensation!$AE$86</f>
        <v>VS</v>
      </c>
      <c r="G7480" s="1390"/>
      <c r="H7480" s="1077">
        <f>Risk_Compensation!$AE117</f>
        <v>0</v>
      </c>
    </row>
    <row r="7481" spans="1:8" x14ac:dyDescent="0.2">
      <c r="A7481" s="1027"/>
      <c r="B7481" s="1083">
        <f>Risk_Compensation!A$1</f>
        <v>36</v>
      </c>
      <c r="C7481" s="1390" t="str">
        <f>Risk_Compensation!$B$1</f>
        <v xml:space="preserve">Risikoausgleich </v>
      </c>
      <c r="D7481" s="2206" t="s">
        <v>2573</v>
      </c>
      <c r="E7481" s="1390" t="str">
        <f>Risk_Compensation!$D118</f>
        <v>ZFP</v>
      </c>
      <c r="F7481" s="1390" t="str">
        <f>Risk_Compensation!$AE$86</f>
        <v>VS</v>
      </c>
      <c r="G7481" s="1390"/>
      <c r="H7481" s="1077">
        <f>Risk_Compensation!$AE118</f>
        <v>0</v>
      </c>
    </row>
    <row r="7482" spans="1:8" x14ac:dyDescent="0.2">
      <c r="A7482" s="1027"/>
      <c r="B7482" s="1083">
        <f>Risk_Compensation!A$1</f>
        <v>36</v>
      </c>
      <c r="C7482" s="1390" t="str">
        <f>Risk_Compensation!$B$1</f>
        <v xml:space="preserve">Risikoausgleich </v>
      </c>
      <c r="D7482" s="2206" t="s">
        <v>2573</v>
      </c>
      <c r="E7482" s="1390" t="str">
        <f>Risk_Compensation!$D119</f>
        <v>ZNS</v>
      </c>
      <c r="F7482" s="1390" t="str">
        <f>Risk_Compensation!$AE$86</f>
        <v>VS</v>
      </c>
      <c r="G7482" s="1390"/>
      <c r="H7482" s="1077">
        <f>Risk_Compensation!$AE119</f>
        <v>0</v>
      </c>
    </row>
    <row r="7483" spans="1:8" x14ac:dyDescent="0.2">
      <c r="A7483" s="1027"/>
      <c r="B7483" s="1083">
        <f>Risk_Compensation!A$1</f>
        <v>36</v>
      </c>
      <c r="C7483" s="1390" t="str">
        <f>Risk_Compensation!$B$1</f>
        <v xml:space="preserve">Risikoausgleich </v>
      </c>
      <c r="D7483" s="2206" t="s">
        <v>2573</v>
      </c>
      <c r="E7483" s="1390" t="str">
        <f>Risk_Compensation!$D120</f>
        <v>DM2 + hyp</v>
      </c>
      <c r="F7483" s="1390" t="str">
        <f>Risk_Compensation!$AE$86</f>
        <v>VS</v>
      </c>
      <c r="G7483" s="1390"/>
      <c r="H7483" s="1077">
        <f>Risk_Compensation!$AE120</f>
        <v>0</v>
      </c>
    </row>
    <row r="7484" spans="1:8" x14ac:dyDescent="0.2">
      <c r="A7484" s="1027"/>
      <c r="B7484" s="2174"/>
      <c r="C7484" s="1390"/>
      <c r="D7484" s="2175"/>
      <c r="E7484" s="2176"/>
      <c r="F7484" s="1390"/>
      <c r="G7484" s="1390"/>
      <c r="H7484" s="1078"/>
    </row>
    <row r="7485" spans="1:8" x14ac:dyDescent="0.2">
      <c r="A7485" s="1027"/>
      <c r="B7485" s="1083">
        <f>Risk_Compensation!A$1</f>
        <v>36</v>
      </c>
      <c r="C7485" s="1390" t="str">
        <f>Risk_Compensation!$B$1</f>
        <v xml:space="preserve">Risikoausgleich </v>
      </c>
      <c r="D7485" s="2206" t="s">
        <v>2573</v>
      </c>
      <c r="E7485" s="1390" t="str">
        <f>Risk_Compensation!$D87</f>
        <v>ABH</v>
      </c>
      <c r="F7485" s="1390" t="str">
        <f>Risk_Compensation!$AF$86</f>
        <v>ZG</v>
      </c>
      <c r="G7485" s="1390"/>
      <c r="H7485" s="1077">
        <f>Risk_Compensation!$AF87</f>
        <v>0</v>
      </c>
    </row>
    <row r="7486" spans="1:8" x14ac:dyDescent="0.2">
      <c r="A7486" s="1027"/>
      <c r="B7486" s="1083">
        <f>Risk_Compensation!A$1</f>
        <v>36</v>
      </c>
      <c r="C7486" s="1390" t="str">
        <f>Risk_Compensation!$B$1</f>
        <v xml:space="preserve">Risikoausgleich </v>
      </c>
      <c r="D7486" s="2206" t="s">
        <v>2573</v>
      </c>
      <c r="E7486" s="1390" t="str">
        <f>Risk_Compensation!$D88</f>
        <v>ADH</v>
      </c>
      <c r="F7486" s="1390" t="str">
        <f>Risk_Compensation!$AF$86</f>
        <v>ZG</v>
      </c>
      <c r="G7486" s="1390"/>
      <c r="H7486" s="1077">
        <f>Risk_Compensation!$AF88</f>
        <v>0</v>
      </c>
    </row>
    <row r="7487" spans="1:8" x14ac:dyDescent="0.2">
      <c r="A7487" s="1027"/>
      <c r="B7487" s="1083">
        <f>Risk_Compensation!A$1</f>
        <v>36</v>
      </c>
      <c r="C7487" s="1390" t="str">
        <f>Risk_Compensation!$B$1</f>
        <v xml:space="preserve">Risikoausgleich </v>
      </c>
      <c r="D7487" s="2206" t="s">
        <v>2573</v>
      </c>
      <c r="E7487" s="1390" t="str">
        <f>Risk_Compensation!$D89</f>
        <v>AIK</v>
      </c>
      <c r="F7487" s="1390" t="str">
        <f>Risk_Compensation!$AF$86</f>
        <v>ZG</v>
      </c>
      <c r="G7487" s="1390"/>
      <c r="H7487" s="1077">
        <f>Risk_Compensation!$AF89</f>
        <v>0</v>
      </c>
    </row>
    <row r="7488" spans="1:8" x14ac:dyDescent="0.2">
      <c r="A7488" s="1027"/>
      <c r="B7488" s="1083">
        <f>Risk_Compensation!A$1</f>
        <v>36</v>
      </c>
      <c r="C7488" s="1390" t="str">
        <f>Risk_Compensation!$B$1</f>
        <v xml:space="preserve">Risikoausgleich </v>
      </c>
      <c r="D7488" s="2206" t="s">
        <v>2573</v>
      </c>
      <c r="E7488" s="1390" t="str">
        <f>Risk_Compensation!$D90</f>
        <v>ALZ</v>
      </c>
      <c r="F7488" s="1390" t="str">
        <f>Risk_Compensation!$AF$86</f>
        <v>ZG</v>
      </c>
      <c r="G7488" s="1390"/>
      <c r="H7488" s="1077">
        <f>Risk_Compensation!$AF90</f>
        <v>0</v>
      </c>
    </row>
    <row r="7489" spans="1:8" x14ac:dyDescent="0.2">
      <c r="A7489" s="1027"/>
      <c r="B7489" s="1083">
        <f>Risk_Compensation!A$1</f>
        <v>36</v>
      </c>
      <c r="C7489" s="1390" t="str">
        <f>Risk_Compensation!$B$1</f>
        <v xml:space="preserve">Risikoausgleich </v>
      </c>
      <c r="D7489" s="2206" t="s">
        <v>2573</v>
      </c>
      <c r="E7489" s="1390" t="str">
        <f>Risk_Compensation!$D91</f>
        <v>AST</v>
      </c>
      <c r="F7489" s="1390" t="str">
        <f>Risk_Compensation!$AF$86</f>
        <v>ZG</v>
      </c>
      <c r="G7489" s="1390"/>
      <c r="H7489" s="1077">
        <f>Risk_Compensation!$AF91</f>
        <v>0</v>
      </c>
    </row>
    <row r="7490" spans="1:8" x14ac:dyDescent="0.2">
      <c r="A7490" s="1027"/>
      <c r="B7490" s="1083">
        <f>Risk_Compensation!A$1</f>
        <v>36</v>
      </c>
      <c r="C7490" s="1390" t="str">
        <f>Risk_Compensation!$B$1</f>
        <v xml:space="preserve">Risikoausgleich </v>
      </c>
      <c r="D7490" s="2206" t="s">
        <v>2573</v>
      </c>
      <c r="E7490" s="1390" t="str">
        <f>Risk_Compensation!$D92</f>
        <v>BSR</v>
      </c>
      <c r="F7490" s="1390" t="str">
        <f>Risk_Compensation!$AF$86</f>
        <v>ZG</v>
      </c>
      <c r="G7490" s="1390"/>
      <c r="H7490" s="1077">
        <f>Risk_Compensation!$AF92</f>
        <v>0</v>
      </c>
    </row>
    <row r="7491" spans="1:8" x14ac:dyDescent="0.2">
      <c r="A7491" s="1027"/>
      <c r="B7491" s="1083">
        <f>Risk_Compensation!A$1</f>
        <v>36</v>
      </c>
      <c r="C7491" s="1390" t="str">
        <f>Risk_Compensation!$B$1</f>
        <v xml:space="preserve">Risikoausgleich </v>
      </c>
      <c r="D7491" s="2206" t="s">
        <v>2573</v>
      </c>
      <c r="E7491" s="1390" t="str">
        <f>Risk_Compensation!$D93</f>
        <v>CAR</v>
      </c>
      <c r="F7491" s="1390" t="str">
        <f>Risk_Compensation!$AF$86</f>
        <v>ZG</v>
      </c>
      <c r="G7491" s="1390"/>
      <c r="H7491" s="1077">
        <f>Risk_Compensation!$AF93</f>
        <v>0</v>
      </c>
    </row>
    <row r="7492" spans="1:8" x14ac:dyDescent="0.2">
      <c r="A7492" s="1027"/>
      <c r="B7492" s="1083">
        <f>Risk_Compensation!A$1</f>
        <v>36</v>
      </c>
      <c r="C7492" s="1390" t="str">
        <f>Risk_Compensation!$B$1</f>
        <v xml:space="preserve">Risikoausgleich </v>
      </c>
      <c r="D7492" s="2206" t="s">
        <v>2573</v>
      </c>
      <c r="E7492" s="1390" t="str">
        <f>Risk_Compensation!$D94</f>
        <v>COP</v>
      </c>
      <c r="F7492" s="1390" t="str">
        <f>Risk_Compensation!$AF$86</f>
        <v>ZG</v>
      </c>
      <c r="G7492" s="1390"/>
      <c r="H7492" s="1077">
        <f>Risk_Compensation!$AF94</f>
        <v>0</v>
      </c>
    </row>
    <row r="7493" spans="1:8" x14ac:dyDescent="0.2">
      <c r="A7493" s="1027"/>
      <c r="B7493" s="1083">
        <f>Risk_Compensation!A$1</f>
        <v>36</v>
      </c>
      <c r="C7493" s="1390" t="str">
        <f>Risk_Compensation!$B$1</f>
        <v xml:space="preserve">Risikoausgleich </v>
      </c>
      <c r="D7493" s="2206" t="s">
        <v>2573</v>
      </c>
      <c r="E7493" s="1390" t="str">
        <f>Risk_Compensation!$D95</f>
        <v>DEP</v>
      </c>
      <c r="F7493" s="1390" t="str">
        <f>Risk_Compensation!$AF$86</f>
        <v>ZG</v>
      </c>
      <c r="G7493" s="1390"/>
      <c r="H7493" s="1077">
        <f>Risk_Compensation!$AF95</f>
        <v>0</v>
      </c>
    </row>
    <row r="7494" spans="1:8" x14ac:dyDescent="0.2">
      <c r="A7494" s="1027"/>
      <c r="B7494" s="1083">
        <f>Risk_Compensation!A$1</f>
        <v>36</v>
      </c>
      <c r="C7494" s="1390" t="str">
        <f>Risk_Compensation!$B$1</f>
        <v xml:space="preserve">Risikoausgleich </v>
      </c>
      <c r="D7494" s="2206" t="s">
        <v>2573</v>
      </c>
      <c r="E7494" s="1390" t="str">
        <f>Risk_Compensation!$D96</f>
        <v>DM1</v>
      </c>
      <c r="F7494" s="1390" t="str">
        <f>Risk_Compensation!$AF$86</f>
        <v>ZG</v>
      </c>
      <c r="G7494" s="1390"/>
      <c r="H7494" s="1077">
        <f>Risk_Compensation!$AF96</f>
        <v>0</v>
      </c>
    </row>
    <row r="7495" spans="1:8" x14ac:dyDescent="0.2">
      <c r="A7495" s="1027"/>
      <c r="B7495" s="1083">
        <f>Risk_Compensation!A$1</f>
        <v>36</v>
      </c>
      <c r="C7495" s="1390" t="str">
        <f>Risk_Compensation!$B$1</f>
        <v xml:space="preserve">Risikoausgleich </v>
      </c>
      <c r="D7495" s="2206" t="s">
        <v>2573</v>
      </c>
      <c r="E7495" s="1390" t="str">
        <f>Risk_Compensation!$D97</f>
        <v>DM2</v>
      </c>
      <c r="F7495" s="1390" t="str">
        <f>Risk_Compensation!$AF$86</f>
        <v>ZG</v>
      </c>
      <c r="G7495" s="1390"/>
      <c r="H7495" s="1077">
        <f>Risk_Compensation!$AF97</f>
        <v>0</v>
      </c>
    </row>
    <row r="7496" spans="1:8" x14ac:dyDescent="0.2">
      <c r="A7496" s="1027"/>
      <c r="B7496" s="1083">
        <f>Risk_Compensation!A$1</f>
        <v>36</v>
      </c>
      <c r="C7496" s="1390" t="str">
        <f>Risk_Compensation!$B$1</f>
        <v xml:space="preserve">Risikoausgleich </v>
      </c>
      <c r="D7496" s="2206" t="s">
        <v>2573</v>
      </c>
      <c r="E7496" s="1390" t="str">
        <f>Risk_Compensation!$D98</f>
        <v>EPI</v>
      </c>
      <c r="F7496" s="1390" t="str">
        <f>Risk_Compensation!$AF$86</f>
        <v>ZG</v>
      </c>
      <c r="G7496" s="1390"/>
      <c r="H7496" s="1077">
        <f>Risk_Compensation!$AF98</f>
        <v>0</v>
      </c>
    </row>
    <row r="7497" spans="1:8" x14ac:dyDescent="0.2">
      <c r="A7497" s="1027"/>
      <c r="B7497" s="1083">
        <f>Risk_Compensation!A$1</f>
        <v>36</v>
      </c>
      <c r="C7497" s="1390" t="str">
        <f>Risk_Compensation!$B$1</f>
        <v xml:space="preserve">Risikoausgleich </v>
      </c>
      <c r="D7497" s="2206" t="s">
        <v>2573</v>
      </c>
      <c r="E7497" s="1390" t="str">
        <f>Risk_Compensation!$D99</f>
        <v>GLA</v>
      </c>
      <c r="F7497" s="1390" t="str">
        <f>Risk_Compensation!$AF$86</f>
        <v>ZG</v>
      </c>
      <c r="G7497" s="1390"/>
      <c r="H7497" s="1077">
        <f>Risk_Compensation!$AF99</f>
        <v>0</v>
      </c>
    </row>
    <row r="7498" spans="1:8" x14ac:dyDescent="0.2">
      <c r="A7498" s="1027"/>
      <c r="B7498" s="1083">
        <f>Risk_Compensation!A$1</f>
        <v>36</v>
      </c>
      <c r="C7498" s="1390" t="str">
        <f>Risk_Compensation!$B$1</f>
        <v xml:space="preserve">Risikoausgleich </v>
      </c>
      <c r="D7498" s="2206" t="s">
        <v>2573</v>
      </c>
      <c r="E7498" s="1390" t="str">
        <f>Risk_Compensation!$D100</f>
        <v>HCH</v>
      </c>
      <c r="F7498" s="1390" t="str">
        <f>Risk_Compensation!$AF$86</f>
        <v>ZG</v>
      </c>
      <c r="G7498" s="1390"/>
      <c r="H7498" s="1077">
        <f>Risk_Compensation!$AF100</f>
        <v>0</v>
      </c>
    </row>
    <row r="7499" spans="1:8" x14ac:dyDescent="0.2">
      <c r="A7499" s="1027"/>
      <c r="B7499" s="1083">
        <f>Risk_Compensation!A$1</f>
        <v>36</v>
      </c>
      <c r="C7499" s="1390" t="str">
        <f>Risk_Compensation!$B$1</f>
        <v xml:space="preserve">Risikoausgleich </v>
      </c>
      <c r="D7499" s="2206" t="s">
        <v>2573</v>
      </c>
      <c r="E7499" s="1390" t="str">
        <f>Risk_Compensation!$D101</f>
        <v>HIV</v>
      </c>
      <c r="F7499" s="1390" t="str">
        <f>Risk_Compensation!$AF$86</f>
        <v>ZG</v>
      </c>
      <c r="G7499" s="1390"/>
      <c r="H7499" s="1077">
        <f>Risk_Compensation!$AF101</f>
        <v>0</v>
      </c>
    </row>
    <row r="7500" spans="1:8" x14ac:dyDescent="0.2">
      <c r="A7500" s="1027"/>
      <c r="B7500" s="1083">
        <f>Risk_Compensation!A$1</f>
        <v>36</v>
      </c>
      <c r="C7500" s="1390" t="str">
        <f>Risk_Compensation!$B$1</f>
        <v xml:space="preserve">Risikoausgleich </v>
      </c>
      <c r="D7500" s="2206" t="s">
        <v>2573</v>
      </c>
      <c r="E7500" s="1390" t="str">
        <f>Risk_Compensation!$D102</f>
        <v>KHO</v>
      </c>
      <c r="F7500" s="1390" t="str">
        <f>Risk_Compensation!$AF$86</f>
        <v>ZG</v>
      </c>
      <c r="G7500" s="1390"/>
      <c r="H7500" s="1077">
        <f>Risk_Compensation!$AF102</f>
        <v>0</v>
      </c>
    </row>
    <row r="7501" spans="1:8" x14ac:dyDescent="0.2">
      <c r="A7501" s="1027"/>
      <c r="B7501" s="1083">
        <f>Risk_Compensation!A$1</f>
        <v>36</v>
      </c>
      <c r="C7501" s="1390" t="str">
        <f>Risk_Compensation!$B$1</f>
        <v xml:space="preserve">Risikoausgleich </v>
      </c>
      <c r="D7501" s="2206" t="s">
        <v>2573</v>
      </c>
      <c r="E7501" s="1390" t="str">
        <f>Risk_Compensation!$D103</f>
        <v>KRE</v>
      </c>
      <c r="F7501" s="1390" t="str">
        <f>Risk_Compensation!$AF$86</f>
        <v>ZG</v>
      </c>
      <c r="G7501" s="1390"/>
      <c r="H7501" s="1077">
        <f>Risk_Compensation!$AF103</f>
        <v>0</v>
      </c>
    </row>
    <row r="7502" spans="1:8" x14ac:dyDescent="0.2">
      <c r="A7502" s="1027"/>
      <c r="B7502" s="1083">
        <f>Risk_Compensation!A$1</f>
        <v>36</v>
      </c>
      <c r="C7502" s="1390" t="str">
        <f>Risk_Compensation!$B$1</f>
        <v xml:space="preserve">Risikoausgleich </v>
      </c>
      <c r="D7502" s="2206" t="s">
        <v>2573</v>
      </c>
      <c r="E7502" s="1390" t="str">
        <f>Risk_Compensation!$D104</f>
        <v>KRK</v>
      </c>
      <c r="F7502" s="1390" t="str">
        <f>Risk_Compensation!$AF$86</f>
        <v>ZG</v>
      </c>
      <c r="G7502" s="1390"/>
      <c r="H7502" s="1077">
        <f>Risk_Compensation!$AF104</f>
        <v>0</v>
      </c>
    </row>
    <row r="7503" spans="1:8" x14ac:dyDescent="0.2">
      <c r="A7503" s="1027"/>
      <c r="B7503" s="1083">
        <f>Risk_Compensation!A$1</f>
        <v>36</v>
      </c>
      <c r="C7503" s="1390" t="str">
        <f>Risk_Compensation!$B$1</f>
        <v xml:space="preserve">Risikoausgleich </v>
      </c>
      <c r="D7503" s="2206" t="s">
        <v>2573</v>
      </c>
      <c r="E7503" s="1390" t="str">
        <f>Risk_Compensation!$D105</f>
        <v>MCR</v>
      </c>
      <c r="F7503" s="1390" t="str">
        <f>Risk_Compensation!$AF$86</f>
        <v>ZG</v>
      </c>
      <c r="G7503" s="1390"/>
      <c r="H7503" s="1077">
        <f>Risk_Compensation!$AF105</f>
        <v>0</v>
      </c>
    </row>
    <row r="7504" spans="1:8" x14ac:dyDescent="0.2">
      <c r="A7504" s="1027"/>
      <c r="B7504" s="1083">
        <f>Risk_Compensation!A$1</f>
        <v>36</v>
      </c>
      <c r="C7504" s="1390" t="str">
        <f>Risk_Compensation!$B$1</f>
        <v xml:space="preserve">Risikoausgleich </v>
      </c>
      <c r="D7504" s="2206" t="s">
        <v>2573</v>
      </c>
      <c r="E7504" s="1390" t="str">
        <f>Risk_Compensation!$D106</f>
        <v>MSK</v>
      </c>
      <c r="F7504" s="1390" t="str">
        <f>Risk_Compensation!$AF$86</f>
        <v>ZG</v>
      </c>
      <c r="G7504" s="1390"/>
      <c r="H7504" s="1077">
        <f>Risk_Compensation!$AF106</f>
        <v>0</v>
      </c>
    </row>
    <row r="7505" spans="1:8" x14ac:dyDescent="0.2">
      <c r="A7505" s="1027"/>
      <c r="B7505" s="1083">
        <f>Risk_Compensation!A$1</f>
        <v>36</v>
      </c>
      <c r="C7505" s="1390" t="str">
        <f>Risk_Compensation!$B$1</f>
        <v xml:space="preserve">Risikoausgleich </v>
      </c>
      <c r="D7505" s="2206" t="s">
        <v>2573</v>
      </c>
      <c r="E7505" s="1390" t="str">
        <f>Risk_Compensation!$D107</f>
        <v>NIE</v>
      </c>
      <c r="F7505" s="1390" t="str">
        <f>Risk_Compensation!$AF$86</f>
        <v>ZG</v>
      </c>
      <c r="G7505" s="1390"/>
      <c r="H7505" s="1077">
        <f>Risk_Compensation!$AF107</f>
        <v>0</v>
      </c>
    </row>
    <row r="7506" spans="1:8" x14ac:dyDescent="0.2">
      <c r="A7506" s="1027"/>
      <c r="B7506" s="1083">
        <f>Risk_Compensation!A$1</f>
        <v>36</v>
      </c>
      <c r="C7506" s="1390" t="str">
        <f>Risk_Compensation!$B$1</f>
        <v xml:space="preserve">Risikoausgleich </v>
      </c>
      <c r="D7506" s="2206" t="s">
        <v>2573</v>
      </c>
      <c r="E7506" s="1390" t="str">
        <f>Risk_Compensation!$D108</f>
        <v>PAH</v>
      </c>
      <c r="F7506" s="1390" t="str">
        <f>Risk_Compensation!$AF$86</f>
        <v>ZG</v>
      </c>
      <c r="G7506" s="1390"/>
      <c r="H7506" s="1077">
        <f>Risk_Compensation!$AF108</f>
        <v>0</v>
      </c>
    </row>
    <row r="7507" spans="1:8" x14ac:dyDescent="0.2">
      <c r="A7507" s="1027"/>
      <c r="B7507" s="1083">
        <f>Risk_Compensation!A$1</f>
        <v>36</v>
      </c>
      <c r="C7507" s="1390" t="str">
        <f>Risk_Compensation!$B$1</f>
        <v xml:space="preserve">Risikoausgleich </v>
      </c>
      <c r="D7507" s="2206" t="s">
        <v>2573</v>
      </c>
      <c r="E7507" s="1390" t="str">
        <f>Risk_Compensation!$D109</f>
        <v>PAR</v>
      </c>
      <c r="F7507" s="1390" t="str">
        <f>Risk_Compensation!$AF$86</f>
        <v>ZG</v>
      </c>
      <c r="G7507" s="1390"/>
      <c r="H7507" s="1077">
        <f>Risk_Compensation!$AF109</f>
        <v>0</v>
      </c>
    </row>
    <row r="7508" spans="1:8" x14ac:dyDescent="0.2">
      <c r="A7508" s="1027"/>
      <c r="B7508" s="1083">
        <f>Risk_Compensation!A$1</f>
        <v>36</v>
      </c>
      <c r="C7508" s="1390" t="str">
        <f>Risk_Compensation!$B$1</f>
        <v xml:space="preserve">Risikoausgleich </v>
      </c>
      <c r="D7508" s="2206" t="s">
        <v>2573</v>
      </c>
      <c r="E7508" s="1390" t="str">
        <f>Risk_Compensation!$D110</f>
        <v>PSO</v>
      </c>
      <c r="F7508" s="1390" t="str">
        <f>Risk_Compensation!$AF$86</f>
        <v>ZG</v>
      </c>
      <c r="G7508" s="1390"/>
      <c r="H7508" s="1077">
        <f>Risk_Compensation!$AF110</f>
        <v>0</v>
      </c>
    </row>
    <row r="7509" spans="1:8" x14ac:dyDescent="0.2">
      <c r="A7509" s="1027"/>
      <c r="B7509" s="1083">
        <f>Risk_Compensation!A$1</f>
        <v>36</v>
      </c>
      <c r="C7509" s="1390" t="str">
        <f>Risk_Compensation!$B$1</f>
        <v xml:space="preserve">Risikoausgleich </v>
      </c>
      <c r="D7509" s="2206" t="s">
        <v>2573</v>
      </c>
      <c r="E7509" s="1390" t="str">
        <f>Risk_Compensation!$D111</f>
        <v>PSY</v>
      </c>
      <c r="F7509" s="1390" t="str">
        <f>Risk_Compensation!$AF$86</f>
        <v>ZG</v>
      </c>
      <c r="G7509" s="1390"/>
      <c r="H7509" s="1077">
        <f>Risk_Compensation!$AF111</f>
        <v>0</v>
      </c>
    </row>
    <row r="7510" spans="1:8" x14ac:dyDescent="0.2">
      <c r="A7510" s="1027"/>
      <c r="B7510" s="1083">
        <f>Risk_Compensation!A$1</f>
        <v>36</v>
      </c>
      <c r="C7510" s="1390" t="str">
        <f>Risk_Compensation!$B$1</f>
        <v xml:space="preserve">Risikoausgleich </v>
      </c>
      <c r="D7510" s="2206" t="s">
        <v>2573</v>
      </c>
      <c r="E7510" s="1390" t="str">
        <f>Risk_Compensation!$D112</f>
        <v>RHE</v>
      </c>
      <c r="F7510" s="1390" t="str">
        <f>Risk_Compensation!$AF$86</f>
        <v>ZG</v>
      </c>
      <c r="G7510" s="1390"/>
      <c r="H7510" s="1077">
        <f>Risk_Compensation!$AF112</f>
        <v>0</v>
      </c>
    </row>
    <row r="7511" spans="1:8" x14ac:dyDescent="0.2">
      <c r="A7511" s="1027"/>
      <c r="B7511" s="1083">
        <f>Risk_Compensation!A$1</f>
        <v>36</v>
      </c>
      <c r="C7511" s="1390" t="str">
        <f>Risk_Compensation!$B$1</f>
        <v xml:space="preserve">Risikoausgleich </v>
      </c>
      <c r="D7511" s="2206" t="s">
        <v>2573</v>
      </c>
      <c r="E7511" s="1390" t="str">
        <f>Risk_Compensation!$D113</f>
        <v>SMC</v>
      </c>
      <c r="F7511" s="1390" t="str">
        <f>Risk_Compensation!$AF$86</f>
        <v>ZG</v>
      </c>
      <c r="G7511" s="1390"/>
      <c r="H7511" s="1077">
        <f>Risk_Compensation!$AF113</f>
        <v>0</v>
      </c>
    </row>
    <row r="7512" spans="1:8" x14ac:dyDescent="0.2">
      <c r="A7512" s="1027"/>
      <c r="B7512" s="1083">
        <f>Risk_Compensation!A$1</f>
        <v>36</v>
      </c>
      <c r="C7512" s="1390" t="str">
        <f>Risk_Compensation!$B$1</f>
        <v xml:space="preserve">Risikoausgleich </v>
      </c>
      <c r="D7512" s="2206" t="s">
        <v>2573</v>
      </c>
      <c r="E7512" s="1390" t="str">
        <f>Risk_Compensation!$D114</f>
        <v>SMN</v>
      </c>
      <c r="F7512" s="1390" t="str">
        <f>Risk_Compensation!$AF$86</f>
        <v>ZG</v>
      </c>
      <c r="G7512" s="1390"/>
      <c r="H7512" s="1077">
        <f>Risk_Compensation!$AF114</f>
        <v>0</v>
      </c>
    </row>
    <row r="7513" spans="1:8" x14ac:dyDescent="0.2">
      <c r="A7513" s="1027"/>
      <c r="B7513" s="1083">
        <f>Risk_Compensation!A$1</f>
        <v>36</v>
      </c>
      <c r="C7513" s="1390" t="str">
        <f>Risk_Compensation!$B$1</f>
        <v xml:space="preserve">Risikoausgleich </v>
      </c>
      <c r="D7513" s="2206" t="s">
        <v>2573</v>
      </c>
      <c r="E7513" s="1390" t="str">
        <f>Risk_Compensation!$D115</f>
        <v>THY</v>
      </c>
      <c r="F7513" s="1390" t="str">
        <f>Risk_Compensation!$AF$86</f>
        <v>ZG</v>
      </c>
      <c r="G7513" s="1390"/>
      <c r="H7513" s="1077">
        <f>Risk_Compensation!$AF115</f>
        <v>0</v>
      </c>
    </row>
    <row r="7514" spans="1:8" x14ac:dyDescent="0.2">
      <c r="A7514" s="1027"/>
      <c r="B7514" s="1083">
        <f>Risk_Compensation!A$1</f>
        <v>36</v>
      </c>
      <c r="C7514" s="1390" t="str">
        <f>Risk_Compensation!$B$1</f>
        <v xml:space="preserve">Risikoausgleich </v>
      </c>
      <c r="D7514" s="2206" t="s">
        <v>2573</v>
      </c>
      <c r="E7514" s="1390" t="str">
        <f>Risk_Compensation!$D116</f>
        <v>TRA</v>
      </c>
      <c r="F7514" s="1390" t="str">
        <f>Risk_Compensation!$AF$86</f>
        <v>ZG</v>
      </c>
      <c r="G7514" s="1390"/>
      <c r="H7514" s="1077">
        <f>Risk_Compensation!$AF116</f>
        <v>0</v>
      </c>
    </row>
    <row r="7515" spans="1:8" x14ac:dyDescent="0.2">
      <c r="A7515" s="1027"/>
      <c r="B7515" s="1083">
        <f>Risk_Compensation!A$1</f>
        <v>36</v>
      </c>
      <c r="C7515" s="1390" t="str">
        <f>Risk_Compensation!$B$1</f>
        <v xml:space="preserve">Risikoausgleich </v>
      </c>
      <c r="D7515" s="2206" t="s">
        <v>2573</v>
      </c>
      <c r="E7515" s="1390" t="str">
        <f>Risk_Compensation!$D117</f>
        <v>WAS</v>
      </c>
      <c r="F7515" s="1390" t="str">
        <f>Risk_Compensation!$AF$86</f>
        <v>ZG</v>
      </c>
      <c r="G7515" s="1390"/>
      <c r="H7515" s="1077">
        <f>Risk_Compensation!$AF117</f>
        <v>0</v>
      </c>
    </row>
    <row r="7516" spans="1:8" x14ac:dyDescent="0.2">
      <c r="A7516" s="1027"/>
      <c r="B7516" s="1083">
        <f>Risk_Compensation!A$1</f>
        <v>36</v>
      </c>
      <c r="C7516" s="1390" t="str">
        <f>Risk_Compensation!$B$1</f>
        <v xml:space="preserve">Risikoausgleich </v>
      </c>
      <c r="D7516" s="2206" t="s">
        <v>2573</v>
      </c>
      <c r="E7516" s="1390" t="str">
        <f>Risk_Compensation!$D118</f>
        <v>ZFP</v>
      </c>
      <c r="F7516" s="1390" t="str">
        <f>Risk_Compensation!$AF$86</f>
        <v>ZG</v>
      </c>
      <c r="G7516" s="1390"/>
      <c r="H7516" s="1077">
        <f>Risk_Compensation!$AF118</f>
        <v>0</v>
      </c>
    </row>
    <row r="7517" spans="1:8" x14ac:dyDescent="0.2">
      <c r="A7517" s="1027"/>
      <c r="B7517" s="1083">
        <f>Risk_Compensation!A$1</f>
        <v>36</v>
      </c>
      <c r="C7517" s="1390" t="str">
        <f>Risk_Compensation!$B$1</f>
        <v xml:space="preserve">Risikoausgleich </v>
      </c>
      <c r="D7517" s="2206" t="s">
        <v>2573</v>
      </c>
      <c r="E7517" s="1390" t="str">
        <f>Risk_Compensation!$D119</f>
        <v>ZNS</v>
      </c>
      <c r="F7517" s="1390" t="str">
        <f>Risk_Compensation!$AF$86</f>
        <v>ZG</v>
      </c>
      <c r="G7517" s="1390"/>
      <c r="H7517" s="1077">
        <f>Risk_Compensation!$AF119</f>
        <v>0</v>
      </c>
    </row>
    <row r="7518" spans="1:8" x14ac:dyDescent="0.2">
      <c r="A7518" s="1027"/>
      <c r="B7518" s="1083">
        <f>Risk_Compensation!A$1</f>
        <v>36</v>
      </c>
      <c r="C7518" s="1390" t="str">
        <f>Risk_Compensation!$B$1</f>
        <v xml:space="preserve">Risikoausgleich </v>
      </c>
      <c r="D7518" s="2206" t="s">
        <v>2573</v>
      </c>
      <c r="E7518" s="1390" t="str">
        <f>Risk_Compensation!$D120</f>
        <v>DM2 + hyp</v>
      </c>
      <c r="F7518" s="1390" t="str">
        <f>Risk_Compensation!$AF$86</f>
        <v>ZG</v>
      </c>
      <c r="G7518" s="1390"/>
      <c r="H7518" s="1077">
        <f>Risk_Compensation!$AF120</f>
        <v>0</v>
      </c>
    </row>
    <row r="7519" spans="1:8" x14ac:dyDescent="0.2">
      <c r="A7519" s="1027"/>
      <c r="B7519" s="2174"/>
      <c r="C7519" s="1390"/>
      <c r="D7519" s="2175"/>
      <c r="E7519" s="2176"/>
      <c r="F7519" s="1390"/>
      <c r="G7519" s="1390"/>
      <c r="H7519" s="1078"/>
    </row>
    <row r="7520" spans="1:8" x14ac:dyDescent="0.2">
      <c r="A7520" s="1027"/>
      <c r="B7520" s="1083">
        <f>Risk_Compensation!A$1</f>
        <v>36</v>
      </c>
      <c r="C7520" s="1390" t="str">
        <f>Risk_Compensation!$B$1</f>
        <v xml:space="preserve">Risikoausgleich </v>
      </c>
      <c r="D7520" s="2206" t="s">
        <v>2573</v>
      </c>
      <c r="E7520" s="1390" t="str">
        <f>Risk_Compensation!$D87</f>
        <v>ABH</v>
      </c>
      <c r="F7520" s="1390" t="str">
        <f>Risk_Compensation!$AG$86</f>
        <v>ZH</v>
      </c>
      <c r="G7520" s="1390"/>
      <c r="H7520" s="1077">
        <f>Risk_Compensation!$AG87</f>
        <v>0</v>
      </c>
    </row>
    <row r="7521" spans="1:8" x14ac:dyDescent="0.2">
      <c r="A7521" s="1027"/>
      <c r="B7521" s="1083">
        <f>Risk_Compensation!A$1</f>
        <v>36</v>
      </c>
      <c r="C7521" s="1390" t="str">
        <f>Risk_Compensation!$B$1</f>
        <v xml:space="preserve">Risikoausgleich </v>
      </c>
      <c r="D7521" s="2206" t="s">
        <v>2573</v>
      </c>
      <c r="E7521" s="1390" t="str">
        <f>Risk_Compensation!$D88</f>
        <v>ADH</v>
      </c>
      <c r="F7521" s="1390" t="str">
        <f>Risk_Compensation!$AG$86</f>
        <v>ZH</v>
      </c>
      <c r="G7521" s="1390"/>
      <c r="H7521" s="1077">
        <f>Risk_Compensation!$AG88</f>
        <v>0</v>
      </c>
    </row>
    <row r="7522" spans="1:8" x14ac:dyDescent="0.2">
      <c r="A7522" s="1027"/>
      <c r="B7522" s="1083">
        <f>Risk_Compensation!A$1</f>
        <v>36</v>
      </c>
      <c r="C7522" s="1390" t="str">
        <f>Risk_Compensation!$B$1</f>
        <v xml:space="preserve">Risikoausgleich </v>
      </c>
      <c r="D7522" s="2206" t="s">
        <v>2573</v>
      </c>
      <c r="E7522" s="1390" t="str">
        <f>Risk_Compensation!$D89</f>
        <v>AIK</v>
      </c>
      <c r="F7522" s="1390" t="str">
        <f>Risk_Compensation!$AG$86</f>
        <v>ZH</v>
      </c>
      <c r="G7522" s="1390"/>
      <c r="H7522" s="1077">
        <f>Risk_Compensation!$AG89</f>
        <v>0</v>
      </c>
    </row>
    <row r="7523" spans="1:8" x14ac:dyDescent="0.2">
      <c r="A7523" s="1027"/>
      <c r="B7523" s="1083">
        <f>Risk_Compensation!A$1</f>
        <v>36</v>
      </c>
      <c r="C7523" s="1390" t="str">
        <f>Risk_Compensation!$B$1</f>
        <v xml:space="preserve">Risikoausgleich </v>
      </c>
      <c r="D7523" s="2206" t="s">
        <v>2573</v>
      </c>
      <c r="E7523" s="1390" t="str">
        <f>Risk_Compensation!$D90</f>
        <v>ALZ</v>
      </c>
      <c r="F7523" s="1390" t="str">
        <f>Risk_Compensation!$AG$86</f>
        <v>ZH</v>
      </c>
      <c r="G7523" s="1390"/>
      <c r="H7523" s="1077">
        <f>Risk_Compensation!$AG90</f>
        <v>0</v>
      </c>
    </row>
    <row r="7524" spans="1:8" x14ac:dyDescent="0.2">
      <c r="A7524" s="1027"/>
      <c r="B7524" s="1083">
        <f>Risk_Compensation!A$1</f>
        <v>36</v>
      </c>
      <c r="C7524" s="1390" t="str">
        <f>Risk_Compensation!$B$1</f>
        <v xml:space="preserve">Risikoausgleich </v>
      </c>
      <c r="D7524" s="2206" t="s">
        <v>2573</v>
      </c>
      <c r="E7524" s="1390" t="str">
        <f>Risk_Compensation!$D91</f>
        <v>AST</v>
      </c>
      <c r="F7524" s="1390" t="str">
        <f>Risk_Compensation!$AG$86</f>
        <v>ZH</v>
      </c>
      <c r="G7524" s="1390"/>
      <c r="H7524" s="1077">
        <f>Risk_Compensation!$AG91</f>
        <v>0</v>
      </c>
    </row>
    <row r="7525" spans="1:8" x14ac:dyDescent="0.2">
      <c r="A7525" s="1027"/>
      <c r="B7525" s="1083">
        <f>Risk_Compensation!A$1</f>
        <v>36</v>
      </c>
      <c r="C7525" s="1390" t="str">
        <f>Risk_Compensation!$B$1</f>
        <v xml:space="preserve">Risikoausgleich </v>
      </c>
      <c r="D7525" s="2206" t="s">
        <v>2573</v>
      </c>
      <c r="E7525" s="1390" t="str">
        <f>Risk_Compensation!$D92</f>
        <v>BSR</v>
      </c>
      <c r="F7525" s="1390" t="str">
        <f>Risk_Compensation!$AG$86</f>
        <v>ZH</v>
      </c>
      <c r="G7525" s="1390"/>
      <c r="H7525" s="1077">
        <f>Risk_Compensation!$AG92</f>
        <v>0</v>
      </c>
    </row>
    <row r="7526" spans="1:8" x14ac:dyDescent="0.2">
      <c r="A7526" s="1027"/>
      <c r="B7526" s="1083">
        <f>Risk_Compensation!A$1</f>
        <v>36</v>
      </c>
      <c r="C7526" s="1390" t="str">
        <f>Risk_Compensation!$B$1</f>
        <v xml:space="preserve">Risikoausgleich </v>
      </c>
      <c r="D7526" s="2206" t="s">
        <v>2573</v>
      </c>
      <c r="E7526" s="1390" t="str">
        <f>Risk_Compensation!$D93</f>
        <v>CAR</v>
      </c>
      <c r="F7526" s="1390" t="str">
        <f>Risk_Compensation!$AG$86</f>
        <v>ZH</v>
      </c>
      <c r="G7526" s="1390"/>
      <c r="H7526" s="1077">
        <f>Risk_Compensation!$AG93</f>
        <v>0</v>
      </c>
    </row>
    <row r="7527" spans="1:8" x14ac:dyDescent="0.2">
      <c r="A7527" s="1027"/>
      <c r="B7527" s="1083">
        <f>Risk_Compensation!A$1</f>
        <v>36</v>
      </c>
      <c r="C7527" s="1390" t="str">
        <f>Risk_Compensation!$B$1</f>
        <v xml:space="preserve">Risikoausgleich </v>
      </c>
      <c r="D7527" s="2206" t="s">
        <v>2573</v>
      </c>
      <c r="E7527" s="1390" t="str">
        <f>Risk_Compensation!$D94</f>
        <v>COP</v>
      </c>
      <c r="F7527" s="1390" t="str">
        <f>Risk_Compensation!$AG$86</f>
        <v>ZH</v>
      </c>
      <c r="G7527" s="1390"/>
      <c r="H7527" s="1077">
        <f>Risk_Compensation!$AG94</f>
        <v>0</v>
      </c>
    </row>
    <row r="7528" spans="1:8" x14ac:dyDescent="0.2">
      <c r="A7528" s="1027"/>
      <c r="B7528" s="1083">
        <f>Risk_Compensation!A$1</f>
        <v>36</v>
      </c>
      <c r="C7528" s="1390" t="str">
        <f>Risk_Compensation!$B$1</f>
        <v xml:space="preserve">Risikoausgleich </v>
      </c>
      <c r="D7528" s="2206" t="s">
        <v>2573</v>
      </c>
      <c r="E7528" s="1390" t="str">
        <f>Risk_Compensation!$D95</f>
        <v>DEP</v>
      </c>
      <c r="F7528" s="1390" t="str">
        <f>Risk_Compensation!$AG$86</f>
        <v>ZH</v>
      </c>
      <c r="G7528" s="1390"/>
      <c r="H7528" s="1077">
        <f>Risk_Compensation!$AG95</f>
        <v>0</v>
      </c>
    </row>
    <row r="7529" spans="1:8" x14ac:dyDescent="0.2">
      <c r="A7529" s="1027"/>
      <c r="B7529" s="1083">
        <f>Risk_Compensation!A$1</f>
        <v>36</v>
      </c>
      <c r="C7529" s="1390" t="str">
        <f>Risk_Compensation!$B$1</f>
        <v xml:space="preserve">Risikoausgleich </v>
      </c>
      <c r="D7529" s="2206" t="s">
        <v>2573</v>
      </c>
      <c r="E7529" s="1390" t="str">
        <f>Risk_Compensation!$D96</f>
        <v>DM1</v>
      </c>
      <c r="F7529" s="1390" t="str">
        <f>Risk_Compensation!$AG$86</f>
        <v>ZH</v>
      </c>
      <c r="G7529" s="1390"/>
      <c r="H7529" s="1077">
        <f>Risk_Compensation!$AG96</f>
        <v>0</v>
      </c>
    </row>
    <row r="7530" spans="1:8" x14ac:dyDescent="0.2">
      <c r="A7530" s="1027"/>
      <c r="B7530" s="1083">
        <f>Risk_Compensation!A$1</f>
        <v>36</v>
      </c>
      <c r="C7530" s="1390" t="str">
        <f>Risk_Compensation!$B$1</f>
        <v xml:space="preserve">Risikoausgleich </v>
      </c>
      <c r="D7530" s="2206" t="s">
        <v>2573</v>
      </c>
      <c r="E7530" s="1390" t="str">
        <f>Risk_Compensation!$D97</f>
        <v>DM2</v>
      </c>
      <c r="F7530" s="1390" t="str">
        <f>Risk_Compensation!$AG$86</f>
        <v>ZH</v>
      </c>
      <c r="G7530" s="1390"/>
      <c r="H7530" s="1077">
        <f>Risk_Compensation!$AG97</f>
        <v>0</v>
      </c>
    </row>
    <row r="7531" spans="1:8" x14ac:dyDescent="0.2">
      <c r="A7531" s="1027"/>
      <c r="B7531" s="1083">
        <f>Risk_Compensation!A$1</f>
        <v>36</v>
      </c>
      <c r="C7531" s="1390" t="str">
        <f>Risk_Compensation!$B$1</f>
        <v xml:space="preserve">Risikoausgleich </v>
      </c>
      <c r="D7531" s="2206" t="s">
        <v>2573</v>
      </c>
      <c r="E7531" s="1390" t="str">
        <f>Risk_Compensation!$D98</f>
        <v>EPI</v>
      </c>
      <c r="F7531" s="1390" t="str">
        <f>Risk_Compensation!$AG$86</f>
        <v>ZH</v>
      </c>
      <c r="G7531" s="1390"/>
      <c r="H7531" s="1077">
        <f>Risk_Compensation!$AG98</f>
        <v>0</v>
      </c>
    </row>
    <row r="7532" spans="1:8" x14ac:dyDescent="0.2">
      <c r="A7532" s="1027"/>
      <c r="B7532" s="1083">
        <f>Risk_Compensation!A$1</f>
        <v>36</v>
      </c>
      <c r="C7532" s="1390" t="str">
        <f>Risk_Compensation!$B$1</f>
        <v xml:space="preserve">Risikoausgleich </v>
      </c>
      <c r="D7532" s="2206" t="s">
        <v>2573</v>
      </c>
      <c r="E7532" s="1390" t="str">
        <f>Risk_Compensation!$D99</f>
        <v>GLA</v>
      </c>
      <c r="F7532" s="1390" t="str">
        <f>Risk_Compensation!$AG$86</f>
        <v>ZH</v>
      </c>
      <c r="G7532" s="1390"/>
      <c r="H7532" s="1077">
        <f>Risk_Compensation!$AG99</f>
        <v>0</v>
      </c>
    </row>
    <row r="7533" spans="1:8" x14ac:dyDescent="0.2">
      <c r="A7533" s="1027"/>
      <c r="B7533" s="1083">
        <f>Risk_Compensation!A$1</f>
        <v>36</v>
      </c>
      <c r="C7533" s="1390" t="str">
        <f>Risk_Compensation!$B$1</f>
        <v xml:space="preserve">Risikoausgleich </v>
      </c>
      <c r="D7533" s="2206" t="s">
        <v>2573</v>
      </c>
      <c r="E7533" s="1390" t="str">
        <f>Risk_Compensation!$D100</f>
        <v>HCH</v>
      </c>
      <c r="F7533" s="1390" t="str">
        <f>Risk_Compensation!$AG$86</f>
        <v>ZH</v>
      </c>
      <c r="G7533" s="1390"/>
      <c r="H7533" s="1077">
        <f>Risk_Compensation!$AG100</f>
        <v>0</v>
      </c>
    </row>
    <row r="7534" spans="1:8" x14ac:dyDescent="0.2">
      <c r="A7534" s="1027"/>
      <c r="B7534" s="1083">
        <f>Risk_Compensation!A$1</f>
        <v>36</v>
      </c>
      <c r="C7534" s="1390" t="str">
        <f>Risk_Compensation!$B$1</f>
        <v xml:space="preserve">Risikoausgleich </v>
      </c>
      <c r="D7534" s="2206" t="s">
        <v>2573</v>
      </c>
      <c r="E7534" s="1390" t="str">
        <f>Risk_Compensation!$D101</f>
        <v>HIV</v>
      </c>
      <c r="F7534" s="1390" t="str">
        <f>Risk_Compensation!$AG$86</f>
        <v>ZH</v>
      </c>
      <c r="G7534" s="1390"/>
      <c r="H7534" s="1077">
        <f>Risk_Compensation!$AG101</f>
        <v>0</v>
      </c>
    </row>
    <row r="7535" spans="1:8" x14ac:dyDescent="0.2">
      <c r="A7535" s="1027"/>
      <c r="B7535" s="1083">
        <f>Risk_Compensation!A$1</f>
        <v>36</v>
      </c>
      <c r="C7535" s="1390" t="str">
        <f>Risk_Compensation!$B$1</f>
        <v xml:space="preserve">Risikoausgleich </v>
      </c>
      <c r="D7535" s="2206" t="s">
        <v>2573</v>
      </c>
      <c r="E7535" s="1390" t="str">
        <f>Risk_Compensation!$D102</f>
        <v>KHO</v>
      </c>
      <c r="F7535" s="1390" t="str">
        <f>Risk_Compensation!$AG$86</f>
        <v>ZH</v>
      </c>
      <c r="G7535" s="1390"/>
      <c r="H7535" s="1077">
        <f>Risk_Compensation!$AG102</f>
        <v>0</v>
      </c>
    </row>
    <row r="7536" spans="1:8" x14ac:dyDescent="0.2">
      <c r="A7536" s="1027"/>
      <c r="B7536" s="1083">
        <f>Risk_Compensation!A$1</f>
        <v>36</v>
      </c>
      <c r="C7536" s="1390" t="str">
        <f>Risk_Compensation!$B$1</f>
        <v xml:space="preserve">Risikoausgleich </v>
      </c>
      <c r="D7536" s="2206" t="s">
        <v>2573</v>
      </c>
      <c r="E7536" s="1390" t="str">
        <f>Risk_Compensation!$D103</f>
        <v>KRE</v>
      </c>
      <c r="F7536" s="1390" t="str">
        <f>Risk_Compensation!$AG$86</f>
        <v>ZH</v>
      </c>
      <c r="G7536" s="1390"/>
      <c r="H7536" s="1077">
        <f>Risk_Compensation!$AG103</f>
        <v>0</v>
      </c>
    </row>
    <row r="7537" spans="1:8" x14ac:dyDescent="0.2">
      <c r="A7537" s="1027"/>
      <c r="B7537" s="1083">
        <f>Risk_Compensation!A$1</f>
        <v>36</v>
      </c>
      <c r="C7537" s="1390" t="str">
        <f>Risk_Compensation!$B$1</f>
        <v xml:space="preserve">Risikoausgleich </v>
      </c>
      <c r="D7537" s="2206" t="s">
        <v>2573</v>
      </c>
      <c r="E7537" s="1390" t="str">
        <f>Risk_Compensation!$D104</f>
        <v>KRK</v>
      </c>
      <c r="F7537" s="1390" t="str">
        <f>Risk_Compensation!$AG$86</f>
        <v>ZH</v>
      </c>
      <c r="G7537" s="1390"/>
      <c r="H7537" s="1077">
        <f>Risk_Compensation!$AG104</f>
        <v>0</v>
      </c>
    </row>
    <row r="7538" spans="1:8" x14ac:dyDescent="0.2">
      <c r="A7538" s="1027"/>
      <c r="B7538" s="1083">
        <f>Risk_Compensation!A$1</f>
        <v>36</v>
      </c>
      <c r="C7538" s="1390" t="str">
        <f>Risk_Compensation!$B$1</f>
        <v xml:space="preserve">Risikoausgleich </v>
      </c>
      <c r="D7538" s="2206" t="s">
        <v>2573</v>
      </c>
      <c r="E7538" s="1390" t="str">
        <f>Risk_Compensation!$D105</f>
        <v>MCR</v>
      </c>
      <c r="F7538" s="1390" t="str">
        <f>Risk_Compensation!$AG$86</f>
        <v>ZH</v>
      </c>
      <c r="G7538" s="1390"/>
      <c r="H7538" s="1077">
        <f>Risk_Compensation!$AG105</f>
        <v>0</v>
      </c>
    </row>
    <row r="7539" spans="1:8" x14ac:dyDescent="0.2">
      <c r="A7539" s="1027"/>
      <c r="B7539" s="1083">
        <f>Risk_Compensation!A$1</f>
        <v>36</v>
      </c>
      <c r="C7539" s="1390" t="str">
        <f>Risk_Compensation!$B$1</f>
        <v xml:space="preserve">Risikoausgleich </v>
      </c>
      <c r="D7539" s="2206" t="s">
        <v>2573</v>
      </c>
      <c r="E7539" s="1390" t="str">
        <f>Risk_Compensation!$D106</f>
        <v>MSK</v>
      </c>
      <c r="F7539" s="1390" t="str">
        <f>Risk_Compensation!$AG$86</f>
        <v>ZH</v>
      </c>
      <c r="G7539" s="1390"/>
      <c r="H7539" s="1077">
        <f>Risk_Compensation!$AG106</f>
        <v>0</v>
      </c>
    </row>
    <row r="7540" spans="1:8" x14ac:dyDescent="0.2">
      <c r="A7540" s="1027"/>
      <c r="B7540" s="1083">
        <f>Risk_Compensation!A$1</f>
        <v>36</v>
      </c>
      <c r="C7540" s="1390" t="str">
        <f>Risk_Compensation!$B$1</f>
        <v xml:space="preserve">Risikoausgleich </v>
      </c>
      <c r="D7540" s="2206" t="s">
        <v>2573</v>
      </c>
      <c r="E7540" s="1390" t="str">
        <f>Risk_Compensation!$D107</f>
        <v>NIE</v>
      </c>
      <c r="F7540" s="1390" t="str">
        <f>Risk_Compensation!$AG$86</f>
        <v>ZH</v>
      </c>
      <c r="G7540" s="1390"/>
      <c r="H7540" s="1077">
        <f>Risk_Compensation!$AG107</f>
        <v>0</v>
      </c>
    </row>
    <row r="7541" spans="1:8" x14ac:dyDescent="0.2">
      <c r="A7541" s="1027"/>
      <c r="B7541" s="1083">
        <f>Risk_Compensation!A$1</f>
        <v>36</v>
      </c>
      <c r="C7541" s="1390" t="str">
        <f>Risk_Compensation!$B$1</f>
        <v xml:space="preserve">Risikoausgleich </v>
      </c>
      <c r="D7541" s="2206" t="s">
        <v>2573</v>
      </c>
      <c r="E7541" s="1390" t="str">
        <f>Risk_Compensation!$D108</f>
        <v>PAH</v>
      </c>
      <c r="F7541" s="1390" t="str">
        <f>Risk_Compensation!$AG$86</f>
        <v>ZH</v>
      </c>
      <c r="G7541" s="1390"/>
      <c r="H7541" s="1077">
        <f>Risk_Compensation!$AG108</f>
        <v>0</v>
      </c>
    </row>
    <row r="7542" spans="1:8" x14ac:dyDescent="0.2">
      <c r="A7542" s="1027"/>
      <c r="B7542" s="1083">
        <f>Risk_Compensation!A$1</f>
        <v>36</v>
      </c>
      <c r="C7542" s="1390" t="str">
        <f>Risk_Compensation!$B$1</f>
        <v xml:space="preserve">Risikoausgleich </v>
      </c>
      <c r="D7542" s="2206" t="s">
        <v>2573</v>
      </c>
      <c r="E7542" s="1390" t="str">
        <f>Risk_Compensation!$D109</f>
        <v>PAR</v>
      </c>
      <c r="F7542" s="1390" t="str">
        <f>Risk_Compensation!$AG$86</f>
        <v>ZH</v>
      </c>
      <c r="G7542" s="1390"/>
      <c r="H7542" s="1077">
        <f>Risk_Compensation!$AG109</f>
        <v>0</v>
      </c>
    </row>
    <row r="7543" spans="1:8" x14ac:dyDescent="0.2">
      <c r="A7543" s="1027"/>
      <c r="B7543" s="1083">
        <f>Risk_Compensation!A$1</f>
        <v>36</v>
      </c>
      <c r="C7543" s="1390" t="str">
        <f>Risk_Compensation!$B$1</f>
        <v xml:space="preserve">Risikoausgleich </v>
      </c>
      <c r="D7543" s="2206" t="s">
        <v>2573</v>
      </c>
      <c r="E7543" s="1390" t="str">
        <f>Risk_Compensation!$D110</f>
        <v>PSO</v>
      </c>
      <c r="F7543" s="1390" t="str">
        <f>Risk_Compensation!$AG$86</f>
        <v>ZH</v>
      </c>
      <c r="G7543" s="1390"/>
      <c r="H7543" s="1077">
        <f>Risk_Compensation!$AG110</f>
        <v>0</v>
      </c>
    </row>
    <row r="7544" spans="1:8" x14ac:dyDescent="0.2">
      <c r="A7544" s="1027"/>
      <c r="B7544" s="1083">
        <f>Risk_Compensation!A$1</f>
        <v>36</v>
      </c>
      <c r="C7544" s="1390" t="str">
        <f>Risk_Compensation!$B$1</f>
        <v xml:space="preserve">Risikoausgleich </v>
      </c>
      <c r="D7544" s="2206" t="s">
        <v>2573</v>
      </c>
      <c r="E7544" s="1390" t="str">
        <f>Risk_Compensation!$D111</f>
        <v>PSY</v>
      </c>
      <c r="F7544" s="1390" t="str">
        <f>Risk_Compensation!$AG$86</f>
        <v>ZH</v>
      </c>
      <c r="G7544" s="1390"/>
      <c r="H7544" s="1077">
        <f>Risk_Compensation!$AG111</f>
        <v>0</v>
      </c>
    </row>
    <row r="7545" spans="1:8" x14ac:dyDescent="0.2">
      <c r="A7545" s="1027"/>
      <c r="B7545" s="1083">
        <f>Risk_Compensation!A$1</f>
        <v>36</v>
      </c>
      <c r="C7545" s="1390" t="str">
        <f>Risk_Compensation!$B$1</f>
        <v xml:space="preserve">Risikoausgleich </v>
      </c>
      <c r="D7545" s="2206" t="s">
        <v>2573</v>
      </c>
      <c r="E7545" s="1390" t="str">
        <f>Risk_Compensation!$D112</f>
        <v>RHE</v>
      </c>
      <c r="F7545" s="1390" t="str">
        <f>Risk_Compensation!$AG$86</f>
        <v>ZH</v>
      </c>
      <c r="G7545" s="1390"/>
      <c r="H7545" s="1077">
        <f>Risk_Compensation!$AG112</f>
        <v>0</v>
      </c>
    </row>
    <row r="7546" spans="1:8" x14ac:dyDescent="0.2">
      <c r="A7546" s="1027"/>
      <c r="B7546" s="1083">
        <f>Risk_Compensation!A$1</f>
        <v>36</v>
      </c>
      <c r="C7546" s="1390" t="str">
        <f>Risk_Compensation!$B$1</f>
        <v xml:space="preserve">Risikoausgleich </v>
      </c>
      <c r="D7546" s="2206" t="s">
        <v>2573</v>
      </c>
      <c r="E7546" s="1390" t="str">
        <f>Risk_Compensation!$D113</f>
        <v>SMC</v>
      </c>
      <c r="F7546" s="1390" t="str">
        <f>Risk_Compensation!$AG$86</f>
        <v>ZH</v>
      </c>
      <c r="G7546" s="1390"/>
      <c r="H7546" s="1077">
        <f>Risk_Compensation!$AG113</f>
        <v>0</v>
      </c>
    </row>
    <row r="7547" spans="1:8" x14ac:dyDescent="0.2">
      <c r="A7547" s="1027"/>
      <c r="B7547" s="1083">
        <f>Risk_Compensation!A$1</f>
        <v>36</v>
      </c>
      <c r="C7547" s="1390" t="str">
        <f>Risk_Compensation!$B$1</f>
        <v xml:space="preserve">Risikoausgleich </v>
      </c>
      <c r="D7547" s="2206" t="s">
        <v>2573</v>
      </c>
      <c r="E7547" s="1390" t="str">
        <f>Risk_Compensation!$D114</f>
        <v>SMN</v>
      </c>
      <c r="F7547" s="1390" t="str">
        <f>Risk_Compensation!$AG$86</f>
        <v>ZH</v>
      </c>
      <c r="G7547" s="1390"/>
      <c r="H7547" s="1077">
        <f>Risk_Compensation!$AG114</f>
        <v>0</v>
      </c>
    </row>
    <row r="7548" spans="1:8" x14ac:dyDescent="0.2">
      <c r="A7548" s="1027"/>
      <c r="B7548" s="1083">
        <f>Risk_Compensation!A$1</f>
        <v>36</v>
      </c>
      <c r="C7548" s="1390" t="str">
        <f>Risk_Compensation!$B$1</f>
        <v xml:space="preserve">Risikoausgleich </v>
      </c>
      <c r="D7548" s="2206" t="s">
        <v>2573</v>
      </c>
      <c r="E7548" s="1390" t="str">
        <f>Risk_Compensation!$D115</f>
        <v>THY</v>
      </c>
      <c r="F7548" s="1390" t="str">
        <f>Risk_Compensation!$AG$86</f>
        <v>ZH</v>
      </c>
      <c r="G7548" s="1390"/>
      <c r="H7548" s="1077">
        <f>Risk_Compensation!$AG115</f>
        <v>0</v>
      </c>
    </row>
    <row r="7549" spans="1:8" x14ac:dyDescent="0.2">
      <c r="A7549" s="1027"/>
      <c r="B7549" s="1083">
        <f>Risk_Compensation!A$1</f>
        <v>36</v>
      </c>
      <c r="C7549" s="1390" t="str">
        <f>Risk_Compensation!$B$1</f>
        <v xml:space="preserve">Risikoausgleich </v>
      </c>
      <c r="D7549" s="2206" t="s">
        <v>2573</v>
      </c>
      <c r="E7549" s="1390" t="str">
        <f>Risk_Compensation!$D116</f>
        <v>TRA</v>
      </c>
      <c r="F7549" s="1390" t="str">
        <f>Risk_Compensation!$AG$86</f>
        <v>ZH</v>
      </c>
      <c r="G7549" s="1390"/>
      <c r="H7549" s="1077">
        <f>Risk_Compensation!$AG116</f>
        <v>0</v>
      </c>
    </row>
    <row r="7550" spans="1:8" x14ac:dyDescent="0.2">
      <c r="A7550" s="1027"/>
      <c r="B7550" s="1083">
        <f>Risk_Compensation!A$1</f>
        <v>36</v>
      </c>
      <c r="C7550" s="1390" t="str">
        <f>Risk_Compensation!$B$1</f>
        <v xml:space="preserve">Risikoausgleich </v>
      </c>
      <c r="D7550" s="2206" t="s">
        <v>2573</v>
      </c>
      <c r="E7550" s="1390" t="str">
        <f>Risk_Compensation!$D117</f>
        <v>WAS</v>
      </c>
      <c r="F7550" s="1390" t="str">
        <f>Risk_Compensation!$AG$86</f>
        <v>ZH</v>
      </c>
      <c r="G7550" s="1390"/>
      <c r="H7550" s="1077">
        <f>Risk_Compensation!$AG117</f>
        <v>0</v>
      </c>
    </row>
    <row r="7551" spans="1:8" x14ac:dyDescent="0.2">
      <c r="A7551" s="1027"/>
      <c r="B7551" s="1083">
        <f>Risk_Compensation!A$1</f>
        <v>36</v>
      </c>
      <c r="C7551" s="1390" t="str">
        <f>Risk_Compensation!$B$1</f>
        <v xml:space="preserve">Risikoausgleich </v>
      </c>
      <c r="D7551" s="2206" t="s">
        <v>2573</v>
      </c>
      <c r="E7551" s="1390" t="str">
        <f>Risk_Compensation!$D118</f>
        <v>ZFP</v>
      </c>
      <c r="F7551" s="1390" t="str">
        <f>Risk_Compensation!$AG$86</f>
        <v>ZH</v>
      </c>
      <c r="G7551" s="1390"/>
      <c r="H7551" s="1077">
        <f>Risk_Compensation!$AG118</f>
        <v>0</v>
      </c>
    </row>
    <row r="7552" spans="1:8" x14ac:dyDescent="0.2">
      <c r="A7552" s="1027"/>
      <c r="B7552" s="1083">
        <f>Risk_Compensation!A$1</f>
        <v>36</v>
      </c>
      <c r="C7552" s="1390" t="str">
        <f>Risk_Compensation!$B$1</f>
        <v xml:space="preserve">Risikoausgleich </v>
      </c>
      <c r="D7552" s="2206" t="s">
        <v>2573</v>
      </c>
      <c r="E7552" s="1390" t="str">
        <f>Risk_Compensation!$D119</f>
        <v>ZNS</v>
      </c>
      <c r="F7552" s="1390" t="str">
        <f>Risk_Compensation!$AG$86</f>
        <v>ZH</v>
      </c>
      <c r="G7552" s="1390"/>
      <c r="H7552" s="1077">
        <f>Risk_Compensation!$AG119</f>
        <v>0</v>
      </c>
    </row>
    <row r="7553" spans="1:36" x14ac:dyDescent="0.2">
      <c r="A7553" s="1027"/>
      <c r="B7553" s="1083">
        <f>Risk_Compensation!A$1</f>
        <v>36</v>
      </c>
      <c r="C7553" s="1390" t="str">
        <f>Risk_Compensation!$B$1</f>
        <v xml:space="preserve">Risikoausgleich </v>
      </c>
      <c r="D7553" s="2206" t="s">
        <v>2573</v>
      </c>
      <c r="E7553" s="1390" t="str">
        <f>Risk_Compensation!$D120</f>
        <v>DM2 + hyp</v>
      </c>
      <c r="F7553" s="1390" t="str">
        <f>Risk_Compensation!$AG$86</f>
        <v>ZH</v>
      </c>
      <c r="G7553" s="1390"/>
      <c r="H7553" s="1077">
        <f>Risk_Compensation!$AG120</f>
        <v>0</v>
      </c>
    </row>
    <row r="7554" spans="1:36" x14ac:dyDescent="0.2">
      <c r="A7554" s="1027"/>
      <c r="B7554" s="2174"/>
      <c r="C7554" s="1390"/>
      <c r="D7554" s="2175"/>
      <c r="E7554" s="2176"/>
      <c r="F7554" s="1390"/>
      <c r="G7554" s="1390"/>
      <c r="H7554" s="1078"/>
    </row>
    <row r="7555" spans="1:36" x14ac:dyDescent="0.2">
      <c r="A7555" s="1027"/>
      <c r="B7555" s="1083">
        <f>Risk_Compensation!A$1</f>
        <v>36</v>
      </c>
      <c r="C7555" s="1390" t="str">
        <f>Risk_Compensation!$B$1</f>
        <v xml:space="preserve">Risikoausgleich </v>
      </c>
      <c r="D7555" s="2206" t="s">
        <v>2573</v>
      </c>
      <c r="E7555" s="1390" t="str">
        <f>Risk_Compensation!$G$122</f>
        <v>Summe</v>
      </c>
      <c r="F7555" s="1743" t="str">
        <f>Risk_Compensation!H$86</f>
        <v>AG</v>
      </c>
      <c r="G7555" s="1390"/>
      <c r="H7555" s="1077">
        <f>Risk_Compensation!H$122</f>
        <v>0</v>
      </c>
      <c r="U7555" s="1027"/>
      <c r="V7555" s="1027"/>
      <c r="W7555" s="1027"/>
      <c r="X7555" s="1027"/>
      <c r="Y7555" s="1027"/>
      <c r="Z7555" s="1027"/>
      <c r="AA7555" s="1027"/>
      <c r="AB7555" s="1027"/>
      <c r="AC7555" s="1027"/>
      <c r="AD7555" s="1027"/>
      <c r="AE7555" s="1027"/>
      <c r="AF7555" s="1027"/>
      <c r="AG7555" s="1027"/>
      <c r="AH7555" s="1027"/>
      <c r="AI7555" s="1027"/>
      <c r="AJ7555" s="1027"/>
    </row>
    <row r="7556" spans="1:36" x14ac:dyDescent="0.2">
      <c r="A7556" s="1027"/>
      <c r="B7556" s="1083">
        <f>Risk_Compensation!A$1</f>
        <v>36</v>
      </c>
      <c r="C7556" s="1390" t="str">
        <f>Risk_Compensation!$B$1</f>
        <v xml:space="preserve">Risikoausgleich </v>
      </c>
      <c r="D7556" s="2206" t="s">
        <v>2573</v>
      </c>
      <c r="E7556" s="1390" t="str">
        <f>Risk_Compensation!$G$122</f>
        <v>Summe</v>
      </c>
      <c r="F7556" s="1743" t="str">
        <f>Risk_Compensation!I$86</f>
        <v>AI</v>
      </c>
      <c r="G7556" s="1390"/>
      <c r="H7556" s="1077">
        <f>Risk_Compensation!I$122</f>
        <v>0</v>
      </c>
    </row>
    <row r="7557" spans="1:36" x14ac:dyDescent="0.2">
      <c r="A7557" s="1027"/>
      <c r="B7557" s="1083">
        <f>Risk_Compensation!A$1</f>
        <v>36</v>
      </c>
      <c r="C7557" s="1390" t="str">
        <f>Risk_Compensation!$B$1</f>
        <v xml:space="preserve">Risikoausgleich </v>
      </c>
      <c r="D7557" s="2206" t="s">
        <v>2573</v>
      </c>
      <c r="E7557" s="1390" t="str">
        <f>Risk_Compensation!$G$122</f>
        <v>Summe</v>
      </c>
      <c r="F7557" s="1743" t="str">
        <f>Risk_Compensation!J$86</f>
        <v>AR</v>
      </c>
      <c r="G7557" s="1390"/>
      <c r="H7557" s="1077">
        <f>Risk_Compensation!J$122</f>
        <v>0</v>
      </c>
    </row>
    <row r="7558" spans="1:36" x14ac:dyDescent="0.2">
      <c r="A7558" s="1027"/>
      <c r="B7558" s="1083">
        <f>Risk_Compensation!A$1</f>
        <v>36</v>
      </c>
      <c r="C7558" s="1390" t="str">
        <f>Risk_Compensation!$B$1</f>
        <v xml:space="preserve">Risikoausgleich </v>
      </c>
      <c r="D7558" s="2206" t="s">
        <v>2573</v>
      </c>
      <c r="E7558" s="1390" t="str">
        <f>Risk_Compensation!$G$122</f>
        <v>Summe</v>
      </c>
      <c r="F7558" s="1743" t="str">
        <f>Risk_Compensation!K$86</f>
        <v>BE</v>
      </c>
      <c r="G7558" s="1390"/>
      <c r="H7558" s="1077">
        <f>Risk_Compensation!K$122</f>
        <v>0</v>
      </c>
    </row>
    <row r="7559" spans="1:36" x14ac:dyDescent="0.2">
      <c r="A7559" s="1027"/>
      <c r="B7559" s="1083">
        <f>Risk_Compensation!A$1</f>
        <v>36</v>
      </c>
      <c r="C7559" s="1390" t="str">
        <f>Risk_Compensation!$B$1</f>
        <v xml:space="preserve">Risikoausgleich </v>
      </c>
      <c r="D7559" s="2206" t="s">
        <v>2573</v>
      </c>
      <c r="E7559" s="1390" t="str">
        <f>Risk_Compensation!$G$122</f>
        <v>Summe</v>
      </c>
      <c r="F7559" s="1743" t="str">
        <f>Risk_Compensation!L$86</f>
        <v>BL</v>
      </c>
      <c r="G7559" s="1390"/>
      <c r="H7559" s="1077">
        <f>Risk_Compensation!L$122</f>
        <v>0</v>
      </c>
    </row>
    <row r="7560" spans="1:36" x14ac:dyDescent="0.2">
      <c r="A7560" s="1027"/>
      <c r="B7560" s="1083">
        <f>Risk_Compensation!A$1</f>
        <v>36</v>
      </c>
      <c r="C7560" s="1390" t="str">
        <f>Risk_Compensation!$B$1</f>
        <v xml:space="preserve">Risikoausgleich </v>
      </c>
      <c r="D7560" s="2206" t="s">
        <v>2573</v>
      </c>
      <c r="E7560" s="1390" t="str">
        <f>Risk_Compensation!$G$122</f>
        <v>Summe</v>
      </c>
      <c r="F7560" s="1743" t="str">
        <f>Risk_Compensation!M$86</f>
        <v>BS</v>
      </c>
      <c r="G7560" s="1390"/>
      <c r="H7560" s="1077">
        <f>Risk_Compensation!M$122</f>
        <v>0</v>
      </c>
    </row>
    <row r="7561" spans="1:36" x14ac:dyDescent="0.2">
      <c r="A7561" s="1027"/>
      <c r="B7561" s="1083">
        <f>Risk_Compensation!A$1</f>
        <v>36</v>
      </c>
      <c r="C7561" s="1390" t="str">
        <f>Risk_Compensation!$B$1</f>
        <v xml:space="preserve">Risikoausgleich </v>
      </c>
      <c r="D7561" s="2206" t="s">
        <v>2573</v>
      </c>
      <c r="E7561" s="1390" t="str">
        <f>Risk_Compensation!$G$122</f>
        <v>Summe</v>
      </c>
      <c r="F7561" s="1743" t="str">
        <f>Risk_Compensation!N$86</f>
        <v>FR</v>
      </c>
      <c r="G7561" s="1390"/>
      <c r="H7561" s="1077">
        <f>Risk_Compensation!N$122</f>
        <v>0</v>
      </c>
    </row>
    <row r="7562" spans="1:36" x14ac:dyDescent="0.2">
      <c r="A7562" s="1027"/>
      <c r="B7562" s="1083">
        <f>Risk_Compensation!A$1</f>
        <v>36</v>
      </c>
      <c r="C7562" s="1390" t="str">
        <f>Risk_Compensation!$B$1</f>
        <v xml:space="preserve">Risikoausgleich </v>
      </c>
      <c r="D7562" s="2206" t="s">
        <v>2573</v>
      </c>
      <c r="E7562" s="1390" t="str">
        <f>Risk_Compensation!$G$122</f>
        <v>Summe</v>
      </c>
      <c r="F7562" s="1743" t="str">
        <f>Risk_Compensation!O$86</f>
        <v>GE</v>
      </c>
      <c r="G7562" s="1390"/>
      <c r="H7562" s="1077">
        <f>Risk_Compensation!O$122</f>
        <v>0</v>
      </c>
    </row>
    <row r="7563" spans="1:36" x14ac:dyDescent="0.2">
      <c r="A7563" s="1027"/>
      <c r="B7563" s="1083">
        <f>Risk_Compensation!A$1</f>
        <v>36</v>
      </c>
      <c r="C7563" s="1390" t="str">
        <f>Risk_Compensation!$B$1</f>
        <v xml:space="preserve">Risikoausgleich </v>
      </c>
      <c r="D7563" s="2206" t="s">
        <v>2573</v>
      </c>
      <c r="E7563" s="1390" t="str">
        <f>Risk_Compensation!$G$122</f>
        <v>Summe</v>
      </c>
      <c r="F7563" s="1743" t="str">
        <f>Risk_Compensation!P$86</f>
        <v>GL</v>
      </c>
      <c r="G7563" s="1390"/>
      <c r="H7563" s="1077">
        <f>Risk_Compensation!P$122</f>
        <v>0</v>
      </c>
    </row>
    <row r="7564" spans="1:36" x14ac:dyDescent="0.2">
      <c r="A7564" s="1027"/>
      <c r="B7564" s="1083">
        <f>Risk_Compensation!A$1</f>
        <v>36</v>
      </c>
      <c r="C7564" s="1390" t="str">
        <f>Risk_Compensation!$B$1</f>
        <v xml:space="preserve">Risikoausgleich </v>
      </c>
      <c r="D7564" s="2206" t="s">
        <v>2573</v>
      </c>
      <c r="E7564" s="1390" t="str">
        <f>Risk_Compensation!$G$122</f>
        <v>Summe</v>
      </c>
      <c r="F7564" s="1743" t="str">
        <f>Risk_Compensation!Q$86</f>
        <v>GR</v>
      </c>
      <c r="G7564" s="1390"/>
      <c r="H7564" s="1077">
        <f>Risk_Compensation!Q$122</f>
        <v>0</v>
      </c>
    </row>
    <row r="7565" spans="1:36" x14ac:dyDescent="0.2">
      <c r="A7565" s="1027"/>
      <c r="B7565" s="1083">
        <f>Risk_Compensation!A$1</f>
        <v>36</v>
      </c>
      <c r="C7565" s="1390" t="str">
        <f>Risk_Compensation!$B$1</f>
        <v xml:space="preserve">Risikoausgleich </v>
      </c>
      <c r="D7565" s="2206" t="s">
        <v>2573</v>
      </c>
      <c r="E7565" s="1390" t="str">
        <f>Risk_Compensation!$G$122</f>
        <v>Summe</v>
      </c>
      <c r="F7565" s="1743" t="str">
        <f>Risk_Compensation!R$86</f>
        <v>JU</v>
      </c>
      <c r="G7565" s="1390"/>
      <c r="H7565" s="1077">
        <f>Risk_Compensation!R$122</f>
        <v>0</v>
      </c>
    </row>
    <row r="7566" spans="1:36" x14ac:dyDescent="0.2">
      <c r="A7566" s="1027"/>
      <c r="B7566" s="1083">
        <f>Risk_Compensation!A$1</f>
        <v>36</v>
      </c>
      <c r="C7566" s="1390" t="str">
        <f>Risk_Compensation!$B$1</f>
        <v xml:space="preserve">Risikoausgleich </v>
      </c>
      <c r="D7566" s="2206" t="s">
        <v>2573</v>
      </c>
      <c r="E7566" s="1390" t="str">
        <f>Risk_Compensation!$G$122</f>
        <v>Summe</v>
      </c>
      <c r="F7566" s="1743" t="str">
        <f>Risk_Compensation!S$86</f>
        <v>LU</v>
      </c>
      <c r="G7566" s="1390"/>
      <c r="H7566" s="1077">
        <f>Risk_Compensation!S$122</f>
        <v>0</v>
      </c>
    </row>
    <row r="7567" spans="1:36" x14ac:dyDescent="0.2">
      <c r="A7567" s="1027"/>
      <c r="B7567" s="1083">
        <f>Risk_Compensation!A$1</f>
        <v>36</v>
      </c>
      <c r="C7567" s="1390" t="str">
        <f>Risk_Compensation!$B$1</f>
        <v xml:space="preserve">Risikoausgleich </v>
      </c>
      <c r="D7567" s="2206" t="s">
        <v>2573</v>
      </c>
      <c r="E7567" s="1390" t="str">
        <f>Risk_Compensation!$G$122</f>
        <v>Summe</v>
      </c>
      <c r="F7567" s="1743" t="str">
        <f>Risk_Compensation!T$86</f>
        <v>NE</v>
      </c>
      <c r="G7567" s="1390"/>
      <c r="H7567" s="1077">
        <f>Risk_Compensation!T$122</f>
        <v>0</v>
      </c>
    </row>
    <row r="7568" spans="1:36" x14ac:dyDescent="0.2">
      <c r="A7568" s="1027"/>
      <c r="B7568" s="1083">
        <f>Risk_Compensation!A$1</f>
        <v>36</v>
      </c>
      <c r="C7568" s="1390" t="str">
        <f>Risk_Compensation!$B$1</f>
        <v xml:space="preserve">Risikoausgleich </v>
      </c>
      <c r="D7568" s="2206" t="s">
        <v>2573</v>
      </c>
      <c r="E7568" s="1390" t="str">
        <f>Risk_Compensation!$G$122</f>
        <v>Summe</v>
      </c>
      <c r="F7568" s="1743" t="str">
        <f>Risk_Compensation!U$86</f>
        <v>NW</v>
      </c>
      <c r="G7568" s="1390"/>
      <c r="H7568" s="1077">
        <f>Risk_Compensation!U$122</f>
        <v>0</v>
      </c>
    </row>
    <row r="7569" spans="1:8" x14ac:dyDescent="0.2">
      <c r="A7569" s="1027"/>
      <c r="B7569" s="1083">
        <f>Risk_Compensation!A$1</f>
        <v>36</v>
      </c>
      <c r="C7569" s="1390" t="str">
        <f>Risk_Compensation!$B$1</f>
        <v xml:space="preserve">Risikoausgleich </v>
      </c>
      <c r="D7569" s="2206" t="s">
        <v>2573</v>
      </c>
      <c r="E7569" s="1390" t="str">
        <f>Risk_Compensation!$G$122</f>
        <v>Summe</v>
      </c>
      <c r="F7569" s="1743" t="str">
        <f>Risk_Compensation!V$86</f>
        <v>OW</v>
      </c>
      <c r="G7569" s="1390"/>
      <c r="H7569" s="1077">
        <f>Risk_Compensation!V$122</f>
        <v>0</v>
      </c>
    </row>
    <row r="7570" spans="1:8" x14ac:dyDescent="0.2">
      <c r="A7570" s="1027"/>
      <c r="B7570" s="1083">
        <f>Risk_Compensation!A$1</f>
        <v>36</v>
      </c>
      <c r="C7570" s="1390" t="str">
        <f>Risk_Compensation!$B$1</f>
        <v xml:space="preserve">Risikoausgleich </v>
      </c>
      <c r="D7570" s="2206" t="s">
        <v>2573</v>
      </c>
      <c r="E7570" s="1390" t="str">
        <f>Risk_Compensation!$G$122</f>
        <v>Summe</v>
      </c>
      <c r="F7570" s="1743" t="str">
        <f>Risk_Compensation!W$86</f>
        <v>SG</v>
      </c>
      <c r="G7570" s="1390"/>
      <c r="H7570" s="1077">
        <f>Risk_Compensation!W$122</f>
        <v>0</v>
      </c>
    </row>
    <row r="7571" spans="1:8" x14ac:dyDescent="0.2">
      <c r="A7571" s="1027"/>
      <c r="B7571" s="1083">
        <f>Risk_Compensation!A$1</f>
        <v>36</v>
      </c>
      <c r="C7571" s="1390" t="str">
        <f>Risk_Compensation!$B$1</f>
        <v xml:space="preserve">Risikoausgleich </v>
      </c>
      <c r="D7571" s="2206" t="s">
        <v>2573</v>
      </c>
      <c r="E7571" s="1390" t="str">
        <f>Risk_Compensation!$G$122</f>
        <v>Summe</v>
      </c>
      <c r="F7571" s="1743" t="str">
        <f>Risk_Compensation!X$86</f>
        <v>SH</v>
      </c>
      <c r="G7571" s="1390"/>
      <c r="H7571" s="1077">
        <f>Risk_Compensation!X$122</f>
        <v>0</v>
      </c>
    </row>
    <row r="7572" spans="1:8" x14ac:dyDescent="0.2">
      <c r="A7572" s="1027"/>
      <c r="B7572" s="1083">
        <f>Risk_Compensation!A$1</f>
        <v>36</v>
      </c>
      <c r="C7572" s="1390" t="str">
        <f>Risk_Compensation!$B$1</f>
        <v xml:space="preserve">Risikoausgleich </v>
      </c>
      <c r="D7572" s="2206" t="s">
        <v>2573</v>
      </c>
      <c r="E7572" s="1390" t="str">
        <f>Risk_Compensation!$G$122</f>
        <v>Summe</v>
      </c>
      <c r="F7572" s="1743" t="str">
        <f>Risk_Compensation!Y$86</f>
        <v>SO</v>
      </c>
      <c r="G7572" s="1390"/>
      <c r="H7572" s="1077">
        <f>Risk_Compensation!Y$122</f>
        <v>0</v>
      </c>
    </row>
    <row r="7573" spans="1:8" x14ac:dyDescent="0.2">
      <c r="A7573" s="1027"/>
      <c r="B7573" s="1083">
        <f>Risk_Compensation!A$1</f>
        <v>36</v>
      </c>
      <c r="C7573" s="1390" t="str">
        <f>Risk_Compensation!$B$1</f>
        <v xml:space="preserve">Risikoausgleich </v>
      </c>
      <c r="D7573" s="2206" t="s">
        <v>2573</v>
      </c>
      <c r="E7573" s="1390" t="str">
        <f>Risk_Compensation!$G$122</f>
        <v>Summe</v>
      </c>
      <c r="F7573" s="1743" t="str">
        <f>Risk_Compensation!Z$86</f>
        <v>SZ</v>
      </c>
      <c r="G7573" s="1390"/>
      <c r="H7573" s="1077">
        <f>Risk_Compensation!Z$122</f>
        <v>0</v>
      </c>
    </row>
    <row r="7574" spans="1:8" x14ac:dyDescent="0.2">
      <c r="A7574" s="1027"/>
      <c r="B7574" s="1083">
        <f>Risk_Compensation!A$1</f>
        <v>36</v>
      </c>
      <c r="C7574" s="1390" t="str">
        <f>Risk_Compensation!$B$1</f>
        <v xml:space="preserve">Risikoausgleich </v>
      </c>
      <c r="D7574" s="2206" t="s">
        <v>2573</v>
      </c>
      <c r="E7574" s="1390" t="str">
        <f>Risk_Compensation!$G$122</f>
        <v>Summe</v>
      </c>
      <c r="F7574" s="1743" t="str">
        <f>Risk_Compensation!AA$86</f>
        <v>TG</v>
      </c>
      <c r="G7574" s="1390"/>
      <c r="H7574" s="1077">
        <f>Risk_Compensation!AA$122</f>
        <v>0</v>
      </c>
    </row>
    <row r="7575" spans="1:8" x14ac:dyDescent="0.2">
      <c r="A7575" s="1027"/>
      <c r="B7575" s="1083">
        <f>Risk_Compensation!A$1</f>
        <v>36</v>
      </c>
      <c r="C7575" s="1390" t="str">
        <f>Risk_Compensation!$B$1</f>
        <v xml:space="preserve">Risikoausgleich </v>
      </c>
      <c r="D7575" s="2206" t="s">
        <v>2573</v>
      </c>
      <c r="E7575" s="1390" t="str">
        <f>Risk_Compensation!$G$122</f>
        <v>Summe</v>
      </c>
      <c r="F7575" s="1743" t="str">
        <f>Risk_Compensation!AB$86</f>
        <v>TI</v>
      </c>
      <c r="G7575" s="1390"/>
      <c r="H7575" s="1077">
        <f>Risk_Compensation!AB$122</f>
        <v>0</v>
      </c>
    </row>
    <row r="7576" spans="1:8" x14ac:dyDescent="0.2">
      <c r="A7576" s="1027"/>
      <c r="B7576" s="1083">
        <f>Risk_Compensation!A$1</f>
        <v>36</v>
      </c>
      <c r="C7576" s="1390" t="str">
        <f>Risk_Compensation!$B$1</f>
        <v xml:space="preserve">Risikoausgleich </v>
      </c>
      <c r="D7576" s="2206" t="s">
        <v>2573</v>
      </c>
      <c r="E7576" s="1390" t="str">
        <f>Risk_Compensation!$G$122</f>
        <v>Summe</v>
      </c>
      <c r="F7576" s="1743" t="str">
        <f>Risk_Compensation!AC$86</f>
        <v>UR</v>
      </c>
      <c r="G7576" s="1390"/>
      <c r="H7576" s="1077">
        <f>Risk_Compensation!AC$122</f>
        <v>0</v>
      </c>
    </row>
    <row r="7577" spans="1:8" x14ac:dyDescent="0.2">
      <c r="A7577" s="1027"/>
      <c r="B7577" s="1083">
        <f>Risk_Compensation!A$1</f>
        <v>36</v>
      </c>
      <c r="C7577" s="1390" t="str">
        <f>Risk_Compensation!$B$1</f>
        <v xml:space="preserve">Risikoausgleich </v>
      </c>
      <c r="D7577" s="2206" t="s">
        <v>2573</v>
      </c>
      <c r="E7577" s="1390" t="str">
        <f>Risk_Compensation!$G$122</f>
        <v>Summe</v>
      </c>
      <c r="F7577" s="1743" t="str">
        <f>Risk_Compensation!AD$86</f>
        <v>VD</v>
      </c>
      <c r="G7577" s="1390"/>
      <c r="H7577" s="1077">
        <f>Risk_Compensation!AD$122</f>
        <v>0</v>
      </c>
    </row>
    <row r="7578" spans="1:8" x14ac:dyDescent="0.2">
      <c r="A7578" s="1027"/>
      <c r="B7578" s="1083">
        <f>Risk_Compensation!A$1</f>
        <v>36</v>
      </c>
      <c r="C7578" s="1390" t="str">
        <f>Risk_Compensation!$B$1</f>
        <v xml:space="preserve">Risikoausgleich </v>
      </c>
      <c r="D7578" s="2206" t="s">
        <v>2573</v>
      </c>
      <c r="E7578" s="1390" t="str">
        <f>Risk_Compensation!$G$122</f>
        <v>Summe</v>
      </c>
      <c r="F7578" s="1743" t="str">
        <f>Risk_Compensation!AE$86</f>
        <v>VS</v>
      </c>
      <c r="G7578" s="1390"/>
      <c r="H7578" s="1077">
        <f>Risk_Compensation!AE$122</f>
        <v>0</v>
      </c>
    </row>
    <row r="7579" spans="1:8" x14ac:dyDescent="0.2">
      <c r="A7579" s="1027"/>
      <c r="B7579" s="1083">
        <f>Risk_Compensation!A$1</f>
        <v>36</v>
      </c>
      <c r="C7579" s="1390" t="str">
        <f>Risk_Compensation!$B$1</f>
        <v xml:space="preserve">Risikoausgleich </v>
      </c>
      <c r="D7579" s="2206" t="s">
        <v>2573</v>
      </c>
      <c r="E7579" s="1390" t="str">
        <f>Risk_Compensation!$G$122</f>
        <v>Summe</v>
      </c>
      <c r="F7579" s="1743" t="str">
        <f>Risk_Compensation!AF$86</f>
        <v>ZG</v>
      </c>
      <c r="G7579" s="1390"/>
      <c r="H7579" s="1077">
        <f>Risk_Compensation!AF$122</f>
        <v>0</v>
      </c>
    </row>
    <row r="7580" spans="1:8" x14ac:dyDescent="0.2">
      <c r="A7580" s="1027"/>
      <c r="B7580" s="1083">
        <f>Risk_Compensation!A$1</f>
        <v>36</v>
      </c>
      <c r="C7580" s="1390" t="str">
        <f>Risk_Compensation!$B$1</f>
        <v xml:space="preserve">Risikoausgleich </v>
      </c>
      <c r="D7580" s="2206" t="s">
        <v>2573</v>
      </c>
      <c r="E7580" s="1390" t="str">
        <f>Risk_Compensation!$G$122</f>
        <v>Summe</v>
      </c>
      <c r="F7580" s="1743" t="str">
        <f>Risk_Compensation!AG$86</f>
        <v>ZH</v>
      </c>
      <c r="G7580" s="1390"/>
      <c r="H7580" s="1077">
        <f>Risk_Compensation!AG$122</f>
        <v>0</v>
      </c>
    </row>
    <row r="7581" spans="1:8" x14ac:dyDescent="0.2">
      <c r="A7581" s="1027"/>
      <c r="B7581" s="2174"/>
      <c r="C7581" s="1390"/>
      <c r="D7581" s="2175"/>
      <c r="E7581" s="2176"/>
      <c r="F7581" s="1390"/>
      <c r="G7581" s="1390"/>
      <c r="H7581" s="1078"/>
    </row>
    <row r="7582" spans="1:8" x14ac:dyDescent="0.2">
      <c r="A7582" s="1027"/>
      <c r="B7582" s="1083">
        <f>Risk_Compensation!A$1</f>
        <v>36</v>
      </c>
      <c r="C7582" s="1390" t="str">
        <f>Risk_Compensation!$B$1</f>
        <v xml:space="preserve">Risikoausgleich </v>
      </c>
      <c r="D7582" s="1743" t="str">
        <f>Risk_Compensation!$AJ$84</f>
        <v xml:space="preserve">PCG-Zuschlag pro Monat in CHF </v>
      </c>
      <c r="E7582" s="1390" t="str">
        <f>Risk_Compensation!$AM87</f>
        <v>ABH</v>
      </c>
      <c r="F7582" s="1390"/>
      <c r="G7582" s="1390"/>
      <c r="H7582" s="1077">
        <f>Risk_Compensation!$AK87</f>
        <v>478.70721435540003</v>
      </c>
    </row>
    <row r="7583" spans="1:8" x14ac:dyDescent="0.2">
      <c r="A7583" s="1027"/>
      <c r="B7583" s="1083">
        <f>Risk_Compensation!A$1</f>
        <v>36</v>
      </c>
      <c r="C7583" s="1390" t="str">
        <f>Risk_Compensation!$B$1</f>
        <v xml:space="preserve">Risikoausgleich </v>
      </c>
      <c r="D7583" s="1743" t="str">
        <f>Risk_Compensation!$AJ$84</f>
        <v xml:space="preserve">PCG-Zuschlag pro Monat in CHF </v>
      </c>
      <c r="E7583" s="1390" t="str">
        <f>Risk_Compensation!$AM88</f>
        <v>ADH</v>
      </c>
      <c r="F7583" s="1390"/>
      <c r="G7583" s="1390"/>
      <c r="H7583" s="1077">
        <f>Risk_Compensation!$AK88</f>
        <v>293.94256591790003</v>
      </c>
    </row>
    <row r="7584" spans="1:8" x14ac:dyDescent="0.2">
      <c r="A7584" s="1027"/>
      <c r="B7584" s="1083">
        <f>Risk_Compensation!A$1</f>
        <v>36</v>
      </c>
      <c r="C7584" s="1390" t="str">
        <f>Risk_Compensation!$B$1</f>
        <v xml:space="preserve">Risikoausgleich </v>
      </c>
      <c r="D7584" s="1743" t="str">
        <f>Risk_Compensation!$AJ$84</f>
        <v xml:space="preserve">PCG-Zuschlag pro Monat in CHF </v>
      </c>
      <c r="E7584" s="1390" t="str">
        <f>Risk_Compensation!$AM89</f>
        <v>AIK</v>
      </c>
      <c r="F7584" s="1390"/>
      <c r="G7584" s="1390"/>
      <c r="H7584" s="1077">
        <f>Risk_Compensation!$AK89</f>
        <v>1548.3742675781</v>
      </c>
    </row>
    <row r="7585" spans="1:8" x14ac:dyDescent="0.2">
      <c r="A7585" s="1027"/>
      <c r="B7585" s="1083">
        <f>Risk_Compensation!A$1</f>
        <v>36</v>
      </c>
      <c r="C7585" s="1390" t="str">
        <f>Risk_Compensation!$B$1</f>
        <v xml:space="preserve">Risikoausgleich </v>
      </c>
      <c r="D7585" s="1743" t="str">
        <f>Risk_Compensation!$AJ$84</f>
        <v xml:space="preserve">PCG-Zuschlag pro Monat in CHF </v>
      </c>
      <c r="E7585" s="1390" t="str">
        <f>Risk_Compensation!$AM90</f>
        <v>ALZ</v>
      </c>
      <c r="F7585" s="1390"/>
      <c r="G7585" s="1390"/>
      <c r="H7585" s="1077">
        <f>Risk_Compensation!$AK90</f>
        <v>624.53460693349996</v>
      </c>
    </row>
    <row r="7586" spans="1:8" x14ac:dyDescent="0.2">
      <c r="A7586" s="1027"/>
      <c r="B7586" s="1083">
        <f>Risk_Compensation!A$1</f>
        <v>36</v>
      </c>
      <c r="C7586" s="1390" t="str">
        <f>Risk_Compensation!$B$1</f>
        <v xml:space="preserve">Risikoausgleich </v>
      </c>
      <c r="D7586" s="1743" t="str">
        <f>Risk_Compensation!$AJ$84</f>
        <v xml:space="preserve">PCG-Zuschlag pro Monat in CHF </v>
      </c>
      <c r="E7586" s="1390" t="str">
        <f>Risk_Compensation!$AM91</f>
        <v>AST</v>
      </c>
      <c r="F7586" s="1390"/>
      <c r="G7586" s="1390"/>
      <c r="H7586" s="1077">
        <f>Risk_Compensation!$AK91</f>
        <v>251.21760559079999</v>
      </c>
    </row>
    <row r="7587" spans="1:8" x14ac:dyDescent="0.2">
      <c r="A7587" s="1027"/>
      <c r="B7587" s="1083">
        <f>Risk_Compensation!A$1</f>
        <v>36</v>
      </c>
      <c r="C7587" s="1390" t="str">
        <f>Risk_Compensation!$B$1</f>
        <v xml:space="preserve">Risikoausgleich </v>
      </c>
      <c r="D7587" s="1743" t="str">
        <f>Risk_Compensation!$AJ$84</f>
        <v xml:space="preserve">PCG-Zuschlag pro Monat in CHF </v>
      </c>
      <c r="E7587" s="1390" t="str">
        <f>Risk_Compensation!$AM92</f>
        <v>BSR</v>
      </c>
      <c r="F7587" s="1390"/>
      <c r="G7587" s="1390"/>
      <c r="H7587" s="1077">
        <f>Risk_Compensation!$AK92</f>
        <v>249.94161987300001</v>
      </c>
    </row>
    <row r="7588" spans="1:8" x14ac:dyDescent="0.2">
      <c r="A7588" s="1027"/>
      <c r="B7588" s="1083">
        <f>Risk_Compensation!A$1</f>
        <v>36</v>
      </c>
      <c r="C7588" s="1390" t="str">
        <f>Risk_Compensation!$B$1</f>
        <v xml:space="preserve">Risikoausgleich </v>
      </c>
      <c r="D7588" s="1743" t="str">
        <f>Risk_Compensation!$AJ$84</f>
        <v xml:space="preserve">PCG-Zuschlag pro Monat in CHF </v>
      </c>
      <c r="E7588" s="1390" t="str">
        <f>Risk_Compensation!$AM93</f>
        <v>CAR</v>
      </c>
      <c r="F7588" s="1390"/>
      <c r="G7588" s="1390"/>
      <c r="H7588" s="1077">
        <f>Risk_Compensation!$AK93</f>
        <v>471.18014526360002</v>
      </c>
    </row>
    <row r="7589" spans="1:8" x14ac:dyDescent="0.2">
      <c r="A7589" s="1027"/>
      <c r="B7589" s="1083">
        <f>Risk_Compensation!A$1</f>
        <v>36</v>
      </c>
      <c r="C7589" s="1390" t="str">
        <f>Risk_Compensation!$B$1</f>
        <v xml:space="preserve">Risikoausgleich </v>
      </c>
      <c r="D7589" s="1743" t="str">
        <f>Risk_Compensation!$AJ$84</f>
        <v xml:space="preserve">PCG-Zuschlag pro Monat in CHF </v>
      </c>
      <c r="E7589" s="1390" t="str">
        <f>Risk_Compensation!$AM94</f>
        <v>COP</v>
      </c>
      <c r="F7589" s="1390"/>
      <c r="G7589" s="1390"/>
      <c r="H7589" s="1077">
        <f>Risk_Compensation!$AK94</f>
        <v>636.32360839839998</v>
      </c>
    </row>
    <row r="7590" spans="1:8" x14ac:dyDescent="0.2">
      <c r="A7590" s="1027"/>
      <c r="B7590" s="1083">
        <f>Risk_Compensation!A$1</f>
        <v>36</v>
      </c>
      <c r="C7590" s="1390" t="str">
        <f>Risk_Compensation!$B$1</f>
        <v xml:space="preserve">Risikoausgleich </v>
      </c>
      <c r="D7590" s="1743" t="str">
        <f>Risk_Compensation!$AJ$84</f>
        <v xml:space="preserve">PCG-Zuschlag pro Monat in CHF </v>
      </c>
      <c r="E7590" s="1390" t="str">
        <f>Risk_Compensation!$AM95</f>
        <v>DEP</v>
      </c>
      <c r="F7590" s="1390"/>
      <c r="G7590" s="1390"/>
      <c r="H7590" s="1077">
        <f>Risk_Compensation!$AK95</f>
        <v>372.12539672849999</v>
      </c>
    </row>
    <row r="7591" spans="1:8" x14ac:dyDescent="0.2">
      <c r="A7591" s="1027"/>
      <c r="B7591" s="1083">
        <f>Risk_Compensation!A$1</f>
        <v>36</v>
      </c>
      <c r="C7591" s="1390" t="str">
        <f>Risk_Compensation!$B$1</f>
        <v xml:space="preserve">Risikoausgleich </v>
      </c>
      <c r="D7591" s="1743" t="str">
        <f>Risk_Compensation!$AJ$84</f>
        <v xml:space="preserve">PCG-Zuschlag pro Monat in CHF </v>
      </c>
      <c r="E7591" s="1390" t="str">
        <f>Risk_Compensation!$AM96</f>
        <v>DM1</v>
      </c>
      <c r="F7591" s="1390"/>
      <c r="G7591" s="1390"/>
      <c r="H7591" s="1077">
        <f>Risk_Compensation!$AK96</f>
        <v>743.63946533199999</v>
      </c>
    </row>
    <row r="7592" spans="1:8" x14ac:dyDescent="0.2">
      <c r="A7592" s="1027"/>
      <c r="B7592" s="1083">
        <f>Risk_Compensation!A$1</f>
        <v>36</v>
      </c>
      <c r="C7592" s="1390" t="str">
        <f>Risk_Compensation!$B$1</f>
        <v xml:space="preserve">Risikoausgleich </v>
      </c>
      <c r="D7592" s="1743" t="str">
        <f>Risk_Compensation!$AJ$84</f>
        <v xml:space="preserve">PCG-Zuschlag pro Monat in CHF </v>
      </c>
      <c r="E7592" s="1390" t="str">
        <f>Risk_Compensation!$AM97</f>
        <v>DM2</v>
      </c>
      <c r="F7592" s="1390"/>
      <c r="G7592" s="1390"/>
      <c r="H7592" s="1077">
        <f>Risk_Compensation!$AK97</f>
        <v>237.429321289</v>
      </c>
    </row>
    <row r="7593" spans="1:8" x14ac:dyDescent="0.2">
      <c r="A7593" s="1027"/>
      <c r="B7593" s="1083">
        <f>Risk_Compensation!A$1</f>
        <v>36</v>
      </c>
      <c r="C7593" s="1390" t="str">
        <f>Risk_Compensation!$B$1</f>
        <v xml:space="preserve">Risikoausgleich </v>
      </c>
      <c r="D7593" s="1743" t="str">
        <f>Risk_Compensation!$AJ$84</f>
        <v xml:space="preserve">PCG-Zuschlag pro Monat in CHF </v>
      </c>
      <c r="E7593" s="1390" t="str">
        <f>Risk_Compensation!$AM98</f>
        <v>EPI</v>
      </c>
      <c r="F7593" s="1390"/>
      <c r="G7593" s="1390"/>
      <c r="H7593" s="1077">
        <f>Risk_Compensation!$AK98</f>
        <v>525.6919555664</v>
      </c>
    </row>
    <row r="7594" spans="1:8" x14ac:dyDescent="0.2">
      <c r="A7594" s="1027"/>
      <c r="B7594" s="1083">
        <f>Risk_Compensation!A$1</f>
        <v>36</v>
      </c>
      <c r="C7594" s="1390" t="str">
        <f>Risk_Compensation!$B$1</f>
        <v xml:space="preserve">Risikoausgleich </v>
      </c>
      <c r="D7594" s="1743" t="str">
        <f>Risk_Compensation!$AJ$84</f>
        <v xml:space="preserve">PCG-Zuschlag pro Monat in CHF </v>
      </c>
      <c r="E7594" s="1390" t="str">
        <f>Risk_Compensation!$AM99</f>
        <v>GLA</v>
      </c>
      <c r="F7594" s="1390"/>
      <c r="G7594" s="1390"/>
      <c r="H7594" s="1077">
        <f>Risk_Compensation!$AK99</f>
        <v>102.1604309082</v>
      </c>
    </row>
    <row r="7595" spans="1:8" x14ac:dyDescent="0.2">
      <c r="A7595" s="1027"/>
      <c r="B7595" s="1083">
        <f>Risk_Compensation!A$1</f>
        <v>36</v>
      </c>
      <c r="C7595" s="1390" t="str">
        <f>Risk_Compensation!$B$1</f>
        <v xml:space="preserve">Risikoausgleich </v>
      </c>
      <c r="D7595" s="1743" t="str">
        <f>Risk_Compensation!$AJ$84</f>
        <v xml:space="preserve">PCG-Zuschlag pro Monat in CHF </v>
      </c>
      <c r="E7595" s="1390" t="str">
        <f>Risk_Compensation!$AM100</f>
        <v>HCH</v>
      </c>
      <c r="F7595" s="1390"/>
      <c r="G7595" s="1390"/>
      <c r="H7595" s="1077">
        <f>Risk_Compensation!$AK100</f>
        <v>112.14567565909999</v>
      </c>
    </row>
    <row r="7596" spans="1:8" x14ac:dyDescent="0.2">
      <c r="A7596" s="1027"/>
      <c r="B7596" s="1083">
        <f>Risk_Compensation!A$1</f>
        <v>36</v>
      </c>
      <c r="C7596" s="1390" t="str">
        <f>Risk_Compensation!$B$1</f>
        <v xml:space="preserve">Risikoausgleich </v>
      </c>
      <c r="D7596" s="1743" t="str">
        <f>Risk_Compensation!$AJ$84</f>
        <v xml:space="preserve">PCG-Zuschlag pro Monat in CHF </v>
      </c>
      <c r="E7596" s="1390" t="str">
        <f>Risk_Compensation!$AM101</f>
        <v>HIV</v>
      </c>
      <c r="F7596" s="1390"/>
      <c r="G7596" s="1390"/>
      <c r="H7596" s="1077">
        <f>Risk_Compensation!$AK101</f>
        <v>1395.6036376953</v>
      </c>
    </row>
    <row r="7597" spans="1:8" x14ac:dyDescent="0.2">
      <c r="A7597" s="1027"/>
      <c r="B7597" s="1083">
        <f>Risk_Compensation!A$1</f>
        <v>36</v>
      </c>
      <c r="C7597" s="1390" t="str">
        <f>Risk_Compensation!$B$1</f>
        <v xml:space="preserve">Risikoausgleich </v>
      </c>
      <c r="D7597" s="1743" t="str">
        <f>Risk_Compensation!$AJ$84</f>
        <v xml:space="preserve">PCG-Zuschlag pro Monat in CHF </v>
      </c>
      <c r="E7597" s="1390" t="str">
        <f>Risk_Compensation!$AM102</f>
        <v>KHO</v>
      </c>
      <c r="F7597" s="1390"/>
      <c r="G7597" s="1390"/>
      <c r="H7597" s="1077">
        <f>Risk_Compensation!$AK102</f>
        <v>380.09869384759998</v>
      </c>
    </row>
    <row r="7598" spans="1:8" x14ac:dyDescent="0.2">
      <c r="A7598" s="1027"/>
      <c r="B7598" s="1083">
        <f>Risk_Compensation!A$1</f>
        <v>36</v>
      </c>
      <c r="C7598" s="1390" t="str">
        <f>Risk_Compensation!$B$1</f>
        <v xml:space="preserve">Risikoausgleich </v>
      </c>
      <c r="D7598" s="1743" t="str">
        <f>Risk_Compensation!$AJ$84</f>
        <v xml:space="preserve">PCG-Zuschlag pro Monat in CHF </v>
      </c>
      <c r="E7598" s="1390" t="str">
        <f>Risk_Compensation!$AM103</f>
        <v>KRE</v>
      </c>
      <c r="F7598" s="1390"/>
      <c r="G7598" s="1390"/>
      <c r="H7598" s="1077">
        <f>Risk_Compensation!$AK103</f>
        <v>660.80895996089998</v>
      </c>
    </row>
    <row r="7599" spans="1:8" x14ac:dyDescent="0.2">
      <c r="A7599" s="1027"/>
      <c r="B7599" s="1083">
        <f>Risk_Compensation!A$1</f>
        <v>36</v>
      </c>
      <c r="C7599" s="1390" t="str">
        <f>Risk_Compensation!$B$1</f>
        <v xml:space="preserve">Risikoausgleich </v>
      </c>
      <c r="D7599" s="1743" t="str">
        <f>Risk_Compensation!$AJ$84</f>
        <v xml:space="preserve">PCG-Zuschlag pro Monat in CHF </v>
      </c>
      <c r="E7599" s="1390" t="str">
        <f>Risk_Compensation!$AM104</f>
        <v>KRK</v>
      </c>
      <c r="F7599" s="1390"/>
      <c r="G7599" s="1390"/>
      <c r="H7599" s="1077">
        <f>Risk_Compensation!$AK104</f>
        <v>3487.7263183593</v>
      </c>
    </row>
    <row r="7600" spans="1:8" x14ac:dyDescent="0.2">
      <c r="A7600" s="1027"/>
      <c r="B7600" s="1083">
        <f>Risk_Compensation!A$1</f>
        <v>36</v>
      </c>
      <c r="C7600" s="1390" t="str">
        <f>Risk_Compensation!$B$1</f>
        <v xml:space="preserve">Risikoausgleich </v>
      </c>
      <c r="D7600" s="1743" t="str">
        <f>Risk_Compensation!$AJ$84</f>
        <v xml:space="preserve">PCG-Zuschlag pro Monat in CHF </v>
      </c>
      <c r="E7600" s="1390" t="str">
        <f>Risk_Compensation!$AM105</f>
        <v>MCR</v>
      </c>
      <c r="F7600" s="1390"/>
      <c r="G7600" s="1390"/>
      <c r="H7600" s="1077">
        <f>Risk_Compensation!$AK105</f>
        <v>335.96752929680002</v>
      </c>
    </row>
    <row r="7601" spans="1:20" x14ac:dyDescent="0.2">
      <c r="A7601" s="1027"/>
      <c r="B7601" s="1083">
        <f>Risk_Compensation!A$1</f>
        <v>36</v>
      </c>
      <c r="C7601" s="1390" t="str">
        <f>Risk_Compensation!$B$1</f>
        <v xml:space="preserve">Risikoausgleich </v>
      </c>
      <c r="D7601" s="1743" t="str">
        <f>Risk_Compensation!$AJ$84</f>
        <v xml:space="preserve">PCG-Zuschlag pro Monat in CHF </v>
      </c>
      <c r="E7601" s="1390" t="str">
        <f>Risk_Compensation!$AM106</f>
        <v>MSK</v>
      </c>
      <c r="F7601" s="1390"/>
      <c r="G7601" s="1390"/>
      <c r="H7601" s="1077">
        <f>Risk_Compensation!$AK106</f>
        <v>1790.4907226562</v>
      </c>
    </row>
    <row r="7602" spans="1:20" x14ac:dyDescent="0.2">
      <c r="A7602" s="1027"/>
      <c r="B7602" s="1083">
        <f>Risk_Compensation!A$1</f>
        <v>36</v>
      </c>
      <c r="C7602" s="1390" t="str">
        <f>Risk_Compensation!$B$1</f>
        <v xml:space="preserve">Risikoausgleich </v>
      </c>
      <c r="D7602" s="1743" t="str">
        <f>Risk_Compensation!$AJ$84</f>
        <v xml:space="preserve">PCG-Zuschlag pro Monat in CHF </v>
      </c>
      <c r="E7602" s="1390" t="str">
        <f>Risk_Compensation!$AM107</f>
        <v>NIE</v>
      </c>
      <c r="F7602" s="1390"/>
      <c r="G7602" s="1390"/>
      <c r="H7602" s="1077">
        <f>Risk_Compensation!$AK107</f>
        <v>5702.1538085937</v>
      </c>
    </row>
    <row r="7603" spans="1:20" x14ac:dyDescent="0.2">
      <c r="A7603" s="1027"/>
      <c r="B7603" s="1083">
        <f>Risk_Compensation!A$1</f>
        <v>36</v>
      </c>
      <c r="C7603" s="1390" t="str">
        <f>Risk_Compensation!$B$1</f>
        <v xml:space="preserve">Risikoausgleich </v>
      </c>
      <c r="D7603" s="1743" t="str">
        <f>Risk_Compensation!$AJ$84</f>
        <v xml:space="preserve">PCG-Zuschlag pro Monat in CHF </v>
      </c>
      <c r="E7603" s="1390" t="str">
        <f>Risk_Compensation!$AM108</f>
        <v>PAH</v>
      </c>
      <c r="F7603" s="1390"/>
      <c r="G7603" s="1390"/>
      <c r="H7603" s="1077">
        <f>Risk_Compensation!$AK108</f>
        <v>4576.818359375</v>
      </c>
    </row>
    <row r="7604" spans="1:20" x14ac:dyDescent="0.2">
      <c r="A7604" s="1027"/>
      <c r="B7604" s="1083">
        <f>Risk_Compensation!A$1</f>
        <v>36</v>
      </c>
      <c r="C7604" s="1390" t="str">
        <f>Risk_Compensation!$B$1</f>
        <v xml:space="preserve">Risikoausgleich </v>
      </c>
      <c r="D7604" s="1743" t="str">
        <f>Risk_Compensation!$AJ$84</f>
        <v xml:space="preserve">PCG-Zuschlag pro Monat in CHF </v>
      </c>
      <c r="E7604" s="1390" t="str">
        <f>Risk_Compensation!$AM109</f>
        <v>PAR</v>
      </c>
      <c r="F7604" s="1390"/>
      <c r="G7604" s="1390"/>
      <c r="H7604" s="1077">
        <f>Risk_Compensation!$AK109</f>
        <v>941.32928466789997</v>
      </c>
    </row>
    <row r="7605" spans="1:20" x14ac:dyDescent="0.2">
      <c r="A7605" s="1027"/>
      <c r="B7605" s="1083">
        <f>Risk_Compensation!A$1</f>
        <v>36</v>
      </c>
      <c r="C7605" s="1390" t="str">
        <f>Risk_Compensation!$B$1</f>
        <v xml:space="preserve">Risikoausgleich </v>
      </c>
      <c r="D7605" s="1743" t="str">
        <f>Risk_Compensation!$AJ$84</f>
        <v xml:space="preserve">PCG-Zuschlag pro Monat in CHF </v>
      </c>
      <c r="E7605" s="1390" t="str">
        <f>Risk_Compensation!$AM110</f>
        <v>PSO</v>
      </c>
      <c r="F7605" s="1390"/>
      <c r="G7605" s="1390"/>
      <c r="H7605" s="1077">
        <f>Risk_Compensation!$AK110</f>
        <v>286.74380493159998</v>
      </c>
    </row>
    <row r="7606" spans="1:20" x14ac:dyDescent="0.2">
      <c r="A7606" s="1027"/>
      <c r="B7606" s="1083">
        <f>Risk_Compensation!A$1</f>
        <v>36</v>
      </c>
      <c r="C7606" s="1390" t="str">
        <f>Risk_Compensation!$B$1</f>
        <v xml:space="preserve">Risikoausgleich </v>
      </c>
      <c r="D7606" s="1743" t="str">
        <f>Risk_Compensation!$AJ$84</f>
        <v xml:space="preserve">PCG-Zuschlag pro Monat in CHF </v>
      </c>
      <c r="E7606" s="1390" t="str">
        <f>Risk_Compensation!$AM111</f>
        <v>PSY</v>
      </c>
      <c r="F7606" s="1390"/>
      <c r="G7606" s="1390"/>
      <c r="H7606" s="1077">
        <f>Risk_Compensation!$AK111</f>
        <v>627.86938476559999</v>
      </c>
    </row>
    <row r="7607" spans="1:20" x14ac:dyDescent="0.2">
      <c r="A7607" s="1027"/>
      <c r="B7607" s="1083">
        <f>Risk_Compensation!A$1</f>
        <v>36</v>
      </c>
      <c r="C7607" s="1390" t="str">
        <f>Risk_Compensation!$B$1</f>
        <v xml:space="preserve">Risikoausgleich </v>
      </c>
      <c r="D7607" s="1743" t="str">
        <f>Risk_Compensation!$AJ$84</f>
        <v xml:space="preserve">PCG-Zuschlag pro Monat in CHF </v>
      </c>
      <c r="E7607" s="1390" t="str">
        <f>Risk_Compensation!$AM112</f>
        <v>RHE</v>
      </c>
      <c r="F7607" s="1390"/>
      <c r="G7607" s="1390"/>
      <c r="H7607" s="1077">
        <f>Risk_Compensation!$AK112</f>
        <v>355.33056640619998</v>
      </c>
    </row>
    <row r="7608" spans="1:20" x14ac:dyDescent="0.2">
      <c r="A7608" s="1027"/>
      <c r="B7608" s="1083">
        <f>Risk_Compensation!A$1</f>
        <v>36</v>
      </c>
      <c r="C7608" s="1390" t="str">
        <f>Risk_Compensation!$B$1</f>
        <v xml:space="preserve">Risikoausgleich </v>
      </c>
      <c r="D7608" s="1743" t="str">
        <f>Risk_Compensation!$AJ$84</f>
        <v xml:space="preserve">PCG-Zuschlag pro Monat in CHF </v>
      </c>
      <c r="E7608" s="1390" t="str">
        <f>Risk_Compensation!$AM113</f>
        <v>SMC</v>
      </c>
      <c r="F7608" s="1390"/>
      <c r="G7608" s="1390"/>
      <c r="H7608" s="1077">
        <f>Risk_Compensation!$AK113</f>
        <v>269.16455078119998</v>
      </c>
    </row>
    <row r="7609" spans="1:20" x14ac:dyDescent="0.2">
      <c r="A7609" s="1027"/>
      <c r="B7609" s="1083">
        <f>Risk_Compensation!A$1</f>
        <v>36</v>
      </c>
      <c r="C7609" s="1390" t="str">
        <f>Risk_Compensation!$B$1</f>
        <v xml:space="preserve">Risikoausgleich </v>
      </c>
      <c r="D7609" s="1743" t="str">
        <f>Risk_Compensation!$AJ$84</f>
        <v xml:space="preserve">PCG-Zuschlag pro Monat in CHF </v>
      </c>
      <c r="E7609" s="1390" t="str">
        <f>Risk_Compensation!$AM114</f>
        <v>SMN</v>
      </c>
      <c r="F7609" s="1390"/>
      <c r="G7609" s="1390"/>
      <c r="H7609" s="1077">
        <f>Risk_Compensation!$AK114</f>
        <v>723.60095214839998</v>
      </c>
    </row>
    <row r="7610" spans="1:20" x14ac:dyDescent="0.2">
      <c r="A7610" s="1027"/>
      <c r="B7610" s="1083">
        <f>Risk_Compensation!A$1</f>
        <v>36</v>
      </c>
      <c r="C7610" s="1390" t="str">
        <f>Risk_Compensation!$B$1</f>
        <v xml:space="preserve">Risikoausgleich </v>
      </c>
      <c r="D7610" s="1743" t="str">
        <f>Risk_Compensation!$AJ$84</f>
        <v xml:space="preserve">PCG-Zuschlag pro Monat in CHF </v>
      </c>
      <c r="E7610" s="1390" t="str">
        <f>Risk_Compensation!$AM115</f>
        <v>THY</v>
      </c>
      <c r="F7610" s="1390"/>
      <c r="G7610" s="1390"/>
      <c r="H7610" s="1077">
        <f>Risk_Compensation!$AK115</f>
        <v>119.89582061759999</v>
      </c>
    </row>
    <row r="7611" spans="1:20" x14ac:dyDescent="0.2">
      <c r="A7611" s="1027"/>
      <c r="B7611" s="1083">
        <f>Risk_Compensation!A$1</f>
        <v>36</v>
      </c>
      <c r="C7611" s="1390" t="str">
        <f>Risk_Compensation!$B$1</f>
        <v xml:space="preserve">Risikoausgleich </v>
      </c>
      <c r="D7611" s="1743" t="str">
        <f>Risk_Compensation!$AJ$84</f>
        <v xml:space="preserve">PCG-Zuschlag pro Monat in CHF </v>
      </c>
      <c r="E7611" s="1390" t="str">
        <f>Risk_Compensation!$AM116</f>
        <v>TRA</v>
      </c>
      <c r="F7611" s="1390"/>
      <c r="G7611" s="1390"/>
      <c r="H7611" s="1077">
        <f>Risk_Compensation!$AK116</f>
        <v>1624.5346679687</v>
      </c>
    </row>
    <row r="7612" spans="1:20" x14ac:dyDescent="0.2">
      <c r="A7612" s="1027"/>
      <c r="B7612" s="1083">
        <f>Risk_Compensation!A$1</f>
        <v>36</v>
      </c>
      <c r="C7612" s="1390" t="str">
        <f>Risk_Compensation!$B$1</f>
        <v xml:space="preserve">Risikoausgleich </v>
      </c>
      <c r="D7612" s="1743" t="str">
        <f>Risk_Compensation!$AJ$84</f>
        <v xml:space="preserve">PCG-Zuschlag pro Monat in CHF </v>
      </c>
      <c r="E7612" s="1390" t="str">
        <f>Risk_Compensation!$AM117</f>
        <v>WAS</v>
      </c>
      <c r="F7612" s="1390"/>
      <c r="G7612" s="1390"/>
      <c r="H7612" s="1077">
        <f>Risk_Compensation!$AK117</f>
        <v>1142.3956298828</v>
      </c>
    </row>
    <row r="7613" spans="1:20" x14ac:dyDescent="0.2">
      <c r="A7613" s="1027"/>
      <c r="B7613" s="1083">
        <f>Risk_Compensation!A$1</f>
        <v>36</v>
      </c>
      <c r="C7613" s="1390" t="str">
        <f>Risk_Compensation!$B$1</f>
        <v xml:space="preserve">Risikoausgleich </v>
      </c>
      <c r="D7613" s="1743" t="str">
        <f>Risk_Compensation!$AJ$84</f>
        <v xml:space="preserve">PCG-Zuschlag pro Monat in CHF </v>
      </c>
      <c r="E7613" s="1390" t="str">
        <f>Risk_Compensation!$AM118</f>
        <v>ZFP</v>
      </c>
      <c r="F7613" s="1390"/>
      <c r="G7613" s="1390"/>
      <c r="H7613" s="1077">
        <f>Risk_Compensation!$AK118</f>
        <v>1685.2724609375</v>
      </c>
    </row>
    <row r="7614" spans="1:20" x14ac:dyDescent="0.2">
      <c r="A7614" s="1027"/>
      <c r="B7614" s="1083">
        <f>Risk_Compensation!A$1</f>
        <v>36</v>
      </c>
      <c r="C7614" s="1390" t="str">
        <f>Risk_Compensation!$B$1</f>
        <v xml:space="preserve">Risikoausgleich </v>
      </c>
      <c r="D7614" s="1743" t="str">
        <f>Risk_Compensation!$AJ$84</f>
        <v xml:space="preserve">PCG-Zuschlag pro Monat in CHF </v>
      </c>
      <c r="E7614" s="1390" t="str">
        <f>Risk_Compensation!$AM119</f>
        <v>ZNS</v>
      </c>
      <c r="F7614" s="1390"/>
      <c r="G7614" s="1390"/>
      <c r="H7614" s="1077">
        <f>Risk_Compensation!$AK119</f>
        <v>1310.7658691406</v>
      </c>
    </row>
    <row r="7615" spans="1:20" ht="13.5" thickBot="1" x14ac:dyDescent="0.25">
      <c r="A7615" s="1027"/>
      <c r="B7615" s="1085">
        <f>Risk_Compensation!A$1</f>
        <v>36</v>
      </c>
      <c r="C7615" s="1394" t="str">
        <f>Risk_Compensation!$B$1</f>
        <v xml:space="preserve">Risikoausgleich </v>
      </c>
      <c r="D7615" s="2178" t="str">
        <f>Risk_Compensation!$AJ$84</f>
        <v xml:space="preserve">PCG-Zuschlag pro Monat in CHF </v>
      </c>
      <c r="E7615" s="1394" t="str">
        <f>Risk_Compensation!$AM120</f>
        <v>DM2 + hyp</v>
      </c>
      <c r="F7615" s="1394"/>
      <c r="G7615" s="1394"/>
      <c r="H7615" s="1079">
        <f>Risk_Compensation!$AK120</f>
        <v>280.48406982419999</v>
      </c>
    </row>
    <row r="7616" spans="1:20" x14ac:dyDescent="0.2">
      <c r="B7616" s="1027"/>
      <c r="C7616" s="1027"/>
      <c r="D7616" s="1027"/>
      <c r="E7616" s="1027"/>
      <c r="F7616" s="1027"/>
      <c r="G7616" s="1027"/>
      <c r="H7616" s="1027"/>
      <c r="N7616" s="1028"/>
      <c r="O7616" s="1028"/>
      <c r="P7616" s="1028"/>
      <c r="Q7616" s="1028"/>
      <c r="R7616" s="1028"/>
      <c r="S7616" s="1028"/>
      <c r="T7616" s="1028"/>
    </row>
    <row r="7617" spans="2:20" ht="13.5" thickBot="1" x14ac:dyDescent="0.25">
      <c r="B7617" s="2317" t="s">
        <v>2340</v>
      </c>
      <c r="C7617" s="2318"/>
      <c r="D7617" s="2318"/>
      <c r="E7617" s="2318"/>
      <c r="F7617" s="2318"/>
      <c r="G7617" s="2318"/>
      <c r="H7617" s="2318"/>
      <c r="N7617" s="1028"/>
      <c r="O7617" s="1028"/>
      <c r="P7617" s="1028"/>
      <c r="Q7617" s="1028"/>
      <c r="R7617" s="1028"/>
      <c r="S7617" s="1028"/>
      <c r="T7617" s="1028"/>
    </row>
    <row r="7618" spans="2:20" x14ac:dyDescent="0.2">
      <c r="B7618" s="2314">
        <f>'Sensitivitaeten Delta_Market'!$A$1</f>
        <v>9</v>
      </c>
      <c r="C7618" s="1505" t="str">
        <f>'Sensitivitaeten Delta_Market'!$B$1</f>
        <v>Delta-Sensitivitäten</v>
      </c>
      <c r="D7618" s="1506" t="str">
        <f>'Sensitivitaeten Delta_Market'!$F$9</f>
        <v>Marktnaher Wert der Aktiven mit entsprechendem Risikofaktor</v>
      </c>
      <c r="E7618" s="1505" t="str">
        <f>'Sensitivitaeten Delta_Market'!$F$11</f>
        <v>dem KVG- und UVG Geschäft zugeordnet</v>
      </c>
      <c r="F7618" s="2315" t="str">
        <f>'Sensitivitaeten Delta_Market'!$B38</f>
        <v>Credit Spread Europa   Govi unter AAA</v>
      </c>
      <c r="G7618" s="1506"/>
      <c r="H7618" s="1569">
        <f>'Sensitivitaeten Delta_Market'!$F38</f>
        <v>0</v>
      </c>
      <c r="N7618" s="1028"/>
      <c r="O7618" s="1028"/>
      <c r="P7618" s="1028"/>
      <c r="Q7618" s="1028"/>
      <c r="R7618" s="1028"/>
      <c r="S7618" s="1028"/>
      <c r="T7618" s="1028"/>
    </row>
    <row r="7619" spans="2:20" x14ac:dyDescent="0.2">
      <c r="B7619" s="1493">
        <f>'Sensitivitaeten Delta_Market'!$A$1</f>
        <v>9</v>
      </c>
      <c r="C7619" s="1488" t="str">
        <f>'Sensitivitaeten Delta_Market'!$B$1</f>
        <v>Delta-Sensitivitäten</v>
      </c>
      <c r="D7619" s="1494" t="str">
        <f>'Sensitivitaeten Delta_Market'!$F$9</f>
        <v>Marktnaher Wert der Aktiven mit entsprechendem Risikofaktor</v>
      </c>
      <c r="E7619" s="1488" t="str">
        <f>'Sensitivitaeten Delta_Market'!$F$11</f>
        <v>dem KVG- und UVG Geschäft zugeordnet</v>
      </c>
      <c r="F7619" s="1495" t="str">
        <f>'Sensitivitaeten Delta_Market'!$B39</f>
        <v>Credit Spread CH Pfandbriefe und Govi-related</v>
      </c>
      <c r="G7619" s="1494"/>
      <c r="H7619" s="1077">
        <f>'Sensitivitaeten Delta_Market'!$F39</f>
        <v>0</v>
      </c>
      <c r="N7619" s="1028"/>
      <c r="O7619" s="1028"/>
      <c r="P7619" s="1028"/>
      <c r="Q7619" s="1028"/>
      <c r="R7619" s="1028"/>
      <c r="S7619" s="1028"/>
      <c r="T7619" s="1028"/>
    </row>
    <row r="7620" spans="2:20" x14ac:dyDescent="0.2">
      <c r="B7620" s="1493">
        <f>'Sensitivitaeten Delta_Market'!$A$1</f>
        <v>9</v>
      </c>
      <c r="C7620" s="1488" t="str">
        <f>'Sensitivitaeten Delta_Market'!$B$1</f>
        <v>Delta-Sensitivitäten</v>
      </c>
      <c r="D7620" s="1494" t="str">
        <f>'Sensitivitaeten Delta_Market'!$F$9</f>
        <v>Marktnaher Wert der Aktiven mit entsprechendem Risikofaktor</v>
      </c>
      <c r="E7620" s="1488" t="str">
        <f>'Sensitivitaeten Delta_Market'!$F$11</f>
        <v>dem KVG- und UVG Geschäft zugeordnet</v>
      </c>
      <c r="F7620" s="1495" t="str">
        <f>'Sensitivitaeten Delta_Market'!$B40</f>
        <v>Credit Spread CH Corporates</v>
      </c>
      <c r="G7620" s="1494"/>
      <c r="H7620" s="1077">
        <f>'Sensitivitaeten Delta_Market'!$F40</f>
        <v>0</v>
      </c>
    </row>
    <row r="7621" spans="2:20" x14ac:dyDescent="0.2">
      <c r="B7621" s="1493">
        <f>'Sensitivitaeten Delta_Market'!$A$1</f>
        <v>9</v>
      </c>
      <c r="C7621" s="1488" t="str">
        <f>'Sensitivitaeten Delta_Market'!$B$1</f>
        <v>Delta-Sensitivitäten</v>
      </c>
      <c r="D7621" s="1494" t="str">
        <f>'Sensitivitaeten Delta_Market'!$F$9</f>
        <v>Marktnaher Wert der Aktiven mit entsprechendem Risikofaktor</v>
      </c>
      <c r="E7621" s="1488" t="str">
        <f>'Sensitivitaeten Delta_Market'!$F$11</f>
        <v>dem KVG- und UVG Geschäft zugeordnet</v>
      </c>
      <c r="F7621" s="1495" t="str">
        <f>'Sensitivitaeten Delta_Market'!$B54</f>
        <v>Private Equity</v>
      </c>
      <c r="G7621" s="1494"/>
      <c r="H7621" s="1077">
        <f>'Sensitivitaeten Delta_Market'!$F54</f>
        <v>0</v>
      </c>
    </row>
    <row r="7622" spans="2:20" x14ac:dyDescent="0.2">
      <c r="B7622" s="1493">
        <f>'Sensitivitaeten Delta_Market'!$A$1</f>
        <v>9</v>
      </c>
      <c r="C7622" s="1488" t="str">
        <f>'Sensitivitaeten Delta_Market'!$B$1</f>
        <v>Delta-Sensitivitäten</v>
      </c>
      <c r="D7622" s="1494" t="str">
        <f>'Sensitivitaeten Delta_Market'!$F$9</f>
        <v>Marktnaher Wert der Aktiven mit entsprechendem Risikofaktor</v>
      </c>
      <c r="E7622" s="1488" t="str">
        <f>'Sensitivitaeten Delta_Market'!$F$11</f>
        <v>dem KVG- und UVG Geschäft zugeordnet</v>
      </c>
      <c r="F7622" s="1495" t="str">
        <f>'Sensitivitaeten Delta_Market'!$B55</f>
        <v>Immobilienfonds Schweiz</v>
      </c>
      <c r="G7622" s="1494"/>
      <c r="H7622" s="1077">
        <f>'Sensitivitaeten Delta_Market'!$F55</f>
        <v>0</v>
      </c>
    </row>
    <row r="7623" spans="2:20" x14ac:dyDescent="0.2">
      <c r="B7623" s="1493">
        <f>'Sensitivitaeten Delta_Market'!$A$1</f>
        <v>9</v>
      </c>
      <c r="C7623" s="1488" t="str">
        <f>'Sensitivitaeten Delta_Market'!$B$1</f>
        <v>Delta-Sensitivitäten</v>
      </c>
      <c r="D7623" s="1494" t="str">
        <f>'Sensitivitaeten Delta_Market'!$F$9</f>
        <v>Marktnaher Wert der Aktiven mit entsprechendem Risikofaktor</v>
      </c>
      <c r="E7623" s="1488" t="str">
        <f>'Sensitivitaeten Delta_Market'!$F$11</f>
        <v>dem KVG- und UVG Geschäft zugeordnet</v>
      </c>
      <c r="F7623" s="1495" t="str">
        <f>'Sensitivitaeten Delta_Market'!$B56</f>
        <v>direkte Wohnimmobilien Schweiz</v>
      </c>
      <c r="G7623" s="1494"/>
      <c r="H7623" s="1077">
        <f>'Sensitivitaeten Delta_Market'!$F56</f>
        <v>0</v>
      </c>
    </row>
    <row r="7624" spans="2:20" x14ac:dyDescent="0.2">
      <c r="B7624" s="1493">
        <f>'Sensitivitaeten Delta_Market'!$A$1</f>
        <v>9</v>
      </c>
      <c r="C7624" s="1488" t="str">
        <f>'Sensitivitaeten Delta_Market'!$B$1</f>
        <v>Delta-Sensitivitäten</v>
      </c>
      <c r="D7624" s="1494" t="str">
        <f>'Sensitivitaeten Delta_Market'!$F$9</f>
        <v>Marktnaher Wert der Aktiven mit entsprechendem Risikofaktor</v>
      </c>
      <c r="E7624" s="1488" t="str">
        <f>'Sensitivitaeten Delta_Market'!$F$11</f>
        <v>dem KVG- und UVG Geschäft zugeordnet</v>
      </c>
      <c r="F7624" s="1495" t="str">
        <f>'Sensitivitaeten Delta_Market'!$B57</f>
        <v>direkte Geschäftsimmobilien Schweiz</v>
      </c>
      <c r="G7624" s="1494"/>
      <c r="H7624" s="1077">
        <f>'Sensitivitaeten Delta_Market'!$F57</f>
        <v>0</v>
      </c>
    </row>
    <row r="7625" spans="2:20" x14ac:dyDescent="0.2">
      <c r="B7625" s="1493">
        <f>'Sensitivitaeten Delta_Market'!$A$1</f>
        <v>9</v>
      </c>
      <c r="C7625" s="1488" t="str">
        <f>'Sensitivitaeten Delta_Market'!$B$1</f>
        <v>Delta-Sensitivitäten</v>
      </c>
      <c r="D7625" s="1494" t="str">
        <f>'Sensitivitaeten Delta_Market'!$F$9</f>
        <v>Marktnaher Wert der Aktiven mit entsprechendem Risikofaktor</v>
      </c>
      <c r="E7625" s="1488" t="str">
        <f>'Sensitivitaeten Delta_Market'!$F$11</f>
        <v>dem KVG- und UVG Geschäft zugeordnet</v>
      </c>
      <c r="F7625" s="1495" t="str">
        <f>'Sensitivitaeten Delta_Market'!$B58</f>
        <v>Beteiligungen</v>
      </c>
      <c r="G7625" s="1494"/>
      <c r="H7625" s="1077">
        <f>'Sensitivitaeten Delta_Market'!$F58</f>
        <v>0</v>
      </c>
    </row>
    <row r="7626" spans="2:20" x14ac:dyDescent="0.2">
      <c r="B7626" s="1493">
        <f>'Sensitivitaeten Delta_Market'!$A$1</f>
        <v>9</v>
      </c>
      <c r="C7626" s="1488" t="str">
        <f>'Sensitivitaeten Delta_Market'!$B$1</f>
        <v>Delta-Sensitivitäten</v>
      </c>
      <c r="D7626" s="1494" t="str">
        <f>'Sensitivitaeten Delta_Market'!$F$9</f>
        <v>Marktnaher Wert der Aktiven mit entsprechendem Risikofaktor</v>
      </c>
      <c r="E7626" s="1488" t="str">
        <f>'Sensitivitaeten Delta_Market'!$P$11</f>
        <v>dem übrigen Geschäft zugeordnet</v>
      </c>
      <c r="F7626" s="1495" t="str">
        <f>'Sensitivitaeten Delta_Market'!$B38</f>
        <v>Credit Spread Europa   Govi unter AAA</v>
      </c>
      <c r="G7626" s="1494"/>
      <c r="H7626" s="1077">
        <f>'Sensitivitaeten Delta_Market'!$G38</f>
        <v>0</v>
      </c>
    </row>
    <row r="7627" spans="2:20" x14ac:dyDescent="0.2">
      <c r="B7627" s="1493">
        <f>'Sensitivitaeten Delta_Market'!$A$1</f>
        <v>9</v>
      </c>
      <c r="C7627" s="1488" t="str">
        <f>'Sensitivitaeten Delta_Market'!$B$1</f>
        <v>Delta-Sensitivitäten</v>
      </c>
      <c r="D7627" s="1494" t="str">
        <f>'Sensitivitaeten Delta_Market'!$F$9</f>
        <v>Marktnaher Wert der Aktiven mit entsprechendem Risikofaktor</v>
      </c>
      <c r="E7627" s="1488" t="str">
        <f>'Sensitivitaeten Delta_Market'!$P$11</f>
        <v>dem übrigen Geschäft zugeordnet</v>
      </c>
      <c r="F7627" s="1495" t="str">
        <f>'Sensitivitaeten Delta_Market'!$B39</f>
        <v>Credit Spread CH Pfandbriefe und Govi-related</v>
      </c>
      <c r="G7627" s="1494"/>
      <c r="H7627" s="1077">
        <f>'Sensitivitaeten Delta_Market'!$G39</f>
        <v>0</v>
      </c>
    </row>
    <row r="7628" spans="2:20" x14ac:dyDescent="0.2">
      <c r="B7628" s="1493">
        <f>'Sensitivitaeten Delta_Market'!$A$1</f>
        <v>9</v>
      </c>
      <c r="C7628" s="1488" t="str">
        <f>'Sensitivitaeten Delta_Market'!$B$1</f>
        <v>Delta-Sensitivitäten</v>
      </c>
      <c r="D7628" s="1494" t="str">
        <f>'Sensitivitaeten Delta_Market'!$F$9</f>
        <v>Marktnaher Wert der Aktiven mit entsprechendem Risikofaktor</v>
      </c>
      <c r="E7628" s="1488" t="str">
        <f>'Sensitivitaeten Delta_Market'!$P$11</f>
        <v>dem übrigen Geschäft zugeordnet</v>
      </c>
      <c r="F7628" s="1495" t="str">
        <f>'Sensitivitaeten Delta_Market'!$B40</f>
        <v>Credit Spread CH Corporates</v>
      </c>
      <c r="G7628" s="1494"/>
      <c r="H7628" s="1077">
        <f>'Sensitivitaeten Delta_Market'!$G40</f>
        <v>0</v>
      </c>
    </row>
    <row r="7629" spans="2:20" x14ac:dyDescent="0.2">
      <c r="B7629" s="1493">
        <f>'Sensitivitaeten Delta_Market'!$A$1</f>
        <v>9</v>
      </c>
      <c r="C7629" s="1488" t="str">
        <f>'Sensitivitaeten Delta_Market'!$B$1</f>
        <v>Delta-Sensitivitäten</v>
      </c>
      <c r="D7629" s="1494" t="str">
        <f>'Sensitivitaeten Delta_Market'!$F$9</f>
        <v>Marktnaher Wert der Aktiven mit entsprechendem Risikofaktor</v>
      </c>
      <c r="E7629" s="1488" t="str">
        <f>'Sensitivitaeten Delta_Market'!$P$11</f>
        <v>dem übrigen Geschäft zugeordnet</v>
      </c>
      <c r="F7629" s="1495" t="str">
        <f>'Sensitivitaeten Delta_Market'!$B54</f>
        <v>Private Equity</v>
      </c>
      <c r="G7629" s="1494"/>
      <c r="H7629" s="1077">
        <f>'Sensitivitaeten Delta_Market'!$G54</f>
        <v>0</v>
      </c>
    </row>
    <row r="7630" spans="2:20" x14ac:dyDescent="0.2">
      <c r="B7630" s="1493">
        <f>'Sensitivitaeten Delta_Market'!$A$1</f>
        <v>9</v>
      </c>
      <c r="C7630" s="1488" t="str">
        <f>'Sensitivitaeten Delta_Market'!$B$1</f>
        <v>Delta-Sensitivitäten</v>
      </c>
      <c r="D7630" s="1494" t="str">
        <f>'Sensitivitaeten Delta_Market'!$F$9</f>
        <v>Marktnaher Wert der Aktiven mit entsprechendem Risikofaktor</v>
      </c>
      <c r="E7630" s="1488" t="str">
        <f>'Sensitivitaeten Delta_Market'!$P$11</f>
        <v>dem übrigen Geschäft zugeordnet</v>
      </c>
      <c r="F7630" s="1495" t="str">
        <f>'Sensitivitaeten Delta_Market'!$B55</f>
        <v>Immobilienfonds Schweiz</v>
      </c>
      <c r="G7630" s="1494"/>
      <c r="H7630" s="1077">
        <f>'Sensitivitaeten Delta_Market'!$G55</f>
        <v>0</v>
      </c>
    </row>
    <row r="7631" spans="2:20" x14ac:dyDescent="0.2">
      <c r="B7631" s="1493">
        <f>'Sensitivitaeten Delta_Market'!$A$1</f>
        <v>9</v>
      </c>
      <c r="C7631" s="1488" t="str">
        <f>'Sensitivitaeten Delta_Market'!$B$1</f>
        <v>Delta-Sensitivitäten</v>
      </c>
      <c r="D7631" s="1494" t="str">
        <f>'Sensitivitaeten Delta_Market'!$F$9</f>
        <v>Marktnaher Wert der Aktiven mit entsprechendem Risikofaktor</v>
      </c>
      <c r="E7631" s="1488" t="str">
        <f>'Sensitivitaeten Delta_Market'!$P$11</f>
        <v>dem übrigen Geschäft zugeordnet</v>
      </c>
      <c r="F7631" s="1495" t="str">
        <f>'Sensitivitaeten Delta_Market'!$B56</f>
        <v>direkte Wohnimmobilien Schweiz</v>
      </c>
      <c r="G7631" s="1494"/>
      <c r="H7631" s="1077">
        <f>'Sensitivitaeten Delta_Market'!$G56</f>
        <v>0</v>
      </c>
    </row>
    <row r="7632" spans="2:20" x14ac:dyDescent="0.2">
      <c r="B7632" s="1493">
        <f>'Sensitivitaeten Delta_Market'!$A$1</f>
        <v>9</v>
      </c>
      <c r="C7632" s="1488" t="str">
        <f>'Sensitivitaeten Delta_Market'!$B$1</f>
        <v>Delta-Sensitivitäten</v>
      </c>
      <c r="D7632" s="1494" t="str">
        <f>'Sensitivitaeten Delta_Market'!$F$9</f>
        <v>Marktnaher Wert der Aktiven mit entsprechendem Risikofaktor</v>
      </c>
      <c r="E7632" s="1488" t="str">
        <f>'Sensitivitaeten Delta_Market'!$P$11</f>
        <v>dem übrigen Geschäft zugeordnet</v>
      </c>
      <c r="F7632" s="1495" t="str">
        <f>'Sensitivitaeten Delta_Market'!$B57</f>
        <v>direkte Geschäftsimmobilien Schweiz</v>
      </c>
      <c r="G7632" s="1494"/>
      <c r="H7632" s="1077">
        <f>'Sensitivitaeten Delta_Market'!$G57</f>
        <v>0</v>
      </c>
    </row>
    <row r="7633" spans="2:8" x14ac:dyDescent="0.2">
      <c r="B7633" s="1493">
        <f>'Sensitivitaeten Delta_Market'!$A$1</f>
        <v>9</v>
      </c>
      <c r="C7633" s="1488" t="str">
        <f>'Sensitivitaeten Delta_Market'!$B$1</f>
        <v>Delta-Sensitivitäten</v>
      </c>
      <c r="D7633" s="1494" t="str">
        <f>'Sensitivitaeten Delta_Market'!$F$9</f>
        <v>Marktnaher Wert der Aktiven mit entsprechendem Risikofaktor</v>
      </c>
      <c r="E7633" s="1488" t="str">
        <f>'Sensitivitaeten Delta_Market'!$P$11</f>
        <v>dem übrigen Geschäft zugeordnet</v>
      </c>
      <c r="F7633" s="1495" t="str">
        <f>'Sensitivitaeten Delta_Market'!$B58</f>
        <v>Beteiligungen</v>
      </c>
      <c r="G7633" s="1494"/>
      <c r="H7633" s="1077">
        <f>'Sensitivitaeten Delta_Market'!$G58</f>
        <v>0</v>
      </c>
    </row>
    <row r="7634" spans="2:8" x14ac:dyDescent="0.2">
      <c r="B7634" s="1493">
        <f>'Sensitivitaeten Delta_Market'!$A$1</f>
        <v>9</v>
      </c>
      <c r="C7634" s="1488" t="str">
        <f>'Sensitivitaeten Delta_Market'!$B$1</f>
        <v>Delta-Sensitivitäten</v>
      </c>
      <c r="D7634" s="1494" t="str">
        <f>'Sensitivitaeten Delta_Market'!$I$11</f>
        <v>Änderungen der Aktiven</v>
      </c>
      <c r="E7634" s="1488" t="str">
        <f>'Sensitivitaeten Delta_Market'!$I$13</f>
        <v>nach oben</v>
      </c>
      <c r="F7634" s="1495" t="str">
        <f>'Sensitivitaeten Delta_Market'!$B38</f>
        <v>Credit Spread Europa   Govi unter AAA</v>
      </c>
      <c r="G7634" s="1494"/>
      <c r="H7634" s="1077">
        <f>'Sensitivitaeten Delta_Market'!$I38</f>
        <v>0</v>
      </c>
    </row>
    <row r="7635" spans="2:8" x14ac:dyDescent="0.2">
      <c r="B7635" s="1493">
        <f>'Sensitivitaeten Delta_Market'!$A$1</f>
        <v>9</v>
      </c>
      <c r="C7635" s="1488" t="str">
        <f>'Sensitivitaeten Delta_Market'!$B$1</f>
        <v>Delta-Sensitivitäten</v>
      </c>
      <c r="D7635" s="1494" t="str">
        <f>'Sensitivitaeten Delta_Market'!$I$11</f>
        <v>Änderungen der Aktiven</v>
      </c>
      <c r="E7635" s="1488" t="str">
        <f>'Sensitivitaeten Delta_Market'!$I$13</f>
        <v>nach oben</v>
      </c>
      <c r="F7635" s="1495" t="str">
        <f>'Sensitivitaeten Delta_Market'!$B39</f>
        <v>Credit Spread CH Pfandbriefe und Govi-related</v>
      </c>
      <c r="G7635" s="1494"/>
      <c r="H7635" s="1077">
        <f>'Sensitivitaeten Delta_Market'!$I39</f>
        <v>0</v>
      </c>
    </row>
    <row r="7636" spans="2:8" x14ac:dyDescent="0.2">
      <c r="B7636" s="1493">
        <f>'Sensitivitaeten Delta_Market'!$A$1</f>
        <v>9</v>
      </c>
      <c r="C7636" s="1488" t="str">
        <f>'Sensitivitaeten Delta_Market'!$B$1</f>
        <v>Delta-Sensitivitäten</v>
      </c>
      <c r="D7636" s="1494" t="str">
        <f>'Sensitivitaeten Delta_Market'!$I$11</f>
        <v>Änderungen der Aktiven</v>
      </c>
      <c r="E7636" s="1488" t="str">
        <f>'Sensitivitaeten Delta_Market'!$I$13</f>
        <v>nach oben</v>
      </c>
      <c r="F7636" s="1495" t="str">
        <f>'Sensitivitaeten Delta_Market'!$B40</f>
        <v>Credit Spread CH Corporates</v>
      </c>
      <c r="G7636" s="1494"/>
      <c r="H7636" s="1077">
        <f>'Sensitivitaeten Delta_Market'!$I40</f>
        <v>0</v>
      </c>
    </row>
    <row r="7637" spans="2:8" x14ac:dyDescent="0.2">
      <c r="B7637" s="1493">
        <f>'Sensitivitaeten Delta_Market'!$A$1</f>
        <v>9</v>
      </c>
      <c r="C7637" s="1488" t="str">
        <f>'Sensitivitaeten Delta_Market'!$B$1</f>
        <v>Delta-Sensitivitäten</v>
      </c>
      <c r="D7637" s="1494" t="str">
        <f>'Sensitivitaeten Delta_Market'!$I$11</f>
        <v>Änderungen der Aktiven</v>
      </c>
      <c r="E7637" s="1488" t="str">
        <f>'Sensitivitaeten Delta_Market'!$I$13</f>
        <v>nach oben</v>
      </c>
      <c r="F7637" s="1495" t="str">
        <f>'Sensitivitaeten Delta_Market'!$B54</f>
        <v>Private Equity</v>
      </c>
      <c r="G7637" s="1494"/>
      <c r="H7637" s="1077">
        <f>'Sensitivitaeten Delta_Market'!$I54</f>
        <v>0</v>
      </c>
    </row>
    <row r="7638" spans="2:8" x14ac:dyDescent="0.2">
      <c r="B7638" s="1493">
        <f>'Sensitivitaeten Delta_Market'!$A$1</f>
        <v>9</v>
      </c>
      <c r="C7638" s="1488" t="str">
        <f>'Sensitivitaeten Delta_Market'!$B$1</f>
        <v>Delta-Sensitivitäten</v>
      </c>
      <c r="D7638" s="1494" t="str">
        <f>'Sensitivitaeten Delta_Market'!$I$11</f>
        <v>Änderungen der Aktiven</v>
      </c>
      <c r="E7638" s="1488" t="str">
        <f>'Sensitivitaeten Delta_Market'!$I$13</f>
        <v>nach oben</v>
      </c>
      <c r="F7638" s="1495" t="str">
        <f>'Sensitivitaeten Delta_Market'!$B55</f>
        <v>Immobilienfonds Schweiz</v>
      </c>
      <c r="G7638" s="1494"/>
      <c r="H7638" s="1077">
        <f>'Sensitivitaeten Delta_Market'!$I55</f>
        <v>0</v>
      </c>
    </row>
    <row r="7639" spans="2:8" x14ac:dyDescent="0.2">
      <c r="B7639" s="1493">
        <f>'Sensitivitaeten Delta_Market'!$A$1</f>
        <v>9</v>
      </c>
      <c r="C7639" s="1488" t="str">
        <f>'Sensitivitaeten Delta_Market'!$B$1</f>
        <v>Delta-Sensitivitäten</v>
      </c>
      <c r="D7639" s="1494" t="str">
        <f>'Sensitivitaeten Delta_Market'!$I$11</f>
        <v>Änderungen der Aktiven</v>
      </c>
      <c r="E7639" s="1488" t="str">
        <f>'Sensitivitaeten Delta_Market'!$I$13</f>
        <v>nach oben</v>
      </c>
      <c r="F7639" s="1495" t="str">
        <f>'Sensitivitaeten Delta_Market'!$B56</f>
        <v>direkte Wohnimmobilien Schweiz</v>
      </c>
      <c r="G7639" s="1494"/>
      <c r="H7639" s="1077">
        <f>'Sensitivitaeten Delta_Market'!$I56</f>
        <v>0</v>
      </c>
    </row>
    <row r="7640" spans="2:8" x14ac:dyDescent="0.2">
      <c r="B7640" s="1493">
        <f>'Sensitivitaeten Delta_Market'!$A$1</f>
        <v>9</v>
      </c>
      <c r="C7640" s="1488" t="str">
        <f>'Sensitivitaeten Delta_Market'!$B$1</f>
        <v>Delta-Sensitivitäten</v>
      </c>
      <c r="D7640" s="1494" t="str">
        <f>'Sensitivitaeten Delta_Market'!$I$11</f>
        <v>Änderungen der Aktiven</v>
      </c>
      <c r="E7640" s="1488" t="str">
        <f>'Sensitivitaeten Delta_Market'!$I$13</f>
        <v>nach oben</v>
      </c>
      <c r="F7640" s="1495" t="str">
        <f>'Sensitivitaeten Delta_Market'!$B57</f>
        <v>direkte Geschäftsimmobilien Schweiz</v>
      </c>
      <c r="G7640" s="1494"/>
      <c r="H7640" s="1077">
        <f>'Sensitivitaeten Delta_Market'!$I57</f>
        <v>0</v>
      </c>
    </row>
    <row r="7641" spans="2:8" x14ac:dyDescent="0.2">
      <c r="B7641" s="1493">
        <f>'Sensitivitaeten Delta_Market'!$A$1</f>
        <v>9</v>
      </c>
      <c r="C7641" s="1488" t="str">
        <f>'Sensitivitaeten Delta_Market'!$B$1</f>
        <v>Delta-Sensitivitäten</v>
      </c>
      <c r="D7641" s="1494" t="str">
        <f>'Sensitivitaeten Delta_Market'!$I$11</f>
        <v>Änderungen der Aktiven</v>
      </c>
      <c r="E7641" s="1488" t="str">
        <f>'Sensitivitaeten Delta_Market'!$I$13</f>
        <v>nach oben</v>
      </c>
      <c r="F7641" s="1495" t="str">
        <f>'Sensitivitaeten Delta_Market'!$B58</f>
        <v>Beteiligungen</v>
      </c>
      <c r="G7641" s="1494"/>
      <c r="H7641" s="1077">
        <f>'Sensitivitaeten Delta_Market'!$I58</f>
        <v>0</v>
      </c>
    </row>
    <row r="7642" spans="2:8" x14ac:dyDescent="0.2">
      <c r="B7642" s="1493">
        <f>'Sensitivitaeten Delta_Market'!$A$1</f>
        <v>9</v>
      </c>
      <c r="C7642" s="1488" t="str">
        <f>'Sensitivitaeten Delta_Market'!$B$1</f>
        <v>Delta-Sensitivitäten</v>
      </c>
      <c r="D7642" s="1494" t="str">
        <f>'Sensitivitaeten Delta_Market'!$I$11</f>
        <v>Änderungen der Aktiven</v>
      </c>
      <c r="E7642" s="1488" t="str">
        <f>'Sensitivitaeten Delta_Market'!$J$13</f>
        <v>nach unten</v>
      </c>
      <c r="F7642" s="1495" t="str">
        <f>'Sensitivitaeten Delta_Market'!$B38</f>
        <v>Credit Spread Europa   Govi unter AAA</v>
      </c>
      <c r="G7642" s="1494"/>
      <c r="H7642" s="1077">
        <f>'Sensitivitaeten Delta_Market'!$J38</f>
        <v>0</v>
      </c>
    </row>
    <row r="7643" spans="2:8" x14ac:dyDescent="0.2">
      <c r="B7643" s="1493">
        <f>'Sensitivitaeten Delta_Market'!$A$1</f>
        <v>9</v>
      </c>
      <c r="C7643" s="1488" t="str">
        <f>'Sensitivitaeten Delta_Market'!$B$1</f>
        <v>Delta-Sensitivitäten</v>
      </c>
      <c r="D7643" s="1494" t="str">
        <f>'Sensitivitaeten Delta_Market'!$I$11</f>
        <v>Änderungen der Aktiven</v>
      </c>
      <c r="E7643" s="1488" t="str">
        <f>'Sensitivitaeten Delta_Market'!$J$13</f>
        <v>nach unten</v>
      </c>
      <c r="F7643" s="1495" t="str">
        <f>'Sensitivitaeten Delta_Market'!$B39</f>
        <v>Credit Spread CH Pfandbriefe und Govi-related</v>
      </c>
      <c r="G7643" s="1494"/>
      <c r="H7643" s="1077">
        <f>'Sensitivitaeten Delta_Market'!$J39</f>
        <v>0</v>
      </c>
    </row>
    <row r="7644" spans="2:8" x14ac:dyDescent="0.2">
      <c r="B7644" s="1493">
        <f>'Sensitivitaeten Delta_Market'!$A$1</f>
        <v>9</v>
      </c>
      <c r="C7644" s="1488" t="str">
        <f>'Sensitivitaeten Delta_Market'!$B$1</f>
        <v>Delta-Sensitivitäten</v>
      </c>
      <c r="D7644" s="1494" t="str">
        <f>'Sensitivitaeten Delta_Market'!$I$11</f>
        <v>Änderungen der Aktiven</v>
      </c>
      <c r="E7644" s="1488" t="str">
        <f>'Sensitivitaeten Delta_Market'!$J$13</f>
        <v>nach unten</v>
      </c>
      <c r="F7644" s="1495" t="str">
        <f>'Sensitivitaeten Delta_Market'!$B40</f>
        <v>Credit Spread CH Corporates</v>
      </c>
      <c r="G7644" s="1494"/>
      <c r="H7644" s="1077">
        <f>'Sensitivitaeten Delta_Market'!$J40</f>
        <v>0</v>
      </c>
    </row>
    <row r="7645" spans="2:8" x14ac:dyDescent="0.2">
      <c r="B7645" s="1493">
        <f>'Sensitivitaeten Delta_Market'!$A$1</f>
        <v>9</v>
      </c>
      <c r="C7645" s="1488" t="str">
        <f>'Sensitivitaeten Delta_Market'!$B$1</f>
        <v>Delta-Sensitivitäten</v>
      </c>
      <c r="D7645" s="1494" t="str">
        <f>'Sensitivitaeten Delta_Market'!$I$11</f>
        <v>Änderungen der Aktiven</v>
      </c>
      <c r="E7645" s="1488" t="str">
        <f>'Sensitivitaeten Delta_Market'!$J$13</f>
        <v>nach unten</v>
      </c>
      <c r="F7645" s="1495" t="str">
        <f>'Sensitivitaeten Delta_Market'!$B54</f>
        <v>Private Equity</v>
      </c>
      <c r="G7645" s="1494"/>
      <c r="H7645" s="1077">
        <f>'Sensitivitaeten Delta_Market'!$J54</f>
        <v>0</v>
      </c>
    </row>
    <row r="7646" spans="2:8" x14ac:dyDescent="0.2">
      <c r="B7646" s="1493">
        <f>'Sensitivitaeten Delta_Market'!$A$1</f>
        <v>9</v>
      </c>
      <c r="C7646" s="1488" t="str">
        <f>'Sensitivitaeten Delta_Market'!$B$1</f>
        <v>Delta-Sensitivitäten</v>
      </c>
      <c r="D7646" s="1494" t="str">
        <f>'Sensitivitaeten Delta_Market'!$I$11</f>
        <v>Änderungen der Aktiven</v>
      </c>
      <c r="E7646" s="1488" t="str">
        <f>'Sensitivitaeten Delta_Market'!$J$13</f>
        <v>nach unten</v>
      </c>
      <c r="F7646" s="1495" t="str">
        <f>'Sensitivitaeten Delta_Market'!$B55</f>
        <v>Immobilienfonds Schweiz</v>
      </c>
      <c r="G7646" s="1494"/>
      <c r="H7646" s="1077">
        <f>'Sensitivitaeten Delta_Market'!$J55</f>
        <v>0</v>
      </c>
    </row>
    <row r="7647" spans="2:8" x14ac:dyDescent="0.2">
      <c r="B7647" s="1493">
        <f>'Sensitivitaeten Delta_Market'!$A$1</f>
        <v>9</v>
      </c>
      <c r="C7647" s="1488" t="str">
        <f>'Sensitivitaeten Delta_Market'!$B$1</f>
        <v>Delta-Sensitivitäten</v>
      </c>
      <c r="D7647" s="1494" t="str">
        <f>'Sensitivitaeten Delta_Market'!$I$11</f>
        <v>Änderungen der Aktiven</v>
      </c>
      <c r="E7647" s="1488" t="str">
        <f>'Sensitivitaeten Delta_Market'!$J$13</f>
        <v>nach unten</v>
      </c>
      <c r="F7647" s="1495" t="str">
        <f>'Sensitivitaeten Delta_Market'!$B56</f>
        <v>direkte Wohnimmobilien Schweiz</v>
      </c>
      <c r="G7647" s="1494"/>
      <c r="H7647" s="1077">
        <f>'Sensitivitaeten Delta_Market'!$J56</f>
        <v>0</v>
      </c>
    </row>
    <row r="7648" spans="2:8" x14ac:dyDescent="0.2">
      <c r="B7648" s="1493">
        <f>'Sensitivitaeten Delta_Market'!$A$1</f>
        <v>9</v>
      </c>
      <c r="C7648" s="1488" t="str">
        <f>'Sensitivitaeten Delta_Market'!$B$1</f>
        <v>Delta-Sensitivitäten</v>
      </c>
      <c r="D7648" s="1494" t="str">
        <f>'Sensitivitaeten Delta_Market'!$I$11</f>
        <v>Änderungen der Aktiven</v>
      </c>
      <c r="E7648" s="1488" t="str">
        <f>'Sensitivitaeten Delta_Market'!$J$13</f>
        <v>nach unten</v>
      </c>
      <c r="F7648" s="1495" t="str">
        <f>'Sensitivitaeten Delta_Market'!$B57</f>
        <v>direkte Geschäftsimmobilien Schweiz</v>
      </c>
      <c r="G7648" s="1494"/>
      <c r="H7648" s="1077">
        <f>'Sensitivitaeten Delta_Market'!$J57</f>
        <v>0</v>
      </c>
    </row>
    <row r="7649" spans="2:8" x14ac:dyDescent="0.2">
      <c r="B7649" s="1493">
        <f>'Sensitivitaeten Delta_Market'!$A$1</f>
        <v>9</v>
      </c>
      <c r="C7649" s="1488" t="str">
        <f>'Sensitivitaeten Delta_Market'!$B$1</f>
        <v>Delta-Sensitivitäten</v>
      </c>
      <c r="D7649" s="1494" t="str">
        <f>'Sensitivitaeten Delta_Market'!$I$11</f>
        <v>Änderungen der Aktiven</v>
      </c>
      <c r="E7649" s="1488" t="str">
        <f>'Sensitivitaeten Delta_Market'!$J$13</f>
        <v>nach unten</v>
      </c>
      <c r="F7649" s="1495" t="str">
        <f>'Sensitivitaeten Delta_Market'!$B58</f>
        <v>Beteiligungen</v>
      </c>
      <c r="G7649" s="1494"/>
      <c r="H7649" s="1077">
        <f>'Sensitivitaeten Delta_Market'!$J58</f>
        <v>0</v>
      </c>
    </row>
    <row r="7650" spans="2:8" x14ac:dyDescent="0.2">
      <c r="B7650" s="1493">
        <f>'Sensitivitaeten Delta_Market'!$A$1</f>
        <v>9</v>
      </c>
      <c r="C7650" s="1488" t="str">
        <f>'Sensitivitaeten Delta_Market'!$B$1</f>
        <v>Delta-Sensitivitäten</v>
      </c>
      <c r="D7650" s="1494" t="str">
        <f>'Sensitivitaeten Delta_Market'!$O$9</f>
        <v>Marktnaher Wert der Passiven mit entsprechendem Risikofaktor</v>
      </c>
      <c r="E7650" s="1488" t="str">
        <f>'Sensitivitaeten Delta_Market'!$O$11</f>
        <v>dem KVG- und UVG Geschäft zugeordnet</v>
      </c>
      <c r="F7650" s="1495" t="str">
        <f>'Sensitivitaeten Delta_Market'!$B38</f>
        <v>Credit Spread Europa   Govi unter AAA</v>
      </c>
      <c r="G7650" s="1494"/>
      <c r="H7650" s="1077">
        <f>'Sensitivitaeten Delta_Market'!$O38</f>
        <v>0</v>
      </c>
    </row>
    <row r="7651" spans="2:8" x14ac:dyDescent="0.2">
      <c r="B7651" s="1493">
        <f>'Sensitivitaeten Delta_Market'!$A$1</f>
        <v>9</v>
      </c>
      <c r="C7651" s="1488" t="str">
        <f>'Sensitivitaeten Delta_Market'!$B$1</f>
        <v>Delta-Sensitivitäten</v>
      </c>
      <c r="D7651" s="1494" t="str">
        <f>'Sensitivitaeten Delta_Market'!$O$9</f>
        <v>Marktnaher Wert der Passiven mit entsprechendem Risikofaktor</v>
      </c>
      <c r="E7651" s="1488" t="str">
        <f>'Sensitivitaeten Delta_Market'!$O$11</f>
        <v>dem KVG- und UVG Geschäft zugeordnet</v>
      </c>
      <c r="F7651" s="1495" t="str">
        <f>'Sensitivitaeten Delta_Market'!$B39</f>
        <v>Credit Spread CH Pfandbriefe und Govi-related</v>
      </c>
      <c r="G7651" s="1494"/>
      <c r="H7651" s="1077">
        <f>'Sensitivitaeten Delta_Market'!$O39</f>
        <v>0</v>
      </c>
    </row>
    <row r="7652" spans="2:8" x14ac:dyDescent="0.2">
      <c r="B7652" s="1493">
        <f>'Sensitivitaeten Delta_Market'!$A$1</f>
        <v>9</v>
      </c>
      <c r="C7652" s="1488" t="str">
        <f>'Sensitivitaeten Delta_Market'!$B$1</f>
        <v>Delta-Sensitivitäten</v>
      </c>
      <c r="D7652" s="1494" t="str">
        <f>'Sensitivitaeten Delta_Market'!$O$9</f>
        <v>Marktnaher Wert der Passiven mit entsprechendem Risikofaktor</v>
      </c>
      <c r="E7652" s="1488" t="str">
        <f>'Sensitivitaeten Delta_Market'!$O$11</f>
        <v>dem KVG- und UVG Geschäft zugeordnet</v>
      </c>
      <c r="F7652" s="1495" t="str">
        <f>'Sensitivitaeten Delta_Market'!$B40</f>
        <v>Credit Spread CH Corporates</v>
      </c>
      <c r="G7652" s="1494"/>
      <c r="H7652" s="1077">
        <f>'Sensitivitaeten Delta_Market'!$O40</f>
        <v>0</v>
      </c>
    </row>
    <row r="7653" spans="2:8" x14ac:dyDescent="0.2">
      <c r="B7653" s="1493">
        <f>'Sensitivitaeten Delta_Market'!$A$1</f>
        <v>9</v>
      </c>
      <c r="C7653" s="1488" t="str">
        <f>'Sensitivitaeten Delta_Market'!$B$1</f>
        <v>Delta-Sensitivitäten</v>
      </c>
      <c r="D7653" s="1494" t="str">
        <f>'Sensitivitaeten Delta_Market'!$O$9</f>
        <v>Marktnaher Wert der Passiven mit entsprechendem Risikofaktor</v>
      </c>
      <c r="E7653" s="1488" t="str">
        <f>'Sensitivitaeten Delta_Market'!$O$11</f>
        <v>dem KVG- und UVG Geschäft zugeordnet</v>
      </c>
      <c r="F7653" s="1495" t="str">
        <f>'Sensitivitaeten Delta_Market'!$B54</f>
        <v>Private Equity</v>
      </c>
      <c r="G7653" s="1494"/>
      <c r="H7653" s="1077">
        <f>'Sensitivitaeten Delta_Market'!$O54</f>
        <v>0</v>
      </c>
    </row>
    <row r="7654" spans="2:8" x14ac:dyDescent="0.2">
      <c r="B7654" s="1493">
        <f>'Sensitivitaeten Delta_Market'!$A$1</f>
        <v>9</v>
      </c>
      <c r="C7654" s="1488" t="str">
        <f>'Sensitivitaeten Delta_Market'!$B$1</f>
        <v>Delta-Sensitivitäten</v>
      </c>
      <c r="D7654" s="1494" t="str">
        <f>'Sensitivitaeten Delta_Market'!$O$9</f>
        <v>Marktnaher Wert der Passiven mit entsprechendem Risikofaktor</v>
      </c>
      <c r="E7654" s="1488" t="str">
        <f>'Sensitivitaeten Delta_Market'!$O$11</f>
        <v>dem KVG- und UVG Geschäft zugeordnet</v>
      </c>
      <c r="F7654" s="1495" t="str">
        <f>'Sensitivitaeten Delta_Market'!$B55</f>
        <v>Immobilienfonds Schweiz</v>
      </c>
      <c r="G7654" s="1494"/>
      <c r="H7654" s="1077">
        <f>'Sensitivitaeten Delta_Market'!$O55</f>
        <v>0</v>
      </c>
    </row>
    <row r="7655" spans="2:8" x14ac:dyDescent="0.2">
      <c r="B7655" s="1493">
        <f>'Sensitivitaeten Delta_Market'!$A$1</f>
        <v>9</v>
      </c>
      <c r="C7655" s="1488" t="str">
        <f>'Sensitivitaeten Delta_Market'!$B$1</f>
        <v>Delta-Sensitivitäten</v>
      </c>
      <c r="D7655" s="1494" t="str">
        <f>'Sensitivitaeten Delta_Market'!$O$9</f>
        <v>Marktnaher Wert der Passiven mit entsprechendem Risikofaktor</v>
      </c>
      <c r="E7655" s="1488" t="str">
        <f>'Sensitivitaeten Delta_Market'!$O$11</f>
        <v>dem KVG- und UVG Geschäft zugeordnet</v>
      </c>
      <c r="F7655" s="1495" t="str">
        <f>'Sensitivitaeten Delta_Market'!$B56</f>
        <v>direkte Wohnimmobilien Schweiz</v>
      </c>
      <c r="G7655" s="1494"/>
      <c r="H7655" s="1077">
        <f>'Sensitivitaeten Delta_Market'!$O56</f>
        <v>0</v>
      </c>
    </row>
    <row r="7656" spans="2:8" x14ac:dyDescent="0.2">
      <c r="B7656" s="1493">
        <f>'Sensitivitaeten Delta_Market'!$A$1</f>
        <v>9</v>
      </c>
      <c r="C7656" s="1488" t="str">
        <f>'Sensitivitaeten Delta_Market'!$B$1</f>
        <v>Delta-Sensitivitäten</v>
      </c>
      <c r="D7656" s="1494" t="str">
        <f>'Sensitivitaeten Delta_Market'!$O$9</f>
        <v>Marktnaher Wert der Passiven mit entsprechendem Risikofaktor</v>
      </c>
      <c r="E7656" s="1488" t="str">
        <f>'Sensitivitaeten Delta_Market'!$O$11</f>
        <v>dem KVG- und UVG Geschäft zugeordnet</v>
      </c>
      <c r="F7656" s="1495" t="str">
        <f>'Sensitivitaeten Delta_Market'!$B57</f>
        <v>direkte Geschäftsimmobilien Schweiz</v>
      </c>
      <c r="G7656" s="1494"/>
      <c r="H7656" s="1077">
        <f>'Sensitivitaeten Delta_Market'!$O57</f>
        <v>0</v>
      </c>
    </row>
    <row r="7657" spans="2:8" x14ac:dyDescent="0.2">
      <c r="B7657" s="1493">
        <f>'Sensitivitaeten Delta_Market'!$A$1</f>
        <v>9</v>
      </c>
      <c r="C7657" s="1488" t="str">
        <f>'Sensitivitaeten Delta_Market'!$B$1</f>
        <v>Delta-Sensitivitäten</v>
      </c>
      <c r="D7657" s="1494" t="str">
        <f>'Sensitivitaeten Delta_Market'!$O$9</f>
        <v>Marktnaher Wert der Passiven mit entsprechendem Risikofaktor</v>
      </c>
      <c r="E7657" s="1488" t="str">
        <f>'Sensitivitaeten Delta_Market'!$O$11</f>
        <v>dem KVG- und UVG Geschäft zugeordnet</v>
      </c>
      <c r="F7657" s="1495" t="str">
        <f>'Sensitivitaeten Delta_Market'!$B58</f>
        <v>Beteiligungen</v>
      </c>
      <c r="G7657" s="1494"/>
      <c r="H7657" s="1077">
        <f>'Sensitivitaeten Delta_Market'!$O58</f>
        <v>0</v>
      </c>
    </row>
    <row r="7658" spans="2:8" x14ac:dyDescent="0.2">
      <c r="B7658" s="1493">
        <f>'Sensitivitaeten Delta_Market'!$A$1</f>
        <v>9</v>
      </c>
      <c r="C7658" s="1488" t="str">
        <f>'Sensitivitaeten Delta_Market'!$B$1</f>
        <v>Delta-Sensitivitäten</v>
      </c>
      <c r="D7658" s="1494" t="str">
        <f>'Sensitivitaeten Delta_Market'!$O$9</f>
        <v>Marktnaher Wert der Passiven mit entsprechendem Risikofaktor</v>
      </c>
      <c r="E7658" s="1488" t="str">
        <f>'Sensitivitaeten Delta_Market'!$P$11</f>
        <v>dem übrigen Geschäft zugeordnet</v>
      </c>
      <c r="F7658" s="1495" t="str">
        <f>'Sensitivitaeten Delta_Market'!$B38</f>
        <v>Credit Spread Europa   Govi unter AAA</v>
      </c>
      <c r="G7658" s="1494"/>
      <c r="H7658" s="1077">
        <f>'Sensitivitaeten Delta_Market'!$P38</f>
        <v>0</v>
      </c>
    </row>
    <row r="7659" spans="2:8" x14ac:dyDescent="0.2">
      <c r="B7659" s="1493">
        <f>'Sensitivitaeten Delta_Market'!$A$1</f>
        <v>9</v>
      </c>
      <c r="C7659" s="1488" t="str">
        <f>'Sensitivitaeten Delta_Market'!$B$1</f>
        <v>Delta-Sensitivitäten</v>
      </c>
      <c r="D7659" s="1494" t="str">
        <f>'Sensitivitaeten Delta_Market'!$O$9</f>
        <v>Marktnaher Wert der Passiven mit entsprechendem Risikofaktor</v>
      </c>
      <c r="E7659" s="1488" t="str">
        <f>'Sensitivitaeten Delta_Market'!$P$11</f>
        <v>dem übrigen Geschäft zugeordnet</v>
      </c>
      <c r="F7659" s="1495" t="str">
        <f>'Sensitivitaeten Delta_Market'!$B39</f>
        <v>Credit Spread CH Pfandbriefe und Govi-related</v>
      </c>
      <c r="G7659" s="1494"/>
      <c r="H7659" s="1077">
        <f>'Sensitivitaeten Delta_Market'!$P39</f>
        <v>0</v>
      </c>
    </row>
    <row r="7660" spans="2:8" x14ac:dyDescent="0.2">
      <c r="B7660" s="1493">
        <f>'Sensitivitaeten Delta_Market'!$A$1</f>
        <v>9</v>
      </c>
      <c r="C7660" s="1488" t="str">
        <f>'Sensitivitaeten Delta_Market'!$B$1</f>
        <v>Delta-Sensitivitäten</v>
      </c>
      <c r="D7660" s="1494" t="str">
        <f>'Sensitivitaeten Delta_Market'!$O$9</f>
        <v>Marktnaher Wert der Passiven mit entsprechendem Risikofaktor</v>
      </c>
      <c r="E7660" s="1488" t="str">
        <f>'Sensitivitaeten Delta_Market'!$P$11</f>
        <v>dem übrigen Geschäft zugeordnet</v>
      </c>
      <c r="F7660" s="1495" t="str">
        <f>'Sensitivitaeten Delta_Market'!$B40</f>
        <v>Credit Spread CH Corporates</v>
      </c>
      <c r="G7660" s="1494"/>
      <c r="H7660" s="1077">
        <f>'Sensitivitaeten Delta_Market'!$P40</f>
        <v>0</v>
      </c>
    </row>
    <row r="7661" spans="2:8" x14ac:dyDescent="0.2">
      <c r="B7661" s="1493">
        <f>'Sensitivitaeten Delta_Market'!$A$1</f>
        <v>9</v>
      </c>
      <c r="C7661" s="1488" t="str">
        <f>'Sensitivitaeten Delta_Market'!$B$1</f>
        <v>Delta-Sensitivitäten</v>
      </c>
      <c r="D7661" s="1494" t="str">
        <f>'Sensitivitaeten Delta_Market'!$O$9</f>
        <v>Marktnaher Wert der Passiven mit entsprechendem Risikofaktor</v>
      </c>
      <c r="E7661" s="1488" t="str">
        <f>'Sensitivitaeten Delta_Market'!$P$11</f>
        <v>dem übrigen Geschäft zugeordnet</v>
      </c>
      <c r="F7661" s="1495" t="str">
        <f>'Sensitivitaeten Delta_Market'!$B54</f>
        <v>Private Equity</v>
      </c>
      <c r="G7661" s="1494"/>
      <c r="H7661" s="1077">
        <f>'Sensitivitaeten Delta_Market'!$P54</f>
        <v>0</v>
      </c>
    </row>
    <row r="7662" spans="2:8" x14ac:dyDescent="0.2">
      <c r="B7662" s="1493">
        <f>'Sensitivitaeten Delta_Market'!$A$1</f>
        <v>9</v>
      </c>
      <c r="C7662" s="1488" t="str">
        <f>'Sensitivitaeten Delta_Market'!$B$1</f>
        <v>Delta-Sensitivitäten</v>
      </c>
      <c r="D7662" s="1494" t="str">
        <f>'Sensitivitaeten Delta_Market'!$O$9</f>
        <v>Marktnaher Wert der Passiven mit entsprechendem Risikofaktor</v>
      </c>
      <c r="E7662" s="1488" t="str">
        <f>'Sensitivitaeten Delta_Market'!$P$11</f>
        <v>dem übrigen Geschäft zugeordnet</v>
      </c>
      <c r="F7662" s="1495" t="str">
        <f>'Sensitivitaeten Delta_Market'!$B55</f>
        <v>Immobilienfonds Schweiz</v>
      </c>
      <c r="G7662" s="1494"/>
      <c r="H7662" s="1077">
        <f>'Sensitivitaeten Delta_Market'!$P55</f>
        <v>0</v>
      </c>
    </row>
    <row r="7663" spans="2:8" x14ac:dyDescent="0.2">
      <c r="B7663" s="1493">
        <f>'Sensitivitaeten Delta_Market'!$A$1</f>
        <v>9</v>
      </c>
      <c r="C7663" s="1488" t="str">
        <f>'Sensitivitaeten Delta_Market'!$B$1</f>
        <v>Delta-Sensitivitäten</v>
      </c>
      <c r="D7663" s="1494" t="str">
        <f>'Sensitivitaeten Delta_Market'!$O$9</f>
        <v>Marktnaher Wert der Passiven mit entsprechendem Risikofaktor</v>
      </c>
      <c r="E7663" s="1488" t="str">
        <f>'Sensitivitaeten Delta_Market'!$P$11</f>
        <v>dem übrigen Geschäft zugeordnet</v>
      </c>
      <c r="F7663" s="1495" t="str">
        <f>'Sensitivitaeten Delta_Market'!$B56</f>
        <v>direkte Wohnimmobilien Schweiz</v>
      </c>
      <c r="G7663" s="1494"/>
      <c r="H7663" s="1077">
        <f>'Sensitivitaeten Delta_Market'!$P56</f>
        <v>0</v>
      </c>
    </row>
    <row r="7664" spans="2:8" x14ac:dyDescent="0.2">
      <c r="B7664" s="1493">
        <f>'Sensitivitaeten Delta_Market'!$A$1</f>
        <v>9</v>
      </c>
      <c r="C7664" s="1488" t="str">
        <f>'Sensitivitaeten Delta_Market'!$B$1</f>
        <v>Delta-Sensitivitäten</v>
      </c>
      <c r="D7664" s="1494" t="str">
        <f>'Sensitivitaeten Delta_Market'!$O$9</f>
        <v>Marktnaher Wert der Passiven mit entsprechendem Risikofaktor</v>
      </c>
      <c r="E7664" s="1488" t="str">
        <f>'Sensitivitaeten Delta_Market'!$P$11</f>
        <v>dem übrigen Geschäft zugeordnet</v>
      </c>
      <c r="F7664" s="1495" t="str">
        <f>'Sensitivitaeten Delta_Market'!$B57</f>
        <v>direkte Geschäftsimmobilien Schweiz</v>
      </c>
      <c r="G7664" s="1494"/>
      <c r="H7664" s="1077">
        <f>'Sensitivitaeten Delta_Market'!$P57</f>
        <v>0</v>
      </c>
    </row>
    <row r="7665" spans="2:8" x14ac:dyDescent="0.2">
      <c r="B7665" s="1493">
        <f>'Sensitivitaeten Delta_Market'!$A$1</f>
        <v>9</v>
      </c>
      <c r="C7665" s="1488" t="str">
        <f>'Sensitivitaeten Delta_Market'!$B$1</f>
        <v>Delta-Sensitivitäten</v>
      </c>
      <c r="D7665" s="1494" t="str">
        <f>'Sensitivitaeten Delta_Market'!$O$9</f>
        <v>Marktnaher Wert der Passiven mit entsprechendem Risikofaktor</v>
      </c>
      <c r="E7665" s="1488" t="str">
        <f>'Sensitivitaeten Delta_Market'!$P$11</f>
        <v>dem übrigen Geschäft zugeordnet</v>
      </c>
      <c r="F7665" s="1495" t="str">
        <f>'Sensitivitaeten Delta_Market'!$B58</f>
        <v>Beteiligungen</v>
      </c>
      <c r="G7665" s="1494"/>
      <c r="H7665" s="1077">
        <f>'Sensitivitaeten Delta_Market'!$P58</f>
        <v>0</v>
      </c>
    </row>
    <row r="7666" spans="2:8" x14ac:dyDescent="0.2">
      <c r="B7666" s="1493">
        <f>'Sensitivitaeten Delta_Market'!$A$1</f>
        <v>9</v>
      </c>
      <c r="C7666" s="1488" t="str">
        <f>'Sensitivitaeten Delta_Market'!$B$1</f>
        <v>Delta-Sensitivitäten</v>
      </c>
      <c r="D7666" s="1494" t="str">
        <f>'Sensitivitaeten Delta_Market'!$R$11</f>
        <v>Änderungen der Passiven</v>
      </c>
      <c r="E7666" s="1488" t="str">
        <f>'Sensitivitaeten Delta_Market'!$R$13</f>
        <v>nach oben</v>
      </c>
      <c r="F7666" s="1495" t="str">
        <f>'Sensitivitaeten Delta_Market'!$B38</f>
        <v>Credit Spread Europa   Govi unter AAA</v>
      </c>
      <c r="G7666" s="1494"/>
      <c r="H7666" s="1077">
        <f>'Sensitivitaeten Delta_Market'!$R38</f>
        <v>0</v>
      </c>
    </row>
    <row r="7667" spans="2:8" x14ac:dyDescent="0.2">
      <c r="B7667" s="1493">
        <f>'Sensitivitaeten Delta_Market'!$A$1</f>
        <v>9</v>
      </c>
      <c r="C7667" s="1488" t="str">
        <f>'Sensitivitaeten Delta_Market'!$B$1</f>
        <v>Delta-Sensitivitäten</v>
      </c>
      <c r="D7667" s="1494" t="str">
        <f>'Sensitivitaeten Delta_Market'!$R$11</f>
        <v>Änderungen der Passiven</v>
      </c>
      <c r="E7667" s="1488" t="str">
        <f>'Sensitivitaeten Delta_Market'!$R$13</f>
        <v>nach oben</v>
      </c>
      <c r="F7667" s="1495" t="str">
        <f>'Sensitivitaeten Delta_Market'!$B39</f>
        <v>Credit Spread CH Pfandbriefe und Govi-related</v>
      </c>
      <c r="G7667" s="1494"/>
      <c r="H7667" s="1077">
        <f>'Sensitivitaeten Delta_Market'!$R39</f>
        <v>0</v>
      </c>
    </row>
    <row r="7668" spans="2:8" x14ac:dyDescent="0.2">
      <c r="B7668" s="1493">
        <f>'Sensitivitaeten Delta_Market'!$A$1</f>
        <v>9</v>
      </c>
      <c r="C7668" s="1488" t="str">
        <f>'Sensitivitaeten Delta_Market'!$B$1</f>
        <v>Delta-Sensitivitäten</v>
      </c>
      <c r="D7668" s="1494" t="str">
        <f>'Sensitivitaeten Delta_Market'!$R$11</f>
        <v>Änderungen der Passiven</v>
      </c>
      <c r="E7668" s="1488" t="str">
        <f>'Sensitivitaeten Delta_Market'!$R$13</f>
        <v>nach oben</v>
      </c>
      <c r="F7668" s="1495" t="str">
        <f>'Sensitivitaeten Delta_Market'!$B40</f>
        <v>Credit Spread CH Corporates</v>
      </c>
      <c r="G7668" s="1494"/>
      <c r="H7668" s="1077">
        <f>'Sensitivitaeten Delta_Market'!$R40</f>
        <v>0</v>
      </c>
    </row>
    <row r="7669" spans="2:8" x14ac:dyDescent="0.2">
      <c r="B7669" s="1493">
        <f>'Sensitivitaeten Delta_Market'!$A$1</f>
        <v>9</v>
      </c>
      <c r="C7669" s="1488" t="str">
        <f>'Sensitivitaeten Delta_Market'!$B$1</f>
        <v>Delta-Sensitivitäten</v>
      </c>
      <c r="D7669" s="1494" t="str">
        <f>'Sensitivitaeten Delta_Market'!$R$11</f>
        <v>Änderungen der Passiven</v>
      </c>
      <c r="E7669" s="1488" t="str">
        <f>'Sensitivitaeten Delta_Market'!$R$13</f>
        <v>nach oben</v>
      </c>
      <c r="F7669" s="1495" t="str">
        <f>'Sensitivitaeten Delta_Market'!$B54</f>
        <v>Private Equity</v>
      </c>
      <c r="G7669" s="1494"/>
      <c r="H7669" s="1077">
        <f>'Sensitivitaeten Delta_Market'!$R54</f>
        <v>0</v>
      </c>
    </row>
    <row r="7670" spans="2:8" x14ac:dyDescent="0.2">
      <c r="B7670" s="1493">
        <f>'Sensitivitaeten Delta_Market'!$A$1</f>
        <v>9</v>
      </c>
      <c r="C7670" s="1488" t="str">
        <f>'Sensitivitaeten Delta_Market'!$B$1</f>
        <v>Delta-Sensitivitäten</v>
      </c>
      <c r="D7670" s="1494" t="str">
        <f>'Sensitivitaeten Delta_Market'!$R$11</f>
        <v>Änderungen der Passiven</v>
      </c>
      <c r="E7670" s="1488" t="str">
        <f>'Sensitivitaeten Delta_Market'!$R$13</f>
        <v>nach oben</v>
      </c>
      <c r="F7670" s="1495" t="str">
        <f>'Sensitivitaeten Delta_Market'!$B55</f>
        <v>Immobilienfonds Schweiz</v>
      </c>
      <c r="G7670" s="1494"/>
      <c r="H7670" s="1077">
        <f>'Sensitivitaeten Delta_Market'!$R55</f>
        <v>0</v>
      </c>
    </row>
    <row r="7671" spans="2:8" x14ac:dyDescent="0.2">
      <c r="B7671" s="1493">
        <f>'Sensitivitaeten Delta_Market'!$A$1</f>
        <v>9</v>
      </c>
      <c r="C7671" s="1488" t="str">
        <f>'Sensitivitaeten Delta_Market'!$B$1</f>
        <v>Delta-Sensitivitäten</v>
      </c>
      <c r="D7671" s="1494" t="str">
        <f>'Sensitivitaeten Delta_Market'!$R$11</f>
        <v>Änderungen der Passiven</v>
      </c>
      <c r="E7671" s="1488" t="str">
        <f>'Sensitivitaeten Delta_Market'!$R$13</f>
        <v>nach oben</v>
      </c>
      <c r="F7671" s="1495" t="str">
        <f>'Sensitivitaeten Delta_Market'!$B56</f>
        <v>direkte Wohnimmobilien Schweiz</v>
      </c>
      <c r="G7671" s="1494"/>
      <c r="H7671" s="1077">
        <f>'Sensitivitaeten Delta_Market'!$R56</f>
        <v>0</v>
      </c>
    </row>
    <row r="7672" spans="2:8" x14ac:dyDescent="0.2">
      <c r="B7672" s="1493">
        <f>'Sensitivitaeten Delta_Market'!$A$1</f>
        <v>9</v>
      </c>
      <c r="C7672" s="1488" t="str">
        <f>'Sensitivitaeten Delta_Market'!$B$1</f>
        <v>Delta-Sensitivitäten</v>
      </c>
      <c r="D7672" s="1494" t="str">
        <f>'Sensitivitaeten Delta_Market'!$R$11</f>
        <v>Änderungen der Passiven</v>
      </c>
      <c r="E7672" s="1488" t="str">
        <f>'Sensitivitaeten Delta_Market'!$R$13</f>
        <v>nach oben</v>
      </c>
      <c r="F7672" s="1495" t="str">
        <f>'Sensitivitaeten Delta_Market'!$B57</f>
        <v>direkte Geschäftsimmobilien Schweiz</v>
      </c>
      <c r="G7672" s="1494"/>
      <c r="H7672" s="1077">
        <f>'Sensitivitaeten Delta_Market'!$R57</f>
        <v>0</v>
      </c>
    </row>
    <row r="7673" spans="2:8" x14ac:dyDescent="0.2">
      <c r="B7673" s="1493">
        <f>'Sensitivitaeten Delta_Market'!$A$1</f>
        <v>9</v>
      </c>
      <c r="C7673" s="1488" t="str">
        <f>'Sensitivitaeten Delta_Market'!$B$1</f>
        <v>Delta-Sensitivitäten</v>
      </c>
      <c r="D7673" s="1494" t="str">
        <f>'Sensitivitaeten Delta_Market'!$R$11</f>
        <v>Änderungen der Passiven</v>
      </c>
      <c r="E7673" s="1488" t="str">
        <f>'Sensitivitaeten Delta_Market'!$R$13</f>
        <v>nach oben</v>
      </c>
      <c r="F7673" s="1495" t="str">
        <f>'Sensitivitaeten Delta_Market'!$B58</f>
        <v>Beteiligungen</v>
      </c>
      <c r="G7673" s="1494"/>
      <c r="H7673" s="1077">
        <f>'Sensitivitaeten Delta_Market'!$R58</f>
        <v>0</v>
      </c>
    </row>
    <row r="7674" spans="2:8" x14ac:dyDescent="0.2">
      <c r="B7674" s="1493">
        <f>'Sensitivitaeten Delta_Market'!$A$1</f>
        <v>9</v>
      </c>
      <c r="C7674" s="1488" t="str">
        <f>'Sensitivitaeten Delta_Market'!$B$1</f>
        <v>Delta-Sensitivitäten</v>
      </c>
      <c r="D7674" s="1494" t="str">
        <f>'Sensitivitaeten Delta_Market'!$R$11</f>
        <v>Änderungen der Passiven</v>
      </c>
      <c r="E7674" s="1488" t="str">
        <f>'Sensitivitaeten Delta_Market'!$S$13</f>
        <v>nach unten</v>
      </c>
      <c r="F7674" s="1495" t="str">
        <f>'Sensitivitaeten Delta_Market'!$B38</f>
        <v>Credit Spread Europa   Govi unter AAA</v>
      </c>
      <c r="G7674" s="1494"/>
      <c r="H7674" s="1077">
        <f>'Sensitivitaeten Delta_Market'!$S38</f>
        <v>0</v>
      </c>
    </row>
    <row r="7675" spans="2:8" x14ac:dyDescent="0.2">
      <c r="B7675" s="1493">
        <f>'Sensitivitaeten Delta_Market'!$A$1</f>
        <v>9</v>
      </c>
      <c r="C7675" s="1488" t="str">
        <f>'Sensitivitaeten Delta_Market'!$B$1</f>
        <v>Delta-Sensitivitäten</v>
      </c>
      <c r="D7675" s="1494" t="str">
        <f>'Sensitivitaeten Delta_Market'!$R$11</f>
        <v>Änderungen der Passiven</v>
      </c>
      <c r="E7675" s="1488" t="str">
        <f>'Sensitivitaeten Delta_Market'!$S$13</f>
        <v>nach unten</v>
      </c>
      <c r="F7675" s="1495" t="str">
        <f>'Sensitivitaeten Delta_Market'!$B39</f>
        <v>Credit Spread CH Pfandbriefe und Govi-related</v>
      </c>
      <c r="G7675" s="1494"/>
      <c r="H7675" s="1077">
        <f>'Sensitivitaeten Delta_Market'!$S39</f>
        <v>0</v>
      </c>
    </row>
    <row r="7676" spans="2:8" x14ac:dyDescent="0.2">
      <c r="B7676" s="1493">
        <f>'Sensitivitaeten Delta_Market'!$A$1</f>
        <v>9</v>
      </c>
      <c r="C7676" s="1488" t="str">
        <f>'Sensitivitaeten Delta_Market'!$B$1</f>
        <v>Delta-Sensitivitäten</v>
      </c>
      <c r="D7676" s="1494" t="str">
        <f>'Sensitivitaeten Delta_Market'!$R$11</f>
        <v>Änderungen der Passiven</v>
      </c>
      <c r="E7676" s="1488" t="str">
        <f>'Sensitivitaeten Delta_Market'!$S$13</f>
        <v>nach unten</v>
      </c>
      <c r="F7676" s="1495" t="str">
        <f>'Sensitivitaeten Delta_Market'!$B40</f>
        <v>Credit Spread CH Corporates</v>
      </c>
      <c r="G7676" s="1494"/>
      <c r="H7676" s="1077">
        <f>'Sensitivitaeten Delta_Market'!$S40</f>
        <v>0</v>
      </c>
    </row>
    <row r="7677" spans="2:8" x14ac:dyDescent="0.2">
      <c r="B7677" s="1493">
        <f>'Sensitivitaeten Delta_Market'!$A$1</f>
        <v>9</v>
      </c>
      <c r="C7677" s="1488" t="str">
        <f>'Sensitivitaeten Delta_Market'!$B$1</f>
        <v>Delta-Sensitivitäten</v>
      </c>
      <c r="D7677" s="1494" t="str">
        <f>'Sensitivitaeten Delta_Market'!$R$11</f>
        <v>Änderungen der Passiven</v>
      </c>
      <c r="E7677" s="1488" t="str">
        <f>'Sensitivitaeten Delta_Market'!$S$13</f>
        <v>nach unten</v>
      </c>
      <c r="F7677" s="1495" t="str">
        <f>'Sensitivitaeten Delta_Market'!$B54</f>
        <v>Private Equity</v>
      </c>
      <c r="G7677" s="1494"/>
      <c r="H7677" s="1077">
        <f>'Sensitivitaeten Delta_Market'!$S54</f>
        <v>0</v>
      </c>
    </row>
    <row r="7678" spans="2:8" x14ac:dyDescent="0.2">
      <c r="B7678" s="1493">
        <f>'Sensitivitaeten Delta_Market'!$A$1</f>
        <v>9</v>
      </c>
      <c r="C7678" s="1488" t="str">
        <f>'Sensitivitaeten Delta_Market'!$B$1</f>
        <v>Delta-Sensitivitäten</v>
      </c>
      <c r="D7678" s="1494" t="str">
        <f>'Sensitivitaeten Delta_Market'!$R$11</f>
        <v>Änderungen der Passiven</v>
      </c>
      <c r="E7678" s="1488" t="str">
        <f>'Sensitivitaeten Delta_Market'!$S$13</f>
        <v>nach unten</v>
      </c>
      <c r="F7678" s="1495" t="str">
        <f>'Sensitivitaeten Delta_Market'!$B55</f>
        <v>Immobilienfonds Schweiz</v>
      </c>
      <c r="G7678" s="1494"/>
      <c r="H7678" s="1077">
        <f>'Sensitivitaeten Delta_Market'!$S55</f>
        <v>0</v>
      </c>
    </row>
    <row r="7679" spans="2:8" x14ac:dyDescent="0.2">
      <c r="B7679" s="1493">
        <f>'Sensitivitaeten Delta_Market'!$A$1</f>
        <v>9</v>
      </c>
      <c r="C7679" s="1488" t="str">
        <f>'Sensitivitaeten Delta_Market'!$B$1</f>
        <v>Delta-Sensitivitäten</v>
      </c>
      <c r="D7679" s="1494" t="str">
        <f>'Sensitivitaeten Delta_Market'!$R$11</f>
        <v>Änderungen der Passiven</v>
      </c>
      <c r="E7679" s="1488" t="str">
        <f>'Sensitivitaeten Delta_Market'!$S$13</f>
        <v>nach unten</v>
      </c>
      <c r="F7679" s="1495" t="str">
        <f>'Sensitivitaeten Delta_Market'!$B56</f>
        <v>direkte Wohnimmobilien Schweiz</v>
      </c>
      <c r="G7679" s="1494"/>
      <c r="H7679" s="1077">
        <f>'Sensitivitaeten Delta_Market'!$S56</f>
        <v>0</v>
      </c>
    </row>
    <row r="7680" spans="2:8" x14ac:dyDescent="0.2">
      <c r="B7680" s="1493">
        <f>'Sensitivitaeten Delta_Market'!$A$1</f>
        <v>9</v>
      </c>
      <c r="C7680" s="1488" t="str">
        <f>'Sensitivitaeten Delta_Market'!$B$1</f>
        <v>Delta-Sensitivitäten</v>
      </c>
      <c r="D7680" s="1494" t="str">
        <f>'Sensitivitaeten Delta_Market'!$R$11</f>
        <v>Änderungen der Passiven</v>
      </c>
      <c r="E7680" s="1488" t="str">
        <f>'Sensitivitaeten Delta_Market'!$S$13</f>
        <v>nach unten</v>
      </c>
      <c r="F7680" s="1495" t="str">
        <f>'Sensitivitaeten Delta_Market'!$B57</f>
        <v>direkte Geschäftsimmobilien Schweiz</v>
      </c>
      <c r="G7680" s="1494"/>
      <c r="H7680" s="1077">
        <f>'Sensitivitaeten Delta_Market'!$S57</f>
        <v>0</v>
      </c>
    </row>
    <row r="7681" spans="1:8" x14ac:dyDescent="0.2">
      <c r="B7681" s="1493">
        <f>'Sensitivitaeten Delta_Market'!$A$1</f>
        <v>9</v>
      </c>
      <c r="C7681" s="1488" t="str">
        <f>'Sensitivitaeten Delta_Market'!$B$1</f>
        <v>Delta-Sensitivitäten</v>
      </c>
      <c r="D7681" s="1494" t="str">
        <f>'Sensitivitaeten Delta_Market'!$R$11</f>
        <v>Änderungen der Passiven</v>
      </c>
      <c r="E7681" s="1488" t="str">
        <f>'Sensitivitaeten Delta_Market'!$S$13</f>
        <v>nach unten</v>
      </c>
      <c r="F7681" s="1495" t="str">
        <f>'Sensitivitaeten Delta_Market'!$B58</f>
        <v>Beteiligungen</v>
      </c>
      <c r="G7681" s="1494"/>
      <c r="H7681" s="1077">
        <f>'Sensitivitaeten Delta_Market'!$S58</f>
        <v>0</v>
      </c>
    </row>
    <row r="7683" spans="1:8" ht="13.5" thickBot="1" x14ac:dyDescent="0.25">
      <c r="A7683" s="1176" t="s">
        <v>2647</v>
      </c>
      <c r="B7683" s="2320"/>
      <c r="C7683" s="2321"/>
      <c r="D7683" s="2322"/>
      <c r="E7683" s="2323"/>
      <c r="F7683" s="2323"/>
      <c r="G7683" s="2323"/>
      <c r="H7683" s="2323"/>
    </row>
    <row r="7684" spans="1:8" x14ac:dyDescent="0.2">
      <c r="A7684" s="1027"/>
      <c r="B7684" s="1088" t="s">
        <v>1543</v>
      </c>
      <c r="C7684" s="1505" t="str">
        <f>'BAG 0'!$B$1</f>
        <v>Inputs für BAG-Szenarien</v>
      </c>
      <c r="D7684" s="1506" t="str">
        <f>'BAG 0'!$A$13 &amp; " " &amp; 'BAG 0'!$B$14</f>
        <v>Anzahl Versicherte 2025 (Durchschnittsbestand) davon : verbleibender Bestand (Durchschnitt)</v>
      </c>
      <c r="E7684" s="2319" t="str">
        <f>'BAG 0'!$C$10</f>
        <v>Kinder</v>
      </c>
      <c r="F7684" s="2319" t="str">
        <f>'BAG 0'!$C$10</f>
        <v>Kinder</v>
      </c>
      <c r="G7684" s="2319"/>
      <c r="H7684" s="2412">
        <f>'BAG 0'!C14</f>
        <v>0</v>
      </c>
    </row>
    <row r="7685" spans="1:8" ht="25.5" x14ac:dyDescent="0.2">
      <c r="A7685" s="1027"/>
      <c r="B7685" s="1493" t="s">
        <v>1543</v>
      </c>
      <c r="C7685" s="1488" t="str">
        <f>'BAG 0'!$B$1</f>
        <v>Inputs für BAG-Szenarien</v>
      </c>
      <c r="D7685" s="1494" t="str">
        <f>'BAG 0'!$A$13 &amp; " " &amp; 'BAG 0'!$B$14</f>
        <v>Anzahl Versicherte 2025 (Durchschnittsbestand) davon : verbleibender Bestand (Durchschnitt)</v>
      </c>
      <c r="E7685" s="1488" t="s">
        <v>538</v>
      </c>
      <c r="F7685" s="1390">
        <v>300</v>
      </c>
      <c r="G7685" s="1494"/>
      <c r="H7685" s="1078">
        <f>'BAG 0'!D14</f>
        <v>0</v>
      </c>
    </row>
    <row r="7686" spans="1:8" ht="25.5" x14ac:dyDescent="0.2">
      <c r="A7686" s="1027"/>
      <c r="B7686" s="1493" t="s">
        <v>1543</v>
      </c>
      <c r="C7686" s="1488" t="str">
        <f>'BAG 0'!$B$1</f>
        <v>Inputs für BAG-Szenarien</v>
      </c>
      <c r="D7686" s="1494" t="str">
        <f>'BAG 0'!$A$13 &amp; " " &amp; 'BAG 0'!$B$14</f>
        <v>Anzahl Versicherte 2025 (Durchschnittsbestand) davon : verbleibender Bestand (Durchschnitt)</v>
      </c>
      <c r="E7686" s="1488" t="s">
        <v>538</v>
      </c>
      <c r="F7686" s="1390">
        <f>'BAG 0'!$E$11</f>
        <v>500</v>
      </c>
      <c r="G7686" s="1494"/>
      <c r="H7686" s="1078">
        <f>'BAG 0'!E14</f>
        <v>0</v>
      </c>
    </row>
    <row r="7687" spans="1:8" ht="25.5" x14ac:dyDescent="0.2">
      <c r="A7687" s="1027"/>
      <c r="B7687" s="1493" t="s">
        <v>1543</v>
      </c>
      <c r="C7687" s="1488" t="str">
        <f>'BAG 0'!$B$1</f>
        <v>Inputs für BAG-Szenarien</v>
      </c>
      <c r="D7687" s="1494" t="str">
        <f>'BAG 0'!$A$13 &amp; " " &amp; 'BAG 0'!$B$14</f>
        <v>Anzahl Versicherte 2025 (Durchschnittsbestand) davon : verbleibender Bestand (Durchschnitt)</v>
      </c>
      <c r="E7687" s="1488" t="s">
        <v>538</v>
      </c>
      <c r="F7687" s="1390">
        <f>'BAG 0'!$F$11</f>
        <v>1000</v>
      </c>
      <c r="G7687" s="1494"/>
      <c r="H7687" s="1078">
        <f>'BAG 0'!F14</f>
        <v>0</v>
      </c>
    </row>
    <row r="7688" spans="1:8" ht="25.5" x14ac:dyDescent="0.2">
      <c r="A7688" s="1027"/>
      <c r="B7688" s="1493" t="s">
        <v>1543</v>
      </c>
      <c r="C7688" s="1488" t="str">
        <f>'BAG 0'!$B$1</f>
        <v>Inputs für BAG-Szenarien</v>
      </c>
      <c r="D7688" s="1494" t="str">
        <f>'BAG 0'!$A$13 &amp; " " &amp; 'BAG 0'!$B$14</f>
        <v>Anzahl Versicherte 2025 (Durchschnittsbestand) davon : verbleibender Bestand (Durchschnitt)</v>
      </c>
      <c r="E7688" s="1488" t="s">
        <v>538</v>
      </c>
      <c r="F7688" s="1390">
        <f>'BAG 0'!$G$11</f>
        <v>1500</v>
      </c>
      <c r="G7688" s="1494"/>
      <c r="H7688" s="1078">
        <f>'BAG 0'!G14</f>
        <v>0</v>
      </c>
    </row>
    <row r="7689" spans="1:8" ht="25.5" x14ac:dyDescent="0.2">
      <c r="A7689" s="1027"/>
      <c r="B7689" s="1493" t="s">
        <v>1543</v>
      </c>
      <c r="C7689" s="1488" t="str">
        <f>'BAG 0'!$B$1</f>
        <v>Inputs für BAG-Szenarien</v>
      </c>
      <c r="D7689" s="1494" t="str">
        <f>'BAG 0'!$A$13 &amp; " " &amp; 'BAG 0'!$B$14</f>
        <v>Anzahl Versicherte 2025 (Durchschnittsbestand) davon : verbleibender Bestand (Durchschnitt)</v>
      </c>
      <c r="E7689" s="1488" t="s">
        <v>538</v>
      </c>
      <c r="F7689" s="1390">
        <f>'BAG 0'!$H$11</f>
        <v>2000</v>
      </c>
      <c r="G7689" s="1494"/>
      <c r="H7689" s="1078">
        <f>'BAG 0'!H14</f>
        <v>0</v>
      </c>
    </row>
    <row r="7690" spans="1:8" ht="25.5" x14ac:dyDescent="0.2">
      <c r="A7690" s="1027"/>
      <c r="B7690" s="1493" t="s">
        <v>1543</v>
      </c>
      <c r="C7690" s="1488" t="str">
        <f>'BAG 0'!$B$1</f>
        <v>Inputs für BAG-Szenarien</v>
      </c>
      <c r="D7690" s="1494" t="str">
        <f>'BAG 0'!$A$13 &amp; " " &amp; 'BAG 0'!$B$14</f>
        <v>Anzahl Versicherte 2025 (Durchschnittsbestand) davon : verbleibender Bestand (Durchschnitt)</v>
      </c>
      <c r="E7690" s="1488" t="s">
        <v>538</v>
      </c>
      <c r="F7690" s="1390">
        <f>'BAG 0'!$I$11</f>
        <v>2500</v>
      </c>
      <c r="G7690" s="1494"/>
      <c r="H7690" s="1078">
        <f>'BAG 0'!I14</f>
        <v>0</v>
      </c>
    </row>
    <row r="7691" spans="1:8" x14ac:dyDescent="0.2">
      <c r="A7691" s="1027"/>
      <c r="B7691" s="1493" t="s">
        <v>1543</v>
      </c>
      <c r="C7691" s="1488" t="str">
        <f>'BAG 0'!$B$1</f>
        <v>Inputs für BAG-Szenarien</v>
      </c>
      <c r="D7691" s="1494" t="str">
        <f>'BAG 0'!$A$13 &amp; " " &amp; 'BAG 0'!$B$15</f>
        <v>Anzahl Versicherte 2025 (Durchschnittsbestand) davon : neuer Bestand (Durchschnitt)</v>
      </c>
      <c r="E7691" s="1390" t="str">
        <f>'BAG 0'!$C$10</f>
        <v>Kinder</v>
      </c>
      <c r="F7691" s="1390" t="str">
        <f>'BAG 0'!$C$10</f>
        <v>Kinder</v>
      </c>
      <c r="G7691" s="1494"/>
      <c r="H7691" s="2412">
        <f>'BAG 0'!C15</f>
        <v>0</v>
      </c>
    </row>
    <row r="7692" spans="1:8" ht="25.5" x14ac:dyDescent="0.2">
      <c r="A7692" s="1027"/>
      <c r="B7692" s="1493" t="s">
        <v>1543</v>
      </c>
      <c r="C7692" s="1488" t="str">
        <f>'BAG 0'!$B$1</f>
        <v>Inputs für BAG-Szenarien</v>
      </c>
      <c r="D7692" s="1494" t="str">
        <f>'BAG 0'!$A$13 &amp; " " &amp; 'BAG 0'!$B$15</f>
        <v>Anzahl Versicherte 2025 (Durchschnittsbestand) davon : neuer Bestand (Durchschnitt)</v>
      </c>
      <c r="E7692" s="1488" t="s">
        <v>538</v>
      </c>
      <c r="F7692" s="1390">
        <v>300</v>
      </c>
      <c r="G7692" s="1494"/>
      <c r="H7692" s="1078">
        <f>'BAG 0'!D15</f>
        <v>0</v>
      </c>
    </row>
    <row r="7693" spans="1:8" ht="25.5" x14ac:dyDescent="0.2">
      <c r="A7693" s="1027"/>
      <c r="B7693" s="1493" t="s">
        <v>1543</v>
      </c>
      <c r="C7693" s="1488" t="str">
        <f>'BAG 0'!$B$1</f>
        <v>Inputs für BAG-Szenarien</v>
      </c>
      <c r="D7693" s="1494" t="str">
        <f>'BAG 0'!$A$13 &amp; " " &amp; 'BAG 0'!$B$15</f>
        <v>Anzahl Versicherte 2025 (Durchschnittsbestand) davon : neuer Bestand (Durchschnitt)</v>
      </c>
      <c r="E7693" s="1488" t="s">
        <v>538</v>
      </c>
      <c r="F7693" s="1390">
        <f>'BAG 0'!$E$11</f>
        <v>500</v>
      </c>
      <c r="G7693" s="1494"/>
      <c r="H7693" s="1078">
        <f>'BAG 0'!E15</f>
        <v>0</v>
      </c>
    </row>
    <row r="7694" spans="1:8" ht="25.5" x14ac:dyDescent="0.2">
      <c r="A7694" s="1027"/>
      <c r="B7694" s="1493" t="s">
        <v>1543</v>
      </c>
      <c r="C7694" s="1488" t="str">
        <f>'BAG 0'!$B$1</f>
        <v>Inputs für BAG-Szenarien</v>
      </c>
      <c r="D7694" s="1494" t="str">
        <f>'BAG 0'!$A$13 &amp; " " &amp; 'BAG 0'!$B$15</f>
        <v>Anzahl Versicherte 2025 (Durchschnittsbestand) davon : neuer Bestand (Durchschnitt)</v>
      </c>
      <c r="E7694" s="1488" t="s">
        <v>538</v>
      </c>
      <c r="F7694" s="1390">
        <f>'BAG 0'!$F$11</f>
        <v>1000</v>
      </c>
      <c r="G7694" s="1494"/>
      <c r="H7694" s="1078">
        <f>'BAG 0'!F15</f>
        <v>0</v>
      </c>
    </row>
    <row r="7695" spans="1:8" ht="25.5" x14ac:dyDescent="0.2">
      <c r="A7695" s="1027"/>
      <c r="B7695" s="1493" t="s">
        <v>1543</v>
      </c>
      <c r="C7695" s="1488" t="str">
        <f>'BAG 0'!$B$1</f>
        <v>Inputs für BAG-Szenarien</v>
      </c>
      <c r="D7695" s="1494" t="str">
        <f>'BAG 0'!$A$13 &amp; " " &amp; 'BAG 0'!$B$15</f>
        <v>Anzahl Versicherte 2025 (Durchschnittsbestand) davon : neuer Bestand (Durchschnitt)</v>
      </c>
      <c r="E7695" s="1488" t="s">
        <v>538</v>
      </c>
      <c r="F7695" s="1390">
        <f>'BAG 0'!$G$11</f>
        <v>1500</v>
      </c>
      <c r="G7695" s="1494"/>
      <c r="H7695" s="1078">
        <f>'BAG 0'!G15</f>
        <v>0</v>
      </c>
    </row>
    <row r="7696" spans="1:8" ht="25.5" x14ac:dyDescent="0.2">
      <c r="A7696" s="1027"/>
      <c r="B7696" s="1493" t="s">
        <v>1543</v>
      </c>
      <c r="C7696" s="1488" t="str">
        <f>'BAG 0'!$B$1</f>
        <v>Inputs für BAG-Szenarien</v>
      </c>
      <c r="D7696" s="1494" t="str">
        <f>'BAG 0'!$A$13 &amp; " " &amp; 'BAG 0'!$B$15</f>
        <v>Anzahl Versicherte 2025 (Durchschnittsbestand) davon : neuer Bestand (Durchschnitt)</v>
      </c>
      <c r="E7696" s="1488" t="s">
        <v>538</v>
      </c>
      <c r="F7696" s="1390">
        <f>'BAG 0'!$H$11</f>
        <v>2000</v>
      </c>
      <c r="G7696" s="1494"/>
      <c r="H7696" s="1078">
        <f>'BAG 0'!H15</f>
        <v>0</v>
      </c>
    </row>
    <row r="7697" spans="1:8" ht="25.5" x14ac:dyDescent="0.2">
      <c r="A7697" s="1027"/>
      <c r="B7697" s="1493" t="s">
        <v>1543</v>
      </c>
      <c r="C7697" s="1488" t="str">
        <f>'BAG 0'!$B$1</f>
        <v>Inputs für BAG-Szenarien</v>
      </c>
      <c r="D7697" s="1494" t="str">
        <f>'BAG 0'!$A$13 &amp; " " &amp; 'BAG 0'!$B$15</f>
        <v>Anzahl Versicherte 2025 (Durchschnittsbestand) davon : neuer Bestand (Durchschnitt)</v>
      </c>
      <c r="E7697" s="1488" t="s">
        <v>538</v>
      </c>
      <c r="F7697" s="1390">
        <f>'BAG 0'!$I$11</f>
        <v>2500</v>
      </c>
      <c r="G7697" s="1494"/>
      <c r="H7697" s="1078">
        <f>'BAG 0'!I15</f>
        <v>0</v>
      </c>
    </row>
    <row r="7698" spans="1:8" x14ac:dyDescent="0.2">
      <c r="A7698" s="1027"/>
      <c r="B7698" s="1493" t="s">
        <v>1543</v>
      </c>
      <c r="C7698" s="1091" t="str">
        <f>'BAG 0'!$B$1</f>
        <v>Inputs für BAG-Szenarien</v>
      </c>
      <c r="D7698" s="2175" t="str">
        <f>'BAG 0'!A17</f>
        <v>Nettoleistungen und Risikoausgleich 2025 in Fr. (verbleibender Bestand)</v>
      </c>
      <c r="E7698" s="1390" t="str">
        <f>'BAG 0'!$C$10</f>
        <v>Kinder</v>
      </c>
      <c r="F7698" s="1390" t="str">
        <f>'BAG 0'!$C$10</f>
        <v>Kinder</v>
      </c>
      <c r="H7698" s="1112">
        <f>'BAG 0'!C17</f>
        <v>0</v>
      </c>
    </row>
    <row r="7699" spans="1:8" x14ac:dyDescent="0.2">
      <c r="A7699" s="1027"/>
      <c r="B7699" s="1493" t="s">
        <v>1543</v>
      </c>
      <c r="C7699" s="1091" t="str">
        <f>'BAG 0'!$B$1</f>
        <v>Inputs für BAG-Szenarien</v>
      </c>
      <c r="D7699" s="2175" t="str">
        <f>'BAG 0'!A17</f>
        <v>Nettoleistungen und Risikoausgleich 2025 in Fr. (verbleibender Bestand)</v>
      </c>
      <c r="E7699" s="1390" t="str">
        <f>'BAG 0'!$D$10</f>
        <v>Jugendliche und Erwachsene mit wählbarer Jahresfranchise von ...</v>
      </c>
      <c r="F7699" s="1390">
        <f>'BAG 0'!$D$11</f>
        <v>300</v>
      </c>
      <c r="G7699" s="1494"/>
      <c r="H7699" s="1112">
        <f>'BAG 0'!D17</f>
        <v>0</v>
      </c>
    </row>
    <row r="7700" spans="1:8" x14ac:dyDescent="0.2">
      <c r="A7700" s="1027"/>
      <c r="B7700" s="1493" t="s">
        <v>1543</v>
      </c>
      <c r="C7700" s="1091" t="str">
        <f>'BAG 0'!$B$1</f>
        <v>Inputs für BAG-Szenarien</v>
      </c>
      <c r="D7700" s="2175" t="str">
        <f>'BAG 0'!A17</f>
        <v>Nettoleistungen und Risikoausgleich 2025 in Fr. (verbleibender Bestand)</v>
      </c>
      <c r="E7700" s="1390" t="str">
        <f>'BAG 0'!$D$10</f>
        <v>Jugendliche und Erwachsene mit wählbarer Jahresfranchise von ...</v>
      </c>
      <c r="F7700" s="1390">
        <f>'BAG 0'!$E$11</f>
        <v>500</v>
      </c>
      <c r="G7700" s="1494"/>
      <c r="H7700" s="1112">
        <f>'BAG 0'!E17</f>
        <v>0</v>
      </c>
    </row>
    <row r="7701" spans="1:8" x14ac:dyDescent="0.2">
      <c r="A7701" s="1027"/>
      <c r="B7701" s="1493" t="s">
        <v>1543</v>
      </c>
      <c r="C7701" s="1091" t="str">
        <f>'BAG 0'!$B$1</f>
        <v>Inputs für BAG-Szenarien</v>
      </c>
      <c r="D7701" s="2175" t="str">
        <f>'BAG 0'!A17</f>
        <v>Nettoleistungen und Risikoausgleich 2025 in Fr. (verbleibender Bestand)</v>
      </c>
      <c r="E7701" s="1390" t="str">
        <f>'BAG 0'!$D$10</f>
        <v>Jugendliche und Erwachsene mit wählbarer Jahresfranchise von ...</v>
      </c>
      <c r="F7701" s="1390">
        <f>'BAG 0'!$F$11</f>
        <v>1000</v>
      </c>
      <c r="G7701" s="1494"/>
      <c r="H7701" s="1112">
        <f>'BAG 0'!F17</f>
        <v>0</v>
      </c>
    </row>
    <row r="7702" spans="1:8" x14ac:dyDescent="0.2">
      <c r="A7702" s="1027"/>
      <c r="B7702" s="1493" t="s">
        <v>1543</v>
      </c>
      <c r="C7702" s="1091" t="str">
        <f>'BAG 0'!$B$1</f>
        <v>Inputs für BAG-Szenarien</v>
      </c>
      <c r="D7702" s="2175" t="str">
        <f>'BAG 0'!A17</f>
        <v>Nettoleistungen und Risikoausgleich 2025 in Fr. (verbleibender Bestand)</v>
      </c>
      <c r="E7702" s="1390" t="str">
        <f>'BAG 0'!$D$10</f>
        <v>Jugendliche und Erwachsene mit wählbarer Jahresfranchise von ...</v>
      </c>
      <c r="F7702" s="1390">
        <f>'BAG 0'!$G$11</f>
        <v>1500</v>
      </c>
      <c r="G7702" s="1494"/>
      <c r="H7702" s="1112">
        <f>'BAG 0'!G17</f>
        <v>0</v>
      </c>
    </row>
    <row r="7703" spans="1:8" x14ac:dyDescent="0.2">
      <c r="A7703" s="1027"/>
      <c r="B7703" s="1493" t="s">
        <v>1543</v>
      </c>
      <c r="C7703" s="1091" t="str">
        <f>'BAG 0'!$B$1</f>
        <v>Inputs für BAG-Szenarien</v>
      </c>
      <c r="D7703" s="2175" t="str">
        <f>'BAG 0'!A17</f>
        <v>Nettoleistungen und Risikoausgleich 2025 in Fr. (verbleibender Bestand)</v>
      </c>
      <c r="E7703" s="1390" t="str">
        <f>'BAG 0'!$D$10</f>
        <v>Jugendliche und Erwachsene mit wählbarer Jahresfranchise von ...</v>
      </c>
      <c r="F7703" s="1390">
        <f>'BAG 0'!$H$11</f>
        <v>2000</v>
      </c>
      <c r="G7703" s="1494"/>
      <c r="H7703" s="1112">
        <f>'BAG 0'!H17</f>
        <v>0</v>
      </c>
    </row>
    <row r="7704" spans="1:8" x14ac:dyDescent="0.2">
      <c r="A7704" s="1027"/>
      <c r="B7704" s="1493" t="s">
        <v>1543</v>
      </c>
      <c r="C7704" s="1091" t="str">
        <f>'BAG 0'!$B$1</f>
        <v>Inputs für BAG-Szenarien</v>
      </c>
      <c r="D7704" s="2175" t="str">
        <f>'BAG 0'!A17</f>
        <v>Nettoleistungen und Risikoausgleich 2025 in Fr. (verbleibender Bestand)</v>
      </c>
      <c r="E7704" s="1390" t="str">
        <f>'BAG 0'!$D$10</f>
        <v>Jugendliche und Erwachsene mit wählbarer Jahresfranchise von ...</v>
      </c>
      <c r="F7704" s="1390">
        <f>'BAG 0'!$I$11</f>
        <v>2500</v>
      </c>
      <c r="G7704" s="1494"/>
      <c r="H7704" s="1112">
        <f>'BAG 0'!I17</f>
        <v>0</v>
      </c>
    </row>
    <row r="7705" spans="1:8" x14ac:dyDescent="0.2">
      <c r="A7705" s="1027"/>
      <c r="B7705" s="1493" t="s">
        <v>1543</v>
      </c>
      <c r="C7705" s="1091" t="str">
        <f>'BAG 0'!$B$1</f>
        <v>Inputs für BAG-Szenarien</v>
      </c>
      <c r="D7705" s="2175" t="str">
        <f>'BAG 0'!A18</f>
        <v>Nettoleistungen und Risikoausgleich 2025 in Fr. (neuer Bestand)</v>
      </c>
      <c r="E7705" s="1390" t="str">
        <f>'BAG 0'!$C$10</f>
        <v>Kinder</v>
      </c>
      <c r="F7705" s="1390" t="str">
        <f>'BAG 0'!$C$10</f>
        <v>Kinder</v>
      </c>
      <c r="G7705" s="1494"/>
      <c r="H7705" s="1112">
        <f>'BAG 0'!C18</f>
        <v>0</v>
      </c>
    </row>
    <row r="7706" spans="1:8" x14ac:dyDescent="0.2">
      <c r="A7706" s="1027"/>
      <c r="B7706" s="1493" t="s">
        <v>1543</v>
      </c>
      <c r="C7706" s="1091" t="str">
        <f>'BAG 0'!$B$1</f>
        <v>Inputs für BAG-Szenarien</v>
      </c>
      <c r="D7706" s="2175" t="str">
        <f>'BAG 0'!A18</f>
        <v>Nettoleistungen und Risikoausgleich 2025 in Fr. (neuer Bestand)</v>
      </c>
      <c r="E7706" s="1390" t="str">
        <f>'BAG 0'!$D$10</f>
        <v>Jugendliche und Erwachsene mit wählbarer Jahresfranchise von ...</v>
      </c>
      <c r="F7706" s="1390">
        <f>'BAG 0'!$D$11</f>
        <v>300</v>
      </c>
      <c r="G7706" s="1494"/>
      <c r="H7706" s="1112">
        <f>'BAG 0'!D18</f>
        <v>0</v>
      </c>
    </row>
    <row r="7707" spans="1:8" x14ac:dyDescent="0.2">
      <c r="A7707" s="1027"/>
      <c r="B7707" s="1493" t="s">
        <v>1543</v>
      </c>
      <c r="C7707" s="1091" t="str">
        <f>'BAG 0'!$B$1</f>
        <v>Inputs für BAG-Szenarien</v>
      </c>
      <c r="D7707" s="2175" t="str">
        <f>'BAG 0'!A18</f>
        <v>Nettoleistungen und Risikoausgleich 2025 in Fr. (neuer Bestand)</v>
      </c>
      <c r="E7707" s="1390" t="str">
        <f>'BAG 0'!$D$10</f>
        <v>Jugendliche und Erwachsene mit wählbarer Jahresfranchise von ...</v>
      </c>
      <c r="F7707" s="1390">
        <f>'BAG 0'!$E$11</f>
        <v>500</v>
      </c>
      <c r="G7707" s="1494"/>
      <c r="H7707" s="1112">
        <f>'BAG 0'!E18</f>
        <v>0</v>
      </c>
    </row>
    <row r="7708" spans="1:8" x14ac:dyDescent="0.2">
      <c r="A7708" s="1027"/>
      <c r="B7708" s="1493" t="s">
        <v>1543</v>
      </c>
      <c r="C7708" s="1091" t="str">
        <f>'BAG 0'!$B$1</f>
        <v>Inputs für BAG-Szenarien</v>
      </c>
      <c r="D7708" s="2175" t="str">
        <f>'BAG 0'!A18</f>
        <v>Nettoleistungen und Risikoausgleich 2025 in Fr. (neuer Bestand)</v>
      </c>
      <c r="E7708" s="1390" t="str">
        <f>'BAG 0'!$D$10</f>
        <v>Jugendliche und Erwachsene mit wählbarer Jahresfranchise von ...</v>
      </c>
      <c r="F7708" s="1390">
        <f>'BAG 0'!$F$11</f>
        <v>1000</v>
      </c>
      <c r="G7708" s="1494"/>
      <c r="H7708" s="1112">
        <f>'BAG 0'!F18</f>
        <v>0</v>
      </c>
    </row>
    <row r="7709" spans="1:8" x14ac:dyDescent="0.2">
      <c r="A7709" s="1027"/>
      <c r="B7709" s="1493" t="s">
        <v>1543</v>
      </c>
      <c r="C7709" s="1091" t="str">
        <f>'BAG 0'!$B$1</f>
        <v>Inputs für BAG-Szenarien</v>
      </c>
      <c r="D7709" s="2175" t="str">
        <f>'BAG 0'!A18</f>
        <v>Nettoleistungen und Risikoausgleich 2025 in Fr. (neuer Bestand)</v>
      </c>
      <c r="E7709" s="1390" t="str">
        <f>'BAG 0'!$D$10</f>
        <v>Jugendliche und Erwachsene mit wählbarer Jahresfranchise von ...</v>
      </c>
      <c r="F7709" s="1390">
        <f>'BAG 0'!$G$11</f>
        <v>1500</v>
      </c>
      <c r="G7709" s="1494"/>
      <c r="H7709" s="1112">
        <f>'BAG 0'!G18</f>
        <v>0</v>
      </c>
    </row>
    <row r="7710" spans="1:8" x14ac:dyDescent="0.2">
      <c r="A7710" s="1027"/>
      <c r="B7710" s="1493" t="s">
        <v>1543</v>
      </c>
      <c r="C7710" s="1091" t="str">
        <f>'BAG 0'!$B$1</f>
        <v>Inputs für BAG-Szenarien</v>
      </c>
      <c r="D7710" s="2175" t="str">
        <f>'BAG 0'!A18</f>
        <v>Nettoleistungen und Risikoausgleich 2025 in Fr. (neuer Bestand)</v>
      </c>
      <c r="E7710" s="1390" t="str">
        <f>'BAG 0'!$D$10</f>
        <v>Jugendliche und Erwachsene mit wählbarer Jahresfranchise von ...</v>
      </c>
      <c r="F7710" s="1390">
        <f>'BAG 0'!$H$11</f>
        <v>2000</v>
      </c>
      <c r="G7710" s="1494"/>
      <c r="H7710" s="1112">
        <f>'BAG 0'!H18</f>
        <v>0</v>
      </c>
    </row>
    <row r="7711" spans="1:8" x14ac:dyDescent="0.2">
      <c r="A7711" s="1027"/>
      <c r="B7711" s="1493" t="s">
        <v>1543</v>
      </c>
      <c r="C7711" s="1091" t="str">
        <f>'BAG 0'!$B$1</f>
        <v>Inputs für BAG-Szenarien</v>
      </c>
      <c r="D7711" s="2175" t="str">
        <f>'BAG 0'!A18</f>
        <v>Nettoleistungen und Risikoausgleich 2025 in Fr. (neuer Bestand)</v>
      </c>
      <c r="E7711" s="1390" t="str">
        <f>'BAG 0'!$D$10</f>
        <v>Jugendliche und Erwachsene mit wählbarer Jahresfranchise von ...</v>
      </c>
      <c r="F7711" s="1390">
        <f>'BAG 0'!$I$11</f>
        <v>2500</v>
      </c>
      <c r="G7711" s="1494"/>
      <c r="H7711" s="1112">
        <f>'BAG 0'!I18</f>
        <v>0</v>
      </c>
    </row>
    <row r="7712" spans="1:8" x14ac:dyDescent="0.2">
      <c r="A7712" s="1027"/>
      <c r="B7712" s="1493" t="s">
        <v>1543</v>
      </c>
      <c r="C7712" s="1488" t="str">
        <f>'BAG 0'!$B$1</f>
        <v>Inputs für BAG-Szenarien</v>
      </c>
      <c r="D7712" s="1494" t="str">
        <f>'BAG 0'!$A$19</f>
        <v>durch. Nettoleistungen und Risikoausgleich pro Versicherten 2025 (verbleibender Bestand)</v>
      </c>
      <c r="E7712" s="1390" t="str">
        <f>'BAG 0'!$C$10</f>
        <v>Kinder</v>
      </c>
      <c r="F7712" s="1390" t="str">
        <f>'BAG 0'!$C$10</f>
        <v>Kinder</v>
      </c>
      <c r="G7712" s="1494"/>
      <c r="H7712" s="1078" t="str">
        <f>'BAG 0'!C19</f>
        <v/>
      </c>
    </row>
    <row r="7713" spans="1:8" ht="25.5" x14ac:dyDescent="0.2">
      <c r="A7713" s="1027"/>
      <c r="B7713" s="1493" t="s">
        <v>1543</v>
      </c>
      <c r="C7713" s="1488" t="str">
        <f>'BAG 0'!$B$1</f>
        <v>Inputs für BAG-Szenarien</v>
      </c>
      <c r="D7713" s="1494" t="str">
        <f>'BAG 0'!$A$19</f>
        <v>durch. Nettoleistungen und Risikoausgleich pro Versicherten 2025 (verbleibender Bestand)</v>
      </c>
      <c r="E7713" s="1488" t="s">
        <v>538</v>
      </c>
      <c r="F7713" s="1390">
        <v>300</v>
      </c>
      <c r="G7713" s="1494"/>
      <c r="H7713" s="1078" t="str">
        <f>'BAG 0'!D19</f>
        <v/>
      </c>
    </row>
    <row r="7714" spans="1:8" ht="25.5" x14ac:dyDescent="0.2">
      <c r="A7714" s="1027"/>
      <c r="B7714" s="1493" t="s">
        <v>1543</v>
      </c>
      <c r="C7714" s="1488" t="str">
        <f>'BAG 0'!$B$1</f>
        <v>Inputs für BAG-Szenarien</v>
      </c>
      <c r="D7714" s="1494" t="str">
        <f>'BAG 0'!$A$19</f>
        <v>durch. Nettoleistungen und Risikoausgleich pro Versicherten 2025 (verbleibender Bestand)</v>
      </c>
      <c r="E7714" s="1488" t="s">
        <v>538</v>
      </c>
      <c r="F7714" s="1390">
        <f>'BAG 0'!$E$11</f>
        <v>500</v>
      </c>
      <c r="G7714" s="1494"/>
      <c r="H7714" s="1078" t="str">
        <f>'BAG 0'!E19</f>
        <v/>
      </c>
    </row>
    <row r="7715" spans="1:8" ht="25.5" x14ac:dyDescent="0.2">
      <c r="A7715" s="1027"/>
      <c r="B7715" s="1493" t="s">
        <v>1543</v>
      </c>
      <c r="C7715" s="1488" t="str">
        <f>'BAG 0'!$B$1</f>
        <v>Inputs für BAG-Szenarien</v>
      </c>
      <c r="D7715" s="1494" t="str">
        <f>'BAG 0'!$A$19</f>
        <v>durch. Nettoleistungen und Risikoausgleich pro Versicherten 2025 (verbleibender Bestand)</v>
      </c>
      <c r="E7715" s="1488" t="s">
        <v>538</v>
      </c>
      <c r="F7715" s="1390">
        <f>'BAG 0'!$F$11</f>
        <v>1000</v>
      </c>
      <c r="G7715" s="1494"/>
      <c r="H7715" s="1078" t="str">
        <f>'BAG 0'!F19</f>
        <v/>
      </c>
    </row>
    <row r="7716" spans="1:8" ht="25.5" x14ac:dyDescent="0.2">
      <c r="A7716" s="1027"/>
      <c r="B7716" s="1493" t="s">
        <v>1543</v>
      </c>
      <c r="C7716" s="1488" t="str">
        <f>'BAG 0'!$B$1</f>
        <v>Inputs für BAG-Szenarien</v>
      </c>
      <c r="D7716" s="1494" t="str">
        <f>'BAG 0'!$A$19</f>
        <v>durch. Nettoleistungen und Risikoausgleich pro Versicherten 2025 (verbleibender Bestand)</v>
      </c>
      <c r="E7716" s="1488" t="s">
        <v>538</v>
      </c>
      <c r="F7716" s="1390">
        <f>'BAG 0'!$G$11</f>
        <v>1500</v>
      </c>
      <c r="G7716" s="1494"/>
      <c r="H7716" s="1078" t="str">
        <f>'BAG 0'!G19</f>
        <v/>
      </c>
    </row>
    <row r="7717" spans="1:8" ht="25.5" x14ac:dyDescent="0.2">
      <c r="A7717" s="1027"/>
      <c r="B7717" s="1493" t="s">
        <v>1543</v>
      </c>
      <c r="C7717" s="1488" t="str">
        <f>'BAG 0'!$B$1</f>
        <v>Inputs für BAG-Szenarien</v>
      </c>
      <c r="D7717" s="1494" t="str">
        <f>'BAG 0'!$A$19</f>
        <v>durch. Nettoleistungen und Risikoausgleich pro Versicherten 2025 (verbleibender Bestand)</v>
      </c>
      <c r="E7717" s="1488" t="s">
        <v>538</v>
      </c>
      <c r="F7717" s="1390">
        <f>'BAG 0'!$H$11</f>
        <v>2000</v>
      </c>
      <c r="G7717" s="1494"/>
      <c r="H7717" s="1078" t="str">
        <f>'BAG 0'!H19</f>
        <v/>
      </c>
    </row>
    <row r="7718" spans="1:8" ht="25.5" x14ac:dyDescent="0.2">
      <c r="A7718" s="1027"/>
      <c r="B7718" s="1493" t="s">
        <v>1543</v>
      </c>
      <c r="C7718" s="1488" t="str">
        <f>'BAG 0'!$B$1</f>
        <v>Inputs für BAG-Szenarien</v>
      </c>
      <c r="D7718" s="1494" t="str">
        <f>'BAG 0'!$A$19</f>
        <v>durch. Nettoleistungen und Risikoausgleich pro Versicherten 2025 (verbleibender Bestand)</v>
      </c>
      <c r="E7718" s="1488" t="s">
        <v>538</v>
      </c>
      <c r="F7718" s="1390">
        <f>'BAG 0'!$I$11</f>
        <v>2500</v>
      </c>
      <c r="G7718" s="1494"/>
      <c r="H7718" s="1078" t="str">
        <f>'BAG 0'!I19</f>
        <v/>
      </c>
    </row>
    <row r="7719" spans="1:8" x14ac:dyDescent="0.2">
      <c r="A7719" s="1027"/>
      <c r="B7719" s="1493" t="s">
        <v>1543</v>
      </c>
      <c r="C7719" s="1488" t="str">
        <f>'BAG 0'!$B$1</f>
        <v>Inputs für BAG-Szenarien</v>
      </c>
      <c r="D7719" s="1494" t="str">
        <f>'BAG 0'!$A$20</f>
        <v>durch. Nettoleistungen und Risikoausgleich pro Versicherten 2025 (neuer Bestand)</v>
      </c>
      <c r="E7719" s="1390" t="str">
        <f>'BAG 0'!$C$10</f>
        <v>Kinder</v>
      </c>
      <c r="F7719" s="1390" t="str">
        <f>'BAG 0'!$C$10</f>
        <v>Kinder</v>
      </c>
      <c r="G7719" s="1494"/>
      <c r="H7719" s="1078" t="str">
        <f>'BAG 0'!C20</f>
        <v/>
      </c>
    </row>
    <row r="7720" spans="1:8" ht="25.5" x14ac:dyDescent="0.2">
      <c r="A7720" s="1027"/>
      <c r="B7720" s="1493" t="s">
        <v>1543</v>
      </c>
      <c r="C7720" s="1488" t="str">
        <f>'BAG 0'!$B$1</f>
        <v>Inputs für BAG-Szenarien</v>
      </c>
      <c r="D7720" s="1494" t="str">
        <f>'BAG 0'!$A$20</f>
        <v>durch. Nettoleistungen und Risikoausgleich pro Versicherten 2025 (neuer Bestand)</v>
      </c>
      <c r="E7720" s="1488" t="s">
        <v>538</v>
      </c>
      <c r="F7720" s="1390">
        <v>300</v>
      </c>
      <c r="G7720" s="1494"/>
      <c r="H7720" s="1078" t="str">
        <f>'BAG 0'!D20</f>
        <v/>
      </c>
    </row>
    <row r="7721" spans="1:8" ht="25.5" x14ac:dyDescent="0.2">
      <c r="A7721" s="1027"/>
      <c r="B7721" s="1493" t="s">
        <v>1543</v>
      </c>
      <c r="C7721" s="1488" t="str">
        <f>'BAG 0'!$B$1</f>
        <v>Inputs für BAG-Szenarien</v>
      </c>
      <c r="D7721" s="1494" t="str">
        <f>'BAG 0'!$A$20</f>
        <v>durch. Nettoleistungen und Risikoausgleich pro Versicherten 2025 (neuer Bestand)</v>
      </c>
      <c r="E7721" s="1488" t="s">
        <v>538</v>
      </c>
      <c r="F7721" s="1390">
        <f>'BAG 0'!$E$11</f>
        <v>500</v>
      </c>
      <c r="G7721" s="1494"/>
      <c r="H7721" s="1078" t="str">
        <f>'BAG 0'!E20</f>
        <v/>
      </c>
    </row>
    <row r="7722" spans="1:8" ht="25.5" x14ac:dyDescent="0.2">
      <c r="A7722" s="1027"/>
      <c r="B7722" s="1493" t="s">
        <v>1543</v>
      </c>
      <c r="C7722" s="1488" t="str">
        <f>'BAG 0'!$B$1</f>
        <v>Inputs für BAG-Szenarien</v>
      </c>
      <c r="D7722" s="1494" t="str">
        <f>'BAG 0'!$A$20</f>
        <v>durch. Nettoleistungen und Risikoausgleich pro Versicherten 2025 (neuer Bestand)</v>
      </c>
      <c r="E7722" s="1488" t="s">
        <v>538</v>
      </c>
      <c r="F7722" s="1390">
        <f>'BAG 0'!$F$11</f>
        <v>1000</v>
      </c>
      <c r="G7722" s="1494"/>
      <c r="H7722" s="1078" t="str">
        <f>'BAG 0'!F20</f>
        <v/>
      </c>
    </row>
    <row r="7723" spans="1:8" ht="25.5" x14ac:dyDescent="0.2">
      <c r="A7723" s="1027"/>
      <c r="B7723" s="1493" t="s">
        <v>1543</v>
      </c>
      <c r="C7723" s="1488" t="str">
        <f>'BAG 0'!$B$1</f>
        <v>Inputs für BAG-Szenarien</v>
      </c>
      <c r="D7723" s="1494" t="str">
        <f>'BAG 0'!$A$20</f>
        <v>durch. Nettoleistungen und Risikoausgleich pro Versicherten 2025 (neuer Bestand)</v>
      </c>
      <c r="E7723" s="1488" t="s">
        <v>538</v>
      </c>
      <c r="F7723" s="1390">
        <f>'BAG 0'!$G$11</f>
        <v>1500</v>
      </c>
      <c r="G7723" s="1494"/>
      <c r="H7723" s="1078" t="str">
        <f>'BAG 0'!G20</f>
        <v/>
      </c>
    </row>
    <row r="7724" spans="1:8" ht="25.5" x14ac:dyDescent="0.2">
      <c r="A7724" s="1027"/>
      <c r="B7724" s="1493" t="s">
        <v>1543</v>
      </c>
      <c r="C7724" s="1488" t="str">
        <f>'BAG 0'!$B$1</f>
        <v>Inputs für BAG-Szenarien</v>
      </c>
      <c r="D7724" s="1494" t="str">
        <f>'BAG 0'!$A$20</f>
        <v>durch. Nettoleistungen und Risikoausgleich pro Versicherten 2025 (neuer Bestand)</v>
      </c>
      <c r="E7724" s="1488" t="s">
        <v>538</v>
      </c>
      <c r="F7724" s="1390">
        <f>'BAG 0'!$H$11</f>
        <v>2000</v>
      </c>
      <c r="G7724" s="1494"/>
      <c r="H7724" s="1078" t="str">
        <f>'BAG 0'!H20</f>
        <v/>
      </c>
    </row>
    <row r="7725" spans="1:8" ht="25.5" x14ac:dyDescent="0.2">
      <c r="A7725" s="1027"/>
      <c r="B7725" s="1493" t="s">
        <v>1543</v>
      </c>
      <c r="C7725" s="1488" t="str">
        <f>'BAG 0'!$B$1</f>
        <v>Inputs für BAG-Szenarien</v>
      </c>
      <c r="D7725" s="1494" t="str">
        <f>'BAG 0'!$A$20</f>
        <v>durch. Nettoleistungen und Risikoausgleich pro Versicherten 2025 (neuer Bestand)</v>
      </c>
      <c r="E7725" s="1488" t="s">
        <v>538</v>
      </c>
      <c r="F7725" s="1390">
        <f>'BAG 0'!$I$11</f>
        <v>2500</v>
      </c>
      <c r="G7725" s="1494"/>
      <c r="H7725" s="1078" t="str">
        <f>'BAG 0'!I20</f>
        <v/>
      </c>
    </row>
    <row r="7726" spans="1:8" x14ac:dyDescent="0.2">
      <c r="A7726" s="1027"/>
      <c r="B7726" s="1493" t="s">
        <v>1543</v>
      </c>
      <c r="C7726" s="1488" t="str">
        <f>'BAG 0'!$B$1</f>
        <v>Inputs für BAG-Szenarien</v>
      </c>
      <c r="D7726" s="1494" t="str">
        <f>'BAG 0'!$A$23</f>
        <v>Anzahl Bruttoneueintritte per 01.01.2025 (nur JUG und ERW, ohne KIN)</v>
      </c>
      <c r="E7726" s="1488"/>
      <c r="F7726" s="1439" t="s">
        <v>1877</v>
      </c>
      <c r="G7726" s="1494"/>
      <c r="H7726" s="1078">
        <f>'BAG 0'!C23</f>
        <v>0</v>
      </c>
    </row>
    <row r="7727" spans="1:8" x14ac:dyDescent="0.2">
      <c r="A7727" s="1027"/>
      <c r="B7727" s="1493" t="s">
        <v>1543</v>
      </c>
      <c r="C7727" s="1488" t="str">
        <f>'BAG 0'!$B$1</f>
        <v>Inputs für BAG-Szenarien</v>
      </c>
      <c r="D7727" s="1494" t="str">
        <f>'BAG 0'!$A$23</f>
        <v>Anzahl Bruttoneueintritte per 01.01.2025 (nur JUG und ERW, ohne KIN)</v>
      </c>
      <c r="E7727" s="1488"/>
      <c r="F7727" s="1439" t="s">
        <v>1878</v>
      </c>
      <c r="G7727" s="1494"/>
      <c r="H7727" s="1078">
        <f>'BAG 0'!D23</f>
        <v>0</v>
      </c>
    </row>
    <row r="7728" spans="1:8" x14ac:dyDescent="0.2">
      <c r="A7728" s="1027"/>
      <c r="B7728" s="1493" t="s">
        <v>1543</v>
      </c>
      <c r="C7728" s="1488" t="str">
        <f>'BAG 0'!$B$1</f>
        <v>Inputs für BAG-Szenarien</v>
      </c>
      <c r="D7728" s="1494" t="str">
        <f>'BAG 0'!$A$23</f>
        <v>Anzahl Bruttoneueintritte per 01.01.2025 (nur JUG und ERW, ohne KIN)</v>
      </c>
      <c r="E7728" s="1488"/>
      <c r="F7728" s="1439" t="s">
        <v>1879</v>
      </c>
      <c r="G7728" s="1494"/>
      <c r="H7728" s="1078">
        <f>'BAG 0'!E23</f>
        <v>0</v>
      </c>
    </row>
    <row r="7729" spans="1:20" x14ac:dyDescent="0.2">
      <c r="A7729" s="1027"/>
      <c r="B7729" s="1493" t="s">
        <v>1543</v>
      </c>
      <c r="C7729" s="1488" t="str">
        <f>'BAG 0'!$B$1</f>
        <v>Inputs für BAG-Szenarien</v>
      </c>
      <c r="D7729" s="1494" t="str">
        <f>'BAG 0'!$A$23</f>
        <v>Anzahl Bruttoneueintritte per 01.01.2025 (nur JUG und ERW, ohne KIN)</v>
      </c>
      <c r="E7729" s="1488"/>
      <c r="F7729" s="1439" t="s">
        <v>1880</v>
      </c>
      <c r="G7729" s="1494"/>
      <c r="H7729" s="1078">
        <f>'BAG 0'!F23</f>
        <v>0</v>
      </c>
    </row>
    <row r="7730" spans="1:20" x14ac:dyDescent="0.2">
      <c r="A7730" s="1027"/>
      <c r="B7730" s="1493" t="s">
        <v>1543</v>
      </c>
      <c r="C7730" s="1488" t="str">
        <f>'BAG 0'!$B$1</f>
        <v>Inputs für BAG-Szenarien</v>
      </c>
      <c r="D7730" s="1494" t="str">
        <f>'BAG 0'!$A$23</f>
        <v>Anzahl Bruttoneueintritte per 01.01.2025 (nur JUG und ERW, ohne KIN)</v>
      </c>
      <c r="E7730" s="1488"/>
      <c r="F7730" s="1439" t="s">
        <v>1881</v>
      </c>
      <c r="G7730" s="1494"/>
      <c r="H7730" s="1078">
        <f>'BAG 0'!G23</f>
        <v>0</v>
      </c>
    </row>
    <row r="7731" spans="1:20" x14ac:dyDescent="0.2">
      <c r="A7731" s="1027"/>
      <c r="B7731" s="1493" t="s">
        <v>1543</v>
      </c>
      <c r="C7731" s="1488" t="str">
        <f>'BAG 0'!$B$1</f>
        <v>Inputs für BAG-Szenarien</v>
      </c>
      <c r="D7731" s="1494" t="str">
        <f>'BAG 0'!$A$23</f>
        <v>Anzahl Bruttoneueintritte per 01.01.2025 (nur JUG und ERW, ohne KIN)</v>
      </c>
      <c r="E7731" s="1488"/>
      <c r="F7731" s="1439" t="s">
        <v>1882</v>
      </c>
      <c r="G7731" s="1494"/>
      <c r="H7731" s="1078">
        <f>'BAG 0'!H23</f>
        <v>0</v>
      </c>
    </row>
    <row r="7732" spans="1:20" x14ac:dyDescent="0.2">
      <c r="A7732" s="1027"/>
      <c r="B7732" s="1493" t="s">
        <v>1543</v>
      </c>
      <c r="C7732" s="1488" t="str">
        <f>'BAG 0'!$B$1</f>
        <v>Inputs für BAG-Szenarien</v>
      </c>
      <c r="D7732" s="1494" t="str">
        <f>'BAG 0'!$A$23</f>
        <v>Anzahl Bruttoneueintritte per 01.01.2025 (nur JUG und ERW, ohne KIN)</v>
      </c>
      <c r="E7732" s="1488"/>
      <c r="F7732" s="1439" t="s">
        <v>1883</v>
      </c>
      <c r="G7732" s="1494"/>
      <c r="H7732" s="1078">
        <f>'BAG 0'!I23</f>
        <v>0</v>
      </c>
    </row>
    <row r="7733" spans="1:20" x14ac:dyDescent="0.2">
      <c r="A7733" s="1027"/>
      <c r="B7733" s="1493" t="s">
        <v>1543</v>
      </c>
      <c r="C7733" s="1488" t="str">
        <f>'BAG 0'!$B$1</f>
        <v>Inputs für BAG-Szenarien</v>
      </c>
      <c r="D7733" s="1494" t="str">
        <f>'BAG 0'!$A$23</f>
        <v>Anzahl Bruttoneueintritte per 01.01.2025 (nur JUG und ERW, ohne KIN)</v>
      </c>
      <c r="E7733" s="1488"/>
      <c r="F7733" s="1439" t="s">
        <v>1884</v>
      </c>
      <c r="G7733" s="1494"/>
      <c r="H7733" s="1078">
        <f>'BAG 0'!J23</f>
        <v>0</v>
      </c>
    </row>
    <row r="7734" spans="1:20" x14ac:dyDescent="0.2">
      <c r="A7734" s="1027"/>
      <c r="B7734" s="1493" t="s">
        <v>1543</v>
      </c>
      <c r="C7734" s="1488" t="str">
        <f>'BAG 0'!$B$1</f>
        <v>Inputs für BAG-Szenarien</v>
      </c>
      <c r="D7734" s="1494" t="str">
        <f>'BAG 0'!$A$23</f>
        <v>Anzahl Bruttoneueintritte per 01.01.2025 (nur JUG und ERW, ohne KIN)</v>
      </c>
      <c r="E7734" s="1488"/>
      <c r="F7734" s="1439" t="s">
        <v>1885</v>
      </c>
      <c r="G7734" s="1494"/>
      <c r="H7734" s="1078">
        <f>'BAG 0'!K23</f>
        <v>0</v>
      </c>
    </row>
    <row r="7735" spans="1:20" x14ac:dyDescent="0.2">
      <c r="A7735" s="1027"/>
      <c r="B7735" s="1493" t="s">
        <v>1543</v>
      </c>
      <c r="C7735" s="1488" t="str">
        <f>'BAG 0'!$B$1</f>
        <v>Inputs für BAG-Szenarien</v>
      </c>
      <c r="D7735" s="1494" t="str">
        <f>'BAG 0'!$A$23</f>
        <v>Anzahl Bruttoneueintritte per 01.01.2025 (nur JUG und ERW, ohne KIN)</v>
      </c>
      <c r="E7735" s="1488"/>
      <c r="F7735" s="1439" t="s">
        <v>1886</v>
      </c>
      <c r="G7735" s="1494"/>
      <c r="H7735" s="1078">
        <f>'BAG 0'!L23</f>
        <v>0</v>
      </c>
    </row>
    <row r="7736" spans="1:20" x14ac:dyDescent="0.2">
      <c r="A7736" s="1027"/>
      <c r="B7736" s="1493" t="s">
        <v>1543</v>
      </c>
      <c r="C7736" s="1488" t="str">
        <f>'BAG 0'!$B$1</f>
        <v>Inputs für BAG-Szenarien</v>
      </c>
      <c r="D7736" s="1494" t="str">
        <f>'BAG 0'!$A$23</f>
        <v>Anzahl Bruttoneueintritte per 01.01.2025 (nur JUG und ERW, ohne KIN)</v>
      </c>
      <c r="E7736" s="1488"/>
      <c r="F7736" s="1439" t="s">
        <v>1887</v>
      </c>
      <c r="G7736" s="1494"/>
      <c r="H7736" s="1078">
        <f>'BAG 0'!M23</f>
        <v>0</v>
      </c>
    </row>
    <row r="7737" spans="1:20" x14ac:dyDescent="0.2">
      <c r="A7737" s="1027"/>
      <c r="B7737" s="1493" t="s">
        <v>1543</v>
      </c>
      <c r="C7737" s="1488" t="str">
        <f>'BAG 0'!$B$1</f>
        <v>Inputs für BAG-Szenarien</v>
      </c>
      <c r="D7737" s="1494" t="str">
        <f>'BAG 0'!$A$23</f>
        <v>Anzahl Bruttoneueintritte per 01.01.2025 (nur JUG und ERW, ohne KIN)</v>
      </c>
      <c r="E7737" s="1488"/>
      <c r="F7737" s="1439" t="s">
        <v>1888</v>
      </c>
      <c r="G7737" s="1494"/>
      <c r="H7737" s="1078">
        <f>'BAG 0'!N23</f>
        <v>0</v>
      </c>
    </row>
    <row r="7738" spans="1:20" x14ac:dyDescent="0.2">
      <c r="A7738" s="1027"/>
      <c r="B7738" s="1493" t="s">
        <v>1543</v>
      </c>
      <c r="C7738" s="1488" t="str">
        <f>'BAG 0'!$B$1</f>
        <v>Inputs für BAG-Szenarien</v>
      </c>
      <c r="D7738" s="1494" t="str">
        <f>'BAG 0'!$A$23</f>
        <v>Anzahl Bruttoneueintritte per 01.01.2025 (nur JUG und ERW, ohne KIN)</v>
      </c>
      <c r="E7738" s="1488"/>
      <c r="F7738" s="1439" t="s">
        <v>1889</v>
      </c>
      <c r="G7738" s="1494"/>
      <c r="H7738" s="1078">
        <f>'BAG 0'!O23</f>
        <v>0</v>
      </c>
    </row>
    <row r="7739" spans="1:20" s="1179" customFormat="1" x14ac:dyDescent="0.2">
      <c r="A7739" s="1027"/>
      <c r="B7739" s="1493" t="s">
        <v>1543</v>
      </c>
      <c r="C7739" s="1488" t="str">
        <f>'BAG 0'!$B$1</f>
        <v>Inputs für BAG-Szenarien</v>
      </c>
      <c r="D7739" s="1494" t="str">
        <f>'BAG 0'!$A$23</f>
        <v>Anzahl Bruttoneueintritte per 01.01.2025 (nur JUG und ERW, ohne KIN)</v>
      </c>
      <c r="E7739" s="1488"/>
      <c r="F7739" s="1439" t="s">
        <v>1890</v>
      </c>
      <c r="G7739" s="1494"/>
      <c r="H7739" s="1078">
        <f>'BAG 0'!P23</f>
        <v>0</v>
      </c>
      <c r="I7739" s="1170"/>
      <c r="J7739" s="1170"/>
      <c r="K7739" s="1170"/>
      <c r="L7739" s="1170"/>
      <c r="M7739" s="1170"/>
      <c r="N7739" s="1170"/>
      <c r="O7739" s="1170"/>
      <c r="P7739" s="1170"/>
      <c r="Q7739" s="1170"/>
      <c r="R7739" s="1170"/>
      <c r="S7739" s="1170"/>
      <c r="T7739" s="1170"/>
    </row>
    <row r="7740" spans="1:20" x14ac:dyDescent="0.2">
      <c r="A7740" s="1027"/>
      <c r="B7740" s="1493" t="s">
        <v>1543</v>
      </c>
      <c r="C7740" s="1488" t="str">
        <f>'BAG 0'!$B$1</f>
        <v>Inputs für BAG-Szenarien</v>
      </c>
      <c r="D7740" s="1494" t="str">
        <f>'BAG 0'!$A$23</f>
        <v>Anzahl Bruttoneueintritte per 01.01.2025 (nur JUG und ERW, ohne KIN)</v>
      </c>
      <c r="E7740" s="1488"/>
      <c r="F7740" s="1439" t="s">
        <v>1891</v>
      </c>
      <c r="G7740" s="1494"/>
      <c r="H7740" s="1078">
        <f>'BAG 0'!Q23</f>
        <v>0</v>
      </c>
    </row>
    <row r="7741" spans="1:20" x14ac:dyDescent="0.2">
      <c r="A7741" s="1027"/>
      <c r="B7741" s="1493" t="s">
        <v>1543</v>
      </c>
      <c r="C7741" s="1488" t="str">
        <f>'BAG 0'!$B$1</f>
        <v>Inputs für BAG-Szenarien</v>
      </c>
      <c r="D7741" s="1494" t="str">
        <f>'BAG 0'!$A$23</f>
        <v>Anzahl Bruttoneueintritte per 01.01.2025 (nur JUG und ERW, ohne KIN)</v>
      </c>
      <c r="E7741" s="1488"/>
      <c r="F7741" s="1439" t="s">
        <v>1892</v>
      </c>
      <c r="G7741" s="1494"/>
      <c r="H7741" s="1078">
        <f>'BAG 0'!R23</f>
        <v>0</v>
      </c>
    </row>
    <row r="7742" spans="1:20" x14ac:dyDescent="0.2">
      <c r="A7742" s="1027"/>
      <c r="B7742" s="1493" t="s">
        <v>1543</v>
      </c>
      <c r="C7742" s="1488" t="str">
        <f>'BAG 0'!$B$1</f>
        <v>Inputs für BAG-Szenarien</v>
      </c>
      <c r="D7742" s="1494" t="str">
        <f>'BAG 0'!$A$23</f>
        <v>Anzahl Bruttoneueintritte per 01.01.2025 (nur JUG und ERW, ohne KIN)</v>
      </c>
      <c r="E7742" s="1488"/>
      <c r="F7742" s="1439" t="s">
        <v>1893</v>
      </c>
      <c r="G7742" s="1494"/>
      <c r="H7742" s="1078">
        <f>'BAG 0'!S23</f>
        <v>0</v>
      </c>
    </row>
    <row r="7743" spans="1:20" x14ac:dyDescent="0.2">
      <c r="A7743" s="1027"/>
      <c r="B7743" s="1493" t="s">
        <v>1543</v>
      </c>
      <c r="C7743" s="1488" t="str">
        <f>'BAG 0'!$B$1</f>
        <v>Inputs für BAG-Szenarien</v>
      </c>
      <c r="D7743" s="1494" t="str">
        <f>'BAG 0'!$A$23</f>
        <v>Anzahl Bruttoneueintritte per 01.01.2025 (nur JUG und ERW, ohne KIN)</v>
      </c>
      <c r="E7743" s="1488"/>
      <c r="F7743" s="1439" t="s">
        <v>1894</v>
      </c>
      <c r="G7743" s="1494"/>
      <c r="H7743" s="1078">
        <f>'BAG 0'!T23</f>
        <v>0</v>
      </c>
    </row>
    <row r="7744" spans="1:20" x14ac:dyDescent="0.2">
      <c r="A7744" s="1027"/>
      <c r="B7744" s="1493" t="s">
        <v>1543</v>
      </c>
      <c r="C7744" s="1488" t="str">
        <f>'BAG 0'!$B$1</f>
        <v>Inputs für BAG-Szenarien</v>
      </c>
      <c r="D7744" s="1494" t="str">
        <f>'BAG 0'!$A$23</f>
        <v>Anzahl Bruttoneueintritte per 01.01.2025 (nur JUG und ERW, ohne KIN)</v>
      </c>
      <c r="E7744" s="1488"/>
      <c r="F7744" s="1439" t="s">
        <v>1895</v>
      </c>
      <c r="G7744" s="1494"/>
      <c r="H7744" s="1078">
        <f>'BAG 0'!U23</f>
        <v>0</v>
      </c>
    </row>
    <row r="7745" spans="1:8" x14ac:dyDescent="0.2">
      <c r="A7745" s="1027"/>
      <c r="B7745" s="1493" t="s">
        <v>1543</v>
      </c>
      <c r="C7745" s="1488" t="str">
        <f>'BAG 0'!$B$1</f>
        <v>Inputs für BAG-Szenarien</v>
      </c>
      <c r="D7745" s="1494" t="str">
        <f>'BAG 0'!$A$23</f>
        <v>Anzahl Bruttoneueintritte per 01.01.2025 (nur JUG und ERW, ohne KIN)</v>
      </c>
      <c r="E7745" s="1488"/>
      <c r="F7745" s="1439" t="s">
        <v>1896</v>
      </c>
      <c r="G7745" s="1494"/>
      <c r="H7745" s="1078">
        <f>'BAG 0'!V23</f>
        <v>0</v>
      </c>
    </row>
    <row r="7746" spans="1:8" x14ac:dyDescent="0.2">
      <c r="A7746" s="1027"/>
      <c r="B7746" s="1493" t="s">
        <v>1543</v>
      </c>
      <c r="C7746" s="1488" t="str">
        <f>'BAG 0'!$B$1</f>
        <v>Inputs für BAG-Szenarien</v>
      </c>
      <c r="D7746" s="1494" t="str">
        <f>'BAG 0'!$A$23</f>
        <v>Anzahl Bruttoneueintritte per 01.01.2025 (nur JUG und ERW, ohne KIN)</v>
      </c>
      <c r="E7746" s="1488"/>
      <c r="F7746" s="1439" t="s">
        <v>1897</v>
      </c>
      <c r="G7746" s="1494"/>
      <c r="H7746" s="1078">
        <f>'BAG 0'!W23</f>
        <v>0</v>
      </c>
    </row>
    <row r="7747" spans="1:8" x14ac:dyDescent="0.2">
      <c r="A7747" s="1027"/>
      <c r="B7747" s="1493" t="s">
        <v>1543</v>
      </c>
      <c r="C7747" s="1488" t="str">
        <f>'BAG 0'!$B$1</f>
        <v>Inputs für BAG-Szenarien</v>
      </c>
      <c r="D7747" s="1494" t="str">
        <f>'BAG 0'!$A$23</f>
        <v>Anzahl Bruttoneueintritte per 01.01.2025 (nur JUG und ERW, ohne KIN)</v>
      </c>
      <c r="E7747" s="1488"/>
      <c r="F7747" s="1439" t="s">
        <v>1898</v>
      </c>
      <c r="G7747" s="1494"/>
      <c r="H7747" s="1078">
        <f>'BAG 0'!X23</f>
        <v>0</v>
      </c>
    </row>
    <row r="7748" spans="1:8" x14ac:dyDescent="0.2">
      <c r="A7748" s="1027"/>
      <c r="B7748" s="1493" t="s">
        <v>1543</v>
      </c>
      <c r="C7748" s="1488" t="str">
        <f>'BAG 0'!$B$1</f>
        <v>Inputs für BAG-Szenarien</v>
      </c>
      <c r="D7748" s="1494" t="str">
        <f>'BAG 0'!$A$23</f>
        <v>Anzahl Bruttoneueintritte per 01.01.2025 (nur JUG und ERW, ohne KIN)</v>
      </c>
      <c r="E7748" s="1488"/>
      <c r="F7748" s="1439" t="s">
        <v>1899</v>
      </c>
      <c r="G7748" s="1494"/>
      <c r="H7748" s="1078">
        <f>'BAG 0'!Y23</f>
        <v>0</v>
      </c>
    </row>
    <row r="7749" spans="1:8" x14ac:dyDescent="0.2">
      <c r="A7749" s="1027"/>
      <c r="B7749" s="1493" t="s">
        <v>1543</v>
      </c>
      <c r="C7749" s="1488" t="str">
        <f>'BAG 0'!$B$1</f>
        <v>Inputs für BAG-Szenarien</v>
      </c>
      <c r="D7749" s="1494" t="str">
        <f>'BAG 0'!$A$23</f>
        <v>Anzahl Bruttoneueintritte per 01.01.2025 (nur JUG und ERW, ohne KIN)</v>
      </c>
      <c r="E7749" s="1488"/>
      <c r="F7749" s="1439" t="s">
        <v>1900</v>
      </c>
      <c r="G7749" s="1494"/>
      <c r="H7749" s="1078">
        <f>'BAG 0'!Z23</f>
        <v>0</v>
      </c>
    </row>
    <row r="7750" spans="1:8" x14ac:dyDescent="0.2">
      <c r="A7750" s="1027"/>
      <c r="B7750" s="1493" t="s">
        <v>1543</v>
      </c>
      <c r="C7750" s="1488" t="str">
        <f>'BAG 0'!$B$1</f>
        <v>Inputs für BAG-Szenarien</v>
      </c>
      <c r="D7750" s="1494" t="str">
        <f>'BAG 0'!$A$23</f>
        <v>Anzahl Bruttoneueintritte per 01.01.2025 (nur JUG und ERW, ohne KIN)</v>
      </c>
      <c r="E7750" s="1488"/>
      <c r="F7750" s="1439" t="s">
        <v>1901</v>
      </c>
      <c r="G7750" s="1494"/>
      <c r="H7750" s="1078">
        <f>'BAG 0'!AA23</f>
        <v>0</v>
      </c>
    </row>
    <row r="7751" spans="1:8" x14ac:dyDescent="0.2">
      <c r="A7751" s="1027"/>
      <c r="B7751" s="1493" t="s">
        <v>1543</v>
      </c>
      <c r="C7751" s="1488" t="str">
        <f>'BAG 0'!$B$1</f>
        <v>Inputs für BAG-Szenarien</v>
      </c>
      <c r="D7751" s="1494" t="str">
        <f>'BAG 0'!$A$23</f>
        <v>Anzahl Bruttoneueintritte per 01.01.2025 (nur JUG und ERW, ohne KIN)</v>
      </c>
      <c r="E7751" s="1488"/>
      <c r="F7751" s="1439" t="s">
        <v>1902</v>
      </c>
      <c r="G7751" s="1494"/>
      <c r="H7751" s="1078">
        <f>'BAG 0'!AB23</f>
        <v>0</v>
      </c>
    </row>
    <row r="7752" spans="1:8" x14ac:dyDescent="0.2">
      <c r="A7752" s="1027"/>
      <c r="B7752" s="1493" t="s">
        <v>1543</v>
      </c>
      <c r="C7752" s="1488" t="str">
        <f>'BAG 0'!$B$1</f>
        <v>Inputs für BAG-Szenarien</v>
      </c>
      <c r="D7752" s="1494" t="str">
        <f>'BAG 0'!$A$23</f>
        <v>Anzahl Bruttoneueintritte per 01.01.2025 (nur JUG und ERW, ohne KIN)</v>
      </c>
      <c r="E7752" s="1488"/>
      <c r="F7752" s="1439" t="s">
        <v>2682</v>
      </c>
      <c r="G7752" s="1494"/>
      <c r="H7752" s="1078">
        <f>'BAG 0'!AC23</f>
        <v>0</v>
      </c>
    </row>
    <row r="7753" spans="1:8" x14ac:dyDescent="0.2">
      <c r="A7753" s="1027"/>
      <c r="B7753" s="1493" t="s">
        <v>1543</v>
      </c>
      <c r="C7753" s="1488" t="str">
        <f>'BAG 0'!$B$1</f>
        <v>Inputs für BAG-Szenarien</v>
      </c>
      <c r="D7753" s="1494" t="str">
        <f>'BAG 0'!$A$23</f>
        <v>Anzahl Bruttoneueintritte per 01.01.2025 (nur JUG und ERW, ohne KIN)</v>
      </c>
      <c r="E7753" s="1488"/>
      <c r="F7753" s="1439" t="s">
        <v>2683</v>
      </c>
      <c r="G7753" s="1494"/>
      <c r="H7753" s="1078">
        <f>'BAG 0'!AD23</f>
        <v>0</v>
      </c>
    </row>
    <row r="7754" spans="1:8" ht="13.5" thickBot="1" x14ac:dyDescent="0.25">
      <c r="A7754" s="1027"/>
      <c r="B7754" s="1498" t="s">
        <v>1543</v>
      </c>
      <c r="C7754" s="1499" t="str">
        <f>'BAG 0'!$B$1</f>
        <v>Inputs für BAG-Szenarien</v>
      </c>
      <c r="D7754" s="1500" t="str">
        <f>'BAG 0'!$A$31</f>
        <v>Prämienvolumen des Vorjahres</v>
      </c>
      <c r="E7754" s="1499"/>
      <c r="F7754" s="1500" t="str">
        <f>'BAG 0'!$A$31</f>
        <v>Prämienvolumen des Vorjahres</v>
      </c>
      <c r="G7754" s="1500"/>
      <c r="H7754" s="2332">
        <f>HE_Insurance_Risk!C31</f>
        <v>0</v>
      </c>
    </row>
    <row r="7755" spans="1:8" ht="13.5" thickBot="1" x14ac:dyDescent="0.25">
      <c r="B7755" s="2324"/>
      <c r="C7755" s="2325"/>
      <c r="D7755" s="2326"/>
      <c r="E7755" s="2325"/>
      <c r="F7755" s="2327"/>
      <c r="G7755" s="2326"/>
    </row>
    <row r="7756" spans="1:8" ht="25.5" x14ac:dyDescent="0.2">
      <c r="B7756" s="1080">
        <f>HE_ExpctdRes!$A$1</f>
        <v>38</v>
      </c>
      <c r="C7756" s="1081" t="str">
        <f>HE_ExpctdRes!$B$1</f>
        <v>Erwartete Finanzmarktrendite</v>
      </c>
      <c r="D7756" s="1391" t="str">
        <f>HE_ExpctdRes!$B$23</f>
        <v>Erwartete Versicherungsrendite für das Behandlungsjahr 2025 (OKP) - (nicht zur Berechnung verwendet)</v>
      </c>
      <c r="E7756" s="2316" t="str">
        <f>HE_ExpctdRes!$C$29</f>
        <v>OKP CH</v>
      </c>
      <c r="F7756" s="1082" t="str">
        <f>HE_ExpctdRes!$C$30</f>
        <v>Combined Ratio 2025 (bei der Prämiengenehmigung erwartet)</v>
      </c>
      <c r="G7756" s="1492"/>
      <c r="H7756" s="2410">
        <f>HE_ExpctdRes!D30</f>
        <v>0</v>
      </c>
    </row>
    <row r="7757" spans="1:8" ht="25.5" x14ac:dyDescent="0.2">
      <c r="B7757" s="1493">
        <v>38</v>
      </c>
      <c r="C7757" s="1488" t="str">
        <f>HE_ExpctdRes!$B$1</f>
        <v>Erwartete Finanzmarktrendite</v>
      </c>
      <c r="D7757" s="1389" t="str">
        <f>HE_ExpctdRes!$B$23</f>
        <v>Erwartete Versicherungsrendite für das Behandlungsjahr 2025 (OKP) - (nicht zur Berechnung verwendet)</v>
      </c>
      <c r="E7757" s="1527" t="str">
        <f>HE_ExpctdRes!$C$29</f>
        <v>OKP CH</v>
      </c>
      <c r="F7757" s="1091" t="str">
        <f>HE_ExpctdRes!$C$31</f>
        <v>Unerwartete Teuerung 2024</v>
      </c>
      <c r="G7757" s="1494"/>
      <c r="H7757" s="1133">
        <f>HE_ExpctdRes!D31</f>
        <v>2.9789999999999999E-3</v>
      </c>
    </row>
    <row r="7758" spans="1:8" ht="25.5" x14ac:dyDescent="0.2">
      <c r="B7758" s="1083">
        <f>HE_ExpctdRes!$A$1</f>
        <v>38</v>
      </c>
      <c r="C7758" s="1084" t="str">
        <f>HE_ExpctdRes!$B$1</f>
        <v>Erwartete Finanzmarktrendite</v>
      </c>
      <c r="D7758" s="1389" t="str">
        <f>HE_ExpctdRes!$B$23</f>
        <v>Erwartete Versicherungsrendite für das Behandlungsjahr 2025 (OKP) - (nicht zur Berechnung verwendet)</v>
      </c>
      <c r="E7758" s="1527" t="str">
        <f>HE_ExpctdRes!$C$25</f>
        <v>OKP EU</v>
      </c>
      <c r="F7758" s="1091" t="str">
        <f>HE_ExpctdRes!$C$26</f>
        <v>Combined Ratio 2025 (bei der Prämiengenehmigung erwartet)</v>
      </c>
      <c r="G7758" s="1494"/>
      <c r="H7758" s="1133">
        <f>HE_ExpctdRes!D26</f>
        <v>0</v>
      </c>
    </row>
    <row r="7759" spans="1:8" ht="26.25" thickBot="1" x14ac:dyDescent="0.25">
      <c r="B7759" s="1498">
        <v>38</v>
      </c>
      <c r="C7759" s="1499" t="str">
        <f>HE_ExpctdRes!$B$1</f>
        <v>Erwartete Finanzmarktrendite</v>
      </c>
      <c r="D7759" s="2328" t="str">
        <f>HE_ExpctdRes!$C$34</f>
        <v>Erwartete Versicherungsrendite für das Behandlungsjahr 2025 (OKP) - (nicht zur Berechnung verwendet)</v>
      </c>
      <c r="E7759" s="2323"/>
      <c r="F7759" s="1092" t="str">
        <f>Translation!B979</f>
        <v>Erwartete Versicherungsrendite für das Behandlungsjahr 2025 (OKP) - (nicht zur Berechnung verwendet)</v>
      </c>
      <c r="G7759" s="1500"/>
      <c r="H7759" s="2411">
        <f>HE_ExpctdRes!F34</f>
        <v>0</v>
      </c>
    </row>
    <row r="7760" spans="1:8" ht="13.5" thickBot="1" x14ac:dyDescent="0.25">
      <c r="B7760" s="2310"/>
      <c r="C7760" s="2311"/>
      <c r="D7760" s="2312"/>
      <c r="E7760" s="2311"/>
      <c r="F7760" s="2313"/>
      <c r="G7760" s="2312"/>
      <c r="H7760" s="2312"/>
    </row>
    <row r="7761" spans="2:8" x14ac:dyDescent="0.2">
      <c r="B7761" s="1080">
        <f>HE_Insurance_Risk!$A$1</f>
        <v>37</v>
      </c>
      <c r="C7761" s="1081" t="str">
        <f>HE_Insurance_Risk!$B$1</f>
        <v>Versicherungsrisiko</v>
      </c>
      <c r="D7761" s="1082" t="str">
        <f>HE_Insurance_Risk!$C$15</f>
        <v>Erwartungswert und Standardabweichung</v>
      </c>
      <c r="E7761" s="1492" t="str">
        <f>HE_Insurance_Risk!$P$17</f>
        <v>OKP EU</v>
      </c>
      <c r="F7761" s="1486" t="s">
        <v>87</v>
      </c>
      <c r="G7761" s="1492"/>
      <c r="H7761" s="2410">
        <f>HE_Insurance_Risk!$P21</f>
        <v>0</v>
      </c>
    </row>
    <row r="7762" spans="2:8" x14ac:dyDescent="0.2">
      <c r="B7762" s="1083">
        <f>HE_Insurance_Risk!$A$1</f>
        <v>37</v>
      </c>
      <c r="C7762" s="1084" t="str">
        <f>HE_Insurance_Risk!$B$1</f>
        <v>Versicherungsrisiko</v>
      </c>
      <c r="D7762" s="1091" t="str">
        <f>HE_Insurance_Risk!$C$15</f>
        <v>Erwartungswert und Standardabweichung</v>
      </c>
      <c r="E7762" s="1494" t="str">
        <f>HE_Insurance_Risk!$P$17</f>
        <v>OKP EU</v>
      </c>
      <c r="F7762" s="1488" t="s">
        <v>1593</v>
      </c>
      <c r="G7762" s="1494"/>
      <c r="H7762" s="1133">
        <f>HE_Insurance_Risk!$P24</f>
        <v>0</v>
      </c>
    </row>
    <row r="7763" spans="2:8" x14ac:dyDescent="0.2">
      <c r="B7763" s="1083">
        <f>HE_Insurance_Risk!$A$1</f>
        <v>37</v>
      </c>
      <c r="C7763" s="1084" t="str">
        <f>HE_Insurance_Risk!$B$1</f>
        <v>Versicherungsrisiko</v>
      </c>
      <c r="D7763" s="1091" t="str">
        <f>HE_Insurance_Risk!$C$15</f>
        <v>Erwartungswert und Standardabweichung</v>
      </c>
      <c r="E7763" s="1494" t="str">
        <f>HE_Insurance_Risk!$P$17</f>
        <v>OKP EU</v>
      </c>
      <c r="F7763" s="1488" t="s">
        <v>1597</v>
      </c>
      <c r="G7763" s="1494"/>
      <c r="H7763" s="1133">
        <f>HE_Insurance_Risk!$P25</f>
        <v>0</v>
      </c>
    </row>
    <row r="7764" spans="2:8" x14ac:dyDescent="0.2">
      <c r="B7764" s="1083">
        <f>HE_Insurance_Risk!$A$1</f>
        <v>37</v>
      </c>
      <c r="C7764" s="1084" t="str">
        <f>HE_Insurance_Risk!$B$1</f>
        <v>Versicherungsrisiko</v>
      </c>
      <c r="D7764" s="1091" t="str">
        <f>HE_Insurance_Risk!$C$15</f>
        <v>Erwartungswert und Standardabweichung</v>
      </c>
      <c r="E7764" s="1494" t="str">
        <f>HE_Insurance_Risk!$P$17</f>
        <v>OKP EU</v>
      </c>
      <c r="F7764" s="1488" t="s">
        <v>88</v>
      </c>
      <c r="G7764" s="1494"/>
      <c r="H7764" s="1133">
        <f>HE_Insurance_Risk!$P27</f>
        <v>0</v>
      </c>
    </row>
    <row r="7765" spans="2:8" x14ac:dyDescent="0.2">
      <c r="B7765" s="1083">
        <f>HE_Insurance_Risk!$A$1</f>
        <v>37</v>
      </c>
      <c r="C7765" s="1084" t="str">
        <f>HE_Insurance_Risk!$B$1</f>
        <v>Versicherungsrisiko</v>
      </c>
      <c r="D7765" s="1091" t="str">
        <f>HE_Insurance_Risk!$C$15</f>
        <v>Erwartungswert und Standardabweichung</v>
      </c>
      <c r="E7765" s="1494" t="str">
        <f>HE_Insurance_Risk!$P$17</f>
        <v>OKP EU</v>
      </c>
      <c r="F7765" s="1488" t="s">
        <v>1598</v>
      </c>
      <c r="G7765" s="1494"/>
      <c r="H7765" s="1133">
        <f>HE_Insurance_Risk!$P28</f>
        <v>0</v>
      </c>
    </row>
    <row r="7766" spans="2:8" x14ac:dyDescent="0.2">
      <c r="B7766" s="1083">
        <f>HE_Insurance_Risk!$A$1</f>
        <v>37</v>
      </c>
      <c r="C7766" s="1084" t="str">
        <f>HE_Insurance_Risk!$B$1</f>
        <v>Versicherungsrisiko</v>
      </c>
      <c r="D7766" s="1091" t="str">
        <f>HE_Insurance_Risk!$C$15</f>
        <v>Erwartungswert und Standardabweichung</v>
      </c>
      <c r="E7766" s="1494" t="str">
        <f>HE_Insurance_Risk!$P$17</f>
        <v>OKP EU</v>
      </c>
      <c r="F7766" s="1488" t="s">
        <v>89</v>
      </c>
      <c r="G7766" s="1494"/>
      <c r="H7766" s="1133">
        <f>HE_Insurance_Risk!$P30</f>
        <v>0</v>
      </c>
    </row>
    <row r="7767" spans="2:8" x14ac:dyDescent="0.2">
      <c r="B7767" s="1083">
        <f>HE_Insurance_Risk!$A$1</f>
        <v>37</v>
      </c>
      <c r="C7767" s="1084" t="str">
        <f>HE_Insurance_Risk!$B$1</f>
        <v>Versicherungsrisiko</v>
      </c>
      <c r="D7767" s="1091" t="str">
        <f>HE_Insurance_Risk!$C$15</f>
        <v>Erwartungswert und Standardabweichung</v>
      </c>
      <c r="E7767" s="1494" t="str">
        <f>HE_Insurance_Risk!$P$17</f>
        <v>OKP EU</v>
      </c>
      <c r="F7767" s="1488" t="s">
        <v>90</v>
      </c>
      <c r="G7767" s="1494"/>
      <c r="H7767" s="1133">
        <f>HE_Insurance_Risk!$P32</f>
        <v>0</v>
      </c>
    </row>
    <row r="7768" spans="2:8" x14ac:dyDescent="0.2">
      <c r="B7768" s="1083">
        <f>HE_Insurance_Risk!$A$1</f>
        <v>37</v>
      </c>
      <c r="C7768" s="1084" t="str">
        <f>HE_Insurance_Risk!$B$1</f>
        <v>Versicherungsrisiko</v>
      </c>
      <c r="D7768" s="1091" t="str">
        <f>HE_Insurance_Risk!$C$15</f>
        <v>Erwartungswert und Standardabweichung</v>
      </c>
      <c r="E7768" s="1494" t="str">
        <f>HE_Insurance_Risk!$P$17</f>
        <v>OKP EU</v>
      </c>
      <c r="F7768" s="1488" t="s">
        <v>708</v>
      </c>
      <c r="G7768" s="1494"/>
      <c r="H7768" s="1133">
        <f>HE_Insurance_Risk!$P33</f>
        <v>0</v>
      </c>
    </row>
    <row r="7769" spans="2:8" x14ac:dyDescent="0.2">
      <c r="B7769" s="1083">
        <f>HE_Insurance_Risk!$A$1</f>
        <v>37</v>
      </c>
      <c r="C7769" s="1084" t="str">
        <f>HE_Insurance_Risk!$B$1</f>
        <v>Versicherungsrisiko</v>
      </c>
      <c r="D7769" s="1091" t="str">
        <f>HE_Insurance_Risk!$C$15</f>
        <v>Erwartungswert und Standardabweichung</v>
      </c>
      <c r="E7769" s="1494" t="str">
        <f>HE_Insurance_Risk!$P$17</f>
        <v>OKP EU</v>
      </c>
      <c r="F7769" s="1488" t="s">
        <v>91</v>
      </c>
      <c r="G7769" s="1494"/>
      <c r="H7769" s="1133">
        <f>HE_Insurance_Risk!$P35</f>
        <v>0</v>
      </c>
    </row>
    <row r="7770" spans="2:8" x14ac:dyDescent="0.2">
      <c r="B7770" s="1083">
        <f>HE_Insurance_Risk!$A$1</f>
        <v>37</v>
      </c>
      <c r="C7770" s="1084" t="str">
        <f>HE_Insurance_Risk!$B$1</f>
        <v>Versicherungsrisiko</v>
      </c>
      <c r="D7770" s="1091" t="str">
        <f>HE_Insurance_Risk!$C$15</f>
        <v>Erwartungswert und Standardabweichung</v>
      </c>
      <c r="E7770" s="1494" t="str">
        <f>HE_Insurance_Risk!$P$17</f>
        <v>OKP EU</v>
      </c>
      <c r="F7770" s="1488" t="s">
        <v>2656</v>
      </c>
      <c r="G7770" s="1494"/>
      <c r="H7770" s="1133">
        <f>HE_Insurance_Risk!$P38</f>
        <v>0</v>
      </c>
    </row>
    <row r="7771" spans="2:8" x14ac:dyDescent="0.2">
      <c r="B7771" s="1083">
        <f>HE_Insurance_Risk!$A$1</f>
        <v>37</v>
      </c>
      <c r="C7771" s="1084" t="str">
        <f>HE_Insurance_Risk!$B$1</f>
        <v>Versicherungsrisiko</v>
      </c>
      <c r="D7771" s="1091" t="str">
        <f>HE_Insurance_Risk!$C$15</f>
        <v>Erwartungswert und Standardabweichung</v>
      </c>
      <c r="E7771" s="1494" t="str">
        <f>HE_Insurance_Risk!$P$17</f>
        <v>OKP EU</v>
      </c>
      <c r="F7771" s="1488" t="s">
        <v>2657</v>
      </c>
      <c r="G7771" s="1494"/>
      <c r="H7771" s="1133">
        <f>HE_Insurance_Risk!$P39</f>
        <v>0</v>
      </c>
    </row>
    <row r="7772" spans="2:8" x14ac:dyDescent="0.2">
      <c r="B7772" s="1083">
        <f>HE_Insurance_Risk!$A$1</f>
        <v>37</v>
      </c>
      <c r="C7772" s="1084" t="str">
        <f>HE_Insurance_Risk!$B$1</f>
        <v>Versicherungsrisiko</v>
      </c>
      <c r="D7772" s="1091" t="str">
        <f>HE_Insurance_Risk!$C$15</f>
        <v>Erwartungswert und Standardabweichung</v>
      </c>
      <c r="E7772" s="1494" t="str">
        <f>HE_Insurance_Risk!$P$17</f>
        <v>OKP EU</v>
      </c>
      <c r="F7772" s="1488" t="s">
        <v>2658</v>
      </c>
      <c r="G7772" s="1494"/>
      <c r="H7772" s="1133">
        <f>HE_Insurance_Risk!$P40</f>
        <v>0</v>
      </c>
    </row>
    <row r="7773" spans="2:8" x14ac:dyDescent="0.2">
      <c r="B7773" s="1083">
        <f>HE_Insurance_Risk!$A$1</f>
        <v>37</v>
      </c>
      <c r="C7773" s="1084" t="str">
        <f>HE_Insurance_Risk!$B$1</f>
        <v>Versicherungsrisiko</v>
      </c>
      <c r="D7773" s="1091" t="str">
        <f>HE_Insurance_Risk!$C$15</f>
        <v>Erwartungswert und Standardabweichung</v>
      </c>
      <c r="E7773" s="1494" t="str">
        <f>HE_Insurance_Risk!$P$17</f>
        <v>OKP EU</v>
      </c>
      <c r="F7773" s="1488" t="s">
        <v>707</v>
      </c>
      <c r="G7773" s="1494"/>
      <c r="H7773" s="1133">
        <f>HE_Insurance_Risk!$P42</f>
        <v>0</v>
      </c>
    </row>
    <row r="7774" spans="2:8" ht="25.5" x14ac:dyDescent="0.2">
      <c r="B7774" s="1083">
        <f>HE_Insurance_Risk!$A$1</f>
        <v>37</v>
      </c>
      <c r="C7774" s="1084" t="str">
        <f>HE_Insurance_Risk!$B$1</f>
        <v>Versicherungsrisiko</v>
      </c>
      <c r="D7774" s="1091" t="str">
        <f>HE_Insurance_Risk!$C$15</f>
        <v>Erwartungswert und Standardabweichung</v>
      </c>
      <c r="E7774" s="1494" t="str">
        <f>HE_Insurance_Risk!$P$17</f>
        <v>OKP EU</v>
      </c>
      <c r="F7774" s="1488" t="s">
        <v>1603</v>
      </c>
      <c r="G7774" s="1494"/>
      <c r="H7774" s="1133">
        <f>HE_Insurance_Risk!$P43</f>
        <v>0</v>
      </c>
    </row>
    <row r="7775" spans="2:8" x14ac:dyDescent="0.2">
      <c r="B7775" s="1083">
        <f>HE_Insurance_Risk!$A$1</f>
        <v>37</v>
      </c>
      <c r="C7775" s="1084" t="str">
        <f>HE_Insurance_Risk!$B$1</f>
        <v>Versicherungsrisiko</v>
      </c>
      <c r="D7775" s="1091" t="str">
        <f>HE_Insurance_Risk!$C$15</f>
        <v>Erwartungswert und Standardabweichung</v>
      </c>
      <c r="E7775" s="1494" t="str">
        <f>HE_Insurance_Risk!$P$17</f>
        <v>OKP EU</v>
      </c>
      <c r="F7775" s="1488" t="s">
        <v>706</v>
      </c>
      <c r="G7775" s="1494"/>
      <c r="H7775" s="1133">
        <f>HE_Insurance_Risk!$P45</f>
        <v>0</v>
      </c>
    </row>
    <row r="7776" spans="2:8" ht="25.5" x14ac:dyDescent="0.2">
      <c r="B7776" s="1083">
        <f>HE_Insurance_Risk!$A$1</f>
        <v>37</v>
      </c>
      <c r="C7776" s="1084" t="str">
        <f>HE_Insurance_Risk!$B$1</f>
        <v>Versicherungsrisiko</v>
      </c>
      <c r="D7776" s="1091" t="str">
        <f>HE_Insurance_Risk!$C$15</f>
        <v>Erwartungswert und Standardabweichung</v>
      </c>
      <c r="E7776" s="1494" t="str">
        <f>HE_Insurance_Risk!$P$17</f>
        <v>OKP EU</v>
      </c>
      <c r="F7776" s="1488" t="s">
        <v>744</v>
      </c>
      <c r="G7776" s="1494"/>
      <c r="H7776" s="1133">
        <f>HE_Insurance_Risk!$P47</f>
        <v>0</v>
      </c>
    </row>
    <row r="7777" spans="2:8" ht="25.5" x14ac:dyDescent="0.2">
      <c r="B7777" s="1083">
        <f>HE_Insurance_Risk!$A$1</f>
        <v>37</v>
      </c>
      <c r="C7777" s="1084" t="str">
        <f>HE_Insurance_Risk!$B$1</f>
        <v>Versicherungsrisiko</v>
      </c>
      <c r="D7777" s="1091" t="str">
        <f>HE_Insurance_Risk!$C$15</f>
        <v>Erwartungswert und Standardabweichung</v>
      </c>
      <c r="E7777" s="1494" t="str">
        <f>HE_Insurance_Risk!$P$17</f>
        <v>OKP EU</v>
      </c>
      <c r="F7777" s="1488" t="s">
        <v>742</v>
      </c>
      <c r="G7777" s="1494"/>
      <c r="H7777" s="1133">
        <f>HE_Insurance_Risk!$P48</f>
        <v>0</v>
      </c>
    </row>
    <row r="7778" spans="2:8" x14ac:dyDescent="0.2">
      <c r="B7778" s="1083">
        <f>HE_Insurance_Risk!$A$1</f>
        <v>37</v>
      </c>
      <c r="C7778" s="1084" t="str">
        <f>HE_Insurance_Risk!$B$1</f>
        <v>Versicherungsrisiko</v>
      </c>
      <c r="D7778" s="1091" t="str">
        <f>HE_Insurance_Risk!$C$15</f>
        <v>Erwartungswert und Standardabweichung</v>
      </c>
      <c r="E7778" s="1494" t="str">
        <f>HE_Insurance_Risk!$P$17</f>
        <v>OKP EU</v>
      </c>
      <c r="F7778" s="1488" t="s">
        <v>2659</v>
      </c>
      <c r="G7778" s="1617" t="s">
        <v>2660</v>
      </c>
      <c r="H7778" s="1133"/>
    </row>
    <row r="7779" spans="2:8" x14ac:dyDescent="0.2">
      <c r="B7779" s="1083">
        <f>HE_Insurance_Risk!$A$1</f>
        <v>37</v>
      </c>
      <c r="C7779" s="1084" t="str">
        <f>HE_Insurance_Risk!$B$1</f>
        <v>Versicherungsrisiko</v>
      </c>
      <c r="D7779" s="1091" t="str">
        <f>HE_Insurance_Risk!$C$15</f>
        <v>Erwartungswert und Standardabweichung</v>
      </c>
      <c r="E7779" s="1494" t="str">
        <f>HE_Insurance_Risk!$P$17</f>
        <v>OKP EU</v>
      </c>
      <c r="F7779" s="1488" t="s">
        <v>93</v>
      </c>
      <c r="G7779" s="1494"/>
      <c r="H7779" s="1133">
        <f>HE_Insurance_Risk!$P51</f>
        <v>0</v>
      </c>
    </row>
    <row r="7780" spans="2:8" ht="25.5" x14ac:dyDescent="0.2">
      <c r="B7780" s="1083">
        <f>HE_Insurance_Risk!$A$1</f>
        <v>37</v>
      </c>
      <c r="C7780" s="1084" t="str">
        <f>HE_Insurance_Risk!$B$1</f>
        <v>Versicherungsrisiko</v>
      </c>
      <c r="D7780" s="1091" t="str">
        <f>HE_Insurance_Risk!$C$15</f>
        <v>Erwartungswert und Standardabweichung</v>
      </c>
      <c r="E7780" s="1494" t="str">
        <f>HE_Insurance_Risk!$P$17</f>
        <v>OKP EU</v>
      </c>
      <c r="F7780" s="1488" t="s">
        <v>1606</v>
      </c>
      <c r="G7780" s="1494"/>
      <c r="H7780" s="1133">
        <f>HE_Insurance_Risk!$P53</f>
        <v>0</v>
      </c>
    </row>
    <row r="7781" spans="2:8" ht="25.5" x14ac:dyDescent="0.2">
      <c r="B7781" s="1083">
        <f>HE_Insurance_Risk!$A$1</f>
        <v>37</v>
      </c>
      <c r="C7781" s="1084" t="str">
        <f>HE_Insurance_Risk!$B$1</f>
        <v>Versicherungsrisiko</v>
      </c>
      <c r="D7781" s="1091" t="str">
        <f>HE_Insurance_Risk!$C$15</f>
        <v>Erwartungswert und Standardabweichung</v>
      </c>
      <c r="E7781" s="1494" t="str">
        <f>HE_Insurance_Risk!$P$17</f>
        <v>OKP EU</v>
      </c>
      <c r="F7781" s="1488" t="s">
        <v>92</v>
      </c>
      <c r="G7781" s="1494"/>
      <c r="H7781" s="1133">
        <f>HE_Insurance_Risk!$P55</f>
        <v>0</v>
      </c>
    </row>
    <row r="7782" spans="2:8" x14ac:dyDescent="0.2">
      <c r="B7782" s="1083">
        <f>HE_Insurance_Risk!$A$1</f>
        <v>37</v>
      </c>
      <c r="C7782" s="1084" t="str">
        <f>HE_Insurance_Risk!$B$1</f>
        <v>Versicherungsrisiko</v>
      </c>
      <c r="D7782" s="1091" t="str">
        <f>HE_Insurance_Risk!$C$15</f>
        <v>Erwartungswert und Standardabweichung</v>
      </c>
      <c r="E7782" s="1494" t="str">
        <f>HE_Insurance_Risk!$P$17</f>
        <v>OKP EU</v>
      </c>
      <c r="F7782" s="1488" t="s">
        <v>512</v>
      </c>
      <c r="G7782" s="1494"/>
      <c r="H7782" s="1133">
        <f>HE_Insurance_Risk!$P57</f>
        <v>0</v>
      </c>
    </row>
    <row r="7783" spans="2:8" ht="25.5" x14ac:dyDescent="0.2">
      <c r="B7783" s="1083">
        <f>HE_Insurance_Risk!$A$1</f>
        <v>37</v>
      </c>
      <c r="C7783" s="1084" t="str">
        <f>HE_Insurance_Risk!$B$1</f>
        <v>Versicherungsrisiko</v>
      </c>
      <c r="D7783" s="1091" t="str">
        <f>HE_Insurance_Risk!$C$15</f>
        <v>Erwartungswert und Standardabweichung</v>
      </c>
      <c r="E7783" s="1494" t="str">
        <f>HE_Insurance_Risk!$P$17</f>
        <v>OKP EU</v>
      </c>
      <c r="F7783" s="1488" t="s">
        <v>2555</v>
      </c>
      <c r="G7783" s="1494"/>
      <c r="H7783" s="1133">
        <f>HE_Insurance_Risk!$P59</f>
        <v>0</v>
      </c>
    </row>
    <row r="7784" spans="2:8" x14ac:dyDescent="0.2">
      <c r="B7784" s="1083">
        <f>HE_Insurance_Risk!$A$1</f>
        <v>37</v>
      </c>
      <c r="C7784" s="1084" t="str">
        <f>HE_Insurance_Risk!$B$1</f>
        <v>Versicherungsrisiko</v>
      </c>
      <c r="D7784" s="1091" t="str">
        <f>HE_Insurance_Risk!$C$61</f>
        <v>Variabilität</v>
      </c>
      <c r="E7784" s="1494" t="str">
        <f>HE_Insurance_Risk!$P$17</f>
        <v>OKP EU</v>
      </c>
      <c r="F7784" s="1488" t="s">
        <v>785</v>
      </c>
      <c r="G7784" s="1494"/>
      <c r="H7784" s="1133">
        <f>HE_Insurance_Risk!$P65</f>
        <v>0</v>
      </c>
    </row>
    <row r="7785" spans="2:8" x14ac:dyDescent="0.2">
      <c r="B7785" s="1083">
        <f>HE_Insurance_Risk!$A$1</f>
        <v>37</v>
      </c>
      <c r="C7785" s="1084" t="str">
        <f>HE_Insurance_Risk!$B$1</f>
        <v>Versicherungsrisiko</v>
      </c>
      <c r="D7785" s="1091" t="str">
        <f>HE_Insurance_Risk!$C$61</f>
        <v>Variabilität</v>
      </c>
      <c r="E7785" s="1494" t="str">
        <f>HE_Insurance_Risk!$P$17</f>
        <v>OKP EU</v>
      </c>
      <c r="F7785" s="1488" t="s">
        <v>103</v>
      </c>
      <c r="G7785" s="1494"/>
      <c r="H7785" s="1133"/>
    </row>
    <row r="7786" spans="2:8" x14ac:dyDescent="0.2">
      <c r="B7786" s="1083">
        <f>HE_Insurance_Risk!$A$1</f>
        <v>37</v>
      </c>
      <c r="C7786" s="1084" t="str">
        <f>HE_Insurance_Risk!$B$1</f>
        <v>Versicherungsrisiko</v>
      </c>
      <c r="D7786" s="1091" t="str">
        <f>HE_Insurance_Risk!$C$61</f>
        <v>Variabilität</v>
      </c>
      <c r="E7786" s="1494" t="str">
        <f>HE_Insurance_Risk!$P$17</f>
        <v>OKP EU</v>
      </c>
      <c r="F7786" s="1488" t="s">
        <v>793</v>
      </c>
      <c r="G7786" s="1494"/>
      <c r="H7786" s="1133">
        <f>HE_Insurance_Risk!$P68</f>
        <v>0</v>
      </c>
    </row>
    <row r="7787" spans="2:8" x14ac:dyDescent="0.2">
      <c r="B7787" s="1083">
        <f>HE_Insurance_Risk!$A$1</f>
        <v>37</v>
      </c>
      <c r="C7787" s="1084" t="str">
        <f>HE_Insurance_Risk!$B$1</f>
        <v>Versicherungsrisiko</v>
      </c>
      <c r="D7787" s="1091" t="str">
        <f>HE_Insurance_Risk!$C$61</f>
        <v>Variabilität</v>
      </c>
      <c r="E7787" s="1494" t="str">
        <f>HE_Insurance_Risk!$P$17</f>
        <v>OKP EU</v>
      </c>
      <c r="F7787" s="1488" t="s">
        <v>632</v>
      </c>
      <c r="G7787" s="1494"/>
      <c r="H7787" s="1133">
        <f>HE_Insurance_Risk!$P69</f>
        <v>0</v>
      </c>
    </row>
    <row r="7788" spans="2:8" ht="25.5" x14ac:dyDescent="0.2">
      <c r="B7788" s="1083">
        <f>HE_Insurance_Risk!$A$1</f>
        <v>37</v>
      </c>
      <c r="C7788" s="1084" t="str">
        <f>HE_Insurance_Risk!$B$1</f>
        <v>Versicherungsrisiko</v>
      </c>
      <c r="D7788" s="1091" t="str">
        <f>HE_Insurance_Risk!$C$61</f>
        <v>Variabilität</v>
      </c>
      <c r="E7788" s="1494" t="str">
        <f>HE_Insurance_Risk!$P$17</f>
        <v>OKP EU</v>
      </c>
      <c r="F7788" s="1488" t="s">
        <v>116</v>
      </c>
      <c r="G7788" s="1494"/>
      <c r="H7788" s="1133">
        <f>HE_Insurance_Risk!$P70</f>
        <v>0</v>
      </c>
    </row>
    <row r="7789" spans="2:8" x14ac:dyDescent="0.2">
      <c r="B7789" s="1083">
        <f>HE_Insurance_Risk!$A$1</f>
        <v>37</v>
      </c>
      <c r="C7789" s="1084" t="str">
        <f>HE_Insurance_Risk!$B$1</f>
        <v>Versicherungsrisiko</v>
      </c>
      <c r="D7789" s="1091" t="str">
        <f>HE_Insurance_Risk!$C$61</f>
        <v>Variabilität</v>
      </c>
      <c r="E7789" s="1494" t="str">
        <f>HE_Insurance_Risk!$P$17</f>
        <v>OKP EU</v>
      </c>
      <c r="F7789" s="1488" t="s">
        <v>794</v>
      </c>
      <c r="G7789" s="1494"/>
      <c r="H7789" s="1133" t="str">
        <f>HE_Insurance_Risk!$P73</f>
        <v/>
      </c>
    </row>
    <row r="7790" spans="2:8" x14ac:dyDescent="0.2">
      <c r="B7790" s="1083">
        <f>HE_Insurance_Risk!$A$1</f>
        <v>37</v>
      </c>
      <c r="C7790" s="1084" t="str">
        <f>HE_Insurance_Risk!$B$1</f>
        <v>Versicherungsrisiko</v>
      </c>
      <c r="D7790" s="1091" t="str">
        <f>HE_Insurance_Risk!$C$61</f>
        <v>Variabilität</v>
      </c>
      <c r="E7790" s="1494" t="str">
        <f>HE_Insurance_Risk!$P$17</f>
        <v>OKP EU</v>
      </c>
      <c r="F7790" s="1488" t="s">
        <v>632</v>
      </c>
      <c r="G7790" s="1494"/>
      <c r="H7790" s="1133">
        <f>HE_Insurance_Risk!$P74</f>
        <v>0</v>
      </c>
    </row>
    <row r="7791" spans="2:8" x14ac:dyDescent="0.2">
      <c r="B7791" s="1083">
        <f>HE_Insurance_Risk!$A$1</f>
        <v>37</v>
      </c>
      <c r="C7791" s="1084" t="str">
        <f>HE_Insurance_Risk!$B$1</f>
        <v>Versicherungsrisiko</v>
      </c>
      <c r="D7791" s="1091" t="str">
        <f>HE_Insurance_Risk!$C$61</f>
        <v>Variabilität</v>
      </c>
      <c r="E7791" s="1494" t="str">
        <f>HE_Insurance_Risk!$P$17</f>
        <v>OKP EU</v>
      </c>
      <c r="F7791" s="1488" t="s">
        <v>100</v>
      </c>
      <c r="G7791" s="1494"/>
      <c r="H7791" s="1133">
        <f>HE_Insurance_Risk!$P75</f>
        <v>0</v>
      </c>
    </row>
    <row r="7792" spans="2:8" x14ac:dyDescent="0.2">
      <c r="B7792" s="1083">
        <f>HE_Insurance_Risk!$A$1</f>
        <v>37</v>
      </c>
      <c r="C7792" s="1084" t="str">
        <f>HE_Insurance_Risk!$B$1</f>
        <v>Versicherungsrisiko</v>
      </c>
      <c r="D7792" s="1091" t="str">
        <f>HE_Insurance_Risk!$C$61</f>
        <v>Variabilität</v>
      </c>
      <c r="E7792" s="1494" t="str">
        <f>HE_Insurance_Risk!$P$17</f>
        <v>OKP EU</v>
      </c>
      <c r="F7792" s="1488" t="s">
        <v>104</v>
      </c>
      <c r="G7792" s="1494"/>
      <c r="H7792" s="1133"/>
    </row>
    <row r="7793" spans="2:8" x14ac:dyDescent="0.2">
      <c r="B7793" s="1083">
        <f>HE_Insurance_Risk!$A$1</f>
        <v>37</v>
      </c>
      <c r="C7793" s="1084" t="str">
        <f>HE_Insurance_Risk!$B$1</f>
        <v>Versicherungsrisiko</v>
      </c>
      <c r="D7793" s="1091" t="str">
        <f>HE_Insurance_Risk!$C$61</f>
        <v>Variabilität</v>
      </c>
      <c r="E7793" s="1494" t="str">
        <f>HE_Insurance_Risk!$P$17</f>
        <v>OKP EU</v>
      </c>
      <c r="F7793" s="1488" t="s">
        <v>793</v>
      </c>
      <c r="G7793" s="1494"/>
      <c r="H7793" s="1133">
        <f>HE_Insurance_Risk!$P79</f>
        <v>0.5</v>
      </c>
    </row>
    <row r="7794" spans="2:8" x14ac:dyDescent="0.2">
      <c r="B7794" s="1083">
        <f>HE_Insurance_Risk!$A$1</f>
        <v>37</v>
      </c>
      <c r="C7794" s="1084" t="str">
        <f>HE_Insurance_Risk!$B$1</f>
        <v>Versicherungsrisiko</v>
      </c>
      <c r="D7794" s="1091" t="str">
        <f>HE_Insurance_Risk!$C$61</f>
        <v>Variabilität</v>
      </c>
      <c r="E7794" s="1494" t="str">
        <f>HE_Insurance_Risk!$P$17</f>
        <v>OKP EU</v>
      </c>
      <c r="F7794" s="1488" t="s">
        <v>632</v>
      </c>
      <c r="G7794" s="1494"/>
      <c r="H7794" s="1133">
        <f>HE_Insurance_Risk!$P80</f>
        <v>0.5</v>
      </c>
    </row>
    <row r="7795" spans="2:8" ht="25.5" x14ac:dyDescent="0.2">
      <c r="B7795" s="1083">
        <f>HE_Insurance_Risk!$A$1</f>
        <v>37</v>
      </c>
      <c r="C7795" s="1084" t="str">
        <f>HE_Insurance_Risk!$B$1</f>
        <v>Versicherungsrisiko</v>
      </c>
      <c r="D7795" s="1091" t="str">
        <f>HE_Insurance_Risk!$C$61</f>
        <v>Variabilität</v>
      </c>
      <c r="E7795" s="1494" t="str">
        <f>HE_Insurance_Risk!$P$17</f>
        <v>OKP EU</v>
      </c>
      <c r="F7795" s="1488" t="s">
        <v>142</v>
      </c>
      <c r="G7795" s="1494"/>
      <c r="H7795" s="1133">
        <f>HE_Insurance_Risk!$P81</f>
        <v>0.5</v>
      </c>
    </row>
    <row r="7796" spans="2:8" x14ac:dyDescent="0.2">
      <c r="B7796" s="1083">
        <f>HE_Insurance_Risk!$A$1</f>
        <v>37</v>
      </c>
      <c r="C7796" s="1084" t="str">
        <f>HE_Insurance_Risk!$B$1</f>
        <v>Versicherungsrisiko</v>
      </c>
      <c r="D7796" s="1091" t="str">
        <f>HE_Insurance_Risk!$C$61</f>
        <v>Variabilität</v>
      </c>
      <c r="E7796" s="1494" t="str">
        <f>HE_Insurance_Risk!$P$17</f>
        <v>OKP EU</v>
      </c>
      <c r="F7796" s="1488" t="s">
        <v>346</v>
      </c>
      <c r="G7796" s="1494"/>
      <c r="H7796" s="1133">
        <f>HE_Insurance_Risk!$P84</f>
        <v>0.5</v>
      </c>
    </row>
    <row r="7797" spans="2:8" x14ac:dyDescent="0.2">
      <c r="B7797" s="1083">
        <f>HE_Insurance_Risk!$A$1</f>
        <v>37</v>
      </c>
      <c r="C7797" s="1084" t="str">
        <f>HE_Insurance_Risk!$B$1</f>
        <v>Versicherungsrisiko</v>
      </c>
      <c r="D7797" s="1091" t="str">
        <f>HE_Insurance_Risk!$C$61</f>
        <v>Variabilität</v>
      </c>
      <c r="E7797" s="1494" t="str">
        <f>HE_Insurance_Risk!$P$17</f>
        <v>OKP EU</v>
      </c>
      <c r="F7797" s="1488" t="s">
        <v>347</v>
      </c>
      <c r="G7797" s="1494"/>
      <c r="H7797" s="1133">
        <f>HE_Insurance_Risk!$P85</f>
        <v>0.5</v>
      </c>
    </row>
    <row r="7798" spans="2:8" ht="25.5" x14ac:dyDescent="0.2">
      <c r="B7798" s="1083">
        <f>HE_Insurance_Risk!$A$1</f>
        <v>37</v>
      </c>
      <c r="C7798" s="1084" t="str">
        <f>HE_Insurance_Risk!$B$1</f>
        <v>Versicherungsrisiko</v>
      </c>
      <c r="D7798" s="1091" t="str">
        <f>HE_Insurance_Risk!$C$61</f>
        <v>Variabilität</v>
      </c>
      <c r="E7798" s="1494" t="str">
        <f>HE_Insurance_Risk!$P$17</f>
        <v>OKP EU</v>
      </c>
      <c r="F7798" s="1488" t="s">
        <v>1788</v>
      </c>
      <c r="G7798" s="1494" t="s">
        <v>1808</v>
      </c>
      <c r="H7798" s="1133">
        <f>HE_Insurance_Risk!$P92</f>
        <v>0</v>
      </c>
    </row>
    <row r="7799" spans="2:8" x14ac:dyDescent="0.2">
      <c r="B7799" s="1083">
        <f>HE_Insurance_Risk!$A$1</f>
        <v>37</v>
      </c>
      <c r="C7799" s="1084" t="str">
        <f>HE_Insurance_Risk!$B$1</f>
        <v>Versicherungsrisiko</v>
      </c>
      <c r="D7799" s="1091" t="str">
        <f>HE_Insurance_Risk!$C$61</f>
        <v>Variabilität</v>
      </c>
      <c r="E7799" s="1494" t="str">
        <f>HE_Insurance_Risk!$P$17</f>
        <v>OKP EU</v>
      </c>
      <c r="F7799" s="1488" t="str">
        <f>Translation!B707</f>
        <v>Selbstbehalt Einzelschaden (CHF)</v>
      </c>
      <c r="G7799" s="1494"/>
      <c r="H7799" s="1133">
        <f>HE_Insurance_Risk!$P114</f>
        <v>0</v>
      </c>
    </row>
    <row r="7800" spans="2:8" x14ac:dyDescent="0.2">
      <c r="B7800" s="1083">
        <f>HE_Insurance_Risk!$A$1</f>
        <v>37</v>
      </c>
      <c r="C7800" s="1084" t="str">
        <f>HE_Insurance_Risk!$B$1</f>
        <v>Versicherungsrisiko</v>
      </c>
      <c r="D7800" s="1091" t="str">
        <f>HE_Insurance_Risk!$C$61</f>
        <v>Variabilität</v>
      </c>
      <c r="E7800" s="1494" t="str">
        <f>HE_Insurance_Risk!$P$17</f>
        <v>OKP EU</v>
      </c>
      <c r="F7800" s="1488" t="str">
        <f>Translation!B710</f>
        <v>P Priorität   (Mio. CHF)</v>
      </c>
      <c r="G7800" s="1494"/>
      <c r="H7800" s="1133">
        <f>HE_Insurance_Risk!$P123</f>
        <v>0</v>
      </c>
    </row>
    <row r="7801" spans="2:8" ht="13.5" thickBot="1" x14ac:dyDescent="0.25">
      <c r="B7801" s="2329">
        <f>HE_Insurance_Risk!$A$1</f>
        <v>37</v>
      </c>
      <c r="C7801" s="2330" t="str">
        <f>HE_Insurance_Risk!$B$1</f>
        <v>Versicherungsrisiko</v>
      </c>
      <c r="D7801" s="1394" t="str">
        <f>HE_Insurance_Risk!$C$61</f>
        <v>Variabilität</v>
      </c>
      <c r="E7801" s="2331" t="str">
        <f>HE_Insurance_Risk!$P$17</f>
        <v>OKP EU</v>
      </c>
      <c r="F7801" s="1499" t="str">
        <f>Translation!B711</f>
        <v>K Kapazität (Mio. CHF)</v>
      </c>
      <c r="G7801" s="2331"/>
      <c r="H7801" s="2414">
        <f>HE_Insurance_Risk!$P124</f>
        <v>0</v>
      </c>
    </row>
  </sheetData>
  <phoneticPr fontId="93" type="noConversion"/>
  <conditionalFormatting sqref="H2331">
    <cfRule type="cellIs" dxfId="83" priority="6" stopIfTrue="1" operator="greaterThan">
      <formula>100</formula>
    </cfRule>
    <cfRule type="cellIs" dxfId="82" priority="7" stopIfTrue="1" operator="lessThan">
      <formula>-100</formula>
    </cfRule>
  </conditionalFormatting>
  <conditionalFormatting sqref="H2209 H2672 H2794 H2916">
    <cfRule type="cellIs" dxfId="81" priority="5" stopIfTrue="1" operator="notBetween">
      <formula>-100</formula>
      <formula>100</formula>
    </cfRule>
  </conditionalFormatting>
  <conditionalFormatting sqref="H998">
    <cfRule type="expression" dxfId="80" priority="3" stopIfTrue="1">
      <formula>$H$998&gt;0.0001</formula>
    </cfRule>
    <cfRule type="expression" dxfId="79" priority="4" stopIfTrue="1">
      <formula>$H$998&gt;0.0000000001</formula>
    </cfRule>
  </conditionalFormatting>
  <conditionalFormatting sqref="H999">
    <cfRule type="expression" dxfId="78" priority="1" stopIfTrue="1">
      <formula>ABS($H$999-$H$10)&lt;0.00000000001</formula>
    </cfRule>
    <cfRule type="expression" dxfId="77" priority="2" stopIfTrue="1">
      <formula>ABS($H$999-$H$10)&gt;0.00000000001</formula>
    </cfRule>
  </conditionalFormatting>
  <hyperlinks>
    <hyperlink ref="A1" location="list_of_sheets!A1" display="list_of_sheets!A1" xr:uid="{00000000-0004-0000-0500-000000000000}"/>
  </hyperlinks>
  <pageMargins left="0.74803149606299213" right="0.74803149606299213" top="0.70866141732283472" bottom="0.59055118110236227" header="0.51181102362204722" footer="0.51181102362204722"/>
  <pageSetup paperSize="9" scale="33" fitToHeight="50" orientation="portrait" r:id="rId1"/>
  <headerFooter alignWithMargins="0">
    <oddHeader>&amp;R&amp;"Arial,Fett"&amp;12KVG-Solvenztest
Test de solvabilité LAMal</oddHeader>
    <oddFooter>&amp;L&amp;F / &amp;A&amp;C&amp;P /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tabColor indexed="10"/>
    <pageSetUpPr fitToPage="1"/>
  </sheetPr>
  <dimension ref="A1:Z139"/>
  <sheetViews>
    <sheetView zoomScale="80" zoomScaleNormal="80" workbookViewId="0"/>
  </sheetViews>
  <sheetFormatPr baseColWidth="10" defaultColWidth="11.42578125" defaultRowHeight="12.75" outlineLevelRow="1" x14ac:dyDescent="0.2"/>
  <cols>
    <col min="1" max="1" width="5.5703125" style="657" customWidth="1"/>
    <col min="2" max="2" width="4.5703125" style="657" customWidth="1"/>
    <col min="3" max="3" width="41" style="657" customWidth="1"/>
    <col min="4" max="4" width="48.5703125" style="847" customWidth="1"/>
    <col min="5" max="7" width="18" style="847" customWidth="1"/>
    <col min="8" max="8" width="1.5703125" style="1231" customWidth="1"/>
    <col min="9" max="9" width="0.5703125" style="1231" customWidth="1"/>
    <col min="10" max="10" width="9.42578125" style="1233" customWidth="1"/>
    <col min="11" max="11" width="14.42578125" style="1232" customWidth="1"/>
    <col min="12" max="12" width="1.5703125" style="1233" customWidth="1"/>
    <col min="13" max="13" width="14.42578125" style="1232" customWidth="1"/>
    <col min="14" max="14" width="1.5703125" style="485" customWidth="1"/>
    <col min="15" max="15" width="10.5703125" style="155" customWidth="1"/>
    <col min="16" max="16" width="1.5703125" style="485" customWidth="1"/>
    <col min="17" max="17" width="11.42578125" style="155" customWidth="1"/>
    <col min="18" max="18" width="1.5703125" style="485" customWidth="1"/>
    <col min="19" max="19" width="11.42578125" style="155" customWidth="1"/>
    <col min="20" max="20" width="1.5703125" style="153" customWidth="1"/>
    <col min="21" max="16384" width="11.42578125" style="140"/>
  </cols>
  <sheetData>
    <row r="1" spans="1:26" ht="21" customHeight="1" thickBot="1" x14ac:dyDescent="0.25">
      <c r="A1" s="2194">
        <v>7</v>
      </c>
      <c r="B1" s="1015" t="str">
        <f>Translation!B58</f>
        <v>Marktnahe Gliederung der Aktiven und Passiven</v>
      </c>
      <c r="C1" s="1224"/>
      <c r="D1" s="1225"/>
      <c r="E1" s="1225"/>
      <c r="F1" s="1225"/>
      <c r="G1" s="1225"/>
      <c r="H1" s="1226"/>
      <c r="I1" s="1226"/>
      <c r="J1" s="1226"/>
      <c r="K1" s="1226"/>
      <c r="L1" s="1226"/>
      <c r="M1" s="1226"/>
    </row>
    <row r="2" spans="1:26" ht="21.6" customHeight="1" thickBot="1" x14ac:dyDescent="0.25">
      <c r="A2" s="1227"/>
      <c r="B2" s="1228"/>
      <c r="C2" s="1229" t="str">
        <f>Inputparam!$C$8</f>
        <v xml:space="preserve">0000 </v>
      </c>
      <c r="D2" s="1230"/>
      <c r="I2" s="1158"/>
      <c r="J2" s="1158"/>
    </row>
    <row r="3" spans="1:26" ht="7.5" customHeight="1" x14ac:dyDescent="0.2">
      <c r="A3" s="1234"/>
      <c r="B3" s="176"/>
      <c r="I3" s="1158"/>
      <c r="J3" s="1158"/>
    </row>
    <row r="4" spans="1:26" ht="25.15" customHeight="1" x14ac:dyDescent="0.2">
      <c r="B4" s="1235"/>
      <c r="C4" s="2421" t="str">
        <f>Translation!$B$59</f>
        <v>Totale Kontengruppen/Zusammenfassungen (geschützt)</v>
      </c>
      <c r="D4" s="2422"/>
      <c r="E4" s="2419" t="str">
        <f>Translation!B65</f>
        <v>Marktnaher Wert resp. 
Best Estimate</v>
      </c>
      <c r="F4" s="2435" t="str">
        <f>Translation!B64</f>
        <v>Differenzen aufgrund des veränderten Stichtages</v>
      </c>
      <c r="G4" s="2431" t="str">
        <f>Translation!B65</f>
        <v>Marktnaher Wert resp. 
Best Estimate</v>
      </c>
      <c r="I4" s="2434"/>
      <c r="J4" s="2434"/>
      <c r="K4" s="2428" t="str">
        <f>Translation!B66</f>
        <v>Wert in % aller Aktiven</v>
      </c>
      <c r="M4" s="2428" t="str">
        <f>Translation!B67</f>
        <v>Wert in % des Kernkapitals</v>
      </c>
    </row>
    <row r="5" spans="1:26" ht="25.15" customHeight="1" x14ac:dyDescent="0.2">
      <c r="C5" s="2423" t="str">
        <f>Translation!$B$60</f>
        <v>Totale Klassen (geschützt)</v>
      </c>
      <c r="D5" s="2424"/>
      <c r="E5" s="2420"/>
      <c r="F5" s="2420"/>
      <c r="G5" s="2432"/>
      <c r="I5" s="2434"/>
      <c r="J5" s="2434"/>
      <c r="K5" s="2429"/>
      <c r="M5" s="2429"/>
    </row>
    <row r="6" spans="1:26" ht="25.15" customHeight="1" x14ac:dyDescent="0.2">
      <c r="C6" s="2425" t="str">
        <f>Translation!$B$61</f>
        <v>Input</v>
      </c>
      <c r="D6" s="2426"/>
      <c r="E6" s="2420"/>
      <c r="F6" s="2420"/>
      <c r="G6" s="2433"/>
      <c r="I6" s="2434"/>
      <c r="J6" s="2434"/>
      <c r="K6" s="2430"/>
      <c r="M6" s="2430"/>
    </row>
    <row r="7" spans="1:26" ht="25.15" customHeight="1" x14ac:dyDescent="0.2">
      <c r="C7" s="2427" t="str">
        <f>Translation!$B$62</f>
        <v>Gerechnet (geschützt)</v>
      </c>
      <c r="D7" s="2424"/>
      <c r="E7" s="595">
        <f>_ReportingDate-1</f>
        <v>45657</v>
      </c>
      <c r="F7" s="1237"/>
      <c r="G7" s="595" t="str">
        <f>_ReportingDate</f>
        <v>01.01.2025</v>
      </c>
      <c r="I7" s="2434"/>
      <c r="J7" s="2434"/>
      <c r="K7" s="1159" t="str">
        <f>_ReportingDate</f>
        <v>01.01.2025</v>
      </c>
      <c r="M7" s="1159" t="str">
        <f>_ReportingDate</f>
        <v>01.01.2025</v>
      </c>
    </row>
    <row r="8" spans="1:26" ht="5.0999999999999996" customHeight="1" x14ac:dyDescent="0.2">
      <c r="E8" s="496"/>
      <c r="F8" s="495"/>
      <c r="G8" s="496"/>
      <c r="H8" s="1160"/>
      <c r="I8" s="1158"/>
      <c r="J8" s="1158"/>
    </row>
    <row r="9" spans="1:26" ht="5.0999999999999996" customHeight="1" x14ac:dyDescent="0.35">
      <c r="B9" s="151"/>
      <c r="D9" s="149"/>
      <c r="E9" s="1238"/>
      <c r="F9" s="1239"/>
      <c r="G9" s="1238"/>
      <c r="I9" s="1158"/>
      <c r="J9" s="1158"/>
      <c r="K9" s="1231"/>
    </row>
    <row r="10" spans="1:26" ht="12.75" customHeight="1" x14ac:dyDescent="0.35">
      <c r="B10" s="151"/>
      <c r="D10" s="149"/>
      <c r="E10" s="657"/>
      <c r="K10" s="1231"/>
    </row>
    <row r="11" spans="1:26" ht="18" x14ac:dyDescent="0.25">
      <c r="B11" s="152" t="str">
        <f>Translation!B68</f>
        <v>Kapitalanlagen</v>
      </c>
      <c r="L11" s="1232"/>
      <c r="M11" s="1240"/>
    </row>
    <row r="12" spans="1:26" x14ac:dyDescent="0.2">
      <c r="D12" s="657"/>
      <c r="E12" s="1235"/>
      <c r="F12" s="1235"/>
      <c r="G12" s="1235"/>
      <c r="H12" s="1233"/>
      <c r="L12" s="1232"/>
      <c r="M12" s="1240"/>
      <c r="T12" s="485"/>
      <c r="U12" s="155"/>
      <c r="V12" s="155"/>
      <c r="W12" s="155"/>
      <c r="X12" s="155"/>
      <c r="Y12" s="155"/>
      <c r="Z12" s="155"/>
    </row>
    <row r="13" spans="1:26" s="488" customFormat="1" ht="15" customHeight="1" thickBot="1" x14ac:dyDescent="0.25">
      <c r="A13" s="1241"/>
      <c r="B13" s="1241"/>
      <c r="C13" s="2417" t="str">
        <f>Translation!B69</f>
        <v>Grundstücke und Bauten</v>
      </c>
      <c r="D13" s="2418"/>
      <c r="E13" s="489">
        <f>SUM(E14:E16)</f>
        <v>0</v>
      </c>
      <c r="F13" s="489">
        <f>SUM(F14:F16)</f>
        <v>0</v>
      </c>
      <c r="G13" s="489">
        <f>SUM(G14:G16)</f>
        <v>0</v>
      </c>
      <c r="H13" s="1161"/>
      <c r="I13" s="1162"/>
      <c r="J13" s="1242"/>
      <c r="K13" s="1240">
        <f>IF($G$69=0,0,G13/$G$69)</f>
        <v>0</v>
      </c>
      <c r="L13" s="1240"/>
      <c r="M13" s="1240">
        <f>IF(Vorhandene_Reserven!$E$17=0,0,G13/Vorhandene_Reserven!$E$17)</f>
        <v>0</v>
      </c>
      <c r="N13" s="1163"/>
      <c r="O13" s="1162"/>
      <c r="P13" s="1163"/>
      <c r="Q13" s="1164"/>
      <c r="R13" s="1165"/>
      <c r="S13" s="1164"/>
      <c r="T13" s="490"/>
    </row>
    <row r="14" spans="1:26" ht="12.75" customHeight="1" outlineLevel="1" thickTop="1" x14ac:dyDescent="0.2">
      <c r="C14" s="1243"/>
      <c r="D14" s="1244" t="str">
        <f>Translation!$B$82</f>
        <v>dem Geschäft nach KVG zugeordnet</v>
      </c>
      <c r="E14" s="2281"/>
      <c r="F14" s="1246">
        <f>SUM(G14-E14)</f>
        <v>0</v>
      </c>
      <c r="G14" s="2282"/>
      <c r="H14" s="1248"/>
      <c r="L14" s="1232"/>
      <c r="M14" s="1240"/>
    </row>
    <row r="15" spans="1:26" ht="12.75" customHeight="1" outlineLevel="1" x14ac:dyDescent="0.2">
      <c r="D15" s="1249" t="str">
        <f>Translation!$B$83</f>
        <v>dem Geschäft nach VVG zugeordnet</v>
      </c>
      <c r="E15" s="1250"/>
      <c r="F15" s="1251">
        <f>SUM(G15-E15)</f>
        <v>0</v>
      </c>
      <c r="G15" s="1250"/>
      <c r="H15" s="1248"/>
      <c r="L15" s="1232"/>
      <c r="M15" s="1240"/>
    </row>
    <row r="16" spans="1:26" ht="12.75" customHeight="1" outlineLevel="1" x14ac:dyDescent="0.2">
      <c r="D16" s="1249" t="str">
        <f>Translation!$B$84</f>
        <v>dem Geschäft nach UVG zugeordnet</v>
      </c>
      <c r="E16" s="1250"/>
      <c r="F16" s="1251">
        <f>SUM(G16-E16)</f>
        <v>0</v>
      </c>
      <c r="G16" s="1250"/>
      <c r="H16" s="1248"/>
      <c r="L16" s="1232"/>
      <c r="M16" s="1240"/>
    </row>
    <row r="17" spans="1:26" x14ac:dyDescent="0.2">
      <c r="D17" s="657"/>
      <c r="E17" s="1235"/>
      <c r="F17" s="1235"/>
      <c r="G17" s="1235"/>
      <c r="H17" s="1233"/>
      <c r="L17" s="1232"/>
      <c r="M17" s="1240"/>
      <c r="T17" s="485"/>
      <c r="U17" s="155"/>
      <c r="V17" s="155"/>
      <c r="W17" s="155"/>
      <c r="X17" s="155"/>
      <c r="Y17" s="155"/>
      <c r="Z17" s="155"/>
    </row>
    <row r="18" spans="1:26" s="488" customFormat="1" ht="15" customHeight="1" thickBot="1" x14ac:dyDescent="0.25">
      <c r="A18" s="1241"/>
      <c r="B18" s="1241"/>
      <c r="C18" s="2417" t="str">
        <f>Translation!B70</f>
        <v>Obligationen</v>
      </c>
      <c r="D18" s="2418"/>
      <c r="E18" s="489">
        <f>SUM(E19:E21)</f>
        <v>0</v>
      </c>
      <c r="F18" s="489">
        <f>SUM(F19:F21)</f>
        <v>0</v>
      </c>
      <c r="G18" s="489">
        <f>SUM(G19:G21)</f>
        <v>0</v>
      </c>
      <c r="H18" s="1161"/>
      <c r="I18" s="1162"/>
      <c r="J18" s="1242"/>
      <c r="K18" s="1240">
        <f>IF($G$69=0,0,G18/$G$69)</f>
        <v>0</v>
      </c>
      <c r="L18" s="1240"/>
      <c r="M18" s="1240">
        <f>IF(Vorhandene_Reserven!$E$17=0,0,G18/Vorhandene_Reserven!$E$17)</f>
        <v>0</v>
      </c>
      <c r="N18" s="1163"/>
      <c r="O18" s="1162"/>
      <c r="P18" s="1163"/>
      <c r="Q18" s="1164"/>
      <c r="R18" s="1165"/>
      <c r="S18" s="1164"/>
      <c r="T18" s="490"/>
    </row>
    <row r="19" spans="1:26" ht="12.75" customHeight="1" outlineLevel="1" thickTop="1" x14ac:dyDescent="0.2">
      <c r="C19" s="1243"/>
      <c r="D19" s="1244" t="str">
        <f>Translation!$B$82</f>
        <v>dem Geschäft nach KVG zugeordnet</v>
      </c>
      <c r="E19" s="2281"/>
      <c r="F19" s="1246">
        <f>SUM(G19-E19)</f>
        <v>0</v>
      </c>
      <c r="G19" s="2282"/>
      <c r="H19" s="1248"/>
      <c r="L19" s="1232"/>
      <c r="M19" s="1240"/>
    </row>
    <row r="20" spans="1:26" ht="12.75" customHeight="1" outlineLevel="1" x14ac:dyDescent="0.2">
      <c r="D20" s="1249" t="str">
        <f>Translation!$B$83</f>
        <v>dem Geschäft nach VVG zugeordnet</v>
      </c>
      <c r="E20" s="1250"/>
      <c r="F20" s="1251">
        <f>SUM(G20-E20)</f>
        <v>0</v>
      </c>
      <c r="G20" s="1250"/>
      <c r="H20" s="1248"/>
      <c r="L20" s="1232"/>
      <c r="M20" s="1240"/>
    </row>
    <row r="21" spans="1:26" ht="12.75" customHeight="1" outlineLevel="1" x14ac:dyDescent="0.2">
      <c r="D21" s="1249" t="str">
        <f>Translation!$B$84</f>
        <v>dem Geschäft nach UVG zugeordnet</v>
      </c>
      <c r="E21" s="1250"/>
      <c r="F21" s="1251">
        <f>SUM(G21-E21)</f>
        <v>0</v>
      </c>
      <c r="G21" s="1250"/>
      <c r="H21" s="1248"/>
      <c r="L21" s="1232"/>
      <c r="M21" s="1240"/>
    </row>
    <row r="22" spans="1:26" x14ac:dyDescent="0.2">
      <c r="D22" s="657"/>
      <c r="E22" s="1235"/>
      <c r="F22" s="1235"/>
      <c r="G22" s="1235"/>
      <c r="H22" s="1233"/>
      <c r="L22" s="1232"/>
      <c r="M22" s="1240"/>
      <c r="T22" s="485"/>
      <c r="U22" s="155"/>
      <c r="V22" s="155"/>
      <c r="W22" s="155"/>
      <c r="X22" s="155"/>
      <c r="Y22" s="155"/>
      <c r="Z22" s="155"/>
    </row>
    <row r="23" spans="1:26" s="488" customFormat="1" ht="15" customHeight="1" thickBot="1" x14ac:dyDescent="0.25">
      <c r="A23" s="1241"/>
      <c r="B23" s="1241"/>
      <c r="C23" s="2417" t="str">
        <f>Translation!B71</f>
        <v>Aktien und ähnliche Anlagen</v>
      </c>
      <c r="D23" s="2418"/>
      <c r="E23" s="489">
        <f>SUM(E24:E26)</f>
        <v>0</v>
      </c>
      <c r="F23" s="489">
        <f>SUM(F24:F26)</f>
        <v>0</v>
      </c>
      <c r="G23" s="489">
        <f>SUM(G24:G26)</f>
        <v>0</v>
      </c>
      <c r="H23" s="1161"/>
      <c r="I23" s="1162"/>
      <c r="J23" s="1242"/>
      <c r="K23" s="1240">
        <f>IF($G$69=0,0,G23/$G$69)</f>
        <v>0</v>
      </c>
      <c r="L23" s="1240"/>
      <c r="M23" s="1240">
        <f>IF(Vorhandene_Reserven!$E$17=0,0,G23/Vorhandene_Reserven!$E$17)</f>
        <v>0</v>
      </c>
      <c r="N23" s="1163"/>
      <c r="O23" s="1162"/>
      <c r="P23" s="1163"/>
      <c r="Q23" s="1164"/>
      <c r="R23" s="1165"/>
      <c r="S23" s="1164"/>
      <c r="T23" s="490"/>
    </row>
    <row r="24" spans="1:26" ht="12.75" customHeight="1" outlineLevel="1" thickTop="1" x14ac:dyDescent="0.2">
      <c r="C24" s="1243"/>
      <c r="D24" s="1244" t="str">
        <f>Translation!$B$82</f>
        <v>dem Geschäft nach KVG zugeordnet</v>
      </c>
      <c r="E24" s="2281"/>
      <c r="F24" s="1246">
        <f>SUM(G24-E24)</f>
        <v>0</v>
      </c>
      <c r="G24" s="2282"/>
      <c r="H24" s="1248"/>
      <c r="L24" s="1232"/>
      <c r="M24" s="1240"/>
    </row>
    <row r="25" spans="1:26" ht="12.75" customHeight="1" outlineLevel="1" x14ac:dyDescent="0.2">
      <c r="D25" s="1249" t="str">
        <f>Translation!$B$83</f>
        <v>dem Geschäft nach VVG zugeordnet</v>
      </c>
      <c r="E25" s="1250"/>
      <c r="F25" s="1251">
        <f>SUM(G25-E25)</f>
        <v>0</v>
      </c>
      <c r="G25" s="1250"/>
      <c r="H25" s="1248"/>
      <c r="L25" s="1232"/>
      <c r="M25" s="1240"/>
    </row>
    <row r="26" spans="1:26" ht="12.75" customHeight="1" outlineLevel="1" x14ac:dyDescent="0.2">
      <c r="D26" s="1249" t="str">
        <f>Translation!$B$84</f>
        <v>dem Geschäft nach UVG zugeordnet</v>
      </c>
      <c r="E26" s="1250"/>
      <c r="F26" s="1251">
        <f>SUM(G26-E26)</f>
        <v>0</v>
      </c>
      <c r="G26" s="1250"/>
      <c r="H26" s="1248"/>
      <c r="L26" s="1232"/>
      <c r="M26" s="1240"/>
    </row>
    <row r="27" spans="1:26" x14ac:dyDescent="0.2">
      <c r="D27" s="657"/>
      <c r="E27" s="1235"/>
      <c r="F27" s="1235"/>
      <c r="G27" s="1235"/>
      <c r="H27" s="1233"/>
      <c r="L27" s="1232"/>
      <c r="M27" s="1240"/>
      <c r="T27" s="485"/>
      <c r="U27" s="155"/>
      <c r="V27" s="155"/>
      <c r="W27" s="155"/>
      <c r="X27" s="155"/>
      <c r="Y27" s="155"/>
      <c r="Z27" s="155"/>
    </row>
    <row r="28" spans="1:26" s="488" customFormat="1" ht="15" customHeight="1" thickBot="1" x14ac:dyDescent="0.25">
      <c r="A28" s="1241"/>
      <c r="B28" s="1241"/>
      <c r="C28" s="2417" t="str">
        <f>Translation!B72</f>
        <v>Anteile an Anlagefonds</v>
      </c>
      <c r="D28" s="2418"/>
      <c r="E28" s="489">
        <f>SUM(E29:E31)</f>
        <v>0</v>
      </c>
      <c r="F28" s="489">
        <f>SUM(F29:F31)</f>
        <v>0</v>
      </c>
      <c r="G28" s="489">
        <f>SUM(G29:G31)</f>
        <v>0</v>
      </c>
      <c r="H28" s="1161"/>
      <c r="I28" s="1162"/>
      <c r="J28" s="1242"/>
      <c r="K28" s="1240">
        <f>IF($G$69=0,0,G28/$G$69)</f>
        <v>0</v>
      </c>
      <c r="L28" s="1240"/>
      <c r="M28" s="1240">
        <f>IF(Vorhandene_Reserven!$E$17=0,0,G28/Vorhandene_Reserven!$E$17)</f>
        <v>0</v>
      </c>
      <c r="N28" s="1163"/>
      <c r="O28" s="1162"/>
      <c r="P28" s="1163"/>
      <c r="Q28" s="1164"/>
      <c r="R28" s="1165"/>
      <c r="S28" s="1164"/>
      <c r="T28" s="490"/>
    </row>
    <row r="29" spans="1:26" ht="12.75" customHeight="1" outlineLevel="1" thickTop="1" x14ac:dyDescent="0.2">
      <c r="C29" s="1243"/>
      <c r="D29" s="1244" t="str">
        <f>Translation!$B$82</f>
        <v>dem Geschäft nach KVG zugeordnet</v>
      </c>
      <c r="E29" s="2281"/>
      <c r="F29" s="1246">
        <f>SUM(G29-E29)</f>
        <v>0</v>
      </c>
      <c r="G29" s="2282"/>
      <c r="H29" s="1248"/>
      <c r="L29" s="1232"/>
      <c r="M29" s="1240"/>
    </row>
    <row r="30" spans="1:26" ht="12.75" customHeight="1" outlineLevel="1" x14ac:dyDescent="0.2">
      <c r="D30" s="1249" t="str">
        <f>Translation!$B$83</f>
        <v>dem Geschäft nach VVG zugeordnet</v>
      </c>
      <c r="E30" s="1250"/>
      <c r="F30" s="1251">
        <f>SUM(G30-E30)</f>
        <v>0</v>
      </c>
      <c r="G30" s="1250"/>
      <c r="H30" s="1248"/>
      <c r="L30" s="1232"/>
      <c r="M30" s="1240"/>
    </row>
    <row r="31" spans="1:26" ht="12.75" customHeight="1" outlineLevel="1" x14ac:dyDescent="0.2">
      <c r="D31" s="1249" t="str">
        <f>Translation!$B$84</f>
        <v>dem Geschäft nach UVG zugeordnet</v>
      </c>
      <c r="E31" s="1250"/>
      <c r="F31" s="1251">
        <f>SUM(G31-E31)</f>
        <v>0</v>
      </c>
      <c r="G31" s="1250"/>
      <c r="H31" s="1248"/>
      <c r="L31" s="1232"/>
      <c r="M31" s="1240"/>
    </row>
    <row r="32" spans="1:26" x14ac:dyDescent="0.2">
      <c r="D32" s="657"/>
      <c r="E32" s="1235"/>
      <c r="F32" s="1235"/>
      <c r="G32" s="1235"/>
      <c r="H32" s="1233"/>
      <c r="L32" s="1232"/>
      <c r="M32" s="1240"/>
      <c r="T32" s="485"/>
      <c r="U32" s="155"/>
      <c r="V32" s="155"/>
      <c r="W32" s="155"/>
      <c r="X32" s="155"/>
      <c r="Y32" s="155"/>
      <c r="Z32" s="155"/>
    </row>
    <row r="33" spans="1:26" s="488" customFormat="1" ht="15" customHeight="1" thickBot="1" x14ac:dyDescent="0.25">
      <c r="A33" s="1241"/>
      <c r="B33" s="1241"/>
      <c r="C33" s="2417" t="str">
        <f>Translation!B73</f>
        <v>Derivative Finanzinstrumente (Guthaben)</v>
      </c>
      <c r="D33" s="2418"/>
      <c r="E33" s="489">
        <f>SUM(E34:E36)</f>
        <v>0</v>
      </c>
      <c r="F33" s="489">
        <f>SUM(F34:F36)</f>
        <v>0</v>
      </c>
      <c r="G33" s="489">
        <f>SUM(G34:G36)</f>
        <v>0</v>
      </c>
      <c r="H33" s="1161"/>
      <c r="I33" s="1162"/>
      <c r="J33" s="1242"/>
      <c r="K33" s="1240">
        <f>IF($G$69=0,0,G33/$G$69)</f>
        <v>0</v>
      </c>
      <c r="L33" s="1240"/>
      <c r="M33" s="1240">
        <f>IF(Vorhandene_Reserven!$E$17=0,0,G33/Vorhandene_Reserven!$E$17)</f>
        <v>0</v>
      </c>
      <c r="N33" s="1163"/>
      <c r="O33" s="1162"/>
      <c r="P33" s="1163"/>
      <c r="Q33" s="1164"/>
      <c r="R33" s="1165"/>
      <c r="S33" s="1164"/>
      <c r="T33" s="490"/>
    </row>
    <row r="34" spans="1:26" ht="12.75" customHeight="1" outlineLevel="1" thickTop="1" x14ac:dyDescent="0.2">
      <c r="C34" s="1243"/>
      <c r="D34" s="1244" t="str">
        <f>Translation!$B$82</f>
        <v>dem Geschäft nach KVG zugeordnet</v>
      </c>
      <c r="E34" s="2281"/>
      <c r="F34" s="1246">
        <f>SUM(G34-E34)</f>
        <v>0</v>
      </c>
      <c r="G34" s="2282"/>
      <c r="H34" s="1248"/>
      <c r="L34" s="1232"/>
      <c r="M34" s="1240"/>
    </row>
    <row r="35" spans="1:26" ht="12.75" customHeight="1" outlineLevel="1" x14ac:dyDescent="0.2">
      <c r="D35" s="1249" t="str">
        <f>Translation!$B$83</f>
        <v>dem Geschäft nach VVG zugeordnet</v>
      </c>
      <c r="E35" s="1250"/>
      <c r="F35" s="1251">
        <f>SUM(G35-E35)</f>
        <v>0</v>
      </c>
      <c r="G35" s="1250"/>
      <c r="H35" s="1248"/>
      <c r="L35" s="1232"/>
      <c r="M35" s="1240"/>
    </row>
    <row r="36" spans="1:26" ht="12.75" customHeight="1" outlineLevel="1" x14ac:dyDescent="0.2">
      <c r="D36" s="1249" t="str">
        <f>Translation!$B$84</f>
        <v>dem Geschäft nach UVG zugeordnet</v>
      </c>
      <c r="E36" s="1250"/>
      <c r="F36" s="1251">
        <f>SUM(G36-E36)</f>
        <v>0</v>
      </c>
      <c r="G36" s="1250"/>
      <c r="H36" s="1248"/>
      <c r="L36" s="1232"/>
      <c r="M36" s="1240"/>
    </row>
    <row r="37" spans="1:26" x14ac:dyDescent="0.2">
      <c r="D37" s="657"/>
      <c r="E37" s="1235"/>
      <c r="F37" s="1235"/>
      <c r="G37" s="1235"/>
      <c r="H37" s="1233"/>
      <c r="L37" s="1232"/>
      <c r="M37" s="1240"/>
      <c r="T37" s="485"/>
      <c r="U37" s="155"/>
      <c r="V37" s="155"/>
      <c r="W37" s="155"/>
      <c r="X37" s="155"/>
      <c r="Y37" s="155"/>
      <c r="Z37" s="155"/>
    </row>
    <row r="38" spans="1:26" s="488" customFormat="1" ht="15" customHeight="1" thickBot="1" x14ac:dyDescent="0.25">
      <c r="A38" s="1241"/>
      <c r="B38" s="1241"/>
      <c r="C38" s="2417" t="str">
        <f>Translation!B74</f>
        <v>Liquide Mittel</v>
      </c>
      <c r="D38" s="2418"/>
      <c r="E38" s="489">
        <f>SUM(E39:E41)</f>
        <v>0</v>
      </c>
      <c r="F38" s="489">
        <f>SUM(F39:F41)</f>
        <v>0</v>
      </c>
      <c r="G38" s="489">
        <f>SUM(G39:G41)</f>
        <v>0</v>
      </c>
      <c r="H38" s="1161"/>
      <c r="I38" s="1162"/>
      <c r="J38" s="1242"/>
      <c r="K38" s="1240">
        <f>IF($G$69=0,0,G38/$G$69)</f>
        <v>0</v>
      </c>
      <c r="L38" s="1240"/>
      <c r="M38" s="1240">
        <f>IF(Vorhandene_Reserven!$E$17=0,0,G38/Vorhandene_Reserven!$E$17)</f>
        <v>0</v>
      </c>
      <c r="N38" s="1163"/>
      <c r="O38" s="1162"/>
      <c r="P38" s="1163"/>
      <c r="Q38" s="1164"/>
      <c r="R38" s="1165"/>
      <c r="S38" s="1164"/>
      <c r="T38" s="490"/>
    </row>
    <row r="39" spans="1:26" ht="12.75" customHeight="1" outlineLevel="1" thickTop="1" x14ac:dyDescent="0.2">
      <c r="C39" s="1243"/>
      <c r="D39" s="1244" t="str">
        <f>Translation!$B$82</f>
        <v>dem Geschäft nach KVG zugeordnet</v>
      </c>
      <c r="E39" s="2281"/>
      <c r="F39" s="1246">
        <f>SUM(G39-E39)</f>
        <v>0</v>
      </c>
      <c r="G39" s="2282"/>
      <c r="H39" s="1248"/>
      <c r="L39" s="1232"/>
      <c r="M39" s="1240"/>
    </row>
    <row r="40" spans="1:26" ht="12.75" customHeight="1" outlineLevel="1" x14ac:dyDescent="0.2">
      <c r="D40" s="1249" t="str">
        <f>Translation!$B$83</f>
        <v>dem Geschäft nach VVG zugeordnet</v>
      </c>
      <c r="E40" s="1250"/>
      <c r="F40" s="1251">
        <f>SUM(G40-E40)</f>
        <v>0</v>
      </c>
      <c r="G40" s="1250"/>
      <c r="H40" s="1248"/>
      <c r="L40" s="1232"/>
      <c r="M40" s="1240"/>
    </row>
    <row r="41" spans="1:26" ht="12.75" customHeight="1" outlineLevel="1" x14ac:dyDescent="0.2">
      <c r="D41" s="1249" t="str">
        <f>Translation!$B$84</f>
        <v>dem Geschäft nach UVG zugeordnet</v>
      </c>
      <c r="E41" s="1250"/>
      <c r="F41" s="1251">
        <f>SUM(G41-E41)</f>
        <v>0</v>
      </c>
      <c r="G41" s="1250"/>
      <c r="H41" s="1248"/>
      <c r="L41" s="1232"/>
      <c r="M41" s="1240"/>
    </row>
    <row r="42" spans="1:26" x14ac:dyDescent="0.2">
      <c r="D42" s="657"/>
      <c r="E42" s="1235"/>
      <c r="F42" s="1235"/>
      <c r="G42" s="1235"/>
      <c r="H42" s="1233"/>
      <c r="L42" s="1232"/>
      <c r="M42" s="1240"/>
      <c r="T42" s="485"/>
      <c r="U42" s="155"/>
      <c r="V42" s="155"/>
      <c r="W42" s="155"/>
      <c r="X42" s="155"/>
      <c r="Y42" s="155"/>
      <c r="Z42" s="155"/>
    </row>
    <row r="43" spans="1:26" s="488" customFormat="1" ht="23.25" customHeight="1" thickBot="1" x14ac:dyDescent="0.25">
      <c r="A43" s="1241"/>
      <c r="B43" s="1241"/>
      <c r="C43" s="2417" t="str">
        <f>Translation!B75</f>
        <v>Anlagen in Institutionen, die der Durchführung der sozialen Krankenversicherung dienen</v>
      </c>
      <c r="D43" s="2418"/>
      <c r="E43" s="489">
        <f>SUM(E44:E46)</f>
        <v>0</v>
      </c>
      <c r="F43" s="489">
        <f>SUM(F44:F46)</f>
        <v>0</v>
      </c>
      <c r="G43" s="489">
        <f>SUM(G44:G46)</f>
        <v>0</v>
      </c>
      <c r="H43" s="1161"/>
      <c r="I43" s="1162"/>
      <c r="J43" s="1242"/>
      <c r="K43" s="1240">
        <f>IF($G$69=0,0,G43/$G$69)</f>
        <v>0</v>
      </c>
      <c r="L43" s="1240"/>
      <c r="M43" s="1240">
        <f>IF(Vorhandene_Reserven!$E$17=0,0,G43/Vorhandene_Reserven!$E$17)</f>
        <v>0</v>
      </c>
      <c r="N43" s="1163"/>
      <c r="O43" s="1162"/>
      <c r="P43" s="1163"/>
      <c r="Q43" s="1164"/>
      <c r="R43" s="1165"/>
      <c r="S43" s="1164"/>
      <c r="T43" s="490"/>
    </row>
    <row r="44" spans="1:26" ht="12.75" customHeight="1" outlineLevel="1" thickTop="1" x14ac:dyDescent="0.2">
      <c r="C44" s="1243"/>
      <c r="D44" s="1244" t="str">
        <f>Translation!$B$82</f>
        <v>dem Geschäft nach KVG zugeordnet</v>
      </c>
      <c r="E44" s="1245"/>
      <c r="F44" s="1246">
        <f>SUM(G44-E44)</f>
        <v>0</v>
      </c>
      <c r="G44" s="1247"/>
      <c r="H44" s="1248"/>
      <c r="L44" s="1232"/>
      <c r="M44" s="1240"/>
    </row>
    <row r="45" spans="1:26" ht="12.75" customHeight="1" outlineLevel="1" x14ac:dyDescent="0.2">
      <c r="D45" s="1249" t="str">
        <f>Translation!$B$83</f>
        <v>dem Geschäft nach VVG zugeordnet</v>
      </c>
      <c r="E45" s="1250"/>
      <c r="F45" s="1251">
        <f>SUM(G45-E45)</f>
        <v>0</v>
      </c>
      <c r="G45" s="1250"/>
      <c r="H45" s="1248"/>
      <c r="L45" s="1232"/>
      <c r="M45" s="1240"/>
    </row>
    <row r="46" spans="1:26" ht="12.75" customHeight="1" outlineLevel="1" x14ac:dyDescent="0.2">
      <c r="D46" s="1249" t="str">
        <f>Translation!$B$84</f>
        <v>dem Geschäft nach UVG zugeordnet</v>
      </c>
      <c r="E46" s="1250"/>
      <c r="F46" s="1251">
        <f>SUM(G46-E46)</f>
        <v>0</v>
      </c>
      <c r="G46" s="1250"/>
      <c r="H46" s="1248"/>
      <c r="L46" s="1232"/>
      <c r="M46" s="1240"/>
    </row>
    <row r="47" spans="1:26" x14ac:dyDescent="0.2">
      <c r="D47" s="657"/>
      <c r="E47" s="1235"/>
      <c r="F47" s="1235"/>
      <c r="G47" s="1235"/>
      <c r="H47" s="1233"/>
      <c r="L47" s="1232"/>
      <c r="M47" s="1240"/>
      <c r="T47" s="485"/>
      <c r="U47" s="155"/>
      <c r="V47" s="155"/>
      <c r="W47" s="155"/>
      <c r="X47" s="155"/>
      <c r="Y47" s="155"/>
      <c r="Z47" s="155"/>
    </row>
    <row r="48" spans="1:26" s="488" customFormat="1" ht="15" customHeight="1" thickBot="1" x14ac:dyDescent="0.25">
      <c r="A48" s="1241"/>
      <c r="B48" s="1241"/>
      <c r="C48" s="2417" t="str">
        <f>Translation!B76</f>
        <v>Übrige Kapitalanlagen (Latente Steuern, Aktiven aus Vorsorgeplänen)</v>
      </c>
      <c r="D48" s="2418"/>
      <c r="E48" s="489">
        <f>SUM(E49:E51)</f>
        <v>0</v>
      </c>
      <c r="F48" s="489">
        <f>SUM(F49:F51)</f>
        <v>0</v>
      </c>
      <c r="G48" s="489">
        <f>SUM(G49:G51)</f>
        <v>0</v>
      </c>
      <c r="H48" s="1161"/>
      <c r="I48" s="1162"/>
      <c r="J48" s="1242"/>
      <c r="K48" s="1240">
        <f>IF($G$69=0,0,G48/$G$69)</f>
        <v>0</v>
      </c>
      <c r="L48" s="1240"/>
      <c r="M48" s="1240">
        <f>IF(Vorhandene_Reserven!$E$17=0,0,G48/Vorhandene_Reserven!$E$17)</f>
        <v>0</v>
      </c>
      <c r="N48" s="1163"/>
      <c r="O48" s="1162"/>
      <c r="P48" s="1163"/>
      <c r="Q48" s="1164"/>
      <c r="R48" s="1165"/>
      <c r="S48" s="1164"/>
      <c r="T48" s="490"/>
    </row>
    <row r="49" spans="1:26" ht="12.75" customHeight="1" outlineLevel="1" thickTop="1" x14ac:dyDescent="0.2">
      <c r="C49" s="1243"/>
      <c r="D49" s="1244" t="str">
        <f>Translation!$B$82</f>
        <v>dem Geschäft nach KVG zugeordnet</v>
      </c>
      <c r="E49" s="1245"/>
      <c r="F49" s="1246">
        <f>SUM(G49-E49)</f>
        <v>0</v>
      </c>
      <c r="G49" s="1247"/>
      <c r="H49" s="1248"/>
      <c r="L49" s="1232"/>
      <c r="M49" s="1240"/>
    </row>
    <row r="50" spans="1:26" ht="12.75" customHeight="1" outlineLevel="1" x14ac:dyDescent="0.2">
      <c r="D50" s="1249" t="str">
        <f>Translation!$B$83</f>
        <v>dem Geschäft nach VVG zugeordnet</v>
      </c>
      <c r="E50" s="1250"/>
      <c r="F50" s="1251">
        <f>SUM(G50-E50)</f>
        <v>0</v>
      </c>
      <c r="G50" s="1250"/>
      <c r="H50" s="1248"/>
      <c r="L50" s="1232"/>
      <c r="M50" s="1240"/>
    </row>
    <row r="51" spans="1:26" ht="12.75" customHeight="1" outlineLevel="1" x14ac:dyDescent="0.2">
      <c r="D51" s="1249" t="str">
        <f>Translation!$B$84</f>
        <v>dem Geschäft nach UVG zugeordnet</v>
      </c>
      <c r="E51" s="1250"/>
      <c r="F51" s="1251">
        <f>SUM(G51-E51)</f>
        <v>0</v>
      </c>
      <c r="G51" s="1250"/>
      <c r="H51" s="1248"/>
      <c r="L51" s="1232"/>
      <c r="M51" s="1240"/>
    </row>
    <row r="52" spans="1:26" x14ac:dyDescent="0.2">
      <c r="D52" s="657"/>
      <c r="E52" s="1235"/>
      <c r="F52" s="1235"/>
      <c r="G52" s="1235"/>
      <c r="H52" s="1233"/>
      <c r="L52" s="1232"/>
      <c r="M52" s="1240"/>
      <c r="T52" s="485"/>
      <c r="U52" s="155"/>
      <c r="V52" s="155"/>
      <c r="W52" s="155"/>
      <c r="X52" s="155"/>
      <c r="Y52" s="155"/>
      <c r="Z52" s="155"/>
    </row>
    <row r="53" spans="1:26" ht="13.5" thickBot="1" x14ac:dyDescent="0.25">
      <c r="A53" s="1241"/>
      <c r="B53" s="1241"/>
      <c r="C53" s="2436" t="str">
        <f>Translation!B77</f>
        <v>Total Kapitalanlagen</v>
      </c>
      <c r="D53" s="2418"/>
      <c r="E53" s="492">
        <f>SUM(E13,E18,E23,E28,E33,E38,E43,E48)</f>
        <v>0</v>
      </c>
      <c r="F53" s="492">
        <f>SUM(F13,F18,F23,F28,F33,F38,F43,F48)</f>
        <v>0</v>
      </c>
      <c r="G53" s="492">
        <f>SUM(G13,G18,G23,G28,G33,G38,G43,G48)</f>
        <v>0</v>
      </c>
      <c r="K53" s="1240">
        <f>IF($G$69=0,0,G53/$G$69)</f>
        <v>0</v>
      </c>
      <c r="L53" s="1232"/>
      <c r="M53" s="1240">
        <f>IF(Vorhandene_Reserven!$E$17=0,0,G53/Vorhandene_Reserven!$E$17)</f>
        <v>0</v>
      </c>
    </row>
    <row r="54" spans="1:26" ht="13.5" thickTop="1" x14ac:dyDescent="0.2">
      <c r="C54" s="1252"/>
      <c r="D54" s="1243"/>
      <c r="H54" s="1248"/>
      <c r="K54" s="1240"/>
      <c r="L54" s="1232"/>
      <c r="M54" s="1240"/>
    </row>
    <row r="55" spans="1:26" ht="18" x14ac:dyDescent="0.25">
      <c r="B55" s="152" t="str">
        <f>Translation!B78</f>
        <v>Übrige Aktiven</v>
      </c>
      <c r="C55" s="1252"/>
      <c r="H55" s="1248"/>
      <c r="K55" s="1240"/>
      <c r="L55" s="1232"/>
      <c r="M55" s="1240"/>
    </row>
    <row r="56" spans="1:26" x14ac:dyDescent="0.2">
      <c r="D56" s="657"/>
      <c r="E56" s="1235"/>
      <c r="F56" s="1235"/>
      <c r="G56" s="1235"/>
      <c r="H56" s="1233"/>
      <c r="L56" s="1232"/>
      <c r="M56" s="1240"/>
      <c r="T56" s="485"/>
      <c r="U56" s="155"/>
      <c r="V56" s="155"/>
      <c r="W56" s="155"/>
      <c r="X56" s="155"/>
      <c r="Y56" s="155"/>
      <c r="Z56" s="155"/>
    </row>
    <row r="57" spans="1:26" s="488" customFormat="1" ht="14.25" customHeight="1" thickBot="1" x14ac:dyDescent="0.25">
      <c r="A57" s="1241"/>
      <c r="B57" s="1241"/>
      <c r="C57" s="2417" t="str">
        <f>Translation!B79</f>
        <v>Übriges Anlagevermögen (Immaterielle Anlagen, Sachanlagen)</v>
      </c>
      <c r="D57" s="2418"/>
      <c r="E57" s="489">
        <f>SUM(E58:E60)</f>
        <v>0</v>
      </c>
      <c r="F57" s="489">
        <f>SUM(F58:F60)</f>
        <v>0</v>
      </c>
      <c r="G57" s="489">
        <f>SUM(G58:G60)</f>
        <v>0</v>
      </c>
      <c r="H57" s="1161"/>
      <c r="I57" s="1162"/>
      <c r="J57" s="1242"/>
      <c r="K57" s="1240">
        <f>IF($G$69=0,0,G57/$G$69)</f>
        <v>0</v>
      </c>
      <c r="L57" s="1240"/>
      <c r="M57" s="1240">
        <f>IF(Vorhandene_Reserven!$E$17=0,0,G57/Vorhandene_Reserven!$E$17)</f>
        <v>0</v>
      </c>
      <c r="N57" s="1163"/>
      <c r="O57" s="1162"/>
      <c r="P57" s="1163"/>
      <c r="Q57" s="1164"/>
      <c r="R57" s="1165"/>
      <c r="S57" s="1164"/>
      <c r="T57" s="490"/>
    </row>
    <row r="58" spans="1:26" ht="12.75" customHeight="1" outlineLevel="1" thickTop="1" x14ac:dyDescent="0.2">
      <c r="C58" s="1243"/>
      <c r="D58" s="1244" t="str">
        <f>Translation!$B$82</f>
        <v>dem Geschäft nach KVG zugeordnet</v>
      </c>
      <c r="E58" s="2281"/>
      <c r="F58" s="1246">
        <f>SUM(G58-E58)</f>
        <v>0</v>
      </c>
      <c r="G58" s="2282"/>
      <c r="H58" s="1248"/>
      <c r="L58" s="1232"/>
      <c r="M58" s="1240"/>
    </row>
    <row r="59" spans="1:26" ht="12.75" customHeight="1" outlineLevel="1" x14ac:dyDescent="0.2">
      <c r="D59" s="1249" t="str">
        <f>Translation!$B$83</f>
        <v>dem Geschäft nach VVG zugeordnet</v>
      </c>
      <c r="E59" s="1250"/>
      <c r="F59" s="1251">
        <f>SUM(G59-E59)</f>
        <v>0</v>
      </c>
      <c r="G59" s="1250"/>
      <c r="H59" s="1248"/>
      <c r="L59" s="1232"/>
      <c r="M59" s="1240"/>
    </row>
    <row r="60" spans="1:26" ht="12.75" customHeight="1" outlineLevel="1" x14ac:dyDescent="0.2">
      <c r="D60" s="1249" t="str">
        <f>Translation!$B$84</f>
        <v>dem Geschäft nach UVG zugeordnet</v>
      </c>
      <c r="E60" s="1250"/>
      <c r="F60" s="1251">
        <f>SUM(G60-E60)</f>
        <v>0</v>
      </c>
      <c r="G60" s="1250"/>
      <c r="H60" s="1248"/>
      <c r="L60" s="1232"/>
      <c r="M60" s="1240"/>
    </row>
    <row r="61" spans="1:26" x14ac:dyDescent="0.2">
      <c r="D61" s="657"/>
      <c r="E61" s="1235"/>
      <c r="F61" s="1235"/>
      <c r="G61" s="1235"/>
      <c r="H61" s="1233"/>
      <c r="L61" s="1232"/>
      <c r="M61" s="1240"/>
      <c r="T61" s="485"/>
      <c r="U61" s="155"/>
      <c r="V61" s="155"/>
      <c r="W61" s="155"/>
      <c r="X61" s="155"/>
      <c r="Y61" s="155"/>
      <c r="Z61" s="155"/>
    </row>
    <row r="62" spans="1:26" s="488" customFormat="1" ht="14.25" customHeight="1" thickBot="1" x14ac:dyDescent="0.25">
      <c r="A62" s="1241"/>
      <c r="B62" s="1241"/>
      <c r="C62" s="2417" t="str">
        <f>Translation!B80</f>
        <v>Umlaufvermögen</v>
      </c>
      <c r="D62" s="2418"/>
      <c r="E62" s="489">
        <f>SUM(E63:E65)</f>
        <v>0</v>
      </c>
      <c r="F62" s="489">
        <f>SUM(F63:F65)</f>
        <v>0</v>
      </c>
      <c r="G62" s="489">
        <f>SUM(G63:G65)</f>
        <v>0</v>
      </c>
      <c r="H62" s="1161"/>
      <c r="I62" s="1162"/>
      <c r="J62" s="1242"/>
      <c r="K62" s="1240">
        <f>IF($G$69=0,0,G62/$G$69)</f>
        <v>0</v>
      </c>
      <c r="L62" s="1240"/>
      <c r="M62" s="1240">
        <f>IF(Vorhandene_Reserven!$E$17=0,0,G62/Vorhandene_Reserven!$E$17)</f>
        <v>0</v>
      </c>
      <c r="N62" s="1163"/>
      <c r="O62" s="1162"/>
      <c r="P62" s="1163"/>
      <c r="Q62" s="1164"/>
      <c r="R62" s="1165"/>
      <c r="S62" s="1164"/>
      <c r="T62" s="490"/>
    </row>
    <row r="63" spans="1:26" ht="12.75" customHeight="1" outlineLevel="1" thickTop="1" x14ac:dyDescent="0.2">
      <c r="C63" s="1243"/>
      <c r="D63" s="1244" t="str">
        <f>Translation!$B$82</f>
        <v>dem Geschäft nach KVG zugeordnet</v>
      </c>
      <c r="E63" s="2281"/>
      <c r="F63" s="1246">
        <f>SUM(G63-E63)</f>
        <v>0</v>
      </c>
      <c r="G63" s="2282"/>
      <c r="H63" s="1248"/>
      <c r="L63" s="1232"/>
      <c r="M63" s="1240"/>
    </row>
    <row r="64" spans="1:26" ht="12.75" customHeight="1" outlineLevel="1" x14ac:dyDescent="0.2">
      <c r="D64" s="1249" t="str">
        <f>Translation!$B$83</f>
        <v>dem Geschäft nach VVG zugeordnet</v>
      </c>
      <c r="E64" s="1250"/>
      <c r="F64" s="1251">
        <f>SUM(G64-E64)</f>
        <v>0</v>
      </c>
      <c r="G64" s="1250"/>
      <c r="H64" s="1248"/>
      <c r="L64" s="1232"/>
      <c r="M64" s="1240"/>
    </row>
    <row r="65" spans="1:26" ht="12.75" customHeight="1" outlineLevel="1" x14ac:dyDescent="0.2">
      <c r="D65" s="1249" t="str">
        <f>Translation!$B$84</f>
        <v>dem Geschäft nach UVG zugeordnet</v>
      </c>
      <c r="E65" s="1250"/>
      <c r="F65" s="1251">
        <f>SUM(G65-E65)</f>
        <v>0</v>
      </c>
      <c r="G65" s="1250"/>
      <c r="H65" s="1248"/>
      <c r="L65" s="1232"/>
      <c r="M65" s="1240"/>
    </row>
    <row r="66" spans="1:26" x14ac:dyDescent="0.2">
      <c r="D66" s="657"/>
      <c r="E66" s="1235"/>
      <c r="F66" s="1235"/>
      <c r="G66" s="1235"/>
      <c r="H66" s="1233"/>
      <c r="K66" s="1240"/>
      <c r="M66" s="1240"/>
      <c r="V66" s="155"/>
      <c r="W66" s="155"/>
      <c r="X66" s="155"/>
      <c r="Y66" s="155"/>
      <c r="Z66" s="155"/>
    </row>
    <row r="67" spans="1:26" ht="13.5" thickBot="1" x14ac:dyDescent="0.25">
      <c r="A67" s="1241"/>
      <c r="B67" s="1241"/>
      <c r="C67" s="2417" t="str">
        <f>Translation!B81</f>
        <v>Total übrige Aktiven</v>
      </c>
      <c r="D67" s="2418"/>
      <c r="E67" s="492">
        <f>SUM(E57,E62)</f>
        <v>0</v>
      </c>
      <c r="F67" s="492">
        <f>SUM(F57,F62)</f>
        <v>0</v>
      </c>
      <c r="G67" s="492">
        <f>SUM(G57,G62)</f>
        <v>0</v>
      </c>
      <c r="H67" s="1167"/>
      <c r="K67" s="1240">
        <f>IF($G$69=0,0,G67/$G$69)</f>
        <v>0</v>
      </c>
      <c r="L67" s="1232"/>
      <c r="M67" s="1240">
        <f>IF(Vorhandene_Reserven!$E$17=0,0,G67/Vorhandene_Reserven!$E$17)</f>
        <v>0</v>
      </c>
    </row>
    <row r="68" spans="1:26" ht="13.5" thickTop="1" x14ac:dyDescent="0.2">
      <c r="K68" s="1240"/>
      <c r="M68" s="1240"/>
    </row>
    <row r="69" spans="1:26" ht="21" thickBot="1" x14ac:dyDescent="0.35">
      <c r="B69" s="494" t="str">
        <f>Translation!B85</f>
        <v>Total Aktiven</v>
      </c>
      <c r="C69" s="1253"/>
      <c r="D69" s="651"/>
      <c r="E69" s="160">
        <f>SUM(E53,E67)</f>
        <v>0</v>
      </c>
      <c r="F69" s="160">
        <f>SUM(F53,F67)</f>
        <v>0</v>
      </c>
      <c r="G69" s="160">
        <f>SUM(G53,G67)</f>
        <v>0</v>
      </c>
      <c r="I69" s="1232"/>
      <c r="K69" s="1240">
        <f>IF($G$69=0,0,G69/$G$69)</f>
        <v>0</v>
      </c>
      <c r="M69" s="1240">
        <f>IF(Vorhandene_Reserven!$E$17=0,0,G69/Vorhandene_Reserven!$E$17)</f>
        <v>0</v>
      </c>
    </row>
    <row r="70" spans="1:26" s="488" customFormat="1" ht="15" customHeight="1" thickTop="1" x14ac:dyDescent="0.2">
      <c r="A70" s="657"/>
      <c r="B70" s="657"/>
      <c r="C70" s="657"/>
      <c r="D70" s="847"/>
      <c r="E70" s="847"/>
      <c r="F70" s="847"/>
      <c r="G70" s="847"/>
      <c r="H70" s="1168"/>
      <c r="I70" s="1254"/>
      <c r="J70" s="1255"/>
      <c r="K70" s="1240"/>
      <c r="L70" s="1240"/>
      <c r="M70" s="1240"/>
      <c r="N70" s="1165"/>
      <c r="O70" s="1164"/>
      <c r="P70" s="1165"/>
      <c r="Q70" s="1164"/>
      <c r="R70" s="1165"/>
      <c r="S70" s="1164"/>
      <c r="T70" s="490"/>
    </row>
    <row r="71" spans="1:26" x14ac:dyDescent="0.2">
      <c r="D71" s="1256"/>
      <c r="E71" s="1257"/>
      <c r="F71" s="1258"/>
      <c r="G71" s="1257"/>
      <c r="H71" s="1259"/>
      <c r="K71" s="1240"/>
      <c r="L71" s="1232"/>
      <c r="M71" s="1240"/>
    </row>
    <row r="72" spans="1:26" ht="18" x14ac:dyDescent="0.25">
      <c r="B72" s="152" t="str">
        <f>Translation!B86</f>
        <v>Versicherungstechnische Rückstellungen (netto)</v>
      </c>
      <c r="C72" s="1252"/>
      <c r="H72" s="1248"/>
      <c r="K72" s="1240"/>
      <c r="L72" s="1232"/>
      <c r="M72" s="1240"/>
    </row>
    <row r="73" spans="1:26" x14ac:dyDescent="0.2">
      <c r="D73" s="657"/>
      <c r="E73" s="1235"/>
      <c r="F73" s="1235"/>
      <c r="G73" s="1235"/>
      <c r="H73" s="1233"/>
      <c r="L73" s="1232"/>
      <c r="M73" s="1240"/>
      <c r="T73" s="485"/>
      <c r="U73" s="155"/>
      <c r="V73" s="155"/>
      <c r="W73" s="155"/>
      <c r="X73" s="155"/>
      <c r="Y73" s="155"/>
      <c r="Z73" s="155"/>
    </row>
    <row r="74" spans="1:26" ht="13.5" customHeight="1" thickBot="1" x14ac:dyDescent="0.25">
      <c r="A74" s="1241"/>
      <c r="B74" s="1241"/>
      <c r="C74" s="2417" t="str">
        <f>Translation!B87</f>
        <v>Leistungsrückstellungen</v>
      </c>
      <c r="D74" s="2418"/>
      <c r="E74" s="493">
        <f>SUM(E75:E80)</f>
        <v>0</v>
      </c>
      <c r="F74" s="493">
        <f>SUM(F75:F80)</f>
        <v>0</v>
      </c>
      <c r="G74" s="493">
        <f>SUM(G75:G80)</f>
        <v>0</v>
      </c>
      <c r="H74" s="1259"/>
      <c r="K74" s="1240">
        <f>IF($G$69=0,0,G74/$G$69)</f>
        <v>0</v>
      </c>
      <c r="L74" s="1232"/>
      <c r="M74" s="1240">
        <f>IF(Vorhandene_Reserven!$E$17=0,0,G74/Vorhandene_Reserven!$E$17)</f>
        <v>0</v>
      </c>
    </row>
    <row r="75" spans="1:26" ht="12.75" customHeight="1" outlineLevel="1" thickTop="1" x14ac:dyDescent="0.2">
      <c r="D75" s="1244" t="str">
        <f>Translation!$B$92</f>
        <v>Obligatorische Krankenpflegeversicherung</v>
      </c>
      <c r="E75" s="1250"/>
      <c r="F75" s="1251">
        <f t="shared" ref="F75:F80" si="0">SUM(G75-E75)</f>
        <v>0</v>
      </c>
      <c r="G75" s="1250"/>
      <c r="H75" s="1248"/>
      <c r="L75" s="1232"/>
      <c r="M75" s="1240"/>
    </row>
    <row r="76" spans="1:26" ht="12.75" customHeight="1" outlineLevel="1" x14ac:dyDescent="0.2">
      <c r="D76" s="1249" t="str">
        <f>Translation!$B$93</f>
        <v>Einzel-Taggeldversicherung nach KVG</v>
      </c>
      <c r="E76" s="1250"/>
      <c r="F76" s="1251">
        <f t="shared" si="0"/>
        <v>0</v>
      </c>
      <c r="G76" s="1250"/>
      <c r="H76" s="1248"/>
      <c r="L76" s="1232"/>
      <c r="M76" s="1240"/>
    </row>
    <row r="77" spans="1:26" ht="12.75" customHeight="1" outlineLevel="1" x14ac:dyDescent="0.2">
      <c r="D77" s="1249" t="str">
        <f>Translation!$B$94</f>
        <v>Kollektiv-Taggeldversicherung nach KVG</v>
      </c>
      <c r="E77" s="1250"/>
      <c r="F77" s="1251">
        <f t="shared" si="0"/>
        <v>0</v>
      </c>
      <c r="G77" s="1250"/>
      <c r="H77" s="1248"/>
      <c r="L77" s="1232"/>
      <c r="M77" s="1240"/>
    </row>
    <row r="78" spans="1:26" ht="12.75" customHeight="1" outlineLevel="1" x14ac:dyDescent="0.2">
      <c r="D78" s="1260" t="str">
        <f>Translation!$B$95</f>
        <v>Aktive Rückversicherung nach KVG</v>
      </c>
      <c r="E78" s="1250"/>
      <c r="F78" s="1251">
        <f t="shared" si="0"/>
        <v>0</v>
      </c>
      <c r="G78" s="1250"/>
      <c r="H78" s="1248"/>
      <c r="L78" s="1232"/>
      <c r="M78" s="1240"/>
    </row>
    <row r="79" spans="1:26" ht="12.75" customHeight="1" outlineLevel="1" x14ac:dyDescent="0.2">
      <c r="D79" s="1249" t="str">
        <f>Translation!$B$96</f>
        <v>dem Geschäft nach VVG zugeordnet</v>
      </c>
      <c r="E79" s="1250"/>
      <c r="F79" s="1251">
        <f t="shared" si="0"/>
        <v>0</v>
      </c>
      <c r="G79" s="1250"/>
      <c r="H79" s="1248"/>
      <c r="L79" s="1232"/>
      <c r="M79" s="1240"/>
    </row>
    <row r="80" spans="1:26" ht="12.75" customHeight="1" outlineLevel="1" x14ac:dyDescent="0.2">
      <c r="D80" s="1249" t="str">
        <f>Translation!$B$97</f>
        <v>dem Geschäft nach UVG zugeordnet</v>
      </c>
      <c r="E80" s="1250"/>
      <c r="F80" s="1251">
        <f t="shared" si="0"/>
        <v>0</v>
      </c>
      <c r="G80" s="1250"/>
      <c r="H80" s="1248"/>
      <c r="L80" s="1232"/>
      <c r="M80" s="1240"/>
    </row>
    <row r="81" spans="1:26" x14ac:dyDescent="0.2">
      <c r="D81" s="657"/>
      <c r="E81" s="1235"/>
      <c r="F81" s="1235"/>
      <c r="G81" s="1235"/>
      <c r="H81" s="1233"/>
      <c r="L81" s="1232"/>
      <c r="M81" s="1240"/>
      <c r="T81" s="485"/>
      <c r="U81" s="155"/>
      <c r="V81" s="155"/>
      <c r="W81" s="155"/>
      <c r="X81" s="155"/>
      <c r="Y81" s="155"/>
      <c r="Z81" s="155"/>
    </row>
    <row r="82" spans="1:26" ht="13.5" customHeight="1" thickBot="1" x14ac:dyDescent="0.25">
      <c r="A82" s="1241"/>
      <c r="B82" s="1241"/>
      <c r="C82" s="2417" t="str">
        <f>Translation!B88</f>
        <v>Alterungsrückstellungen und Deckungskapitalien</v>
      </c>
      <c r="D82" s="2418"/>
      <c r="E82" s="493">
        <f>SUM(E83:E88)</f>
        <v>0</v>
      </c>
      <c r="F82" s="493">
        <f>SUM(F83:F88)</f>
        <v>0</v>
      </c>
      <c r="G82" s="493">
        <f>SUM(G83:G88)</f>
        <v>0</v>
      </c>
      <c r="H82" s="1259"/>
      <c r="K82" s="1240">
        <f>IF($G$69=0,0,G82/$G$69)</f>
        <v>0</v>
      </c>
      <c r="L82" s="1232"/>
      <c r="M82" s="1240">
        <f>IF(Vorhandene_Reserven!$E$17=0,0,G82/Vorhandene_Reserven!$E$17)</f>
        <v>0</v>
      </c>
    </row>
    <row r="83" spans="1:26" ht="12.75" customHeight="1" outlineLevel="1" thickTop="1" x14ac:dyDescent="0.2">
      <c r="D83" s="1244" t="str">
        <f>Translation!$B$92</f>
        <v>Obligatorische Krankenpflegeversicherung</v>
      </c>
      <c r="E83" s="1250"/>
      <c r="F83" s="1251">
        <f t="shared" ref="F83:F88" si="1">SUM(G83-E83)</f>
        <v>0</v>
      </c>
      <c r="G83" s="1250"/>
      <c r="H83" s="1248"/>
      <c r="L83" s="1232"/>
      <c r="M83" s="1240"/>
    </row>
    <row r="84" spans="1:26" ht="12.75" customHeight="1" outlineLevel="1" x14ac:dyDescent="0.2">
      <c r="D84" s="1249" t="str">
        <f>Translation!$B$93</f>
        <v>Einzel-Taggeldversicherung nach KVG</v>
      </c>
      <c r="E84" s="1250"/>
      <c r="F84" s="1251">
        <f t="shared" si="1"/>
        <v>0</v>
      </c>
      <c r="G84" s="1250"/>
      <c r="H84" s="1248"/>
      <c r="L84" s="1232"/>
      <c r="M84" s="1240"/>
    </row>
    <row r="85" spans="1:26" ht="12.75" customHeight="1" outlineLevel="1" x14ac:dyDescent="0.2">
      <c r="D85" s="1249" t="str">
        <f>Translation!$B$94</f>
        <v>Kollektiv-Taggeldversicherung nach KVG</v>
      </c>
      <c r="E85" s="1250"/>
      <c r="F85" s="1251">
        <f t="shared" si="1"/>
        <v>0</v>
      </c>
      <c r="G85" s="1250"/>
      <c r="H85" s="1248"/>
      <c r="L85" s="1232"/>
      <c r="M85" s="1240"/>
    </row>
    <row r="86" spans="1:26" ht="12.75" customHeight="1" outlineLevel="1" x14ac:dyDescent="0.2">
      <c r="D86" s="1260" t="str">
        <f>Translation!$B$95</f>
        <v>Aktive Rückversicherung nach KVG</v>
      </c>
      <c r="E86" s="1250"/>
      <c r="F86" s="1251">
        <f t="shared" si="1"/>
        <v>0</v>
      </c>
      <c r="G86" s="1250"/>
      <c r="H86" s="1248"/>
      <c r="L86" s="1232"/>
      <c r="M86" s="1240"/>
    </row>
    <row r="87" spans="1:26" ht="12.75" customHeight="1" outlineLevel="1" x14ac:dyDescent="0.2">
      <c r="D87" s="1249" t="str">
        <f>Translation!$B$96</f>
        <v>dem Geschäft nach VVG zugeordnet</v>
      </c>
      <c r="E87" s="1250"/>
      <c r="F87" s="1251">
        <f t="shared" si="1"/>
        <v>0</v>
      </c>
      <c r="G87" s="1250"/>
      <c r="H87" s="1248"/>
      <c r="L87" s="1232"/>
      <c r="M87" s="1240"/>
    </row>
    <row r="88" spans="1:26" ht="12.75" customHeight="1" outlineLevel="1" x14ac:dyDescent="0.2">
      <c r="D88" s="1249" t="str">
        <f>Translation!$B$97</f>
        <v>dem Geschäft nach UVG zugeordnet</v>
      </c>
      <c r="E88" s="1250"/>
      <c r="F88" s="1251">
        <f t="shared" si="1"/>
        <v>0</v>
      </c>
      <c r="G88" s="1250"/>
      <c r="H88" s="1248"/>
      <c r="L88" s="1232"/>
      <c r="M88" s="1240"/>
    </row>
    <row r="89" spans="1:26" x14ac:dyDescent="0.2">
      <c r="D89" s="657"/>
      <c r="E89" s="1235"/>
      <c r="F89" s="1235"/>
      <c r="G89" s="1235"/>
      <c r="H89" s="1233"/>
      <c r="L89" s="1232"/>
      <c r="M89" s="1240"/>
      <c r="T89" s="485"/>
      <c r="U89" s="155"/>
      <c r="V89" s="155"/>
      <c r="W89" s="155"/>
      <c r="X89" s="155"/>
      <c r="Y89" s="155"/>
      <c r="Z89" s="155"/>
    </row>
    <row r="90" spans="1:26" ht="13.5" customHeight="1" thickBot="1" x14ac:dyDescent="0.25">
      <c r="A90" s="1241"/>
      <c r="B90" s="1241"/>
      <c r="C90" s="2417" t="str">
        <f>Translation!B89</f>
        <v>Sonstige technische Rückstellungen</v>
      </c>
      <c r="D90" s="2418"/>
      <c r="E90" s="493">
        <f>SUM(E91:E96)</f>
        <v>0</v>
      </c>
      <c r="F90" s="493">
        <f>SUM(F91:F96)</f>
        <v>0</v>
      </c>
      <c r="G90" s="493">
        <f>SUM(G91:G96)</f>
        <v>0</v>
      </c>
      <c r="H90" s="1259"/>
      <c r="I90" s="1232"/>
      <c r="K90" s="1240">
        <f>IF($G$69=0,0,G90/$G$69)</f>
        <v>0</v>
      </c>
      <c r="L90" s="1232"/>
      <c r="M90" s="1240">
        <f>IF(Vorhandene_Reserven!$E$17=0,0,G90/Vorhandene_Reserven!$E$17)</f>
        <v>0</v>
      </c>
    </row>
    <row r="91" spans="1:26" ht="12.75" customHeight="1" outlineLevel="1" thickTop="1" x14ac:dyDescent="0.2">
      <c r="C91" s="847"/>
      <c r="D91" s="1244" t="str">
        <f>Translation!$B$92</f>
        <v>Obligatorische Krankenpflegeversicherung</v>
      </c>
      <c r="E91" s="1250"/>
      <c r="F91" s="1251">
        <f t="shared" ref="F91:F96" si="2">SUM(G91-E91)</f>
        <v>0</v>
      </c>
      <c r="G91" s="1250"/>
      <c r="H91" s="1259"/>
      <c r="I91" s="1261"/>
      <c r="J91" s="1248"/>
      <c r="K91" s="1240"/>
      <c r="L91" s="1262"/>
      <c r="M91" s="1240"/>
      <c r="N91" s="1166"/>
      <c r="O91" s="1169"/>
      <c r="P91" s="1166"/>
    </row>
    <row r="92" spans="1:26" outlineLevel="1" x14ac:dyDescent="0.2">
      <c r="C92" s="159"/>
      <c r="D92" s="1249" t="str">
        <f>Translation!$B$93</f>
        <v>Einzel-Taggeldversicherung nach KVG</v>
      </c>
      <c r="E92" s="1250"/>
      <c r="F92" s="1251">
        <f t="shared" si="2"/>
        <v>0</v>
      </c>
      <c r="G92" s="1250"/>
      <c r="H92" s="1259"/>
      <c r="I92" s="1261"/>
      <c r="J92" s="1248"/>
      <c r="K92" s="1240"/>
      <c r="L92" s="1262"/>
      <c r="M92" s="1240"/>
      <c r="N92" s="1166"/>
      <c r="O92" s="1169"/>
      <c r="P92" s="1166"/>
    </row>
    <row r="93" spans="1:26" outlineLevel="1" x14ac:dyDescent="0.2">
      <c r="C93" s="159"/>
      <c r="D93" s="1249" t="str">
        <f>Translation!$B$94</f>
        <v>Kollektiv-Taggeldversicherung nach KVG</v>
      </c>
      <c r="E93" s="1250"/>
      <c r="F93" s="1251">
        <f t="shared" si="2"/>
        <v>0</v>
      </c>
      <c r="G93" s="1250"/>
      <c r="H93" s="1259"/>
      <c r="I93" s="1261"/>
      <c r="J93" s="1248"/>
      <c r="K93" s="1240"/>
      <c r="L93" s="1262"/>
      <c r="M93" s="1240"/>
      <c r="N93" s="1166"/>
      <c r="O93" s="1169"/>
      <c r="P93" s="1166"/>
    </row>
    <row r="94" spans="1:26" outlineLevel="1" x14ac:dyDescent="0.2">
      <c r="C94" s="159"/>
      <c r="D94" s="1260" t="str">
        <f>Translation!$B$95</f>
        <v>Aktive Rückversicherung nach KVG</v>
      </c>
      <c r="E94" s="1250"/>
      <c r="F94" s="1251">
        <f t="shared" si="2"/>
        <v>0</v>
      </c>
      <c r="G94" s="1250"/>
      <c r="H94" s="1259"/>
      <c r="I94" s="1261"/>
      <c r="J94" s="1248"/>
      <c r="K94" s="1240"/>
      <c r="L94" s="1262"/>
      <c r="M94" s="1240"/>
      <c r="N94" s="1166"/>
      <c r="O94" s="1169"/>
      <c r="P94" s="1166"/>
    </row>
    <row r="95" spans="1:26" outlineLevel="1" x14ac:dyDescent="0.2">
      <c r="C95" s="159"/>
      <c r="D95" s="1249" t="str">
        <f>Translation!$B$96</f>
        <v>dem Geschäft nach VVG zugeordnet</v>
      </c>
      <c r="E95" s="1250"/>
      <c r="F95" s="1251">
        <f t="shared" si="2"/>
        <v>0</v>
      </c>
      <c r="G95" s="1250"/>
      <c r="H95" s="1259"/>
      <c r="I95" s="1261"/>
      <c r="J95" s="1248"/>
      <c r="K95" s="1240"/>
      <c r="L95" s="1262"/>
      <c r="M95" s="1240"/>
      <c r="N95" s="1166"/>
      <c r="O95" s="1169"/>
      <c r="P95" s="1166"/>
    </row>
    <row r="96" spans="1:26" outlineLevel="1" x14ac:dyDescent="0.2">
      <c r="C96" s="159"/>
      <c r="D96" s="1249" t="str">
        <f>Translation!$B$97</f>
        <v>dem Geschäft nach UVG zugeordnet</v>
      </c>
      <c r="E96" s="1250"/>
      <c r="F96" s="1251">
        <f t="shared" si="2"/>
        <v>0</v>
      </c>
      <c r="G96" s="1250"/>
      <c r="H96" s="1259"/>
      <c r="I96" s="1261"/>
      <c r="J96" s="1248"/>
      <c r="K96" s="1240"/>
      <c r="L96" s="1262"/>
      <c r="M96" s="1240"/>
      <c r="N96" s="1166"/>
      <c r="O96" s="1169"/>
      <c r="P96" s="1166"/>
    </row>
    <row r="97" spans="1:26" s="488" customFormat="1" ht="12.75" customHeight="1" x14ac:dyDescent="0.2">
      <c r="A97" s="657"/>
      <c r="B97" s="657"/>
      <c r="C97" s="657"/>
      <c r="D97" s="1243"/>
      <c r="E97" s="847"/>
      <c r="F97" s="847"/>
      <c r="G97" s="847"/>
      <c r="H97" s="1161"/>
      <c r="I97" s="1263"/>
      <c r="J97" s="1255"/>
      <c r="K97" s="1240"/>
      <c r="L97" s="1240"/>
      <c r="M97" s="1240"/>
      <c r="N97" s="1165"/>
      <c r="O97" s="1164"/>
      <c r="P97" s="1165"/>
      <c r="Q97" s="1164"/>
      <c r="R97" s="1165"/>
      <c r="S97" s="1164"/>
      <c r="T97" s="490"/>
    </row>
    <row r="98" spans="1:26" ht="13.5" customHeight="1" thickBot="1" x14ac:dyDescent="0.25">
      <c r="A98" s="1241"/>
      <c r="B98" s="1241"/>
      <c r="C98" s="2417" t="str">
        <f>Translation!B90</f>
        <v>Schwankungs- und Sicherheitsrückstellungen</v>
      </c>
      <c r="D98" s="2417"/>
      <c r="E98" s="493">
        <f>SUM(E99:E104)</f>
        <v>0</v>
      </c>
      <c r="F98" s="493">
        <f>SUM(F99:F104)</f>
        <v>0</v>
      </c>
      <c r="G98" s="493">
        <f>SUM(G99:G104)</f>
        <v>0</v>
      </c>
      <c r="H98" s="1259"/>
      <c r="K98" s="1240">
        <f>IF($G$69=0,0,G98/$G$69)</f>
        <v>0</v>
      </c>
      <c r="L98" s="1232"/>
      <c r="M98" s="1240">
        <f>IF(Vorhandene_Reserven!$E$17=0,0,G98/Vorhandene_Reserven!$E$17)</f>
        <v>0</v>
      </c>
    </row>
    <row r="99" spans="1:26" ht="12.75" customHeight="1" outlineLevel="1" thickTop="1" x14ac:dyDescent="0.2">
      <c r="D99" s="1244" t="str">
        <f>Translation!$B$92</f>
        <v>Obligatorische Krankenpflegeversicherung</v>
      </c>
      <c r="E99" s="1250"/>
      <c r="F99" s="1251">
        <f t="shared" ref="F99:F104" si="3">SUM(G99-E99)</f>
        <v>0</v>
      </c>
      <c r="G99" s="1250"/>
      <c r="H99" s="1248"/>
      <c r="L99" s="1232"/>
      <c r="M99" s="1240"/>
    </row>
    <row r="100" spans="1:26" ht="12.75" customHeight="1" outlineLevel="1" x14ac:dyDescent="0.2">
      <c r="D100" s="1249" t="str">
        <f>Translation!$B$93</f>
        <v>Einzel-Taggeldversicherung nach KVG</v>
      </c>
      <c r="E100" s="1250"/>
      <c r="F100" s="1251">
        <f t="shared" si="3"/>
        <v>0</v>
      </c>
      <c r="G100" s="1250"/>
      <c r="H100" s="1248"/>
      <c r="L100" s="1232"/>
      <c r="M100" s="1240"/>
    </row>
    <row r="101" spans="1:26" ht="12.75" customHeight="1" outlineLevel="1" x14ac:dyDescent="0.2">
      <c r="D101" s="1249" t="str">
        <f>Translation!$B$94</f>
        <v>Kollektiv-Taggeldversicherung nach KVG</v>
      </c>
      <c r="E101" s="1250"/>
      <c r="F101" s="1251">
        <f t="shared" si="3"/>
        <v>0</v>
      </c>
      <c r="G101" s="1250"/>
      <c r="H101" s="1248"/>
      <c r="L101" s="1232"/>
      <c r="M101" s="1240"/>
    </row>
    <row r="102" spans="1:26" ht="12.75" customHeight="1" outlineLevel="1" x14ac:dyDescent="0.2">
      <c r="D102" s="1260" t="str">
        <f>Translation!$B$95</f>
        <v>Aktive Rückversicherung nach KVG</v>
      </c>
      <c r="E102" s="1250"/>
      <c r="F102" s="1251">
        <f t="shared" si="3"/>
        <v>0</v>
      </c>
      <c r="G102" s="1250"/>
      <c r="H102" s="1248"/>
      <c r="L102" s="1232"/>
      <c r="M102" s="1240"/>
    </row>
    <row r="103" spans="1:26" ht="12.75" customHeight="1" outlineLevel="1" x14ac:dyDescent="0.2">
      <c r="D103" s="1249" t="str">
        <f>Translation!$B$96</f>
        <v>dem Geschäft nach VVG zugeordnet</v>
      </c>
      <c r="E103" s="1250"/>
      <c r="F103" s="1251">
        <f t="shared" si="3"/>
        <v>0</v>
      </c>
      <c r="G103" s="1250"/>
      <c r="H103" s="1248"/>
      <c r="L103" s="1232"/>
      <c r="M103" s="1240"/>
    </row>
    <row r="104" spans="1:26" ht="12.75" customHeight="1" outlineLevel="1" x14ac:dyDescent="0.2">
      <c r="D104" s="1249" t="str">
        <f>Translation!$B$97</f>
        <v>dem Geschäft nach UVG zugeordnet</v>
      </c>
      <c r="E104" s="1250"/>
      <c r="F104" s="1251">
        <f t="shared" si="3"/>
        <v>0</v>
      </c>
      <c r="G104" s="1250"/>
      <c r="H104" s="1248"/>
      <c r="L104" s="1232"/>
      <c r="M104" s="1240"/>
    </row>
    <row r="105" spans="1:26" x14ac:dyDescent="0.2">
      <c r="D105" s="657"/>
      <c r="E105" s="1235"/>
      <c r="F105" s="1235"/>
      <c r="G105" s="1235"/>
      <c r="H105" s="1233"/>
      <c r="L105" s="1232"/>
      <c r="M105" s="1240"/>
      <c r="T105" s="485"/>
      <c r="U105" s="155"/>
      <c r="V105" s="155"/>
      <c r="W105" s="155"/>
      <c r="X105" s="155"/>
      <c r="Y105" s="155"/>
      <c r="Z105" s="155"/>
    </row>
    <row r="106" spans="1:26" ht="13.5" customHeight="1" thickBot="1" x14ac:dyDescent="0.25">
      <c r="A106" s="1241"/>
      <c r="B106" s="1241"/>
      <c r="C106" s="2417" t="str">
        <f>Translation!B91</f>
        <v>Total versicherungstechnische Rückstellungen</v>
      </c>
      <c r="D106" s="2417"/>
      <c r="E106" s="492">
        <f>SUM(E74,E82,E90,E98)</f>
        <v>0</v>
      </c>
      <c r="F106" s="492">
        <f>SUM(F74,F82,F90,F98)</f>
        <v>0</v>
      </c>
      <c r="G106" s="492">
        <f>SUM(G74,G82,G90,G98)</f>
        <v>0</v>
      </c>
      <c r="H106" s="1167"/>
      <c r="K106" s="1240">
        <f>IF($G$69=0,0,G106/$G$69)</f>
        <v>0</v>
      </c>
      <c r="L106" s="1232"/>
      <c r="M106" s="1240">
        <f>IF(Vorhandene_Reserven!$E$17=0,0,G106/Vorhandene_Reserven!$E$17)</f>
        <v>0</v>
      </c>
    </row>
    <row r="107" spans="1:26" ht="13.5" thickTop="1" x14ac:dyDescent="0.2">
      <c r="K107" s="1240"/>
      <c r="M107" s="1240"/>
    </row>
    <row r="108" spans="1:26" x14ac:dyDescent="0.2">
      <c r="D108" s="1256"/>
      <c r="E108" s="1257"/>
      <c r="F108" s="1258"/>
      <c r="G108" s="1257"/>
      <c r="H108" s="1259"/>
      <c r="K108" s="1240"/>
      <c r="L108" s="1232"/>
      <c r="M108" s="1240"/>
    </row>
    <row r="109" spans="1:26" ht="18" x14ac:dyDescent="0.25">
      <c r="B109" s="152" t="str">
        <f>Translation!B98</f>
        <v>Übriges Fremdkapital</v>
      </c>
      <c r="C109" s="1252"/>
      <c r="H109" s="1248"/>
      <c r="K109" s="1240"/>
      <c r="L109" s="1232"/>
      <c r="M109" s="1240"/>
    </row>
    <row r="110" spans="1:26" x14ac:dyDescent="0.2">
      <c r="D110" s="657"/>
      <c r="E110" s="1235"/>
      <c r="F110" s="1235"/>
      <c r="G110" s="1235"/>
      <c r="H110" s="1233"/>
      <c r="L110" s="1232"/>
      <c r="M110" s="1240"/>
      <c r="T110" s="485"/>
      <c r="U110" s="155"/>
      <c r="V110" s="155"/>
      <c r="W110" s="155"/>
      <c r="X110" s="155"/>
      <c r="Y110" s="155"/>
      <c r="Z110" s="155"/>
    </row>
    <row r="111" spans="1:26" s="488" customFormat="1" ht="15" customHeight="1" thickBot="1" x14ac:dyDescent="0.25">
      <c r="A111" s="1241"/>
      <c r="B111" s="1241"/>
      <c r="C111" s="2417" t="str">
        <f>Translation!B99</f>
        <v>Nichtversicherungstechnische Rückstellungen</v>
      </c>
      <c r="D111" s="2417"/>
      <c r="E111" s="489">
        <f>SUM(E112:E114)</f>
        <v>0</v>
      </c>
      <c r="F111" s="489">
        <f>SUM(F112:F114)</f>
        <v>0</v>
      </c>
      <c r="G111" s="489">
        <f>SUM(G112:G114)</f>
        <v>0</v>
      </c>
      <c r="H111" s="1161"/>
      <c r="I111" s="1162"/>
      <c r="J111" s="1242"/>
      <c r="K111" s="1240">
        <f>IF($G$69=0,0,G111/$G$69)</f>
        <v>0</v>
      </c>
      <c r="L111" s="1240"/>
      <c r="M111" s="1240">
        <f>IF(Vorhandene_Reserven!$E$17=0,0,G111/Vorhandene_Reserven!$E$17)</f>
        <v>0</v>
      </c>
      <c r="N111" s="1163"/>
      <c r="O111" s="1162"/>
      <c r="P111" s="1163"/>
      <c r="Q111" s="1164"/>
      <c r="R111" s="1165"/>
      <c r="S111" s="1164"/>
      <c r="T111" s="490"/>
    </row>
    <row r="112" spans="1:26" ht="12.75" customHeight="1" outlineLevel="1" thickTop="1" x14ac:dyDescent="0.2">
      <c r="C112" s="1243"/>
      <c r="D112" s="1244" t="str">
        <f>Translation!$B$82</f>
        <v>dem Geschäft nach KVG zugeordnet</v>
      </c>
      <c r="E112" s="2281"/>
      <c r="F112" s="1246">
        <f>SUM(G112-E112)</f>
        <v>0</v>
      </c>
      <c r="G112" s="2282"/>
      <c r="H112" s="1248"/>
      <c r="L112" s="1232"/>
      <c r="M112" s="1240"/>
    </row>
    <row r="113" spans="1:26" ht="12.75" customHeight="1" outlineLevel="1" x14ac:dyDescent="0.2">
      <c r="D113" s="1249" t="str">
        <f>Translation!$B$83</f>
        <v>dem Geschäft nach VVG zugeordnet</v>
      </c>
      <c r="E113" s="1250"/>
      <c r="F113" s="1251">
        <f>SUM(G113-E113)</f>
        <v>0</v>
      </c>
      <c r="G113" s="1250"/>
      <c r="H113" s="1248"/>
      <c r="L113" s="1232"/>
      <c r="M113" s="1240"/>
    </row>
    <row r="114" spans="1:26" ht="12.75" customHeight="1" outlineLevel="1" x14ac:dyDescent="0.2">
      <c r="D114" s="1249" t="str">
        <f>Translation!$B$84</f>
        <v>dem Geschäft nach UVG zugeordnet</v>
      </c>
      <c r="E114" s="1250"/>
      <c r="F114" s="1251">
        <f>SUM(G114-E114)</f>
        <v>0</v>
      </c>
      <c r="G114" s="1250"/>
      <c r="H114" s="1248"/>
      <c r="L114" s="1232"/>
      <c r="M114" s="1240"/>
    </row>
    <row r="115" spans="1:26" x14ac:dyDescent="0.2">
      <c r="D115" s="657"/>
      <c r="E115" s="1235"/>
      <c r="F115" s="1235"/>
      <c r="G115" s="1235"/>
      <c r="H115" s="1233"/>
      <c r="K115" s="1240"/>
      <c r="M115" s="1240"/>
      <c r="V115" s="155"/>
      <c r="W115" s="155"/>
      <c r="X115" s="155"/>
      <c r="Y115" s="155"/>
      <c r="Z115" s="155"/>
    </row>
    <row r="116" spans="1:26" s="488" customFormat="1" ht="15" customHeight="1" thickBot="1" x14ac:dyDescent="0.25">
      <c r="A116" s="1241"/>
      <c r="B116" s="1241"/>
      <c r="C116" s="2417" t="str">
        <f>Translation!B100</f>
        <v>Rückstellungen für Risiken in den Kapitalanlagen</v>
      </c>
      <c r="D116" s="2418"/>
      <c r="E116" s="489">
        <f>SUM(E117:E119)</f>
        <v>0</v>
      </c>
      <c r="F116" s="489">
        <f>SUM(F117:F119)</f>
        <v>0</v>
      </c>
      <c r="G116" s="489">
        <f>SUM(G117:G119)</f>
        <v>0</v>
      </c>
      <c r="H116" s="1161"/>
      <c r="I116" s="1162"/>
      <c r="J116" s="1242"/>
      <c r="K116" s="1240">
        <f>IF($G$69=0,0,G116/$G$69)</f>
        <v>0</v>
      </c>
      <c r="L116" s="1240"/>
      <c r="M116" s="1240">
        <f>IF(Vorhandene_Reserven!$E$17=0,0,G116/Vorhandene_Reserven!$E$17)</f>
        <v>0</v>
      </c>
      <c r="N116" s="1163"/>
      <c r="O116" s="1162"/>
      <c r="P116" s="1163"/>
      <c r="Q116" s="1164"/>
      <c r="R116" s="1165"/>
      <c r="S116" s="1164"/>
      <c r="T116" s="490"/>
    </row>
    <row r="117" spans="1:26" ht="12.75" customHeight="1" outlineLevel="1" thickTop="1" x14ac:dyDescent="0.2">
      <c r="C117" s="1243"/>
      <c r="D117" s="1244" t="str">
        <f>Translation!$B$82</f>
        <v>dem Geschäft nach KVG zugeordnet</v>
      </c>
      <c r="E117" s="1245"/>
      <c r="F117" s="1246">
        <f>SUM(G117-E117)</f>
        <v>0</v>
      </c>
      <c r="G117" s="1247"/>
      <c r="H117" s="1248"/>
      <c r="L117" s="1232"/>
      <c r="M117" s="1240"/>
    </row>
    <row r="118" spans="1:26" ht="12.75" customHeight="1" outlineLevel="1" x14ac:dyDescent="0.2">
      <c r="D118" s="1249" t="str">
        <f>Translation!$B$83</f>
        <v>dem Geschäft nach VVG zugeordnet</v>
      </c>
      <c r="E118" s="1250"/>
      <c r="F118" s="1251">
        <f>SUM(G118-E118)</f>
        <v>0</v>
      </c>
      <c r="G118" s="1250"/>
      <c r="H118" s="1248"/>
      <c r="L118" s="1232"/>
      <c r="M118" s="1240"/>
    </row>
    <row r="119" spans="1:26" ht="12.75" customHeight="1" outlineLevel="1" x14ac:dyDescent="0.2">
      <c r="D119" s="1249" t="str">
        <f>Translation!$B$84</f>
        <v>dem Geschäft nach UVG zugeordnet</v>
      </c>
      <c r="E119" s="1250"/>
      <c r="F119" s="1251">
        <f>SUM(G119-E119)</f>
        <v>0</v>
      </c>
      <c r="G119" s="1250"/>
      <c r="H119" s="1248"/>
      <c r="L119" s="1232"/>
      <c r="M119" s="1240"/>
    </row>
    <row r="120" spans="1:26" x14ac:dyDescent="0.2">
      <c r="D120" s="657"/>
      <c r="E120" s="1235"/>
      <c r="F120" s="1235"/>
      <c r="G120" s="1235"/>
      <c r="H120" s="1233"/>
      <c r="K120" s="1240"/>
      <c r="M120" s="1240"/>
      <c r="V120" s="155"/>
      <c r="W120" s="155"/>
      <c r="X120" s="155"/>
      <c r="Y120" s="155"/>
      <c r="Z120" s="155"/>
    </row>
    <row r="121" spans="1:26" s="488" customFormat="1" ht="15" customHeight="1" thickBot="1" x14ac:dyDescent="0.25">
      <c r="A121" s="1241"/>
      <c r="B121" s="1241"/>
      <c r="C121" s="2417" t="str">
        <f>Translation!B101</f>
        <v>Übrige Verbindlichkeiten (inkl. Rechnungsabgrenzungen)</v>
      </c>
      <c r="D121" s="2418"/>
      <c r="E121" s="489">
        <f>SUM(E122:E124)</f>
        <v>0</v>
      </c>
      <c r="F121" s="489">
        <f>SUM(F122:F124)</f>
        <v>0</v>
      </c>
      <c r="G121" s="489">
        <f>SUM(G122:G124)</f>
        <v>0</v>
      </c>
      <c r="H121" s="1161"/>
      <c r="I121" s="1162"/>
      <c r="J121" s="1242"/>
      <c r="K121" s="1240">
        <f>IF($G$69=0,0,G121/$G$69)</f>
        <v>0</v>
      </c>
      <c r="L121" s="1240"/>
      <c r="M121" s="1240">
        <f>IF(Vorhandene_Reserven!$E$17=0,0,G121/Vorhandene_Reserven!$E$17)</f>
        <v>0</v>
      </c>
      <c r="N121" s="1163"/>
      <c r="O121" s="1162"/>
      <c r="P121" s="1163"/>
      <c r="Q121" s="1164"/>
      <c r="R121" s="1165"/>
      <c r="S121" s="1164"/>
      <c r="T121" s="490"/>
    </row>
    <row r="122" spans="1:26" ht="12.75" customHeight="1" outlineLevel="1" thickTop="1" x14ac:dyDescent="0.2">
      <c r="C122" s="1243"/>
      <c r="D122" s="1244" t="str">
        <f>Translation!$B$82</f>
        <v>dem Geschäft nach KVG zugeordnet</v>
      </c>
      <c r="E122" s="2281"/>
      <c r="F122" s="1246">
        <f>SUM(G122-E122)</f>
        <v>0</v>
      </c>
      <c r="G122" s="2282"/>
      <c r="H122" s="1248"/>
      <c r="L122" s="1232"/>
      <c r="M122" s="1240"/>
    </row>
    <row r="123" spans="1:26" ht="12.75" customHeight="1" outlineLevel="1" x14ac:dyDescent="0.2">
      <c r="D123" s="1249" t="str">
        <f>Translation!$B$83</f>
        <v>dem Geschäft nach VVG zugeordnet</v>
      </c>
      <c r="E123" s="1250"/>
      <c r="F123" s="1251">
        <f>SUM(G123-E123)</f>
        <v>0</v>
      </c>
      <c r="G123" s="1250"/>
      <c r="H123" s="1248"/>
      <c r="L123" s="1232"/>
      <c r="M123" s="1240"/>
    </row>
    <row r="124" spans="1:26" ht="12.75" customHeight="1" outlineLevel="1" x14ac:dyDescent="0.2">
      <c r="D124" s="1249" t="str">
        <f>Translation!$B$84</f>
        <v>dem Geschäft nach UVG zugeordnet</v>
      </c>
      <c r="E124" s="1250"/>
      <c r="F124" s="1251">
        <f>SUM(G124-E124)</f>
        <v>0</v>
      </c>
      <c r="G124" s="1250"/>
      <c r="H124" s="1248"/>
      <c r="L124" s="1232"/>
      <c r="M124" s="1240"/>
    </row>
    <row r="125" spans="1:26" x14ac:dyDescent="0.2">
      <c r="D125" s="657"/>
      <c r="E125" s="1235"/>
      <c r="F125" s="1235"/>
      <c r="G125" s="1235"/>
      <c r="H125" s="1233"/>
      <c r="K125" s="1240"/>
      <c r="M125" s="1240"/>
      <c r="V125" s="155"/>
      <c r="W125" s="155"/>
      <c r="X125" s="155"/>
      <c r="Y125" s="155"/>
      <c r="Z125" s="155"/>
    </row>
    <row r="126" spans="1:26" ht="13.5" thickBot="1" x14ac:dyDescent="0.25">
      <c r="A126" s="1241"/>
      <c r="B126" s="1241"/>
      <c r="C126" s="2417" t="str">
        <f>Translation!B102</f>
        <v>Total übrige Passiven</v>
      </c>
      <c r="D126" s="2418"/>
      <c r="E126" s="492">
        <f>SUM(E111,E116,E121)</f>
        <v>0</v>
      </c>
      <c r="F126" s="492">
        <f>SUM(F111,F116,F121)</f>
        <v>0</v>
      </c>
      <c r="G126" s="492">
        <f>SUM(G111,G116,G121)</f>
        <v>0</v>
      </c>
      <c r="H126" s="1167"/>
      <c r="K126" s="1240">
        <f>IF($G$69=0,0,G126/$G$69)</f>
        <v>0</v>
      </c>
      <c r="L126" s="1232"/>
      <c r="M126" s="1240">
        <f>IF(Vorhandene_Reserven!$E$17=0,0,G126/Vorhandene_Reserven!$E$17)</f>
        <v>0</v>
      </c>
    </row>
    <row r="127" spans="1:26" ht="13.5" thickTop="1" x14ac:dyDescent="0.2">
      <c r="K127" s="1240"/>
      <c r="M127" s="1240"/>
    </row>
    <row r="128" spans="1:26" ht="21" thickBot="1" x14ac:dyDescent="0.35">
      <c r="B128" s="494" t="str">
        <f>Translation!B103</f>
        <v>Total Fremdkapital</v>
      </c>
      <c r="C128" s="1253"/>
      <c r="D128" s="651"/>
      <c r="E128" s="160">
        <f>SUM(E106,E126)</f>
        <v>0</v>
      </c>
      <c r="F128" s="160">
        <f>SUM(F106,F126)</f>
        <v>0</v>
      </c>
      <c r="G128" s="160">
        <f>SUM(G106,G126)</f>
        <v>0</v>
      </c>
      <c r="I128" s="1232"/>
      <c r="K128" s="1240">
        <f>IF($G$69=0,0,G128/$G$69)</f>
        <v>0</v>
      </c>
      <c r="M128" s="1240">
        <f>IF(Vorhandene_Reserven!$E$17=0,0,G128/Vorhandene_Reserven!$E$17)</f>
        <v>0</v>
      </c>
    </row>
    <row r="129" spans="1:20" s="488" customFormat="1" ht="30" customHeight="1" thickTop="1" x14ac:dyDescent="0.2">
      <c r="A129" s="657"/>
      <c r="B129" s="657"/>
      <c r="C129" s="657"/>
      <c r="D129" s="657"/>
      <c r="E129" s="1258"/>
      <c r="F129" s="1258"/>
      <c r="G129" s="1258"/>
      <c r="H129" s="1161"/>
      <c r="I129" s="1263"/>
      <c r="J129" s="1255"/>
      <c r="K129" s="1240"/>
      <c r="L129" s="1240"/>
      <c r="M129" s="1240"/>
      <c r="N129" s="1165"/>
      <c r="O129" s="1164"/>
      <c r="P129" s="1165"/>
      <c r="Q129" s="1164"/>
      <c r="R129" s="1165"/>
      <c r="S129" s="1164"/>
      <c r="T129" s="490"/>
    </row>
    <row r="130" spans="1:20" ht="21" thickBot="1" x14ac:dyDescent="0.35">
      <c r="B130" s="494" t="str">
        <f>Translation!B104</f>
        <v>Differenz zwischen Aktiven und Fremdkapital</v>
      </c>
      <c r="C130" s="1253"/>
      <c r="D130" s="651"/>
      <c r="E130" s="160">
        <f>E69-E128</f>
        <v>0</v>
      </c>
      <c r="F130" s="160">
        <f>F69-F128</f>
        <v>0</v>
      </c>
      <c r="G130" s="160">
        <f>G69-G128</f>
        <v>0</v>
      </c>
      <c r="I130" s="1232"/>
      <c r="K130" s="1240">
        <f>IF($G$69=0,0,G130/$G$69)</f>
        <v>0</v>
      </c>
      <c r="M130" s="1240">
        <f>IF(Vorhandene_Reserven!$E$17=0,0,G130/Vorhandene_Reserven!$E$17)</f>
        <v>0</v>
      </c>
    </row>
    <row r="131" spans="1:20" ht="13.5" thickTop="1" x14ac:dyDescent="0.2"/>
    <row r="136" spans="1:20" ht="21" thickBot="1" x14ac:dyDescent="0.35">
      <c r="B136" s="494" t="str">
        <f>Translation!B105</f>
        <v>Aufteilung des Eigenkapitals</v>
      </c>
      <c r="C136" s="1253"/>
      <c r="D136" s="651"/>
      <c r="E136" s="492">
        <f>SUM(E137:E139)</f>
        <v>0</v>
      </c>
      <c r="F136" s="492">
        <f>SUM(F137:F139)</f>
        <v>0</v>
      </c>
      <c r="G136" s="492">
        <f>SUM(G137:G139)</f>
        <v>0</v>
      </c>
      <c r="K136" s="1240"/>
      <c r="L136" s="1232"/>
      <c r="M136" s="1240">
        <f>IF(Vorhandene_Reserven!$E$17=0,0,G136/Vorhandene_Reserven!$E$17)</f>
        <v>0</v>
      </c>
    </row>
    <row r="137" spans="1:20" ht="13.5" thickTop="1" x14ac:dyDescent="0.2">
      <c r="C137" s="1243"/>
      <c r="D137" s="1244" t="str">
        <f>Translation!$B$82</f>
        <v>dem Geschäft nach KVG zugeordnet</v>
      </c>
      <c r="E137" s="1264">
        <f>SUM(E14,E19,E24,E29,E34,E39,E44,E49,E58,E63)-SUM(E75:E78,E83:E86,E91:E94,E99:E102,E112,E117,E122)</f>
        <v>0</v>
      </c>
      <c r="F137" s="1264">
        <f>SUM(F14,F19,F24,F29,F34,F39,F44,F49,F58,F63)-SUM(F75:F78,F83:F86,F91:F94,F99:F102,F112,F117,F122)</f>
        <v>0</v>
      </c>
      <c r="G137" s="1264">
        <f>SUM(G14,G19,G24,G29,G34,G39,G44,G49,G58,G63)-SUM(G75:G78,G83:G86,G91:G94,G99:G102,G112,G117,G122)</f>
        <v>0</v>
      </c>
      <c r="K137" s="1240"/>
      <c r="L137" s="1232"/>
      <c r="M137" s="1240">
        <f>IF(Vorhandene_Reserven!$E$17=0,0,G137/Vorhandene_Reserven!$E$17)</f>
        <v>0</v>
      </c>
    </row>
    <row r="138" spans="1:20" x14ac:dyDescent="0.2">
      <c r="D138" s="1249" t="str">
        <f>Translation!$B$83</f>
        <v>dem Geschäft nach VVG zugeordnet</v>
      </c>
      <c r="E138" s="1265">
        <f t="shared" ref="E138:G139" si="4">SUM(E15,E20,E25,E30,E35,E40,E45,E50,E59,E64)-SUM(E79,E87,E95,E103,E113,E118,E123)</f>
        <v>0</v>
      </c>
      <c r="F138" s="1265">
        <f t="shared" si="4"/>
        <v>0</v>
      </c>
      <c r="G138" s="1265">
        <f t="shared" si="4"/>
        <v>0</v>
      </c>
      <c r="K138" s="1240"/>
      <c r="L138" s="1232"/>
      <c r="M138" s="1240">
        <f>IF(Vorhandene_Reserven!$E$17=0,0,G138/Vorhandene_Reserven!$E$17)</f>
        <v>0</v>
      </c>
    </row>
    <row r="139" spans="1:20" x14ac:dyDescent="0.2">
      <c r="D139" s="1249" t="str">
        <f>Translation!$B$84</f>
        <v>dem Geschäft nach UVG zugeordnet</v>
      </c>
      <c r="E139" s="1265">
        <f t="shared" si="4"/>
        <v>0</v>
      </c>
      <c r="F139" s="1265">
        <f t="shared" si="4"/>
        <v>0</v>
      </c>
      <c r="G139" s="1265">
        <f t="shared" si="4"/>
        <v>0</v>
      </c>
      <c r="K139" s="1240"/>
      <c r="L139" s="1232"/>
      <c r="M139" s="1240">
        <f>IF(Vorhandene_Reserven!$E$17=0,0,G139/Vorhandene_Reserven!$E$17)</f>
        <v>0</v>
      </c>
    </row>
  </sheetData>
  <sheetProtection sheet="1"/>
  <customSheetViews>
    <customSheetView guid="{F15DEFD8-B0F4-4CC3-8896-92BF7E7815B1}" scale="75" showPageBreaks="1" showGridLines="0" fitToPage="1" printArea="1">
      <pane ySplit="9" topLeftCell="A10" activePane="bottomLeft" state="frozen"/>
      <selection pane="bottomLeft" activeCell="F4" sqref="F4:F6"/>
      <rowBreaks count="3" manualBreakCount="3">
        <brk id="25" max="20" man="1"/>
        <brk id="68" max="20" man="1"/>
        <brk id="96" max="20" man="1"/>
      </rowBreaks>
      <colBreaks count="1" manualBreakCount="1">
        <brk id="21" max="1048575" man="1"/>
      </colBreaks>
      <pageMargins left="0.47244094488188981" right="0.47244094488188981" top="0.35433070866141736" bottom="0.35433070866141736" header="0.19685039370078741" footer="0.19685039370078741"/>
      <printOptions headings="1"/>
      <pageSetup paperSize="9" scale="37" fitToHeight="2" orientation="portrait" r:id="rId1"/>
      <headerFooter alignWithMargins="0">
        <oddHeader>&amp;R&amp;"Arial,Fett"&amp;12SST</oddHeader>
        <oddFooter>&amp;L&amp;F / &amp;A&amp;C&amp;P / &amp;N&amp;R&amp;D</oddFooter>
      </headerFooter>
    </customSheetView>
  </customSheetViews>
  <mergeCells count="31">
    <mergeCell ref="C116:D116"/>
    <mergeCell ref="C121:D121"/>
    <mergeCell ref="C38:D38"/>
    <mergeCell ref="C43:D43"/>
    <mergeCell ref="C126:D126"/>
    <mergeCell ref="C53:D53"/>
    <mergeCell ref="C57:D57"/>
    <mergeCell ref="C48:D48"/>
    <mergeCell ref="C62:D62"/>
    <mergeCell ref="C67:D67"/>
    <mergeCell ref="C74:D74"/>
    <mergeCell ref="C82:D82"/>
    <mergeCell ref="C90:D90"/>
    <mergeCell ref="C98:D98"/>
    <mergeCell ref="C111:D111"/>
    <mergeCell ref="C106:D106"/>
    <mergeCell ref="M4:M6"/>
    <mergeCell ref="K4:K6"/>
    <mergeCell ref="G4:G6"/>
    <mergeCell ref="I4:J7"/>
    <mergeCell ref="F4:F6"/>
    <mergeCell ref="C28:D28"/>
    <mergeCell ref="C33:D33"/>
    <mergeCell ref="E4:E6"/>
    <mergeCell ref="C4:D4"/>
    <mergeCell ref="C5:D5"/>
    <mergeCell ref="C6:D6"/>
    <mergeCell ref="C7:D7"/>
    <mergeCell ref="C13:D13"/>
    <mergeCell ref="C18:D18"/>
    <mergeCell ref="C23:D23"/>
  </mergeCells>
  <phoneticPr fontId="0" type="noConversion"/>
  <hyperlinks>
    <hyperlink ref="A1" location="list_of_sheets!A1" display="list_of_sheets!A1" xr:uid="{00000000-0004-0000-0600-000000000000}"/>
  </hyperlinks>
  <pageMargins left="0.47244094488188981" right="0.47244094488188981" top="0.39370078740157483" bottom="0.35433070866141736" header="0.19685039370078741" footer="0.19685039370078741"/>
  <pageSetup paperSize="9" scale="37" fitToHeight="2" orientation="portrait" r:id="rId2"/>
  <headerFooter alignWithMargins="0">
    <oddHeader>&amp;R&amp;"Arial,Fett"&amp;12KVG-Solvenztest
Test de solvabilité LAMal</oddHeader>
    <oddFooter>&amp;L&amp;F / &amp;A&amp;C&amp;P / &amp;N&amp;R&amp;D</oddFooter>
  </headerFooter>
  <rowBreaks count="3" manualBreakCount="3">
    <brk id="25" max="20" man="1"/>
    <brk id="68" max="20" man="1"/>
    <brk id="96" max="20"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indexed="10"/>
    <pageSetUpPr fitToPage="1"/>
  </sheetPr>
  <dimension ref="A1:H41"/>
  <sheetViews>
    <sheetView workbookViewId="0"/>
  </sheetViews>
  <sheetFormatPr baseColWidth="10" defaultColWidth="11.42578125" defaultRowHeight="12.75" outlineLevelRow="1" x14ac:dyDescent="0.2"/>
  <cols>
    <col min="1" max="1" width="5.5703125" style="140" customWidth="1"/>
    <col min="2" max="2" width="19.42578125" style="140" customWidth="1"/>
    <col min="3" max="3" width="30.5703125" style="140" customWidth="1"/>
    <col min="4" max="4" width="76" style="148" customWidth="1"/>
    <col min="5" max="5" width="21.42578125" style="148" customWidth="1"/>
    <col min="6" max="7" width="16" style="148" customWidth="1"/>
    <col min="8" max="8" width="13.5703125" style="148" customWidth="1"/>
    <col min="9" max="11" width="13.5703125" style="140" customWidth="1"/>
    <col min="12" max="16384" width="11.42578125" style="140"/>
  </cols>
  <sheetData>
    <row r="1" spans="1:8" ht="21" thickBot="1" x14ac:dyDescent="0.25">
      <c r="A1" s="2194">
        <v>8</v>
      </c>
      <c r="B1" s="1015" t="str">
        <f>Translation!B106</f>
        <v xml:space="preserve">Berechnung der vorhandenen Reserven </v>
      </c>
      <c r="C1" s="1016"/>
      <c r="D1" s="1017"/>
      <c r="E1" s="1017"/>
    </row>
    <row r="2" spans="1:8" x14ac:dyDescent="0.2">
      <c r="B2" s="178" t="str">
        <f>Inputparam!C8</f>
        <v xml:space="preserve">0000 </v>
      </c>
    </row>
    <row r="3" spans="1:8" x14ac:dyDescent="0.2">
      <c r="D3" s="497" t="str">
        <f>Translation!B107</f>
        <v>Totale Kontengruppen/Zusammenfassungen (geschützt)</v>
      </c>
    </row>
    <row r="4" spans="1:8" x14ac:dyDescent="0.2">
      <c r="D4" s="498" t="str">
        <f>Translation!B108</f>
        <v>Totale Klassen (geschützt)</v>
      </c>
    </row>
    <row r="5" spans="1:8" x14ac:dyDescent="0.2">
      <c r="D5" s="251" t="str">
        <f>Translation!B109</f>
        <v>Input</v>
      </c>
    </row>
    <row r="6" spans="1:8" x14ac:dyDescent="0.2">
      <c r="D6" s="499" t="str">
        <f>Translation!B110</f>
        <v>Gerechnet (geschützt)</v>
      </c>
      <c r="E6" s="645"/>
    </row>
    <row r="7" spans="1:8" x14ac:dyDescent="0.2">
      <c r="E7" s="150" t="str">
        <f>Translation!B111</f>
        <v>Betrag</v>
      </c>
    </row>
    <row r="8" spans="1:8" ht="18.75" thickBot="1" x14ac:dyDescent="0.25">
      <c r="B8" s="459" t="str">
        <f>Translation!B112</f>
        <v>Differenz zwischen Aktiven und Fremdkapital</v>
      </c>
      <c r="C8" s="460"/>
      <c r="D8" s="461"/>
      <c r="E8" s="442">
        <f>SUM(Marktnahe_Bilanz!G130)</f>
        <v>0</v>
      </c>
    </row>
    <row r="9" spans="1:8" ht="13.5" thickTop="1" x14ac:dyDescent="0.2"/>
    <row r="10" spans="1:8" ht="13.5" hidden="1" thickBot="1" x14ac:dyDescent="0.25">
      <c r="C10" s="462" t="str">
        <f>Translation!B113</f>
        <v>Abzüge</v>
      </c>
      <c r="D10" s="457"/>
      <c r="E10" s="444">
        <f>SUM(E11:E15)</f>
        <v>0</v>
      </c>
    </row>
    <row r="11" spans="1:8" ht="13.5" hidden="1" outlineLevel="1" thickTop="1" x14ac:dyDescent="0.2">
      <c r="D11" s="463" t="str">
        <f>Translation!B114</f>
        <v>Bilanzwert eigene Aktien (-)</v>
      </c>
      <c r="E11" s="473">
        <f>Gliederung_VorRes_Stat_Marktnah!E69</f>
        <v>0</v>
      </c>
    </row>
    <row r="12" spans="1:8" hidden="1" outlineLevel="1" x14ac:dyDescent="0.2">
      <c r="D12" s="463" t="str">
        <f>Translation!B115</f>
        <v>Bilanzwert immaterielle Aktiven (-)</v>
      </c>
      <c r="E12" s="473">
        <f>Gliederung_VorRes_Stat_Marktnah!E70</f>
        <v>0</v>
      </c>
    </row>
    <row r="13" spans="1:8" ht="25.5" hidden="1" outlineLevel="1" x14ac:dyDescent="0.2">
      <c r="D13" s="463" t="str">
        <f>Translation!B116</f>
        <v>Grundstückgewinn-/Handänderungssteuern auf Bewertungsreserven Grundstücke und Bauten (-)</v>
      </c>
      <c r="E13" s="473">
        <f>Gliederung_VorRes_Stat_Marktnah!E71</f>
        <v>0</v>
      </c>
    </row>
    <row r="14" spans="1:8" hidden="1" outlineLevel="1" x14ac:dyDescent="0.2">
      <c r="A14" s="164"/>
      <c r="B14" s="164"/>
      <c r="C14" s="164"/>
      <c r="D14" s="463" t="str">
        <f>Translation!B117</f>
        <v>vorgesehene Dividenden und Kapitalrückzahlungen (-)</v>
      </c>
      <c r="E14" s="473">
        <f>Gliederung_VorRes_Stat_Marktnah!E72</f>
        <v>0</v>
      </c>
    </row>
    <row r="15" spans="1:8" ht="12.75" hidden="1" customHeight="1" outlineLevel="1" x14ac:dyDescent="0.2">
      <c r="A15" s="164"/>
      <c r="B15" s="164"/>
      <c r="C15" s="164"/>
      <c r="D15" s="484" t="str">
        <f>Translation!B118</f>
        <v>sonstige Abzüge (z.B. nicht anrechenbare konzerninterne Darlehen) (-)</v>
      </c>
      <c r="E15" s="473">
        <f>Gliederung_VorRes_Stat_Marktnah!E73</f>
        <v>0</v>
      </c>
    </row>
    <row r="16" spans="1:8" s="164" customFormat="1" ht="12.75" hidden="1" customHeight="1" x14ac:dyDescent="0.2">
      <c r="D16" s="457"/>
      <c r="E16" s="642"/>
      <c r="F16" s="148"/>
      <c r="G16" s="148"/>
      <c r="H16" s="148"/>
    </row>
    <row r="17" spans="1:8" s="164" customFormat="1" ht="18.75" thickBot="1" x14ac:dyDescent="0.25">
      <c r="A17" s="140"/>
      <c r="B17" s="459" t="str">
        <f>Translation!B119</f>
        <v>Kernkapital</v>
      </c>
      <c r="C17" s="460"/>
      <c r="D17" s="461"/>
      <c r="E17" s="442">
        <f>SUM(E8)</f>
        <v>0</v>
      </c>
      <c r="F17" s="148"/>
      <c r="G17" s="148"/>
      <c r="H17" s="148"/>
    </row>
    <row r="18" spans="1:8" s="164" customFormat="1" ht="13.5" thickTop="1" x14ac:dyDescent="0.2">
      <c r="D18" s="156"/>
      <c r="E18" s="154"/>
      <c r="F18" s="148"/>
      <c r="G18" s="148"/>
      <c r="H18" s="148"/>
    </row>
    <row r="19" spans="1:8" s="164" customFormat="1" ht="13.5" hidden="1" thickBot="1" x14ac:dyDescent="0.25">
      <c r="C19" s="462" t="str">
        <f>Translation!B120</f>
        <v>Ergänzendes Kapital</v>
      </c>
      <c r="D19" s="463"/>
      <c r="E19" s="444">
        <f>SUM(E21+E26)</f>
        <v>0</v>
      </c>
      <c r="F19" s="148"/>
      <c r="G19" s="148"/>
      <c r="H19" s="148"/>
    </row>
    <row r="20" spans="1:8" s="164" customFormat="1" ht="13.5" hidden="1" thickTop="1" x14ac:dyDescent="0.2">
      <c r="A20" s="140"/>
      <c r="B20" s="140"/>
      <c r="C20" s="140"/>
      <c r="D20" s="156"/>
      <c r="E20" s="154"/>
      <c r="F20" s="148"/>
      <c r="G20" s="148"/>
      <c r="H20" s="148"/>
    </row>
    <row r="21" spans="1:8" ht="13.5" hidden="1" thickBot="1" x14ac:dyDescent="0.25">
      <c r="D21" s="462" t="str">
        <f>Translation!B121</f>
        <v>Oberes ergänzendes Kapital</v>
      </c>
      <c r="E21" s="445">
        <f>SUM(E22:E24)</f>
        <v>0</v>
      </c>
    </row>
    <row r="22" spans="1:8" ht="13.5" hidden="1" outlineLevel="1" thickTop="1" x14ac:dyDescent="0.2">
      <c r="D22" s="463" t="str">
        <f>Translation!B122</f>
        <v>Nachrangige Darlehen ohne Befristung</v>
      </c>
      <c r="E22" s="473">
        <f>Gliederung_VorRes_Stat_Marktnah!E78</f>
        <v>0</v>
      </c>
    </row>
    <row r="23" spans="1:8" hidden="1" outlineLevel="1" x14ac:dyDescent="0.2">
      <c r="D23" s="463" t="str">
        <f>Translation!B123</f>
        <v>Nachrangige Anleihen ohne Befristung</v>
      </c>
      <c r="E23" s="473">
        <f>Gliederung_VorRes_Stat_Marktnah!E79</f>
        <v>0</v>
      </c>
    </row>
    <row r="24" spans="1:8" hidden="1" outlineLevel="1" x14ac:dyDescent="0.2">
      <c r="D24" s="463" t="str">
        <f>Translation!B124</f>
        <v>Sonstige hybride Instrumente ohne Befristung</v>
      </c>
      <c r="E24" s="473">
        <f>Gliederung_VorRes_Stat_Marktnah!E80</f>
        <v>0</v>
      </c>
    </row>
    <row r="25" spans="1:8" hidden="1" x14ac:dyDescent="0.2">
      <c r="D25" s="463"/>
      <c r="E25" s="154"/>
    </row>
    <row r="26" spans="1:8" ht="13.5" hidden="1" thickBot="1" x14ac:dyDescent="0.25">
      <c r="D26" s="456" t="str">
        <f>Translation!B125</f>
        <v>Unteres ergänzendes Kapital</v>
      </c>
      <c r="E26" s="445">
        <f>SUM(E27:E29)</f>
        <v>0</v>
      </c>
    </row>
    <row r="27" spans="1:8" ht="13.5" hidden="1" outlineLevel="1" thickTop="1" x14ac:dyDescent="0.2">
      <c r="D27" s="463" t="str">
        <f>Translation!B126</f>
        <v>Nachrangige Darlehen mit Befristung</v>
      </c>
      <c r="E27" s="473">
        <f>Gliederung_VorRes_Stat_Marktnah!E83</f>
        <v>0</v>
      </c>
    </row>
    <row r="28" spans="1:8" hidden="1" outlineLevel="1" x14ac:dyDescent="0.2">
      <c r="D28" s="463" t="str">
        <f>Translation!B127</f>
        <v>Nachrangige Anleihen mit Befristung</v>
      </c>
      <c r="E28" s="473">
        <f>Gliederung_VorRes_Stat_Marktnah!E84</f>
        <v>0</v>
      </c>
    </row>
    <row r="29" spans="1:8" hidden="1" outlineLevel="1" x14ac:dyDescent="0.2">
      <c r="D29" s="463" t="str">
        <f>Translation!B128</f>
        <v>Sonstige hybride Instrumente mit Befristung</v>
      </c>
      <c r="E29" s="473">
        <f>Gliederung_VorRes_Stat_Marktnah!E85</f>
        <v>0</v>
      </c>
    </row>
    <row r="30" spans="1:8" hidden="1" x14ac:dyDescent="0.2"/>
    <row r="31" spans="1:8" ht="13.5" hidden="1" thickBot="1" x14ac:dyDescent="0.25">
      <c r="C31" s="954" t="str">
        <f>Translation!B129</f>
        <v>Zusätzliches Kernkapital (keine Differenzgrösse)</v>
      </c>
      <c r="D31" s="457"/>
      <c r="E31" s="446">
        <f>SUM(E32)</f>
        <v>0</v>
      </c>
    </row>
    <row r="32" spans="1:8" ht="13.5" hidden="1" outlineLevel="1" thickTop="1" x14ac:dyDescent="0.2">
      <c r="C32" s="458"/>
      <c r="D32" s="463" t="str">
        <f>Translation!B130</f>
        <v>Fremdkapital, das nur in Eigenkapital konvertiert werden kann (Mandatory Convertible)</v>
      </c>
      <c r="E32" s="473">
        <f>Gliederung_VorRes_Stat_Marktnah!E88</f>
        <v>0</v>
      </c>
    </row>
    <row r="33" spans="2:8" hidden="1" x14ac:dyDescent="0.2"/>
    <row r="34" spans="2:8" ht="18.75" thickBot="1" x14ac:dyDescent="0.25">
      <c r="B34" s="459" t="str">
        <f>Translation!B131</f>
        <v>Vorhandene Reserven</v>
      </c>
      <c r="C34" s="460"/>
      <c r="D34" s="461"/>
      <c r="E34" s="443">
        <f>SUM(E17)</f>
        <v>0</v>
      </c>
    </row>
    <row r="35" spans="2:8" ht="13.5" thickTop="1" x14ac:dyDescent="0.2"/>
    <row r="36" spans="2:8" s="164" customFormat="1" ht="13.5" thickBot="1" x14ac:dyDescent="0.25">
      <c r="C36" s="462" t="str">
        <f>Translation!B132</f>
        <v>davon KVG-fremde Anteile</v>
      </c>
      <c r="D36" s="463"/>
      <c r="E36" s="444">
        <f>SUM(E37:E38)</f>
        <v>0</v>
      </c>
      <c r="F36" s="148"/>
      <c r="G36" s="148"/>
      <c r="H36" s="148"/>
    </row>
    <row r="37" spans="2:8" ht="13.5" outlineLevel="1" thickTop="1" x14ac:dyDescent="0.2">
      <c r="D37" s="651" t="str">
        <f>Translation!B133</f>
        <v>dem Geschäft nach VVG zugeordnet</v>
      </c>
      <c r="E37" s="473">
        <f>-Marktnahe_Bilanz!G138</f>
        <v>0</v>
      </c>
    </row>
    <row r="38" spans="2:8" outlineLevel="1" x14ac:dyDescent="0.2">
      <c r="D38" s="651" t="str">
        <f>Translation!B134</f>
        <v>dem Geschäft nach UVG zugeordnet</v>
      </c>
      <c r="E38" s="473">
        <f>-Marktnahe_Bilanz!G139</f>
        <v>0</v>
      </c>
    </row>
    <row r="40" spans="2:8" ht="18.75" thickBot="1" x14ac:dyDescent="0.25">
      <c r="B40" s="459" t="str">
        <f>Translation!B135</f>
        <v>Vorhandene Reserven nach KVG und UVG ohne VVG</v>
      </c>
      <c r="C40" s="460"/>
      <c r="D40" s="461"/>
      <c r="E40" s="443">
        <f>SUM(E34,E37)</f>
        <v>0</v>
      </c>
    </row>
    <row r="41" spans="2:8" ht="13.5" thickTop="1" x14ac:dyDescent="0.2"/>
  </sheetData>
  <sheetProtection sheet="1" objects="1" scenarios="1"/>
  <customSheetViews>
    <customSheetView guid="{F15DEFD8-B0F4-4CC3-8896-92BF7E7815B1}" scale="75" showPageBreaks="1" showGridLines="0" fitToPage="1" printArea="1">
      <selection activeCell="D45" sqref="D45"/>
      <pageMargins left="0.47244094488188981" right="0.47244094488188981" top="0.59055118110236227" bottom="0.59055118110236227" header="0.35433070866141736" footer="0.35433070866141736"/>
      <pageSetup paperSize="9" scale="67" fitToHeight="2" orientation="landscape" r:id="rId1"/>
      <headerFooter alignWithMargins="0">
        <oddHeader>&amp;R&amp;"Arial,Fett"&amp;12SST</oddHeader>
        <oddFooter>&amp;L&amp;F / &amp;A&amp;C&amp;P / &amp;N&amp;R&amp;D</oddFooter>
      </headerFooter>
    </customSheetView>
  </customSheetViews>
  <phoneticPr fontId="0" type="noConversion"/>
  <hyperlinks>
    <hyperlink ref="A1" location="list_of_sheets!A1" display="list_of_sheets!A1" xr:uid="{00000000-0004-0000-0700-000000000000}"/>
  </hyperlinks>
  <pageMargins left="0.47244094488188981" right="0.47244094488188981" top="0.73" bottom="0.59055118110236227" header="0.35433070866141736" footer="0.35433070866141736"/>
  <pageSetup paperSize="9" scale="72" fitToHeight="2" orientation="landscape" r:id="rId2"/>
  <headerFooter alignWithMargins="0">
    <oddHeader>&amp;R&amp;"Arial,Fett"&amp;12KVG-Solvenztest
Test de solvabilité</oddHeader>
    <oddFooter>&amp;L&amp;F / &amp;A&amp;C&amp;P / &amp;N&amp;R&amp;D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tabColor rgb="FF008000"/>
    <pageSetUpPr fitToPage="1"/>
  </sheetPr>
  <dimension ref="A1:IM62"/>
  <sheetViews>
    <sheetView zoomScale="80" zoomScaleNormal="80" workbookViewId="0"/>
  </sheetViews>
  <sheetFormatPr baseColWidth="10" defaultColWidth="8.5703125" defaultRowHeight="12.75" customHeight="1" x14ac:dyDescent="0.2"/>
  <cols>
    <col min="1" max="1" width="5.5703125" style="1" customWidth="1"/>
    <col min="2" max="2" width="13.42578125" style="173" customWidth="1"/>
    <col min="3" max="3" width="29" style="173" customWidth="1"/>
    <col min="4" max="4" width="10.5703125" style="173" customWidth="1"/>
    <col min="5" max="5" width="4.5703125" style="173" customWidth="1"/>
    <col min="6" max="7" width="12" style="173" customWidth="1"/>
    <col min="8" max="8" width="1.5703125" style="173" customWidth="1"/>
    <col min="9" max="10" width="12" style="173" customWidth="1"/>
    <col min="11" max="11" width="1.5703125" style="173" customWidth="1"/>
    <col min="12" max="13" width="12" style="173" customWidth="1"/>
    <col min="14" max="14" width="5.5703125" style="173" customWidth="1"/>
    <col min="15" max="16" width="12" style="173" customWidth="1"/>
    <col min="17" max="17" width="1.5703125" style="173" customWidth="1"/>
    <col min="18" max="19" width="12" style="173" customWidth="1"/>
    <col min="20" max="20" width="1.5703125" style="173" customWidth="1"/>
    <col min="21" max="22" width="12" style="173" customWidth="1"/>
    <col min="23" max="23" width="5.5703125" style="225" customWidth="1"/>
    <col min="24" max="26" width="12" style="173" customWidth="1"/>
    <col min="27" max="27" width="2.5703125" style="173" customWidth="1"/>
    <col min="28" max="29" width="12" style="1" customWidth="1"/>
    <col min="30" max="30" width="15.7109375" style="1" customWidth="1"/>
    <col min="31" max="38" width="8.5703125" style="1" customWidth="1"/>
    <col min="39" max="40" width="8.5703125" style="173" customWidth="1"/>
    <col min="41" max="16384" width="8.5703125" style="1"/>
  </cols>
  <sheetData>
    <row r="1" spans="1:247" s="24" customFormat="1" ht="18.75" customHeight="1" thickBot="1" x14ac:dyDescent="0.35">
      <c r="A1" s="2195">
        <v>9</v>
      </c>
      <c r="B1" s="1266" t="str">
        <f>Translation!B136</f>
        <v>Delta-Sensitivitäten</v>
      </c>
      <c r="C1" s="1267"/>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GT1" s="172"/>
      <c r="GU1" s="172"/>
      <c r="GV1" s="172"/>
      <c r="GW1" s="172"/>
      <c r="GX1" s="172"/>
      <c r="GY1" s="172"/>
      <c r="GZ1" s="172"/>
      <c r="HA1" s="172"/>
      <c r="HB1" s="172"/>
      <c r="HC1" s="172"/>
      <c r="HD1" s="172"/>
      <c r="HE1" s="172"/>
      <c r="HF1" s="172"/>
      <c r="HG1" s="172"/>
      <c r="HH1" s="172"/>
      <c r="HI1" s="172"/>
      <c r="HJ1" s="172"/>
      <c r="HK1" s="172"/>
      <c r="HL1" s="172"/>
      <c r="HM1" s="172"/>
      <c r="HN1" s="172"/>
      <c r="HO1" s="172"/>
      <c r="HP1" s="172"/>
      <c r="HQ1" s="172"/>
      <c r="HR1" s="172"/>
      <c r="HS1" s="172"/>
      <c r="HT1" s="172"/>
      <c r="HU1" s="172"/>
      <c r="HV1" s="172"/>
      <c r="HW1" s="172"/>
      <c r="HX1" s="172"/>
      <c r="HY1" s="172"/>
      <c r="HZ1" s="172"/>
      <c r="IA1" s="172"/>
      <c r="IB1" s="172"/>
      <c r="IC1" s="172"/>
      <c r="ID1" s="172"/>
      <c r="IE1" s="172"/>
      <c r="IF1" s="172"/>
      <c r="IG1" s="172"/>
      <c r="IH1" s="172"/>
      <c r="II1" s="172"/>
      <c r="IJ1" s="172"/>
      <c r="IK1" s="172"/>
      <c r="IL1" s="172"/>
      <c r="IM1" s="172"/>
    </row>
    <row r="2" spans="1:247" s="681" customFormat="1" ht="60" customHeight="1" x14ac:dyDescent="0.2">
      <c r="A2" s="682"/>
      <c r="B2" s="176" t="str">
        <f>Inputparam!C8</f>
        <v xml:space="preserve">0000 </v>
      </c>
    </row>
    <row r="3" spans="1:247" s="1269" customFormat="1" ht="20.25" x14ac:dyDescent="0.3">
      <c r="A3" s="166"/>
      <c r="B3" s="1" t="str">
        <f>Translation!B137</f>
        <v xml:space="preserve">Hinweise: </v>
      </c>
      <c r="C3" s="1268"/>
      <c r="S3"/>
      <c r="W3" s="24"/>
      <c r="X3"/>
    </row>
    <row r="4" spans="1:247" s="1269" customFormat="1" ht="20.25" x14ac:dyDescent="0.3">
      <c r="A4" s="166"/>
      <c r="B4" s="626" t="str">
        <f>Translation!B138</f>
        <v>- Auswirkungen auf Derivatpositionen sind unter "Aktiven" zu erfassen.</v>
      </c>
      <c r="C4" s="1268"/>
      <c r="W4" s="24"/>
      <c r="AD4"/>
    </row>
    <row r="5" spans="1:247" s="24" customFormat="1" ht="20.25" x14ac:dyDescent="0.3">
      <c r="A5" s="1270"/>
      <c r="B5" s="626" t="str">
        <f>Translation!B139</f>
        <v>- Auswirkungen auf eingebettete Optionen sind unter "Passiven" zu erfassen.</v>
      </c>
      <c r="C5" s="168"/>
      <c r="F5" s="169"/>
      <c r="O5" s="169"/>
      <c r="Z5" s="169"/>
      <c r="AD5" s="169"/>
      <c r="AH5" s="169"/>
      <c r="AL5" s="169"/>
      <c r="AP5" s="169"/>
      <c r="AT5" s="169"/>
      <c r="AX5" s="169"/>
      <c r="BB5" s="169"/>
      <c r="BF5" s="169"/>
      <c r="BJ5" s="169"/>
      <c r="BN5" s="169"/>
      <c r="BR5" s="169"/>
      <c r="BV5" s="169"/>
      <c r="BZ5" s="169"/>
      <c r="CD5" s="169"/>
      <c r="CH5" s="169"/>
      <c r="CL5" s="169"/>
      <c r="CP5" s="169"/>
      <c r="CT5" s="169"/>
      <c r="CX5" s="169"/>
      <c r="DB5" s="169"/>
      <c r="DF5" s="169"/>
      <c r="DJ5" s="169"/>
      <c r="DN5" s="169"/>
      <c r="DR5" s="169"/>
      <c r="DV5" s="169"/>
      <c r="DZ5" s="169"/>
      <c r="ED5" s="169"/>
      <c r="EH5" s="169"/>
      <c r="EL5" s="169"/>
      <c r="EP5" s="169"/>
    </row>
    <row r="6" spans="1:247" s="24" customFormat="1" ht="20.25" x14ac:dyDescent="0.3">
      <c r="A6" s="1270"/>
      <c r="B6" s="626"/>
      <c r="C6" s="168"/>
      <c r="F6" s="169"/>
      <c r="O6" s="169"/>
      <c r="Z6" s="169"/>
      <c r="AD6" s="169"/>
      <c r="AH6" s="169"/>
      <c r="AL6" s="169"/>
      <c r="AP6" s="169"/>
      <c r="AT6" s="169"/>
      <c r="AX6" s="169"/>
      <c r="BB6" s="169"/>
      <c r="BF6" s="169"/>
      <c r="BJ6" s="169"/>
      <c r="BN6" s="169"/>
      <c r="BR6" s="169"/>
      <c r="BV6" s="169"/>
      <c r="BZ6" s="169"/>
      <c r="CD6" s="169"/>
      <c r="CH6" s="169"/>
      <c r="CL6" s="169"/>
      <c r="CP6" s="169"/>
      <c r="CT6" s="169"/>
      <c r="CX6" s="169"/>
      <c r="DB6" s="169"/>
      <c r="DF6" s="169"/>
      <c r="DJ6" s="169"/>
      <c r="DN6" s="169"/>
      <c r="DR6" s="169"/>
      <c r="DV6" s="169"/>
      <c r="DZ6" s="169"/>
      <c r="ED6" s="169"/>
      <c r="EH6" s="169"/>
      <c r="EL6" s="169"/>
      <c r="EP6" s="169"/>
    </row>
    <row r="7" spans="1:247" s="1269" customFormat="1" ht="23.25" x14ac:dyDescent="0.2">
      <c r="A7" s="170"/>
      <c r="B7" s="64"/>
      <c r="C7" s="433"/>
      <c r="D7" s="56"/>
      <c r="E7" s="429"/>
      <c r="F7" s="414" t="str">
        <f>Translation!B142</f>
        <v>Aktiven</v>
      </c>
      <c r="G7" s="415"/>
      <c r="H7" s="415"/>
      <c r="I7" s="415"/>
      <c r="J7" s="415"/>
      <c r="K7" s="415"/>
      <c r="L7" s="416"/>
      <c r="M7" s="417"/>
      <c r="N7" s="171"/>
      <c r="O7" s="414" t="str">
        <f>Translation!B143</f>
        <v>Passiven</v>
      </c>
      <c r="P7" s="415"/>
      <c r="Q7" s="415"/>
      <c r="R7" s="415"/>
      <c r="S7" s="415"/>
      <c r="T7" s="415"/>
      <c r="U7" s="416"/>
      <c r="V7" s="417"/>
      <c r="W7" s="172"/>
      <c r="X7" s="414" t="str">
        <f>Translation!B144</f>
        <v>Reserven nach KVG und UVG</v>
      </c>
      <c r="Y7" s="416"/>
      <c r="Z7" s="416"/>
      <c r="AA7" s="416"/>
      <c r="AB7" s="416"/>
      <c r="AC7" s="416"/>
      <c r="AD7" s="417"/>
      <c r="AE7" s="171"/>
      <c r="AF7" s="17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247" ht="12.75" customHeight="1" x14ac:dyDescent="0.3">
      <c r="A8" s="1270"/>
      <c r="B8" s="17"/>
      <c r="C8" s="42"/>
      <c r="D8" s="1"/>
      <c r="E8" s="426"/>
      <c r="F8" s="418"/>
      <c r="G8" s="174"/>
      <c r="H8" s="174"/>
      <c r="I8" s="175"/>
      <c r="J8" s="175"/>
      <c r="K8" s="175"/>
      <c r="L8" s="176"/>
      <c r="M8" s="404"/>
      <c r="N8" s="177"/>
      <c r="O8" s="418"/>
      <c r="P8" s="174"/>
      <c r="Q8" s="174"/>
      <c r="R8" s="175"/>
      <c r="S8" s="175"/>
      <c r="T8" s="175"/>
      <c r="U8" s="176"/>
      <c r="V8" s="404"/>
      <c r="W8" s="176"/>
      <c r="X8" s="418"/>
      <c r="Y8" s="171"/>
      <c r="Z8" s="171"/>
      <c r="AA8" s="171"/>
      <c r="AB8" s="171"/>
      <c r="AC8" s="171"/>
      <c r="AD8" s="423"/>
      <c r="AE8" s="171"/>
      <c r="AF8" s="171"/>
    </row>
    <row r="9" spans="1:247" s="184" customFormat="1" ht="63.75" customHeight="1" x14ac:dyDescent="0.2">
      <c r="A9" s="179"/>
      <c r="B9" s="2445" t="str">
        <f>Translation!B140</f>
        <v>Risikofaktor (RF)</v>
      </c>
      <c r="C9" s="2447"/>
      <c r="D9" s="2441" t="str">
        <f>Translation!B141</f>
        <v>Auslenkung des RF</v>
      </c>
      <c r="E9" s="2448"/>
      <c r="F9" s="2445" t="str">
        <f>Translation!B145</f>
        <v>Marktnaher Wert der Aktiven mit entsprechendem Risikofaktor</v>
      </c>
      <c r="G9" s="2449"/>
      <c r="H9" s="434"/>
      <c r="I9" s="2441" t="str">
        <f>Translation!B146</f>
        <v>Änderungen der dem KVG- und UVG-Geschäft zugeordneten Aktiven</v>
      </c>
      <c r="J9" s="2442"/>
      <c r="K9" s="412"/>
      <c r="L9" s="2441" t="str">
        <f>Translation!B147</f>
        <v>Total</v>
      </c>
      <c r="M9" s="2443"/>
      <c r="N9" s="435"/>
      <c r="O9" s="2445" t="str">
        <f>Translation!B148</f>
        <v>Marktnaher Wert der Passiven mit entsprechendem Risikofaktor</v>
      </c>
      <c r="P9" s="2449"/>
      <c r="Q9" s="434"/>
      <c r="R9" s="2441" t="str">
        <f>Translation!B149</f>
        <v>Änderungen der dem KVG- und UVG Geschäft zugeordneten Passiven</v>
      </c>
      <c r="S9" s="2442"/>
      <c r="T9" s="412"/>
      <c r="U9" s="2441" t="str">
        <f>Translation!B147</f>
        <v>Total</v>
      </c>
      <c r="V9" s="2443"/>
      <c r="W9" s="434"/>
      <c r="X9" s="2445" t="str">
        <f>Translation!B150</f>
        <v>Änderungen der dem KVG- und UVG Geschäft zugeordneten Reserven</v>
      </c>
      <c r="Y9" s="2441"/>
      <c r="Z9" s="2441"/>
      <c r="AA9" s="412"/>
      <c r="AB9" s="2437" t="str">
        <f>Translation!B151</f>
        <v>Delta-äquivalente Änderung der Reserven = partielle Ableitung der Reserven nach den Risikofaktoren</v>
      </c>
      <c r="AC9" s="2437"/>
      <c r="AD9" s="2438"/>
      <c r="AE9" s="33"/>
      <c r="AF9" s="33"/>
      <c r="AG9" s="173"/>
      <c r="AH9" s="183"/>
      <c r="AI9" s="173"/>
      <c r="AJ9" s="183"/>
      <c r="AK9" s="173"/>
      <c r="AL9" s="183"/>
      <c r="AM9" s="173"/>
      <c r="AN9" s="183"/>
      <c r="AO9" s="173"/>
      <c r="AP9" s="183"/>
      <c r="AQ9" s="173"/>
      <c r="AR9" s="183"/>
      <c r="AS9" s="173"/>
      <c r="AT9" s="183"/>
      <c r="AU9" s="173"/>
      <c r="AV9" s="183"/>
      <c r="AW9" s="173"/>
      <c r="AX9" s="183"/>
      <c r="AY9" s="173"/>
      <c r="AZ9" s="183"/>
      <c r="BA9" s="173"/>
      <c r="BB9" s="183"/>
      <c r="BC9" s="173"/>
      <c r="BD9" s="183"/>
      <c r="BE9" s="173"/>
      <c r="BF9" s="183"/>
      <c r="BG9" s="173"/>
      <c r="BH9" s="183"/>
      <c r="BI9" s="173"/>
      <c r="BJ9" s="183"/>
      <c r="BK9" s="173"/>
      <c r="BL9" s="183"/>
      <c r="BM9" s="173"/>
      <c r="BN9" s="183"/>
      <c r="BO9" s="173"/>
      <c r="BP9" s="183"/>
      <c r="BQ9" s="173"/>
      <c r="BR9" s="183"/>
      <c r="BS9" s="173"/>
      <c r="BT9" s="183"/>
      <c r="BU9" s="173"/>
      <c r="BV9" s="183"/>
      <c r="BW9" s="173"/>
      <c r="BX9" s="183"/>
      <c r="BY9" s="173"/>
      <c r="BZ9" s="183"/>
      <c r="CA9" s="173"/>
      <c r="CB9" s="183"/>
      <c r="CC9" s="173"/>
      <c r="CD9" s="183"/>
      <c r="CE9" s="173"/>
      <c r="CF9" s="183"/>
      <c r="CG9" s="173"/>
      <c r="CH9" s="183"/>
      <c r="CI9" s="173"/>
      <c r="CJ9" s="183"/>
      <c r="CK9" s="173"/>
      <c r="CL9" s="183"/>
      <c r="CM9" s="173"/>
      <c r="CN9" s="183"/>
      <c r="CO9" s="173"/>
      <c r="CP9" s="183"/>
      <c r="CQ9" s="173"/>
      <c r="CR9" s="183"/>
      <c r="CS9" s="173"/>
      <c r="CT9" s="183"/>
      <c r="CU9" s="173"/>
      <c r="CV9" s="183"/>
      <c r="CW9" s="173"/>
      <c r="CX9" s="183"/>
      <c r="CY9" s="173"/>
      <c r="CZ9" s="183"/>
      <c r="DA9" s="173"/>
      <c r="DB9" s="180"/>
      <c r="DC9" s="183"/>
      <c r="DD9" s="180"/>
      <c r="DE9" s="183"/>
      <c r="DF9" s="180"/>
      <c r="DG9" s="183"/>
      <c r="DH9" s="180"/>
      <c r="DI9" s="183"/>
      <c r="DJ9" s="183"/>
      <c r="DK9" s="173"/>
      <c r="DL9" s="183"/>
      <c r="DM9" s="173"/>
      <c r="DN9" s="183"/>
      <c r="DO9" s="173"/>
      <c r="DP9" s="183"/>
      <c r="DQ9" s="173"/>
      <c r="DR9" s="180"/>
      <c r="DS9" s="173"/>
      <c r="DT9" s="183"/>
      <c r="DU9" s="173"/>
      <c r="DV9" s="183"/>
      <c r="DW9" s="173"/>
      <c r="DX9" s="183"/>
      <c r="DY9" s="173"/>
      <c r="DZ9" s="183"/>
      <c r="EA9" s="173"/>
      <c r="EB9" s="183"/>
      <c r="EC9" s="173"/>
      <c r="ED9" s="180"/>
      <c r="EE9" s="173"/>
      <c r="EF9" s="183"/>
      <c r="EG9" s="173"/>
      <c r="EH9" s="183"/>
      <c r="EI9" s="173"/>
      <c r="EJ9" s="183"/>
      <c r="EK9" s="173"/>
      <c r="EL9" s="183"/>
      <c r="EM9" s="173"/>
      <c r="EN9" s="180"/>
      <c r="EO9" s="173"/>
      <c r="EP9" s="183"/>
      <c r="EQ9" s="173"/>
    </row>
    <row r="10" spans="1:247" s="184" customFormat="1" ht="3.75" hidden="1" customHeight="1" x14ac:dyDescent="0.2">
      <c r="A10" s="179"/>
      <c r="B10" s="424"/>
      <c r="C10" s="181"/>
      <c r="D10" s="105"/>
      <c r="E10" s="426"/>
      <c r="F10" s="97"/>
      <c r="G10" s="34"/>
      <c r="H10" s="34"/>
      <c r="I10" s="34"/>
      <c r="J10" s="33"/>
      <c r="K10" s="33"/>
      <c r="L10" s="34"/>
      <c r="M10" s="98"/>
      <c r="N10" s="182"/>
      <c r="O10" s="97"/>
      <c r="P10" s="34"/>
      <c r="Q10" s="34"/>
      <c r="R10" s="34"/>
      <c r="S10" s="33"/>
      <c r="T10" s="33"/>
      <c r="U10" s="34"/>
      <c r="V10" s="98"/>
      <c r="W10" s="34"/>
      <c r="X10" s="97"/>
      <c r="Y10" s="34"/>
      <c r="Z10" s="33"/>
      <c r="AA10" s="33"/>
      <c r="AB10" s="34"/>
      <c r="AC10" s="34"/>
      <c r="AD10" s="98"/>
      <c r="AE10" s="33"/>
      <c r="AF10" s="33"/>
      <c r="AG10" s="173"/>
      <c r="AH10" s="183"/>
      <c r="AI10" s="173"/>
      <c r="AJ10" s="183"/>
      <c r="AK10" s="173"/>
      <c r="AL10" s="183"/>
      <c r="AM10" s="173"/>
      <c r="AN10" s="183"/>
      <c r="AO10" s="173"/>
      <c r="AP10" s="183"/>
      <c r="AQ10" s="173"/>
      <c r="AR10" s="183"/>
      <c r="AS10" s="173"/>
      <c r="AT10" s="183"/>
      <c r="AU10" s="173"/>
      <c r="AV10" s="183"/>
      <c r="AW10" s="173"/>
      <c r="AX10" s="183"/>
      <c r="AY10" s="173"/>
      <c r="AZ10" s="183"/>
      <c r="BA10" s="173"/>
      <c r="BB10" s="183"/>
      <c r="BC10" s="173"/>
      <c r="BD10" s="183"/>
      <c r="BE10" s="173"/>
      <c r="BF10" s="183"/>
      <c r="BG10" s="173"/>
      <c r="BH10" s="183"/>
      <c r="BI10" s="173"/>
      <c r="BJ10" s="183"/>
      <c r="BK10" s="173"/>
      <c r="BL10" s="183"/>
      <c r="BM10" s="173"/>
      <c r="BN10" s="183"/>
      <c r="BO10" s="173"/>
      <c r="BP10" s="183"/>
      <c r="BQ10" s="173"/>
      <c r="BR10" s="183"/>
      <c r="BS10" s="173"/>
      <c r="BT10" s="183"/>
      <c r="BU10" s="173"/>
      <c r="BV10" s="183"/>
      <c r="BW10" s="173"/>
      <c r="BX10" s="183"/>
      <c r="BY10" s="173"/>
      <c r="BZ10" s="183"/>
      <c r="CA10" s="173"/>
      <c r="CB10" s="183"/>
      <c r="CC10" s="173"/>
      <c r="CD10" s="183"/>
      <c r="CE10" s="173"/>
      <c r="CF10" s="183"/>
      <c r="CG10" s="173"/>
      <c r="CH10" s="183"/>
      <c r="CI10" s="173"/>
      <c r="CJ10" s="183"/>
      <c r="CK10" s="173"/>
      <c r="CL10" s="183"/>
      <c r="CM10" s="173"/>
      <c r="CN10" s="183"/>
      <c r="CO10" s="173"/>
      <c r="CP10" s="183"/>
      <c r="CQ10" s="173"/>
      <c r="CR10" s="183"/>
      <c r="CS10" s="173"/>
      <c r="CT10" s="183"/>
      <c r="CU10" s="173"/>
      <c r="CV10" s="183"/>
      <c r="CW10" s="173"/>
      <c r="CX10" s="183"/>
      <c r="CY10" s="173"/>
      <c r="CZ10" s="183"/>
      <c r="DA10" s="173"/>
      <c r="DB10" s="180"/>
      <c r="DC10" s="183"/>
      <c r="DD10" s="180"/>
      <c r="DE10" s="183"/>
      <c r="DF10" s="180"/>
      <c r="DG10" s="183"/>
      <c r="DH10" s="180"/>
      <c r="DI10" s="183"/>
      <c r="DJ10" s="183"/>
      <c r="DK10" s="173"/>
      <c r="DL10" s="183"/>
      <c r="DM10" s="173"/>
      <c r="DN10" s="183"/>
      <c r="DO10" s="173"/>
      <c r="DP10" s="183"/>
      <c r="DQ10" s="173"/>
      <c r="DR10" s="180"/>
      <c r="DS10" s="173"/>
      <c r="DT10" s="183"/>
      <c r="DU10" s="173"/>
      <c r="DV10" s="183"/>
      <c r="DW10" s="173"/>
      <c r="DX10" s="183"/>
      <c r="DY10" s="173"/>
      <c r="DZ10" s="183"/>
      <c r="EA10" s="173"/>
      <c r="EB10" s="183"/>
      <c r="EC10" s="173"/>
      <c r="ED10" s="180"/>
      <c r="EE10" s="173"/>
      <c r="EF10" s="183"/>
      <c r="EG10" s="173"/>
      <c r="EH10" s="183"/>
      <c r="EI10" s="173"/>
      <c r="EJ10" s="183"/>
      <c r="EK10" s="173"/>
      <c r="EL10" s="183"/>
      <c r="EM10" s="173"/>
      <c r="EN10" s="180"/>
      <c r="EO10" s="173"/>
      <c r="EP10" s="183"/>
      <c r="EQ10" s="173"/>
    </row>
    <row r="11" spans="1:247" s="196" customFormat="1" ht="27" customHeight="1" x14ac:dyDescent="0.2">
      <c r="B11" s="1271"/>
      <c r="C11" s="168"/>
      <c r="E11" s="1272"/>
      <c r="F11" s="2446" t="str">
        <f>Translation!$B$152</f>
        <v>dem KVG- und UVG Geschäft zugeordnet</v>
      </c>
      <c r="G11" s="2450" t="str">
        <f>Translation!$B$153</f>
        <v>dem übrigen Geschäft zugeordnet</v>
      </c>
      <c r="H11" s="172"/>
      <c r="I11" s="2439" t="str">
        <f>Translation!$B$154</f>
        <v>Änderungen der Aktiven</v>
      </c>
      <c r="J11" s="2439"/>
      <c r="K11" s="172"/>
      <c r="L11" s="2439" t="str">
        <f>Translation!$B$154</f>
        <v>Änderungen der Aktiven</v>
      </c>
      <c r="M11" s="2440"/>
      <c r="N11" s="963"/>
      <c r="O11" s="2446" t="str">
        <f>Translation!$B$152</f>
        <v>dem KVG- und UVG Geschäft zugeordnet</v>
      </c>
      <c r="P11" s="2450" t="str">
        <f>Translation!$B$153</f>
        <v>dem übrigen Geschäft zugeordnet</v>
      </c>
      <c r="Q11" s="172"/>
      <c r="R11" s="2439" t="str">
        <f>Translation!$B$156</f>
        <v>Änderungen der Passiven</v>
      </c>
      <c r="S11" s="2439"/>
      <c r="T11" s="172"/>
      <c r="U11" s="2439" t="str">
        <f>Translation!$B$156</f>
        <v>Änderungen der Passiven</v>
      </c>
      <c r="V11" s="2440"/>
      <c r="W11" s="172"/>
      <c r="X11" s="2444" t="str">
        <f>Translation!B158</f>
        <v>Änderungen der Reserven</v>
      </c>
      <c r="Y11" s="2439"/>
      <c r="Z11" s="2439"/>
      <c r="AA11" s="172"/>
      <c r="AB11" s="172"/>
      <c r="AC11" s="172"/>
      <c r="AD11" s="956"/>
      <c r="AE11" s="172"/>
      <c r="AF11" s="172"/>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C11" s="1273"/>
      <c r="DE11" s="1273"/>
      <c r="DG11" s="1273"/>
      <c r="DI11" s="1273"/>
      <c r="DJ11" s="1273"/>
      <c r="DK11" s="1273"/>
      <c r="DL11" s="1273"/>
      <c r="DM11" s="1273"/>
      <c r="DN11" s="1273"/>
      <c r="DO11" s="1273"/>
      <c r="DP11" s="1273"/>
      <c r="DQ11" s="1273"/>
      <c r="DS11" s="1273"/>
      <c r="DT11" s="1273"/>
      <c r="DU11" s="1273"/>
      <c r="DV11" s="1273"/>
      <c r="DW11" s="1273"/>
      <c r="DX11" s="1273"/>
      <c r="DY11" s="1273"/>
      <c r="DZ11" s="1273"/>
      <c r="EA11" s="1273"/>
      <c r="EB11" s="1273"/>
      <c r="EC11" s="1273"/>
      <c r="EE11" s="1273"/>
      <c r="EF11" s="1273"/>
      <c r="EG11" s="1273"/>
      <c r="EH11" s="1273"/>
      <c r="EI11" s="1273"/>
      <c r="EJ11" s="1273"/>
      <c r="EK11" s="1273"/>
      <c r="EL11" s="1273"/>
      <c r="EM11" s="1273"/>
      <c r="EO11" s="1273"/>
      <c r="EP11" s="1273"/>
      <c r="EQ11" s="1273"/>
    </row>
    <row r="12" spans="1:247" s="196" customFormat="1" ht="12.75" customHeight="1" x14ac:dyDescent="0.2">
      <c r="B12" s="1271"/>
      <c r="C12" s="168"/>
      <c r="E12" s="1272"/>
      <c r="F12" s="2446"/>
      <c r="G12" s="2450"/>
      <c r="H12" s="172"/>
      <c r="I12" s="2439" t="str">
        <f>Translation!$B$155</f>
        <v>bei Auslenkung des RF</v>
      </c>
      <c r="J12" s="2439"/>
      <c r="K12" s="172"/>
      <c r="L12" s="2439" t="str">
        <f>Translation!$B$155</f>
        <v>bei Auslenkung des RF</v>
      </c>
      <c r="M12" s="2440"/>
      <c r="N12" s="963"/>
      <c r="O12" s="2446"/>
      <c r="P12" s="2450"/>
      <c r="Q12" s="172"/>
      <c r="R12" s="2439" t="str">
        <f>Translation!$B$157</f>
        <v>bei Auslenkung des RF</v>
      </c>
      <c r="S12" s="2439"/>
      <c r="T12" s="172"/>
      <c r="U12" s="2439" t="str">
        <f>Translation!$B$157</f>
        <v>bei Auslenkung des RF</v>
      </c>
      <c r="V12" s="2440"/>
      <c r="W12" s="172"/>
      <c r="X12" s="2444" t="str">
        <f>Translation!$B$159</f>
        <v>bei Auslenkung des RF</v>
      </c>
      <c r="Y12" s="2439"/>
      <c r="Z12" s="172"/>
      <c r="AA12" s="172"/>
      <c r="AB12" s="2439" t="str">
        <f>Translation!$B$159</f>
        <v>bei Auslenkung des RF</v>
      </c>
      <c r="AC12" s="2439"/>
      <c r="AD12" s="956"/>
      <c r="AE12" s="172"/>
      <c r="AF12" s="172"/>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C12" s="1273"/>
      <c r="DE12" s="1273"/>
      <c r="DG12" s="1273"/>
      <c r="DI12" s="1273"/>
      <c r="DJ12" s="1273"/>
      <c r="DK12" s="1273"/>
      <c r="DL12" s="1273"/>
      <c r="DM12" s="1273"/>
      <c r="DN12" s="1273"/>
      <c r="DO12" s="1273"/>
      <c r="DP12" s="1273"/>
      <c r="DQ12" s="1273"/>
      <c r="DS12" s="1273"/>
      <c r="DT12" s="1273"/>
      <c r="DU12" s="1273"/>
      <c r="DV12" s="1273"/>
      <c r="DW12" s="1273"/>
      <c r="DX12" s="1273"/>
      <c r="DY12" s="1273"/>
      <c r="DZ12" s="1273"/>
      <c r="EA12" s="1273"/>
      <c r="EB12" s="1273"/>
      <c r="EC12" s="1273"/>
      <c r="EE12" s="1273"/>
      <c r="EF12" s="1273"/>
      <c r="EG12" s="1273"/>
      <c r="EH12" s="1273"/>
      <c r="EI12" s="1273"/>
      <c r="EJ12" s="1273"/>
      <c r="EK12" s="1273"/>
      <c r="EL12" s="1273"/>
      <c r="EM12" s="1273"/>
      <c r="EO12" s="1273"/>
      <c r="EP12" s="1273"/>
      <c r="EQ12" s="1273"/>
    </row>
    <row r="13" spans="1:247" ht="18.75" customHeight="1" x14ac:dyDescent="0.2">
      <c r="A13" s="24"/>
      <c r="B13" s="425"/>
      <c r="D13" s="189"/>
      <c r="E13" s="430"/>
      <c r="F13" s="2446"/>
      <c r="G13" s="2450"/>
      <c r="H13" s="192"/>
      <c r="I13" s="921" t="str">
        <f>Translation!$B$160</f>
        <v>nach oben</v>
      </c>
      <c r="J13" s="512" t="str">
        <f>Translation!$B$161</f>
        <v>nach unten</v>
      </c>
      <c r="K13" s="192"/>
      <c r="L13" s="921" t="str">
        <f>Translation!$B$160</f>
        <v>nach oben</v>
      </c>
      <c r="M13" s="955" t="str">
        <f>Translation!$B$161</f>
        <v>nach unten</v>
      </c>
      <c r="N13" s="193"/>
      <c r="O13" s="2446"/>
      <c r="P13" s="2450"/>
      <c r="Q13" s="192"/>
      <c r="R13" s="921" t="str">
        <f>Translation!$B$160</f>
        <v>nach oben</v>
      </c>
      <c r="S13" s="512" t="str">
        <f>Translation!$B$161</f>
        <v>nach unten</v>
      </c>
      <c r="T13" s="192"/>
      <c r="U13" s="921" t="str">
        <f>Translation!$B$160</f>
        <v>nach oben</v>
      </c>
      <c r="V13" s="955" t="str">
        <f>Translation!$B$161</f>
        <v>nach unten</v>
      </c>
      <c r="W13" s="194"/>
      <c r="X13" s="957" t="str">
        <f>Translation!$B$160</f>
        <v>nach oben</v>
      </c>
      <c r="Y13" s="512" t="str">
        <f>Translation!$B$161</f>
        <v>nach unten</v>
      </c>
      <c r="Z13" s="413" t="str">
        <f>Translation!$B$162</f>
        <v>Mittelwert</v>
      </c>
      <c r="AA13" s="193"/>
      <c r="AB13" s="921" t="str">
        <f>Translation!$B$160</f>
        <v>nach oben</v>
      </c>
      <c r="AC13" s="512" t="str">
        <f>Translation!$B$161</f>
        <v>nach unten</v>
      </c>
      <c r="AD13" s="510" t="str">
        <f>Translation!$B$162</f>
        <v>Mittelwert</v>
      </c>
      <c r="AE13" s="193"/>
      <c r="AF13" s="193"/>
      <c r="AG13"/>
      <c r="AM13" s="1"/>
      <c r="AN13" s="1"/>
      <c r="AR13" s="195"/>
      <c r="AS13" s="42"/>
      <c r="AT13" s="195"/>
      <c r="AU13" s="42"/>
      <c r="AV13" s="195"/>
      <c r="AW13" s="42"/>
      <c r="AX13" s="195"/>
      <c r="AY13" s="42"/>
      <c r="BR13" s="195"/>
      <c r="BS13" s="42"/>
      <c r="BT13" s="195"/>
      <c r="BU13" s="42"/>
      <c r="BV13" s="195"/>
      <c r="BW13" s="42"/>
      <c r="BX13" s="195"/>
      <c r="BY13" s="42"/>
      <c r="CR13" s="195"/>
      <c r="CS13" s="42"/>
      <c r="CT13" s="195"/>
      <c r="CU13" s="42"/>
      <c r="CV13" s="195"/>
      <c r="CW13" s="42"/>
      <c r="CX13" s="195"/>
      <c r="CY13" s="42"/>
      <c r="CZ13" s="195"/>
      <c r="DA13" s="42"/>
      <c r="DB13" s="195"/>
      <c r="DC13" s="42"/>
      <c r="DD13" s="195"/>
      <c r="DE13" s="42"/>
      <c r="DF13" s="195"/>
      <c r="DG13" s="42"/>
      <c r="DH13" s="195"/>
      <c r="DI13" s="42"/>
      <c r="DJ13" s="195"/>
      <c r="DK13" s="42"/>
      <c r="DL13" s="195"/>
      <c r="DM13" s="42"/>
      <c r="DN13" s="195"/>
      <c r="DO13" s="42"/>
      <c r="DP13" s="195"/>
      <c r="DQ13" s="42"/>
      <c r="DR13" s="195"/>
      <c r="DS13" s="42"/>
      <c r="DT13" s="195"/>
      <c r="DU13" s="42"/>
      <c r="DV13" s="195"/>
      <c r="DW13" s="42"/>
      <c r="DX13" s="195"/>
      <c r="DY13" s="42"/>
      <c r="DZ13" s="195"/>
      <c r="EA13" s="42"/>
      <c r="EB13" s="195"/>
      <c r="EC13" s="42"/>
      <c r="ED13" s="195"/>
      <c r="EE13" s="42"/>
      <c r="EF13" s="195"/>
      <c r="EG13" s="42"/>
      <c r="EH13" s="195"/>
      <c r="EI13" s="42"/>
      <c r="EJ13" s="195"/>
      <c r="EK13" s="42"/>
      <c r="EL13" s="195"/>
      <c r="EM13" s="42"/>
      <c r="EN13" s="195"/>
      <c r="EO13" s="42"/>
      <c r="EP13" s="195"/>
      <c r="EQ13" s="42"/>
    </row>
    <row r="14" spans="1:247" ht="12.75" customHeight="1" x14ac:dyDescent="0.2">
      <c r="A14" s="24"/>
      <c r="B14" s="425"/>
      <c r="D14" s="189"/>
      <c r="E14" s="430"/>
      <c r="F14" s="514"/>
      <c r="G14" s="587"/>
      <c r="H14" s="192"/>
      <c r="I14" s="190"/>
      <c r="J14" s="191"/>
      <c r="K14" s="192"/>
      <c r="L14" s="190"/>
      <c r="M14" s="420"/>
      <c r="N14" s="193"/>
      <c r="O14" s="514"/>
      <c r="P14" s="587"/>
      <c r="Q14" s="192"/>
      <c r="R14" s="190"/>
      <c r="S14" s="191"/>
      <c r="T14" s="192"/>
      <c r="U14" s="190"/>
      <c r="V14" s="420"/>
      <c r="W14" s="194"/>
      <c r="X14" s="419"/>
      <c r="Y14" s="191"/>
      <c r="Z14" s="193"/>
      <c r="AA14" s="193"/>
      <c r="AB14" s="193"/>
      <c r="AC14" s="193"/>
      <c r="AD14" s="270"/>
      <c r="AE14" s="193"/>
      <c r="AF14" s="193"/>
      <c r="AM14" s="1"/>
      <c r="AN14" s="1"/>
      <c r="AR14" s="195"/>
      <c r="AS14" s="42"/>
      <c r="AT14" s="195"/>
      <c r="AU14" s="42"/>
      <c r="AV14" s="195"/>
      <c r="AW14" s="42"/>
      <c r="AX14" s="195"/>
      <c r="AY14" s="42"/>
      <c r="BR14" s="195"/>
      <c r="BS14" s="42"/>
      <c r="BT14" s="195"/>
      <c r="BU14" s="42"/>
      <c r="BV14" s="195"/>
      <c r="BW14" s="42"/>
      <c r="BX14" s="195"/>
      <c r="BY14" s="42"/>
      <c r="CR14" s="195"/>
      <c r="CS14" s="42"/>
      <c r="CT14" s="195"/>
      <c r="CU14" s="42"/>
      <c r="CV14" s="195"/>
      <c r="CW14" s="42"/>
      <c r="CX14" s="195"/>
      <c r="CY14" s="42"/>
      <c r="CZ14" s="195"/>
      <c r="DA14" s="42"/>
      <c r="DB14" s="195"/>
      <c r="DC14" s="42"/>
      <c r="DD14" s="195"/>
      <c r="DE14" s="42"/>
      <c r="DF14" s="195"/>
      <c r="DG14" s="42"/>
      <c r="DH14" s="195"/>
      <c r="DI14" s="42"/>
      <c r="DJ14" s="195"/>
      <c r="DK14" s="42"/>
      <c r="DL14" s="195"/>
      <c r="DM14" s="42"/>
      <c r="DN14" s="195"/>
      <c r="DO14" s="42"/>
      <c r="DP14" s="195"/>
      <c r="DQ14" s="42"/>
      <c r="DR14" s="195"/>
      <c r="DS14" s="42"/>
      <c r="DT14" s="195"/>
      <c r="DU14" s="42"/>
      <c r="DV14" s="195"/>
      <c r="DW14" s="42"/>
      <c r="DX14" s="195"/>
      <c r="DY14" s="42"/>
      <c r="DZ14" s="195"/>
      <c r="EA14" s="42"/>
      <c r="EB14" s="195"/>
      <c r="EC14" s="42"/>
      <c r="ED14" s="195"/>
      <c r="EE14" s="42"/>
      <c r="EF14" s="195"/>
      <c r="EG14" s="42"/>
      <c r="EH14" s="195"/>
      <c r="EI14" s="42"/>
      <c r="EJ14" s="195"/>
      <c r="EK14" s="42"/>
      <c r="EL14" s="195"/>
      <c r="EM14" s="42"/>
      <c r="EN14" s="195"/>
      <c r="EO14" s="42"/>
      <c r="EP14" s="195"/>
      <c r="EQ14" s="42"/>
    </row>
    <row r="15" spans="1:247" s="199" customFormat="1" ht="12.75" customHeight="1" x14ac:dyDescent="0.2">
      <c r="A15" s="196"/>
      <c r="B15" s="427"/>
      <c r="C15" s="197"/>
      <c r="D15" s="198"/>
      <c r="E15" s="431"/>
      <c r="F15" s="514" t="s">
        <v>98</v>
      </c>
      <c r="G15" s="587" t="s">
        <v>98</v>
      </c>
      <c r="H15" s="192"/>
      <c r="I15" s="413" t="s">
        <v>98</v>
      </c>
      <c r="J15" s="413" t="s">
        <v>98</v>
      </c>
      <c r="K15" s="171"/>
      <c r="L15" s="413" t="s">
        <v>98</v>
      </c>
      <c r="M15" s="510" t="s">
        <v>98</v>
      </c>
      <c r="N15" s="177"/>
      <c r="O15" s="514" t="s">
        <v>98</v>
      </c>
      <c r="P15" s="587" t="s">
        <v>98</v>
      </c>
      <c r="Q15" s="192"/>
      <c r="R15" s="413" t="s">
        <v>98</v>
      </c>
      <c r="S15" s="413" t="s">
        <v>98</v>
      </c>
      <c r="T15" s="171"/>
      <c r="U15" s="413" t="s">
        <v>98</v>
      </c>
      <c r="V15" s="510" t="s">
        <v>98</v>
      </c>
      <c r="W15" s="194"/>
      <c r="X15" s="516" t="s">
        <v>98</v>
      </c>
      <c r="Y15" s="413" t="s">
        <v>98</v>
      </c>
      <c r="Z15" s="413" t="s">
        <v>98</v>
      </c>
      <c r="AA15" s="177"/>
      <c r="AB15" s="413" t="s">
        <v>98</v>
      </c>
      <c r="AC15" s="413" t="s">
        <v>98</v>
      </c>
      <c r="AD15" s="510" t="s">
        <v>98</v>
      </c>
      <c r="AE15" s="177"/>
      <c r="AF15" s="177"/>
      <c r="AR15" s="195"/>
      <c r="AS15" s="42"/>
      <c r="AT15" s="195"/>
      <c r="AU15" s="42"/>
      <c r="AV15" s="195"/>
      <c r="AW15" s="42"/>
      <c r="AX15" s="195"/>
      <c r="AY15" s="42"/>
      <c r="BR15" s="195"/>
      <c r="BS15" s="42"/>
      <c r="BT15" s="195"/>
      <c r="BU15" s="42"/>
      <c r="BV15" s="195"/>
      <c r="BW15" s="42"/>
      <c r="BX15" s="195"/>
      <c r="BY15" s="42"/>
      <c r="CR15" s="195"/>
      <c r="CS15" s="42"/>
      <c r="CT15" s="195"/>
      <c r="CU15" s="42"/>
      <c r="CV15" s="195"/>
      <c r="CW15" s="42"/>
      <c r="CX15" s="195"/>
      <c r="CY15" s="42"/>
      <c r="CZ15" s="195"/>
      <c r="DA15" s="42"/>
      <c r="DB15" s="195"/>
      <c r="DC15" s="42"/>
      <c r="DD15" s="195"/>
      <c r="DE15" s="42"/>
      <c r="DF15" s="195"/>
      <c r="DG15" s="42"/>
      <c r="DH15" s="195"/>
      <c r="DI15" s="42"/>
      <c r="DJ15" s="195"/>
      <c r="DK15" s="42"/>
      <c r="DL15" s="195"/>
      <c r="DM15" s="42"/>
      <c r="DN15" s="195"/>
      <c r="DO15" s="42"/>
      <c r="DP15" s="195"/>
      <c r="DQ15" s="42"/>
      <c r="DR15" s="195"/>
      <c r="DS15" s="42"/>
      <c r="DT15" s="195"/>
      <c r="DU15" s="42"/>
      <c r="DV15" s="195"/>
      <c r="DW15" s="42"/>
      <c r="DX15" s="195"/>
      <c r="DY15" s="42"/>
      <c r="DZ15" s="195"/>
      <c r="EA15" s="42"/>
      <c r="EB15" s="195"/>
      <c r="EC15" s="42"/>
      <c r="ED15" s="195"/>
      <c r="EE15" s="42"/>
      <c r="EF15" s="195"/>
      <c r="EG15" s="42"/>
      <c r="EH15" s="195"/>
      <c r="EI15" s="42"/>
      <c r="EJ15" s="195"/>
      <c r="EK15" s="42"/>
      <c r="EL15" s="195"/>
      <c r="EM15" s="42"/>
      <c r="EN15" s="195"/>
      <c r="EO15" s="42"/>
      <c r="EP15" s="195"/>
      <c r="EQ15" s="42"/>
    </row>
    <row r="16" spans="1:247" ht="12.75" customHeight="1" x14ac:dyDescent="0.2">
      <c r="A16" s="24"/>
      <c r="B16" s="428"/>
      <c r="C16" s="249"/>
      <c r="D16" s="249"/>
      <c r="E16" s="432"/>
      <c r="F16" s="919"/>
      <c r="G16" s="920"/>
      <c r="H16" s="421"/>
      <c r="I16" s="421"/>
      <c r="J16" s="421"/>
      <c r="K16" s="421"/>
      <c r="L16" s="421"/>
      <c r="M16" s="422"/>
      <c r="N16" s="193"/>
      <c r="O16" s="216"/>
      <c r="P16" s="422"/>
      <c r="Q16" s="421"/>
      <c r="R16" s="216"/>
      <c r="S16" s="422"/>
      <c r="T16" s="421"/>
      <c r="U16" s="216"/>
      <c r="V16" s="422"/>
      <c r="W16" s="200"/>
      <c r="X16" s="216"/>
      <c r="Y16" s="421"/>
      <c r="Z16" s="421"/>
      <c r="AA16" s="421"/>
      <c r="AB16" s="421"/>
      <c r="AC16" s="421"/>
      <c r="AD16" s="422"/>
      <c r="AE16" s="193"/>
      <c r="AF16" s="193"/>
      <c r="AM16" s="1"/>
      <c r="AN16" s="1"/>
      <c r="AR16" s="195"/>
      <c r="AS16" s="42"/>
      <c r="AT16" s="195"/>
      <c r="AU16" s="42"/>
      <c r="AV16" s="195"/>
      <c r="AW16" s="42"/>
      <c r="AX16" s="195"/>
      <c r="AY16" s="42"/>
      <c r="BR16" s="195"/>
      <c r="BS16" s="42"/>
      <c r="BT16" s="195"/>
      <c r="BU16" s="42"/>
      <c r="BV16" s="195"/>
      <c r="BW16" s="42"/>
      <c r="BX16" s="195"/>
      <c r="BY16" s="42"/>
      <c r="CR16" s="195"/>
      <c r="CS16" s="42"/>
      <c r="CT16" s="195"/>
      <c r="CU16" s="42"/>
      <c r="CV16" s="195"/>
      <c r="CW16" s="42"/>
      <c r="CX16" s="195"/>
      <c r="CY16" s="42"/>
      <c r="CZ16" s="195"/>
      <c r="DA16" s="42"/>
      <c r="DB16" s="195"/>
      <c r="DC16" s="42"/>
      <c r="DD16" s="195"/>
      <c r="DE16" s="42"/>
      <c r="DF16" s="195"/>
      <c r="DG16" s="42"/>
      <c r="DH16" s="195"/>
      <c r="DI16" s="42"/>
      <c r="DJ16" s="195"/>
      <c r="DK16" s="42"/>
      <c r="DL16" s="195"/>
      <c r="DM16" s="42"/>
      <c r="DN16" s="195"/>
      <c r="DO16" s="42"/>
      <c r="DP16" s="195"/>
      <c r="DQ16" s="42"/>
      <c r="DR16" s="195"/>
      <c r="DS16" s="42"/>
      <c r="DT16" s="195"/>
      <c r="DU16" s="42"/>
      <c r="DV16" s="195"/>
      <c r="DW16" s="42"/>
      <c r="DX16" s="195"/>
      <c r="DY16" s="42"/>
      <c r="DZ16" s="195"/>
      <c r="EA16" s="42"/>
      <c r="EB16" s="195"/>
      <c r="EC16" s="42"/>
      <c r="ED16" s="195"/>
      <c r="EE16" s="42"/>
      <c r="EF16" s="195"/>
      <c r="EG16" s="42"/>
      <c r="EH16" s="195"/>
      <c r="EI16" s="42"/>
      <c r="EJ16" s="195"/>
      <c r="EK16" s="42"/>
      <c r="EL16" s="195"/>
      <c r="EM16" s="42"/>
      <c r="EN16" s="195"/>
      <c r="EO16" s="42"/>
      <c r="EP16" s="195"/>
      <c r="EQ16" s="42"/>
    </row>
    <row r="17" spans="1:147" s="171" customFormat="1" ht="12.75" customHeight="1" x14ac:dyDescent="0.2">
      <c r="A17" s="169"/>
      <c r="B17" s="1403" t="s">
        <v>1813</v>
      </c>
      <c r="C17" s="1404"/>
      <c r="D17" s="207">
        <v>100</v>
      </c>
      <c r="E17" s="35" t="s">
        <v>250</v>
      </c>
      <c r="F17" s="1775"/>
      <c r="G17" s="1775"/>
      <c r="H17" s="1776"/>
      <c r="I17" s="1786"/>
      <c r="J17" s="1786"/>
      <c r="K17" s="966"/>
      <c r="L17" s="203">
        <f t="shared" ref="L17:L43" si="0">I17</f>
        <v>0</v>
      </c>
      <c r="M17" s="203">
        <f t="shared" ref="M17:M42" si="1">J17</f>
        <v>0</v>
      </c>
      <c r="N17" s="1876"/>
      <c r="O17" s="1464"/>
      <c r="P17" s="1464"/>
      <c r="Q17" s="1465"/>
      <c r="R17" s="1464"/>
      <c r="S17" s="1464"/>
      <c r="T17" s="966"/>
      <c r="U17" s="203">
        <f t="shared" ref="U17:U43" si="2">R17</f>
        <v>0</v>
      </c>
      <c r="V17" s="203">
        <f t="shared" ref="V17:V42" si="3">S17</f>
        <v>0</v>
      </c>
      <c r="W17" s="1876"/>
      <c r="X17" s="437">
        <f t="shared" ref="X17:X25" si="4">L17-U17</f>
        <v>0</v>
      </c>
      <c r="Y17" s="209">
        <f t="shared" ref="Y17:Y25" si="5">M17-V17</f>
        <v>0</v>
      </c>
      <c r="Z17" s="209">
        <f t="shared" ref="Z17:Z42" si="6">0.5*(X17-Y17)</f>
        <v>0</v>
      </c>
      <c r="AB17" s="209">
        <f t="shared" ref="AB17:AB25" si="7">X17/D17</f>
        <v>0</v>
      </c>
      <c r="AC17" s="209">
        <f t="shared" ref="AC17:AC25" si="8">Y17/(-D17)</f>
        <v>0</v>
      </c>
      <c r="AD17" s="318">
        <f>(X17-Y17)/(2*D17)</f>
        <v>0</v>
      </c>
      <c r="AF17" s="193"/>
      <c r="AG17" s="210"/>
      <c r="AI17" s="210"/>
      <c r="AK17" s="210"/>
      <c r="AM17" s="210"/>
      <c r="AO17" s="210"/>
      <c r="AQ17" s="210"/>
      <c r="AS17" s="210"/>
      <c r="AU17" s="210"/>
      <c r="AW17" s="210"/>
      <c r="AY17" s="210"/>
      <c r="BA17" s="210"/>
      <c r="BC17" s="210"/>
      <c r="BE17" s="210"/>
      <c r="BG17" s="210"/>
      <c r="BI17" s="210"/>
      <c r="BK17" s="210"/>
      <c r="BM17" s="210"/>
      <c r="BO17" s="210"/>
      <c r="BQ17" s="210"/>
      <c r="BS17" s="210"/>
      <c r="BU17" s="210"/>
      <c r="BW17" s="210"/>
      <c r="BY17" s="210"/>
      <c r="CA17" s="210"/>
      <c r="CC17" s="210"/>
      <c r="CE17" s="210"/>
      <c r="CG17" s="210"/>
      <c r="CI17" s="210"/>
      <c r="CK17" s="210"/>
      <c r="CM17" s="210"/>
      <c r="CO17" s="210"/>
      <c r="CQ17" s="210"/>
      <c r="CS17" s="210"/>
      <c r="CU17" s="210"/>
      <c r="CW17" s="210"/>
      <c r="CY17" s="210"/>
      <c r="DA17" s="210"/>
      <c r="DC17" s="210"/>
      <c r="DE17" s="210"/>
      <c r="DG17" s="210"/>
      <c r="DI17" s="210"/>
      <c r="DK17" s="210"/>
      <c r="DM17" s="210"/>
      <c r="DO17" s="210"/>
      <c r="DQ17" s="210"/>
      <c r="DS17" s="210"/>
      <c r="DU17" s="210"/>
      <c r="DW17" s="210"/>
      <c r="DY17" s="210"/>
      <c r="EA17" s="210"/>
      <c r="EC17" s="210"/>
      <c r="EE17" s="210"/>
      <c r="EG17" s="210"/>
      <c r="EI17" s="210"/>
      <c r="EK17" s="210"/>
      <c r="EM17" s="210"/>
      <c r="EO17" s="210"/>
      <c r="EQ17" s="210"/>
    </row>
    <row r="18" spans="1:147" s="171" customFormat="1" ht="12.75" customHeight="1" x14ac:dyDescent="0.2">
      <c r="A18" s="169"/>
      <c r="B18" s="1405" t="s">
        <v>2282</v>
      </c>
      <c r="C18" s="1406"/>
      <c r="D18" s="207">
        <v>100</v>
      </c>
      <c r="E18" s="35" t="s">
        <v>250</v>
      </c>
      <c r="F18" s="1775"/>
      <c r="G18" s="1775"/>
      <c r="H18" s="1776"/>
      <c r="I18" s="1786"/>
      <c r="J18" s="1786"/>
      <c r="K18" s="966"/>
      <c r="L18" s="203">
        <f t="shared" si="0"/>
        <v>0</v>
      </c>
      <c r="M18" s="203">
        <f t="shared" si="1"/>
        <v>0</v>
      </c>
      <c r="N18" s="203"/>
      <c r="O18" s="1464"/>
      <c r="P18" s="1464"/>
      <c r="Q18" s="1465"/>
      <c r="R18" s="1464"/>
      <c r="S18" s="1464"/>
      <c r="T18" s="966"/>
      <c r="U18" s="203">
        <f t="shared" si="2"/>
        <v>0</v>
      </c>
      <c r="V18" s="203">
        <f t="shared" si="3"/>
        <v>0</v>
      </c>
      <c r="W18" s="203"/>
      <c r="X18" s="437">
        <f t="shared" si="4"/>
        <v>0</v>
      </c>
      <c r="Y18" s="209">
        <f t="shared" si="5"/>
        <v>0</v>
      </c>
      <c r="Z18" s="209">
        <f t="shared" si="6"/>
        <v>0</v>
      </c>
      <c r="AB18" s="209">
        <f t="shared" si="7"/>
        <v>0</v>
      </c>
      <c r="AC18" s="209">
        <f t="shared" si="8"/>
        <v>0</v>
      </c>
      <c r="AD18" s="318">
        <f t="shared" ref="AD18:AD25" si="9">(X18-Y18)/(2*D18)</f>
        <v>0</v>
      </c>
      <c r="AF18" s="193"/>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row>
    <row r="19" spans="1:147" s="171" customFormat="1" ht="12.75" customHeight="1" x14ac:dyDescent="0.2">
      <c r="A19" s="24"/>
      <c r="B19" s="674" t="s">
        <v>2283</v>
      </c>
      <c r="C19" s="1407"/>
      <c r="D19" s="213">
        <v>100</v>
      </c>
      <c r="E19" s="214" t="s">
        <v>250</v>
      </c>
      <c r="F19" s="1777"/>
      <c r="G19" s="1777"/>
      <c r="H19" s="1778"/>
      <c r="I19" s="1787"/>
      <c r="J19" s="1787"/>
      <c r="K19" s="968"/>
      <c r="L19" s="215">
        <f t="shared" si="0"/>
        <v>0</v>
      </c>
      <c r="M19" s="215">
        <f t="shared" si="1"/>
        <v>0</v>
      </c>
      <c r="N19" s="215"/>
      <c r="O19" s="1466"/>
      <c r="P19" s="1466"/>
      <c r="Q19" s="1467"/>
      <c r="R19" s="1466"/>
      <c r="S19" s="1466"/>
      <c r="T19" s="968"/>
      <c r="U19" s="215">
        <f t="shared" si="2"/>
        <v>0</v>
      </c>
      <c r="V19" s="215">
        <f t="shared" si="3"/>
        <v>0</v>
      </c>
      <c r="W19" s="215"/>
      <c r="X19" s="438">
        <f t="shared" si="4"/>
        <v>0</v>
      </c>
      <c r="Y19" s="217">
        <f t="shared" si="5"/>
        <v>0</v>
      </c>
      <c r="Z19" s="217">
        <f t="shared" si="6"/>
        <v>0</v>
      </c>
      <c r="AA19" s="218"/>
      <c r="AB19" s="217">
        <f t="shared" si="7"/>
        <v>0</v>
      </c>
      <c r="AC19" s="217">
        <f t="shared" si="8"/>
        <v>0</v>
      </c>
      <c r="AD19" s="319">
        <f t="shared" si="9"/>
        <v>0</v>
      </c>
      <c r="AF19" s="193"/>
    </row>
    <row r="20" spans="1:147" ht="12.75" customHeight="1" x14ac:dyDescent="0.2">
      <c r="A20" s="169"/>
      <c r="B20" s="1409" t="s">
        <v>1814</v>
      </c>
      <c r="C20" s="220"/>
      <c r="D20" s="207">
        <v>140</v>
      </c>
      <c r="E20" s="35" t="s">
        <v>250</v>
      </c>
      <c r="F20" s="1775"/>
      <c r="G20" s="1775"/>
      <c r="H20" s="1776"/>
      <c r="I20" s="1786"/>
      <c r="J20" s="1786"/>
      <c r="K20" s="966"/>
      <c r="L20" s="203">
        <f t="shared" si="0"/>
        <v>0</v>
      </c>
      <c r="M20" s="203">
        <f t="shared" si="1"/>
        <v>0</v>
      </c>
      <c r="N20" s="203"/>
      <c r="O20" s="1464"/>
      <c r="P20" s="1464"/>
      <c r="Q20" s="1465"/>
      <c r="R20" s="1464"/>
      <c r="S20" s="1464"/>
      <c r="T20" s="966"/>
      <c r="U20" s="203">
        <f t="shared" si="2"/>
        <v>0</v>
      </c>
      <c r="V20" s="203">
        <f t="shared" si="3"/>
        <v>0</v>
      </c>
      <c r="W20" s="203"/>
      <c r="X20" s="437">
        <f t="shared" si="4"/>
        <v>0</v>
      </c>
      <c r="Y20" s="209">
        <f t="shared" si="5"/>
        <v>0</v>
      </c>
      <c r="Z20" s="209">
        <f t="shared" si="6"/>
        <v>0</v>
      </c>
      <c r="AA20" s="171"/>
      <c r="AB20" s="209">
        <f t="shared" si="7"/>
        <v>0</v>
      </c>
      <c r="AC20" s="209">
        <f t="shared" si="8"/>
        <v>0</v>
      </c>
      <c r="AD20" s="318">
        <f t="shared" si="9"/>
        <v>0</v>
      </c>
      <c r="AE20" s="171"/>
      <c r="AF20" s="171"/>
    </row>
    <row r="21" spans="1:147" ht="12.75" customHeight="1" x14ac:dyDescent="0.2">
      <c r="A21" s="24"/>
      <c r="B21" s="1409" t="s">
        <v>2284</v>
      </c>
      <c r="C21" s="220"/>
      <c r="D21" s="207">
        <v>140</v>
      </c>
      <c r="E21" s="35" t="s">
        <v>250</v>
      </c>
      <c r="F21" s="1775"/>
      <c r="G21" s="1775"/>
      <c r="H21" s="1776"/>
      <c r="I21" s="1786"/>
      <c r="J21" s="1786"/>
      <c r="K21" s="966"/>
      <c r="L21" s="203">
        <f t="shared" si="0"/>
        <v>0</v>
      </c>
      <c r="M21" s="203">
        <f t="shared" si="1"/>
        <v>0</v>
      </c>
      <c r="N21" s="203"/>
      <c r="O21" s="1464"/>
      <c r="P21" s="1464"/>
      <c r="Q21" s="1465"/>
      <c r="R21" s="1464"/>
      <c r="S21" s="1464"/>
      <c r="T21" s="966"/>
      <c r="U21" s="203">
        <f t="shared" si="2"/>
        <v>0</v>
      </c>
      <c r="V21" s="203">
        <f t="shared" si="3"/>
        <v>0</v>
      </c>
      <c r="W21" s="203"/>
      <c r="X21" s="437">
        <f t="shared" si="4"/>
        <v>0</v>
      </c>
      <c r="Y21" s="209">
        <f t="shared" si="5"/>
        <v>0</v>
      </c>
      <c r="Z21" s="209">
        <f t="shared" si="6"/>
        <v>0</v>
      </c>
      <c r="AA21" s="171"/>
      <c r="AB21" s="209">
        <f t="shared" si="7"/>
        <v>0</v>
      </c>
      <c r="AC21" s="209">
        <f t="shared" si="8"/>
        <v>0</v>
      </c>
      <c r="AD21" s="318">
        <f t="shared" si="9"/>
        <v>0</v>
      </c>
      <c r="AE21" s="171"/>
      <c r="AF21" s="171"/>
    </row>
    <row r="22" spans="1:147" ht="12.75" customHeight="1" x14ac:dyDescent="0.2">
      <c r="A22" s="169"/>
      <c r="B22" s="1410" t="s">
        <v>2285</v>
      </c>
      <c r="C22" s="221"/>
      <c r="D22" s="213">
        <v>140</v>
      </c>
      <c r="E22" s="214" t="s">
        <v>250</v>
      </c>
      <c r="F22" s="1777"/>
      <c r="G22" s="1777"/>
      <c r="H22" s="1778"/>
      <c r="I22" s="1787"/>
      <c r="J22" s="1787"/>
      <c r="K22" s="968"/>
      <c r="L22" s="215">
        <f t="shared" si="0"/>
        <v>0</v>
      </c>
      <c r="M22" s="215">
        <f t="shared" si="1"/>
        <v>0</v>
      </c>
      <c r="N22" s="215"/>
      <c r="O22" s="1466"/>
      <c r="P22" s="1466"/>
      <c r="Q22" s="1467"/>
      <c r="R22" s="1466"/>
      <c r="S22" s="1466"/>
      <c r="T22" s="968"/>
      <c r="U22" s="215">
        <f t="shared" si="2"/>
        <v>0</v>
      </c>
      <c r="V22" s="215">
        <f t="shared" si="3"/>
        <v>0</v>
      </c>
      <c r="W22" s="215"/>
      <c r="X22" s="438">
        <f t="shared" si="4"/>
        <v>0</v>
      </c>
      <c r="Y22" s="217">
        <f t="shared" si="5"/>
        <v>0</v>
      </c>
      <c r="Z22" s="217">
        <f t="shared" si="6"/>
        <v>0</v>
      </c>
      <c r="AA22" s="218"/>
      <c r="AB22" s="217">
        <f t="shared" si="7"/>
        <v>0</v>
      </c>
      <c r="AC22" s="217">
        <f t="shared" si="8"/>
        <v>0</v>
      </c>
      <c r="AD22" s="319">
        <f t="shared" si="9"/>
        <v>0</v>
      </c>
      <c r="AE22" s="171"/>
      <c r="AF22" s="171"/>
    </row>
    <row r="23" spans="1:147" ht="12.75" customHeight="1" x14ac:dyDescent="0.2">
      <c r="A23" s="24"/>
      <c r="B23" s="1403" t="s">
        <v>1815</v>
      </c>
      <c r="C23" s="206"/>
      <c r="D23" s="207">
        <v>140</v>
      </c>
      <c r="E23" s="35" t="s">
        <v>250</v>
      </c>
      <c r="F23" s="1775"/>
      <c r="G23" s="1775"/>
      <c r="H23" s="1776"/>
      <c r="I23" s="1786"/>
      <c r="J23" s="1786"/>
      <c r="K23" s="966"/>
      <c r="L23" s="203">
        <f t="shared" si="0"/>
        <v>0</v>
      </c>
      <c r="M23" s="203">
        <f t="shared" si="1"/>
        <v>0</v>
      </c>
      <c r="N23" s="203"/>
      <c r="O23" s="1464"/>
      <c r="P23" s="1464"/>
      <c r="Q23" s="1465"/>
      <c r="R23" s="1464"/>
      <c r="S23" s="1464"/>
      <c r="T23" s="966"/>
      <c r="U23" s="203">
        <f t="shared" si="2"/>
        <v>0</v>
      </c>
      <c r="V23" s="203">
        <f t="shared" si="3"/>
        <v>0</v>
      </c>
      <c r="W23" s="203"/>
      <c r="X23" s="437">
        <f t="shared" si="4"/>
        <v>0</v>
      </c>
      <c r="Y23" s="209">
        <f t="shared" si="5"/>
        <v>0</v>
      </c>
      <c r="Z23" s="209">
        <f t="shared" si="6"/>
        <v>0</v>
      </c>
      <c r="AA23" s="171"/>
      <c r="AB23" s="209">
        <f t="shared" si="7"/>
        <v>0</v>
      </c>
      <c r="AC23" s="209">
        <f t="shared" si="8"/>
        <v>0</v>
      </c>
      <c r="AD23" s="318">
        <f t="shared" si="9"/>
        <v>0</v>
      </c>
      <c r="AE23" s="171"/>
      <c r="AF23" s="171"/>
    </row>
    <row r="24" spans="1:147" ht="12.75" customHeight="1" x14ac:dyDescent="0.2">
      <c r="A24" s="169"/>
      <c r="B24" s="1403" t="s">
        <v>2286</v>
      </c>
      <c r="C24" s="206"/>
      <c r="D24" s="207">
        <v>140</v>
      </c>
      <c r="E24" s="35" t="s">
        <v>250</v>
      </c>
      <c r="F24" s="1775"/>
      <c r="G24" s="1775"/>
      <c r="H24" s="1776"/>
      <c r="I24" s="1786"/>
      <c r="J24" s="1786"/>
      <c r="K24" s="966"/>
      <c r="L24" s="203">
        <f t="shared" si="0"/>
        <v>0</v>
      </c>
      <c r="M24" s="203">
        <f t="shared" si="1"/>
        <v>0</v>
      </c>
      <c r="N24" s="203"/>
      <c r="O24" s="1464"/>
      <c r="P24" s="1464"/>
      <c r="Q24" s="1465"/>
      <c r="R24" s="1464"/>
      <c r="S24" s="1464"/>
      <c r="T24" s="966"/>
      <c r="U24" s="203">
        <f t="shared" si="2"/>
        <v>0</v>
      </c>
      <c r="V24" s="203">
        <f t="shared" si="3"/>
        <v>0</v>
      </c>
      <c r="W24" s="203"/>
      <c r="X24" s="437">
        <f t="shared" si="4"/>
        <v>0</v>
      </c>
      <c r="Y24" s="209">
        <f t="shared" si="5"/>
        <v>0</v>
      </c>
      <c r="Z24" s="209">
        <f t="shared" si="6"/>
        <v>0</v>
      </c>
      <c r="AA24" s="171"/>
      <c r="AB24" s="209">
        <f t="shared" si="7"/>
        <v>0</v>
      </c>
      <c r="AC24" s="209">
        <f t="shared" si="8"/>
        <v>0</v>
      </c>
      <c r="AD24" s="318">
        <f t="shared" si="9"/>
        <v>0</v>
      </c>
      <c r="AE24" s="171"/>
      <c r="AF24" s="171"/>
    </row>
    <row r="25" spans="1:147" ht="12.75" customHeight="1" x14ac:dyDescent="0.2">
      <c r="A25" s="24"/>
      <c r="B25" s="1850" t="s">
        <v>2287</v>
      </c>
      <c r="C25" s="1851"/>
      <c r="D25" s="213">
        <v>140</v>
      </c>
      <c r="E25" s="214" t="s">
        <v>250</v>
      </c>
      <c r="F25" s="1777"/>
      <c r="G25" s="1777"/>
      <c r="H25" s="1778"/>
      <c r="I25" s="1787"/>
      <c r="J25" s="1787"/>
      <c r="K25" s="968"/>
      <c r="L25" s="215">
        <f t="shared" si="0"/>
        <v>0</v>
      </c>
      <c r="M25" s="215">
        <f t="shared" si="1"/>
        <v>0</v>
      </c>
      <c r="N25" s="215"/>
      <c r="O25" s="1466"/>
      <c r="P25" s="1466"/>
      <c r="Q25" s="1467"/>
      <c r="R25" s="1466"/>
      <c r="S25" s="1466"/>
      <c r="T25" s="968"/>
      <c r="U25" s="215">
        <f t="shared" si="2"/>
        <v>0</v>
      </c>
      <c r="V25" s="215">
        <f t="shared" si="3"/>
        <v>0</v>
      </c>
      <c r="W25" s="215"/>
      <c r="X25" s="438">
        <f t="shared" si="4"/>
        <v>0</v>
      </c>
      <c r="Y25" s="217">
        <f t="shared" si="5"/>
        <v>0</v>
      </c>
      <c r="Z25" s="217">
        <f t="shared" si="6"/>
        <v>0</v>
      </c>
      <c r="AA25" s="218"/>
      <c r="AB25" s="217">
        <f t="shared" si="7"/>
        <v>0</v>
      </c>
      <c r="AC25" s="217">
        <f t="shared" si="8"/>
        <v>0</v>
      </c>
      <c r="AD25" s="319">
        <f t="shared" si="9"/>
        <v>0</v>
      </c>
      <c r="AE25" s="171"/>
      <c r="AF25" s="171"/>
    </row>
    <row r="26" spans="1:147" ht="12.75" customHeight="1" x14ac:dyDescent="0.2">
      <c r="A26" s="169"/>
      <c r="B26" s="1408" t="s">
        <v>1816</v>
      </c>
      <c r="C26" s="219"/>
      <c r="D26" s="207">
        <v>140</v>
      </c>
      <c r="E26" s="35" t="s">
        <v>250</v>
      </c>
      <c r="F26" s="1775"/>
      <c r="G26" s="1775"/>
      <c r="H26" s="1776"/>
      <c r="I26" s="1786"/>
      <c r="J26" s="1786"/>
      <c r="K26" s="966"/>
      <c r="L26" s="203">
        <f t="shared" si="0"/>
        <v>0</v>
      </c>
      <c r="M26" s="203">
        <f t="shared" si="1"/>
        <v>0</v>
      </c>
      <c r="N26" s="203"/>
      <c r="O26" s="1464"/>
      <c r="P26" s="1464"/>
      <c r="Q26" s="1465"/>
      <c r="R26" s="1464"/>
      <c r="S26" s="1464"/>
      <c r="T26" s="966"/>
      <c r="U26" s="203">
        <f t="shared" si="2"/>
        <v>0</v>
      </c>
      <c r="V26" s="203">
        <f t="shared" si="3"/>
        <v>0</v>
      </c>
      <c r="W26" s="203"/>
      <c r="X26" s="437">
        <f t="shared" ref="X26:X42" si="10">L26-U26</f>
        <v>0</v>
      </c>
      <c r="Y26" s="209">
        <f t="shared" ref="Y26:Y42" si="11">M26-V26</f>
        <v>0</v>
      </c>
      <c r="Z26" s="209">
        <f t="shared" si="6"/>
        <v>0</v>
      </c>
      <c r="AA26" s="171"/>
      <c r="AB26" s="209">
        <f t="shared" ref="AB26:AB42" si="12">X26/D26</f>
        <v>0</v>
      </c>
      <c r="AC26" s="209">
        <f t="shared" ref="AC26:AC42" si="13">Y26/(-D26)</f>
        <v>0</v>
      </c>
      <c r="AD26" s="318">
        <f t="shared" ref="AD26:AD42" si="14">(X26-Y26)/(2*D26)</f>
        <v>0</v>
      </c>
      <c r="AE26" s="171"/>
      <c r="AF26" s="171"/>
    </row>
    <row r="27" spans="1:147" ht="12.75" customHeight="1" x14ac:dyDescent="0.2">
      <c r="A27" s="24"/>
      <c r="B27" s="1408" t="s">
        <v>2288</v>
      </c>
      <c r="C27" s="219"/>
      <c r="D27" s="207">
        <v>140</v>
      </c>
      <c r="E27" s="35" t="s">
        <v>250</v>
      </c>
      <c r="F27" s="1775"/>
      <c r="G27" s="1775"/>
      <c r="H27" s="1776"/>
      <c r="I27" s="1786"/>
      <c r="J27" s="1786"/>
      <c r="K27" s="966"/>
      <c r="L27" s="203">
        <f t="shared" si="0"/>
        <v>0</v>
      </c>
      <c r="M27" s="203">
        <f t="shared" si="1"/>
        <v>0</v>
      </c>
      <c r="N27" s="203"/>
      <c r="O27" s="1464"/>
      <c r="P27" s="1464"/>
      <c r="Q27" s="1465"/>
      <c r="R27" s="1464"/>
      <c r="S27" s="1464"/>
      <c r="T27" s="966"/>
      <c r="U27" s="203">
        <f t="shared" si="2"/>
        <v>0</v>
      </c>
      <c r="V27" s="203">
        <f t="shared" si="3"/>
        <v>0</v>
      </c>
      <c r="W27" s="203"/>
      <c r="X27" s="437">
        <f t="shared" si="10"/>
        <v>0</v>
      </c>
      <c r="Y27" s="209">
        <f t="shared" si="11"/>
        <v>0</v>
      </c>
      <c r="Z27" s="209">
        <f t="shared" si="6"/>
        <v>0</v>
      </c>
      <c r="AA27" s="171"/>
      <c r="AB27" s="209">
        <f t="shared" si="12"/>
        <v>0</v>
      </c>
      <c r="AC27" s="209">
        <f t="shared" si="13"/>
        <v>0</v>
      </c>
      <c r="AD27" s="318">
        <f t="shared" si="14"/>
        <v>0</v>
      </c>
      <c r="AE27" s="171"/>
      <c r="AF27" s="171"/>
    </row>
    <row r="28" spans="1:147" ht="12.75" customHeight="1" x14ac:dyDescent="0.2">
      <c r="A28" s="169"/>
      <c r="B28" s="1853" t="s">
        <v>2289</v>
      </c>
      <c r="C28" s="1854"/>
      <c r="D28" s="213">
        <v>140</v>
      </c>
      <c r="E28" s="214" t="s">
        <v>250</v>
      </c>
      <c r="F28" s="1777"/>
      <c r="G28" s="1777"/>
      <c r="H28" s="1778"/>
      <c r="I28" s="1787"/>
      <c r="J28" s="1787"/>
      <c r="K28" s="968"/>
      <c r="L28" s="215">
        <f t="shared" si="0"/>
        <v>0</v>
      </c>
      <c r="M28" s="215">
        <f t="shared" si="1"/>
        <v>0</v>
      </c>
      <c r="N28" s="215"/>
      <c r="O28" s="1466"/>
      <c r="P28" s="1466"/>
      <c r="Q28" s="1467"/>
      <c r="R28" s="1466"/>
      <c r="S28" s="1466"/>
      <c r="T28" s="968"/>
      <c r="U28" s="215">
        <f t="shared" si="2"/>
        <v>0</v>
      </c>
      <c r="V28" s="215">
        <f t="shared" si="3"/>
        <v>0</v>
      </c>
      <c r="W28" s="215"/>
      <c r="X28" s="438">
        <f t="shared" si="10"/>
        <v>0</v>
      </c>
      <c r="Y28" s="217">
        <f t="shared" si="11"/>
        <v>0</v>
      </c>
      <c r="Z28" s="217">
        <f t="shared" si="6"/>
        <v>0</v>
      </c>
      <c r="AA28" s="218"/>
      <c r="AB28" s="217">
        <f t="shared" si="12"/>
        <v>0</v>
      </c>
      <c r="AC28" s="217">
        <f t="shared" si="13"/>
        <v>0</v>
      </c>
      <c r="AD28" s="319">
        <f t="shared" si="14"/>
        <v>0</v>
      </c>
      <c r="AE28" s="171"/>
      <c r="AF28" s="171"/>
    </row>
    <row r="29" spans="1:147" ht="12.75" customHeight="1" x14ac:dyDescent="0.2">
      <c r="A29" s="169"/>
      <c r="B29" s="1460" t="s">
        <v>1817</v>
      </c>
      <c r="C29" s="395"/>
      <c r="D29" s="222">
        <v>0.3</v>
      </c>
      <c r="E29" s="1852"/>
      <c r="F29" s="1777"/>
      <c r="G29" s="1777"/>
      <c r="H29" s="1778"/>
      <c r="I29" s="1787"/>
      <c r="J29" s="1787"/>
      <c r="K29" s="968"/>
      <c r="L29" s="215">
        <f t="shared" si="0"/>
        <v>0</v>
      </c>
      <c r="M29" s="215">
        <f t="shared" si="1"/>
        <v>0</v>
      </c>
      <c r="N29" s="215"/>
      <c r="O29" s="1466"/>
      <c r="P29" s="1466"/>
      <c r="Q29" s="1467"/>
      <c r="R29" s="1466"/>
      <c r="S29" s="1466"/>
      <c r="T29" s="968"/>
      <c r="U29" s="215">
        <f t="shared" si="2"/>
        <v>0</v>
      </c>
      <c r="V29" s="215">
        <f t="shared" si="3"/>
        <v>0</v>
      </c>
      <c r="W29" s="215"/>
      <c r="X29" s="438">
        <f t="shared" si="10"/>
        <v>0</v>
      </c>
      <c r="Y29" s="217">
        <f t="shared" si="11"/>
        <v>0</v>
      </c>
      <c r="Z29" s="217">
        <f t="shared" si="6"/>
        <v>0</v>
      </c>
      <c r="AA29" s="218"/>
      <c r="AB29" s="217">
        <f t="shared" si="12"/>
        <v>0</v>
      </c>
      <c r="AC29" s="217">
        <f t="shared" si="13"/>
        <v>0</v>
      </c>
      <c r="AD29" s="319">
        <f t="shared" si="14"/>
        <v>0</v>
      </c>
      <c r="AE29" s="171"/>
      <c r="AF29" s="171"/>
    </row>
    <row r="30" spans="1:147" ht="12.75" customHeight="1" x14ac:dyDescent="0.2">
      <c r="A30" s="169"/>
      <c r="B30" s="1409" t="s">
        <v>1818</v>
      </c>
      <c r="C30" s="220"/>
      <c r="D30" s="922">
        <v>100</v>
      </c>
      <c r="E30" s="922" t="s">
        <v>250</v>
      </c>
      <c r="F30" s="1775"/>
      <c r="G30" s="1775"/>
      <c r="H30" s="1776"/>
      <c r="I30" s="1786"/>
      <c r="J30" s="1786"/>
      <c r="K30" s="966"/>
      <c r="L30" s="203">
        <f t="shared" si="0"/>
        <v>0</v>
      </c>
      <c r="M30" s="203">
        <f t="shared" si="1"/>
        <v>0</v>
      </c>
      <c r="N30" s="203"/>
      <c r="O30" s="1464"/>
      <c r="P30" s="1464"/>
      <c r="Q30" s="1465"/>
      <c r="R30" s="1464"/>
      <c r="S30" s="1464"/>
      <c r="T30" s="966"/>
      <c r="U30" s="203">
        <f t="shared" si="2"/>
        <v>0</v>
      </c>
      <c r="V30" s="203">
        <f t="shared" si="3"/>
        <v>0</v>
      </c>
      <c r="W30" s="203"/>
      <c r="X30" s="437">
        <f t="shared" si="10"/>
        <v>0</v>
      </c>
      <c r="Y30" s="209">
        <f t="shared" si="11"/>
        <v>0</v>
      </c>
      <c r="Z30" s="209">
        <f>0.5*(X30-Y30)</f>
        <v>0</v>
      </c>
      <c r="AA30" s="171"/>
      <c r="AB30" s="209">
        <f t="shared" si="12"/>
        <v>0</v>
      </c>
      <c r="AC30" s="209">
        <f t="shared" si="13"/>
        <v>0</v>
      </c>
      <c r="AD30" s="318">
        <f t="shared" si="14"/>
        <v>0</v>
      </c>
      <c r="AE30" s="171"/>
      <c r="AF30" s="171"/>
    </row>
    <row r="31" spans="1:147" ht="12.75" customHeight="1" x14ac:dyDescent="0.2">
      <c r="A31" s="169"/>
      <c r="B31" s="1409" t="s">
        <v>1819</v>
      </c>
      <c r="C31" s="220"/>
      <c r="D31" s="922">
        <v>100</v>
      </c>
      <c r="E31" s="922" t="s">
        <v>250</v>
      </c>
      <c r="F31" s="1775"/>
      <c r="G31" s="1775"/>
      <c r="H31" s="1776"/>
      <c r="I31" s="1786"/>
      <c r="J31" s="1786"/>
      <c r="K31" s="966"/>
      <c r="L31" s="203">
        <f t="shared" si="0"/>
        <v>0</v>
      </c>
      <c r="M31" s="203">
        <f t="shared" si="1"/>
        <v>0</v>
      </c>
      <c r="N31" s="203"/>
      <c r="O31" s="1464"/>
      <c r="P31" s="1464"/>
      <c r="Q31" s="1465"/>
      <c r="R31" s="1464"/>
      <c r="S31" s="1464"/>
      <c r="T31" s="966"/>
      <c r="U31" s="203">
        <f t="shared" si="2"/>
        <v>0</v>
      </c>
      <c r="V31" s="203">
        <f t="shared" si="3"/>
        <v>0</v>
      </c>
      <c r="W31" s="203"/>
      <c r="X31" s="437">
        <f t="shared" si="10"/>
        <v>0</v>
      </c>
      <c r="Y31" s="209">
        <f t="shared" si="11"/>
        <v>0</v>
      </c>
      <c r="Z31" s="209">
        <f>0.5*(X31-Y31)</f>
        <v>0</v>
      </c>
      <c r="AA31" s="171"/>
      <c r="AB31" s="209">
        <f t="shared" si="12"/>
        <v>0</v>
      </c>
      <c r="AC31" s="209">
        <f t="shared" si="13"/>
        <v>0</v>
      </c>
      <c r="AD31" s="318">
        <f t="shared" si="14"/>
        <v>0</v>
      </c>
      <c r="AE31" s="171"/>
      <c r="AF31" s="171"/>
    </row>
    <row r="32" spans="1:147" ht="12.75" customHeight="1" x14ac:dyDescent="0.2">
      <c r="A32" s="169"/>
      <c r="B32" s="1409" t="s">
        <v>1820</v>
      </c>
      <c r="C32" s="220"/>
      <c r="D32" s="922">
        <v>120</v>
      </c>
      <c r="E32" s="922" t="s">
        <v>250</v>
      </c>
      <c r="F32" s="1775"/>
      <c r="G32" s="1779"/>
      <c r="H32" s="1776"/>
      <c r="I32" s="1786"/>
      <c r="J32" s="1786"/>
      <c r="K32" s="966"/>
      <c r="L32" s="203">
        <f t="shared" si="0"/>
        <v>0</v>
      </c>
      <c r="M32" s="203">
        <f t="shared" si="1"/>
        <v>0</v>
      </c>
      <c r="N32" s="203"/>
      <c r="O32" s="1464"/>
      <c r="P32" s="1464"/>
      <c r="Q32" s="1465"/>
      <c r="R32" s="1464"/>
      <c r="S32" s="1464"/>
      <c r="T32" s="966"/>
      <c r="U32" s="203">
        <f t="shared" si="2"/>
        <v>0</v>
      </c>
      <c r="V32" s="203">
        <f t="shared" si="3"/>
        <v>0</v>
      </c>
      <c r="W32" s="203"/>
      <c r="X32" s="437">
        <f t="shared" si="10"/>
        <v>0</v>
      </c>
      <c r="Y32" s="209">
        <f t="shared" si="11"/>
        <v>0</v>
      </c>
      <c r="Z32" s="209">
        <f>0.5*(X32-Y32)</f>
        <v>0</v>
      </c>
      <c r="AA32" s="171"/>
      <c r="AB32" s="209">
        <f t="shared" si="12"/>
        <v>0</v>
      </c>
      <c r="AC32" s="209">
        <f t="shared" si="13"/>
        <v>0</v>
      </c>
      <c r="AD32" s="318">
        <f t="shared" si="14"/>
        <v>0</v>
      </c>
      <c r="AE32" s="171"/>
      <c r="AF32" s="171"/>
    </row>
    <row r="33" spans="1:32" ht="12.75" customHeight="1" x14ac:dyDescent="0.2">
      <c r="A33" s="169"/>
      <c r="B33" s="1409" t="s">
        <v>1821</v>
      </c>
      <c r="C33" s="220"/>
      <c r="D33" s="923">
        <v>150</v>
      </c>
      <c r="E33" s="923" t="s">
        <v>250</v>
      </c>
      <c r="F33" s="1775"/>
      <c r="G33" s="1775"/>
      <c r="H33" s="1776"/>
      <c r="I33" s="1786"/>
      <c r="J33" s="1786"/>
      <c r="K33" s="966"/>
      <c r="L33" s="203">
        <f t="shared" si="0"/>
        <v>0</v>
      </c>
      <c r="M33" s="203">
        <f t="shared" si="1"/>
        <v>0</v>
      </c>
      <c r="N33" s="203"/>
      <c r="O33" s="1464"/>
      <c r="P33" s="1464"/>
      <c r="Q33" s="1465"/>
      <c r="R33" s="1464"/>
      <c r="S33" s="1464"/>
      <c r="T33" s="966"/>
      <c r="U33" s="203">
        <f t="shared" si="2"/>
        <v>0</v>
      </c>
      <c r="V33" s="203">
        <f t="shared" si="3"/>
        <v>0</v>
      </c>
      <c r="W33" s="203"/>
      <c r="X33" s="437">
        <f t="shared" si="10"/>
        <v>0</v>
      </c>
      <c r="Y33" s="209">
        <f t="shared" si="11"/>
        <v>0</v>
      </c>
      <c r="Z33" s="209">
        <f>0.5*(X33-Y33)</f>
        <v>0</v>
      </c>
      <c r="AA33" s="171"/>
      <c r="AB33" s="209">
        <f t="shared" si="12"/>
        <v>0</v>
      </c>
      <c r="AC33" s="209">
        <f t="shared" si="13"/>
        <v>0</v>
      </c>
      <c r="AD33" s="318">
        <f t="shared" si="14"/>
        <v>0</v>
      </c>
      <c r="AE33" s="171"/>
      <c r="AF33" s="171"/>
    </row>
    <row r="34" spans="1:32" ht="12.75" customHeight="1" x14ac:dyDescent="0.2">
      <c r="A34" s="24"/>
      <c r="B34" s="1448" t="s">
        <v>1822</v>
      </c>
      <c r="C34" s="1411"/>
      <c r="D34" s="1475">
        <v>200</v>
      </c>
      <c r="E34" s="1475" t="s">
        <v>250</v>
      </c>
      <c r="F34" s="1780"/>
      <c r="G34" s="1780"/>
      <c r="H34" s="1781"/>
      <c r="I34" s="1789"/>
      <c r="J34" s="1789"/>
      <c r="K34" s="970"/>
      <c r="L34" s="1412">
        <f t="shared" si="0"/>
        <v>0</v>
      </c>
      <c r="M34" s="1412">
        <f t="shared" si="1"/>
        <v>0</v>
      </c>
      <c r="N34" s="1412"/>
      <c r="O34" s="1469"/>
      <c r="P34" s="1469"/>
      <c r="Q34" s="1470"/>
      <c r="R34" s="1469"/>
      <c r="S34" s="1469"/>
      <c r="T34" s="970"/>
      <c r="U34" s="1412">
        <f t="shared" si="2"/>
        <v>0</v>
      </c>
      <c r="V34" s="1412">
        <f t="shared" si="3"/>
        <v>0</v>
      </c>
      <c r="W34" s="1412"/>
      <c r="X34" s="1414">
        <f t="shared" si="10"/>
        <v>0</v>
      </c>
      <c r="Y34" s="1415">
        <f t="shared" si="11"/>
        <v>0</v>
      </c>
      <c r="Z34" s="1415">
        <f t="shared" si="6"/>
        <v>0</v>
      </c>
      <c r="AA34" s="1416"/>
      <c r="AB34" s="1415">
        <f t="shared" si="12"/>
        <v>0</v>
      </c>
      <c r="AC34" s="1415">
        <f t="shared" si="13"/>
        <v>0</v>
      </c>
      <c r="AD34" s="1417">
        <f t="shared" si="14"/>
        <v>0</v>
      </c>
      <c r="AE34" s="171"/>
      <c r="AF34" s="171"/>
    </row>
    <row r="35" spans="1:32" ht="12.75" customHeight="1" x14ac:dyDescent="0.2">
      <c r="A35" s="24"/>
      <c r="B35" s="1409" t="s">
        <v>1823</v>
      </c>
      <c r="C35" s="220"/>
      <c r="D35" s="922">
        <v>100</v>
      </c>
      <c r="E35" s="922" t="s">
        <v>250</v>
      </c>
      <c r="F35" s="1775"/>
      <c r="G35" s="1775"/>
      <c r="H35" s="1776"/>
      <c r="I35" s="1786"/>
      <c r="J35" s="1786"/>
      <c r="K35" s="966"/>
      <c r="L35" s="203">
        <f t="shared" si="0"/>
        <v>0</v>
      </c>
      <c r="M35" s="203">
        <f t="shared" si="1"/>
        <v>0</v>
      </c>
      <c r="N35" s="203"/>
      <c r="O35" s="1464"/>
      <c r="P35" s="1464"/>
      <c r="Q35" s="1465"/>
      <c r="R35" s="1464"/>
      <c r="S35" s="1464"/>
      <c r="T35" s="966"/>
      <c r="U35" s="203">
        <f t="shared" si="2"/>
        <v>0</v>
      </c>
      <c r="V35" s="203">
        <f t="shared" si="3"/>
        <v>0</v>
      </c>
      <c r="W35" s="203"/>
      <c r="X35" s="437">
        <f t="shared" si="10"/>
        <v>0</v>
      </c>
      <c r="Y35" s="209">
        <f t="shared" si="11"/>
        <v>0</v>
      </c>
      <c r="Z35" s="209">
        <f t="shared" si="6"/>
        <v>0</v>
      </c>
      <c r="AA35" s="171"/>
      <c r="AB35" s="209">
        <f t="shared" si="12"/>
        <v>0</v>
      </c>
      <c r="AC35" s="209">
        <f t="shared" si="13"/>
        <v>0</v>
      </c>
      <c r="AD35" s="318">
        <f t="shared" si="14"/>
        <v>0</v>
      </c>
      <c r="AE35" s="171"/>
      <c r="AF35" s="171"/>
    </row>
    <row r="36" spans="1:32" ht="12.75" customHeight="1" x14ac:dyDescent="0.2">
      <c r="A36" s="169"/>
      <c r="B36" s="1409" t="s">
        <v>1824</v>
      </c>
      <c r="C36" s="220"/>
      <c r="D36" s="922">
        <v>120</v>
      </c>
      <c r="E36" s="922" t="s">
        <v>250</v>
      </c>
      <c r="F36" s="1775"/>
      <c r="G36" s="1775"/>
      <c r="H36" s="1776"/>
      <c r="I36" s="1788"/>
      <c r="J36" s="1788"/>
      <c r="K36" s="966"/>
      <c r="L36" s="203">
        <f t="shared" si="0"/>
        <v>0</v>
      </c>
      <c r="M36" s="203">
        <f t="shared" si="1"/>
        <v>0</v>
      </c>
      <c r="N36" s="203"/>
      <c r="O36" s="1464"/>
      <c r="P36" s="1464"/>
      <c r="Q36" s="1465"/>
      <c r="R36" s="1464"/>
      <c r="S36" s="1464"/>
      <c r="T36" s="966"/>
      <c r="U36" s="203">
        <f t="shared" si="2"/>
        <v>0</v>
      </c>
      <c r="V36" s="203">
        <f t="shared" si="3"/>
        <v>0</v>
      </c>
      <c r="W36" s="203"/>
      <c r="X36" s="437">
        <f t="shared" si="10"/>
        <v>0</v>
      </c>
      <c r="Y36" s="209">
        <f t="shared" si="11"/>
        <v>0</v>
      </c>
      <c r="Z36" s="209">
        <f t="shared" si="6"/>
        <v>0</v>
      </c>
      <c r="AA36" s="171"/>
      <c r="AB36" s="209">
        <f t="shared" si="12"/>
        <v>0</v>
      </c>
      <c r="AC36" s="209">
        <f t="shared" si="13"/>
        <v>0</v>
      </c>
      <c r="AD36" s="318">
        <f t="shared" si="14"/>
        <v>0</v>
      </c>
      <c r="AE36" s="171"/>
      <c r="AF36" s="171"/>
    </row>
    <row r="37" spans="1:32" ht="12.75" customHeight="1" x14ac:dyDescent="0.2">
      <c r="A37" s="24"/>
      <c r="B37" s="1409" t="s">
        <v>1825</v>
      </c>
      <c r="C37" s="220"/>
      <c r="D37" s="922">
        <v>150</v>
      </c>
      <c r="E37" s="538" t="s">
        <v>250</v>
      </c>
      <c r="F37" s="1775"/>
      <c r="G37" s="1775"/>
      <c r="H37" s="1776"/>
      <c r="I37" s="1786"/>
      <c r="J37" s="1786"/>
      <c r="K37" s="966"/>
      <c r="L37" s="203">
        <f t="shared" si="0"/>
        <v>0</v>
      </c>
      <c r="M37" s="203">
        <f t="shared" si="1"/>
        <v>0</v>
      </c>
      <c r="N37" s="203"/>
      <c r="O37" s="1464"/>
      <c r="P37" s="1464"/>
      <c r="Q37" s="1465"/>
      <c r="R37" s="1464"/>
      <c r="S37" s="1464"/>
      <c r="T37" s="966"/>
      <c r="U37" s="203">
        <f t="shared" si="2"/>
        <v>0</v>
      </c>
      <c r="V37" s="203">
        <f t="shared" si="3"/>
        <v>0</v>
      </c>
      <c r="W37" s="203"/>
      <c r="X37" s="437">
        <f t="shared" si="10"/>
        <v>0</v>
      </c>
      <c r="Y37" s="209">
        <f t="shared" si="11"/>
        <v>0</v>
      </c>
      <c r="Z37" s="209">
        <f t="shared" si="6"/>
        <v>0</v>
      </c>
      <c r="AA37" s="171"/>
      <c r="AB37" s="209">
        <f t="shared" si="12"/>
        <v>0</v>
      </c>
      <c r="AC37" s="209">
        <f t="shared" si="13"/>
        <v>0</v>
      </c>
      <c r="AD37" s="318">
        <f t="shared" si="14"/>
        <v>0</v>
      </c>
      <c r="AE37" s="171"/>
      <c r="AF37" s="171"/>
    </row>
    <row r="38" spans="1:32" ht="12.75" customHeight="1" x14ac:dyDescent="0.2">
      <c r="A38" s="24"/>
      <c r="B38" s="1409" t="s">
        <v>2290</v>
      </c>
      <c r="C38" s="220"/>
      <c r="D38" s="922">
        <v>100</v>
      </c>
      <c r="E38" s="538" t="s">
        <v>250</v>
      </c>
      <c r="F38" s="1775"/>
      <c r="G38" s="1775"/>
      <c r="H38" s="1776"/>
      <c r="I38" s="1786"/>
      <c r="J38" s="1786"/>
      <c r="K38" s="966"/>
      <c r="L38" s="203">
        <f t="shared" ref="L38:L40" si="15">I38</f>
        <v>0</v>
      </c>
      <c r="M38" s="203">
        <f t="shared" ref="M38:M40" si="16">J38</f>
        <v>0</v>
      </c>
      <c r="N38" s="203"/>
      <c r="O38" s="1464"/>
      <c r="P38" s="1464"/>
      <c r="Q38" s="1465"/>
      <c r="R38" s="1464"/>
      <c r="S38" s="1464"/>
      <c r="T38" s="966"/>
      <c r="U38" s="203">
        <f t="shared" ref="U38:U40" si="17">R38</f>
        <v>0</v>
      </c>
      <c r="V38" s="203">
        <f t="shared" ref="V38:V40" si="18">S38</f>
        <v>0</v>
      </c>
      <c r="W38" s="203"/>
      <c r="X38" s="437">
        <f t="shared" ref="X38:X40" si="19">L38-U38</f>
        <v>0</v>
      </c>
      <c r="Y38" s="209">
        <f t="shared" ref="Y38:Y40" si="20">M38-V38</f>
        <v>0</v>
      </c>
      <c r="Z38" s="209">
        <f t="shared" ref="Z38:Z40" si="21">0.5*(X38-Y38)</f>
        <v>0</v>
      </c>
      <c r="AA38" s="171"/>
      <c r="AB38" s="209">
        <f t="shared" ref="AB38:AB40" si="22">X38/D38</f>
        <v>0</v>
      </c>
      <c r="AC38" s="209">
        <f t="shared" ref="AC38:AC40" si="23">Y38/(-D38)</f>
        <v>0</v>
      </c>
      <c r="AD38" s="318">
        <f t="shared" ref="AD38:AD40" si="24">(X38-Y38)/(2*D38)</f>
        <v>0</v>
      </c>
      <c r="AE38" s="171"/>
      <c r="AF38" s="171"/>
    </row>
    <row r="39" spans="1:32" ht="12.75" customHeight="1" x14ac:dyDescent="0.2">
      <c r="A39" s="24"/>
      <c r="B39" s="1401" t="s">
        <v>2547</v>
      </c>
      <c r="C39" s="201"/>
      <c r="D39" s="1855">
        <v>100</v>
      </c>
      <c r="E39" s="1856" t="s">
        <v>250</v>
      </c>
      <c r="F39" s="1857"/>
      <c r="G39" s="1857"/>
      <c r="H39" s="1858"/>
      <c r="I39" s="1859"/>
      <c r="J39" s="1859"/>
      <c r="K39" s="964"/>
      <c r="L39" s="202">
        <f t="shared" si="15"/>
        <v>0</v>
      </c>
      <c r="M39" s="202">
        <f t="shared" si="16"/>
        <v>0</v>
      </c>
      <c r="N39" s="202"/>
      <c r="O39" s="1860"/>
      <c r="P39" s="1860"/>
      <c r="Q39" s="1861"/>
      <c r="R39" s="1860"/>
      <c r="S39" s="1860"/>
      <c r="T39" s="964"/>
      <c r="U39" s="202">
        <f t="shared" si="17"/>
        <v>0</v>
      </c>
      <c r="V39" s="202">
        <f t="shared" si="18"/>
        <v>0</v>
      </c>
      <c r="W39" s="202"/>
      <c r="X39" s="436">
        <f t="shared" si="19"/>
        <v>0</v>
      </c>
      <c r="Y39" s="204">
        <f t="shared" si="20"/>
        <v>0</v>
      </c>
      <c r="Z39" s="204">
        <f t="shared" si="21"/>
        <v>0</v>
      </c>
      <c r="AA39" s="205"/>
      <c r="AB39" s="204">
        <f t="shared" si="22"/>
        <v>0</v>
      </c>
      <c r="AC39" s="204">
        <f t="shared" si="23"/>
        <v>0</v>
      </c>
      <c r="AD39" s="317">
        <f t="shared" si="24"/>
        <v>0</v>
      </c>
      <c r="AE39" s="171"/>
      <c r="AF39" s="171"/>
    </row>
    <row r="40" spans="1:32" ht="12.75" customHeight="1" x14ac:dyDescent="0.2">
      <c r="A40" s="24"/>
      <c r="B40" s="1850" t="s">
        <v>2548</v>
      </c>
      <c r="C40" s="1851"/>
      <c r="D40" s="923">
        <v>100</v>
      </c>
      <c r="E40" s="539" t="s">
        <v>250</v>
      </c>
      <c r="F40" s="1777"/>
      <c r="G40" s="1777"/>
      <c r="H40" s="1778"/>
      <c r="I40" s="1787"/>
      <c r="J40" s="1787"/>
      <c r="K40" s="968"/>
      <c r="L40" s="215">
        <f t="shared" si="15"/>
        <v>0</v>
      </c>
      <c r="M40" s="215">
        <f t="shared" si="16"/>
        <v>0</v>
      </c>
      <c r="N40" s="215"/>
      <c r="O40" s="1466"/>
      <c r="P40" s="1466"/>
      <c r="Q40" s="1467"/>
      <c r="R40" s="1466"/>
      <c r="S40" s="1466"/>
      <c r="T40" s="968"/>
      <c r="U40" s="215">
        <f t="shared" si="17"/>
        <v>0</v>
      </c>
      <c r="V40" s="215">
        <f t="shared" si="18"/>
        <v>0</v>
      </c>
      <c r="W40" s="215"/>
      <c r="X40" s="438">
        <f t="shared" si="19"/>
        <v>0</v>
      </c>
      <c r="Y40" s="217">
        <f t="shared" si="20"/>
        <v>0</v>
      </c>
      <c r="Z40" s="217">
        <f t="shared" si="21"/>
        <v>0</v>
      </c>
      <c r="AA40" s="218"/>
      <c r="AB40" s="217">
        <f t="shared" si="22"/>
        <v>0</v>
      </c>
      <c r="AC40" s="217">
        <f t="shared" si="23"/>
        <v>0</v>
      </c>
      <c r="AD40" s="319">
        <f t="shared" si="24"/>
        <v>0</v>
      </c>
      <c r="AE40" s="171"/>
      <c r="AF40" s="171"/>
    </row>
    <row r="41" spans="1:32" ht="12.75" customHeight="1" x14ac:dyDescent="0.2">
      <c r="A41" s="169"/>
      <c r="B41" s="1409" t="s">
        <v>1826</v>
      </c>
      <c r="C41" s="220"/>
      <c r="D41" s="923">
        <v>60</v>
      </c>
      <c r="E41" s="923" t="s">
        <v>250</v>
      </c>
      <c r="F41" s="1777"/>
      <c r="G41" s="1777"/>
      <c r="H41" s="1778"/>
      <c r="I41" s="1787"/>
      <c r="J41" s="1787"/>
      <c r="K41" s="968"/>
      <c r="L41" s="215">
        <f t="shared" si="0"/>
        <v>0</v>
      </c>
      <c r="M41" s="215">
        <f t="shared" si="1"/>
        <v>0</v>
      </c>
      <c r="N41" s="215"/>
      <c r="O41" s="1466"/>
      <c r="P41" s="1466"/>
      <c r="Q41" s="1467"/>
      <c r="R41" s="1466"/>
      <c r="S41" s="1466"/>
      <c r="T41" s="968"/>
      <c r="U41" s="215">
        <f t="shared" si="2"/>
        <v>0</v>
      </c>
      <c r="V41" s="215">
        <f t="shared" si="3"/>
        <v>0</v>
      </c>
      <c r="W41" s="215"/>
      <c r="X41" s="438">
        <f t="shared" si="10"/>
        <v>0</v>
      </c>
      <c r="Y41" s="217">
        <f t="shared" si="11"/>
        <v>0</v>
      </c>
      <c r="Z41" s="217">
        <f t="shared" si="6"/>
        <v>0</v>
      </c>
      <c r="AA41" s="218"/>
      <c r="AB41" s="217">
        <f t="shared" si="12"/>
        <v>0</v>
      </c>
      <c r="AC41" s="217">
        <f t="shared" si="13"/>
        <v>0</v>
      </c>
      <c r="AD41" s="319">
        <f t="shared" si="14"/>
        <v>0</v>
      </c>
      <c r="AE41" s="171"/>
      <c r="AF41" s="171"/>
    </row>
    <row r="42" spans="1:32" ht="12.75" customHeight="1" x14ac:dyDescent="0.2">
      <c r="A42" s="24"/>
      <c r="B42" s="1401" t="s">
        <v>1827</v>
      </c>
      <c r="C42" s="201"/>
      <c r="D42" s="224">
        <v>0.15</v>
      </c>
      <c r="E42" s="35"/>
      <c r="F42" s="1775"/>
      <c r="G42" s="1775"/>
      <c r="H42" s="1776"/>
      <c r="I42" s="1786"/>
      <c r="J42" s="1786"/>
      <c r="K42" s="966"/>
      <c r="L42" s="203">
        <f t="shared" si="0"/>
        <v>0</v>
      </c>
      <c r="M42" s="203">
        <f t="shared" si="1"/>
        <v>0</v>
      </c>
      <c r="N42" s="203"/>
      <c r="O42" s="1464"/>
      <c r="P42" s="1464"/>
      <c r="Q42" s="1465"/>
      <c r="R42" s="1464"/>
      <c r="S42" s="1464"/>
      <c r="T42" s="966"/>
      <c r="U42" s="203">
        <f t="shared" si="2"/>
        <v>0</v>
      </c>
      <c r="V42" s="203">
        <f t="shared" si="3"/>
        <v>0</v>
      </c>
      <c r="W42" s="203"/>
      <c r="X42" s="437">
        <f t="shared" si="10"/>
        <v>0</v>
      </c>
      <c r="Y42" s="209">
        <f t="shared" si="11"/>
        <v>0</v>
      </c>
      <c r="Z42" s="209">
        <f t="shared" si="6"/>
        <v>0</v>
      </c>
      <c r="AA42" s="171"/>
      <c r="AB42" s="209">
        <f t="shared" si="12"/>
        <v>0</v>
      </c>
      <c r="AC42" s="209">
        <f t="shared" si="13"/>
        <v>0</v>
      </c>
      <c r="AD42" s="318">
        <f t="shared" si="14"/>
        <v>0</v>
      </c>
      <c r="AE42" s="171"/>
      <c r="AF42" s="171"/>
    </row>
    <row r="43" spans="1:32" ht="12.75" customHeight="1" x14ac:dyDescent="0.2">
      <c r="A43" s="169"/>
      <c r="B43" s="1403" t="s">
        <v>1828</v>
      </c>
      <c r="C43" s="206"/>
      <c r="D43" s="224">
        <v>0.2</v>
      </c>
      <c r="E43" s="35"/>
      <c r="F43" s="1775"/>
      <c r="G43" s="1775"/>
      <c r="H43" s="1776"/>
      <c r="I43" s="1786"/>
      <c r="J43" s="1786"/>
      <c r="K43" s="966"/>
      <c r="L43" s="203">
        <f t="shared" si="0"/>
        <v>0</v>
      </c>
      <c r="M43" s="203">
        <f t="shared" ref="M43:M53" si="25">J43</f>
        <v>0</v>
      </c>
      <c r="N43" s="203"/>
      <c r="O43" s="1464"/>
      <c r="P43" s="1464"/>
      <c r="Q43" s="1465"/>
      <c r="R43" s="1464"/>
      <c r="S43" s="1464"/>
      <c r="T43" s="966"/>
      <c r="U43" s="203">
        <f t="shared" si="2"/>
        <v>0</v>
      </c>
      <c r="V43" s="203">
        <f t="shared" ref="V43:V53" si="26">S43</f>
        <v>0</v>
      </c>
      <c r="W43" s="203"/>
      <c r="X43" s="437">
        <f t="shared" ref="X43:X53" si="27">L43-U43</f>
        <v>0</v>
      </c>
      <c r="Y43" s="209">
        <f t="shared" ref="Y43:Y53" si="28">M43-V43</f>
        <v>0</v>
      </c>
      <c r="Z43" s="209">
        <f t="shared" ref="Z43:Z53" si="29">0.5*(X43-Y43)</f>
        <v>0</v>
      </c>
      <c r="AA43" s="171"/>
      <c r="AB43" s="209">
        <f t="shared" ref="AB43:AB53" si="30">X43/D43</f>
        <v>0</v>
      </c>
      <c r="AC43" s="209">
        <f t="shared" ref="AC43:AC53" si="31">Y43/(-D43)</f>
        <v>0</v>
      </c>
      <c r="AD43" s="318">
        <f t="shared" ref="AD43:AD53" si="32">(X43-Y43)/(2*D43)</f>
        <v>0</v>
      </c>
      <c r="AE43" s="171"/>
      <c r="AF43" s="171"/>
    </row>
    <row r="44" spans="1:32" ht="12.75" customHeight="1" x14ac:dyDescent="0.2">
      <c r="A44" s="169"/>
      <c r="B44" s="1403" t="s">
        <v>1829</v>
      </c>
      <c r="C44" s="206"/>
      <c r="D44" s="224">
        <v>0.2</v>
      </c>
      <c r="E44" s="35"/>
      <c r="F44" s="1775"/>
      <c r="G44" s="1775"/>
      <c r="H44" s="1776"/>
      <c r="I44" s="1786"/>
      <c r="J44" s="1786"/>
      <c r="K44" s="966"/>
      <c r="L44" s="203">
        <f t="shared" ref="L44:L53" si="33">I44</f>
        <v>0</v>
      </c>
      <c r="M44" s="203">
        <f t="shared" si="25"/>
        <v>0</v>
      </c>
      <c r="N44" s="203"/>
      <c r="O44" s="1464"/>
      <c r="P44" s="1464"/>
      <c r="Q44" s="1465"/>
      <c r="R44" s="1464"/>
      <c r="S44" s="1464"/>
      <c r="T44" s="966"/>
      <c r="U44" s="203">
        <f t="shared" ref="U44:U53" si="34">R44</f>
        <v>0</v>
      </c>
      <c r="V44" s="203">
        <f t="shared" si="26"/>
        <v>0</v>
      </c>
      <c r="W44" s="203"/>
      <c r="X44" s="437">
        <f t="shared" si="27"/>
        <v>0</v>
      </c>
      <c r="Y44" s="209">
        <f t="shared" si="28"/>
        <v>0</v>
      </c>
      <c r="Z44" s="209">
        <f t="shared" si="29"/>
        <v>0</v>
      </c>
      <c r="AA44" s="171"/>
      <c r="AB44" s="209">
        <f t="shared" si="30"/>
        <v>0</v>
      </c>
      <c r="AC44" s="209">
        <f t="shared" si="31"/>
        <v>0</v>
      </c>
      <c r="AD44" s="318">
        <f t="shared" si="32"/>
        <v>0</v>
      </c>
      <c r="AE44" s="171"/>
      <c r="AF44" s="171"/>
    </row>
    <row r="45" spans="1:32" ht="12.75" customHeight="1" x14ac:dyDescent="0.2">
      <c r="A45" s="169"/>
      <c r="B45" s="1850" t="s">
        <v>1830</v>
      </c>
      <c r="C45" s="1851"/>
      <c r="D45" s="222">
        <v>0.2</v>
      </c>
      <c r="E45" s="214"/>
      <c r="F45" s="1775"/>
      <c r="G45" s="1775"/>
      <c r="H45" s="1776"/>
      <c r="I45" s="1786"/>
      <c r="J45" s="1786"/>
      <c r="K45" s="966"/>
      <c r="L45" s="203">
        <f t="shared" si="33"/>
        <v>0</v>
      </c>
      <c r="M45" s="203">
        <f t="shared" si="25"/>
        <v>0</v>
      </c>
      <c r="N45" s="203"/>
      <c r="O45" s="1464"/>
      <c r="P45" s="1464"/>
      <c r="Q45" s="1465"/>
      <c r="R45" s="1464"/>
      <c r="S45" s="1464"/>
      <c r="T45" s="966"/>
      <c r="U45" s="203">
        <f t="shared" si="34"/>
        <v>0</v>
      </c>
      <c r="V45" s="203">
        <f t="shared" si="26"/>
        <v>0</v>
      </c>
      <c r="W45" s="203"/>
      <c r="X45" s="437">
        <f t="shared" si="27"/>
        <v>0</v>
      </c>
      <c r="Y45" s="209">
        <f t="shared" si="28"/>
        <v>0</v>
      </c>
      <c r="Z45" s="209">
        <f t="shared" si="29"/>
        <v>0</v>
      </c>
      <c r="AA45" s="171"/>
      <c r="AB45" s="209">
        <f t="shared" si="30"/>
        <v>0</v>
      </c>
      <c r="AC45" s="209">
        <f t="shared" si="31"/>
        <v>0</v>
      </c>
      <c r="AD45" s="318">
        <f t="shared" si="32"/>
        <v>0</v>
      </c>
      <c r="AE45" s="171"/>
      <c r="AF45" s="171"/>
    </row>
    <row r="46" spans="1:32" ht="12.75" customHeight="1" x14ac:dyDescent="0.2">
      <c r="A46" s="24"/>
      <c r="B46" s="1409" t="s">
        <v>1831</v>
      </c>
      <c r="C46" s="220"/>
      <c r="D46" s="2057" t="s">
        <v>2299</v>
      </c>
      <c r="E46" s="223"/>
      <c r="F46" s="1780"/>
      <c r="G46" s="1780"/>
      <c r="H46" s="1781"/>
      <c r="I46" s="1789"/>
      <c r="J46" s="1789"/>
      <c r="K46" s="970"/>
      <c r="L46" s="1412">
        <f t="shared" si="33"/>
        <v>0</v>
      </c>
      <c r="M46" s="1412">
        <f t="shared" si="25"/>
        <v>0</v>
      </c>
      <c r="N46" s="1412"/>
      <c r="O46" s="1469"/>
      <c r="P46" s="1469"/>
      <c r="Q46" s="1470"/>
      <c r="R46" s="1469"/>
      <c r="S46" s="1469"/>
      <c r="T46" s="970"/>
      <c r="U46" s="1412">
        <f t="shared" si="34"/>
        <v>0</v>
      </c>
      <c r="V46" s="1412">
        <f t="shared" si="26"/>
        <v>0</v>
      </c>
      <c r="W46" s="1412"/>
      <c r="X46" s="1414">
        <f t="shared" si="27"/>
        <v>0</v>
      </c>
      <c r="Y46" s="1415">
        <f t="shared" si="28"/>
        <v>0</v>
      </c>
      <c r="Z46" s="1415">
        <f>0.5*(X46-Y46)</f>
        <v>0</v>
      </c>
      <c r="AA46" s="1416"/>
      <c r="AB46" s="1415">
        <f>X46/100%</f>
        <v>0</v>
      </c>
      <c r="AC46" s="1415">
        <f>Y46</f>
        <v>0</v>
      </c>
      <c r="AD46" s="1417">
        <f>(X46-Y46)/(100%)</f>
        <v>0</v>
      </c>
      <c r="AE46" s="171"/>
      <c r="AF46" s="171"/>
    </row>
    <row r="47" spans="1:32" ht="12.75" customHeight="1" x14ac:dyDescent="0.2">
      <c r="A47" s="169"/>
      <c r="B47" s="1401" t="s">
        <v>1832</v>
      </c>
      <c r="C47" s="201"/>
      <c r="D47" s="224">
        <v>0.2</v>
      </c>
      <c r="E47" s="35"/>
      <c r="F47" s="1775"/>
      <c r="G47" s="1775"/>
      <c r="H47" s="1776"/>
      <c r="I47" s="1786"/>
      <c r="J47" s="1786"/>
      <c r="K47" s="966"/>
      <c r="L47" s="203">
        <f t="shared" si="33"/>
        <v>0</v>
      </c>
      <c r="M47" s="203">
        <f t="shared" si="25"/>
        <v>0</v>
      </c>
      <c r="N47" s="203"/>
      <c r="O47" s="1464"/>
      <c r="P47" s="1464"/>
      <c r="Q47" s="1465"/>
      <c r="R47" s="1464"/>
      <c r="S47" s="1464"/>
      <c r="T47" s="966"/>
      <c r="U47" s="203">
        <f t="shared" si="34"/>
        <v>0</v>
      </c>
      <c r="V47" s="203">
        <f t="shared" si="26"/>
        <v>0</v>
      </c>
      <c r="W47" s="203"/>
      <c r="X47" s="437">
        <f t="shared" si="27"/>
        <v>0</v>
      </c>
      <c r="Y47" s="209">
        <f t="shared" si="28"/>
        <v>0</v>
      </c>
      <c r="Z47" s="209">
        <f>0.5*(X47-Y47)</f>
        <v>0</v>
      </c>
      <c r="AA47" s="171"/>
      <c r="AB47" s="209">
        <f t="shared" si="30"/>
        <v>0</v>
      </c>
      <c r="AC47" s="209">
        <f t="shared" si="31"/>
        <v>0</v>
      </c>
      <c r="AD47" s="318">
        <f t="shared" si="32"/>
        <v>0</v>
      </c>
      <c r="AE47" s="171"/>
      <c r="AF47" s="171"/>
    </row>
    <row r="48" spans="1:32" ht="12.75" customHeight="1" x14ac:dyDescent="0.2">
      <c r="A48" s="24"/>
      <c r="B48" s="1403" t="s">
        <v>1833</v>
      </c>
      <c r="C48" s="206"/>
      <c r="D48" s="224">
        <v>0.2</v>
      </c>
      <c r="E48" s="1476"/>
      <c r="F48" s="1775"/>
      <c r="G48" s="1775"/>
      <c r="H48" s="1776"/>
      <c r="I48" s="1786"/>
      <c r="J48" s="1786"/>
      <c r="K48" s="966"/>
      <c r="L48" s="203">
        <f t="shared" si="33"/>
        <v>0</v>
      </c>
      <c r="M48" s="203">
        <f t="shared" si="25"/>
        <v>0</v>
      </c>
      <c r="N48" s="203"/>
      <c r="O48" s="1464"/>
      <c r="P48" s="1464"/>
      <c r="Q48" s="1465"/>
      <c r="R48" s="1464"/>
      <c r="S48" s="1464"/>
      <c r="T48" s="966"/>
      <c r="U48" s="203">
        <f t="shared" si="34"/>
        <v>0</v>
      </c>
      <c r="V48" s="203">
        <f t="shared" si="26"/>
        <v>0</v>
      </c>
      <c r="W48" s="203"/>
      <c r="X48" s="437">
        <f t="shared" si="27"/>
        <v>0</v>
      </c>
      <c r="Y48" s="209">
        <f t="shared" si="28"/>
        <v>0</v>
      </c>
      <c r="Z48" s="209">
        <f t="shared" si="29"/>
        <v>0</v>
      </c>
      <c r="AA48" s="171"/>
      <c r="AB48" s="209">
        <f t="shared" si="30"/>
        <v>0</v>
      </c>
      <c r="AC48" s="209">
        <f t="shared" si="31"/>
        <v>0</v>
      </c>
      <c r="AD48" s="318">
        <f t="shared" si="32"/>
        <v>0</v>
      </c>
      <c r="AE48" s="171"/>
      <c r="AF48" s="171"/>
    </row>
    <row r="49" spans="1:34" ht="12.75" customHeight="1" x14ac:dyDescent="0.2">
      <c r="A49" s="24"/>
      <c r="B49" s="1403" t="s">
        <v>1834</v>
      </c>
      <c r="C49" s="206"/>
      <c r="D49" s="224">
        <v>0.2</v>
      </c>
      <c r="E49" s="673"/>
      <c r="F49" s="1775"/>
      <c r="G49" s="1775"/>
      <c r="H49" s="1776"/>
      <c r="I49" s="1786"/>
      <c r="J49" s="1786"/>
      <c r="K49" s="966"/>
      <c r="L49" s="203">
        <f t="shared" si="33"/>
        <v>0</v>
      </c>
      <c r="M49" s="203">
        <f t="shared" si="25"/>
        <v>0</v>
      </c>
      <c r="N49" s="203"/>
      <c r="O49" s="1464"/>
      <c r="P49" s="1464"/>
      <c r="Q49" s="1465"/>
      <c r="R49" s="1464"/>
      <c r="S49" s="1464"/>
      <c r="T49" s="966"/>
      <c r="U49" s="203">
        <f t="shared" si="34"/>
        <v>0</v>
      </c>
      <c r="V49" s="203">
        <f t="shared" si="26"/>
        <v>0</v>
      </c>
      <c r="W49" s="203"/>
      <c r="X49" s="437">
        <f t="shared" si="27"/>
        <v>0</v>
      </c>
      <c r="Y49" s="209">
        <f t="shared" si="28"/>
        <v>0</v>
      </c>
      <c r="Z49" s="209">
        <f t="shared" si="29"/>
        <v>0</v>
      </c>
      <c r="AA49" s="171"/>
      <c r="AB49" s="209">
        <f t="shared" si="30"/>
        <v>0</v>
      </c>
      <c r="AC49" s="209">
        <f t="shared" si="31"/>
        <v>0</v>
      </c>
      <c r="AD49" s="318">
        <f t="shared" si="32"/>
        <v>0</v>
      </c>
      <c r="AE49" s="171"/>
      <c r="AF49" s="171"/>
    </row>
    <row r="50" spans="1:34" ht="12.75" customHeight="1" x14ac:dyDescent="0.2">
      <c r="A50" s="169"/>
      <c r="B50" s="1403" t="s">
        <v>1835</v>
      </c>
      <c r="C50" s="206"/>
      <c r="D50" s="224">
        <v>0.2</v>
      </c>
      <c r="E50" s="35"/>
      <c r="F50" s="1775"/>
      <c r="G50" s="1775"/>
      <c r="H50" s="1776"/>
      <c r="I50" s="1786"/>
      <c r="J50" s="1786"/>
      <c r="K50" s="966"/>
      <c r="L50" s="203">
        <f t="shared" si="33"/>
        <v>0</v>
      </c>
      <c r="M50" s="203">
        <f t="shared" si="25"/>
        <v>0</v>
      </c>
      <c r="N50" s="203"/>
      <c r="O50" s="1464"/>
      <c r="P50" s="1464"/>
      <c r="Q50" s="1465"/>
      <c r="R50" s="1464"/>
      <c r="S50" s="1468"/>
      <c r="T50" s="966"/>
      <c r="U50" s="203">
        <f t="shared" si="34"/>
        <v>0</v>
      </c>
      <c r="V50" s="203">
        <f t="shared" si="26"/>
        <v>0</v>
      </c>
      <c r="W50" s="203"/>
      <c r="X50" s="437">
        <f t="shared" si="27"/>
        <v>0</v>
      </c>
      <c r="Y50" s="209">
        <f t="shared" si="28"/>
        <v>0</v>
      </c>
      <c r="Z50" s="209">
        <f t="shared" si="29"/>
        <v>0</v>
      </c>
      <c r="AA50" s="171"/>
      <c r="AB50" s="209">
        <f t="shared" si="30"/>
        <v>0</v>
      </c>
      <c r="AC50" s="209">
        <f t="shared" si="31"/>
        <v>0</v>
      </c>
      <c r="AD50" s="318">
        <f t="shared" si="32"/>
        <v>0</v>
      </c>
      <c r="AE50" s="171"/>
      <c r="AF50" s="171"/>
    </row>
    <row r="51" spans="1:34" ht="12.75" customHeight="1" x14ac:dyDescent="0.2">
      <c r="A51" s="169"/>
      <c r="B51" s="1403" t="s">
        <v>1836</v>
      </c>
      <c r="C51" s="206"/>
      <c r="D51" s="224">
        <v>0.2</v>
      </c>
      <c r="E51" s="35"/>
      <c r="F51" s="1775"/>
      <c r="G51" s="1775"/>
      <c r="H51" s="1776"/>
      <c r="I51" s="1788"/>
      <c r="J51" s="1786"/>
      <c r="K51" s="966"/>
      <c r="L51" s="203">
        <f t="shared" si="33"/>
        <v>0</v>
      </c>
      <c r="M51" s="203">
        <f t="shared" si="25"/>
        <v>0</v>
      </c>
      <c r="N51" s="203"/>
      <c r="O51" s="1464"/>
      <c r="P51" s="1464"/>
      <c r="Q51" s="1465"/>
      <c r="R51" s="1468"/>
      <c r="S51" s="1468"/>
      <c r="T51" s="966"/>
      <c r="U51" s="203">
        <f t="shared" si="34"/>
        <v>0</v>
      </c>
      <c r="V51" s="203">
        <f t="shared" si="26"/>
        <v>0</v>
      </c>
      <c r="W51" s="203"/>
      <c r="X51" s="437">
        <f t="shared" si="27"/>
        <v>0</v>
      </c>
      <c r="Y51" s="209">
        <f t="shared" si="28"/>
        <v>0</v>
      </c>
      <c r="Z51" s="209">
        <f t="shared" si="29"/>
        <v>0</v>
      </c>
      <c r="AA51" s="171"/>
      <c r="AB51" s="209">
        <f t="shared" si="30"/>
        <v>0</v>
      </c>
      <c r="AC51" s="209">
        <f t="shared" si="31"/>
        <v>0</v>
      </c>
      <c r="AD51" s="318">
        <f t="shared" si="32"/>
        <v>0</v>
      </c>
      <c r="AE51" s="171"/>
      <c r="AF51" s="171"/>
    </row>
    <row r="52" spans="1:34" ht="12.75" customHeight="1" x14ac:dyDescent="0.2">
      <c r="A52" s="24"/>
      <c r="B52" s="1457" t="s">
        <v>1837</v>
      </c>
      <c r="C52" s="408"/>
      <c r="D52" s="2059" t="s">
        <v>2299</v>
      </c>
      <c r="E52" s="2058"/>
      <c r="F52" s="1782"/>
      <c r="G52" s="1782"/>
      <c r="H52" s="1783"/>
      <c r="I52" s="1790"/>
      <c r="J52" s="1790"/>
      <c r="K52" s="1449"/>
      <c r="L52" s="1450">
        <f t="shared" si="33"/>
        <v>0</v>
      </c>
      <c r="M52" s="1450">
        <f t="shared" si="25"/>
        <v>0</v>
      </c>
      <c r="N52" s="1412"/>
      <c r="O52" s="1471"/>
      <c r="P52" s="1471"/>
      <c r="Q52" s="1472"/>
      <c r="R52" s="1471"/>
      <c r="S52" s="1471"/>
      <c r="T52" s="1449"/>
      <c r="U52" s="1450">
        <f t="shared" si="34"/>
        <v>0</v>
      </c>
      <c r="V52" s="1450">
        <f t="shared" si="26"/>
        <v>0</v>
      </c>
      <c r="W52" s="1412"/>
      <c r="X52" s="1414">
        <f t="shared" si="27"/>
        <v>0</v>
      </c>
      <c r="Y52" s="1415">
        <f t="shared" si="28"/>
        <v>0</v>
      </c>
      <c r="Z52" s="1415">
        <f t="shared" si="29"/>
        <v>0</v>
      </c>
      <c r="AA52" s="1416"/>
      <c r="AB52" s="1415">
        <f>X52/100%</f>
        <v>0</v>
      </c>
      <c r="AC52" s="1415">
        <f>Y52</f>
        <v>0</v>
      </c>
      <c r="AD52" s="1417">
        <f>(X52-Y52)/(100%)</f>
        <v>0</v>
      </c>
      <c r="AE52" s="171"/>
      <c r="AF52" s="171"/>
    </row>
    <row r="53" spans="1:34" ht="12.75" customHeight="1" x14ac:dyDescent="0.2">
      <c r="A53" s="24"/>
      <c r="B53" s="1403" t="s">
        <v>1838</v>
      </c>
      <c r="C53" s="206"/>
      <c r="D53" s="222">
        <v>0.2</v>
      </c>
      <c r="E53" s="214"/>
      <c r="F53" s="1779"/>
      <c r="G53" s="1779"/>
      <c r="H53" s="1784"/>
      <c r="I53" s="1788"/>
      <c r="J53" s="1788"/>
      <c r="K53" s="967"/>
      <c r="L53" s="1413">
        <f t="shared" si="33"/>
        <v>0</v>
      </c>
      <c r="M53" s="1413">
        <f t="shared" si="25"/>
        <v>0</v>
      </c>
      <c r="N53" s="203"/>
      <c r="O53" s="1468"/>
      <c r="P53" s="1468"/>
      <c r="Q53" s="1473"/>
      <c r="R53" s="1468"/>
      <c r="S53" s="1468"/>
      <c r="T53" s="967"/>
      <c r="U53" s="1413">
        <f t="shared" si="34"/>
        <v>0</v>
      </c>
      <c r="V53" s="1413">
        <f t="shared" si="26"/>
        <v>0</v>
      </c>
      <c r="W53" s="203"/>
      <c r="X53" s="437">
        <f t="shared" si="27"/>
        <v>0</v>
      </c>
      <c r="Y53" s="209">
        <f t="shared" si="28"/>
        <v>0</v>
      </c>
      <c r="Z53" s="209">
        <f t="shared" si="29"/>
        <v>0</v>
      </c>
      <c r="AA53" s="171"/>
      <c r="AB53" s="209">
        <f t="shared" si="30"/>
        <v>0</v>
      </c>
      <c r="AC53" s="209">
        <f t="shared" si="31"/>
        <v>0</v>
      </c>
      <c r="AD53" s="318">
        <f t="shared" si="32"/>
        <v>0</v>
      </c>
      <c r="AE53" s="171"/>
      <c r="AF53" s="171"/>
    </row>
    <row r="54" spans="1:34" ht="12.75" customHeight="1" x14ac:dyDescent="0.2">
      <c r="B54" s="1457" t="s">
        <v>135</v>
      </c>
      <c r="C54" s="408"/>
      <c r="D54" s="222">
        <v>0.3</v>
      </c>
      <c r="E54" s="214"/>
      <c r="F54" s="1782"/>
      <c r="G54" s="1782"/>
      <c r="H54" s="1783"/>
      <c r="I54" s="1790"/>
      <c r="J54" s="1790"/>
      <c r="K54" s="1451"/>
      <c r="L54" s="1450">
        <f t="shared" ref="L54:M58" si="35">I54</f>
        <v>0</v>
      </c>
      <c r="M54" s="1450">
        <f t="shared" si="35"/>
        <v>0</v>
      </c>
      <c r="N54" s="1412"/>
      <c r="O54" s="1471"/>
      <c r="P54" s="1471"/>
      <c r="Q54" s="1472"/>
      <c r="R54" s="1471"/>
      <c r="S54" s="1471"/>
      <c r="T54" s="1451"/>
      <c r="U54" s="1450">
        <f t="shared" ref="U54:V58" si="36">R54</f>
        <v>0</v>
      </c>
      <c r="V54" s="1450">
        <f t="shared" si="36"/>
        <v>0</v>
      </c>
      <c r="W54" s="1412"/>
      <c r="X54" s="1414">
        <f t="shared" ref="X54:Y58" si="37">L54-U54</f>
        <v>0</v>
      </c>
      <c r="Y54" s="1415">
        <f t="shared" si="37"/>
        <v>0</v>
      </c>
      <c r="Z54" s="1415">
        <f>0.5*(X54-Y54)</f>
        <v>0</v>
      </c>
      <c r="AA54" s="1416"/>
      <c r="AB54" s="1415">
        <f>X54/D54</f>
        <v>0</v>
      </c>
      <c r="AC54" s="1415">
        <f>Y54/(-D54)</f>
        <v>0</v>
      </c>
      <c r="AD54" s="1417">
        <f>(X54-Y54)/(2*D54)</f>
        <v>0</v>
      </c>
    </row>
    <row r="55" spans="1:34" ht="12.75" customHeight="1" x14ac:dyDescent="0.2">
      <c r="B55" s="1403" t="s">
        <v>1840</v>
      </c>
      <c r="C55" s="206"/>
      <c r="D55" s="224">
        <v>0.1</v>
      </c>
      <c r="E55" s="35"/>
      <c r="F55" s="1775"/>
      <c r="G55" s="1775"/>
      <c r="H55" s="1776"/>
      <c r="I55" s="1786"/>
      <c r="J55" s="1786"/>
      <c r="K55" s="966"/>
      <c r="L55" s="203">
        <f t="shared" si="35"/>
        <v>0</v>
      </c>
      <c r="M55" s="203">
        <f t="shared" si="35"/>
        <v>0</v>
      </c>
      <c r="N55" s="203"/>
      <c r="O55" s="1464"/>
      <c r="P55" s="1464"/>
      <c r="Q55" s="1465"/>
      <c r="R55" s="1464"/>
      <c r="S55" s="1464"/>
      <c r="T55" s="966"/>
      <c r="U55" s="203">
        <f t="shared" si="36"/>
        <v>0</v>
      </c>
      <c r="V55" s="203">
        <f t="shared" si="36"/>
        <v>0</v>
      </c>
      <c r="W55" s="203"/>
      <c r="X55" s="437">
        <f t="shared" si="37"/>
        <v>0</v>
      </c>
      <c r="Y55" s="209">
        <f t="shared" si="37"/>
        <v>0</v>
      </c>
      <c r="Z55" s="209">
        <f>0.5*(X55-Y55)</f>
        <v>0</v>
      </c>
      <c r="AA55" s="171"/>
      <c r="AB55" s="209">
        <f>X55/D55</f>
        <v>0</v>
      </c>
      <c r="AC55" s="209">
        <f>Y55/(-D55)</f>
        <v>0</v>
      </c>
      <c r="AD55" s="318">
        <f>(X55-Y55)/(2*D55)</f>
        <v>0</v>
      </c>
    </row>
    <row r="56" spans="1:34" ht="12.75" customHeight="1" x14ac:dyDescent="0.2">
      <c r="B56" s="1403" t="s">
        <v>1839</v>
      </c>
      <c r="C56" s="206"/>
      <c r="D56" s="224">
        <v>0.1</v>
      </c>
      <c r="E56" s="35"/>
      <c r="F56" s="1779"/>
      <c r="G56" s="1785"/>
      <c r="H56" s="1776"/>
      <c r="I56" s="1788"/>
      <c r="J56" s="1788"/>
      <c r="K56" s="966"/>
      <c r="L56" s="203">
        <f>I56</f>
        <v>0</v>
      </c>
      <c r="M56" s="203">
        <f>J56</f>
        <v>0</v>
      </c>
      <c r="N56" s="203"/>
      <c r="O56" s="1468"/>
      <c r="P56" s="1474"/>
      <c r="Q56" s="1465"/>
      <c r="R56" s="1468"/>
      <c r="S56" s="1468"/>
      <c r="T56" s="966"/>
      <c r="U56" s="203">
        <f>R56</f>
        <v>0</v>
      </c>
      <c r="V56" s="203">
        <f>S56</f>
        <v>0</v>
      </c>
      <c r="W56" s="203"/>
      <c r="X56" s="437">
        <f>L56-U56</f>
        <v>0</v>
      </c>
      <c r="Y56" s="209">
        <f>M56-V56</f>
        <v>0</v>
      </c>
      <c r="Z56" s="209">
        <f>0.5*(X56-Y56)</f>
        <v>0</v>
      </c>
      <c r="AA56" s="171"/>
      <c r="AB56" s="209">
        <f>X56/D56</f>
        <v>0</v>
      </c>
      <c r="AC56" s="209">
        <f>Y56/(-D56)</f>
        <v>0</v>
      </c>
      <c r="AD56" s="318">
        <f>(X56-Y56)/(2*D56)</f>
        <v>0</v>
      </c>
    </row>
    <row r="57" spans="1:34" ht="12.75" customHeight="1" x14ac:dyDescent="0.2">
      <c r="B57" s="1403" t="s">
        <v>1841</v>
      </c>
      <c r="C57" s="206"/>
      <c r="D57" s="222">
        <v>0.1</v>
      </c>
      <c r="E57" s="214"/>
      <c r="F57" s="1777"/>
      <c r="G57" s="1777"/>
      <c r="H57" s="1778"/>
      <c r="I57" s="1787"/>
      <c r="J57" s="1787"/>
      <c r="K57" s="968"/>
      <c r="L57" s="215">
        <f t="shared" si="35"/>
        <v>0</v>
      </c>
      <c r="M57" s="215">
        <f t="shared" si="35"/>
        <v>0</v>
      </c>
      <c r="N57" s="215"/>
      <c r="O57" s="1466"/>
      <c r="P57" s="1466"/>
      <c r="Q57" s="1467"/>
      <c r="R57" s="1466"/>
      <c r="S57" s="1466"/>
      <c r="T57" s="968"/>
      <c r="U57" s="215">
        <f t="shared" si="36"/>
        <v>0</v>
      </c>
      <c r="V57" s="215">
        <f t="shared" si="36"/>
        <v>0</v>
      </c>
      <c r="W57" s="215"/>
      <c r="X57" s="438">
        <f t="shared" si="37"/>
        <v>0</v>
      </c>
      <c r="Y57" s="217">
        <f t="shared" si="37"/>
        <v>0</v>
      </c>
      <c r="Z57" s="217">
        <f>0.5*(X57-Y57)</f>
        <v>0</v>
      </c>
      <c r="AA57" s="218"/>
      <c r="AB57" s="217">
        <f>X57/D57</f>
        <v>0</v>
      </c>
      <c r="AC57" s="217">
        <f>Y57/(-D57)</f>
        <v>0</v>
      </c>
      <c r="AD57" s="319">
        <f>(X57-Y57)/(2*D57)</f>
        <v>0</v>
      </c>
    </row>
    <row r="58" spans="1:34" ht="12.75" customHeight="1" x14ac:dyDescent="0.2">
      <c r="B58" s="1457" t="s">
        <v>224</v>
      </c>
      <c r="C58" s="408"/>
      <c r="D58" s="222">
        <v>0.1</v>
      </c>
      <c r="E58" s="214"/>
      <c r="F58" s="1777"/>
      <c r="G58" s="1777"/>
      <c r="H58" s="1778"/>
      <c r="I58" s="1787"/>
      <c r="J58" s="1787"/>
      <c r="K58" s="968"/>
      <c r="L58" s="215">
        <f t="shared" si="35"/>
        <v>0</v>
      </c>
      <c r="M58" s="215">
        <f t="shared" si="35"/>
        <v>0</v>
      </c>
      <c r="N58" s="1412"/>
      <c r="O58" s="1466"/>
      <c r="P58" s="1466"/>
      <c r="Q58" s="1467"/>
      <c r="R58" s="1466"/>
      <c r="S58" s="1466"/>
      <c r="T58" s="968"/>
      <c r="U58" s="215">
        <f t="shared" si="36"/>
        <v>0</v>
      </c>
      <c r="V58" s="215">
        <f t="shared" si="36"/>
        <v>0</v>
      </c>
      <c r="W58" s="1412"/>
      <c r="X58" s="1414">
        <f t="shared" si="37"/>
        <v>0</v>
      </c>
      <c r="Y58" s="1415">
        <f t="shared" si="37"/>
        <v>0</v>
      </c>
      <c r="Z58" s="1415">
        <f>0.5*(X58-Y58)</f>
        <v>0</v>
      </c>
      <c r="AA58" s="1416"/>
      <c r="AB58" s="1415">
        <f>X58/D58</f>
        <v>0</v>
      </c>
      <c r="AC58" s="1415">
        <f>Y58/(-D58)</f>
        <v>0</v>
      </c>
      <c r="AD58" s="1417">
        <f>(X58-Y58)/(2*D58)</f>
        <v>0</v>
      </c>
    </row>
    <row r="61" spans="1:34" ht="12.75" customHeight="1" x14ac:dyDescent="0.2">
      <c r="AB61" s="211"/>
      <c r="AC61" s="209"/>
      <c r="AD61" s="209"/>
      <c r="AE61" s="209"/>
      <c r="AF61" s="171"/>
      <c r="AG61" s="209"/>
      <c r="AH61" s="209"/>
    </row>
    <row r="62" spans="1:34" ht="12.75" customHeight="1" x14ac:dyDescent="0.2">
      <c r="AB62" s="211"/>
      <c r="AC62" s="209"/>
      <c r="AD62" s="209"/>
      <c r="AE62" s="209"/>
      <c r="AF62" s="171"/>
      <c r="AG62" s="209"/>
      <c r="AH62" s="209"/>
    </row>
  </sheetData>
  <customSheetViews>
    <customSheetView guid="{F15DEFD8-B0F4-4CC3-8896-92BF7E7815B1}" scale="75" showPageBreaks="1" showGridLines="0" fitToPage="1" printArea="1">
      <pane xSplit="5" ySplit="16" topLeftCell="F77" activePane="bottomRight" state="frozen"/>
      <selection pane="bottomRight" activeCell="C12" sqref="C12"/>
      <pageMargins left="0.47244094488188981" right="0.47244094488188981" top="0.59055118110236227" bottom="0.59055118110236227" header="0.35433070866141736" footer="0.35433070866141736"/>
      <pageSetup paperSize="9" scale="36" orientation="landscape" r:id="rId1"/>
      <headerFooter alignWithMargins="0">
        <oddHeader>&amp;R&amp;"Arial,Fett"&amp;12SST</oddHeader>
        <oddFooter>&amp;L&amp;F / &amp;A&amp;C&amp;P / &amp;N&amp;R&amp;D</oddFooter>
      </headerFooter>
    </customSheetView>
  </customSheetViews>
  <mergeCells count="25">
    <mergeCell ref="B9:C9"/>
    <mergeCell ref="D9:E9"/>
    <mergeCell ref="U11:V11"/>
    <mergeCell ref="X12:Y12"/>
    <mergeCell ref="F9:G9"/>
    <mergeCell ref="I9:J9"/>
    <mergeCell ref="L9:M9"/>
    <mergeCell ref="O9:P9"/>
    <mergeCell ref="F11:F13"/>
    <mergeCell ref="G11:G13"/>
    <mergeCell ref="I11:J11"/>
    <mergeCell ref="I12:J12"/>
    <mergeCell ref="R11:S11"/>
    <mergeCell ref="R12:S12"/>
    <mergeCell ref="P11:P13"/>
    <mergeCell ref="L12:M12"/>
    <mergeCell ref="AB9:AD9"/>
    <mergeCell ref="L11:M11"/>
    <mergeCell ref="U12:V12"/>
    <mergeCell ref="R9:S9"/>
    <mergeCell ref="U9:V9"/>
    <mergeCell ref="X11:Z11"/>
    <mergeCell ref="X9:Z9"/>
    <mergeCell ref="O11:O13"/>
    <mergeCell ref="AB12:AC12"/>
  </mergeCells>
  <phoneticPr fontId="0" type="noConversion"/>
  <hyperlinks>
    <hyperlink ref="A1" location="list_of_sheets!A1" display="list_of_sheets!A1" xr:uid="{00000000-0004-0000-0800-000000000000}"/>
  </hyperlinks>
  <pageMargins left="0.47244094488188981" right="0.47244094488188981" top="0.59055118110236227" bottom="0.59055118110236227" header="0.35433070866141736" footer="0.35433070866141736"/>
  <pageSetup paperSize="9" scale="46" orientation="landscape" r:id="rId2"/>
  <headerFooter alignWithMargins="0">
    <oddHeader>&amp;R&amp;"Arial,Fett"&amp;12KVG-Solvenztest
Test de solvabilité LAMal</oddHeader>
    <oddFooter>&amp;L&amp;F / &amp;A&amp;C&amp;P / &amp;N&amp;R&amp;D</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49DE0C167C03714EB28658C3ED538E14" ma:contentTypeVersion="1" ma:contentTypeDescription="Ein neues Dokument erstellen." ma:contentTypeScope="" ma:versionID="546e78bd05f11d20acd0daa936146a91">
  <xsd:schema xmlns:xsd="http://www.w3.org/2001/XMLSchema" xmlns:p="http://schemas.microsoft.com/office/2006/metadata/properties" xmlns:ns1="http://schemas.microsoft.com/sharepoint/v3" targetNamespace="http://schemas.microsoft.com/office/2006/metadata/properties" ma:root="true" ma:fieldsID="39e5c60d77102b4c08934292457cb77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Geplantes Startdatum" ma:internalName="PublishingStartDate">
      <xsd:simpleType>
        <xsd:restriction base="dms:Unknown"/>
      </xsd:simpleType>
    </xsd:element>
    <xsd:element name="PublishingExpirationDate" ma:index="9" nillable="true" ma:displayName="Geplantes Enddatum"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139EBCF-11E1-4588-BB1E-A5A8F3491F34}">
  <ds:schemaRefs>
    <ds:schemaRef ds:uri="http://schemas.microsoft.com/office/2006/metadata/longProperties"/>
  </ds:schemaRefs>
</ds:datastoreItem>
</file>

<file path=customXml/itemProps2.xml><?xml version="1.0" encoding="utf-8"?>
<ds:datastoreItem xmlns:ds="http://schemas.openxmlformats.org/officeDocument/2006/customXml" ds:itemID="{16046059-C062-4AD9-8BF8-DFF1F0C0C4A0}">
  <ds:schemaRefs>
    <ds:schemaRef ds:uri="http://schemas.microsoft.com/sharepoint/v3/contenttype/forms"/>
  </ds:schemaRefs>
</ds:datastoreItem>
</file>

<file path=customXml/itemProps3.xml><?xml version="1.0" encoding="utf-8"?>
<ds:datastoreItem xmlns:ds="http://schemas.openxmlformats.org/officeDocument/2006/customXml" ds:itemID="{9B0693DA-2C04-4E91-9157-E2C7161AEE23}">
  <ds:schemaRefs>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B799F0DF-1DC6-4AD3-8B38-FCC23671F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25</vt:i4>
      </vt:variant>
      <vt:variant>
        <vt:lpstr>Plages nommées</vt:lpstr>
      </vt:variant>
      <vt:variant>
        <vt:i4>78</vt:i4>
      </vt:variant>
    </vt:vector>
  </HeadingPairs>
  <TitlesOfParts>
    <vt:vector size="103" baseType="lpstr">
      <vt:lpstr>Intro</vt:lpstr>
      <vt:lpstr>Update</vt:lpstr>
      <vt:lpstr>list_of_sheets</vt:lpstr>
      <vt:lpstr>Translation</vt:lpstr>
      <vt:lpstr>Inputparam</vt:lpstr>
      <vt:lpstr>Fundamental_Data</vt:lpstr>
      <vt:lpstr>Marktnahe_Bilanz</vt:lpstr>
      <vt:lpstr>Vorhandene_Reserven</vt:lpstr>
      <vt:lpstr>Sensitivitaeten Delta_Market</vt:lpstr>
      <vt:lpstr>Market_Risk (Delta Normal)</vt:lpstr>
      <vt:lpstr>Szenarien_RiskFactors</vt:lpstr>
      <vt:lpstr>BAG 0</vt:lpstr>
      <vt:lpstr>BAG_Scenarios</vt:lpstr>
      <vt:lpstr>Health_Scen_Aggregation</vt:lpstr>
      <vt:lpstr>Scenarios</vt:lpstr>
      <vt:lpstr>Credit_Risk</vt:lpstr>
      <vt:lpstr>Input Basel III</vt:lpstr>
      <vt:lpstr>Risk_Compensation</vt:lpstr>
      <vt:lpstr>Risk_Compensation_calc</vt:lpstr>
      <vt:lpstr>HE_ExpctdRes</vt:lpstr>
      <vt:lpstr>HE_Insurance_Risk</vt:lpstr>
      <vt:lpstr>HE_MindesthöheReserven</vt:lpstr>
      <vt:lpstr>Anleitung_Statut-Marktnah</vt:lpstr>
      <vt:lpstr>BewDifferenzen_Statut-Marktnah</vt:lpstr>
      <vt:lpstr>Gliederung_VorRes_Stat_Marktnah</vt:lpstr>
      <vt:lpstr>Fundamental_Data!_ReportingDate</vt:lpstr>
      <vt:lpstr>_ReportingDate</vt:lpstr>
      <vt:lpstr>Fundamental_Data!alpha</vt:lpstr>
      <vt:lpstr>alpha</vt:lpstr>
      <vt:lpstr>CoC</vt:lpstr>
      <vt:lpstr>Correlation_Matrix_MR</vt:lpstr>
      <vt:lpstr>Fundamental_Data!current_year</vt:lpstr>
      <vt:lpstr>current_year</vt:lpstr>
      <vt:lpstr>evektor1</vt:lpstr>
      <vt:lpstr>evektor2</vt:lpstr>
      <vt:lpstr>GPHIP</vt:lpstr>
      <vt:lpstr>GPHIPEU</vt:lpstr>
      <vt:lpstr>gPHIPK</vt:lpstr>
      <vt:lpstr>gPHIPKEU</vt:lpstr>
      <vt:lpstr>'BewDifferenzen_Statut-Marktnah'!Impression_des_titres</vt:lpstr>
      <vt:lpstr>Credit_Risk!Impression_des_titres</vt:lpstr>
      <vt:lpstr>Gliederung_VorRes_Stat_Marktnah!Impression_des_titres</vt:lpstr>
      <vt:lpstr>HE_ExpctdRes!Impression_des_titres</vt:lpstr>
      <vt:lpstr>HE_Insurance_Risk!Impression_des_titres</vt:lpstr>
      <vt:lpstr>HE_MindesthöheReserven!Impression_des_titres</vt:lpstr>
      <vt:lpstr>Health_Scen_Aggregation!Impression_des_titres</vt:lpstr>
      <vt:lpstr>'Input Basel III'!Impression_des_titres</vt:lpstr>
      <vt:lpstr>Inputparam!Impression_des_titres</vt:lpstr>
      <vt:lpstr>Intro!Impression_des_titres</vt:lpstr>
      <vt:lpstr>list_of_sheets!Impression_des_titres</vt:lpstr>
      <vt:lpstr>'Market_Risk (Delta Normal)'!Impression_des_titres</vt:lpstr>
      <vt:lpstr>Marktnahe_Bilanz!Impression_des_titres</vt:lpstr>
      <vt:lpstr>Scenarios!Impression_des_titres</vt:lpstr>
      <vt:lpstr>'Sensitivitaeten Delta_Market'!Impression_des_titres</vt:lpstr>
      <vt:lpstr>Szenarien_RiskFactors!Impression_des_titres</vt:lpstr>
      <vt:lpstr>Update!Impression_des_titres</vt:lpstr>
      <vt:lpstr>Vorhandene_Reserven!Impression_des_titres</vt:lpstr>
      <vt:lpstr>K</vt:lpstr>
      <vt:lpstr>KEU</vt:lpstr>
      <vt:lpstr>Fundamental_Data!Konfidenzniveau</vt:lpstr>
      <vt:lpstr>Konfidenzniveau</vt:lpstr>
      <vt:lpstr>kphiP</vt:lpstr>
      <vt:lpstr>kphiPEU</vt:lpstr>
      <vt:lpstr>kphiPK</vt:lpstr>
      <vt:lpstr>kphiPKEU</vt:lpstr>
      <vt:lpstr>Fundamental_Data!language</vt:lpstr>
      <vt:lpstr>language</vt:lpstr>
      <vt:lpstr>mu</vt:lpstr>
      <vt:lpstr>muEU</vt:lpstr>
      <vt:lpstr>Fundamental_Data!name_of_insurer</vt:lpstr>
      <vt:lpstr>name_of_insurer</vt:lpstr>
      <vt:lpstr>P</vt:lpstr>
      <vt:lpstr>PEU</vt:lpstr>
      <vt:lpstr>'Market_Risk (Delta Normal)'!PositionVector</vt:lpstr>
      <vt:lpstr>rrr</vt:lpstr>
      <vt:lpstr>sig</vt:lpstr>
      <vt:lpstr>sigEU</vt:lpstr>
      <vt:lpstr>sprache</vt:lpstr>
      <vt:lpstr>sprachen</vt:lpstr>
      <vt:lpstr>Fundamental_Data!StDev_HE</vt:lpstr>
      <vt:lpstr>StDev_HE</vt:lpstr>
      <vt:lpstr>Fundamental_Data!type_i_of_insurer</vt:lpstr>
      <vt:lpstr>type_i_of_insurer</vt:lpstr>
      <vt:lpstr>'Anleitung_Statut-Marktnah'!Zone_d_impression</vt:lpstr>
      <vt:lpstr>'BewDifferenzen_Statut-Marktnah'!Zone_d_impression</vt:lpstr>
      <vt:lpstr>Credit_Risk!Zone_d_impression</vt:lpstr>
      <vt:lpstr>Fundamental_Data!Zone_d_impression</vt:lpstr>
      <vt:lpstr>Gliederung_VorRes_Stat_Marktnah!Zone_d_impression</vt:lpstr>
      <vt:lpstr>HE_Insurance_Risk!Zone_d_impression</vt:lpstr>
      <vt:lpstr>HE_MindesthöheReserven!Zone_d_impression</vt:lpstr>
      <vt:lpstr>Health_Scen_Aggregation!Zone_d_impression</vt:lpstr>
      <vt:lpstr>'Input Basel III'!Zone_d_impression</vt:lpstr>
      <vt:lpstr>Inputparam!Zone_d_impression</vt:lpstr>
      <vt:lpstr>Intro!Zone_d_impression</vt:lpstr>
      <vt:lpstr>list_of_sheets!Zone_d_impression</vt:lpstr>
      <vt:lpstr>'Market_Risk (Delta Normal)'!Zone_d_impression</vt:lpstr>
      <vt:lpstr>Marktnahe_Bilanz!Zone_d_impression</vt:lpstr>
      <vt:lpstr>Scenarios!Zone_d_impression</vt:lpstr>
      <vt:lpstr>'Sensitivitaeten Delta_Market'!Zone_d_impression</vt:lpstr>
      <vt:lpstr>Szenarien_RiskFactors!Zone_d_impression</vt:lpstr>
      <vt:lpstr>Translation!Zone_d_impression</vt:lpstr>
      <vt:lpstr>Update!Zone_d_impression</vt:lpstr>
      <vt:lpstr>Vorhandene_Reserven!Zone_d_impression</vt:lpstr>
    </vt:vector>
  </TitlesOfParts>
  <Company>EJPD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Üründü Ulas BAG</cp:lastModifiedBy>
  <cp:lastPrinted>2018-11-28T10:19:53Z</cp:lastPrinted>
  <dcterms:created xsi:type="dcterms:W3CDTF">2004-01-13T09:48:45Z</dcterms:created>
  <dcterms:modified xsi:type="dcterms:W3CDTF">2025-02-03T08:13:48Z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COO.2098.100.2.1096998</vt:lpwstr>
  </property>
  <property fmtid="{D5CDD505-2E9C-101B-9397-08002B2CF9AE}" pid="3" name="FSC#COOELAK@1.1001:Subject">
    <vt:lpwstr/>
  </property>
  <property fmtid="{D5CDD505-2E9C-101B-9397-08002B2CF9AE}" pid="4" name="FSC#COOELAK@1.1001:FileReference">
    <vt:lpwstr> Testlauf_2006</vt:lpwstr>
  </property>
  <property fmtid="{D5CDD505-2E9C-101B-9397-08002B2CF9AE}" pid="5" name="FSC#COOELAK@1.1001:FileRefYear">
    <vt:lpwstr>2006</vt:lpwstr>
  </property>
  <property fmtid="{D5CDD505-2E9C-101B-9397-08002B2CF9AE}" pid="6" name="FSC#COOELAK@1.1001:FileRefOrdinal">
    <vt:lpwstr>444</vt:lpwstr>
  </property>
  <property fmtid="{D5CDD505-2E9C-101B-9397-08002B2CF9AE}" pid="7" name="FSC#COOELAK@1.1001:FileRefOU">
    <vt:lpwstr>DIR</vt:lpwstr>
  </property>
  <property fmtid="{D5CDD505-2E9C-101B-9397-08002B2CF9AE}" pid="8" name="FSC#COOELAK@1.1001:Organization">
    <vt:lpwstr/>
  </property>
  <property fmtid="{D5CDD505-2E9C-101B-9397-08002B2CF9AE}" pid="9" name="FSC#COOELAK@1.1001:Owner">
    <vt:lpwstr> Luder</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AW (Aufsichtsentwicklung)</vt:lpwstr>
  </property>
  <property fmtid="{D5CDD505-2E9C-101B-9397-08002B2CF9AE}" pid="17" name="FSC#COOELAK@1.1001:CreatedAt">
    <vt:lpwstr>05.04.2006 13:49:39</vt:lpwstr>
  </property>
  <property fmtid="{D5CDD505-2E9C-101B-9397-08002B2CF9AE}" pid="18" name="FSC#COOELAK@1.1001:OU">
    <vt:lpwstr>AW (Aufsichtsentwicklung)</vt:lpwstr>
  </property>
  <property fmtid="{D5CDD505-2E9C-101B-9397-08002B2CF9AE}" pid="19" name="FSC#COOELAK@1.1001:Priority">
    <vt:lpwstr/>
  </property>
  <property fmtid="{D5CDD505-2E9C-101B-9397-08002B2CF9AE}" pid="20" name="FSC#COOELAK@1.1001:ObjBarCode">
    <vt:lpwstr>*COO.2098.100.2.1096998*</vt:lpwstr>
  </property>
  <property fmtid="{D5CDD505-2E9C-101B-9397-08002B2CF9AE}" pid="21" name="FSC#COOELAK@1.1001:RefBarCode">
    <vt:lpwstr>*Template_2006*</vt:lpwstr>
  </property>
  <property fmtid="{D5CDD505-2E9C-101B-9397-08002B2CF9AE}" pid="22" name="FSC#COOELAK@1.1001:FileRefBarCode">
    <vt:lpwstr>* Testlauf_2006*</vt:lpwstr>
  </property>
  <property fmtid="{D5CDD505-2E9C-101B-9397-08002B2CF9AE}" pid="23" name="FSC#COOELAK@1.1001:ExternalRef">
    <vt:lpwstr/>
  </property>
  <property fmtid="{D5CDD505-2E9C-101B-9397-08002B2CF9AE}" pid="24" name="MatchPointInheritedTags">
    <vt:lpwstr>((2434)(2405)(2400)(2397)(2394))((2405)(2400)(2397)(2394))</vt:lpwstr>
  </property>
  <property fmtid="{D5CDD505-2E9C-101B-9397-08002B2CF9AE}" pid="25" name="ContentType">
    <vt:lpwstr>Dokument</vt:lpwstr>
  </property>
  <property fmtid="{D5CDD505-2E9C-101B-9397-08002B2CF9AE}" pid="26" name="MP_InheritedTags">
    <vt:lpwstr>((73167)(73132)(2400)(2397)(2394))((73132)(2400)(2397)(2394))((2434)(2405)(2400)(2397)(2394))((2405)(2400)(2397)(2394))((2406)(2400)(2397)(2394))</vt:lpwstr>
  </property>
  <property fmtid="{D5CDD505-2E9C-101B-9397-08002B2CF9AE}" pid="27" name="MP_UserTags">
    <vt:lpwstr/>
  </property>
  <property fmtid="{D5CDD505-2E9C-101B-9397-08002B2CF9AE}" pid="28" name="MP_UpdateVersion">
    <vt:lpwstr>2</vt:lpwstr>
  </property>
</Properties>
</file>